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TSY\WIP2026\TSY1035_Pre-election Economic and Fiscal Update 2026\FSM for PREFU\"/>
    </mc:Choice>
  </mc:AlternateContent>
  <xr:revisionPtr revIDLastSave="0" documentId="13_ncr:1_{27C3D094-1747-45A0-90D4-D76C4AA8A1B9}" xr6:coauthVersionLast="47" xr6:coauthVersionMax="47" xr10:uidLastSave="{00000000-0000-0000-0000-000000000000}"/>
  <bookViews>
    <workbookView xWindow="-120" yWindow="-120" windowWidth="29040" windowHeight="15720" firstSheet="1" activeTab="1" xr2:uid="{344EC3D1-530C-4B04-BAE6-E01393CF01D3}"/>
  </bookViews>
  <sheets>
    <sheet name="Display" sheetId="14" state="hidden" r:id="rId1"/>
    <sheet name="Guide" sheetId="2" r:id="rId2"/>
    <sheet name="Sources" sheetId="3" r:id="rId3"/>
    <sheet name="Statistics NZ" sheetId="4" r:id="rId4"/>
    <sheet name="Population Treasury" sheetId="5" r:id="rId5"/>
    <sheet name="Labour Force Treasury" sheetId="6" r:id="rId6"/>
    <sheet name="Exogenous" sheetId="7" r:id="rId7"/>
    <sheet name="NZSF Adjuster" sheetId="8" r:id="rId8"/>
    <sheet name="Fiscal Forecast Adjuster" sheetId="9" r:id="rId9"/>
    <sheet name="Allocation" sheetId="10" r:id="rId10"/>
    <sheet name="Fiscal Outturns" sheetId="11" r:id="rId11"/>
    <sheet name="Economic Forecasts" sheetId="12" r:id="rId12"/>
    <sheet name="Fiscal Forecasts" sheetId="15" r:id="rId13"/>
    <sheet name="Assumptions" sheetId="13" r:id="rId14"/>
    <sheet name="Scenario 1" sheetId="16" r:id="rId15"/>
    <sheet name="Scenario 2" sheetId="23" r:id="rId16"/>
    <sheet name="Scenario 3" sheetId="24" r:id="rId17"/>
    <sheet name="Scenario 4" sheetId="25" r:id="rId18"/>
    <sheet name="Option" sheetId="17"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14" i="15" l="1"/>
  <c r="B413" i="15"/>
  <c r="B412" i="15"/>
  <c r="B411" i="15"/>
  <c r="B410" i="15"/>
  <c r="B409" i="15"/>
  <c r="B408" i="15"/>
  <c r="D10" i="10" l="1"/>
  <c r="E10" i="10"/>
  <c r="F10" i="10"/>
  <c r="G10" i="10"/>
  <c r="D11" i="10"/>
  <c r="E11" i="10"/>
  <c r="F11" i="10"/>
  <c r="G11" i="10"/>
  <c r="D12" i="10"/>
  <c r="E12" i="10"/>
  <c r="F12" i="10"/>
  <c r="G12" i="10"/>
  <c r="D13" i="10"/>
  <c r="E13" i="10"/>
  <c r="F13" i="10"/>
  <c r="G13" i="10"/>
  <c r="D14" i="10"/>
  <c r="E14" i="10"/>
  <c r="F14" i="10"/>
  <c r="G14" i="10"/>
  <c r="D15" i="10"/>
  <c r="E15" i="10"/>
  <c r="F15" i="10"/>
  <c r="G15" i="10"/>
  <c r="D16" i="10"/>
  <c r="E16" i="10"/>
  <c r="F16" i="10"/>
  <c r="G16" i="10"/>
  <c r="D17" i="10"/>
  <c r="E17" i="10"/>
  <c r="F17" i="10"/>
  <c r="G17" i="10"/>
  <c r="D18" i="10"/>
  <c r="E18" i="10"/>
  <c r="F18" i="10"/>
  <c r="G18" i="10"/>
  <c r="D19" i="10"/>
  <c r="E19" i="10"/>
  <c r="F19" i="10"/>
  <c r="G19" i="10"/>
  <c r="D20" i="10"/>
  <c r="E20" i="10"/>
  <c r="F20" i="10"/>
  <c r="G20" i="10"/>
  <c r="C20" i="10"/>
  <c r="C19" i="10"/>
  <c r="C18" i="10"/>
  <c r="C17" i="10"/>
  <c r="C16" i="10"/>
  <c r="C15" i="10"/>
  <c r="C14" i="10"/>
  <c r="C12" i="10"/>
  <c r="C11" i="10"/>
  <c r="C13" i="10"/>
  <c r="C10" i="10"/>
  <c r="C406" i="17"/>
  <c r="C382" i="17"/>
  <c r="C406" i="25"/>
  <c r="C382" i="25"/>
  <c r="C406" i="24"/>
  <c r="C382" i="24"/>
  <c r="C406" i="23"/>
  <c r="C382" i="23"/>
  <c r="C217" i="23" a="1"/>
  <c r="C217" i="23" s="1"/>
  <c r="M11" i="17"/>
  <c r="M12" i="17" s="1"/>
  <c r="N11" i="17"/>
  <c r="N12" i="17" s="1"/>
  <c r="O11" i="17"/>
  <c r="O12" i="17" s="1"/>
  <c r="P11" i="17"/>
  <c r="P12" i="17"/>
  <c r="M13" i="17"/>
  <c r="M14" i="17" s="1"/>
  <c r="N13" i="17"/>
  <c r="N14" i="17" s="1"/>
  <c r="O13" i="17"/>
  <c r="O14" i="17" s="1"/>
  <c r="P13" i="17"/>
  <c r="P14" i="17"/>
  <c r="M16" i="17"/>
  <c r="M17" i="17" s="1"/>
  <c r="N16" i="17"/>
  <c r="N17" i="17" s="1"/>
  <c r="O16" i="17"/>
  <c r="O17" i="17" s="1"/>
  <c r="P16" i="17"/>
  <c r="P17" i="17"/>
  <c r="M18" i="17"/>
  <c r="M19" i="17" s="1"/>
  <c r="N18" i="17"/>
  <c r="O18" i="17"/>
  <c r="O19" i="17" s="1"/>
  <c r="P18" i="17"/>
  <c r="P19" i="17"/>
  <c r="M20" i="17"/>
  <c r="N20" i="17"/>
  <c r="O20" i="17"/>
  <c r="P20" i="17"/>
  <c r="M21" i="17"/>
  <c r="N21" i="17"/>
  <c r="O21" i="17"/>
  <c r="P21" i="17"/>
  <c r="P22" i="17" s="1"/>
  <c r="M22" i="17"/>
  <c r="N22" i="17"/>
  <c r="O22" i="17"/>
  <c r="M23" i="17"/>
  <c r="N23" i="17"/>
  <c r="O23" i="17"/>
  <c r="P23" i="17"/>
  <c r="M24" i="17"/>
  <c r="N24" i="17"/>
  <c r="O24" i="17"/>
  <c r="P24" i="17"/>
  <c r="M25" i="17"/>
  <c r="N25" i="17"/>
  <c r="O25" i="17"/>
  <c r="P25" i="17"/>
  <c r="M26" i="17"/>
  <c r="N26" i="17"/>
  <c r="O26" i="17"/>
  <c r="P26" i="17"/>
  <c r="M28" i="17"/>
  <c r="N28" i="17"/>
  <c r="O28" i="17"/>
  <c r="P28" i="17"/>
  <c r="P29" i="17" s="1"/>
  <c r="M29" i="17"/>
  <c r="N29" i="17"/>
  <c r="O29" i="17"/>
  <c r="M30" i="17"/>
  <c r="N30" i="17"/>
  <c r="O30" i="17"/>
  <c r="P30" i="17"/>
  <c r="M38" i="17"/>
  <c r="N38" i="17"/>
  <c r="O38" i="17"/>
  <c r="P38" i="17"/>
  <c r="M40" i="17"/>
  <c r="N40" i="17"/>
  <c r="O40" i="17"/>
  <c r="P40" i="17"/>
  <c r="M43" i="17"/>
  <c r="N43" i="17"/>
  <c r="O43" i="17"/>
  <c r="P43" i="17"/>
  <c r="M44" i="17"/>
  <c r="N44" i="17"/>
  <c r="O44" i="17"/>
  <c r="P44" i="17"/>
  <c r="M59" i="17"/>
  <c r="N59" i="17"/>
  <c r="O59" i="17"/>
  <c r="P59" i="17"/>
  <c r="M72" i="17"/>
  <c r="N72" i="17"/>
  <c r="O72" i="17"/>
  <c r="P72" i="17"/>
  <c r="M73" i="17"/>
  <c r="N73" i="17"/>
  <c r="O73" i="17"/>
  <c r="P73" i="17"/>
  <c r="M75" i="17"/>
  <c r="N75" i="17"/>
  <c r="O75" i="17"/>
  <c r="P75" i="17"/>
  <c r="M77" i="17"/>
  <c r="N77" i="17"/>
  <c r="O77" i="17"/>
  <c r="P77" i="17"/>
  <c r="M79" i="17"/>
  <c r="N79" i="17"/>
  <c r="O79" i="17"/>
  <c r="P79" i="17"/>
  <c r="M80" i="17"/>
  <c r="N80" i="17"/>
  <c r="O80" i="17"/>
  <c r="P80" i="17"/>
  <c r="M84" i="17"/>
  <c r="N84" i="17"/>
  <c r="O84" i="17"/>
  <c r="P84" i="17"/>
  <c r="M88" i="17"/>
  <c r="N88" i="17"/>
  <c r="O88" i="17"/>
  <c r="P88" i="17"/>
  <c r="M89" i="17"/>
  <c r="N89" i="17"/>
  <c r="O89" i="17"/>
  <c r="P89" i="17"/>
  <c r="M90" i="17"/>
  <c r="N90" i="17"/>
  <c r="O90" i="17"/>
  <c r="P90" i="17"/>
  <c r="M94" i="17"/>
  <c r="N94" i="17"/>
  <c r="O94" i="17"/>
  <c r="P94" i="17"/>
  <c r="M100" i="17"/>
  <c r="N100" i="17"/>
  <c r="O100" i="17"/>
  <c r="P100" i="17"/>
  <c r="M101" i="17"/>
  <c r="N101" i="17"/>
  <c r="O101" i="17"/>
  <c r="P101" i="17"/>
  <c r="M102" i="17"/>
  <c r="N102" i="17"/>
  <c r="O102" i="17"/>
  <c r="P102" i="17"/>
  <c r="M103" i="17"/>
  <c r="N103" i="17"/>
  <c r="O103" i="17"/>
  <c r="P103" i="17"/>
  <c r="M104" i="17"/>
  <c r="N104" i="17"/>
  <c r="O104" i="17"/>
  <c r="P104" i="17"/>
  <c r="M107" i="17"/>
  <c r="N107" i="17"/>
  <c r="N494" i="17" s="1"/>
  <c r="N496" i="17" s="1"/>
  <c r="O107" i="17"/>
  <c r="O494" i="17" s="1"/>
  <c r="P107" i="17"/>
  <c r="M109" i="17"/>
  <c r="N109" i="17"/>
  <c r="O109" i="17"/>
  <c r="P109" i="17"/>
  <c r="M115" i="17"/>
  <c r="N115" i="17"/>
  <c r="O115" i="17"/>
  <c r="P115" i="17"/>
  <c r="M116" i="17"/>
  <c r="N116" i="17"/>
  <c r="O116" i="17"/>
  <c r="P116" i="17"/>
  <c r="M117" i="17"/>
  <c r="N117" i="17"/>
  <c r="O117" i="17"/>
  <c r="P117" i="17"/>
  <c r="M118" i="17"/>
  <c r="N118" i="17"/>
  <c r="O118" i="17"/>
  <c r="P118" i="17"/>
  <c r="M119" i="17"/>
  <c r="N119" i="17"/>
  <c r="O119" i="17"/>
  <c r="P119" i="17"/>
  <c r="M120" i="17"/>
  <c r="N120" i="17"/>
  <c r="O120" i="17"/>
  <c r="P120" i="17"/>
  <c r="M122" i="17"/>
  <c r="N122" i="17"/>
  <c r="O122" i="17"/>
  <c r="P122" i="17"/>
  <c r="M123" i="17"/>
  <c r="N123" i="17"/>
  <c r="O123" i="17"/>
  <c r="P123" i="17"/>
  <c r="M124" i="17"/>
  <c r="N124" i="17"/>
  <c r="O124" i="17"/>
  <c r="P124" i="17"/>
  <c r="M125" i="17"/>
  <c r="N125" i="17"/>
  <c r="O125" i="17"/>
  <c r="P125" i="17"/>
  <c r="M126" i="17"/>
  <c r="N126" i="17"/>
  <c r="O126" i="17"/>
  <c r="P126" i="17"/>
  <c r="M127" i="17"/>
  <c r="N127" i="17"/>
  <c r="O127" i="17"/>
  <c r="P127" i="17"/>
  <c r="M134" i="17"/>
  <c r="N134" i="17"/>
  <c r="O134" i="17"/>
  <c r="P134" i="17"/>
  <c r="M135" i="17"/>
  <c r="N135" i="17"/>
  <c r="O135" i="17"/>
  <c r="P135" i="17"/>
  <c r="M136" i="17"/>
  <c r="N136" i="17"/>
  <c r="O136" i="17"/>
  <c r="P136" i="17"/>
  <c r="M137" i="17"/>
  <c r="N137" i="17"/>
  <c r="O137" i="17"/>
  <c r="P137" i="17"/>
  <c r="M138" i="17"/>
  <c r="N138" i="17"/>
  <c r="O138" i="17"/>
  <c r="P138" i="17"/>
  <c r="M139" i="17"/>
  <c r="N139" i="17"/>
  <c r="O139" i="17"/>
  <c r="P139" i="17"/>
  <c r="M145" i="17"/>
  <c r="M146" i="17" s="1"/>
  <c r="M147" i="17" s="1"/>
  <c r="N145" i="17"/>
  <c r="N146" i="17" s="1"/>
  <c r="N147" i="17" s="1"/>
  <c r="O145" i="17"/>
  <c r="O146" i="17" s="1"/>
  <c r="O147" i="17" s="1"/>
  <c r="P145" i="17"/>
  <c r="P146" i="17" s="1"/>
  <c r="P147" i="17" s="1"/>
  <c r="M148" i="17"/>
  <c r="N148" i="17"/>
  <c r="O148" i="17"/>
  <c r="P148" i="17"/>
  <c r="M151" i="17"/>
  <c r="N151" i="17"/>
  <c r="O151" i="17"/>
  <c r="P151" i="17"/>
  <c r="M154" i="17"/>
  <c r="N154" i="17"/>
  <c r="O154" i="17"/>
  <c r="P154" i="17"/>
  <c r="M155" i="17"/>
  <c r="N155" i="17"/>
  <c r="O155" i="17"/>
  <c r="P155" i="17"/>
  <c r="M162" i="17"/>
  <c r="N162" i="17"/>
  <c r="O162" i="17"/>
  <c r="P162" i="17"/>
  <c r="M163" i="17"/>
  <c r="N163" i="17"/>
  <c r="O163" i="17"/>
  <c r="P163" i="17"/>
  <c r="M164" i="17"/>
  <c r="N164" i="17"/>
  <c r="O164" i="17"/>
  <c r="P164" i="17"/>
  <c r="M171" i="17"/>
  <c r="N171" i="17"/>
  <c r="O171" i="17"/>
  <c r="P171" i="17"/>
  <c r="M172" i="17"/>
  <c r="N172" i="17"/>
  <c r="O172" i="17"/>
  <c r="P172" i="17"/>
  <c r="M182" i="17"/>
  <c r="N182" i="17"/>
  <c r="O182" i="17"/>
  <c r="P182" i="17"/>
  <c r="M183" i="17"/>
  <c r="N183" i="17"/>
  <c r="O183" i="17"/>
  <c r="P183" i="17"/>
  <c r="M184" i="17"/>
  <c r="N184" i="17"/>
  <c r="O184" i="17"/>
  <c r="P184" i="17"/>
  <c r="M185" i="17"/>
  <c r="N185" i="17"/>
  <c r="O185" i="17"/>
  <c r="P185" i="17"/>
  <c r="M186" i="17"/>
  <c r="N186" i="17"/>
  <c r="O186" i="17"/>
  <c r="P186" i="17"/>
  <c r="M187" i="17"/>
  <c r="N187" i="17"/>
  <c r="O187" i="17"/>
  <c r="P187" i="17"/>
  <c r="M188" i="17"/>
  <c r="N188" i="17"/>
  <c r="O188" i="17"/>
  <c r="P188" i="17"/>
  <c r="M190" i="17"/>
  <c r="M262" i="17" s="1"/>
  <c r="N190" i="17"/>
  <c r="N262" i="17" s="1"/>
  <c r="O190" i="17"/>
  <c r="O262" i="17" s="1"/>
  <c r="P190" i="17"/>
  <c r="P262" i="17" s="1"/>
  <c r="M192" i="17"/>
  <c r="M291" i="17" s="1"/>
  <c r="N192" i="17"/>
  <c r="N291" i="17" s="1"/>
  <c r="O192" i="17"/>
  <c r="O291" i="17" s="1"/>
  <c r="P192" i="17"/>
  <c r="M193" i="17"/>
  <c r="N193" i="17"/>
  <c r="N272" i="17" s="1"/>
  <c r="O193" i="17"/>
  <c r="O272" i="17" s="1"/>
  <c r="P193" i="17"/>
  <c r="M195" i="17"/>
  <c r="N195" i="17"/>
  <c r="O195" i="17"/>
  <c r="P195" i="17"/>
  <c r="M198" i="17"/>
  <c r="N198" i="17"/>
  <c r="O198" i="17"/>
  <c r="P198" i="17"/>
  <c r="M202" i="17"/>
  <c r="N202" i="17"/>
  <c r="O202" i="17"/>
  <c r="P202" i="17"/>
  <c r="M203" i="17"/>
  <c r="N203" i="17"/>
  <c r="O203" i="17"/>
  <c r="P203" i="17"/>
  <c r="M204" i="17"/>
  <c r="N204" i="17"/>
  <c r="O204" i="17"/>
  <c r="P204" i="17"/>
  <c r="M205" i="17"/>
  <c r="N205" i="17"/>
  <c r="O205" i="17"/>
  <c r="P205" i="17"/>
  <c r="M208" i="17"/>
  <c r="N208" i="17"/>
  <c r="O208" i="17"/>
  <c r="P208" i="17"/>
  <c r="P212" i="17" s="1"/>
  <c r="M209" i="17"/>
  <c r="N209" i="17"/>
  <c r="O209" i="17"/>
  <c r="P209" i="17"/>
  <c r="M210" i="17"/>
  <c r="N210" i="17"/>
  <c r="O210" i="17"/>
  <c r="P210" i="17"/>
  <c r="M211" i="17"/>
  <c r="N211" i="17"/>
  <c r="O211" i="17"/>
  <c r="P211" i="17"/>
  <c r="M215" i="17"/>
  <c r="N215" i="17"/>
  <c r="N218" i="17" s="1"/>
  <c r="N114" i="17" s="1"/>
  <c r="O215" i="17"/>
  <c r="P215" i="17"/>
  <c r="M216" i="17"/>
  <c r="N216" i="17"/>
  <c r="O216" i="17"/>
  <c r="P216" i="17"/>
  <c r="M217" i="17"/>
  <c r="N217" i="17"/>
  <c r="O217" i="17"/>
  <c r="P217" i="17"/>
  <c r="M219" i="17"/>
  <c r="N219" i="17"/>
  <c r="O219" i="17"/>
  <c r="P219" i="17"/>
  <c r="M220" i="17"/>
  <c r="N220" i="17"/>
  <c r="O220" i="17"/>
  <c r="P220" i="17"/>
  <c r="M224" i="17"/>
  <c r="N224" i="17"/>
  <c r="O224" i="17"/>
  <c r="P224" i="17"/>
  <c r="M225" i="17"/>
  <c r="N225" i="17"/>
  <c r="O225" i="17"/>
  <c r="P225" i="17"/>
  <c r="M226" i="17"/>
  <c r="N226" i="17"/>
  <c r="O226" i="17"/>
  <c r="P226" i="17"/>
  <c r="M231" i="17"/>
  <c r="N231" i="17"/>
  <c r="O231" i="17"/>
  <c r="P231" i="17"/>
  <c r="M232" i="17"/>
  <c r="N232" i="17"/>
  <c r="O232" i="17"/>
  <c r="P232" i="17"/>
  <c r="M233" i="17"/>
  <c r="N233" i="17"/>
  <c r="O233" i="17"/>
  <c r="P233" i="17"/>
  <c r="M238" i="17"/>
  <c r="N238" i="17"/>
  <c r="N290" i="17" s="1"/>
  <c r="O238" i="17"/>
  <c r="P238" i="17"/>
  <c r="P290" i="17" s="1"/>
  <c r="M239" i="17"/>
  <c r="N239" i="17"/>
  <c r="O239" i="17"/>
  <c r="P239" i="17"/>
  <c r="M240" i="17"/>
  <c r="N240" i="17"/>
  <c r="O240" i="17"/>
  <c r="P240" i="17"/>
  <c r="M242" i="17"/>
  <c r="N242" i="17"/>
  <c r="O242" i="17"/>
  <c r="P242" i="17"/>
  <c r="M243" i="17"/>
  <c r="N243" i="17"/>
  <c r="O243" i="17"/>
  <c r="P243" i="17"/>
  <c r="M247" i="17"/>
  <c r="N247" i="17"/>
  <c r="O247" i="17"/>
  <c r="P247" i="17"/>
  <c r="M248" i="17"/>
  <c r="N248" i="17"/>
  <c r="O248" i="17"/>
  <c r="P248" i="17"/>
  <c r="M252" i="17"/>
  <c r="N252" i="17"/>
  <c r="O252" i="17"/>
  <c r="P252" i="17"/>
  <c r="M253" i="17"/>
  <c r="N253" i="17"/>
  <c r="O253" i="17"/>
  <c r="P253" i="17"/>
  <c r="M257" i="17"/>
  <c r="N257" i="17"/>
  <c r="O257" i="17"/>
  <c r="P257" i="17"/>
  <c r="M266" i="17"/>
  <c r="N266" i="17"/>
  <c r="O266" i="17"/>
  <c r="P266" i="17"/>
  <c r="M272" i="17"/>
  <c r="P272" i="17"/>
  <c r="M273" i="17"/>
  <c r="N273" i="17"/>
  <c r="O273" i="17"/>
  <c r="P273" i="17"/>
  <c r="M283" i="17"/>
  <c r="N283" i="17"/>
  <c r="O283" i="17"/>
  <c r="P283" i="17"/>
  <c r="M284" i="17"/>
  <c r="N284" i="17"/>
  <c r="O284" i="17"/>
  <c r="P284" i="17"/>
  <c r="M285" i="17"/>
  <c r="N285" i="17"/>
  <c r="O285" i="17"/>
  <c r="P285" i="17"/>
  <c r="P291" i="17"/>
  <c r="M313" i="17"/>
  <c r="N313" i="17"/>
  <c r="O313" i="17"/>
  <c r="P313" i="17"/>
  <c r="M319" i="17"/>
  <c r="N319" i="17"/>
  <c r="O319" i="17"/>
  <c r="P319" i="17"/>
  <c r="M320" i="17"/>
  <c r="N320" i="17"/>
  <c r="O320" i="17"/>
  <c r="P320" i="17"/>
  <c r="M326" i="17"/>
  <c r="N326" i="17"/>
  <c r="O326" i="17"/>
  <c r="P326" i="17"/>
  <c r="M327" i="17"/>
  <c r="N327" i="17"/>
  <c r="O327" i="17"/>
  <c r="P327" i="17"/>
  <c r="M328" i="17"/>
  <c r="N328" i="17"/>
  <c r="O328" i="17"/>
  <c r="P328" i="17"/>
  <c r="M334" i="17"/>
  <c r="N334" i="17"/>
  <c r="O334" i="17"/>
  <c r="P334" i="17"/>
  <c r="M335" i="17"/>
  <c r="N335" i="17"/>
  <c r="O335" i="17"/>
  <c r="P335" i="17"/>
  <c r="M340" i="17"/>
  <c r="N340" i="17"/>
  <c r="O340" i="17"/>
  <c r="P340" i="17"/>
  <c r="M341" i="17"/>
  <c r="M37" i="17" s="1"/>
  <c r="N341" i="17"/>
  <c r="N37" i="17" s="1"/>
  <c r="O341" i="17"/>
  <c r="O37" i="17" s="1"/>
  <c r="P341" i="17"/>
  <c r="P37" i="17" s="1"/>
  <c r="M351" i="17"/>
  <c r="N351" i="17"/>
  <c r="O351" i="17"/>
  <c r="P351" i="17"/>
  <c r="M354" i="17"/>
  <c r="N354" i="17"/>
  <c r="O354" i="17"/>
  <c r="P354" i="17"/>
  <c r="M360" i="17"/>
  <c r="N360" i="17"/>
  <c r="O360" i="17"/>
  <c r="P360" i="17"/>
  <c r="M361" i="17"/>
  <c r="N361" i="17"/>
  <c r="O361" i="17"/>
  <c r="P361" i="17"/>
  <c r="M369" i="17"/>
  <c r="N369" i="17"/>
  <c r="O369" i="17"/>
  <c r="P369" i="17"/>
  <c r="M370" i="17"/>
  <c r="N370" i="17"/>
  <c r="O370" i="17"/>
  <c r="P370" i="17"/>
  <c r="M385" i="17"/>
  <c r="M442" i="17" s="1"/>
  <c r="N385" i="17"/>
  <c r="O385" i="17"/>
  <c r="O442" i="17" s="1"/>
  <c r="P385" i="17"/>
  <c r="P442" i="17" s="1"/>
  <c r="M386" i="17"/>
  <c r="M468" i="17" s="1"/>
  <c r="M469" i="17" s="1"/>
  <c r="M470" i="17" s="1"/>
  <c r="N386" i="17"/>
  <c r="N468" i="17" s="1"/>
  <c r="N469" i="17" s="1"/>
  <c r="N470" i="17" s="1"/>
  <c r="O386" i="17"/>
  <c r="P386" i="17"/>
  <c r="P468" i="17" s="1"/>
  <c r="M388" i="17"/>
  <c r="N388" i="17"/>
  <c r="O388" i="17"/>
  <c r="P388" i="17"/>
  <c r="M391" i="17"/>
  <c r="N391" i="17"/>
  <c r="O391" i="17"/>
  <c r="P391" i="17"/>
  <c r="M395" i="17"/>
  <c r="N395" i="17"/>
  <c r="O395" i="17"/>
  <c r="P395" i="17"/>
  <c r="M400" i="17"/>
  <c r="N400" i="17"/>
  <c r="O400" i="17"/>
  <c r="P400" i="17"/>
  <c r="M401" i="17"/>
  <c r="N401" i="17"/>
  <c r="O401" i="17"/>
  <c r="P401" i="17"/>
  <c r="M402" i="17"/>
  <c r="M263" i="17" s="1"/>
  <c r="N402" i="17"/>
  <c r="N263" i="17" s="1"/>
  <c r="O402" i="17"/>
  <c r="O263" i="17" s="1"/>
  <c r="P402" i="17"/>
  <c r="P263" i="17" s="1"/>
  <c r="M403" i="17"/>
  <c r="N403" i="17"/>
  <c r="O403" i="17"/>
  <c r="P403" i="17"/>
  <c r="M404" i="17"/>
  <c r="M159" i="17" s="1"/>
  <c r="N404" i="17"/>
  <c r="N159" i="17" s="1"/>
  <c r="O404" i="17"/>
  <c r="O159" i="17" s="1"/>
  <c r="P404" i="17"/>
  <c r="P159" i="17" s="1"/>
  <c r="M405" i="17"/>
  <c r="N405" i="17"/>
  <c r="O405" i="17"/>
  <c r="P405" i="17"/>
  <c r="M410" i="17"/>
  <c r="N410" i="17"/>
  <c r="O410" i="17"/>
  <c r="O409" i="17" s="1"/>
  <c r="O413" i="17" s="1"/>
  <c r="P410" i="17"/>
  <c r="P409" i="17" s="1"/>
  <c r="P413" i="17" s="1"/>
  <c r="M414" i="17"/>
  <c r="N414" i="17"/>
  <c r="O414" i="17"/>
  <c r="P414" i="17"/>
  <c r="M417" i="17"/>
  <c r="M420" i="17" s="1"/>
  <c r="N417" i="17"/>
  <c r="O417" i="17"/>
  <c r="P417" i="17"/>
  <c r="M418" i="17"/>
  <c r="N418" i="17"/>
  <c r="O418" i="17"/>
  <c r="P418" i="17"/>
  <c r="M419" i="17"/>
  <c r="N419" i="17"/>
  <c r="O419" i="17"/>
  <c r="P419" i="17"/>
  <c r="M423" i="17"/>
  <c r="N423" i="17"/>
  <c r="O423" i="17"/>
  <c r="P423" i="17"/>
  <c r="M424" i="17"/>
  <c r="N424" i="17"/>
  <c r="O424" i="17"/>
  <c r="P424" i="17"/>
  <c r="M427" i="17"/>
  <c r="N427" i="17"/>
  <c r="O427" i="17"/>
  <c r="P427" i="17"/>
  <c r="M428" i="17"/>
  <c r="M429" i="17" s="1"/>
  <c r="N428" i="17"/>
  <c r="O428" i="17"/>
  <c r="O429" i="17" s="1"/>
  <c r="P428" i="17"/>
  <c r="M433" i="17"/>
  <c r="N433" i="17"/>
  <c r="O433" i="17"/>
  <c r="P433" i="17"/>
  <c r="M434" i="17"/>
  <c r="N434" i="17"/>
  <c r="O434" i="17"/>
  <c r="P434" i="17"/>
  <c r="M435" i="17"/>
  <c r="N435" i="17"/>
  <c r="O435" i="17"/>
  <c r="P435" i="17"/>
  <c r="M439" i="17"/>
  <c r="N439" i="17"/>
  <c r="O439" i="17"/>
  <c r="P439" i="17"/>
  <c r="N442" i="17"/>
  <c r="M443" i="17"/>
  <c r="N443" i="17"/>
  <c r="O443" i="17"/>
  <c r="P443" i="17"/>
  <c r="M446" i="17"/>
  <c r="N446" i="17"/>
  <c r="O446" i="17"/>
  <c r="P446" i="17"/>
  <c r="M449" i="17"/>
  <c r="N449" i="17"/>
  <c r="O449" i="17"/>
  <c r="P449" i="17"/>
  <c r="M450" i="17"/>
  <c r="N450" i="17"/>
  <c r="O450" i="17"/>
  <c r="P450" i="17"/>
  <c r="M453" i="17"/>
  <c r="N453" i="17"/>
  <c r="O453" i="17"/>
  <c r="P453" i="17"/>
  <c r="M454" i="17"/>
  <c r="N454" i="17"/>
  <c r="O454" i="17"/>
  <c r="P454" i="17"/>
  <c r="M457" i="17"/>
  <c r="N457" i="17"/>
  <c r="O457" i="17"/>
  <c r="P457" i="17"/>
  <c r="P460" i="17" s="1"/>
  <c r="M458" i="17"/>
  <c r="N458" i="17"/>
  <c r="O458" i="17"/>
  <c r="P458" i="17"/>
  <c r="M459" i="17"/>
  <c r="N459" i="17"/>
  <c r="O459" i="17"/>
  <c r="P459" i="17"/>
  <c r="M463" i="17"/>
  <c r="M464" i="17" s="1"/>
  <c r="M465" i="17" s="1"/>
  <c r="N463" i="17"/>
  <c r="N464" i="17" s="1"/>
  <c r="N465" i="17" s="1"/>
  <c r="O463" i="17"/>
  <c r="O464" i="17" s="1"/>
  <c r="O465" i="17" s="1"/>
  <c r="P463" i="17"/>
  <c r="P464" i="17" s="1"/>
  <c r="P465" i="17" s="1"/>
  <c r="O468" i="17"/>
  <c r="O469" i="17"/>
  <c r="O470" i="17" s="1"/>
  <c r="M471" i="17"/>
  <c r="N471" i="17"/>
  <c r="O471" i="17"/>
  <c r="P471" i="17"/>
  <c r="M475" i="17"/>
  <c r="N475" i="17"/>
  <c r="O475" i="17"/>
  <c r="P475" i="17"/>
  <c r="M476" i="17"/>
  <c r="N476" i="17"/>
  <c r="O476" i="17"/>
  <c r="P476" i="17"/>
  <c r="M477" i="17"/>
  <c r="N477" i="17"/>
  <c r="O477" i="17"/>
  <c r="P477" i="17"/>
  <c r="M478" i="17"/>
  <c r="N478" i="17"/>
  <c r="O478" i="17"/>
  <c r="P478" i="17"/>
  <c r="M483" i="17"/>
  <c r="N483" i="17"/>
  <c r="O483" i="17"/>
  <c r="P483" i="17"/>
  <c r="M484" i="17"/>
  <c r="N484" i="17"/>
  <c r="O484" i="17"/>
  <c r="P484" i="17"/>
  <c r="M485" i="17"/>
  <c r="N485" i="17"/>
  <c r="O485" i="17"/>
  <c r="P485" i="17"/>
  <c r="M493" i="17"/>
  <c r="N493" i="17"/>
  <c r="O493" i="17"/>
  <c r="P493" i="17"/>
  <c r="M494" i="17"/>
  <c r="P494" i="17"/>
  <c r="M495" i="17"/>
  <c r="N495" i="17"/>
  <c r="O495" i="17"/>
  <c r="P495" i="17"/>
  <c r="M537" i="17"/>
  <c r="N537" i="17"/>
  <c r="O537" i="17"/>
  <c r="P537" i="17"/>
  <c r="M538" i="17"/>
  <c r="N538" i="17"/>
  <c r="O538" i="17"/>
  <c r="P538" i="17"/>
  <c r="L478" i="17"/>
  <c r="L434" i="17"/>
  <c r="L283" i="17"/>
  <c r="L248" i="17"/>
  <c r="L195" i="17"/>
  <c r="L192" i="17"/>
  <c r="L190" i="17"/>
  <c r="L188" i="17"/>
  <c r="L187" i="17"/>
  <c r="L186" i="17"/>
  <c r="L185" i="17"/>
  <c r="L184" i="17"/>
  <c r="L183" i="17"/>
  <c r="L182" i="17"/>
  <c r="L139" i="17"/>
  <c r="L138" i="17"/>
  <c r="L137" i="17"/>
  <c r="L136" i="17"/>
  <c r="L135" i="17"/>
  <c r="L134" i="17"/>
  <c r="L94" i="17"/>
  <c r="L88" i="17"/>
  <c r="L247" i="17"/>
  <c r="E247" i="17"/>
  <c r="F247" i="17"/>
  <c r="G247" i="17"/>
  <c r="H247" i="17"/>
  <c r="I247" i="17"/>
  <c r="J247" i="17"/>
  <c r="K247" i="17"/>
  <c r="D247" i="17"/>
  <c r="Z400" i="17"/>
  <c r="Z401" i="17"/>
  <c r="Z402" i="17"/>
  <c r="Z509" i="17" s="1"/>
  <c r="Z403" i="17"/>
  <c r="Z404" i="17"/>
  <c r="Z159" i="17" s="1"/>
  <c r="Z405" i="17"/>
  <c r="K11" i="17"/>
  <c r="K12" i="17"/>
  <c r="K13" i="17"/>
  <c r="K14" i="17"/>
  <c r="K16" i="17"/>
  <c r="K17" i="17" s="1"/>
  <c r="K18" i="17"/>
  <c r="K20" i="17" s="1"/>
  <c r="K21" i="17"/>
  <c r="K22" i="17" s="1"/>
  <c r="K23" i="17"/>
  <c r="K24" i="17"/>
  <c r="K25" i="17"/>
  <c r="K26" i="17"/>
  <c r="K28" i="17"/>
  <c r="K29" i="17"/>
  <c r="K30" i="17"/>
  <c r="K38" i="17"/>
  <c r="K40" i="17"/>
  <c r="K43" i="17"/>
  <c r="K44" i="17"/>
  <c r="K59" i="17"/>
  <c r="K70" i="17"/>
  <c r="K71" i="17"/>
  <c r="K72" i="17"/>
  <c r="K73" i="17"/>
  <c r="K74" i="17"/>
  <c r="K75" i="17"/>
  <c r="K76" i="17"/>
  <c r="K77" i="17"/>
  <c r="K79" i="17"/>
  <c r="K80" i="17"/>
  <c r="K84" i="17"/>
  <c r="K88" i="17"/>
  <c r="K89" i="17"/>
  <c r="K90" i="17"/>
  <c r="K91" i="17"/>
  <c r="K92" i="17"/>
  <c r="K94" i="17"/>
  <c r="K95" i="17"/>
  <c r="K96" i="17"/>
  <c r="K100" i="17"/>
  <c r="K101" i="17"/>
  <c r="K102" i="17"/>
  <c r="K103" i="17"/>
  <c r="K104" i="17"/>
  <c r="K107" i="17"/>
  <c r="K108" i="17"/>
  <c r="K109" i="17"/>
  <c r="K115" i="17"/>
  <c r="K116" i="17"/>
  <c r="K117" i="17"/>
  <c r="K118" i="17"/>
  <c r="K119" i="17"/>
  <c r="K120" i="17"/>
  <c r="K122" i="17"/>
  <c r="K123" i="17"/>
  <c r="K124" i="17"/>
  <c r="K125" i="17"/>
  <c r="K126" i="17"/>
  <c r="K127" i="17"/>
  <c r="K134" i="17"/>
  <c r="K135" i="17"/>
  <c r="K136" i="17"/>
  <c r="K137" i="17"/>
  <c r="K138" i="17"/>
  <c r="K139" i="17"/>
  <c r="K145" i="17"/>
  <c r="K146" i="17" s="1"/>
  <c r="K148" i="17"/>
  <c r="K151" i="17"/>
  <c r="K154" i="17"/>
  <c r="K155" i="17"/>
  <c r="K162" i="17"/>
  <c r="K163" i="17"/>
  <c r="K164" i="17"/>
  <c r="K171" i="17"/>
  <c r="K172" i="17"/>
  <c r="K182" i="17"/>
  <c r="K183" i="17"/>
  <c r="K184" i="17"/>
  <c r="K185" i="17"/>
  <c r="K186" i="17"/>
  <c r="K187" i="17"/>
  <c r="K188" i="17"/>
  <c r="K190" i="17"/>
  <c r="K262" i="17" s="1"/>
  <c r="K192" i="17"/>
  <c r="K291" i="17" s="1"/>
  <c r="K193" i="17"/>
  <c r="K272" i="17" s="1"/>
  <c r="K195" i="17"/>
  <c r="K198" i="17"/>
  <c r="K202" i="17"/>
  <c r="K203" i="17"/>
  <c r="K204" i="17"/>
  <c r="K205" i="17"/>
  <c r="K208" i="17"/>
  <c r="K209" i="17"/>
  <c r="K212" i="17" s="1"/>
  <c r="K210" i="17"/>
  <c r="K211" i="17"/>
  <c r="K215" i="17"/>
  <c r="K216" i="17"/>
  <c r="K217" i="17"/>
  <c r="K219" i="17"/>
  <c r="K220" i="17"/>
  <c r="K223" i="17"/>
  <c r="K227" i="17" s="1"/>
  <c r="K224" i="17"/>
  <c r="K225" i="17"/>
  <c r="K226" i="17"/>
  <c r="K230" i="17"/>
  <c r="K231" i="17"/>
  <c r="K232" i="17"/>
  <c r="K233" i="17"/>
  <c r="K238" i="17"/>
  <c r="K239" i="17"/>
  <c r="K240" i="17"/>
  <c r="K242" i="17"/>
  <c r="K243" i="17"/>
  <c r="K248" i="17"/>
  <c r="K249" i="17"/>
  <c r="K252" i="17"/>
  <c r="K253" i="17"/>
  <c r="K256" i="17"/>
  <c r="K257" i="17"/>
  <c r="K258" i="17" s="1"/>
  <c r="K259" i="17" s="1"/>
  <c r="K266" i="17"/>
  <c r="K273" i="17"/>
  <c r="K276" i="17"/>
  <c r="K279" i="17"/>
  <c r="K280" i="17"/>
  <c r="K283" i="17"/>
  <c r="K284" i="17"/>
  <c r="K285" i="17"/>
  <c r="K294" i="17"/>
  <c r="K297" i="17"/>
  <c r="K298" i="17"/>
  <c r="K301" i="17"/>
  <c r="K302" i="17"/>
  <c r="K305" i="17"/>
  <c r="K306" i="17"/>
  <c r="K309" i="17"/>
  <c r="K310" i="17"/>
  <c r="K313" i="17"/>
  <c r="K314" i="17" s="1"/>
  <c r="K315" i="17" s="1"/>
  <c r="K316" i="17"/>
  <c r="K319" i="17"/>
  <c r="K320" i="17"/>
  <c r="K326" i="17"/>
  <c r="K327" i="17"/>
  <c r="K328" i="17"/>
  <c r="K334" i="17"/>
  <c r="K335" i="17"/>
  <c r="K340" i="17"/>
  <c r="K341" i="17"/>
  <c r="K37" i="17" s="1"/>
  <c r="K347" i="17"/>
  <c r="K351" i="17"/>
  <c r="K354" i="17"/>
  <c r="K360" i="17"/>
  <c r="K361" i="17"/>
  <c r="K369" i="17"/>
  <c r="K370" i="17"/>
  <c r="K375" i="17"/>
  <c r="K379" i="17" s="1"/>
  <c r="K376" i="17"/>
  <c r="K377" i="17"/>
  <c r="K271" i="17" s="1"/>
  <c r="K378" i="17"/>
  <c r="K331" i="17" s="1"/>
  <c r="K380" i="17"/>
  <c r="K486" i="17" s="1"/>
  <c r="K381" i="17"/>
  <c r="K384" i="17"/>
  <c r="K385" i="17"/>
  <c r="K386" i="17"/>
  <c r="K468" i="17" s="1"/>
  <c r="K469" i="17" s="1"/>
  <c r="K388" i="17"/>
  <c r="K391" i="17"/>
  <c r="K395" i="17"/>
  <c r="K400" i="17"/>
  <c r="K401" i="17"/>
  <c r="K402" i="17"/>
  <c r="K263" i="17" s="1"/>
  <c r="K403" i="17"/>
  <c r="K404" i="17"/>
  <c r="K159" i="17" s="1"/>
  <c r="K405" i="17"/>
  <c r="K410" i="17"/>
  <c r="K414" i="17"/>
  <c r="K417" i="17"/>
  <c r="K418" i="17"/>
  <c r="K419" i="17"/>
  <c r="K423" i="17"/>
  <c r="K424" i="17"/>
  <c r="K427" i="17"/>
  <c r="K428" i="17"/>
  <c r="K433" i="17"/>
  <c r="K434" i="17"/>
  <c r="K435" i="17"/>
  <c r="K439" i="17"/>
  <c r="K442" i="17"/>
  <c r="K443" i="17"/>
  <c r="K446" i="17"/>
  <c r="K449" i="17"/>
  <c r="K450" i="17"/>
  <c r="K453" i="17"/>
  <c r="K454" i="17"/>
  <c r="K457" i="17"/>
  <c r="K459" i="17" s="1"/>
  <c r="K458" i="17"/>
  <c r="K463" i="17"/>
  <c r="K464" i="17" s="1"/>
  <c r="K465" i="17" s="1"/>
  <c r="K471" i="17"/>
  <c r="K474" i="17"/>
  <c r="K475" i="17"/>
  <c r="K476" i="17"/>
  <c r="K477" i="17"/>
  <c r="K478" i="17"/>
  <c r="K479" i="17"/>
  <c r="K480" i="17"/>
  <c r="K483" i="17"/>
  <c r="K484" i="17"/>
  <c r="K485" i="17"/>
  <c r="K492" i="17"/>
  <c r="K493" i="17"/>
  <c r="K495" i="17"/>
  <c r="K525" i="17"/>
  <c r="K526" i="17"/>
  <c r="K527" i="17"/>
  <c r="K528" i="17"/>
  <c r="K529" i="17"/>
  <c r="K533" i="17"/>
  <c r="K534" i="17"/>
  <c r="K535" i="17"/>
  <c r="K536" i="17"/>
  <c r="K537" i="17"/>
  <c r="K538" i="17"/>
  <c r="K539" i="17"/>
  <c r="K539" i="25"/>
  <c r="J539" i="25"/>
  <c r="I539" i="25"/>
  <c r="H539" i="25"/>
  <c r="G539" i="25"/>
  <c r="F539" i="25"/>
  <c r="E539" i="25"/>
  <c r="D539" i="25"/>
  <c r="B539" i="25"/>
  <c r="P538" i="25"/>
  <c r="O538" i="25"/>
  <c r="N538" i="25"/>
  <c r="M538" i="25"/>
  <c r="L538" i="25"/>
  <c r="K538" i="25"/>
  <c r="J538" i="25"/>
  <c r="I538" i="25"/>
  <c r="H538" i="25"/>
  <c r="G538" i="25"/>
  <c r="F538" i="25"/>
  <c r="E538" i="25"/>
  <c r="D538" i="25"/>
  <c r="B538" i="25"/>
  <c r="P537" i="25"/>
  <c r="O537" i="25"/>
  <c r="N537" i="25"/>
  <c r="M537" i="25"/>
  <c r="L537" i="25"/>
  <c r="K537" i="25"/>
  <c r="J537" i="25"/>
  <c r="I537" i="25"/>
  <c r="H537" i="25"/>
  <c r="G537" i="25"/>
  <c r="F537" i="25"/>
  <c r="E537" i="25"/>
  <c r="D537" i="25"/>
  <c r="B537" i="25"/>
  <c r="K536" i="25"/>
  <c r="J536" i="25"/>
  <c r="I536" i="25"/>
  <c r="H536" i="25"/>
  <c r="G536" i="25"/>
  <c r="F536" i="25"/>
  <c r="E536" i="25"/>
  <c r="D536" i="25"/>
  <c r="B536" i="25"/>
  <c r="K535" i="25"/>
  <c r="J535" i="25"/>
  <c r="I535" i="25"/>
  <c r="H535" i="25"/>
  <c r="G535" i="25"/>
  <c r="F535" i="25"/>
  <c r="E535" i="25"/>
  <c r="D535" i="25"/>
  <c r="B535" i="25"/>
  <c r="K534" i="25"/>
  <c r="J534" i="25"/>
  <c r="I534" i="25"/>
  <c r="H534" i="25"/>
  <c r="G534" i="25"/>
  <c r="F534" i="25"/>
  <c r="E534" i="25"/>
  <c r="D534" i="25"/>
  <c r="B534" i="25"/>
  <c r="K533" i="25"/>
  <c r="J533" i="25"/>
  <c r="I533" i="25"/>
  <c r="H533" i="25"/>
  <c r="G533" i="25"/>
  <c r="F533" i="25"/>
  <c r="E533" i="25"/>
  <c r="D533" i="25"/>
  <c r="B533" i="25"/>
  <c r="K529" i="25"/>
  <c r="J529" i="25"/>
  <c r="I529" i="25"/>
  <c r="H529" i="25"/>
  <c r="G529" i="25"/>
  <c r="F529" i="25"/>
  <c r="E529" i="25"/>
  <c r="D529" i="25"/>
  <c r="B529" i="25"/>
  <c r="K528" i="25"/>
  <c r="J528" i="25"/>
  <c r="I528" i="25"/>
  <c r="H528" i="25"/>
  <c r="G528" i="25"/>
  <c r="F528" i="25"/>
  <c r="E528" i="25"/>
  <c r="D528" i="25"/>
  <c r="B528" i="25"/>
  <c r="K527" i="25"/>
  <c r="J527" i="25"/>
  <c r="I527" i="25"/>
  <c r="H527" i="25"/>
  <c r="G527" i="25"/>
  <c r="F527" i="25"/>
  <c r="E527" i="25"/>
  <c r="D527" i="25"/>
  <c r="B527" i="25"/>
  <c r="K526" i="25"/>
  <c r="J526" i="25"/>
  <c r="I526" i="25"/>
  <c r="H526" i="25"/>
  <c r="G526" i="25"/>
  <c r="F526" i="25"/>
  <c r="E526" i="25"/>
  <c r="D526" i="25"/>
  <c r="B526" i="25"/>
  <c r="K525" i="25"/>
  <c r="J525" i="25"/>
  <c r="I525" i="25"/>
  <c r="H525" i="25"/>
  <c r="G525" i="25"/>
  <c r="F525" i="25"/>
  <c r="E525" i="25"/>
  <c r="D525" i="25"/>
  <c r="B525" i="25"/>
  <c r="B499" i="25"/>
  <c r="P495" i="25"/>
  <c r="O495" i="25"/>
  <c r="N495" i="25"/>
  <c r="M495" i="25"/>
  <c r="L495" i="25"/>
  <c r="K495" i="25"/>
  <c r="J495" i="25"/>
  <c r="I495" i="25"/>
  <c r="H495" i="25"/>
  <c r="G495" i="25"/>
  <c r="F495" i="25"/>
  <c r="E495" i="25"/>
  <c r="D495" i="25"/>
  <c r="B495" i="25"/>
  <c r="P493" i="25"/>
  <c r="O493" i="25"/>
  <c r="N493" i="25"/>
  <c r="M493" i="25"/>
  <c r="L493" i="25"/>
  <c r="K493" i="25"/>
  <c r="J493" i="25"/>
  <c r="I493" i="25"/>
  <c r="H493" i="25"/>
  <c r="G493" i="25"/>
  <c r="F493" i="25"/>
  <c r="E493" i="25"/>
  <c r="D493" i="25"/>
  <c r="B493" i="25"/>
  <c r="P492" i="25"/>
  <c r="O492" i="25"/>
  <c r="N492" i="25"/>
  <c r="M492" i="25"/>
  <c r="L492" i="25"/>
  <c r="K492" i="25"/>
  <c r="J492" i="25"/>
  <c r="I492" i="25"/>
  <c r="H492" i="25"/>
  <c r="G492" i="25"/>
  <c r="F492" i="25"/>
  <c r="E492" i="25"/>
  <c r="D492" i="25"/>
  <c r="B492" i="25"/>
  <c r="B490" i="25"/>
  <c r="P485" i="25"/>
  <c r="O485" i="25"/>
  <c r="N485" i="25"/>
  <c r="M485" i="25"/>
  <c r="L485" i="25"/>
  <c r="K485" i="25"/>
  <c r="J485" i="25"/>
  <c r="I485" i="25"/>
  <c r="H485" i="25"/>
  <c r="G485" i="25"/>
  <c r="F485" i="25"/>
  <c r="E485" i="25"/>
  <c r="D485" i="25"/>
  <c r="B485" i="25"/>
  <c r="P484" i="25"/>
  <c r="O484" i="25"/>
  <c r="N484" i="25"/>
  <c r="M484" i="25"/>
  <c r="L484" i="25"/>
  <c r="K484" i="25"/>
  <c r="J484" i="25"/>
  <c r="I484" i="25"/>
  <c r="H484" i="25"/>
  <c r="G484" i="25"/>
  <c r="F484" i="25"/>
  <c r="E484" i="25"/>
  <c r="D484" i="25"/>
  <c r="B484" i="25"/>
  <c r="P483" i="25"/>
  <c r="O483" i="25"/>
  <c r="N483" i="25"/>
  <c r="M483" i="25"/>
  <c r="L483" i="25"/>
  <c r="K483" i="25"/>
  <c r="J483" i="25"/>
  <c r="I483" i="25"/>
  <c r="H483" i="25"/>
  <c r="G483" i="25"/>
  <c r="F483" i="25"/>
  <c r="E483" i="25"/>
  <c r="D483" i="25"/>
  <c r="B483" i="25"/>
  <c r="P480" i="25"/>
  <c r="O480" i="25"/>
  <c r="N480" i="25"/>
  <c r="M480" i="25"/>
  <c r="L480" i="25"/>
  <c r="K480" i="25"/>
  <c r="J480" i="25"/>
  <c r="I480" i="25"/>
  <c r="H480" i="25"/>
  <c r="G480" i="25"/>
  <c r="F480" i="25"/>
  <c r="E480" i="25"/>
  <c r="D480" i="25"/>
  <c r="B480" i="25"/>
  <c r="K479" i="25"/>
  <c r="J479" i="25"/>
  <c r="I479" i="25"/>
  <c r="H479" i="25"/>
  <c r="G479" i="25"/>
  <c r="F479" i="25"/>
  <c r="E479" i="25"/>
  <c r="D479" i="25"/>
  <c r="B479" i="25"/>
  <c r="P478" i="25"/>
  <c r="O478" i="25"/>
  <c r="N478" i="25"/>
  <c r="M478" i="25"/>
  <c r="L478" i="25"/>
  <c r="K478" i="25"/>
  <c r="J478" i="25"/>
  <c r="I478" i="25"/>
  <c r="H478" i="25"/>
  <c r="G478" i="25"/>
  <c r="F478" i="25"/>
  <c r="E478" i="25"/>
  <c r="D478" i="25"/>
  <c r="B478" i="25"/>
  <c r="P477" i="25"/>
  <c r="O477" i="25"/>
  <c r="N477" i="25"/>
  <c r="M477" i="25"/>
  <c r="L477" i="25"/>
  <c r="K477" i="25"/>
  <c r="J477" i="25"/>
  <c r="I477" i="25"/>
  <c r="H477" i="25"/>
  <c r="G477" i="25"/>
  <c r="F477" i="25"/>
  <c r="E477" i="25"/>
  <c r="D477" i="25"/>
  <c r="B477" i="25"/>
  <c r="P476" i="25"/>
  <c r="O476" i="25"/>
  <c r="N476" i="25"/>
  <c r="M476" i="25"/>
  <c r="L476" i="25"/>
  <c r="K476" i="25"/>
  <c r="J476" i="25"/>
  <c r="I476" i="25"/>
  <c r="H476" i="25"/>
  <c r="G476" i="25"/>
  <c r="F476" i="25"/>
  <c r="E476" i="25"/>
  <c r="D476" i="25"/>
  <c r="B476" i="25"/>
  <c r="P475" i="25"/>
  <c r="O475" i="25"/>
  <c r="N475" i="25"/>
  <c r="M475" i="25"/>
  <c r="L475" i="25"/>
  <c r="K475" i="25"/>
  <c r="J475" i="25"/>
  <c r="I475" i="25"/>
  <c r="H475" i="25"/>
  <c r="G475" i="25"/>
  <c r="F475" i="25"/>
  <c r="E475" i="25"/>
  <c r="D475" i="25"/>
  <c r="B475" i="25"/>
  <c r="P474" i="25"/>
  <c r="O474" i="25"/>
  <c r="N474" i="25"/>
  <c r="M474" i="25"/>
  <c r="L474" i="25"/>
  <c r="K474" i="25"/>
  <c r="J474" i="25"/>
  <c r="I474" i="25"/>
  <c r="H474" i="25"/>
  <c r="G474" i="25"/>
  <c r="F474" i="25"/>
  <c r="E474" i="25"/>
  <c r="D474" i="25"/>
  <c r="B474" i="25"/>
  <c r="P471" i="25"/>
  <c r="O471" i="25"/>
  <c r="N471" i="25"/>
  <c r="M471" i="25"/>
  <c r="L471" i="25"/>
  <c r="K471" i="25"/>
  <c r="J471" i="25"/>
  <c r="I471" i="25"/>
  <c r="H471" i="25"/>
  <c r="G471" i="25"/>
  <c r="F471" i="25"/>
  <c r="E471" i="25"/>
  <c r="D471" i="25"/>
  <c r="B471" i="25"/>
  <c r="B469" i="25"/>
  <c r="B464" i="25"/>
  <c r="P463" i="25"/>
  <c r="Q463" i="25" s="1"/>
  <c r="O463" i="25"/>
  <c r="O464" i="25" s="1"/>
  <c r="N463" i="25"/>
  <c r="N464" i="25" s="1"/>
  <c r="N465" i="25" s="1"/>
  <c r="M463" i="25"/>
  <c r="M464" i="25" s="1"/>
  <c r="L463" i="25"/>
  <c r="K463" i="25"/>
  <c r="K464" i="25" s="1"/>
  <c r="J463" i="25"/>
  <c r="J464" i="25" s="1"/>
  <c r="I463" i="25"/>
  <c r="I464" i="25" s="1"/>
  <c r="H463" i="25"/>
  <c r="H464" i="25" s="1"/>
  <c r="G463" i="25"/>
  <c r="G464" i="25" s="1"/>
  <c r="F463" i="25"/>
  <c r="F464" i="25" s="1"/>
  <c r="F465" i="25" s="1"/>
  <c r="E463" i="25"/>
  <c r="E464" i="25" s="1"/>
  <c r="D463" i="25"/>
  <c r="B463" i="25"/>
  <c r="B459" i="25"/>
  <c r="P458" i="25"/>
  <c r="Q458" i="25" s="1"/>
  <c r="R458" i="25" s="1"/>
  <c r="S458" i="25" s="1"/>
  <c r="T458" i="25" s="1"/>
  <c r="U458" i="25" s="1"/>
  <c r="V458" i="25" s="1"/>
  <c r="W458" i="25" s="1"/>
  <c r="X458" i="25" s="1"/>
  <c r="Y458" i="25" s="1"/>
  <c r="Z458" i="25" s="1"/>
  <c r="O458" i="25"/>
  <c r="N458" i="25"/>
  <c r="M458" i="25"/>
  <c r="L458" i="25"/>
  <c r="K458" i="25"/>
  <c r="J458" i="25"/>
  <c r="I458" i="25"/>
  <c r="H458" i="25"/>
  <c r="G458" i="25"/>
  <c r="F458" i="25"/>
  <c r="E458" i="25"/>
  <c r="D458" i="25"/>
  <c r="B458" i="25"/>
  <c r="P457" i="25"/>
  <c r="P459" i="25" s="1"/>
  <c r="O457" i="25"/>
  <c r="O459" i="25" s="1"/>
  <c r="N457" i="25"/>
  <c r="N459" i="25" s="1"/>
  <c r="M457" i="25"/>
  <c r="M459" i="25" s="1"/>
  <c r="M460" i="25" s="1"/>
  <c r="L457" i="25"/>
  <c r="L459" i="25" s="1"/>
  <c r="K457" i="25"/>
  <c r="J457" i="25"/>
  <c r="J459" i="25" s="1"/>
  <c r="I457" i="25"/>
  <c r="I459" i="25" s="1"/>
  <c r="H457" i="25"/>
  <c r="H459" i="25" s="1"/>
  <c r="G457" i="25"/>
  <c r="G459" i="25" s="1"/>
  <c r="F457" i="25"/>
  <c r="F459" i="25" s="1"/>
  <c r="E457" i="25"/>
  <c r="E459" i="25" s="1"/>
  <c r="E460" i="25" s="1"/>
  <c r="D457" i="25"/>
  <c r="D459" i="25" s="1"/>
  <c r="B457" i="25"/>
  <c r="P454" i="25"/>
  <c r="O454" i="25"/>
  <c r="N454" i="25"/>
  <c r="M454" i="25"/>
  <c r="L454" i="25"/>
  <c r="K454" i="25"/>
  <c r="J454" i="25"/>
  <c r="I454" i="25"/>
  <c r="H454" i="25"/>
  <c r="G454" i="25"/>
  <c r="F454" i="25"/>
  <c r="E454" i="25"/>
  <c r="D454" i="25"/>
  <c r="B454" i="25"/>
  <c r="P453" i="25"/>
  <c r="O453" i="25"/>
  <c r="N453" i="25"/>
  <c r="M453" i="25"/>
  <c r="L453" i="25"/>
  <c r="K453" i="25"/>
  <c r="J453" i="25"/>
  <c r="I453" i="25"/>
  <c r="H453" i="25"/>
  <c r="G453" i="25"/>
  <c r="F453" i="25"/>
  <c r="E453" i="25"/>
  <c r="D453" i="25"/>
  <c r="B453" i="25"/>
  <c r="P450" i="25"/>
  <c r="O450" i="25"/>
  <c r="N450" i="25"/>
  <c r="M450" i="25"/>
  <c r="L450" i="25"/>
  <c r="K450" i="25"/>
  <c r="J450" i="25"/>
  <c r="I450" i="25"/>
  <c r="H450" i="25"/>
  <c r="G450" i="25"/>
  <c r="F450" i="25"/>
  <c r="E450" i="25"/>
  <c r="D450" i="25"/>
  <c r="B450" i="25"/>
  <c r="P449" i="25"/>
  <c r="O449" i="25"/>
  <c r="N449" i="25"/>
  <c r="M449" i="25"/>
  <c r="L449" i="25"/>
  <c r="K449" i="25"/>
  <c r="J449" i="25"/>
  <c r="I449" i="25"/>
  <c r="H449" i="25"/>
  <c r="G449" i="25"/>
  <c r="F449" i="25"/>
  <c r="E449" i="25"/>
  <c r="D449" i="25"/>
  <c r="B449" i="25"/>
  <c r="P446" i="25"/>
  <c r="O446" i="25"/>
  <c r="N446" i="25"/>
  <c r="M446" i="25"/>
  <c r="L446" i="25"/>
  <c r="K446" i="25"/>
  <c r="J446" i="25"/>
  <c r="I446" i="25"/>
  <c r="H446" i="25"/>
  <c r="G446" i="25"/>
  <c r="F446" i="25"/>
  <c r="E446" i="25"/>
  <c r="D446" i="25"/>
  <c r="B446" i="25"/>
  <c r="B444" i="25"/>
  <c r="P443" i="25"/>
  <c r="O443" i="25"/>
  <c r="N443" i="25"/>
  <c r="M443" i="25"/>
  <c r="L443" i="25"/>
  <c r="K443" i="25"/>
  <c r="J443" i="25"/>
  <c r="I443" i="25"/>
  <c r="H443" i="25"/>
  <c r="G443" i="25"/>
  <c r="F443" i="25"/>
  <c r="E443" i="25"/>
  <c r="D443" i="25"/>
  <c r="B443" i="25"/>
  <c r="P439" i="25"/>
  <c r="O439" i="25"/>
  <c r="N439" i="25"/>
  <c r="M439" i="25"/>
  <c r="L439" i="25"/>
  <c r="K439" i="25"/>
  <c r="J439" i="25"/>
  <c r="I439" i="25"/>
  <c r="H439" i="25"/>
  <c r="G439" i="25"/>
  <c r="F439" i="25"/>
  <c r="E439" i="25"/>
  <c r="D439" i="25"/>
  <c r="B439" i="25"/>
  <c r="P435" i="25"/>
  <c r="Q435" i="25" s="1"/>
  <c r="R435" i="25" s="1"/>
  <c r="S435" i="25" s="1"/>
  <c r="T435" i="25" s="1"/>
  <c r="U435" i="25" s="1"/>
  <c r="V435" i="25" s="1"/>
  <c r="W435" i="25" s="1"/>
  <c r="X435" i="25" s="1"/>
  <c r="Y435" i="25" s="1"/>
  <c r="Z435" i="25" s="1"/>
  <c r="O435" i="25"/>
  <c r="N435" i="25"/>
  <c r="M435" i="25"/>
  <c r="L435" i="25"/>
  <c r="K435" i="25"/>
  <c r="J435" i="25"/>
  <c r="I435" i="25"/>
  <c r="H435" i="25"/>
  <c r="G435" i="25"/>
  <c r="F435" i="25"/>
  <c r="E435" i="25"/>
  <c r="D435" i="25"/>
  <c r="B435" i="25"/>
  <c r="P434" i="25"/>
  <c r="O434" i="25"/>
  <c r="N434" i="25"/>
  <c r="M434" i="25"/>
  <c r="L434" i="25"/>
  <c r="K434" i="25"/>
  <c r="J434" i="25"/>
  <c r="I434" i="25"/>
  <c r="H434" i="25"/>
  <c r="G434" i="25"/>
  <c r="F434" i="25"/>
  <c r="E434" i="25"/>
  <c r="D434" i="25"/>
  <c r="B434" i="25"/>
  <c r="P433" i="25"/>
  <c r="O433" i="25"/>
  <c r="N433" i="25"/>
  <c r="M433" i="25"/>
  <c r="L433" i="25"/>
  <c r="K433" i="25"/>
  <c r="J433" i="25"/>
  <c r="I433" i="25"/>
  <c r="H433" i="25"/>
  <c r="G433" i="25"/>
  <c r="F433" i="25"/>
  <c r="E433" i="25"/>
  <c r="D433" i="25"/>
  <c r="B433" i="25"/>
  <c r="P428" i="25"/>
  <c r="O428" i="25"/>
  <c r="N428" i="25"/>
  <c r="M428" i="25"/>
  <c r="L428" i="25"/>
  <c r="K428" i="25"/>
  <c r="J428" i="25"/>
  <c r="I428" i="25"/>
  <c r="H428" i="25"/>
  <c r="G428" i="25"/>
  <c r="F428" i="25"/>
  <c r="E428" i="25"/>
  <c r="D428" i="25"/>
  <c r="B428" i="25"/>
  <c r="P427" i="25"/>
  <c r="Q427" i="25" s="1"/>
  <c r="O427" i="25"/>
  <c r="N427" i="25"/>
  <c r="N429" i="25" s="1"/>
  <c r="M427" i="25"/>
  <c r="L427" i="25"/>
  <c r="K427" i="25"/>
  <c r="K429" i="25" s="1"/>
  <c r="J427" i="25"/>
  <c r="I427" i="25"/>
  <c r="H427" i="25"/>
  <c r="G427" i="25"/>
  <c r="F427" i="25"/>
  <c r="F429" i="25" s="1"/>
  <c r="E427" i="25"/>
  <c r="D427" i="25"/>
  <c r="B427" i="25"/>
  <c r="P424" i="25"/>
  <c r="O424" i="25"/>
  <c r="N424" i="25"/>
  <c r="M424" i="25"/>
  <c r="L424" i="25"/>
  <c r="K424" i="25"/>
  <c r="J424" i="25"/>
  <c r="I424" i="25"/>
  <c r="H424" i="25"/>
  <c r="G424" i="25"/>
  <c r="F424" i="25"/>
  <c r="E424" i="25"/>
  <c r="D424" i="25"/>
  <c r="B424" i="25"/>
  <c r="P423" i="25"/>
  <c r="Q423" i="25" s="1"/>
  <c r="O423" i="25"/>
  <c r="N423" i="25"/>
  <c r="M423" i="25"/>
  <c r="L423" i="25"/>
  <c r="K423" i="25"/>
  <c r="J423" i="25"/>
  <c r="I423" i="25"/>
  <c r="H423" i="25"/>
  <c r="G423" i="25"/>
  <c r="F423" i="25"/>
  <c r="E423" i="25"/>
  <c r="D423" i="25"/>
  <c r="B423" i="25"/>
  <c r="P419" i="25"/>
  <c r="O419" i="25"/>
  <c r="N419" i="25"/>
  <c r="M419" i="25"/>
  <c r="L419" i="25"/>
  <c r="K419" i="25"/>
  <c r="J419" i="25"/>
  <c r="I419" i="25"/>
  <c r="H419" i="25"/>
  <c r="G419" i="25"/>
  <c r="F419" i="25"/>
  <c r="E419" i="25"/>
  <c r="D419" i="25"/>
  <c r="B419" i="25"/>
  <c r="P418" i="25"/>
  <c r="O418" i="25"/>
  <c r="N418" i="25"/>
  <c r="M418" i="25"/>
  <c r="L418" i="25"/>
  <c r="K418" i="25"/>
  <c r="J418" i="25"/>
  <c r="I418" i="25"/>
  <c r="H418" i="25"/>
  <c r="G418" i="25"/>
  <c r="F418" i="25"/>
  <c r="E418" i="25"/>
  <c r="D418" i="25"/>
  <c r="B418" i="25"/>
  <c r="Q417" i="25"/>
  <c r="P417" i="25"/>
  <c r="O417" i="25"/>
  <c r="N417" i="25"/>
  <c r="M417" i="25"/>
  <c r="C215" i="25" s="1" a="1"/>
  <c r="C215" i="25" s="1"/>
  <c r="L417" i="25"/>
  <c r="K417" i="25"/>
  <c r="J417" i="25"/>
  <c r="I417" i="25"/>
  <c r="H417" i="25"/>
  <c r="G417" i="25"/>
  <c r="F417" i="25"/>
  <c r="E417" i="25"/>
  <c r="D417" i="25"/>
  <c r="B417" i="25"/>
  <c r="P414" i="25"/>
  <c r="O414" i="25"/>
  <c r="N414" i="25"/>
  <c r="M414" i="25"/>
  <c r="L414" i="25"/>
  <c r="K414" i="25"/>
  <c r="J414" i="25"/>
  <c r="I414" i="25"/>
  <c r="I409" i="25" s="1"/>
  <c r="I413" i="25" s="1"/>
  <c r="H414" i="25"/>
  <c r="G414" i="25"/>
  <c r="F414" i="25"/>
  <c r="E414" i="25"/>
  <c r="D414" i="25"/>
  <c r="B414" i="25"/>
  <c r="B413" i="25"/>
  <c r="P410" i="25"/>
  <c r="O410" i="25"/>
  <c r="O409" i="25" s="1"/>
  <c r="O413" i="25" s="1"/>
  <c r="N410" i="25"/>
  <c r="N409" i="25" s="1"/>
  <c r="N413" i="25" s="1"/>
  <c r="M410" i="25"/>
  <c r="L410" i="25"/>
  <c r="L409" i="25" s="1"/>
  <c r="L413" i="25" s="1"/>
  <c r="K410" i="25"/>
  <c r="K409" i="25" s="1"/>
  <c r="K413" i="25" s="1"/>
  <c r="J410" i="25"/>
  <c r="J409" i="25" s="1"/>
  <c r="J413" i="25" s="1"/>
  <c r="I410" i="25"/>
  <c r="H410" i="25"/>
  <c r="G410" i="25"/>
  <c r="G409" i="25" s="1"/>
  <c r="G413" i="25" s="1"/>
  <c r="F410" i="25"/>
  <c r="F409" i="25" s="1"/>
  <c r="F413" i="25" s="1"/>
  <c r="E410" i="25"/>
  <c r="D410" i="25"/>
  <c r="D409" i="25" s="1"/>
  <c r="D413" i="25" s="1"/>
  <c r="B410" i="25"/>
  <c r="M409" i="25"/>
  <c r="M413" i="25" s="1"/>
  <c r="E409" i="25"/>
  <c r="E413" i="25" s="1"/>
  <c r="B409" i="25"/>
  <c r="Z405" i="25"/>
  <c r="Y405" i="25"/>
  <c r="X405" i="25"/>
  <c r="W405" i="25"/>
  <c r="V405" i="25"/>
  <c r="U405" i="25"/>
  <c r="T405" i="25"/>
  <c r="S405" i="25"/>
  <c r="R405" i="25"/>
  <c r="Q405" i="25"/>
  <c r="P405" i="25"/>
  <c r="O405" i="25"/>
  <c r="N405" i="25"/>
  <c r="M405" i="25"/>
  <c r="L405" i="25"/>
  <c r="K405" i="25"/>
  <c r="J405" i="25"/>
  <c r="I405" i="25"/>
  <c r="H405" i="25"/>
  <c r="G405" i="25"/>
  <c r="F405" i="25"/>
  <c r="E405" i="25"/>
  <c r="D405" i="25"/>
  <c r="B405" i="25"/>
  <c r="Z404" i="25"/>
  <c r="Y404" i="25"/>
  <c r="X404" i="25"/>
  <c r="W404" i="25"/>
  <c r="V404" i="25"/>
  <c r="U404" i="25"/>
  <c r="T404" i="25"/>
  <c r="S404" i="25"/>
  <c r="R404" i="25"/>
  <c r="Q404" i="25"/>
  <c r="P404" i="25"/>
  <c r="P159" i="25" s="1"/>
  <c r="O404" i="25"/>
  <c r="N404" i="25"/>
  <c r="N159" i="25" s="1"/>
  <c r="M404" i="25"/>
  <c r="M159" i="25" s="1"/>
  <c r="L404" i="25"/>
  <c r="K404" i="25"/>
  <c r="J404" i="25"/>
  <c r="J159" i="25" s="1"/>
  <c r="I404" i="25"/>
  <c r="I159" i="25" s="1"/>
  <c r="H404" i="25"/>
  <c r="H159" i="25" s="1"/>
  <c r="G404" i="25"/>
  <c r="F404" i="25"/>
  <c r="F159" i="25" s="1"/>
  <c r="E404" i="25"/>
  <c r="E159" i="25" s="1"/>
  <c r="D404" i="25"/>
  <c r="B404" i="25"/>
  <c r="Z403" i="25"/>
  <c r="Y403" i="25"/>
  <c r="X403" i="25"/>
  <c r="W403" i="25"/>
  <c r="V403" i="25"/>
  <c r="U403" i="25"/>
  <c r="T403" i="25"/>
  <c r="S403" i="25"/>
  <c r="R403" i="25"/>
  <c r="Q403" i="25"/>
  <c r="P403" i="25"/>
  <c r="O403" i="25"/>
  <c r="N403" i="25"/>
  <c r="M403" i="25"/>
  <c r="L403" i="25"/>
  <c r="K403" i="25"/>
  <c r="J403" i="25"/>
  <c r="I403" i="25"/>
  <c r="H403" i="25"/>
  <c r="G403" i="25"/>
  <c r="F403" i="25"/>
  <c r="E403" i="25"/>
  <c r="D403" i="25"/>
  <c r="B403" i="25"/>
  <c r="Z402" i="25"/>
  <c r="Y402" i="25"/>
  <c r="X402" i="25"/>
  <c r="W402" i="25"/>
  <c r="V402" i="25"/>
  <c r="U402" i="25"/>
  <c r="T402" i="25"/>
  <c r="S402" i="25"/>
  <c r="R402" i="25"/>
  <c r="Q402" i="25"/>
  <c r="P402" i="25"/>
  <c r="P263" i="25" s="1"/>
  <c r="O402" i="25"/>
  <c r="O263" i="25" s="1"/>
  <c r="N402" i="25"/>
  <c r="M402" i="25"/>
  <c r="M263" i="25" s="1"/>
  <c r="L402" i="25"/>
  <c r="K402" i="25"/>
  <c r="K263" i="25" s="1"/>
  <c r="J402" i="25"/>
  <c r="J263" i="25" s="1"/>
  <c r="I402" i="25"/>
  <c r="I263" i="25" s="1"/>
  <c r="H402" i="25"/>
  <c r="H263" i="25" s="1"/>
  <c r="G402" i="25"/>
  <c r="G263" i="25" s="1"/>
  <c r="F402" i="25"/>
  <c r="F263" i="25" s="1"/>
  <c r="E402" i="25"/>
  <c r="E263" i="25" s="1"/>
  <c r="D402" i="25"/>
  <c r="B402" i="25"/>
  <c r="Z401" i="25"/>
  <c r="Y401" i="25"/>
  <c r="X401" i="25"/>
  <c r="W401" i="25"/>
  <c r="V401" i="25"/>
  <c r="U401" i="25"/>
  <c r="T401" i="25"/>
  <c r="S401" i="25"/>
  <c r="R401" i="25"/>
  <c r="Q401" i="25"/>
  <c r="P401" i="25"/>
  <c r="O401" i="25"/>
  <c r="N401" i="25"/>
  <c r="M401" i="25"/>
  <c r="L401" i="25"/>
  <c r="K401" i="25"/>
  <c r="J401" i="25"/>
  <c r="I401" i="25"/>
  <c r="H401" i="25"/>
  <c r="G401" i="25"/>
  <c r="F401" i="25"/>
  <c r="E401" i="25"/>
  <c r="D401" i="25"/>
  <c r="B401" i="25"/>
  <c r="Z400" i="25"/>
  <c r="Y400" i="25"/>
  <c r="X400" i="25"/>
  <c r="W400" i="25"/>
  <c r="V400" i="25"/>
  <c r="U400" i="25"/>
  <c r="T400" i="25"/>
  <c r="S400" i="25"/>
  <c r="R400" i="25"/>
  <c r="Q400" i="25"/>
  <c r="P400" i="25"/>
  <c r="O400" i="25"/>
  <c r="N400" i="25"/>
  <c r="M400" i="25"/>
  <c r="L400" i="25"/>
  <c r="K400" i="25"/>
  <c r="J400" i="25"/>
  <c r="I400" i="25"/>
  <c r="H400" i="25"/>
  <c r="G400" i="25"/>
  <c r="F400" i="25"/>
  <c r="E400" i="25"/>
  <c r="D400" i="25"/>
  <c r="B400" i="25"/>
  <c r="B396" i="25"/>
  <c r="P395" i="25"/>
  <c r="O395" i="25"/>
  <c r="N395" i="25"/>
  <c r="M395" i="25"/>
  <c r="L395" i="25"/>
  <c r="K395" i="25"/>
  <c r="J395" i="25"/>
  <c r="I395" i="25"/>
  <c r="H395" i="25"/>
  <c r="G395" i="25"/>
  <c r="F395" i="25"/>
  <c r="E395" i="25"/>
  <c r="D395" i="25"/>
  <c r="B395" i="25"/>
  <c r="B391" i="25"/>
  <c r="P388" i="25"/>
  <c r="O388" i="25"/>
  <c r="N388" i="25"/>
  <c r="M388" i="25"/>
  <c r="L388" i="25"/>
  <c r="K388" i="25"/>
  <c r="J388" i="25"/>
  <c r="I388" i="25"/>
  <c r="H388" i="25"/>
  <c r="G388" i="25"/>
  <c r="F388" i="25"/>
  <c r="E388" i="25"/>
  <c r="D388" i="25"/>
  <c r="B388" i="25"/>
  <c r="P386" i="25"/>
  <c r="P468" i="25" s="1"/>
  <c r="P469" i="25" s="1"/>
  <c r="O386" i="25"/>
  <c r="O468" i="25" s="1"/>
  <c r="N386" i="25"/>
  <c r="N468" i="25" s="1"/>
  <c r="M386" i="25"/>
  <c r="M468" i="25" s="1"/>
  <c r="L386" i="25"/>
  <c r="L468" i="25" s="1"/>
  <c r="K386" i="25"/>
  <c r="K468" i="25" s="1"/>
  <c r="J386" i="25"/>
  <c r="J468" i="25" s="1"/>
  <c r="I386" i="25"/>
  <c r="I468" i="25" s="1"/>
  <c r="H386" i="25"/>
  <c r="H468" i="25" s="1"/>
  <c r="H469" i="25" s="1"/>
  <c r="G386" i="25"/>
  <c r="G468" i="25" s="1"/>
  <c r="F386" i="25"/>
  <c r="F468" i="25" s="1"/>
  <c r="E386" i="25"/>
  <c r="E468" i="25" s="1"/>
  <c r="D386" i="25"/>
  <c r="D468" i="25" s="1"/>
  <c r="B386" i="25"/>
  <c r="P385" i="25"/>
  <c r="O385" i="25"/>
  <c r="N385" i="25"/>
  <c r="M385" i="25"/>
  <c r="L385" i="25"/>
  <c r="K385" i="25"/>
  <c r="J385" i="25"/>
  <c r="I385" i="25"/>
  <c r="H385" i="25"/>
  <c r="G385" i="25"/>
  <c r="F385" i="25"/>
  <c r="E385" i="25"/>
  <c r="D385" i="25"/>
  <c r="B385" i="25"/>
  <c r="P384" i="25"/>
  <c r="O384" i="25"/>
  <c r="N384" i="25"/>
  <c r="M384" i="25"/>
  <c r="L384" i="25"/>
  <c r="K384" i="25"/>
  <c r="J384" i="25"/>
  <c r="I384" i="25"/>
  <c r="H384" i="25"/>
  <c r="G384" i="25"/>
  <c r="F384" i="25"/>
  <c r="E384" i="25"/>
  <c r="D384" i="25"/>
  <c r="B384" i="25"/>
  <c r="Z381" i="25"/>
  <c r="Y381" i="25"/>
  <c r="X381" i="25"/>
  <c r="W381" i="25"/>
  <c r="V381" i="25"/>
  <c r="U381" i="25"/>
  <c r="T381" i="25"/>
  <c r="S381" i="25"/>
  <c r="R381" i="25"/>
  <c r="Q381" i="25"/>
  <c r="P381" i="25"/>
  <c r="O381" i="25"/>
  <c r="N381" i="25"/>
  <c r="M381" i="25"/>
  <c r="L381" i="25"/>
  <c r="K381" i="25"/>
  <c r="J381" i="25"/>
  <c r="I381" i="25"/>
  <c r="H381" i="25"/>
  <c r="G381" i="25"/>
  <c r="F381" i="25"/>
  <c r="E381" i="25"/>
  <c r="D381" i="25"/>
  <c r="B381" i="25"/>
  <c r="Z380" i="25"/>
  <c r="Z486" i="25" s="1"/>
  <c r="Y380" i="25"/>
  <c r="Y486" i="25" s="1"/>
  <c r="X380" i="25"/>
  <c r="X486" i="25" s="1"/>
  <c r="W380" i="25"/>
  <c r="W486" i="25" s="1"/>
  <c r="V380" i="25"/>
  <c r="V486" i="25" s="1"/>
  <c r="U380" i="25"/>
  <c r="U486" i="25" s="1"/>
  <c r="T380" i="25"/>
  <c r="T486" i="25" s="1"/>
  <c r="S380" i="25"/>
  <c r="S486" i="25" s="1"/>
  <c r="R380" i="25"/>
  <c r="R486" i="25" s="1"/>
  <c r="Q380" i="25"/>
  <c r="Q486" i="25" s="1"/>
  <c r="P380" i="25"/>
  <c r="P486" i="25" s="1"/>
  <c r="O380" i="25"/>
  <c r="O486" i="25" s="1"/>
  <c r="N380" i="25"/>
  <c r="N486" i="25" s="1"/>
  <c r="M380" i="25"/>
  <c r="M486" i="25" s="1"/>
  <c r="L380" i="25"/>
  <c r="L486" i="25" s="1"/>
  <c r="K380" i="25"/>
  <c r="K486" i="25" s="1"/>
  <c r="J380" i="25"/>
  <c r="J486" i="25" s="1"/>
  <c r="I380" i="25"/>
  <c r="I486" i="25" s="1"/>
  <c r="H380" i="25"/>
  <c r="H486" i="25" s="1"/>
  <c r="G380" i="25"/>
  <c r="G486" i="25" s="1"/>
  <c r="F380" i="25"/>
  <c r="F486" i="25" s="1"/>
  <c r="E380" i="25"/>
  <c r="E486" i="25" s="1"/>
  <c r="D380" i="25"/>
  <c r="D486" i="25" s="1"/>
  <c r="B380" i="25"/>
  <c r="Z379" i="25"/>
  <c r="R379" i="25"/>
  <c r="Z378" i="25"/>
  <c r="Y378" i="25"/>
  <c r="X378" i="25"/>
  <c r="W378" i="25"/>
  <c r="V378" i="25"/>
  <c r="U378" i="25"/>
  <c r="T378" i="25"/>
  <c r="S378" i="25"/>
  <c r="R378" i="25"/>
  <c r="Q378" i="25"/>
  <c r="P378" i="25"/>
  <c r="O378" i="25"/>
  <c r="N378" i="25"/>
  <c r="N331" i="25" s="1"/>
  <c r="N332" i="25" s="1"/>
  <c r="N333" i="25" s="1"/>
  <c r="M378" i="25"/>
  <c r="M331" i="25" s="1"/>
  <c r="M332" i="25" s="1"/>
  <c r="L378" i="25"/>
  <c r="L331" i="25" s="1"/>
  <c r="L332" i="25" s="1"/>
  <c r="K378" i="25"/>
  <c r="K331" i="25" s="1"/>
  <c r="K332" i="25" s="1"/>
  <c r="J378" i="25"/>
  <c r="J331" i="25" s="1"/>
  <c r="J332" i="25" s="1"/>
  <c r="I378" i="25"/>
  <c r="I331" i="25" s="1"/>
  <c r="I332" i="25" s="1"/>
  <c r="H378" i="25"/>
  <c r="G378" i="25"/>
  <c r="F378" i="25"/>
  <c r="F331" i="25" s="1"/>
  <c r="E378" i="25"/>
  <c r="E331" i="25" s="1"/>
  <c r="E332" i="25" s="1"/>
  <c r="D378" i="25"/>
  <c r="B378" i="25"/>
  <c r="Z377" i="25"/>
  <c r="Y377" i="25"/>
  <c r="X377" i="25"/>
  <c r="W377" i="25"/>
  <c r="V377" i="25"/>
  <c r="U377" i="25"/>
  <c r="T377" i="25"/>
  <c r="S377" i="25"/>
  <c r="R377" i="25"/>
  <c r="Q377" i="25"/>
  <c r="P377" i="25"/>
  <c r="O377" i="25"/>
  <c r="N377" i="25"/>
  <c r="N271" i="25" s="1"/>
  <c r="M377" i="25"/>
  <c r="M271" i="25" s="1"/>
  <c r="L377" i="25"/>
  <c r="L271" i="25" s="1"/>
  <c r="K377" i="25"/>
  <c r="K271" i="25" s="1"/>
  <c r="J377" i="25"/>
  <c r="J271" i="25" s="1"/>
  <c r="I377" i="25"/>
  <c r="I271" i="25" s="1"/>
  <c r="H377" i="25"/>
  <c r="G377" i="25"/>
  <c r="F377" i="25"/>
  <c r="F271" i="25" s="1"/>
  <c r="E377" i="25"/>
  <c r="E271" i="25" s="1"/>
  <c r="D377" i="25"/>
  <c r="D271" i="25" s="1"/>
  <c r="B377" i="25"/>
  <c r="Z376" i="25"/>
  <c r="Y376" i="25"/>
  <c r="X376" i="25"/>
  <c r="W376" i="25"/>
  <c r="V376" i="25"/>
  <c r="U376" i="25"/>
  <c r="T376" i="25"/>
  <c r="S376" i="25"/>
  <c r="R376" i="25"/>
  <c r="Q376" i="25"/>
  <c r="P376" i="25"/>
  <c r="O376" i="25"/>
  <c r="N376" i="25"/>
  <c r="M376" i="25"/>
  <c r="L376" i="25"/>
  <c r="K376" i="25"/>
  <c r="J376" i="25"/>
  <c r="I376" i="25"/>
  <c r="H376" i="25"/>
  <c r="G376" i="25"/>
  <c r="F376" i="25"/>
  <c r="E376" i="25"/>
  <c r="D376" i="25"/>
  <c r="B376" i="25"/>
  <c r="Z375" i="25"/>
  <c r="Y375" i="25"/>
  <c r="Y379" i="25" s="1"/>
  <c r="X375" i="25"/>
  <c r="X379" i="25" s="1"/>
  <c r="W375" i="25"/>
  <c r="W379" i="25" s="1"/>
  <c r="V375" i="25"/>
  <c r="V379" i="25" s="1"/>
  <c r="U375" i="25"/>
  <c r="U379" i="25" s="1"/>
  <c r="T375" i="25"/>
  <c r="T379" i="25" s="1"/>
  <c r="S375" i="25"/>
  <c r="S379" i="25" s="1"/>
  <c r="R375" i="25"/>
  <c r="Q375" i="25"/>
  <c r="Q379" i="25" s="1"/>
  <c r="P375" i="25"/>
  <c r="P379" i="25" s="1"/>
  <c r="O375" i="25"/>
  <c r="O379" i="25" s="1"/>
  <c r="N375" i="25"/>
  <c r="N379" i="25" s="1"/>
  <c r="M375" i="25"/>
  <c r="M379" i="25" s="1"/>
  <c r="L375" i="25"/>
  <c r="L379" i="25" s="1"/>
  <c r="K375" i="25"/>
  <c r="K379" i="25" s="1"/>
  <c r="J375" i="25"/>
  <c r="J379" i="25" s="1"/>
  <c r="I375" i="25"/>
  <c r="I379" i="25" s="1"/>
  <c r="H375" i="25"/>
  <c r="H379" i="25" s="1"/>
  <c r="G375" i="25"/>
  <c r="G379" i="25" s="1"/>
  <c r="F375" i="25"/>
  <c r="F379" i="25" s="1"/>
  <c r="E375" i="25"/>
  <c r="E379" i="25" s="1"/>
  <c r="D375" i="25"/>
  <c r="D379" i="25" s="1"/>
  <c r="B375" i="25"/>
  <c r="B371" i="25"/>
  <c r="P370" i="25"/>
  <c r="O370" i="25"/>
  <c r="N370" i="25"/>
  <c r="M370" i="25"/>
  <c r="L370" i="25"/>
  <c r="K370" i="25"/>
  <c r="J370" i="25"/>
  <c r="I370" i="25"/>
  <c r="H370" i="25"/>
  <c r="G370" i="25"/>
  <c r="F370" i="25"/>
  <c r="E370" i="25"/>
  <c r="D370" i="25"/>
  <c r="B370" i="25"/>
  <c r="P369" i="25"/>
  <c r="O369" i="25"/>
  <c r="N369" i="25"/>
  <c r="M369" i="25"/>
  <c r="L369" i="25"/>
  <c r="K369" i="25"/>
  <c r="J369" i="25"/>
  <c r="I369" i="25"/>
  <c r="H369" i="25"/>
  <c r="G369" i="25"/>
  <c r="F369" i="25"/>
  <c r="E369" i="25"/>
  <c r="D369" i="25"/>
  <c r="B369" i="25"/>
  <c r="B367" i="25"/>
  <c r="B362" i="25"/>
  <c r="P361" i="25"/>
  <c r="O361" i="25"/>
  <c r="N361" i="25"/>
  <c r="M361" i="25"/>
  <c r="L361" i="25"/>
  <c r="K361" i="25"/>
  <c r="J361" i="25"/>
  <c r="I361" i="25"/>
  <c r="H361" i="25"/>
  <c r="G361" i="25"/>
  <c r="F361" i="25"/>
  <c r="E361" i="25"/>
  <c r="D361" i="25"/>
  <c r="B361" i="25"/>
  <c r="P360" i="25"/>
  <c r="O360" i="25"/>
  <c r="N360" i="25"/>
  <c r="M360" i="25"/>
  <c r="L360" i="25"/>
  <c r="K360" i="25"/>
  <c r="J360" i="25"/>
  <c r="I360" i="25"/>
  <c r="H360" i="25"/>
  <c r="G360" i="25"/>
  <c r="F360" i="25"/>
  <c r="E360" i="25"/>
  <c r="D360" i="25"/>
  <c r="B360" i="25"/>
  <c r="B358" i="25"/>
  <c r="P354" i="25"/>
  <c r="O354" i="25"/>
  <c r="N354" i="25"/>
  <c r="M354" i="25"/>
  <c r="L354" i="25"/>
  <c r="K354" i="25"/>
  <c r="J354" i="25"/>
  <c r="I354" i="25"/>
  <c r="H354" i="25"/>
  <c r="G354" i="25"/>
  <c r="F354" i="25"/>
  <c r="E354" i="25"/>
  <c r="D354" i="25"/>
  <c r="B354" i="25"/>
  <c r="B352" i="25"/>
  <c r="P351" i="25"/>
  <c r="O351" i="25"/>
  <c r="N351" i="25"/>
  <c r="M351" i="25"/>
  <c r="L351" i="25"/>
  <c r="K351" i="25"/>
  <c r="J351" i="25"/>
  <c r="I351" i="25"/>
  <c r="H351" i="25"/>
  <c r="G351" i="25"/>
  <c r="F351" i="25"/>
  <c r="E351" i="25"/>
  <c r="D351" i="25"/>
  <c r="B351" i="25"/>
  <c r="P347" i="25"/>
  <c r="O347" i="25"/>
  <c r="N347" i="25"/>
  <c r="M347" i="25"/>
  <c r="L347" i="25"/>
  <c r="K347" i="25"/>
  <c r="J347" i="25"/>
  <c r="I347" i="25"/>
  <c r="H347" i="25"/>
  <c r="G347" i="25"/>
  <c r="F347" i="25"/>
  <c r="E347" i="25"/>
  <c r="D347" i="25"/>
  <c r="B347" i="25"/>
  <c r="B345" i="25"/>
  <c r="P341" i="25"/>
  <c r="P37" i="25" s="1"/>
  <c r="O341" i="25"/>
  <c r="O37" i="25" s="1"/>
  <c r="N341" i="25"/>
  <c r="M341" i="25"/>
  <c r="L341" i="25"/>
  <c r="K341" i="25"/>
  <c r="J341" i="25"/>
  <c r="J37" i="25" s="1"/>
  <c r="I341" i="25"/>
  <c r="I37" i="25" s="1"/>
  <c r="H341" i="25"/>
  <c r="H37" i="25" s="1"/>
  <c r="G341" i="25"/>
  <c r="G37" i="25" s="1"/>
  <c r="F341" i="25"/>
  <c r="E341" i="25"/>
  <c r="D341" i="25"/>
  <c r="D37" i="25" s="1"/>
  <c r="B341" i="25"/>
  <c r="P340" i="25"/>
  <c r="O340" i="25"/>
  <c r="N340" i="25"/>
  <c r="M340" i="25"/>
  <c r="L340" i="25"/>
  <c r="K340" i="25"/>
  <c r="J340" i="25"/>
  <c r="I340" i="25"/>
  <c r="H340" i="25"/>
  <c r="G340" i="25"/>
  <c r="F340" i="25"/>
  <c r="E340" i="25"/>
  <c r="D340" i="25"/>
  <c r="B340" i="25"/>
  <c r="B336" i="25"/>
  <c r="P335" i="25"/>
  <c r="O335" i="25"/>
  <c r="N335" i="25"/>
  <c r="M335" i="25"/>
  <c r="L335" i="25"/>
  <c r="K335" i="25"/>
  <c r="J335" i="25"/>
  <c r="I335" i="25"/>
  <c r="H335" i="25"/>
  <c r="G335" i="25"/>
  <c r="F335" i="25"/>
  <c r="E335" i="25"/>
  <c r="D335" i="25"/>
  <c r="B335" i="25"/>
  <c r="P334" i="25"/>
  <c r="Q334" i="25" s="1"/>
  <c r="R334" i="25" s="1"/>
  <c r="S334" i="25" s="1"/>
  <c r="T334" i="25" s="1"/>
  <c r="U334" i="25" s="1"/>
  <c r="V334" i="25" s="1"/>
  <c r="W334" i="25" s="1"/>
  <c r="X334" i="25" s="1"/>
  <c r="Y334" i="25" s="1"/>
  <c r="Z334" i="25" s="1"/>
  <c r="O334" i="25"/>
  <c r="N334" i="25"/>
  <c r="M334" i="25"/>
  <c r="L334" i="25"/>
  <c r="K334" i="25"/>
  <c r="J334" i="25"/>
  <c r="I334" i="25"/>
  <c r="H334" i="25"/>
  <c r="G334" i="25"/>
  <c r="F334" i="25"/>
  <c r="E334" i="25"/>
  <c r="D334" i="25"/>
  <c r="B334" i="25"/>
  <c r="B332" i="25"/>
  <c r="Z331" i="25"/>
  <c r="Y331" i="25"/>
  <c r="X331" i="25"/>
  <c r="W331" i="25"/>
  <c r="V331" i="25"/>
  <c r="U331" i="25"/>
  <c r="T331" i="25"/>
  <c r="S331" i="25"/>
  <c r="R331" i="25"/>
  <c r="Q331" i="25"/>
  <c r="P331" i="25"/>
  <c r="P332" i="25" s="1"/>
  <c r="O331" i="25"/>
  <c r="O332" i="25" s="1"/>
  <c r="O333" i="25" s="1"/>
  <c r="H331" i="25"/>
  <c r="H332" i="25" s="1"/>
  <c r="G331" i="25"/>
  <c r="G332" i="25" s="1"/>
  <c r="G333" i="25" s="1"/>
  <c r="D331" i="25"/>
  <c r="D332" i="25" s="1"/>
  <c r="P328" i="25"/>
  <c r="O328" i="25"/>
  <c r="N328" i="25"/>
  <c r="M328" i="25"/>
  <c r="L328" i="25"/>
  <c r="K328" i="25"/>
  <c r="J328" i="25"/>
  <c r="I328" i="25"/>
  <c r="H328" i="25"/>
  <c r="G328" i="25"/>
  <c r="F328" i="25"/>
  <c r="E328" i="25"/>
  <c r="D328" i="25"/>
  <c r="B328" i="25"/>
  <c r="P327" i="25"/>
  <c r="O327" i="25"/>
  <c r="N327" i="25"/>
  <c r="M327" i="25"/>
  <c r="L327" i="25"/>
  <c r="K327" i="25"/>
  <c r="J327" i="25"/>
  <c r="I327" i="25"/>
  <c r="H327" i="25"/>
  <c r="G327" i="25"/>
  <c r="F327" i="25"/>
  <c r="E327" i="25"/>
  <c r="D327" i="25"/>
  <c r="B327" i="25"/>
  <c r="P326" i="25"/>
  <c r="O326" i="25"/>
  <c r="N326" i="25"/>
  <c r="M326" i="25"/>
  <c r="L326" i="25"/>
  <c r="K326" i="25"/>
  <c r="J326" i="25"/>
  <c r="I326" i="25"/>
  <c r="H326" i="25"/>
  <c r="G326" i="25"/>
  <c r="F326" i="25"/>
  <c r="E326" i="25"/>
  <c r="D326" i="25"/>
  <c r="B326" i="25"/>
  <c r="P320" i="25"/>
  <c r="O320" i="25"/>
  <c r="N320" i="25"/>
  <c r="M320" i="25"/>
  <c r="L320" i="25"/>
  <c r="K320" i="25"/>
  <c r="J320" i="25"/>
  <c r="I320" i="25"/>
  <c r="H320" i="25"/>
  <c r="G320" i="25"/>
  <c r="F320" i="25"/>
  <c r="E320" i="25"/>
  <c r="D320" i="25"/>
  <c r="B320" i="25"/>
  <c r="P319" i="25"/>
  <c r="O319" i="25"/>
  <c r="N319" i="25"/>
  <c r="M319" i="25"/>
  <c r="L319" i="25"/>
  <c r="K319" i="25"/>
  <c r="J319" i="25"/>
  <c r="I319" i="25"/>
  <c r="H319" i="25"/>
  <c r="G319" i="25"/>
  <c r="F319" i="25"/>
  <c r="E319" i="25"/>
  <c r="D319" i="25"/>
  <c r="B319" i="25"/>
  <c r="K316" i="25"/>
  <c r="J316" i="25"/>
  <c r="I316" i="25"/>
  <c r="H316" i="25"/>
  <c r="G316" i="25"/>
  <c r="F316" i="25"/>
  <c r="E316" i="25"/>
  <c r="D316" i="25"/>
  <c r="B316" i="25"/>
  <c r="B314" i="25"/>
  <c r="P313" i="25"/>
  <c r="O313" i="25"/>
  <c r="N313" i="25"/>
  <c r="M313" i="25"/>
  <c r="L313" i="25"/>
  <c r="K313" i="25"/>
  <c r="K314" i="25" s="1"/>
  <c r="J313" i="25"/>
  <c r="I313" i="25"/>
  <c r="H313" i="25"/>
  <c r="H314" i="25" s="1"/>
  <c r="H315" i="25" s="1"/>
  <c r="G313" i="25"/>
  <c r="G314" i="25" s="1"/>
  <c r="F313" i="25"/>
  <c r="F314" i="25" s="1"/>
  <c r="F315" i="25" s="1"/>
  <c r="E313" i="25"/>
  <c r="E314" i="25" s="1"/>
  <c r="D313" i="25"/>
  <c r="B313" i="25"/>
  <c r="K310" i="25"/>
  <c r="J310" i="25"/>
  <c r="I310" i="25"/>
  <c r="H310" i="25"/>
  <c r="G310" i="25"/>
  <c r="F310" i="25"/>
  <c r="E310" i="25"/>
  <c r="D310" i="25"/>
  <c r="B310" i="25"/>
  <c r="K309" i="25"/>
  <c r="J309" i="25"/>
  <c r="I309" i="25"/>
  <c r="H309" i="25"/>
  <c r="G309" i="25"/>
  <c r="F309" i="25"/>
  <c r="E309" i="25"/>
  <c r="D309" i="25"/>
  <c r="B309" i="25"/>
  <c r="K306" i="25"/>
  <c r="J306" i="25"/>
  <c r="I306" i="25"/>
  <c r="H306" i="25"/>
  <c r="G306" i="25"/>
  <c r="F306" i="25"/>
  <c r="E306" i="25"/>
  <c r="D306" i="25"/>
  <c r="B306" i="25"/>
  <c r="K305" i="25"/>
  <c r="J305" i="25"/>
  <c r="I305" i="25"/>
  <c r="H305" i="25"/>
  <c r="G305" i="25"/>
  <c r="F305" i="25"/>
  <c r="E305" i="25"/>
  <c r="D305" i="25"/>
  <c r="B305" i="25"/>
  <c r="K302" i="25"/>
  <c r="J302" i="25"/>
  <c r="I302" i="25"/>
  <c r="H302" i="25"/>
  <c r="G302" i="25"/>
  <c r="F302" i="25"/>
  <c r="E302" i="25"/>
  <c r="D302" i="25"/>
  <c r="B302" i="25"/>
  <c r="K301" i="25"/>
  <c r="J301" i="25"/>
  <c r="I301" i="25"/>
  <c r="H301" i="25"/>
  <c r="G301" i="25"/>
  <c r="F301" i="25"/>
  <c r="E301" i="25"/>
  <c r="D301" i="25"/>
  <c r="B301" i="25"/>
  <c r="K298" i="25"/>
  <c r="J298" i="25"/>
  <c r="I298" i="25"/>
  <c r="H298" i="25"/>
  <c r="G298" i="25"/>
  <c r="F298" i="25"/>
  <c r="E298" i="25"/>
  <c r="D298" i="25"/>
  <c r="B298" i="25"/>
  <c r="K297" i="25"/>
  <c r="J297" i="25"/>
  <c r="I297" i="25"/>
  <c r="H297" i="25"/>
  <c r="G297" i="25"/>
  <c r="F297" i="25"/>
  <c r="E297" i="25"/>
  <c r="D297" i="25"/>
  <c r="B297" i="25"/>
  <c r="K294" i="25"/>
  <c r="J294" i="25"/>
  <c r="I294" i="25"/>
  <c r="H294" i="25"/>
  <c r="G294" i="25"/>
  <c r="F294" i="25"/>
  <c r="E294" i="25"/>
  <c r="D294" i="25"/>
  <c r="B294" i="25"/>
  <c r="B292" i="25"/>
  <c r="E286" i="25"/>
  <c r="B286" i="25"/>
  <c r="P285" i="25"/>
  <c r="O285" i="25"/>
  <c r="N285" i="25"/>
  <c r="M285" i="25"/>
  <c r="L285" i="25"/>
  <c r="K285" i="25"/>
  <c r="J285" i="25"/>
  <c r="I285" i="25"/>
  <c r="H285" i="25"/>
  <c r="G285" i="25"/>
  <c r="F285" i="25"/>
  <c r="E285" i="25"/>
  <c r="D285" i="25"/>
  <c r="B285" i="25"/>
  <c r="P284" i="25"/>
  <c r="O284" i="25"/>
  <c r="N284" i="25"/>
  <c r="M284" i="25"/>
  <c r="L284" i="25"/>
  <c r="K284" i="25"/>
  <c r="J284" i="25"/>
  <c r="I284" i="25"/>
  <c r="H284" i="25"/>
  <c r="G284" i="25"/>
  <c r="F284" i="25"/>
  <c r="E284" i="25"/>
  <c r="D284" i="25"/>
  <c r="B284" i="25"/>
  <c r="P283" i="25"/>
  <c r="O283" i="25"/>
  <c r="N283" i="25"/>
  <c r="N286" i="25" s="1"/>
  <c r="N287" i="25" s="1"/>
  <c r="M283" i="25"/>
  <c r="L283" i="25"/>
  <c r="K283" i="25"/>
  <c r="J283" i="25"/>
  <c r="I283" i="25"/>
  <c r="H283" i="25"/>
  <c r="G283" i="25"/>
  <c r="F283" i="25"/>
  <c r="F286" i="25" s="1"/>
  <c r="F287" i="25" s="1"/>
  <c r="E283" i="25"/>
  <c r="D283" i="25"/>
  <c r="B283" i="25"/>
  <c r="K280" i="25"/>
  <c r="J280" i="25"/>
  <c r="I280" i="25"/>
  <c r="H280" i="25"/>
  <c r="G280" i="25"/>
  <c r="F280" i="25"/>
  <c r="E280" i="25"/>
  <c r="D280" i="25"/>
  <c r="B280" i="25"/>
  <c r="K279" i="25"/>
  <c r="J279" i="25"/>
  <c r="I279" i="25"/>
  <c r="H279" i="25"/>
  <c r="G279" i="25"/>
  <c r="F279" i="25"/>
  <c r="E279" i="25"/>
  <c r="D279" i="25"/>
  <c r="B279" i="25"/>
  <c r="K276" i="25"/>
  <c r="J276" i="25"/>
  <c r="I276" i="25"/>
  <c r="H276" i="25"/>
  <c r="G276" i="25"/>
  <c r="F276" i="25"/>
  <c r="E276" i="25"/>
  <c r="D276" i="25"/>
  <c r="B276" i="25"/>
  <c r="B274" i="25"/>
  <c r="P273" i="25"/>
  <c r="O273" i="25"/>
  <c r="N273" i="25"/>
  <c r="M273" i="25"/>
  <c r="L273" i="25"/>
  <c r="K273" i="25"/>
  <c r="J273" i="25"/>
  <c r="I273" i="25"/>
  <c r="H273" i="25"/>
  <c r="G273" i="25"/>
  <c r="F273" i="25"/>
  <c r="E273" i="25"/>
  <c r="D273" i="25"/>
  <c r="Z271" i="25"/>
  <c r="Y271" i="25"/>
  <c r="X271" i="25"/>
  <c r="W271" i="25"/>
  <c r="V271" i="25"/>
  <c r="U271" i="25"/>
  <c r="T271" i="25"/>
  <c r="S271" i="25"/>
  <c r="R271" i="25"/>
  <c r="Q271" i="25"/>
  <c r="P271" i="25"/>
  <c r="O271" i="25"/>
  <c r="H271" i="25"/>
  <c r="G271" i="25"/>
  <c r="B267" i="25"/>
  <c r="P266" i="25"/>
  <c r="O266" i="25"/>
  <c r="N266" i="25"/>
  <c r="M266" i="25"/>
  <c r="L266" i="25"/>
  <c r="K266" i="25"/>
  <c r="J266" i="25"/>
  <c r="I266" i="25"/>
  <c r="H266" i="25"/>
  <c r="G266" i="25"/>
  <c r="F266" i="25"/>
  <c r="E266" i="25"/>
  <c r="D266" i="25"/>
  <c r="B266" i="25"/>
  <c r="B264" i="25"/>
  <c r="Z263" i="25"/>
  <c r="Y263" i="25"/>
  <c r="X263" i="25"/>
  <c r="W263" i="25"/>
  <c r="V263" i="25"/>
  <c r="U263" i="25"/>
  <c r="T263" i="25"/>
  <c r="S263" i="25"/>
  <c r="R263" i="25"/>
  <c r="Q263" i="25"/>
  <c r="N263" i="25"/>
  <c r="L263" i="25"/>
  <c r="D263" i="25"/>
  <c r="B258" i="25"/>
  <c r="P257" i="25"/>
  <c r="O257" i="25"/>
  <c r="N257" i="25"/>
  <c r="M257" i="25"/>
  <c r="L257" i="25"/>
  <c r="K257" i="25"/>
  <c r="J257" i="25"/>
  <c r="I257" i="25"/>
  <c r="H257" i="25"/>
  <c r="G257" i="25"/>
  <c r="F257" i="25"/>
  <c r="E257" i="25"/>
  <c r="D257" i="25"/>
  <c r="B257" i="25"/>
  <c r="K256" i="25"/>
  <c r="J256" i="25"/>
  <c r="I256" i="25"/>
  <c r="H256" i="25"/>
  <c r="G256" i="25"/>
  <c r="F256" i="25"/>
  <c r="E256" i="25"/>
  <c r="D256" i="25"/>
  <c r="B256" i="25"/>
  <c r="P253" i="25"/>
  <c r="Q253" i="25" s="1"/>
  <c r="O253" i="25"/>
  <c r="N253" i="25"/>
  <c r="M253" i="25"/>
  <c r="L253" i="25"/>
  <c r="K253" i="25"/>
  <c r="J253" i="25"/>
  <c r="I253" i="25"/>
  <c r="H253" i="25"/>
  <c r="G253" i="25"/>
  <c r="F253" i="25"/>
  <c r="E253" i="25"/>
  <c r="D253" i="25"/>
  <c r="B253" i="25"/>
  <c r="P252" i="25"/>
  <c r="Q252" i="25" s="1"/>
  <c r="R252" i="25" s="1"/>
  <c r="S252" i="25" s="1"/>
  <c r="T252" i="25" s="1"/>
  <c r="U252" i="25" s="1"/>
  <c r="V252" i="25" s="1"/>
  <c r="W252" i="25" s="1"/>
  <c r="X252" i="25" s="1"/>
  <c r="Y252" i="25" s="1"/>
  <c r="Z252" i="25" s="1"/>
  <c r="O252" i="25"/>
  <c r="N252" i="25"/>
  <c r="M252" i="25"/>
  <c r="L252" i="25"/>
  <c r="K252" i="25"/>
  <c r="J252" i="25"/>
  <c r="I252" i="25"/>
  <c r="H252" i="25"/>
  <c r="G252" i="25"/>
  <c r="F252" i="25"/>
  <c r="E252" i="25"/>
  <c r="D252" i="25"/>
  <c r="B252" i="25"/>
  <c r="K249" i="25"/>
  <c r="J249" i="25"/>
  <c r="I249" i="25"/>
  <c r="H249" i="25"/>
  <c r="G249" i="25"/>
  <c r="F249" i="25"/>
  <c r="E249" i="25"/>
  <c r="D249" i="25"/>
  <c r="B249" i="25"/>
  <c r="P248" i="25"/>
  <c r="O248" i="25"/>
  <c r="N248" i="25"/>
  <c r="M248" i="25"/>
  <c r="L248" i="25"/>
  <c r="K248" i="25"/>
  <c r="J248" i="25"/>
  <c r="I248" i="25"/>
  <c r="H248" i="25"/>
  <c r="G248" i="25"/>
  <c r="F248" i="25"/>
  <c r="E248" i="25"/>
  <c r="D248" i="25"/>
  <c r="B248" i="25"/>
  <c r="P247" i="25"/>
  <c r="O247" i="25"/>
  <c r="N247" i="25"/>
  <c r="M247" i="25"/>
  <c r="L247" i="25"/>
  <c r="K247" i="25"/>
  <c r="J247" i="25"/>
  <c r="I247" i="25"/>
  <c r="H247" i="25"/>
  <c r="G247" i="25"/>
  <c r="F247" i="25"/>
  <c r="E247" i="25"/>
  <c r="D247" i="25"/>
  <c r="B247" i="25"/>
  <c r="P243" i="25"/>
  <c r="O243" i="25"/>
  <c r="N243" i="25"/>
  <c r="M243" i="25"/>
  <c r="L243" i="25"/>
  <c r="K243" i="25"/>
  <c r="J243" i="25"/>
  <c r="I243" i="25"/>
  <c r="H243" i="25"/>
  <c r="G243" i="25"/>
  <c r="F243" i="25"/>
  <c r="E243" i="25"/>
  <c r="D243" i="25"/>
  <c r="B243" i="25"/>
  <c r="P242" i="25"/>
  <c r="Q242" i="25" s="1"/>
  <c r="R242" i="25" s="1"/>
  <c r="S242" i="25" s="1"/>
  <c r="T242" i="25" s="1"/>
  <c r="U242" i="25" s="1"/>
  <c r="V242" i="25" s="1"/>
  <c r="W242" i="25" s="1"/>
  <c r="X242" i="25" s="1"/>
  <c r="Y242" i="25" s="1"/>
  <c r="Z242" i="25" s="1"/>
  <c r="O242" i="25"/>
  <c r="N242" i="25"/>
  <c r="M242" i="25"/>
  <c r="L242" i="25"/>
  <c r="K242" i="25"/>
  <c r="J242" i="25"/>
  <c r="I242" i="25"/>
  <c r="H242" i="25"/>
  <c r="G242" i="25"/>
  <c r="F242" i="25"/>
  <c r="E242" i="25"/>
  <c r="D242" i="25"/>
  <c r="B242" i="25"/>
  <c r="P240" i="25"/>
  <c r="O240" i="25"/>
  <c r="N240" i="25"/>
  <c r="M240" i="25"/>
  <c r="L240" i="25"/>
  <c r="K240" i="25"/>
  <c r="J240" i="25"/>
  <c r="I240" i="25"/>
  <c r="H240" i="25"/>
  <c r="G240" i="25"/>
  <c r="F240" i="25"/>
  <c r="E240" i="25"/>
  <c r="D240" i="25"/>
  <c r="B240" i="25"/>
  <c r="P239" i="25"/>
  <c r="O239" i="25"/>
  <c r="N239" i="25"/>
  <c r="M239" i="25"/>
  <c r="L239" i="25"/>
  <c r="K239" i="25"/>
  <c r="J239" i="25"/>
  <c r="I239" i="25"/>
  <c r="H239" i="25"/>
  <c r="G239" i="25"/>
  <c r="F239" i="25"/>
  <c r="E239" i="25"/>
  <c r="D239" i="25"/>
  <c r="B239" i="25"/>
  <c r="P238" i="25"/>
  <c r="P290" i="25" s="1"/>
  <c r="O238" i="25"/>
  <c r="O290" i="25" s="1"/>
  <c r="N238" i="25"/>
  <c r="N290" i="25" s="1"/>
  <c r="M238" i="25"/>
  <c r="M290" i="25" s="1"/>
  <c r="L238" i="25"/>
  <c r="K238" i="25"/>
  <c r="K290" i="25" s="1"/>
  <c r="J238" i="25"/>
  <c r="J290" i="25" s="1"/>
  <c r="I238" i="25"/>
  <c r="H238" i="25"/>
  <c r="H290" i="25" s="1"/>
  <c r="G238" i="25"/>
  <c r="G290" i="25" s="1"/>
  <c r="F238" i="25"/>
  <c r="F290" i="25" s="1"/>
  <c r="E238" i="25"/>
  <c r="E290" i="25" s="1"/>
  <c r="D238" i="25"/>
  <c r="B238" i="25"/>
  <c r="P233" i="25"/>
  <c r="O233" i="25"/>
  <c r="N233" i="25"/>
  <c r="M233" i="25"/>
  <c r="L233" i="25"/>
  <c r="K233" i="25"/>
  <c r="J233" i="25"/>
  <c r="I233" i="25"/>
  <c r="H233" i="25"/>
  <c r="G233" i="25"/>
  <c r="F233" i="25"/>
  <c r="E233" i="25"/>
  <c r="D233" i="25"/>
  <c r="B233" i="25"/>
  <c r="P232" i="25"/>
  <c r="O232" i="25"/>
  <c r="N232" i="25"/>
  <c r="M232" i="25"/>
  <c r="L232" i="25"/>
  <c r="K232" i="25"/>
  <c r="J232" i="25"/>
  <c r="I232" i="25"/>
  <c r="H232" i="25"/>
  <c r="G232" i="25"/>
  <c r="F232" i="25"/>
  <c r="E232" i="25"/>
  <c r="D232" i="25"/>
  <c r="B232" i="25"/>
  <c r="P231" i="25"/>
  <c r="O231" i="25"/>
  <c r="N231" i="25"/>
  <c r="M231" i="25"/>
  <c r="L231" i="25"/>
  <c r="K231" i="25"/>
  <c r="J231" i="25"/>
  <c r="I231" i="25"/>
  <c r="H231" i="25"/>
  <c r="G231" i="25"/>
  <c r="F231" i="25"/>
  <c r="E231" i="25"/>
  <c r="D231" i="25"/>
  <c r="B231" i="25"/>
  <c r="P230" i="25"/>
  <c r="O230" i="25"/>
  <c r="N230" i="25"/>
  <c r="M230" i="25"/>
  <c r="L230" i="25"/>
  <c r="K230" i="25"/>
  <c r="J230" i="25"/>
  <c r="I230" i="25"/>
  <c r="H230" i="25"/>
  <c r="G230" i="25"/>
  <c r="F230" i="25"/>
  <c r="E230" i="25"/>
  <c r="D230" i="25"/>
  <c r="B230" i="25"/>
  <c r="P226" i="25"/>
  <c r="O226" i="25"/>
  <c r="N226" i="25"/>
  <c r="M226" i="25"/>
  <c r="L226" i="25"/>
  <c r="K226" i="25"/>
  <c r="J226" i="25"/>
  <c r="I226" i="25"/>
  <c r="H226" i="25"/>
  <c r="G226" i="25"/>
  <c r="F226" i="25"/>
  <c r="E226" i="25"/>
  <c r="D226" i="25"/>
  <c r="B226" i="25"/>
  <c r="P225" i="25"/>
  <c r="O225" i="25"/>
  <c r="N225" i="25"/>
  <c r="M225" i="25"/>
  <c r="L225" i="25"/>
  <c r="K225" i="25"/>
  <c r="J225" i="25"/>
  <c r="I225" i="25"/>
  <c r="H225" i="25"/>
  <c r="G225" i="25"/>
  <c r="F225" i="25"/>
  <c r="E225" i="25"/>
  <c r="D225" i="25"/>
  <c r="B225" i="25"/>
  <c r="P224" i="25"/>
  <c r="O224" i="25"/>
  <c r="N224" i="25"/>
  <c r="M224" i="25"/>
  <c r="L224" i="25"/>
  <c r="K224" i="25"/>
  <c r="J224" i="25"/>
  <c r="I224" i="25"/>
  <c r="H224" i="25"/>
  <c r="G224" i="25"/>
  <c r="F224" i="25"/>
  <c r="E224" i="25"/>
  <c r="D224" i="25"/>
  <c r="B224" i="25"/>
  <c r="K223" i="25"/>
  <c r="J223" i="25"/>
  <c r="I223" i="25"/>
  <c r="H223" i="25"/>
  <c r="G223" i="25"/>
  <c r="F223" i="25"/>
  <c r="E223" i="25"/>
  <c r="D223" i="25"/>
  <c r="B223" i="25"/>
  <c r="P220" i="25"/>
  <c r="O220" i="25"/>
  <c r="N220" i="25"/>
  <c r="M220" i="25"/>
  <c r="L220" i="25"/>
  <c r="K220" i="25"/>
  <c r="J220" i="25"/>
  <c r="I220" i="25"/>
  <c r="H220" i="25"/>
  <c r="G220" i="25"/>
  <c r="F220" i="25"/>
  <c r="E220" i="25"/>
  <c r="D220" i="25"/>
  <c r="B220" i="25"/>
  <c r="P219" i="25"/>
  <c r="O219" i="25"/>
  <c r="N219" i="25"/>
  <c r="M219" i="25"/>
  <c r="L219" i="25"/>
  <c r="K219" i="25"/>
  <c r="J219" i="25"/>
  <c r="I219" i="25"/>
  <c r="H219" i="25"/>
  <c r="G219" i="25"/>
  <c r="F219" i="25"/>
  <c r="E219" i="25"/>
  <c r="D219" i="25"/>
  <c r="B219" i="25"/>
  <c r="P217" i="25"/>
  <c r="O217" i="25"/>
  <c r="N217" i="25"/>
  <c r="M217" i="25"/>
  <c r="L217" i="25"/>
  <c r="K217" i="25"/>
  <c r="J217" i="25"/>
  <c r="I217" i="25"/>
  <c r="H217" i="25"/>
  <c r="G217" i="25"/>
  <c r="F217" i="25"/>
  <c r="E217" i="25"/>
  <c r="D217" i="25"/>
  <c r="B217" i="25"/>
  <c r="P216" i="25"/>
  <c r="O216" i="25"/>
  <c r="N216" i="25"/>
  <c r="M216" i="25"/>
  <c r="L216" i="25"/>
  <c r="K216" i="25"/>
  <c r="I216" i="25"/>
  <c r="H216" i="25"/>
  <c r="G216" i="25"/>
  <c r="F216" i="25"/>
  <c r="E216" i="25"/>
  <c r="D216" i="25"/>
  <c r="B216" i="25"/>
  <c r="P215" i="25"/>
  <c r="O215" i="25"/>
  <c r="N215" i="25"/>
  <c r="M215" i="25"/>
  <c r="L215" i="25"/>
  <c r="K215" i="25"/>
  <c r="I215" i="25"/>
  <c r="H215" i="25"/>
  <c r="H218" i="25" s="1"/>
  <c r="H114" i="25" s="1"/>
  <c r="G215" i="25"/>
  <c r="F215" i="25"/>
  <c r="E215" i="25"/>
  <c r="D215" i="25"/>
  <c r="B215" i="25"/>
  <c r="P211" i="25"/>
  <c r="O211" i="25"/>
  <c r="N211" i="25"/>
  <c r="M211" i="25"/>
  <c r="L211" i="25"/>
  <c r="K211" i="25"/>
  <c r="J211" i="25"/>
  <c r="I211" i="25"/>
  <c r="H211" i="25"/>
  <c r="G211" i="25"/>
  <c r="F211" i="25"/>
  <c r="E211" i="25"/>
  <c r="D211" i="25"/>
  <c r="B211" i="25"/>
  <c r="P210" i="25"/>
  <c r="O210" i="25"/>
  <c r="N210" i="25"/>
  <c r="M210" i="25"/>
  <c r="L210" i="25"/>
  <c r="K210" i="25"/>
  <c r="J210" i="25"/>
  <c r="I210" i="25"/>
  <c r="H210" i="25"/>
  <c r="G210" i="25"/>
  <c r="F210" i="25"/>
  <c r="E210" i="25"/>
  <c r="D210" i="25"/>
  <c r="B210" i="25"/>
  <c r="P209" i="25"/>
  <c r="O209" i="25"/>
  <c r="N209" i="25"/>
  <c r="M209" i="25"/>
  <c r="L209" i="25"/>
  <c r="K209" i="25"/>
  <c r="J209" i="25"/>
  <c r="I209" i="25"/>
  <c r="H209" i="25"/>
  <c r="G209" i="25"/>
  <c r="F209" i="25"/>
  <c r="E209" i="25"/>
  <c r="D209" i="25"/>
  <c r="B209" i="25"/>
  <c r="P208" i="25"/>
  <c r="O208" i="25"/>
  <c r="O212" i="25" s="1"/>
  <c r="N208" i="25"/>
  <c r="M208" i="25"/>
  <c r="L208" i="25"/>
  <c r="K208" i="25"/>
  <c r="J208" i="25"/>
  <c r="I208" i="25"/>
  <c r="H208" i="25"/>
  <c r="G208" i="25"/>
  <c r="G212" i="25" s="1"/>
  <c r="F208" i="25"/>
  <c r="E208" i="25"/>
  <c r="D208" i="25"/>
  <c r="B208" i="25"/>
  <c r="P205" i="25"/>
  <c r="O205" i="25"/>
  <c r="N205" i="25"/>
  <c r="M205" i="25"/>
  <c r="L205" i="25"/>
  <c r="K205" i="25"/>
  <c r="J205" i="25"/>
  <c r="I205" i="25"/>
  <c r="H205" i="25"/>
  <c r="G205" i="25"/>
  <c r="F205" i="25"/>
  <c r="E205" i="25"/>
  <c r="D205" i="25"/>
  <c r="P204" i="25"/>
  <c r="O204" i="25"/>
  <c r="N204" i="25"/>
  <c r="M204" i="25"/>
  <c r="L204" i="25"/>
  <c r="K204" i="25"/>
  <c r="J204" i="25"/>
  <c r="I204" i="25"/>
  <c r="H204" i="25"/>
  <c r="G204" i="25"/>
  <c r="F204" i="25"/>
  <c r="E204" i="25"/>
  <c r="D204" i="25"/>
  <c r="P203" i="25"/>
  <c r="O203" i="25"/>
  <c r="N203" i="25"/>
  <c r="M203" i="25"/>
  <c r="L203" i="25"/>
  <c r="K203" i="25"/>
  <c r="J203" i="25"/>
  <c r="I203" i="25"/>
  <c r="H203" i="25"/>
  <c r="G203" i="25"/>
  <c r="F203" i="25"/>
  <c r="E203" i="25"/>
  <c r="D203" i="25"/>
  <c r="P202" i="25"/>
  <c r="O202" i="25"/>
  <c r="N202" i="25"/>
  <c r="M202" i="25"/>
  <c r="L202" i="25"/>
  <c r="K202" i="25"/>
  <c r="J202" i="25"/>
  <c r="I202" i="25"/>
  <c r="H202" i="25"/>
  <c r="G202" i="25"/>
  <c r="F202" i="25"/>
  <c r="E202" i="25"/>
  <c r="D202" i="25"/>
  <c r="B199" i="25"/>
  <c r="P198" i="25"/>
  <c r="Q198" i="25" s="1"/>
  <c r="R198" i="25" s="1"/>
  <c r="S198" i="25" s="1"/>
  <c r="T198" i="25" s="1"/>
  <c r="U198" i="25" s="1"/>
  <c r="V198" i="25" s="1"/>
  <c r="W198" i="25" s="1"/>
  <c r="X198" i="25" s="1"/>
  <c r="Y198" i="25" s="1"/>
  <c r="Z198" i="25" s="1"/>
  <c r="O198" i="25"/>
  <c r="N198" i="25"/>
  <c r="M198" i="25"/>
  <c r="L198" i="25"/>
  <c r="K198" i="25"/>
  <c r="J198" i="25"/>
  <c r="I198" i="25"/>
  <c r="H198" i="25"/>
  <c r="G198" i="25"/>
  <c r="F198" i="25"/>
  <c r="E198" i="25"/>
  <c r="D198" i="25"/>
  <c r="B198" i="25"/>
  <c r="B196" i="25"/>
  <c r="P195" i="25"/>
  <c r="O195" i="25"/>
  <c r="N195" i="25"/>
  <c r="M195" i="25"/>
  <c r="L195" i="25"/>
  <c r="K195" i="25"/>
  <c r="J195" i="25"/>
  <c r="I195" i="25"/>
  <c r="H195" i="25"/>
  <c r="G195" i="25"/>
  <c r="F195" i="25"/>
  <c r="E195" i="25"/>
  <c r="D195" i="25"/>
  <c r="B195" i="25"/>
  <c r="P193" i="25"/>
  <c r="P272" i="25" s="1"/>
  <c r="O193" i="25"/>
  <c r="O272" i="25" s="1"/>
  <c r="N193" i="25"/>
  <c r="N272" i="25" s="1"/>
  <c r="M193" i="25"/>
  <c r="M272" i="25" s="1"/>
  <c r="L193" i="25"/>
  <c r="L272" i="25" s="1"/>
  <c r="K193" i="25"/>
  <c r="K272" i="25" s="1"/>
  <c r="J193" i="25"/>
  <c r="J272" i="25" s="1"/>
  <c r="I193" i="25"/>
  <c r="I272" i="25" s="1"/>
  <c r="H193" i="25"/>
  <c r="H272" i="25" s="1"/>
  <c r="G193" i="25"/>
  <c r="G272" i="25" s="1"/>
  <c r="F193" i="25"/>
  <c r="F272" i="25" s="1"/>
  <c r="E193" i="25"/>
  <c r="E272" i="25" s="1"/>
  <c r="D193" i="25"/>
  <c r="D272" i="25" s="1"/>
  <c r="B193" i="25"/>
  <c r="Q192" i="25"/>
  <c r="Q291" i="25" s="1"/>
  <c r="P192" i="25"/>
  <c r="P291" i="25" s="1"/>
  <c r="O192" i="25"/>
  <c r="O291" i="25" s="1"/>
  <c r="N192" i="25"/>
  <c r="N291" i="25" s="1"/>
  <c r="M192" i="25"/>
  <c r="M291" i="25" s="1"/>
  <c r="L192" i="25"/>
  <c r="L291" i="25" s="1"/>
  <c r="K192" i="25"/>
  <c r="K291" i="25" s="1"/>
  <c r="J192" i="25"/>
  <c r="J291" i="25" s="1"/>
  <c r="I192" i="25"/>
  <c r="I291" i="25" s="1"/>
  <c r="H192" i="25"/>
  <c r="H291" i="25" s="1"/>
  <c r="G192" i="25"/>
  <c r="G291" i="25" s="1"/>
  <c r="F192" i="25"/>
  <c r="F291" i="25" s="1"/>
  <c r="E192" i="25"/>
  <c r="E291" i="25" s="1"/>
  <c r="D192" i="25"/>
  <c r="D291" i="25" s="1"/>
  <c r="B192" i="25"/>
  <c r="P190" i="25"/>
  <c r="P262" i="25" s="1"/>
  <c r="O190" i="25"/>
  <c r="O262" i="25" s="1"/>
  <c r="N190" i="25"/>
  <c r="N262" i="25" s="1"/>
  <c r="M190" i="25"/>
  <c r="M262" i="25" s="1"/>
  <c r="L190" i="25"/>
  <c r="L262" i="25" s="1"/>
  <c r="K190" i="25"/>
  <c r="K262" i="25" s="1"/>
  <c r="J190" i="25"/>
  <c r="J262" i="25" s="1"/>
  <c r="I190" i="25"/>
  <c r="I262" i="25" s="1"/>
  <c r="H190" i="25"/>
  <c r="H262" i="25" s="1"/>
  <c r="G190" i="25"/>
  <c r="G262" i="25" s="1"/>
  <c r="F190" i="25"/>
  <c r="F262" i="25" s="1"/>
  <c r="E190" i="25"/>
  <c r="E262" i="25" s="1"/>
  <c r="D190" i="25"/>
  <c r="D262" i="25" s="1"/>
  <c r="B190" i="25"/>
  <c r="P188" i="25"/>
  <c r="O188" i="25"/>
  <c r="N188" i="25"/>
  <c r="M188" i="25"/>
  <c r="L188" i="25"/>
  <c r="K188" i="25"/>
  <c r="J188" i="25"/>
  <c r="I188" i="25"/>
  <c r="H188" i="25"/>
  <c r="G188" i="25"/>
  <c r="F188" i="25"/>
  <c r="E188" i="25"/>
  <c r="D188" i="25"/>
  <c r="B188" i="25"/>
  <c r="P187" i="25"/>
  <c r="O187" i="25"/>
  <c r="N187" i="25"/>
  <c r="M187" i="25"/>
  <c r="L187" i="25"/>
  <c r="K187" i="25"/>
  <c r="J187" i="25"/>
  <c r="I187" i="25"/>
  <c r="H187" i="25"/>
  <c r="G187" i="25"/>
  <c r="F187" i="25"/>
  <c r="E187" i="25"/>
  <c r="D187" i="25"/>
  <c r="B187" i="25"/>
  <c r="P186" i="25"/>
  <c r="O186" i="25"/>
  <c r="N186" i="25"/>
  <c r="M186" i="25"/>
  <c r="L186" i="25"/>
  <c r="K186" i="25"/>
  <c r="J186" i="25"/>
  <c r="I186" i="25"/>
  <c r="H186" i="25"/>
  <c r="G186" i="25"/>
  <c r="F186" i="25"/>
  <c r="E186" i="25"/>
  <c r="D186" i="25"/>
  <c r="B186" i="25"/>
  <c r="P185" i="25"/>
  <c r="O185" i="25"/>
  <c r="N185" i="25"/>
  <c r="M185" i="25"/>
  <c r="L185" i="25"/>
  <c r="K185" i="25"/>
  <c r="J185" i="25"/>
  <c r="I185" i="25"/>
  <c r="H185" i="25"/>
  <c r="G185" i="25"/>
  <c r="F185" i="25"/>
  <c r="E185" i="25"/>
  <c r="D185" i="25"/>
  <c r="B185" i="25"/>
  <c r="P184" i="25"/>
  <c r="O184" i="25"/>
  <c r="N184" i="25"/>
  <c r="M184" i="25"/>
  <c r="L184" i="25"/>
  <c r="K184" i="25"/>
  <c r="J184" i="25"/>
  <c r="I184" i="25"/>
  <c r="H184" i="25"/>
  <c r="G184" i="25"/>
  <c r="F184" i="25"/>
  <c r="E184" i="25"/>
  <c r="D184" i="25"/>
  <c r="B184" i="25"/>
  <c r="P183" i="25"/>
  <c r="O183" i="25"/>
  <c r="N183" i="25"/>
  <c r="M183" i="25"/>
  <c r="L183" i="25"/>
  <c r="K183" i="25"/>
  <c r="J183" i="25"/>
  <c r="I183" i="25"/>
  <c r="H183" i="25"/>
  <c r="G183" i="25"/>
  <c r="F183" i="25"/>
  <c r="E183" i="25"/>
  <c r="D183" i="25"/>
  <c r="B183" i="25"/>
  <c r="P182" i="25"/>
  <c r="O182" i="25"/>
  <c r="N182" i="25"/>
  <c r="M182" i="25"/>
  <c r="L182" i="25"/>
  <c r="K182" i="25"/>
  <c r="J182" i="25"/>
  <c r="I182" i="25"/>
  <c r="H182" i="25"/>
  <c r="G182" i="25"/>
  <c r="F182" i="25"/>
  <c r="E182" i="25"/>
  <c r="D182" i="25"/>
  <c r="B182" i="25"/>
  <c r="B179" i="25"/>
  <c r="B177" i="25"/>
  <c r="P172" i="25"/>
  <c r="O172" i="25"/>
  <c r="N172" i="25"/>
  <c r="M172" i="25"/>
  <c r="L172" i="25"/>
  <c r="K172" i="25"/>
  <c r="J172" i="25"/>
  <c r="I172" i="25"/>
  <c r="H172" i="25"/>
  <c r="G172" i="25"/>
  <c r="F172" i="25"/>
  <c r="E172" i="25"/>
  <c r="D172" i="25"/>
  <c r="P171" i="25"/>
  <c r="O171" i="25"/>
  <c r="N171" i="25"/>
  <c r="M171" i="25"/>
  <c r="L171" i="25"/>
  <c r="K171" i="25"/>
  <c r="J171" i="25"/>
  <c r="I171" i="25"/>
  <c r="H171" i="25"/>
  <c r="G171" i="25"/>
  <c r="F171" i="25"/>
  <c r="E171" i="25"/>
  <c r="D171" i="25"/>
  <c r="B169" i="25"/>
  <c r="P164" i="25"/>
  <c r="O164" i="25"/>
  <c r="N164" i="25"/>
  <c r="M164" i="25"/>
  <c r="L164" i="25"/>
  <c r="K164" i="25"/>
  <c r="J164" i="25"/>
  <c r="I164" i="25"/>
  <c r="H164" i="25"/>
  <c r="G164" i="25"/>
  <c r="F164" i="25"/>
  <c r="E164" i="25"/>
  <c r="D164" i="25"/>
  <c r="B164" i="25"/>
  <c r="P163" i="25"/>
  <c r="O163" i="25"/>
  <c r="N163" i="25"/>
  <c r="M163" i="25"/>
  <c r="L163" i="25"/>
  <c r="K163" i="25"/>
  <c r="J163" i="25"/>
  <c r="I163" i="25"/>
  <c r="H163" i="25"/>
  <c r="G163" i="25"/>
  <c r="F163" i="25"/>
  <c r="E163" i="25"/>
  <c r="D163" i="25"/>
  <c r="B163" i="25"/>
  <c r="P162" i="25"/>
  <c r="O162" i="25"/>
  <c r="N162" i="25"/>
  <c r="M162" i="25"/>
  <c r="L162" i="25"/>
  <c r="K162" i="25"/>
  <c r="J162" i="25"/>
  <c r="I162" i="25"/>
  <c r="H162" i="25"/>
  <c r="G162" i="25"/>
  <c r="F162" i="25"/>
  <c r="E162" i="25"/>
  <c r="D162" i="25"/>
  <c r="B162" i="25"/>
  <c r="B160" i="25"/>
  <c r="Z159" i="25"/>
  <c r="Y159" i="25"/>
  <c r="X159" i="25"/>
  <c r="W159" i="25"/>
  <c r="V159" i="25"/>
  <c r="U159" i="25"/>
  <c r="T159" i="25"/>
  <c r="S159" i="25"/>
  <c r="R159" i="25"/>
  <c r="Q159" i="25"/>
  <c r="O159" i="25"/>
  <c r="L159" i="25"/>
  <c r="K159" i="25"/>
  <c r="G159" i="25"/>
  <c r="D159" i="25"/>
  <c r="P155" i="25"/>
  <c r="O155" i="25"/>
  <c r="N155" i="25"/>
  <c r="M155" i="25"/>
  <c r="L155" i="25"/>
  <c r="K155" i="25"/>
  <c r="J155" i="25"/>
  <c r="I155" i="25"/>
  <c r="H155" i="25"/>
  <c r="G155" i="25"/>
  <c r="F155" i="25"/>
  <c r="E155" i="25"/>
  <c r="D155" i="25"/>
  <c r="B155" i="25"/>
  <c r="P154" i="25"/>
  <c r="O154" i="25"/>
  <c r="N154" i="25"/>
  <c r="M154" i="25"/>
  <c r="L154" i="25"/>
  <c r="K154" i="25"/>
  <c r="J154" i="25"/>
  <c r="I154" i="25"/>
  <c r="H154" i="25"/>
  <c r="G154" i="25"/>
  <c r="F154" i="25"/>
  <c r="E154" i="25"/>
  <c r="D154" i="25"/>
  <c r="B154" i="25"/>
  <c r="P151" i="25"/>
  <c r="Q151" i="25" s="1"/>
  <c r="R151" i="25" s="1"/>
  <c r="S151" i="25" s="1"/>
  <c r="T151" i="25" s="1"/>
  <c r="U151" i="25" s="1"/>
  <c r="V151" i="25" s="1"/>
  <c r="W151" i="25" s="1"/>
  <c r="X151" i="25" s="1"/>
  <c r="Y151" i="25" s="1"/>
  <c r="Z151" i="25" s="1"/>
  <c r="O151" i="25"/>
  <c r="N151" i="25"/>
  <c r="M151" i="25"/>
  <c r="L151" i="25"/>
  <c r="K151" i="25"/>
  <c r="J151" i="25"/>
  <c r="I151" i="25"/>
  <c r="H151" i="25"/>
  <c r="G151" i="25"/>
  <c r="F151" i="25"/>
  <c r="E151" i="25"/>
  <c r="D151" i="25"/>
  <c r="B151" i="25"/>
  <c r="B149" i="25"/>
  <c r="P148" i="25"/>
  <c r="Q148" i="25" s="1"/>
  <c r="R148" i="25" s="1"/>
  <c r="S148" i="25" s="1"/>
  <c r="T148" i="25" s="1"/>
  <c r="U148" i="25" s="1"/>
  <c r="V148" i="25" s="1"/>
  <c r="W148" i="25" s="1"/>
  <c r="X148" i="25" s="1"/>
  <c r="Y148" i="25" s="1"/>
  <c r="Z148" i="25" s="1"/>
  <c r="O148" i="25"/>
  <c r="N148" i="25"/>
  <c r="M148" i="25"/>
  <c r="L148" i="25"/>
  <c r="K148" i="25"/>
  <c r="J148" i="25"/>
  <c r="I148" i="25"/>
  <c r="H148" i="25"/>
  <c r="G148" i="25"/>
  <c r="F148" i="25"/>
  <c r="E148" i="25"/>
  <c r="D148" i="25"/>
  <c r="B148" i="25"/>
  <c r="B146" i="25"/>
  <c r="P145" i="25"/>
  <c r="O145" i="25"/>
  <c r="O146" i="25" s="1"/>
  <c r="O147" i="25" s="1"/>
  <c r="N145" i="25"/>
  <c r="M145" i="25"/>
  <c r="M146" i="25" s="1"/>
  <c r="M147" i="25" s="1"/>
  <c r="L145" i="25"/>
  <c r="L146" i="25" s="1"/>
  <c r="K145" i="25"/>
  <c r="K146" i="25" s="1"/>
  <c r="J145" i="25"/>
  <c r="J146" i="25" s="1"/>
  <c r="J147" i="25" s="1"/>
  <c r="I145" i="25"/>
  <c r="I146" i="25" s="1"/>
  <c r="H145" i="25"/>
  <c r="G145" i="25"/>
  <c r="G146" i="25" s="1"/>
  <c r="G147" i="25" s="1"/>
  <c r="F145" i="25"/>
  <c r="F146" i="25" s="1"/>
  <c r="E145" i="25"/>
  <c r="E146" i="25" s="1"/>
  <c r="E147" i="25" s="1"/>
  <c r="D145" i="25"/>
  <c r="D146" i="25" s="1"/>
  <c r="B145" i="25"/>
  <c r="B141" i="25"/>
  <c r="P139" i="25"/>
  <c r="O139" i="25"/>
  <c r="N139" i="25"/>
  <c r="M139" i="25"/>
  <c r="L139" i="25"/>
  <c r="K139" i="25"/>
  <c r="J139" i="25"/>
  <c r="I139" i="25"/>
  <c r="H139" i="25"/>
  <c r="G139" i="25"/>
  <c r="F139" i="25"/>
  <c r="E139" i="25"/>
  <c r="D139" i="25"/>
  <c r="B139" i="25"/>
  <c r="P138" i="25"/>
  <c r="O138" i="25"/>
  <c r="N138" i="25"/>
  <c r="M138" i="25"/>
  <c r="L138" i="25"/>
  <c r="K138" i="25"/>
  <c r="J138" i="25"/>
  <c r="I138" i="25"/>
  <c r="H138" i="25"/>
  <c r="G138" i="25"/>
  <c r="F138" i="25"/>
  <c r="E138" i="25"/>
  <c r="D138" i="25"/>
  <c r="B138" i="25"/>
  <c r="P137" i="25"/>
  <c r="O137" i="25"/>
  <c r="N137" i="25"/>
  <c r="M137" i="25"/>
  <c r="L137" i="25"/>
  <c r="K137" i="25"/>
  <c r="J137" i="25"/>
  <c r="I137" i="25"/>
  <c r="H137" i="25"/>
  <c r="G137" i="25"/>
  <c r="F137" i="25"/>
  <c r="E137" i="25"/>
  <c r="D137" i="25"/>
  <c r="B137" i="25"/>
  <c r="P136" i="25"/>
  <c r="O136" i="25"/>
  <c r="N136" i="25"/>
  <c r="M136" i="25"/>
  <c r="L136" i="25"/>
  <c r="K136" i="25"/>
  <c r="J136" i="25"/>
  <c r="I136" i="25"/>
  <c r="H136" i="25"/>
  <c r="G136" i="25"/>
  <c r="F136" i="25"/>
  <c r="E136" i="25"/>
  <c r="D136" i="25"/>
  <c r="B136" i="25"/>
  <c r="P135" i="25"/>
  <c r="O135" i="25"/>
  <c r="N135" i="25"/>
  <c r="M135" i="25"/>
  <c r="L135" i="25"/>
  <c r="K135" i="25"/>
  <c r="J135" i="25"/>
  <c r="I135" i="25"/>
  <c r="H135" i="25"/>
  <c r="G135" i="25"/>
  <c r="F135" i="25"/>
  <c r="E135" i="25"/>
  <c r="D135" i="25"/>
  <c r="B135" i="25"/>
  <c r="P134" i="25"/>
  <c r="O134" i="25"/>
  <c r="N134" i="25"/>
  <c r="M134" i="25"/>
  <c r="L134" i="25"/>
  <c r="K134" i="25"/>
  <c r="J134" i="25"/>
  <c r="I134" i="25"/>
  <c r="H134" i="25"/>
  <c r="G134" i="25"/>
  <c r="F134" i="25"/>
  <c r="E134" i="25"/>
  <c r="D134" i="25"/>
  <c r="B134" i="25"/>
  <c r="P127" i="25"/>
  <c r="O127" i="25"/>
  <c r="N127" i="25"/>
  <c r="M127" i="25"/>
  <c r="L127" i="25"/>
  <c r="K127" i="25"/>
  <c r="J127" i="25"/>
  <c r="I127" i="25"/>
  <c r="H127" i="25"/>
  <c r="G127" i="25"/>
  <c r="F127" i="25"/>
  <c r="E127" i="25"/>
  <c r="D127" i="25"/>
  <c r="B127" i="25"/>
  <c r="P126" i="25"/>
  <c r="O126" i="25"/>
  <c r="N126" i="25"/>
  <c r="M126" i="25"/>
  <c r="L126" i="25"/>
  <c r="K126" i="25"/>
  <c r="J126" i="25"/>
  <c r="I126" i="25"/>
  <c r="H126" i="25"/>
  <c r="G126" i="25"/>
  <c r="F126" i="25"/>
  <c r="E126" i="25"/>
  <c r="D126" i="25"/>
  <c r="B126" i="25"/>
  <c r="P125" i="25"/>
  <c r="O125" i="25"/>
  <c r="N125" i="25"/>
  <c r="M125" i="25"/>
  <c r="L125" i="25"/>
  <c r="K125" i="25"/>
  <c r="J125" i="25"/>
  <c r="I125" i="25"/>
  <c r="H125" i="25"/>
  <c r="G125" i="25"/>
  <c r="F125" i="25"/>
  <c r="E125" i="25"/>
  <c r="D125" i="25"/>
  <c r="B125" i="25"/>
  <c r="P124" i="25"/>
  <c r="O124" i="25"/>
  <c r="N124" i="25"/>
  <c r="M124" i="25"/>
  <c r="L124" i="25"/>
  <c r="K124" i="25"/>
  <c r="J124" i="25"/>
  <c r="I124" i="25"/>
  <c r="H124" i="25"/>
  <c r="G124" i="25"/>
  <c r="F124" i="25"/>
  <c r="E124" i="25"/>
  <c r="D124" i="25"/>
  <c r="B124" i="25"/>
  <c r="P123" i="25"/>
  <c r="O123" i="25"/>
  <c r="N123" i="25"/>
  <c r="M123" i="25"/>
  <c r="L123" i="25"/>
  <c r="K123" i="25"/>
  <c r="J123" i="25"/>
  <c r="I123" i="25"/>
  <c r="H123" i="25"/>
  <c r="G123" i="25"/>
  <c r="F123" i="25"/>
  <c r="E123" i="25"/>
  <c r="D123" i="25"/>
  <c r="B123" i="25"/>
  <c r="P122" i="25"/>
  <c r="O122" i="25"/>
  <c r="N122" i="25"/>
  <c r="M122" i="25"/>
  <c r="L122" i="25"/>
  <c r="K122" i="25"/>
  <c r="J122" i="25"/>
  <c r="I122" i="25"/>
  <c r="H122" i="25"/>
  <c r="G122" i="25"/>
  <c r="F122" i="25"/>
  <c r="E122" i="25"/>
  <c r="D122" i="25"/>
  <c r="B122" i="25"/>
  <c r="P120" i="25"/>
  <c r="O120" i="25"/>
  <c r="N120" i="25"/>
  <c r="M120" i="25"/>
  <c r="L120" i="25"/>
  <c r="K120" i="25"/>
  <c r="J120" i="25"/>
  <c r="I120" i="25"/>
  <c r="H120" i="25"/>
  <c r="G120" i="25"/>
  <c r="F120" i="25"/>
  <c r="E120" i="25"/>
  <c r="D120" i="25"/>
  <c r="B120" i="25"/>
  <c r="P119" i="25"/>
  <c r="O119" i="25"/>
  <c r="N119" i="25"/>
  <c r="M119" i="25"/>
  <c r="L119" i="25"/>
  <c r="K119" i="25"/>
  <c r="J119" i="25"/>
  <c r="I119" i="25"/>
  <c r="H119" i="25"/>
  <c r="G119" i="25"/>
  <c r="F119" i="25"/>
  <c r="E119" i="25"/>
  <c r="D119" i="25"/>
  <c r="B119" i="25"/>
  <c r="P118" i="25"/>
  <c r="O118" i="25"/>
  <c r="N118" i="25"/>
  <c r="M118" i="25"/>
  <c r="L118" i="25"/>
  <c r="K118" i="25"/>
  <c r="J118" i="25"/>
  <c r="I118" i="25"/>
  <c r="H118" i="25"/>
  <c r="G118" i="25"/>
  <c r="F118" i="25"/>
  <c r="E118" i="25"/>
  <c r="D118" i="25"/>
  <c r="B118" i="25"/>
  <c r="P117" i="25"/>
  <c r="O117" i="25"/>
  <c r="N117" i="25"/>
  <c r="M117" i="25"/>
  <c r="L117" i="25"/>
  <c r="K117" i="25"/>
  <c r="J117" i="25"/>
  <c r="I117" i="25"/>
  <c r="H117" i="25"/>
  <c r="G117" i="25"/>
  <c r="F117" i="25"/>
  <c r="E117" i="25"/>
  <c r="D117" i="25"/>
  <c r="B117" i="25"/>
  <c r="Z116" i="25"/>
  <c r="Y116" i="25"/>
  <c r="X116" i="25"/>
  <c r="W116" i="25"/>
  <c r="V116" i="25"/>
  <c r="U116" i="25"/>
  <c r="T116" i="25"/>
  <c r="S116" i="25"/>
  <c r="R116" i="25"/>
  <c r="Q116" i="25"/>
  <c r="P116" i="25"/>
  <c r="O116" i="25"/>
  <c r="N116" i="25"/>
  <c r="M116" i="25"/>
  <c r="L116" i="25"/>
  <c r="K116" i="25"/>
  <c r="J116" i="25"/>
  <c r="I116" i="25"/>
  <c r="H116" i="25"/>
  <c r="G116" i="25"/>
  <c r="F116" i="25"/>
  <c r="E116" i="25"/>
  <c r="D116" i="25"/>
  <c r="B116" i="25"/>
  <c r="P115" i="25"/>
  <c r="O115" i="25"/>
  <c r="N115" i="25"/>
  <c r="M115" i="25"/>
  <c r="L115" i="25"/>
  <c r="K115" i="25"/>
  <c r="J115" i="25"/>
  <c r="I115" i="25"/>
  <c r="H115" i="25"/>
  <c r="G115" i="25"/>
  <c r="F115" i="25"/>
  <c r="E115" i="25"/>
  <c r="D115" i="25"/>
  <c r="B115" i="25"/>
  <c r="P109" i="25"/>
  <c r="O109" i="25"/>
  <c r="N109" i="25"/>
  <c r="M109" i="25"/>
  <c r="L109" i="25"/>
  <c r="K109" i="25"/>
  <c r="J109" i="25"/>
  <c r="I109" i="25"/>
  <c r="H109" i="25"/>
  <c r="G109" i="25"/>
  <c r="F109" i="25"/>
  <c r="E109" i="25"/>
  <c r="D109" i="25"/>
  <c r="B109" i="25"/>
  <c r="P108" i="25"/>
  <c r="O108" i="25"/>
  <c r="N108" i="25"/>
  <c r="M108" i="25"/>
  <c r="L108" i="25"/>
  <c r="K108" i="25"/>
  <c r="J108" i="25"/>
  <c r="I108" i="25"/>
  <c r="H108" i="25"/>
  <c r="G108" i="25"/>
  <c r="F108" i="25"/>
  <c r="E108" i="25"/>
  <c r="D108" i="25"/>
  <c r="B108" i="25"/>
  <c r="P107" i="25"/>
  <c r="P494" i="25" s="1"/>
  <c r="O107" i="25"/>
  <c r="O494" i="25" s="1"/>
  <c r="N107" i="25"/>
  <c r="N494" i="25" s="1"/>
  <c r="M107" i="25"/>
  <c r="M494" i="25" s="1"/>
  <c r="L107" i="25"/>
  <c r="L494" i="25" s="1"/>
  <c r="K107" i="25"/>
  <c r="K494" i="25" s="1"/>
  <c r="J107" i="25"/>
  <c r="I107" i="25"/>
  <c r="I494" i="25" s="1"/>
  <c r="H107" i="25"/>
  <c r="H494" i="25" s="1"/>
  <c r="G107" i="25"/>
  <c r="G494" i="25" s="1"/>
  <c r="F107" i="25"/>
  <c r="F494" i="25" s="1"/>
  <c r="E107" i="25"/>
  <c r="E494" i="25" s="1"/>
  <c r="D107" i="25"/>
  <c r="D494" i="25" s="1"/>
  <c r="B107" i="25"/>
  <c r="P104" i="25"/>
  <c r="O104" i="25"/>
  <c r="N104" i="25"/>
  <c r="M104" i="25"/>
  <c r="L104" i="25"/>
  <c r="K104" i="25"/>
  <c r="J104" i="25"/>
  <c r="I104" i="25"/>
  <c r="H104" i="25"/>
  <c r="G104" i="25"/>
  <c r="F104" i="25"/>
  <c r="E104" i="25"/>
  <c r="D104" i="25"/>
  <c r="B104" i="25"/>
  <c r="P103" i="25"/>
  <c r="O103" i="25"/>
  <c r="N103" i="25"/>
  <c r="M103" i="25"/>
  <c r="L103" i="25"/>
  <c r="K103" i="25"/>
  <c r="J103" i="25"/>
  <c r="I103" i="25"/>
  <c r="H103" i="25"/>
  <c r="G103" i="25"/>
  <c r="F103" i="25"/>
  <c r="E103" i="25"/>
  <c r="D103" i="25"/>
  <c r="B103" i="25"/>
  <c r="P102" i="25"/>
  <c r="O102" i="25"/>
  <c r="N102" i="25"/>
  <c r="M102" i="25"/>
  <c r="L102" i="25"/>
  <c r="K102" i="25"/>
  <c r="J102" i="25"/>
  <c r="I102" i="25"/>
  <c r="H102" i="25"/>
  <c r="G102" i="25"/>
  <c r="F102" i="25"/>
  <c r="E102" i="25"/>
  <c r="D102" i="25"/>
  <c r="B102" i="25"/>
  <c r="P101" i="25"/>
  <c r="O101" i="25"/>
  <c r="N101" i="25"/>
  <c r="M101" i="25"/>
  <c r="L101" i="25"/>
  <c r="K101" i="25"/>
  <c r="J101" i="25"/>
  <c r="I101" i="25"/>
  <c r="H101" i="25"/>
  <c r="G101" i="25"/>
  <c r="F101" i="25"/>
  <c r="E101" i="25"/>
  <c r="D101" i="25"/>
  <c r="B101" i="25"/>
  <c r="P100" i="25"/>
  <c r="O100" i="25"/>
  <c r="N100" i="25"/>
  <c r="M100" i="25"/>
  <c r="L100" i="25"/>
  <c r="K100" i="25"/>
  <c r="J100" i="25"/>
  <c r="I100" i="25"/>
  <c r="H100" i="25"/>
  <c r="G100" i="25"/>
  <c r="F100" i="25"/>
  <c r="E100" i="25"/>
  <c r="D100" i="25"/>
  <c r="B100" i="25"/>
  <c r="P96" i="25"/>
  <c r="O96" i="25"/>
  <c r="N96" i="25"/>
  <c r="M96" i="25"/>
  <c r="L96" i="25"/>
  <c r="K96" i="25"/>
  <c r="J96" i="25"/>
  <c r="I96" i="25"/>
  <c r="H96" i="25"/>
  <c r="G96" i="25"/>
  <c r="F96" i="25"/>
  <c r="E96" i="25"/>
  <c r="D96" i="25"/>
  <c r="B96" i="25"/>
  <c r="K95" i="25"/>
  <c r="J95" i="25"/>
  <c r="I95" i="25"/>
  <c r="H95" i="25"/>
  <c r="G95" i="25"/>
  <c r="F95" i="25"/>
  <c r="E95" i="25"/>
  <c r="D95" i="25"/>
  <c r="B95" i="25"/>
  <c r="P94" i="25"/>
  <c r="O94" i="25"/>
  <c r="N94" i="25"/>
  <c r="M94" i="25"/>
  <c r="L94" i="25"/>
  <c r="K94" i="25"/>
  <c r="J94" i="25"/>
  <c r="I94" i="25"/>
  <c r="H94" i="25"/>
  <c r="G94" i="25"/>
  <c r="F94" i="25"/>
  <c r="E94" i="25"/>
  <c r="D94" i="25"/>
  <c r="B94" i="25"/>
  <c r="P92" i="25"/>
  <c r="O92" i="25"/>
  <c r="N92" i="25"/>
  <c r="M92" i="25"/>
  <c r="L92" i="25"/>
  <c r="K92" i="25"/>
  <c r="J92" i="25"/>
  <c r="I92" i="25"/>
  <c r="H92" i="25"/>
  <c r="G92" i="25"/>
  <c r="F92" i="25"/>
  <c r="E92" i="25"/>
  <c r="D92" i="25"/>
  <c r="B92" i="25"/>
  <c r="P91" i="25"/>
  <c r="O91" i="25"/>
  <c r="N91" i="25"/>
  <c r="M91" i="25"/>
  <c r="L91" i="25"/>
  <c r="K91" i="25"/>
  <c r="J91" i="25"/>
  <c r="I91" i="25"/>
  <c r="H91" i="25"/>
  <c r="G91" i="25"/>
  <c r="F91" i="25"/>
  <c r="E91" i="25"/>
  <c r="D91" i="25"/>
  <c r="B91" i="25"/>
  <c r="P90" i="25"/>
  <c r="O90" i="25"/>
  <c r="N90" i="25"/>
  <c r="M90" i="25"/>
  <c r="L90" i="25"/>
  <c r="K90" i="25"/>
  <c r="J90" i="25"/>
  <c r="I90" i="25"/>
  <c r="H90" i="25"/>
  <c r="G90" i="25"/>
  <c r="F90" i="25"/>
  <c r="E90" i="25"/>
  <c r="D90" i="25"/>
  <c r="B90" i="25"/>
  <c r="P89" i="25"/>
  <c r="O89" i="25"/>
  <c r="N89" i="25"/>
  <c r="M89" i="25"/>
  <c r="L89" i="25"/>
  <c r="K89" i="25"/>
  <c r="J89" i="25"/>
  <c r="I89" i="25"/>
  <c r="H89" i="25"/>
  <c r="G89" i="25"/>
  <c r="F89" i="25"/>
  <c r="E89" i="25"/>
  <c r="D89" i="25"/>
  <c r="B89" i="25"/>
  <c r="P88" i="25"/>
  <c r="O88" i="25"/>
  <c r="N88" i="25"/>
  <c r="M88" i="25"/>
  <c r="L88" i="25"/>
  <c r="K88" i="25"/>
  <c r="J88" i="25"/>
  <c r="I88" i="25"/>
  <c r="H88" i="25"/>
  <c r="G88" i="25"/>
  <c r="F88" i="25"/>
  <c r="E88" i="25"/>
  <c r="D88" i="25"/>
  <c r="B88" i="25"/>
  <c r="P84" i="25"/>
  <c r="O84" i="25"/>
  <c r="N84" i="25"/>
  <c r="M84" i="25"/>
  <c r="L84" i="25"/>
  <c r="K84" i="25"/>
  <c r="J84" i="25"/>
  <c r="I84" i="25"/>
  <c r="H84" i="25"/>
  <c r="G84" i="25"/>
  <c r="F84" i="25"/>
  <c r="E84" i="25"/>
  <c r="D84" i="25"/>
  <c r="B84" i="25"/>
  <c r="B83" i="25"/>
  <c r="P80" i="25"/>
  <c r="O80" i="25"/>
  <c r="N80" i="25"/>
  <c r="M80" i="25"/>
  <c r="L80" i="25"/>
  <c r="K80" i="25"/>
  <c r="J80" i="25"/>
  <c r="I80" i="25"/>
  <c r="H80" i="25"/>
  <c r="G80" i="25"/>
  <c r="F80" i="25"/>
  <c r="E80" i="25"/>
  <c r="D80" i="25"/>
  <c r="B80" i="25"/>
  <c r="P79" i="25"/>
  <c r="O79" i="25"/>
  <c r="N79" i="25"/>
  <c r="M79" i="25"/>
  <c r="L79" i="25"/>
  <c r="K79" i="25"/>
  <c r="J79" i="25"/>
  <c r="I79" i="25"/>
  <c r="H79" i="25"/>
  <c r="G79" i="25"/>
  <c r="F79" i="25"/>
  <c r="E79" i="25"/>
  <c r="D79" i="25"/>
  <c r="B79" i="25"/>
  <c r="P77" i="25"/>
  <c r="O77" i="25"/>
  <c r="N77" i="25"/>
  <c r="M77" i="25"/>
  <c r="L77" i="25"/>
  <c r="K77" i="25"/>
  <c r="J77" i="25"/>
  <c r="I77" i="25"/>
  <c r="H77" i="25"/>
  <c r="G77" i="25"/>
  <c r="F77" i="25"/>
  <c r="E77" i="25"/>
  <c r="D77" i="25"/>
  <c r="B77" i="25"/>
  <c r="P76" i="25"/>
  <c r="O76" i="25"/>
  <c r="N76" i="25"/>
  <c r="M76" i="25"/>
  <c r="L76" i="25"/>
  <c r="K76" i="25"/>
  <c r="J76" i="25"/>
  <c r="I76" i="25"/>
  <c r="H76" i="25"/>
  <c r="G76" i="25"/>
  <c r="F76" i="25"/>
  <c r="E76" i="25"/>
  <c r="D76" i="25"/>
  <c r="B76" i="25"/>
  <c r="P75" i="25"/>
  <c r="O75" i="25"/>
  <c r="N75" i="25"/>
  <c r="M75" i="25"/>
  <c r="L75" i="25"/>
  <c r="K75" i="25"/>
  <c r="J75" i="25"/>
  <c r="I75" i="25"/>
  <c r="H75" i="25"/>
  <c r="G75" i="25"/>
  <c r="F75" i="25"/>
  <c r="E75" i="25"/>
  <c r="D75" i="25"/>
  <c r="B75" i="25"/>
  <c r="P74" i="25"/>
  <c r="O74" i="25"/>
  <c r="N74" i="25"/>
  <c r="M74" i="25"/>
  <c r="L74" i="25"/>
  <c r="K74" i="25"/>
  <c r="J74" i="25"/>
  <c r="I74" i="25"/>
  <c r="H74" i="25"/>
  <c r="G74" i="25"/>
  <c r="F74" i="25"/>
  <c r="E74" i="25"/>
  <c r="D74" i="25"/>
  <c r="B74" i="25"/>
  <c r="P73" i="25"/>
  <c r="O73" i="25"/>
  <c r="N73" i="25"/>
  <c r="M73" i="25"/>
  <c r="L73" i="25"/>
  <c r="K73" i="25"/>
  <c r="J73" i="25"/>
  <c r="I73" i="25"/>
  <c r="H73" i="25"/>
  <c r="G73" i="25"/>
  <c r="F73" i="25"/>
  <c r="E73" i="25"/>
  <c r="D73" i="25"/>
  <c r="B73" i="25"/>
  <c r="P72" i="25"/>
  <c r="O72" i="25"/>
  <c r="N72" i="25"/>
  <c r="M72" i="25"/>
  <c r="L72" i="25"/>
  <c r="K72" i="25"/>
  <c r="J72" i="25"/>
  <c r="I72" i="25"/>
  <c r="H72" i="25"/>
  <c r="G72" i="25"/>
  <c r="F72" i="25"/>
  <c r="E72" i="25"/>
  <c r="D72" i="25"/>
  <c r="B72" i="25"/>
  <c r="P71" i="25"/>
  <c r="O71" i="25"/>
  <c r="N71" i="25"/>
  <c r="M71" i="25"/>
  <c r="L71" i="25"/>
  <c r="K71" i="25"/>
  <c r="J71" i="25"/>
  <c r="I71" i="25"/>
  <c r="H71" i="25"/>
  <c r="G71" i="25"/>
  <c r="F71" i="25"/>
  <c r="E71" i="25"/>
  <c r="D71" i="25"/>
  <c r="B71" i="25"/>
  <c r="P70" i="25"/>
  <c r="O70" i="25"/>
  <c r="N70" i="25"/>
  <c r="M70" i="25"/>
  <c r="L70" i="25"/>
  <c r="K70" i="25"/>
  <c r="J70" i="25"/>
  <c r="I70" i="25"/>
  <c r="H70" i="25"/>
  <c r="G70" i="25"/>
  <c r="F70" i="25"/>
  <c r="E70" i="25"/>
  <c r="D70" i="25"/>
  <c r="B70" i="25"/>
  <c r="B67" i="25"/>
  <c r="B66" i="25"/>
  <c r="B61" i="25"/>
  <c r="P59" i="25"/>
  <c r="O59" i="25"/>
  <c r="N59" i="25"/>
  <c r="M59" i="25"/>
  <c r="L59" i="25"/>
  <c r="K59" i="25"/>
  <c r="J59" i="25"/>
  <c r="I59" i="25"/>
  <c r="H59" i="25"/>
  <c r="G59" i="25"/>
  <c r="F59" i="25"/>
  <c r="E59" i="25"/>
  <c r="D59" i="25"/>
  <c r="B59" i="25"/>
  <c r="B52" i="25"/>
  <c r="P44" i="25"/>
  <c r="O44" i="25"/>
  <c r="N44" i="25"/>
  <c r="M44" i="25"/>
  <c r="L44" i="25"/>
  <c r="K44" i="25"/>
  <c r="J44" i="25"/>
  <c r="I44" i="25"/>
  <c r="H44" i="25"/>
  <c r="G44" i="25"/>
  <c r="F44" i="25"/>
  <c r="E44" i="25"/>
  <c r="D44" i="25"/>
  <c r="B44" i="25"/>
  <c r="P43" i="25"/>
  <c r="O43" i="25"/>
  <c r="N43" i="25"/>
  <c r="M43" i="25"/>
  <c r="L43" i="25"/>
  <c r="K43" i="25"/>
  <c r="J43" i="25"/>
  <c r="I43" i="25"/>
  <c r="H43" i="25"/>
  <c r="G43" i="25"/>
  <c r="F43" i="25"/>
  <c r="E43" i="25"/>
  <c r="D43" i="25"/>
  <c r="B43" i="25"/>
  <c r="P40" i="25"/>
  <c r="O40" i="25"/>
  <c r="N40" i="25"/>
  <c r="M40" i="25"/>
  <c r="L40" i="25"/>
  <c r="K40" i="25"/>
  <c r="J40" i="25"/>
  <c r="I40" i="25"/>
  <c r="H40" i="25"/>
  <c r="G40" i="25"/>
  <c r="F40" i="25"/>
  <c r="E40" i="25"/>
  <c r="D40" i="25"/>
  <c r="B40" i="25"/>
  <c r="P38" i="25"/>
  <c r="O38" i="25"/>
  <c r="N38" i="25"/>
  <c r="M38" i="25"/>
  <c r="L38" i="25"/>
  <c r="K38" i="25"/>
  <c r="J38" i="25"/>
  <c r="I38" i="25"/>
  <c r="H38" i="25"/>
  <c r="G38" i="25"/>
  <c r="F38" i="25"/>
  <c r="E38" i="25"/>
  <c r="D38" i="25"/>
  <c r="N37" i="25"/>
  <c r="M37" i="25"/>
  <c r="L37" i="25"/>
  <c r="K37" i="25"/>
  <c r="F37" i="25"/>
  <c r="E37" i="25"/>
  <c r="P30" i="25"/>
  <c r="O30" i="25"/>
  <c r="N30" i="25"/>
  <c r="M30" i="25"/>
  <c r="L30" i="25"/>
  <c r="K30" i="25"/>
  <c r="J30" i="25"/>
  <c r="I30" i="25"/>
  <c r="H30" i="25"/>
  <c r="G30" i="25"/>
  <c r="F30" i="25"/>
  <c r="E30" i="25"/>
  <c r="D30" i="25"/>
  <c r="A29" i="25"/>
  <c r="P28" i="25"/>
  <c r="O28" i="25"/>
  <c r="P29" i="25" s="1"/>
  <c r="N28" i="25"/>
  <c r="M28" i="25"/>
  <c r="N29" i="25" s="1"/>
  <c r="L28" i="25"/>
  <c r="M29" i="25" s="1"/>
  <c r="K28" i="25"/>
  <c r="K29" i="25" s="1"/>
  <c r="J28" i="25"/>
  <c r="J29" i="25" s="1"/>
  <c r="I28" i="25"/>
  <c r="I29" i="25" s="1"/>
  <c r="H28" i="25"/>
  <c r="G28" i="25"/>
  <c r="H29" i="25" s="1"/>
  <c r="F28" i="25"/>
  <c r="E28" i="25"/>
  <c r="F29" i="25" s="1"/>
  <c r="D28" i="25"/>
  <c r="E29" i="25" s="1"/>
  <c r="P26" i="25"/>
  <c r="O26" i="25"/>
  <c r="N26" i="25"/>
  <c r="M26" i="25"/>
  <c r="L26" i="25"/>
  <c r="K26" i="25"/>
  <c r="J26" i="25"/>
  <c r="I26" i="25"/>
  <c r="H26" i="25"/>
  <c r="G26" i="25"/>
  <c r="F26" i="25"/>
  <c r="E26" i="25"/>
  <c r="D26" i="25"/>
  <c r="P25" i="25"/>
  <c r="O25" i="25"/>
  <c r="N25" i="25"/>
  <c r="M25" i="25"/>
  <c r="L25" i="25"/>
  <c r="K25" i="25"/>
  <c r="J25" i="25"/>
  <c r="I25" i="25"/>
  <c r="H25" i="25"/>
  <c r="G25" i="25"/>
  <c r="F25" i="25"/>
  <c r="E25" i="25"/>
  <c r="D25" i="25"/>
  <c r="P24" i="25"/>
  <c r="O24" i="25"/>
  <c r="N24" i="25"/>
  <c r="M24" i="25"/>
  <c r="L24" i="25"/>
  <c r="K24" i="25"/>
  <c r="J24" i="25"/>
  <c r="I24" i="25"/>
  <c r="H24" i="25"/>
  <c r="G24" i="25"/>
  <c r="F24" i="25"/>
  <c r="E24" i="25"/>
  <c r="D24" i="25"/>
  <c r="P23" i="25"/>
  <c r="O23" i="25"/>
  <c r="N23" i="25"/>
  <c r="M23" i="25"/>
  <c r="L23" i="25"/>
  <c r="K23" i="25"/>
  <c r="J23" i="25"/>
  <c r="I23" i="25"/>
  <c r="H23" i="25"/>
  <c r="G23" i="25"/>
  <c r="F23" i="25"/>
  <c r="E23" i="25"/>
  <c r="D23" i="25"/>
  <c r="A22" i="25"/>
  <c r="Q21" i="25"/>
  <c r="R21" i="25" s="1"/>
  <c r="P21" i="25"/>
  <c r="O21" i="25"/>
  <c r="P22" i="25" s="1"/>
  <c r="N21" i="25"/>
  <c r="O22" i="25" s="1"/>
  <c r="M21" i="25"/>
  <c r="M22" i="25" s="1"/>
  <c r="L21" i="25"/>
  <c r="L22" i="25" s="1"/>
  <c r="K21" i="25"/>
  <c r="K22" i="25" s="1"/>
  <c r="J21" i="25"/>
  <c r="J22" i="25" s="1"/>
  <c r="I21" i="25"/>
  <c r="I22" i="25" s="1"/>
  <c r="H21" i="25"/>
  <c r="G21" i="25"/>
  <c r="H22" i="25" s="1"/>
  <c r="F21" i="25"/>
  <c r="G22" i="25" s="1"/>
  <c r="E21" i="25"/>
  <c r="E22" i="25" s="1"/>
  <c r="D21" i="25"/>
  <c r="N20" i="25"/>
  <c r="M20" i="25"/>
  <c r="F20" i="25"/>
  <c r="E20" i="25"/>
  <c r="A19" i="25"/>
  <c r="P18" i="25"/>
  <c r="Q18" i="25" s="1"/>
  <c r="O18" i="25"/>
  <c r="N18" i="25"/>
  <c r="O19" i="25" s="1"/>
  <c r="M18" i="25"/>
  <c r="L18" i="25"/>
  <c r="M19" i="25" s="1"/>
  <c r="K18" i="25"/>
  <c r="L19" i="25" s="1"/>
  <c r="J18" i="25"/>
  <c r="J19" i="25" s="1"/>
  <c r="I18" i="25"/>
  <c r="I19" i="25" s="1"/>
  <c r="H18" i="25"/>
  <c r="H19" i="25" s="1"/>
  <c r="G18" i="25"/>
  <c r="G19" i="25" s="1"/>
  <c r="F18" i="25"/>
  <c r="F19" i="25" s="1"/>
  <c r="E18" i="25"/>
  <c r="D18" i="25"/>
  <c r="E19" i="25" s="1"/>
  <c r="A17" i="25"/>
  <c r="P16" i="25"/>
  <c r="P17" i="25" s="1"/>
  <c r="O16" i="25"/>
  <c r="O17" i="25" s="1"/>
  <c r="N16" i="25"/>
  <c r="N17" i="25" s="1"/>
  <c r="M16" i="25"/>
  <c r="M17" i="25" s="1"/>
  <c r="L16" i="25"/>
  <c r="L17" i="25" s="1"/>
  <c r="K16" i="25"/>
  <c r="K20" i="25" s="1"/>
  <c r="J16" i="25"/>
  <c r="J20" i="25" s="1"/>
  <c r="I16" i="25"/>
  <c r="I20" i="25" s="1"/>
  <c r="H16" i="25"/>
  <c r="H17" i="25" s="1"/>
  <c r="G16" i="25"/>
  <c r="G17" i="25" s="1"/>
  <c r="F16" i="25"/>
  <c r="F17" i="25" s="1"/>
  <c r="E16" i="25"/>
  <c r="E17" i="25" s="1"/>
  <c r="D16" i="25"/>
  <c r="D20" i="25" s="1"/>
  <c r="A14" i="25"/>
  <c r="P13" i="25"/>
  <c r="O13" i="25"/>
  <c r="P14" i="25" s="1"/>
  <c r="N13" i="25"/>
  <c r="N14" i="25" s="1"/>
  <c r="M13" i="25"/>
  <c r="M14" i="25" s="1"/>
  <c r="L13" i="25"/>
  <c r="L14" i="25" s="1"/>
  <c r="K13" i="25"/>
  <c r="K14" i="25" s="1"/>
  <c r="J13" i="25"/>
  <c r="J14" i="25" s="1"/>
  <c r="I13" i="25"/>
  <c r="H13" i="25"/>
  <c r="I14" i="25" s="1"/>
  <c r="G13" i="25"/>
  <c r="H14" i="25" s="1"/>
  <c r="F13" i="25"/>
  <c r="F14" i="25" s="1"/>
  <c r="E13" i="25"/>
  <c r="E14" i="25" s="1"/>
  <c r="D13" i="25"/>
  <c r="O12" i="25"/>
  <c r="N12" i="25"/>
  <c r="G12" i="25"/>
  <c r="F12" i="25"/>
  <c r="P11" i="25"/>
  <c r="O11" i="25"/>
  <c r="N11" i="25"/>
  <c r="M11" i="25"/>
  <c r="M12" i="25" s="1"/>
  <c r="L11" i="25"/>
  <c r="L12" i="25" s="1"/>
  <c r="K11" i="25"/>
  <c r="K12" i="25" s="1"/>
  <c r="J11" i="25"/>
  <c r="J12" i="25" s="1"/>
  <c r="I11" i="25"/>
  <c r="I12" i="25" s="1"/>
  <c r="H11" i="25"/>
  <c r="H12" i="25" s="1"/>
  <c r="G11" i="25"/>
  <c r="F11" i="25"/>
  <c r="E11" i="25"/>
  <c r="E12" i="25" s="1"/>
  <c r="D11" i="25"/>
  <c r="C1" i="25"/>
  <c r="X168" i="25" s="1"/>
  <c r="K539" i="24"/>
  <c r="J539" i="24"/>
  <c r="I539" i="24"/>
  <c r="H539" i="24"/>
  <c r="G539" i="24"/>
  <c r="F539" i="24"/>
  <c r="E539" i="24"/>
  <c r="D539" i="24"/>
  <c r="B539" i="24"/>
  <c r="P538" i="24"/>
  <c r="O538" i="24"/>
  <c r="N538" i="24"/>
  <c r="M538" i="24"/>
  <c r="L538" i="24"/>
  <c r="K538" i="24"/>
  <c r="J538" i="24"/>
  <c r="I538" i="24"/>
  <c r="H538" i="24"/>
  <c r="G538" i="24"/>
  <c r="F538" i="24"/>
  <c r="E538" i="24"/>
  <c r="D538" i="24"/>
  <c r="B538" i="24"/>
  <c r="P537" i="24"/>
  <c r="O537" i="24"/>
  <c r="N537" i="24"/>
  <c r="M537" i="24"/>
  <c r="L537" i="24"/>
  <c r="K537" i="24"/>
  <c r="J537" i="24"/>
  <c r="I537" i="24"/>
  <c r="H537" i="24"/>
  <c r="G537" i="24"/>
  <c r="F537" i="24"/>
  <c r="E537" i="24"/>
  <c r="D537" i="24"/>
  <c r="B537" i="24"/>
  <c r="K536" i="24"/>
  <c r="J536" i="24"/>
  <c r="I536" i="24"/>
  <c r="H536" i="24"/>
  <c r="G536" i="24"/>
  <c r="F536" i="24"/>
  <c r="E536" i="24"/>
  <c r="D536" i="24"/>
  <c r="B536" i="24"/>
  <c r="K535" i="24"/>
  <c r="J535" i="24"/>
  <c r="I535" i="24"/>
  <c r="H535" i="24"/>
  <c r="G535" i="24"/>
  <c r="F535" i="24"/>
  <c r="E535" i="24"/>
  <c r="D535" i="24"/>
  <c r="B535" i="24"/>
  <c r="K534" i="24"/>
  <c r="J534" i="24"/>
  <c r="I534" i="24"/>
  <c r="H534" i="24"/>
  <c r="G534" i="24"/>
  <c r="F534" i="24"/>
  <c r="E534" i="24"/>
  <c r="D534" i="24"/>
  <c r="B534" i="24"/>
  <c r="K533" i="24"/>
  <c r="J533" i="24"/>
  <c r="I533" i="24"/>
  <c r="H533" i="24"/>
  <c r="G533" i="24"/>
  <c r="F533" i="24"/>
  <c r="E533" i="24"/>
  <c r="D533" i="24"/>
  <c r="B533" i="24"/>
  <c r="K529" i="24"/>
  <c r="J529" i="24"/>
  <c r="I529" i="24"/>
  <c r="H529" i="24"/>
  <c r="G529" i="24"/>
  <c r="F529" i="24"/>
  <c r="E529" i="24"/>
  <c r="D529" i="24"/>
  <c r="B529" i="24"/>
  <c r="K528" i="24"/>
  <c r="J528" i="24"/>
  <c r="I528" i="24"/>
  <c r="H528" i="24"/>
  <c r="G528" i="24"/>
  <c r="F528" i="24"/>
  <c r="E528" i="24"/>
  <c r="D528" i="24"/>
  <c r="B528" i="24"/>
  <c r="K527" i="24"/>
  <c r="J527" i="24"/>
  <c r="I527" i="24"/>
  <c r="H527" i="24"/>
  <c r="G527" i="24"/>
  <c r="F527" i="24"/>
  <c r="E527" i="24"/>
  <c r="D527" i="24"/>
  <c r="B527" i="24"/>
  <c r="K526" i="24"/>
  <c r="J526" i="24"/>
  <c r="I526" i="24"/>
  <c r="H526" i="24"/>
  <c r="G526" i="24"/>
  <c r="F526" i="24"/>
  <c r="E526" i="24"/>
  <c r="D526" i="24"/>
  <c r="B526" i="24"/>
  <c r="K525" i="24"/>
  <c r="J525" i="24"/>
  <c r="I525" i="24"/>
  <c r="H525" i="24"/>
  <c r="G525" i="24"/>
  <c r="F525" i="24"/>
  <c r="E525" i="24"/>
  <c r="D525" i="24"/>
  <c r="B525" i="24"/>
  <c r="B499" i="24"/>
  <c r="P495" i="24"/>
  <c r="O495" i="24"/>
  <c r="N495" i="24"/>
  <c r="M495" i="24"/>
  <c r="L495" i="24"/>
  <c r="K495" i="24"/>
  <c r="J495" i="24"/>
  <c r="I495" i="24"/>
  <c r="H495" i="24"/>
  <c r="G495" i="24"/>
  <c r="F495" i="24"/>
  <c r="E495" i="24"/>
  <c r="D495" i="24"/>
  <c r="B495" i="24"/>
  <c r="P493" i="24"/>
  <c r="O493" i="24"/>
  <c r="N493" i="24"/>
  <c r="M493" i="24"/>
  <c r="L493" i="24"/>
  <c r="K493" i="24"/>
  <c r="J493" i="24"/>
  <c r="I493" i="24"/>
  <c r="H493" i="24"/>
  <c r="G493" i="24"/>
  <c r="F493" i="24"/>
  <c r="E493" i="24"/>
  <c r="D493" i="24"/>
  <c r="B493" i="24"/>
  <c r="P492" i="24"/>
  <c r="O492" i="24"/>
  <c r="N492" i="24"/>
  <c r="M492" i="24"/>
  <c r="L492" i="24"/>
  <c r="K492" i="24"/>
  <c r="J492" i="24"/>
  <c r="I492" i="24"/>
  <c r="H492" i="24"/>
  <c r="G492" i="24"/>
  <c r="F492" i="24"/>
  <c r="E492" i="24"/>
  <c r="D492" i="24"/>
  <c r="B492" i="24"/>
  <c r="B490" i="24"/>
  <c r="P485" i="24"/>
  <c r="O485" i="24"/>
  <c r="N485" i="24"/>
  <c r="M485" i="24"/>
  <c r="L485" i="24"/>
  <c r="K485" i="24"/>
  <c r="J485" i="24"/>
  <c r="I485" i="24"/>
  <c r="H485" i="24"/>
  <c r="G485" i="24"/>
  <c r="F485" i="24"/>
  <c r="E485" i="24"/>
  <c r="D485" i="24"/>
  <c r="B485" i="24"/>
  <c r="P484" i="24"/>
  <c r="O484" i="24"/>
  <c r="N484" i="24"/>
  <c r="M484" i="24"/>
  <c r="L484" i="24"/>
  <c r="K484" i="24"/>
  <c r="J484" i="24"/>
  <c r="I484" i="24"/>
  <c r="H484" i="24"/>
  <c r="G484" i="24"/>
  <c r="F484" i="24"/>
  <c r="E484" i="24"/>
  <c r="D484" i="24"/>
  <c r="B484" i="24"/>
  <c r="P483" i="24"/>
  <c r="O483" i="24"/>
  <c r="N483" i="24"/>
  <c r="M483" i="24"/>
  <c r="L483" i="24"/>
  <c r="K483" i="24"/>
  <c r="J483" i="24"/>
  <c r="I483" i="24"/>
  <c r="H483" i="24"/>
  <c r="G483" i="24"/>
  <c r="F483" i="24"/>
  <c r="E483" i="24"/>
  <c r="D483" i="24"/>
  <c r="B483" i="24"/>
  <c r="P480" i="24"/>
  <c r="O480" i="24"/>
  <c r="N480" i="24"/>
  <c r="M480" i="24"/>
  <c r="L480" i="24"/>
  <c r="K480" i="24"/>
  <c r="J480" i="24"/>
  <c r="I480" i="24"/>
  <c r="H480" i="24"/>
  <c r="G480" i="24"/>
  <c r="F480" i="24"/>
  <c r="E480" i="24"/>
  <c r="D480" i="24"/>
  <c r="B480" i="24"/>
  <c r="K479" i="24"/>
  <c r="J479" i="24"/>
  <c r="I479" i="24"/>
  <c r="H479" i="24"/>
  <c r="G479" i="24"/>
  <c r="F479" i="24"/>
  <c r="E479" i="24"/>
  <c r="D479" i="24"/>
  <c r="B479" i="24"/>
  <c r="P478" i="24"/>
  <c r="O478" i="24"/>
  <c r="N478" i="24"/>
  <c r="M478" i="24"/>
  <c r="L478" i="24"/>
  <c r="K478" i="24"/>
  <c r="J478" i="24"/>
  <c r="I478" i="24"/>
  <c r="H478" i="24"/>
  <c r="G478" i="24"/>
  <c r="F478" i="24"/>
  <c r="E478" i="24"/>
  <c r="D478" i="24"/>
  <c r="B478" i="24"/>
  <c r="P477" i="24"/>
  <c r="O477" i="24"/>
  <c r="N477" i="24"/>
  <c r="M477" i="24"/>
  <c r="L477" i="24"/>
  <c r="K477" i="24"/>
  <c r="J477" i="24"/>
  <c r="I477" i="24"/>
  <c r="H477" i="24"/>
  <c r="G477" i="24"/>
  <c r="F477" i="24"/>
  <c r="E477" i="24"/>
  <c r="D477" i="24"/>
  <c r="B477" i="24"/>
  <c r="P476" i="24"/>
  <c r="O476" i="24"/>
  <c r="N476" i="24"/>
  <c r="M476" i="24"/>
  <c r="L476" i="24"/>
  <c r="K476" i="24"/>
  <c r="J476" i="24"/>
  <c r="I476" i="24"/>
  <c r="H476" i="24"/>
  <c r="G476" i="24"/>
  <c r="F476" i="24"/>
  <c r="E476" i="24"/>
  <c r="D476" i="24"/>
  <c r="B476" i="24"/>
  <c r="P475" i="24"/>
  <c r="O475" i="24"/>
  <c r="N475" i="24"/>
  <c r="M475" i="24"/>
  <c r="L475" i="24"/>
  <c r="K475" i="24"/>
  <c r="J475" i="24"/>
  <c r="I475" i="24"/>
  <c r="H475" i="24"/>
  <c r="G475" i="24"/>
  <c r="F475" i="24"/>
  <c r="E475" i="24"/>
  <c r="D475" i="24"/>
  <c r="B475" i="24"/>
  <c r="P474" i="24"/>
  <c r="O474" i="24"/>
  <c r="N474" i="24"/>
  <c r="M474" i="24"/>
  <c r="L474" i="24"/>
  <c r="K474" i="24"/>
  <c r="J474" i="24"/>
  <c r="I474" i="24"/>
  <c r="H474" i="24"/>
  <c r="G474" i="24"/>
  <c r="F474" i="24"/>
  <c r="E474" i="24"/>
  <c r="D474" i="24"/>
  <c r="B474" i="24"/>
  <c r="P471" i="24"/>
  <c r="O471" i="24"/>
  <c r="N471" i="24"/>
  <c r="M471" i="24"/>
  <c r="L471" i="24"/>
  <c r="K471" i="24"/>
  <c r="J471" i="24"/>
  <c r="I471" i="24"/>
  <c r="H471" i="24"/>
  <c r="G471" i="24"/>
  <c r="F471" i="24"/>
  <c r="E471" i="24"/>
  <c r="D471" i="24"/>
  <c r="B471" i="24"/>
  <c r="B469" i="24"/>
  <c r="B464" i="24"/>
  <c r="P463" i="24"/>
  <c r="Q463" i="24" s="1"/>
  <c r="O463" i="24"/>
  <c r="O464" i="24" s="1"/>
  <c r="N463" i="24"/>
  <c r="N464" i="24" s="1"/>
  <c r="M463" i="24"/>
  <c r="M464" i="24" s="1"/>
  <c r="L463" i="24"/>
  <c r="L464" i="24" s="1"/>
  <c r="L465" i="24" s="1"/>
  <c r="K463" i="24"/>
  <c r="J463" i="24"/>
  <c r="I463" i="24"/>
  <c r="I464" i="24" s="1"/>
  <c r="I465" i="24" s="1"/>
  <c r="H463" i="24"/>
  <c r="H464" i="24" s="1"/>
  <c r="G463" i="24"/>
  <c r="G464" i="24" s="1"/>
  <c r="F463" i="24"/>
  <c r="F464" i="24" s="1"/>
  <c r="E463" i="24"/>
  <c r="E464" i="24" s="1"/>
  <c r="D463" i="24"/>
  <c r="D464" i="24" s="1"/>
  <c r="D465" i="24" s="1"/>
  <c r="B463" i="24"/>
  <c r="B459" i="24"/>
  <c r="P458" i="24"/>
  <c r="Q458" i="24" s="1"/>
  <c r="R458" i="24" s="1"/>
  <c r="S458" i="24" s="1"/>
  <c r="T458" i="24" s="1"/>
  <c r="U458" i="24" s="1"/>
  <c r="V458" i="24" s="1"/>
  <c r="W458" i="24" s="1"/>
  <c r="X458" i="24" s="1"/>
  <c r="Y458" i="24" s="1"/>
  <c r="Z458" i="24" s="1"/>
  <c r="O458" i="24"/>
  <c r="N458" i="24"/>
  <c r="M458" i="24"/>
  <c r="L458" i="24"/>
  <c r="K458" i="24"/>
  <c r="J458" i="24"/>
  <c r="I458" i="24"/>
  <c r="H458" i="24"/>
  <c r="G458" i="24"/>
  <c r="F458" i="24"/>
  <c r="E458" i="24"/>
  <c r="D458" i="24"/>
  <c r="B458" i="24"/>
  <c r="P457" i="24"/>
  <c r="P459" i="24" s="1"/>
  <c r="O457" i="24"/>
  <c r="O459" i="24" s="1"/>
  <c r="N457" i="24"/>
  <c r="N459" i="24" s="1"/>
  <c r="M457" i="24"/>
  <c r="M459" i="24" s="1"/>
  <c r="L457" i="24"/>
  <c r="L459" i="24" s="1"/>
  <c r="K457" i="24"/>
  <c r="J457" i="24"/>
  <c r="I457" i="24"/>
  <c r="H457" i="24"/>
  <c r="H459" i="24" s="1"/>
  <c r="H460" i="24" s="1"/>
  <c r="G457" i="24"/>
  <c r="G459" i="24" s="1"/>
  <c r="F457" i="24"/>
  <c r="F459" i="24" s="1"/>
  <c r="E457" i="24"/>
  <c r="E459" i="24" s="1"/>
  <c r="D457" i="24"/>
  <c r="D459" i="24" s="1"/>
  <c r="B457" i="24"/>
  <c r="P454" i="24"/>
  <c r="O454" i="24"/>
  <c r="N454" i="24"/>
  <c r="M454" i="24"/>
  <c r="L454" i="24"/>
  <c r="K454" i="24"/>
  <c r="J454" i="24"/>
  <c r="I454" i="24"/>
  <c r="H454" i="24"/>
  <c r="G454" i="24"/>
  <c r="F454" i="24"/>
  <c r="E454" i="24"/>
  <c r="D454" i="24"/>
  <c r="B454" i="24"/>
  <c r="P453" i="24"/>
  <c r="O453" i="24"/>
  <c r="N453" i="24"/>
  <c r="M453" i="24"/>
  <c r="L453" i="24"/>
  <c r="K453" i="24"/>
  <c r="J453" i="24"/>
  <c r="I453" i="24"/>
  <c r="H453" i="24"/>
  <c r="G453" i="24"/>
  <c r="F453" i="24"/>
  <c r="E453" i="24"/>
  <c r="D453" i="24"/>
  <c r="B453" i="24"/>
  <c r="P450" i="24"/>
  <c r="O450" i="24"/>
  <c r="N450" i="24"/>
  <c r="M450" i="24"/>
  <c r="L450" i="24"/>
  <c r="K450" i="24"/>
  <c r="J450" i="24"/>
  <c r="I450" i="24"/>
  <c r="H450" i="24"/>
  <c r="G450" i="24"/>
  <c r="F450" i="24"/>
  <c r="E450" i="24"/>
  <c r="D450" i="24"/>
  <c r="B450" i="24"/>
  <c r="P449" i="24"/>
  <c r="O449" i="24"/>
  <c r="N449" i="24"/>
  <c r="M449" i="24"/>
  <c r="L449" i="24"/>
  <c r="K449" i="24"/>
  <c r="J449" i="24"/>
  <c r="I449" i="24"/>
  <c r="H449" i="24"/>
  <c r="G449" i="24"/>
  <c r="F449" i="24"/>
  <c r="E449" i="24"/>
  <c r="D449" i="24"/>
  <c r="B449" i="24"/>
  <c r="P446" i="24"/>
  <c r="O446" i="24"/>
  <c r="N446" i="24"/>
  <c r="M446" i="24"/>
  <c r="L446" i="24"/>
  <c r="K446" i="24"/>
  <c r="J446" i="24"/>
  <c r="I446" i="24"/>
  <c r="H446" i="24"/>
  <c r="G446" i="24"/>
  <c r="F446" i="24"/>
  <c r="E446" i="24"/>
  <c r="D446" i="24"/>
  <c r="B446" i="24"/>
  <c r="B444" i="24"/>
  <c r="P443" i="24"/>
  <c r="O443" i="24"/>
  <c r="N443" i="24"/>
  <c r="M443" i="24"/>
  <c r="L443" i="24"/>
  <c r="K443" i="24"/>
  <c r="J443" i="24"/>
  <c r="I443" i="24"/>
  <c r="H443" i="24"/>
  <c r="G443" i="24"/>
  <c r="F443" i="24"/>
  <c r="E443" i="24"/>
  <c r="D443" i="24"/>
  <c r="B443" i="24"/>
  <c r="P439" i="24"/>
  <c r="O439" i="24"/>
  <c r="N439" i="24"/>
  <c r="M439" i="24"/>
  <c r="L439" i="24"/>
  <c r="K439" i="24"/>
  <c r="J439" i="24"/>
  <c r="I439" i="24"/>
  <c r="H439" i="24"/>
  <c r="G439" i="24"/>
  <c r="F439" i="24"/>
  <c r="E439" i="24"/>
  <c r="D439" i="24"/>
  <c r="B439" i="24"/>
  <c r="P435" i="24"/>
  <c r="Q435" i="24" s="1"/>
  <c r="R435" i="24" s="1"/>
  <c r="S435" i="24" s="1"/>
  <c r="T435" i="24" s="1"/>
  <c r="U435" i="24" s="1"/>
  <c r="V435" i="24" s="1"/>
  <c r="W435" i="24" s="1"/>
  <c r="X435" i="24" s="1"/>
  <c r="Y435" i="24" s="1"/>
  <c r="Z435" i="24" s="1"/>
  <c r="O435" i="24"/>
  <c r="N435" i="24"/>
  <c r="M435" i="24"/>
  <c r="L435" i="24"/>
  <c r="K435" i="24"/>
  <c r="J435" i="24"/>
  <c r="I435" i="24"/>
  <c r="H435" i="24"/>
  <c r="G435" i="24"/>
  <c r="F435" i="24"/>
  <c r="E435" i="24"/>
  <c r="D435" i="24"/>
  <c r="B435" i="24"/>
  <c r="P434" i="24"/>
  <c r="O434" i="24"/>
  <c r="N434" i="24"/>
  <c r="M434" i="24"/>
  <c r="L434" i="24"/>
  <c r="K434" i="24"/>
  <c r="J434" i="24"/>
  <c r="I434" i="24"/>
  <c r="H434" i="24"/>
  <c r="G434" i="24"/>
  <c r="F434" i="24"/>
  <c r="E434" i="24"/>
  <c r="D434" i="24"/>
  <c r="B434" i="24"/>
  <c r="P433" i="24"/>
  <c r="O433" i="24"/>
  <c r="N433" i="24"/>
  <c r="M433" i="24"/>
  <c r="L433" i="24"/>
  <c r="K433" i="24"/>
  <c r="J433" i="24"/>
  <c r="I433" i="24"/>
  <c r="H433" i="24"/>
  <c r="G433" i="24"/>
  <c r="F433" i="24"/>
  <c r="E433" i="24"/>
  <c r="D433" i="24"/>
  <c r="B433" i="24"/>
  <c r="P428" i="24"/>
  <c r="O428" i="24"/>
  <c r="N428" i="24"/>
  <c r="M428" i="24"/>
  <c r="L428" i="24"/>
  <c r="K428" i="24"/>
  <c r="J428" i="24"/>
  <c r="I428" i="24"/>
  <c r="H428" i="24"/>
  <c r="G428" i="24"/>
  <c r="F428" i="24"/>
  <c r="E428" i="24"/>
  <c r="D428" i="24"/>
  <c r="B428" i="24"/>
  <c r="P427" i="24"/>
  <c r="P429" i="24" s="1"/>
  <c r="O427" i="24"/>
  <c r="N427" i="24"/>
  <c r="M427" i="24"/>
  <c r="L427" i="24"/>
  <c r="K427" i="24"/>
  <c r="J427" i="24"/>
  <c r="I427" i="24"/>
  <c r="I429" i="24" s="1"/>
  <c r="H427" i="24"/>
  <c r="H429" i="24" s="1"/>
  <c r="G427" i="24"/>
  <c r="F427" i="24"/>
  <c r="E427" i="24"/>
  <c r="D427" i="24"/>
  <c r="B427" i="24"/>
  <c r="P424" i="24"/>
  <c r="O424" i="24"/>
  <c r="N424" i="24"/>
  <c r="M424" i="24"/>
  <c r="L424" i="24"/>
  <c r="K424" i="24"/>
  <c r="J424" i="24"/>
  <c r="I424" i="24"/>
  <c r="H424" i="24"/>
  <c r="G424" i="24"/>
  <c r="F424" i="24"/>
  <c r="E424" i="24"/>
  <c r="D424" i="24"/>
  <c r="B424" i="24"/>
  <c r="P423" i="24"/>
  <c r="Q423" i="24" s="1"/>
  <c r="O423" i="24"/>
  <c r="N423" i="24"/>
  <c r="M423" i="24"/>
  <c r="L423" i="24"/>
  <c r="K423" i="24"/>
  <c r="J423" i="24"/>
  <c r="I423" i="24"/>
  <c r="H423" i="24"/>
  <c r="G423" i="24"/>
  <c r="F423" i="24"/>
  <c r="E423" i="24"/>
  <c r="D423" i="24"/>
  <c r="B423" i="24"/>
  <c r="P419" i="24"/>
  <c r="O419" i="24"/>
  <c r="N419" i="24"/>
  <c r="M419" i="24"/>
  <c r="L419" i="24"/>
  <c r="K419" i="24"/>
  <c r="J419" i="24"/>
  <c r="I419" i="24"/>
  <c r="H419" i="24"/>
  <c r="G419" i="24"/>
  <c r="F419" i="24"/>
  <c r="E419" i="24"/>
  <c r="D419" i="24"/>
  <c r="B419" i="24"/>
  <c r="P418" i="24"/>
  <c r="O418" i="24"/>
  <c r="N418" i="24"/>
  <c r="M418" i="24"/>
  <c r="L418" i="24"/>
  <c r="K418" i="24"/>
  <c r="J418" i="24"/>
  <c r="I418" i="24"/>
  <c r="H418" i="24"/>
  <c r="G418" i="24"/>
  <c r="F418" i="24"/>
  <c r="E418" i="24"/>
  <c r="D418" i="24"/>
  <c r="B418" i="24"/>
  <c r="P417" i="24"/>
  <c r="O417" i="24"/>
  <c r="N417" i="24"/>
  <c r="M417" i="24"/>
  <c r="L417" i="24"/>
  <c r="K417" i="24"/>
  <c r="J417" i="24"/>
  <c r="I417" i="24"/>
  <c r="H417" i="24"/>
  <c r="G417" i="24"/>
  <c r="F417" i="24"/>
  <c r="E417" i="24"/>
  <c r="D417" i="24"/>
  <c r="B417" i="24"/>
  <c r="P414" i="24"/>
  <c r="O414" i="24"/>
  <c r="N414" i="24"/>
  <c r="M414" i="24"/>
  <c r="L414" i="24"/>
  <c r="K414" i="24"/>
  <c r="J414" i="24"/>
  <c r="I414" i="24"/>
  <c r="H414" i="24"/>
  <c r="G414" i="24"/>
  <c r="F414" i="24"/>
  <c r="E414" i="24"/>
  <c r="D414" i="24"/>
  <c r="B414" i="24"/>
  <c r="B413" i="24"/>
  <c r="P410" i="24"/>
  <c r="O410" i="24"/>
  <c r="N410" i="24"/>
  <c r="N409" i="24" s="1"/>
  <c r="N413" i="24" s="1"/>
  <c r="M410" i="24"/>
  <c r="L410" i="24"/>
  <c r="L409" i="24" s="1"/>
  <c r="L413" i="24" s="1"/>
  <c r="K410" i="24"/>
  <c r="K409" i="24" s="1"/>
  <c r="K413" i="24" s="1"/>
  <c r="J410" i="24"/>
  <c r="I410" i="24"/>
  <c r="H410" i="24"/>
  <c r="G410" i="24"/>
  <c r="F410" i="24"/>
  <c r="E410" i="24"/>
  <c r="D410" i="24"/>
  <c r="D409" i="24" s="1"/>
  <c r="D413" i="24" s="1"/>
  <c r="B410" i="24"/>
  <c r="I409" i="24"/>
  <c r="I413" i="24" s="1"/>
  <c r="B409" i="24"/>
  <c r="Z405" i="24"/>
  <c r="Y405" i="24"/>
  <c r="X405" i="24"/>
  <c r="W405" i="24"/>
  <c r="V405" i="24"/>
  <c r="U405" i="24"/>
  <c r="T405" i="24"/>
  <c r="S405" i="24"/>
  <c r="R405" i="24"/>
  <c r="Q405" i="24"/>
  <c r="P405" i="24"/>
  <c r="O405" i="24"/>
  <c r="N405" i="24"/>
  <c r="M405" i="24"/>
  <c r="L405" i="24"/>
  <c r="K405" i="24"/>
  <c r="J405" i="24"/>
  <c r="I405" i="24"/>
  <c r="H405" i="24"/>
  <c r="G405" i="24"/>
  <c r="F405" i="24"/>
  <c r="E405" i="24"/>
  <c r="D405" i="24"/>
  <c r="B405" i="24"/>
  <c r="Z404" i="24"/>
  <c r="Y404" i="24"/>
  <c r="X404" i="24"/>
  <c r="W404" i="24"/>
  <c r="V404" i="24"/>
  <c r="U404" i="24"/>
  <c r="T404" i="24"/>
  <c r="S404" i="24"/>
  <c r="R404" i="24"/>
  <c r="Q404" i="24"/>
  <c r="P404" i="24"/>
  <c r="O404" i="24"/>
  <c r="N404" i="24"/>
  <c r="M404" i="24"/>
  <c r="L404" i="24"/>
  <c r="K404" i="24"/>
  <c r="K159" i="24" s="1"/>
  <c r="J404" i="24"/>
  <c r="J159" i="24" s="1"/>
  <c r="I404" i="24"/>
  <c r="H404" i="24"/>
  <c r="H159" i="24" s="1"/>
  <c r="G404" i="24"/>
  <c r="G159" i="24" s="1"/>
  <c r="F404" i="24"/>
  <c r="E404" i="24"/>
  <c r="D404" i="24"/>
  <c r="B404" i="24"/>
  <c r="Z403" i="24"/>
  <c r="Y403" i="24"/>
  <c r="X403" i="24"/>
  <c r="W403" i="24"/>
  <c r="V403" i="24"/>
  <c r="U403" i="24"/>
  <c r="T403" i="24"/>
  <c r="S403" i="24"/>
  <c r="R403" i="24"/>
  <c r="Q403" i="24"/>
  <c r="P403" i="24"/>
  <c r="O403" i="24"/>
  <c r="N403" i="24"/>
  <c r="M403" i="24"/>
  <c r="L403" i="24"/>
  <c r="K403" i="24"/>
  <c r="J403" i="24"/>
  <c r="I403" i="24"/>
  <c r="H403" i="24"/>
  <c r="G403" i="24"/>
  <c r="F403" i="24"/>
  <c r="E403" i="24"/>
  <c r="D403" i="24"/>
  <c r="B403" i="24"/>
  <c r="Z402" i="24"/>
  <c r="Y402" i="24"/>
  <c r="X402" i="24"/>
  <c r="W402" i="24"/>
  <c r="V402" i="24"/>
  <c r="U402" i="24"/>
  <c r="T402" i="24"/>
  <c r="S402" i="24"/>
  <c r="R402" i="24"/>
  <c r="Q402" i="24"/>
  <c r="P402" i="24"/>
  <c r="O402" i="24"/>
  <c r="N402" i="24"/>
  <c r="M402" i="24"/>
  <c r="L402" i="24"/>
  <c r="K402" i="24"/>
  <c r="K263" i="24" s="1"/>
  <c r="J402" i="24"/>
  <c r="J263" i="24" s="1"/>
  <c r="I402" i="24"/>
  <c r="H402" i="24"/>
  <c r="H263" i="24" s="1"/>
  <c r="G402" i="24"/>
  <c r="G263" i="24" s="1"/>
  <c r="F402" i="24"/>
  <c r="E402" i="24"/>
  <c r="D402" i="24"/>
  <c r="B402" i="24"/>
  <c r="Z401" i="24"/>
  <c r="Y401" i="24"/>
  <c r="X401" i="24"/>
  <c r="W401" i="24"/>
  <c r="V401" i="24"/>
  <c r="U401" i="24"/>
  <c r="T401" i="24"/>
  <c r="S401" i="24"/>
  <c r="R401" i="24"/>
  <c r="Q401" i="24"/>
  <c r="P401" i="24"/>
  <c r="O401" i="24"/>
  <c r="N401" i="24"/>
  <c r="M401" i="24"/>
  <c r="L401" i="24"/>
  <c r="K401" i="24"/>
  <c r="J401" i="24"/>
  <c r="I401" i="24"/>
  <c r="H401" i="24"/>
  <c r="G401" i="24"/>
  <c r="F401" i="24"/>
  <c r="E401" i="24"/>
  <c r="D401" i="24"/>
  <c r="B401" i="24"/>
  <c r="Z400" i="24"/>
  <c r="Y400" i="24"/>
  <c r="X400" i="24"/>
  <c r="W400" i="24"/>
  <c r="V400" i="24"/>
  <c r="U400" i="24"/>
  <c r="T400" i="24"/>
  <c r="S400" i="24"/>
  <c r="R400" i="24"/>
  <c r="Q400" i="24"/>
  <c r="P400" i="24"/>
  <c r="O400" i="24"/>
  <c r="N400" i="24"/>
  <c r="M400" i="24"/>
  <c r="L400" i="24"/>
  <c r="K400" i="24"/>
  <c r="J400" i="24"/>
  <c r="I400" i="24"/>
  <c r="H400" i="24"/>
  <c r="G400" i="24"/>
  <c r="F400" i="24"/>
  <c r="E400" i="24"/>
  <c r="D400" i="24"/>
  <c r="B400" i="24"/>
  <c r="B396" i="24"/>
  <c r="P395" i="24"/>
  <c r="O395" i="24"/>
  <c r="N395" i="24"/>
  <c r="M395" i="24"/>
  <c r="L395" i="24"/>
  <c r="K395" i="24"/>
  <c r="J395" i="24"/>
  <c r="I395" i="24"/>
  <c r="H395" i="24"/>
  <c r="G395" i="24"/>
  <c r="F395" i="24"/>
  <c r="E395" i="24"/>
  <c r="D395" i="24"/>
  <c r="B395" i="24"/>
  <c r="B391" i="24"/>
  <c r="P388" i="24"/>
  <c r="O388" i="24"/>
  <c r="N388" i="24"/>
  <c r="M388" i="24"/>
  <c r="L388" i="24"/>
  <c r="K388" i="24"/>
  <c r="J388" i="24"/>
  <c r="I388" i="24"/>
  <c r="H388" i="24"/>
  <c r="G388" i="24"/>
  <c r="F388" i="24"/>
  <c r="E388" i="24"/>
  <c r="D388" i="24"/>
  <c r="B388" i="24"/>
  <c r="P386" i="24"/>
  <c r="P468" i="24" s="1"/>
  <c r="O386" i="24"/>
  <c r="O468" i="24" s="1"/>
  <c r="N386" i="24"/>
  <c r="N468" i="24" s="1"/>
  <c r="M386" i="24"/>
  <c r="M468" i="24" s="1"/>
  <c r="L386" i="24"/>
  <c r="L468" i="24" s="1"/>
  <c r="K386" i="24"/>
  <c r="K468" i="24" s="1"/>
  <c r="J386" i="24"/>
  <c r="J468" i="24" s="1"/>
  <c r="I386" i="24"/>
  <c r="I468" i="24" s="1"/>
  <c r="H386" i="24"/>
  <c r="H468" i="24" s="1"/>
  <c r="G386" i="24"/>
  <c r="G468" i="24" s="1"/>
  <c r="F386" i="24"/>
  <c r="F468" i="24" s="1"/>
  <c r="E386" i="24"/>
  <c r="E468" i="24" s="1"/>
  <c r="D386" i="24"/>
  <c r="D468" i="24" s="1"/>
  <c r="B386" i="24"/>
  <c r="P385" i="24"/>
  <c r="O385" i="24"/>
  <c r="N385" i="24"/>
  <c r="M385" i="24"/>
  <c r="L385" i="24"/>
  <c r="K385" i="24"/>
  <c r="J385" i="24"/>
  <c r="I385" i="24"/>
  <c r="H385" i="24"/>
  <c r="G385" i="24"/>
  <c r="F385" i="24"/>
  <c r="E385" i="24"/>
  <c r="D385" i="24"/>
  <c r="B385" i="24"/>
  <c r="P384" i="24"/>
  <c r="O384" i="24"/>
  <c r="N384" i="24"/>
  <c r="M384" i="24"/>
  <c r="L384" i="24"/>
  <c r="K384" i="24"/>
  <c r="J384" i="24"/>
  <c r="I384" i="24"/>
  <c r="H384" i="24"/>
  <c r="G384" i="24"/>
  <c r="F384" i="24"/>
  <c r="E384" i="24"/>
  <c r="D384" i="24"/>
  <c r="B384" i="24"/>
  <c r="Z381" i="24"/>
  <c r="Y381" i="24"/>
  <c r="X381" i="24"/>
  <c r="W381" i="24"/>
  <c r="V381" i="24"/>
  <c r="U381" i="24"/>
  <c r="T381" i="24"/>
  <c r="S381" i="24"/>
  <c r="R381" i="24"/>
  <c r="Q381" i="24"/>
  <c r="P381" i="24"/>
  <c r="O381" i="24"/>
  <c r="N381" i="24"/>
  <c r="M381" i="24"/>
  <c r="L381" i="24"/>
  <c r="K381" i="24"/>
  <c r="J381" i="24"/>
  <c r="I381" i="24"/>
  <c r="H381" i="24"/>
  <c r="G381" i="24"/>
  <c r="F381" i="24"/>
  <c r="E381" i="24"/>
  <c r="D381" i="24"/>
  <c r="B381" i="24"/>
  <c r="Z380" i="24"/>
  <c r="Z486" i="24" s="1"/>
  <c r="Y380" i="24"/>
  <c r="Y486" i="24" s="1"/>
  <c r="X380" i="24"/>
  <c r="X486" i="24" s="1"/>
  <c r="W380" i="24"/>
  <c r="W486" i="24" s="1"/>
  <c r="V380" i="24"/>
  <c r="V486" i="24" s="1"/>
  <c r="U380" i="24"/>
  <c r="U486" i="24" s="1"/>
  <c r="T380" i="24"/>
  <c r="T486" i="24" s="1"/>
  <c r="S380" i="24"/>
  <c r="S486" i="24" s="1"/>
  <c r="R380" i="24"/>
  <c r="R486" i="24" s="1"/>
  <c r="Q380" i="24"/>
  <c r="Q486" i="24" s="1"/>
  <c r="P380" i="24"/>
  <c r="P486" i="24" s="1"/>
  <c r="O380" i="24"/>
  <c r="O486" i="24" s="1"/>
  <c r="N380" i="24"/>
  <c r="N486" i="24" s="1"/>
  <c r="M380" i="24"/>
  <c r="M486" i="24" s="1"/>
  <c r="L380" i="24"/>
  <c r="L486" i="24" s="1"/>
  <c r="K380" i="24"/>
  <c r="K486" i="24" s="1"/>
  <c r="J380" i="24"/>
  <c r="J486" i="24" s="1"/>
  <c r="I380" i="24"/>
  <c r="I486" i="24" s="1"/>
  <c r="H380" i="24"/>
  <c r="H486" i="24" s="1"/>
  <c r="G380" i="24"/>
  <c r="G486" i="24" s="1"/>
  <c r="F380" i="24"/>
  <c r="F486" i="24" s="1"/>
  <c r="E380" i="24"/>
  <c r="E486" i="24" s="1"/>
  <c r="D380" i="24"/>
  <c r="D486" i="24" s="1"/>
  <c r="B380" i="24"/>
  <c r="V379" i="24"/>
  <c r="Z378" i="24"/>
  <c r="Y378" i="24"/>
  <c r="X378" i="24"/>
  <c r="W378" i="24"/>
  <c r="V378" i="24"/>
  <c r="U378" i="24"/>
  <c r="T378" i="24"/>
  <c r="S378" i="24"/>
  <c r="R378" i="24"/>
  <c r="Q378" i="24"/>
  <c r="P378" i="24"/>
  <c r="O378" i="24"/>
  <c r="O331" i="24" s="1"/>
  <c r="O332" i="24" s="1"/>
  <c r="O333" i="24" s="1"/>
  <c r="N378" i="24"/>
  <c r="N331" i="24" s="1"/>
  <c r="M378" i="24"/>
  <c r="L378" i="24"/>
  <c r="L331" i="24" s="1"/>
  <c r="L332" i="24" s="1"/>
  <c r="K378" i="24"/>
  <c r="J378" i="24"/>
  <c r="J331" i="24" s="1"/>
  <c r="J332" i="24" s="1"/>
  <c r="I378" i="24"/>
  <c r="I331" i="24" s="1"/>
  <c r="I332" i="24" s="1"/>
  <c r="I333" i="24" s="1"/>
  <c r="H378" i="24"/>
  <c r="G378" i="24"/>
  <c r="G331" i="24" s="1"/>
  <c r="G332" i="24" s="1"/>
  <c r="G333" i="24" s="1"/>
  <c r="F378" i="24"/>
  <c r="F331" i="24" s="1"/>
  <c r="F332" i="24" s="1"/>
  <c r="E378" i="24"/>
  <c r="E331" i="24" s="1"/>
  <c r="E332" i="24" s="1"/>
  <c r="E333" i="24" s="1"/>
  <c r="D378" i="24"/>
  <c r="D331" i="24" s="1"/>
  <c r="B378" i="24"/>
  <c r="Z377" i="24"/>
  <c r="Y377" i="24"/>
  <c r="X377" i="24"/>
  <c r="W377" i="24"/>
  <c r="V377" i="24"/>
  <c r="U377" i="24"/>
  <c r="T377" i="24"/>
  <c r="S377" i="24"/>
  <c r="R377" i="24"/>
  <c r="Q377" i="24"/>
  <c r="P377" i="24"/>
  <c r="O377" i="24"/>
  <c r="O271" i="24" s="1"/>
  <c r="N377" i="24"/>
  <c r="N271" i="24" s="1"/>
  <c r="M377" i="24"/>
  <c r="M271" i="24" s="1"/>
  <c r="L377" i="24"/>
  <c r="L271" i="24" s="1"/>
  <c r="K377" i="24"/>
  <c r="J377" i="24"/>
  <c r="J271" i="24" s="1"/>
  <c r="I377" i="24"/>
  <c r="I271" i="24" s="1"/>
  <c r="H377" i="24"/>
  <c r="G377" i="24"/>
  <c r="G271" i="24" s="1"/>
  <c r="F377" i="24"/>
  <c r="F271" i="24" s="1"/>
  <c r="E377" i="24"/>
  <c r="E271" i="24" s="1"/>
  <c r="D377" i="24"/>
  <c r="D271" i="24" s="1"/>
  <c r="B377" i="24"/>
  <c r="Z376" i="24"/>
  <c r="Y376" i="24"/>
  <c r="X376" i="24"/>
  <c r="W376" i="24"/>
  <c r="V376" i="24"/>
  <c r="U376" i="24"/>
  <c r="T376" i="24"/>
  <c r="S376" i="24"/>
  <c r="R376" i="24"/>
  <c r="Q376" i="24"/>
  <c r="P376" i="24"/>
  <c r="O376" i="24"/>
  <c r="N376" i="24"/>
  <c r="M376" i="24"/>
  <c r="L376" i="24"/>
  <c r="K376" i="24"/>
  <c r="J376" i="24"/>
  <c r="I376" i="24"/>
  <c r="H376" i="24"/>
  <c r="G376" i="24"/>
  <c r="F376" i="24"/>
  <c r="E376" i="24"/>
  <c r="D376" i="24"/>
  <c r="B376" i="24"/>
  <c r="Z375" i="24"/>
  <c r="Z379" i="24" s="1"/>
  <c r="Y375" i="24"/>
  <c r="Y379" i="24" s="1"/>
  <c r="X375" i="24"/>
  <c r="X379" i="24" s="1"/>
  <c r="W375" i="24"/>
  <c r="W379" i="24" s="1"/>
  <c r="V375" i="24"/>
  <c r="U375" i="24"/>
  <c r="U379" i="24" s="1"/>
  <c r="T375" i="24"/>
  <c r="T379" i="24" s="1"/>
  <c r="S375" i="24"/>
  <c r="S379" i="24" s="1"/>
  <c r="R375" i="24"/>
  <c r="R379" i="24" s="1"/>
  <c r="Q375" i="24"/>
  <c r="Q379" i="24" s="1"/>
  <c r="P375" i="24"/>
  <c r="P379" i="24" s="1"/>
  <c r="O375" i="24"/>
  <c r="O379" i="24" s="1"/>
  <c r="N375" i="24"/>
  <c r="N379" i="24" s="1"/>
  <c r="M375" i="24"/>
  <c r="M379" i="24" s="1"/>
  <c r="L375" i="24"/>
  <c r="L379" i="24" s="1"/>
  <c r="K375" i="24"/>
  <c r="K379" i="24" s="1"/>
  <c r="J375" i="24"/>
  <c r="J379" i="24" s="1"/>
  <c r="I375" i="24"/>
  <c r="I379" i="24" s="1"/>
  <c r="H375" i="24"/>
  <c r="H379" i="24" s="1"/>
  <c r="G375" i="24"/>
  <c r="G379" i="24" s="1"/>
  <c r="F375" i="24"/>
  <c r="F379" i="24" s="1"/>
  <c r="E375" i="24"/>
  <c r="E379" i="24" s="1"/>
  <c r="D375" i="24"/>
  <c r="D379" i="24" s="1"/>
  <c r="B375" i="24"/>
  <c r="B371" i="24"/>
  <c r="P370" i="24"/>
  <c r="O370" i="24"/>
  <c r="N370" i="24"/>
  <c r="M370" i="24"/>
  <c r="L370" i="24"/>
  <c r="K370" i="24"/>
  <c r="J370" i="24"/>
  <c r="I370" i="24"/>
  <c r="H370" i="24"/>
  <c r="G370" i="24"/>
  <c r="F370" i="24"/>
  <c r="E370" i="24"/>
  <c r="D370" i="24"/>
  <c r="B370" i="24"/>
  <c r="P369" i="24"/>
  <c r="O369" i="24"/>
  <c r="N369" i="24"/>
  <c r="M369" i="24"/>
  <c r="L369" i="24"/>
  <c r="K369" i="24"/>
  <c r="J369" i="24"/>
  <c r="I369" i="24"/>
  <c r="H369" i="24"/>
  <c r="G369" i="24"/>
  <c r="F369" i="24"/>
  <c r="E369" i="24"/>
  <c r="D369" i="24"/>
  <c r="B369" i="24"/>
  <c r="B367" i="24"/>
  <c r="B362" i="24"/>
  <c r="P361" i="24"/>
  <c r="O361" i="24"/>
  <c r="N361" i="24"/>
  <c r="M361" i="24"/>
  <c r="L361" i="24"/>
  <c r="K361" i="24"/>
  <c r="J361" i="24"/>
  <c r="I361" i="24"/>
  <c r="H361" i="24"/>
  <c r="G361" i="24"/>
  <c r="F361" i="24"/>
  <c r="E361" i="24"/>
  <c r="D361" i="24"/>
  <c r="B361" i="24"/>
  <c r="P360" i="24"/>
  <c r="O360" i="24"/>
  <c r="N360" i="24"/>
  <c r="M360" i="24"/>
  <c r="L360" i="24"/>
  <c r="K360" i="24"/>
  <c r="J360" i="24"/>
  <c r="I360" i="24"/>
  <c r="H360" i="24"/>
  <c r="G360" i="24"/>
  <c r="F360" i="24"/>
  <c r="E360" i="24"/>
  <c r="D360" i="24"/>
  <c r="B360" i="24"/>
  <c r="B358" i="24"/>
  <c r="P354" i="24"/>
  <c r="O354" i="24"/>
  <c r="N354" i="24"/>
  <c r="M354" i="24"/>
  <c r="L354" i="24"/>
  <c r="K354" i="24"/>
  <c r="J354" i="24"/>
  <c r="I354" i="24"/>
  <c r="H354" i="24"/>
  <c r="G354" i="24"/>
  <c r="F354" i="24"/>
  <c r="E354" i="24"/>
  <c r="D354" i="24"/>
  <c r="B354" i="24"/>
  <c r="B352" i="24"/>
  <c r="P351" i="24"/>
  <c r="O351" i="24"/>
  <c r="N351" i="24"/>
  <c r="M351" i="24"/>
  <c r="L351" i="24"/>
  <c r="K351" i="24"/>
  <c r="J351" i="24"/>
  <c r="I351" i="24"/>
  <c r="H351" i="24"/>
  <c r="G351" i="24"/>
  <c r="F351" i="24"/>
  <c r="E351" i="24"/>
  <c r="D351" i="24"/>
  <c r="B351" i="24"/>
  <c r="P347" i="24"/>
  <c r="O347" i="24"/>
  <c r="N347" i="24"/>
  <c r="M347" i="24"/>
  <c r="L347" i="24"/>
  <c r="K347" i="24"/>
  <c r="J347" i="24"/>
  <c r="I347" i="24"/>
  <c r="H347" i="24"/>
  <c r="G347" i="24"/>
  <c r="F347" i="24"/>
  <c r="E347" i="24"/>
  <c r="D347" i="24"/>
  <c r="B347" i="24"/>
  <c r="B345" i="24"/>
  <c r="P341" i="24"/>
  <c r="P37" i="24" s="1"/>
  <c r="O341" i="24"/>
  <c r="O37" i="24" s="1"/>
  <c r="N341" i="24"/>
  <c r="M341" i="24"/>
  <c r="L341" i="24"/>
  <c r="L37" i="24" s="1"/>
  <c r="K341" i="24"/>
  <c r="K37" i="24" s="1"/>
  <c r="J341" i="24"/>
  <c r="J37" i="24" s="1"/>
  <c r="I341" i="24"/>
  <c r="H341" i="24"/>
  <c r="H37" i="24" s="1"/>
  <c r="G341" i="24"/>
  <c r="G37" i="24" s="1"/>
  <c r="F341" i="24"/>
  <c r="E341" i="24"/>
  <c r="D341" i="24"/>
  <c r="D37" i="24" s="1"/>
  <c r="B341" i="24"/>
  <c r="P340" i="24"/>
  <c r="O340" i="24"/>
  <c r="N340" i="24"/>
  <c r="M340" i="24"/>
  <c r="L340" i="24"/>
  <c r="K340" i="24"/>
  <c r="J340" i="24"/>
  <c r="I340" i="24"/>
  <c r="H340" i="24"/>
  <c r="G340" i="24"/>
  <c r="F340" i="24"/>
  <c r="E340" i="24"/>
  <c r="D340" i="24"/>
  <c r="B340" i="24"/>
  <c r="B336" i="24"/>
  <c r="P335" i="24"/>
  <c r="O335" i="24"/>
  <c r="N335" i="24"/>
  <c r="M335" i="24"/>
  <c r="L335" i="24"/>
  <c r="K335" i="24"/>
  <c r="J335" i="24"/>
  <c r="I335" i="24"/>
  <c r="H335" i="24"/>
  <c r="G335" i="24"/>
  <c r="F335" i="24"/>
  <c r="E335" i="24"/>
  <c r="D335" i="24"/>
  <c r="B335" i="24"/>
  <c r="P334" i="24"/>
  <c r="Q334" i="24" s="1"/>
  <c r="R334" i="24" s="1"/>
  <c r="S334" i="24" s="1"/>
  <c r="T334" i="24" s="1"/>
  <c r="U334" i="24" s="1"/>
  <c r="V334" i="24" s="1"/>
  <c r="W334" i="24" s="1"/>
  <c r="X334" i="24" s="1"/>
  <c r="Y334" i="24" s="1"/>
  <c r="Z334" i="24" s="1"/>
  <c r="O334" i="24"/>
  <c r="N334" i="24"/>
  <c r="M334" i="24"/>
  <c r="L334" i="24"/>
  <c r="K334" i="24"/>
  <c r="J334" i="24"/>
  <c r="I334" i="24"/>
  <c r="H334" i="24"/>
  <c r="G334" i="24"/>
  <c r="F334" i="24"/>
  <c r="E334" i="24"/>
  <c r="D334" i="24"/>
  <c r="B334" i="24"/>
  <c r="N332" i="24"/>
  <c r="B332" i="24"/>
  <c r="Z331" i="24"/>
  <c r="Y331" i="24"/>
  <c r="X331" i="24"/>
  <c r="W331" i="24"/>
  <c r="V331" i="24"/>
  <c r="U331" i="24"/>
  <c r="T331" i="24"/>
  <c r="S331" i="24"/>
  <c r="R331" i="24"/>
  <c r="Q331" i="24"/>
  <c r="P331" i="24"/>
  <c r="M331" i="24"/>
  <c r="K331" i="24"/>
  <c r="K332" i="24" s="1"/>
  <c r="H331" i="24"/>
  <c r="P328" i="24"/>
  <c r="O328" i="24"/>
  <c r="N328" i="24"/>
  <c r="M328" i="24"/>
  <c r="L328" i="24"/>
  <c r="K328" i="24"/>
  <c r="J328" i="24"/>
  <c r="I328" i="24"/>
  <c r="H328" i="24"/>
  <c r="G328" i="24"/>
  <c r="F328" i="24"/>
  <c r="E328" i="24"/>
  <c r="D328" i="24"/>
  <c r="B328" i="24"/>
  <c r="P327" i="24"/>
  <c r="O327" i="24"/>
  <c r="N327" i="24"/>
  <c r="M327" i="24"/>
  <c r="L327" i="24"/>
  <c r="K327" i="24"/>
  <c r="J327" i="24"/>
  <c r="I327" i="24"/>
  <c r="H327" i="24"/>
  <c r="G327" i="24"/>
  <c r="F327" i="24"/>
  <c r="E327" i="24"/>
  <c r="D327" i="24"/>
  <c r="B327" i="24"/>
  <c r="P326" i="24"/>
  <c r="O326" i="24"/>
  <c r="N326" i="24"/>
  <c r="M326" i="24"/>
  <c r="L326" i="24"/>
  <c r="K326" i="24"/>
  <c r="J326" i="24"/>
  <c r="I326" i="24"/>
  <c r="H326" i="24"/>
  <c r="G326" i="24"/>
  <c r="F326" i="24"/>
  <c r="E326" i="24"/>
  <c r="D326" i="24"/>
  <c r="B326" i="24"/>
  <c r="P320" i="24"/>
  <c r="O320" i="24"/>
  <c r="N320" i="24"/>
  <c r="M320" i="24"/>
  <c r="L320" i="24"/>
  <c r="K320" i="24"/>
  <c r="J320" i="24"/>
  <c r="I320" i="24"/>
  <c r="H320" i="24"/>
  <c r="G320" i="24"/>
  <c r="F320" i="24"/>
  <c r="E320" i="24"/>
  <c r="D320" i="24"/>
  <c r="B320" i="24"/>
  <c r="P319" i="24"/>
  <c r="O319" i="24"/>
  <c r="N319" i="24"/>
  <c r="M319" i="24"/>
  <c r="L319" i="24"/>
  <c r="K319" i="24"/>
  <c r="J319" i="24"/>
  <c r="I319" i="24"/>
  <c r="H319" i="24"/>
  <c r="G319" i="24"/>
  <c r="F319" i="24"/>
  <c r="E319" i="24"/>
  <c r="D319" i="24"/>
  <c r="B319" i="24"/>
  <c r="K316" i="24"/>
  <c r="J316" i="24"/>
  <c r="I316" i="24"/>
  <c r="H316" i="24"/>
  <c r="G316" i="24"/>
  <c r="F316" i="24"/>
  <c r="E316" i="24"/>
  <c r="D316" i="24"/>
  <c r="B316" i="24"/>
  <c r="B314" i="24"/>
  <c r="P313" i="24"/>
  <c r="O313" i="24"/>
  <c r="N313" i="24"/>
  <c r="M313" i="24"/>
  <c r="L313" i="24"/>
  <c r="K313" i="24"/>
  <c r="K314" i="24" s="1"/>
  <c r="J313" i="24"/>
  <c r="J314" i="24" s="1"/>
  <c r="J315" i="24" s="1"/>
  <c r="I313" i="24"/>
  <c r="H313" i="24"/>
  <c r="H314" i="24" s="1"/>
  <c r="H315" i="24" s="1"/>
  <c r="G313" i="24"/>
  <c r="G314" i="24" s="1"/>
  <c r="F313" i="24"/>
  <c r="E313" i="24"/>
  <c r="E314" i="24" s="1"/>
  <c r="D313" i="24"/>
  <c r="D314" i="24" s="1"/>
  <c r="D315" i="24" s="1"/>
  <c r="B313" i="24"/>
  <c r="K310" i="24"/>
  <c r="J310" i="24"/>
  <c r="I310" i="24"/>
  <c r="H310" i="24"/>
  <c r="G310" i="24"/>
  <c r="F310" i="24"/>
  <c r="E310" i="24"/>
  <c r="D310" i="24"/>
  <c r="B310" i="24"/>
  <c r="K309" i="24"/>
  <c r="J309" i="24"/>
  <c r="I309" i="24"/>
  <c r="H309" i="24"/>
  <c r="G309" i="24"/>
  <c r="F309" i="24"/>
  <c r="E309" i="24"/>
  <c r="D309" i="24"/>
  <c r="B309" i="24"/>
  <c r="K306" i="24"/>
  <c r="J306" i="24"/>
  <c r="I306" i="24"/>
  <c r="H306" i="24"/>
  <c r="G306" i="24"/>
  <c r="F306" i="24"/>
  <c r="E306" i="24"/>
  <c r="D306" i="24"/>
  <c r="B306" i="24"/>
  <c r="K305" i="24"/>
  <c r="J305" i="24"/>
  <c r="I305" i="24"/>
  <c r="H305" i="24"/>
  <c r="G305" i="24"/>
  <c r="F305" i="24"/>
  <c r="E305" i="24"/>
  <c r="D305" i="24"/>
  <c r="B305" i="24"/>
  <c r="K302" i="24"/>
  <c r="J302" i="24"/>
  <c r="I302" i="24"/>
  <c r="H302" i="24"/>
  <c r="G302" i="24"/>
  <c r="F302" i="24"/>
  <c r="E302" i="24"/>
  <c r="D302" i="24"/>
  <c r="B302" i="24"/>
  <c r="K301" i="24"/>
  <c r="J301" i="24"/>
  <c r="I301" i="24"/>
  <c r="H301" i="24"/>
  <c r="G301" i="24"/>
  <c r="F301" i="24"/>
  <c r="E301" i="24"/>
  <c r="D301" i="24"/>
  <c r="B301" i="24"/>
  <c r="K298" i="24"/>
  <c r="J298" i="24"/>
  <c r="I298" i="24"/>
  <c r="H298" i="24"/>
  <c r="G298" i="24"/>
  <c r="F298" i="24"/>
  <c r="E298" i="24"/>
  <c r="D298" i="24"/>
  <c r="B298" i="24"/>
  <c r="K297" i="24"/>
  <c r="J297" i="24"/>
  <c r="I297" i="24"/>
  <c r="H297" i="24"/>
  <c r="G297" i="24"/>
  <c r="F297" i="24"/>
  <c r="E297" i="24"/>
  <c r="D297" i="24"/>
  <c r="B297" i="24"/>
  <c r="K294" i="24"/>
  <c r="J294" i="24"/>
  <c r="I294" i="24"/>
  <c r="H294" i="24"/>
  <c r="G294" i="24"/>
  <c r="F294" i="24"/>
  <c r="E294" i="24"/>
  <c r="D294" i="24"/>
  <c r="B294" i="24"/>
  <c r="B292" i="24"/>
  <c r="B286" i="24"/>
  <c r="P285" i="24"/>
  <c r="O285" i="24"/>
  <c r="N285" i="24"/>
  <c r="M285" i="24"/>
  <c r="L285" i="24"/>
  <c r="K285" i="24"/>
  <c r="J285" i="24"/>
  <c r="I285" i="24"/>
  <c r="H285" i="24"/>
  <c r="G285" i="24"/>
  <c r="F285" i="24"/>
  <c r="E285" i="24"/>
  <c r="D285" i="24"/>
  <c r="B285" i="24"/>
  <c r="P284" i="24"/>
  <c r="O284" i="24"/>
  <c r="N284" i="24"/>
  <c r="M284" i="24"/>
  <c r="L284" i="24"/>
  <c r="K284" i="24"/>
  <c r="J284" i="24"/>
  <c r="I284" i="24"/>
  <c r="H284" i="24"/>
  <c r="G284" i="24"/>
  <c r="F284" i="24"/>
  <c r="E284" i="24"/>
  <c r="D284" i="24"/>
  <c r="B284" i="24"/>
  <c r="P283" i="24"/>
  <c r="O283" i="24"/>
  <c r="N283" i="24"/>
  <c r="M283" i="24"/>
  <c r="L283" i="24"/>
  <c r="K283" i="24"/>
  <c r="J283" i="24"/>
  <c r="J286" i="24" s="1"/>
  <c r="I283" i="24"/>
  <c r="H283" i="24"/>
  <c r="G283" i="24"/>
  <c r="F283" i="24"/>
  <c r="E283" i="24"/>
  <c r="D283" i="24"/>
  <c r="B283" i="24"/>
  <c r="K280" i="24"/>
  <c r="J280" i="24"/>
  <c r="I280" i="24"/>
  <c r="H280" i="24"/>
  <c r="G280" i="24"/>
  <c r="F280" i="24"/>
  <c r="E280" i="24"/>
  <c r="D280" i="24"/>
  <c r="B280" i="24"/>
  <c r="K279" i="24"/>
  <c r="J279" i="24"/>
  <c r="I279" i="24"/>
  <c r="H279" i="24"/>
  <c r="G279" i="24"/>
  <c r="F279" i="24"/>
  <c r="E279" i="24"/>
  <c r="D279" i="24"/>
  <c r="B279" i="24"/>
  <c r="K276" i="24"/>
  <c r="J276" i="24"/>
  <c r="I276" i="24"/>
  <c r="H276" i="24"/>
  <c r="G276" i="24"/>
  <c r="F276" i="24"/>
  <c r="E276" i="24"/>
  <c r="D276" i="24"/>
  <c r="B276" i="24"/>
  <c r="B274" i="24"/>
  <c r="P273" i="24"/>
  <c r="O273" i="24"/>
  <c r="N273" i="24"/>
  <c r="M273" i="24"/>
  <c r="L273" i="24"/>
  <c r="K273" i="24"/>
  <c r="J273" i="24"/>
  <c r="I273" i="24"/>
  <c r="H273" i="24"/>
  <c r="G273" i="24"/>
  <c r="F273" i="24"/>
  <c r="E273" i="24"/>
  <c r="D273" i="24"/>
  <c r="Z271" i="24"/>
  <c r="Y271" i="24"/>
  <c r="X271" i="24"/>
  <c r="W271" i="24"/>
  <c r="V271" i="24"/>
  <c r="U271" i="24"/>
  <c r="T271" i="24"/>
  <c r="S271" i="24"/>
  <c r="R271" i="24"/>
  <c r="Q271" i="24"/>
  <c r="P271" i="24"/>
  <c r="K271" i="24"/>
  <c r="H271" i="24"/>
  <c r="B267" i="24"/>
  <c r="P266" i="24"/>
  <c r="O266" i="24"/>
  <c r="N266" i="24"/>
  <c r="M266" i="24"/>
  <c r="L266" i="24"/>
  <c r="K266" i="24"/>
  <c r="J266" i="24"/>
  <c r="I266" i="24"/>
  <c r="H266" i="24"/>
  <c r="G266" i="24"/>
  <c r="F266" i="24"/>
  <c r="E266" i="24"/>
  <c r="D266" i="24"/>
  <c r="B266" i="24"/>
  <c r="B264" i="24"/>
  <c r="Z263" i="24"/>
  <c r="Y263" i="24"/>
  <c r="X263" i="24"/>
  <c r="W263" i="24"/>
  <c r="V263" i="24"/>
  <c r="U263" i="24"/>
  <c r="T263" i="24"/>
  <c r="S263" i="24"/>
  <c r="R263" i="24"/>
  <c r="Q263" i="24"/>
  <c r="P263" i="24"/>
  <c r="O263" i="24"/>
  <c r="N263" i="24"/>
  <c r="M263" i="24"/>
  <c r="L263" i="24"/>
  <c r="I263" i="24"/>
  <c r="F263" i="24"/>
  <c r="E263" i="24"/>
  <c r="D263" i="24"/>
  <c r="B258" i="24"/>
  <c r="P257" i="24"/>
  <c r="O257" i="24"/>
  <c r="N257" i="24"/>
  <c r="M257" i="24"/>
  <c r="L257" i="24"/>
  <c r="K257" i="24"/>
  <c r="J257" i="24"/>
  <c r="I257" i="24"/>
  <c r="H257" i="24"/>
  <c r="G257" i="24"/>
  <c r="F257" i="24"/>
  <c r="E257" i="24"/>
  <c r="D257" i="24"/>
  <c r="B257" i="24"/>
  <c r="K256" i="24"/>
  <c r="J256" i="24"/>
  <c r="I256" i="24"/>
  <c r="H256" i="24"/>
  <c r="G256" i="24"/>
  <c r="F256" i="24"/>
  <c r="E256" i="24"/>
  <c r="D256" i="24"/>
  <c r="B256" i="24"/>
  <c r="P253" i="24"/>
  <c r="Q253" i="24" s="1"/>
  <c r="R253" i="24" s="1"/>
  <c r="O253" i="24"/>
  <c r="N253" i="24"/>
  <c r="M253" i="24"/>
  <c r="L253" i="24"/>
  <c r="K253" i="24"/>
  <c r="J253" i="24"/>
  <c r="I253" i="24"/>
  <c r="H253" i="24"/>
  <c r="G253" i="24"/>
  <c r="F253" i="24"/>
  <c r="E253" i="24"/>
  <c r="D253" i="24"/>
  <c r="B253" i="24"/>
  <c r="P252" i="24"/>
  <c r="Q252" i="24" s="1"/>
  <c r="R252" i="24" s="1"/>
  <c r="O252" i="24"/>
  <c r="N252" i="24"/>
  <c r="M252" i="24"/>
  <c r="L252" i="24"/>
  <c r="K252" i="24"/>
  <c r="J252" i="24"/>
  <c r="I252" i="24"/>
  <c r="H252" i="24"/>
  <c r="G252" i="24"/>
  <c r="F252" i="24"/>
  <c r="E252" i="24"/>
  <c r="D252" i="24"/>
  <c r="B252" i="24"/>
  <c r="K249" i="24"/>
  <c r="J249" i="24"/>
  <c r="I249" i="24"/>
  <c r="H249" i="24"/>
  <c r="G249" i="24"/>
  <c r="F249" i="24"/>
  <c r="E249" i="24"/>
  <c r="D249" i="24"/>
  <c r="B249" i="24"/>
  <c r="P248" i="24"/>
  <c r="O248" i="24"/>
  <c r="N248" i="24"/>
  <c r="M248" i="24"/>
  <c r="L248" i="24"/>
  <c r="K248" i="24"/>
  <c r="J248" i="24"/>
  <c r="I248" i="24"/>
  <c r="H248" i="24"/>
  <c r="G248" i="24"/>
  <c r="F248" i="24"/>
  <c r="E248" i="24"/>
  <c r="D248" i="24"/>
  <c r="B248" i="24"/>
  <c r="P247" i="24"/>
  <c r="O247" i="24"/>
  <c r="N247" i="24"/>
  <c r="M247" i="24"/>
  <c r="L247" i="24"/>
  <c r="K247" i="24"/>
  <c r="J247" i="24"/>
  <c r="I247" i="24"/>
  <c r="H247" i="24"/>
  <c r="G247" i="24"/>
  <c r="F247" i="24"/>
  <c r="E247" i="24"/>
  <c r="D247" i="24"/>
  <c r="D246" i="24" s="1"/>
  <c r="B247" i="24"/>
  <c r="P243" i="24"/>
  <c r="O243" i="24"/>
  <c r="N243" i="24"/>
  <c r="M243" i="24"/>
  <c r="L243" i="24"/>
  <c r="K243" i="24"/>
  <c r="J243" i="24"/>
  <c r="I243" i="24"/>
  <c r="H243" i="24"/>
  <c r="G243" i="24"/>
  <c r="F243" i="24"/>
  <c r="E243" i="24"/>
  <c r="D243" i="24"/>
  <c r="B243" i="24"/>
  <c r="P242" i="24"/>
  <c r="Q242" i="24" s="1"/>
  <c r="R242" i="24" s="1"/>
  <c r="S242" i="24" s="1"/>
  <c r="T242" i="24" s="1"/>
  <c r="U242" i="24" s="1"/>
  <c r="V242" i="24" s="1"/>
  <c r="W242" i="24" s="1"/>
  <c r="X242" i="24" s="1"/>
  <c r="Y242" i="24" s="1"/>
  <c r="Z242" i="24" s="1"/>
  <c r="O242" i="24"/>
  <c r="N242" i="24"/>
  <c r="M242" i="24"/>
  <c r="L242" i="24"/>
  <c r="K242" i="24"/>
  <c r="J242" i="24"/>
  <c r="I242" i="24"/>
  <c r="H242" i="24"/>
  <c r="G242" i="24"/>
  <c r="F242" i="24"/>
  <c r="E242" i="24"/>
  <c r="D242" i="24"/>
  <c r="B242" i="24"/>
  <c r="P240" i="24"/>
  <c r="O240" i="24"/>
  <c r="N240" i="24"/>
  <c r="M240" i="24"/>
  <c r="L240" i="24"/>
  <c r="K240" i="24"/>
  <c r="J240" i="24"/>
  <c r="I240" i="24"/>
  <c r="H240" i="24"/>
  <c r="G240" i="24"/>
  <c r="F240" i="24"/>
  <c r="E240" i="24"/>
  <c r="D240" i="24"/>
  <c r="B240" i="24"/>
  <c r="P239" i="24"/>
  <c r="O239" i="24"/>
  <c r="N239" i="24"/>
  <c r="M239" i="24"/>
  <c r="L239" i="24"/>
  <c r="K239" i="24"/>
  <c r="J239" i="24"/>
  <c r="I239" i="24"/>
  <c r="H239" i="24"/>
  <c r="G239" i="24"/>
  <c r="F239" i="24"/>
  <c r="E239" i="24"/>
  <c r="D239" i="24"/>
  <c r="B239" i="24"/>
  <c r="P238" i="24"/>
  <c r="O238" i="24"/>
  <c r="O290" i="24" s="1"/>
  <c r="N238" i="24"/>
  <c r="N290" i="24" s="1"/>
  <c r="M238" i="24"/>
  <c r="M290" i="24" s="1"/>
  <c r="L238" i="24"/>
  <c r="K238" i="24"/>
  <c r="K290" i="24" s="1"/>
  <c r="J238" i="24"/>
  <c r="I238" i="24"/>
  <c r="I290" i="24" s="1"/>
  <c r="H238" i="24"/>
  <c r="G238" i="24"/>
  <c r="G290" i="24" s="1"/>
  <c r="F238" i="24"/>
  <c r="E238" i="24"/>
  <c r="E290" i="24" s="1"/>
  <c r="D238" i="24"/>
  <c r="B238" i="24"/>
  <c r="P233" i="24"/>
  <c r="O233" i="24"/>
  <c r="N233" i="24"/>
  <c r="M233" i="24"/>
  <c r="L233" i="24"/>
  <c r="K233" i="24"/>
  <c r="J233" i="24"/>
  <c r="I233" i="24"/>
  <c r="H233" i="24"/>
  <c r="G233" i="24"/>
  <c r="F233" i="24"/>
  <c r="E233" i="24"/>
  <c r="D233" i="24"/>
  <c r="B233" i="24"/>
  <c r="P232" i="24"/>
  <c r="O232" i="24"/>
  <c r="N232" i="24"/>
  <c r="M232" i="24"/>
  <c r="L232" i="24"/>
  <c r="K232" i="24"/>
  <c r="J232" i="24"/>
  <c r="I232" i="24"/>
  <c r="H232" i="24"/>
  <c r="G232" i="24"/>
  <c r="F232" i="24"/>
  <c r="E232" i="24"/>
  <c r="D232" i="24"/>
  <c r="B232" i="24"/>
  <c r="P231" i="24"/>
  <c r="O231" i="24"/>
  <c r="N231" i="24"/>
  <c r="M231" i="24"/>
  <c r="L231" i="24"/>
  <c r="K231" i="24"/>
  <c r="J231" i="24"/>
  <c r="I231" i="24"/>
  <c r="H231" i="24"/>
  <c r="G231" i="24"/>
  <c r="F231" i="24"/>
  <c r="E231" i="24"/>
  <c r="D231" i="24"/>
  <c r="B231" i="24"/>
  <c r="P230" i="24"/>
  <c r="O230" i="24"/>
  <c r="N230" i="24"/>
  <c r="M230" i="24"/>
  <c r="L230" i="24"/>
  <c r="K230" i="24"/>
  <c r="J230" i="24"/>
  <c r="I230" i="24"/>
  <c r="H230" i="24"/>
  <c r="G230" i="24"/>
  <c r="F230" i="24"/>
  <c r="E230" i="24"/>
  <c r="D230" i="24"/>
  <c r="B230" i="24"/>
  <c r="P226" i="24"/>
  <c r="O226" i="24"/>
  <c r="N226" i="24"/>
  <c r="M226" i="24"/>
  <c r="L226" i="24"/>
  <c r="K226" i="24"/>
  <c r="J226" i="24"/>
  <c r="I226" i="24"/>
  <c r="H226" i="24"/>
  <c r="G226" i="24"/>
  <c r="F226" i="24"/>
  <c r="E226" i="24"/>
  <c r="D226" i="24"/>
  <c r="B226" i="24"/>
  <c r="P225" i="24"/>
  <c r="O225" i="24"/>
  <c r="N225" i="24"/>
  <c r="M225" i="24"/>
  <c r="L225" i="24"/>
  <c r="K225" i="24"/>
  <c r="J225" i="24"/>
  <c r="I225" i="24"/>
  <c r="H225" i="24"/>
  <c r="G225" i="24"/>
  <c r="F225" i="24"/>
  <c r="E225" i="24"/>
  <c r="D225" i="24"/>
  <c r="B225" i="24"/>
  <c r="P224" i="24"/>
  <c r="O224" i="24"/>
  <c r="N224" i="24"/>
  <c r="M224" i="24"/>
  <c r="L224" i="24"/>
  <c r="K224" i="24"/>
  <c r="J224" i="24"/>
  <c r="I224" i="24"/>
  <c r="H224" i="24"/>
  <c r="G224" i="24"/>
  <c r="F224" i="24"/>
  <c r="E224" i="24"/>
  <c r="D224" i="24"/>
  <c r="B224" i="24"/>
  <c r="K223" i="24"/>
  <c r="J223" i="24"/>
  <c r="I223" i="24"/>
  <c r="H223" i="24"/>
  <c r="G223" i="24"/>
  <c r="F223" i="24"/>
  <c r="E223" i="24"/>
  <c r="D223" i="24"/>
  <c r="B223" i="24"/>
  <c r="P220" i="24"/>
  <c r="O220" i="24"/>
  <c r="N220" i="24"/>
  <c r="M220" i="24"/>
  <c r="L220" i="24"/>
  <c r="K220" i="24"/>
  <c r="J220" i="24"/>
  <c r="I220" i="24"/>
  <c r="H220" i="24"/>
  <c r="G220" i="24"/>
  <c r="F220" i="24"/>
  <c r="E220" i="24"/>
  <c r="D220" i="24"/>
  <c r="B220" i="24"/>
  <c r="P219" i="24"/>
  <c r="O219" i="24"/>
  <c r="N219" i="24"/>
  <c r="M219" i="24"/>
  <c r="L219" i="24"/>
  <c r="K219" i="24"/>
  <c r="J219" i="24"/>
  <c r="I219" i="24"/>
  <c r="H219" i="24"/>
  <c r="G219" i="24"/>
  <c r="F219" i="24"/>
  <c r="E219" i="24"/>
  <c r="D219" i="24"/>
  <c r="B219" i="24"/>
  <c r="P217" i="24"/>
  <c r="O217" i="24"/>
  <c r="N217" i="24"/>
  <c r="M217" i="24"/>
  <c r="L217" i="24"/>
  <c r="K217" i="24"/>
  <c r="J217" i="24"/>
  <c r="I217" i="24"/>
  <c r="H217" i="24"/>
  <c r="G217" i="24"/>
  <c r="F217" i="24"/>
  <c r="E217" i="24"/>
  <c r="D217" i="24"/>
  <c r="B217" i="24"/>
  <c r="P216" i="24"/>
  <c r="O216" i="24"/>
  <c r="N216" i="24"/>
  <c r="M216" i="24"/>
  <c r="L216" i="24"/>
  <c r="K216" i="24"/>
  <c r="I216" i="24"/>
  <c r="H216" i="24"/>
  <c r="G216" i="24"/>
  <c r="F216" i="24"/>
  <c r="E216" i="24"/>
  <c r="D216" i="24"/>
  <c r="B216" i="24"/>
  <c r="P215" i="24"/>
  <c r="O215" i="24"/>
  <c r="N215" i="24"/>
  <c r="M215" i="24"/>
  <c r="L215" i="24"/>
  <c r="K215" i="24"/>
  <c r="I215" i="24"/>
  <c r="H215" i="24"/>
  <c r="G215" i="24"/>
  <c r="F215" i="24"/>
  <c r="E215" i="24"/>
  <c r="D215" i="24"/>
  <c r="B215" i="24"/>
  <c r="P211" i="24"/>
  <c r="O211" i="24"/>
  <c r="N211" i="24"/>
  <c r="M211" i="24"/>
  <c r="L211" i="24"/>
  <c r="K211" i="24"/>
  <c r="J211" i="24"/>
  <c r="I211" i="24"/>
  <c r="H211" i="24"/>
  <c r="G211" i="24"/>
  <c r="F211" i="24"/>
  <c r="E211" i="24"/>
  <c r="D211" i="24"/>
  <c r="B211" i="24"/>
  <c r="P210" i="24"/>
  <c r="O210" i="24"/>
  <c r="N210" i="24"/>
  <c r="M210" i="24"/>
  <c r="L210" i="24"/>
  <c r="K210" i="24"/>
  <c r="J210" i="24"/>
  <c r="I210" i="24"/>
  <c r="H210" i="24"/>
  <c r="G210" i="24"/>
  <c r="F210" i="24"/>
  <c r="E210" i="24"/>
  <c r="D210" i="24"/>
  <c r="B210" i="24"/>
  <c r="P209" i="24"/>
  <c r="O209" i="24"/>
  <c r="N209" i="24"/>
  <c r="M209" i="24"/>
  <c r="L209" i="24"/>
  <c r="K209" i="24"/>
  <c r="J209" i="24"/>
  <c r="I209" i="24"/>
  <c r="H209" i="24"/>
  <c r="G209" i="24"/>
  <c r="F209" i="24"/>
  <c r="E209" i="24"/>
  <c r="D209" i="24"/>
  <c r="B209" i="24"/>
  <c r="P208" i="24"/>
  <c r="O208" i="24"/>
  <c r="N208" i="24"/>
  <c r="M208" i="24"/>
  <c r="L208" i="24"/>
  <c r="K208" i="24"/>
  <c r="J208" i="24"/>
  <c r="I208" i="24"/>
  <c r="H208" i="24"/>
  <c r="G208" i="24"/>
  <c r="F208" i="24"/>
  <c r="E208" i="24"/>
  <c r="D208" i="24"/>
  <c r="B208" i="24"/>
  <c r="P205" i="24"/>
  <c r="O205" i="24"/>
  <c r="N205" i="24"/>
  <c r="M205" i="24"/>
  <c r="L205" i="24"/>
  <c r="K205" i="24"/>
  <c r="J205" i="24"/>
  <c r="I205" i="24"/>
  <c r="H205" i="24"/>
  <c r="G205" i="24"/>
  <c r="F205" i="24"/>
  <c r="E205" i="24"/>
  <c r="D205" i="24"/>
  <c r="P204" i="24"/>
  <c r="O204" i="24"/>
  <c r="N204" i="24"/>
  <c r="M204" i="24"/>
  <c r="L204" i="24"/>
  <c r="K204" i="24"/>
  <c r="J204" i="24"/>
  <c r="I204" i="24"/>
  <c r="H204" i="24"/>
  <c r="G204" i="24"/>
  <c r="F204" i="24"/>
  <c r="E204" i="24"/>
  <c r="D204" i="24"/>
  <c r="P203" i="24"/>
  <c r="O203" i="24"/>
  <c r="N203" i="24"/>
  <c r="M203" i="24"/>
  <c r="L203" i="24"/>
  <c r="K203" i="24"/>
  <c r="J203" i="24"/>
  <c r="I203" i="24"/>
  <c r="H203" i="24"/>
  <c r="G203" i="24"/>
  <c r="F203" i="24"/>
  <c r="E203" i="24"/>
  <c r="D203" i="24"/>
  <c r="P202" i="24"/>
  <c r="O202" i="24"/>
  <c r="N202" i="24"/>
  <c r="M202" i="24"/>
  <c r="L202" i="24"/>
  <c r="K202" i="24"/>
  <c r="J202" i="24"/>
  <c r="I202" i="24"/>
  <c r="H202" i="24"/>
  <c r="G202" i="24"/>
  <c r="F202" i="24"/>
  <c r="E202" i="24"/>
  <c r="D202" i="24"/>
  <c r="B199" i="24"/>
  <c r="P198" i="24"/>
  <c r="Q198" i="24" s="1"/>
  <c r="R198" i="24" s="1"/>
  <c r="S198" i="24" s="1"/>
  <c r="T198" i="24" s="1"/>
  <c r="U198" i="24" s="1"/>
  <c r="V198" i="24" s="1"/>
  <c r="W198" i="24" s="1"/>
  <c r="X198" i="24" s="1"/>
  <c r="Y198" i="24" s="1"/>
  <c r="Z198" i="24" s="1"/>
  <c r="O198" i="24"/>
  <c r="N198" i="24"/>
  <c r="M198" i="24"/>
  <c r="L198" i="24"/>
  <c r="K198" i="24"/>
  <c r="J198" i="24"/>
  <c r="I198" i="24"/>
  <c r="H198" i="24"/>
  <c r="G198" i="24"/>
  <c r="F198" i="24"/>
  <c r="E198" i="24"/>
  <c r="D198" i="24"/>
  <c r="B198" i="24"/>
  <c r="B196" i="24"/>
  <c r="P195" i="24"/>
  <c r="O195" i="24"/>
  <c r="N195" i="24"/>
  <c r="M195" i="24"/>
  <c r="L195" i="24"/>
  <c r="K195" i="24"/>
  <c r="J195" i="24"/>
  <c r="I195" i="24"/>
  <c r="H195" i="24"/>
  <c r="G195" i="24"/>
  <c r="F195" i="24"/>
  <c r="E195" i="24"/>
  <c r="D195" i="24"/>
  <c r="B195" i="24"/>
  <c r="P193" i="24"/>
  <c r="P272" i="24" s="1"/>
  <c r="O193" i="24"/>
  <c r="O272" i="24" s="1"/>
  <c r="N193" i="24"/>
  <c r="N272" i="24" s="1"/>
  <c r="M193" i="24"/>
  <c r="M272" i="24" s="1"/>
  <c r="L193" i="24"/>
  <c r="L272" i="24" s="1"/>
  <c r="K193" i="24"/>
  <c r="K272" i="24" s="1"/>
  <c r="J193" i="24"/>
  <c r="J272" i="24" s="1"/>
  <c r="I193" i="24"/>
  <c r="I272" i="24" s="1"/>
  <c r="H193" i="24"/>
  <c r="H272" i="24" s="1"/>
  <c r="G193" i="24"/>
  <c r="G272" i="24" s="1"/>
  <c r="F193" i="24"/>
  <c r="F272" i="24" s="1"/>
  <c r="E193" i="24"/>
  <c r="E272" i="24" s="1"/>
  <c r="D193" i="24"/>
  <c r="D272" i="24" s="1"/>
  <c r="B193" i="24"/>
  <c r="Q192" i="24"/>
  <c r="Q291" i="24" s="1"/>
  <c r="P192" i="24"/>
  <c r="P291" i="24" s="1"/>
  <c r="O192" i="24"/>
  <c r="O291" i="24" s="1"/>
  <c r="N192" i="24"/>
  <c r="N291" i="24" s="1"/>
  <c r="M192" i="24"/>
  <c r="M291" i="24" s="1"/>
  <c r="L192" i="24"/>
  <c r="L291" i="24" s="1"/>
  <c r="K192" i="24"/>
  <c r="K291" i="24" s="1"/>
  <c r="J192" i="24"/>
  <c r="J291" i="24" s="1"/>
  <c r="I192" i="24"/>
  <c r="I291" i="24" s="1"/>
  <c r="H192" i="24"/>
  <c r="H291" i="24" s="1"/>
  <c r="G192" i="24"/>
  <c r="G291" i="24" s="1"/>
  <c r="F192" i="24"/>
  <c r="F291" i="24" s="1"/>
  <c r="E192" i="24"/>
  <c r="E291" i="24" s="1"/>
  <c r="D192" i="24"/>
  <c r="D291" i="24" s="1"/>
  <c r="B192" i="24"/>
  <c r="P190" i="24"/>
  <c r="P262" i="24" s="1"/>
  <c r="O190" i="24"/>
  <c r="O262" i="24" s="1"/>
  <c r="N190" i="24"/>
  <c r="N262" i="24" s="1"/>
  <c r="M190" i="24"/>
  <c r="M262" i="24" s="1"/>
  <c r="L190" i="24"/>
  <c r="L262" i="24" s="1"/>
  <c r="K190" i="24"/>
  <c r="K262" i="24" s="1"/>
  <c r="J190" i="24"/>
  <c r="J262" i="24" s="1"/>
  <c r="I190" i="24"/>
  <c r="I262" i="24" s="1"/>
  <c r="H190" i="24"/>
  <c r="H262" i="24" s="1"/>
  <c r="G190" i="24"/>
  <c r="G262" i="24" s="1"/>
  <c r="F190" i="24"/>
  <c r="F262" i="24" s="1"/>
  <c r="E190" i="24"/>
  <c r="E262" i="24" s="1"/>
  <c r="D190" i="24"/>
  <c r="D262" i="24" s="1"/>
  <c r="B190" i="24"/>
  <c r="P188" i="24"/>
  <c r="O188" i="24"/>
  <c r="N188" i="24"/>
  <c r="M188" i="24"/>
  <c r="L188" i="24"/>
  <c r="K188" i="24"/>
  <c r="J188" i="24"/>
  <c r="I188" i="24"/>
  <c r="H188" i="24"/>
  <c r="G188" i="24"/>
  <c r="F188" i="24"/>
  <c r="E188" i="24"/>
  <c r="D188" i="24"/>
  <c r="B188" i="24"/>
  <c r="P187" i="24"/>
  <c r="O187" i="24"/>
  <c r="N187" i="24"/>
  <c r="M187" i="24"/>
  <c r="L187" i="24"/>
  <c r="K187" i="24"/>
  <c r="J187" i="24"/>
  <c r="I187" i="24"/>
  <c r="H187" i="24"/>
  <c r="G187" i="24"/>
  <c r="F187" i="24"/>
  <c r="E187" i="24"/>
  <c r="D187" i="24"/>
  <c r="B187" i="24"/>
  <c r="P186" i="24"/>
  <c r="O186" i="24"/>
  <c r="N186" i="24"/>
  <c r="M186" i="24"/>
  <c r="L186" i="24"/>
  <c r="K186" i="24"/>
  <c r="J186" i="24"/>
  <c r="I186" i="24"/>
  <c r="H186" i="24"/>
  <c r="G186" i="24"/>
  <c r="F186" i="24"/>
  <c r="E186" i="24"/>
  <c r="D186" i="24"/>
  <c r="B186" i="24"/>
  <c r="P185" i="24"/>
  <c r="O185" i="24"/>
  <c r="N185" i="24"/>
  <c r="M185" i="24"/>
  <c r="L185" i="24"/>
  <c r="K185" i="24"/>
  <c r="J185" i="24"/>
  <c r="I185" i="24"/>
  <c r="H185" i="24"/>
  <c r="G185" i="24"/>
  <c r="F185" i="24"/>
  <c r="E185" i="24"/>
  <c r="D185" i="24"/>
  <c r="B185" i="24"/>
  <c r="P184" i="24"/>
  <c r="O184" i="24"/>
  <c r="N184" i="24"/>
  <c r="M184" i="24"/>
  <c r="L184" i="24"/>
  <c r="K184" i="24"/>
  <c r="J184" i="24"/>
  <c r="I184" i="24"/>
  <c r="H184" i="24"/>
  <c r="G184" i="24"/>
  <c r="F184" i="24"/>
  <c r="E184" i="24"/>
  <c r="D184" i="24"/>
  <c r="B184" i="24"/>
  <c r="P183" i="24"/>
  <c r="O183" i="24"/>
  <c r="N183" i="24"/>
  <c r="M183" i="24"/>
  <c r="L183" i="24"/>
  <c r="K183" i="24"/>
  <c r="J183" i="24"/>
  <c r="I183" i="24"/>
  <c r="H183" i="24"/>
  <c r="G183" i="24"/>
  <c r="F183" i="24"/>
  <c r="E183" i="24"/>
  <c r="D183" i="24"/>
  <c r="B183" i="24"/>
  <c r="P182" i="24"/>
  <c r="O182" i="24"/>
  <c r="N182" i="24"/>
  <c r="M182" i="24"/>
  <c r="L182" i="24"/>
  <c r="K182" i="24"/>
  <c r="J182" i="24"/>
  <c r="I182" i="24"/>
  <c r="H182" i="24"/>
  <c r="G182" i="24"/>
  <c r="F182" i="24"/>
  <c r="E182" i="24"/>
  <c r="D182" i="24"/>
  <c r="B182" i="24"/>
  <c r="B179" i="24"/>
  <c r="B177" i="24"/>
  <c r="P172" i="24"/>
  <c r="O172" i="24"/>
  <c r="N172" i="24"/>
  <c r="M172" i="24"/>
  <c r="L172" i="24"/>
  <c r="K172" i="24"/>
  <c r="J172" i="24"/>
  <c r="I172" i="24"/>
  <c r="H172" i="24"/>
  <c r="G172" i="24"/>
  <c r="F172" i="24"/>
  <c r="E172" i="24"/>
  <c r="D172" i="24"/>
  <c r="P171" i="24"/>
  <c r="O171" i="24"/>
  <c r="N171" i="24"/>
  <c r="M171" i="24"/>
  <c r="L171" i="24"/>
  <c r="K171" i="24"/>
  <c r="J171" i="24"/>
  <c r="I171" i="24"/>
  <c r="H171" i="24"/>
  <c r="G171" i="24"/>
  <c r="F171" i="24"/>
  <c r="E171" i="24"/>
  <c r="D171" i="24"/>
  <c r="B169" i="24"/>
  <c r="P164" i="24"/>
  <c r="O164" i="24"/>
  <c r="N164" i="24"/>
  <c r="M164" i="24"/>
  <c r="L164" i="24"/>
  <c r="K164" i="24"/>
  <c r="J164" i="24"/>
  <c r="I164" i="24"/>
  <c r="H164" i="24"/>
  <c r="G164" i="24"/>
  <c r="F164" i="24"/>
  <c r="E164" i="24"/>
  <c r="D164" i="24"/>
  <c r="B164" i="24"/>
  <c r="P163" i="24"/>
  <c r="O163" i="24"/>
  <c r="N163" i="24"/>
  <c r="M163" i="24"/>
  <c r="L163" i="24"/>
  <c r="K163" i="24"/>
  <c r="J163" i="24"/>
  <c r="I163" i="24"/>
  <c r="H163" i="24"/>
  <c r="G163" i="24"/>
  <c r="F163" i="24"/>
  <c r="E163" i="24"/>
  <c r="D163" i="24"/>
  <c r="B163" i="24"/>
  <c r="P162" i="24"/>
  <c r="O162" i="24"/>
  <c r="N162" i="24"/>
  <c r="M162" i="24"/>
  <c r="L162" i="24"/>
  <c r="K162" i="24"/>
  <c r="J162" i="24"/>
  <c r="I162" i="24"/>
  <c r="H162" i="24"/>
  <c r="G162" i="24"/>
  <c r="F162" i="24"/>
  <c r="E162" i="24"/>
  <c r="D162" i="24"/>
  <c r="B162" i="24"/>
  <c r="B160" i="24"/>
  <c r="Z159" i="24"/>
  <c r="Y159" i="24"/>
  <c r="X159" i="24"/>
  <c r="W159" i="24"/>
  <c r="V159" i="24"/>
  <c r="U159" i="24"/>
  <c r="T159" i="24"/>
  <c r="S159" i="24"/>
  <c r="R159" i="24"/>
  <c r="Q159" i="24"/>
  <c r="P159" i="24"/>
  <c r="O159" i="24"/>
  <c r="N159" i="24"/>
  <c r="M159" i="24"/>
  <c r="L159" i="24"/>
  <c r="I159" i="24"/>
  <c r="F159" i="24"/>
  <c r="E159" i="24"/>
  <c r="D159" i="24"/>
  <c r="P155" i="24"/>
  <c r="O155" i="24"/>
  <c r="N155" i="24"/>
  <c r="M155" i="24"/>
  <c r="L155" i="24"/>
  <c r="K155" i="24"/>
  <c r="J155" i="24"/>
  <c r="I155" i="24"/>
  <c r="H155" i="24"/>
  <c r="G155" i="24"/>
  <c r="F155" i="24"/>
  <c r="E155" i="24"/>
  <c r="D155" i="24"/>
  <c r="B155" i="24"/>
  <c r="P154" i="24"/>
  <c r="O154" i="24"/>
  <c r="N154" i="24"/>
  <c r="M154" i="24"/>
  <c r="L154" i="24"/>
  <c r="K154" i="24"/>
  <c r="J154" i="24"/>
  <c r="I154" i="24"/>
  <c r="H154" i="24"/>
  <c r="G154" i="24"/>
  <c r="F154" i="24"/>
  <c r="E154" i="24"/>
  <c r="D154" i="24"/>
  <c r="B154" i="24"/>
  <c r="P151" i="24"/>
  <c r="Q151" i="24" s="1"/>
  <c r="R151" i="24" s="1"/>
  <c r="S151" i="24" s="1"/>
  <c r="T151" i="24" s="1"/>
  <c r="U151" i="24" s="1"/>
  <c r="V151" i="24" s="1"/>
  <c r="W151" i="24" s="1"/>
  <c r="X151" i="24" s="1"/>
  <c r="Y151" i="24" s="1"/>
  <c r="Z151" i="24" s="1"/>
  <c r="O151" i="24"/>
  <c r="N151" i="24"/>
  <c r="M151" i="24"/>
  <c r="L151" i="24"/>
  <c r="K151" i="24"/>
  <c r="J151" i="24"/>
  <c r="I151" i="24"/>
  <c r="H151" i="24"/>
  <c r="G151" i="24"/>
  <c r="F151" i="24"/>
  <c r="E151" i="24"/>
  <c r="D151" i="24"/>
  <c r="B151" i="24"/>
  <c r="B149" i="24"/>
  <c r="P148" i="24"/>
  <c r="Q148" i="24" s="1"/>
  <c r="R148" i="24" s="1"/>
  <c r="S148" i="24" s="1"/>
  <c r="T148" i="24" s="1"/>
  <c r="U148" i="24" s="1"/>
  <c r="V148" i="24" s="1"/>
  <c r="W148" i="24" s="1"/>
  <c r="X148" i="24" s="1"/>
  <c r="Y148" i="24" s="1"/>
  <c r="Z148" i="24" s="1"/>
  <c r="O148" i="24"/>
  <c r="N148" i="24"/>
  <c r="M148" i="24"/>
  <c r="L148" i="24"/>
  <c r="K148" i="24"/>
  <c r="J148" i="24"/>
  <c r="I148" i="24"/>
  <c r="H148" i="24"/>
  <c r="G148" i="24"/>
  <c r="F148" i="24"/>
  <c r="E148" i="24"/>
  <c r="D148" i="24"/>
  <c r="B148" i="24"/>
  <c r="B146" i="24"/>
  <c r="P145" i="24"/>
  <c r="O145" i="24"/>
  <c r="O146" i="24" s="1"/>
  <c r="O147" i="24" s="1"/>
  <c r="N145" i="24"/>
  <c r="N146" i="24" s="1"/>
  <c r="M145" i="24"/>
  <c r="M146" i="24" s="1"/>
  <c r="M147" i="24" s="1"/>
  <c r="L145" i="24"/>
  <c r="L146" i="24" s="1"/>
  <c r="L147" i="24" s="1"/>
  <c r="K145" i="24"/>
  <c r="J145" i="24"/>
  <c r="I145" i="24"/>
  <c r="I146" i="24" s="1"/>
  <c r="I147" i="24" s="1"/>
  <c r="H145" i="24"/>
  <c r="H146" i="24" s="1"/>
  <c r="G145" i="24"/>
  <c r="G146" i="24" s="1"/>
  <c r="G147" i="24" s="1"/>
  <c r="F145" i="24"/>
  <c r="F146" i="24" s="1"/>
  <c r="E145" i="24"/>
  <c r="D145" i="24"/>
  <c r="D146" i="24" s="1"/>
  <c r="D147" i="24" s="1"/>
  <c r="B145" i="24"/>
  <c r="B141" i="24"/>
  <c r="P139" i="24"/>
  <c r="O139" i="24"/>
  <c r="N139" i="24"/>
  <c r="M139" i="24"/>
  <c r="L139" i="24"/>
  <c r="K139" i="24"/>
  <c r="J139" i="24"/>
  <c r="I139" i="24"/>
  <c r="H139" i="24"/>
  <c r="G139" i="24"/>
  <c r="F139" i="24"/>
  <c r="E139" i="24"/>
  <c r="D139" i="24"/>
  <c r="B139" i="24"/>
  <c r="P138" i="24"/>
  <c r="O138" i="24"/>
  <c r="N138" i="24"/>
  <c r="M138" i="24"/>
  <c r="L138" i="24"/>
  <c r="K138" i="24"/>
  <c r="J138" i="24"/>
  <c r="I138" i="24"/>
  <c r="H138" i="24"/>
  <c r="G138" i="24"/>
  <c r="F138" i="24"/>
  <c r="E138" i="24"/>
  <c r="D138" i="24"/>
  <c r="B138" i="24"/>
  <c r="P137" i="24"/>
  <c r="O137" i="24"/>
  <c r="N137" i="24"/>
  <c r="M137" i="24"/>
  <c r="L137" i="24"/>
  <c r="K137" i="24"/>
  <c r="J137" i="24"/>
  <c r="I137" i="24"/>
  <c r="H137" i="24"/>
  <c r="G137" i="24"/>
  <c r="F137" i="24"/>
  <c r="E137" i="24"/>
  <c r="D137" i="24"/>
  <c r="B137" i="24"/>
  <c r="P136" i="24"/>
  <c r="O136" i="24"/>
  <c r="N136" i="24"/>
  <c r="M136" i="24"/>
  <c r="L136" i="24"/>
  <c r="K136" i="24"/>
  <c r="J136" i="24"/>
  <c r="I136" i="24"/>
  <c r="H136" i="24"/>
  <c r="G136" i="24"/>
  <c r="F136" i="24"/>
  <c r="E136" i="24"/>
  <c r="D136" i="24"/>
  <c r="B136" i="24"/>
  <c r="P135" i="24"/>
  <c r="O135" i="24"/>
  <c r="N135" i="24"/>
  <c r="M135" i="24"/>
  <c r="L135" i="24"/>
  <c r="K135" i="24"/>
  <c r="J135" i="24"/>
  <c r="I135" i="24"/>
  <c r="H135" i="24"/>
  <c r="G135" i="24"/>
  <c r="F135" i="24"/>
  <c r="E135" i="24"/>
  <c r="D135" i="24"/>
  <c r="B135" i="24"/>
  <c r="P134" i="24"/>
  <c r="O134" i="24"/>
  <c r="N134" i="24"/>
  <c r="M134" i="24"/>
  <c r="L134" i="24"/>
  <c r="K134" i="24"/>
  <c r="J134" i="24"/>
  <c r="I134" i="24"/>
  <c r="H134" i="24"/>
  <c r="G134" i="24"/>
  <c r="F134" i="24"/>
  <c r="E134" i="24"/>
  <c r="D134" i="24"/>
  <c r="B134" i="24"/>
  <c r="P127" i="24"/>
  <c r="O127" i="24"/>
  <c r="N127" i="24"/>
  <c r="M127" i="24"/>
  <c r="L127" i="24"/>
  <c r="K127" i="24"/>
  <c r="J127" i="24"/>
  <c r="I127" i="24"/>
  <c r="H127" i="24"/>
  <c r="G127" i="24"/>
  <c r="F127" i="24"/>
  <c r="E127" i="24"/>
  <c r="D127" i="24"/>
  <c r="B127" i="24"/>
  <c r="P126" i="24"/>
  <c r="O126" i="24"/>
  <c r="N126" i="24"/>
  <c r="M126" i="24"/>
  <c r="L126" i="24"/>
  <c r="K126" i="24"/>
  <c r="J126" i="24"/>
  <c r="I126" i="24"/>
  <c r="H126" i="24"/>
  <c r="G126" i="24"/>
  <c r="F126" i="24"/>
  <c r="E126" i="24"/>
  <c r="D126" i="24"/>
  <c r="B126" i="24"/>
  <c r="P125" i="24"/>
  <c r="O125" i="24"/>
  <c r="N125" i="24"/>
  <c r="M125" i="24"/>
  <c r="L125" i="24"/>
  <c r="K125" i="24"/>
  <c r="J125" i="24"/>
  <c r="I125" i="24"/>
  <c r="H125" i="24"/>
  <c r="G125" i="24"/>
  <c r="F125" i="24"/>
  <c r="E125" i="24"/>
  <c r="D125" i="24"/>
  <c r="B125" i="24"/>
  <c r="P124" i="24"/>
  <c r="O124" i="24"/>
  <c r="N124" i="24"/>
  <c r="M124" i="24"/>
  <c r="L124" i="24"/>
  <c r="K124" i="24"/>
  <c r="J124" i="24"/>
  <c r="I124" i="24"/>
  <c r="H124" i="24"/>
  <c r="G124" i="24"/>
  <c r="F124" i="24"/>
  <c r="E124" i="24"/>
  <c r="D124" i="24"/>
  <c r="B124" i="24"/>
  <c r="P123" i="24"/>
  <c r="O123" i="24"/>
  <c r="N123" i="24"/>
  <c r="M123" i="24"/>
  <c r="L123" i="24"/>
  <c r="K123" i="24"/>
  <c r="J123" i="24"/>
  <c r="I123" i="24"/>
  <c r="H123" i="24"/>
  <c r="G123" i="24"/>
  <c r="F123" i="24"/>
  <c r="E123" i="24"/>
  <c r="D123" i="24"/>
  <c r="B123" i="24"/>
  <c r="P122" i="24"/>
  <c r="O122" i="24"/>
  <c r="N122" i="24"/>
  <c r="M122" i="24"/>
  <c r="L122" i="24"/>
  <c r="K122" i="24"/>
  <c r="J122" i="24"/>
  <c r="I122" i="24"/>
  <c r="H122" i="24"/>
  <c r="G122" i="24"/>
  <c r="F122" i="24"/>
  <c r="E122" i="24"/>
  <c r="D122" i="24"/>
  <c r="B122" i="24"/>
  <c r="P120" i="24"/>
  <c r="O120" i="24"/>
  <c r="N120" i="24"/>
  <c r="M120" i="24"/>
  <c r="L120" i="24"/>
  <c r="K120" i="24"/>
  <c r="J120" i="24"/>
  <c r="I120" i="24"/>
  <c r="H120" i="24"/>
  <c r="G120" i="24"/>
  <c r="F120" i="24"/>
  <c r="E120" i="24"/>
  <c r="D120" i="24"/>
  <c r="B120" i="24"/>
  <c r="P119" i="24"/>
  <c r="O119" i="24"/>
  <c r="N119" i="24"/>
  <c r="M119" i="24"/>
  <c r="L119" i="24"/>
  <c r="K119" i="24"/>
  <c r="J119" i="24"/>
  <c r="I119" i="24"/>
  <c r="H119" i="24"/>
  <c r="G119" i="24"/>
  <c r="F119" i="24"/>
  <c r="E119" i="24"/>
  <c r="D119" i="24"/>
  <c r="B119" i="24"/>
  <c r="P118" i="24"/>
  <c r="O118" i="24"/>
  <c r="N118" i="24"/>
  <c r="M118" i="24"/>
  <c r="L118" i="24"/>
  <c r="K118" i="24"/>
  <c r="J118" i="24"/>
  <c r="I118" i="24"/>
  <c r="H118" i="24"/>
  <c r="G118" i="24"/>
  <c r="F118" i="24"/>
  <c r="E118" i="24"/>
  <c r="D118" i="24"/>
  <c r="B118" i="24"/>
  <c r="P117" i="24"/>
  <c r="O117" i="24"/>
  <c r="N117" i="24"/>
  <c r="M117" i="24"/>
  <c r="L117" i="24"/>
  <c r="K117" i="24"/>
  <c r="J117" i="24"/>
  <c r="I117" i="24"/>
  <c r="H117" i="24"/>
  <c r="G117" i="24"/>
  <c r="F117" i="24"/>
  <c r="E117" i="24"/>
  <c r="D117" i="24"/>
  <c r="B117" i="24"/>
  <c r="Z116" i="24"/>
  <c r="Y116" i="24"/>
  <c r="X116" i="24"/>
  <c r="W116" i="24"/>
  <c r="V116" i="24"/>
  <c r="U116" i="24"/>
  <c r="T116" i="24"/>
  <c r="S116" i="24"/>
  <c r="R116" i="24"/>
  <c r="Q116" i="24"/>
  <c r="P116" i="24"/>
  <c r="O116" i="24"/>
  <c r="N116" i="24"/>
  <c r="M116" i="24"/>
  <c r="L116" i="24"/>
  <c r="K116" i="24"/>
  <c r="J116" i="24"/>
  <c r="I116" i="24"/>
  <c r="H116" i="24"/>
  <c r="G116" i="24"/>
  <c r="F116" i="24"/>
  <c r="E116" i="24"/>
  <c r="D116" i="24"/>
  <c r="B116" i="24"/>
  <c r="P115" i="24"/>
  <c r="O115" i="24"/>
  <c r="N115" i="24"/>
  <c r="M115" i="24"/>
  <c r="L115" i="24"/>
  <c r="K115" i="24"/>
  <c r="J115" i="24"/>
  <c r="I115" i="24"/>
  <c r="H115" i="24"/>
  <c r="G115" i="24"/>
  <c r="F115" i="24"/>
  <c r="E115" i="24"/>
  <c r="D115" i="24"/>
  <c r="B115" i="24"/>
  <c r="P109" i="24"/>
  <c r="O109" i="24"/>
  <c r="N109" i="24"/>
  <c r="M109" i="24"/>
  <c r="L109" i="24"/>
  <c r="K109" i="24"/>
  <c r="J109" i="24"/>
  <c r="I109" i="24"/>
  <c r="H109" i="24"/>
  <c r="G109" i="24"/>
  <c r="F109" i="24"/>
  <c r="E109" i="24"/>
  <c r="D109" i="24"/>
  <c r="B109" i="24"/>
  <c r="P108" i="24"/>
  <c r="O108" i="24"/>
  <c r="N108" i="24"/>
  <c r="M108" i="24"/>
  <c r="L108" i="24"/>
  <c r="K108" i="24"/>
  <c r="J108" i="24"/>
  <c r="I108" i="24"/>
  <c r="H108" i="24"/>
  <c r="G108" i="24"/>
  <c r="F108" i="24"/>
  <c r="E108" i="24"/>
  <c r="D108" i="24"/>
  <c r="B108" i="24"/>
  <c r="P107" i="24"/>
  <c r="P494" i="24" s="1"/>
  <c r="O107" i="24"/>
  <c r="O494" i="24" s="1"/>
  <c r="N107" i="24"/>
  <c r="M107" i="24"/>
  <c r="M494" i="24" s="1"/>
  <c r="M496" i="24" s="1"/>
  <c r="L107" i="24"/>
  <c r="L494" i="24" s="1"/>
  <c r="K107" i="24"/>
  <c r="K494" i="24" s="1"/>
  <c r="J107" i="24"/>
  <c r="J494" i="24" s="1"/>
  <c r="I107" i="24"/>
  <c r="I494" i="24" s="1"/>
  <c r="H107" i="24"/>
  <c r="H494" i="24" s="1"/>
  <c r="G107" i="24"/>
  <c r="F107" i="24"/>
  <c r="E107" i="24"/>
  <c r="E494" i="24" s="1"/>
  <c r="E496" i="24" s="1"/>
  <c r="D107" i="24"/>
  <c r="D494" i="24" s="1"/>
  <c r="B107" i="24"/>
  <c r="P104" i="24"/>
  <c r="O104" i="24"/>
  <c r="N104" i="24"/>
  <c r="M104" i="24"/>
  <c r="L104" i="24"/>
  <c r="K104" i="24"/>
  <c r="J104" i="24"/>
  <c r="I104" i="24"/>
  <c r="H104" i="24"/>
  <c r="G104" i="24"/>
  <c r="F104" i="24"/>
  <c r="E104" i="24"/>
  <c r="D104" i="24"/>
  <c r="B104" i="24"/>
  <c r="P103" i="24"/>
  <c r="O103" i="24"/>
  <c r="N103" i="24"/>
  <c r="M103" i="24"/>
  <c r="L103" i="24"/>
  <c r="K103" i="24"/>
  <c r="J103" i="24"/>
  <c r="I103" i="24"/>
  <c r="H103" i="24"/>
  <c r="G103" i="24"/>
  <c r="F103" i="24"/>
  <c r="E103" i="24"/>
  <c r="D103" i="24"/>
  <c r="B103" i="24"/>
  <c r="P102" i="24"/>
  <c r="O102" i="24"/>
  <c r="N102" i="24"/>
  <c r="M102" i="24"/>
  <c r="L102" i="24"/>
  <c r="K102" i="24"/>
  <c r="J102" i="24"/>
  <c r="I102" i="24"/>
  <c r="H102" i="24"/>
  <c r="G102" i="24"/>
  <c r="F102" i="24"/>
  <c r="E102" i="24"/>
  <c r="D102" i="24"/>
  <c r="B102" i="24"/>
  <c r="P101" i="24"/>
  <c r="O101" i="24"/>
  <c r="N101" i="24"/>
  <c r="M101" i="24"/>
  <c r="L101" i="24"/>
  <c r="K101" i="24"/>
  <c r="J101" i="24"/>
  <c r="I101" i="24"/>
  <c r="H101" i="24"/>
  <c r="G101" i="24"/>
  <c r="F101" i="24"/>
  <c r="E101" i="24"/>
  <c r="D101" i="24"/>
  <c r="B101" i="24"/>
  <c r="P100" i="24"/>
  <c r="O100" i="24"/>
  <c r="N100" i="24"/>
  <c r="M100" i="24"/>
  <c r="L100" i="24"/>
  <c r="K100" i="24"/>
  <c r="J100" i="24"/>
  <c r="I100" i="24"/>
  <c r="H100" i="24"/>
  <c r="G100" i="24"/>
  <c r="F100" i="24"/>
  <c r="E100" i="24"/>
  <c r="D100" i="24"/>
  <c r="B100" i="24"/>
  <c r="P96" i="24"/>
  <c r="O96" i="24"/>
  <c r="N96" i="24"/>
  <c r="M96" i="24"/>
  <c r="L96" i="24"/>
  <c r="K96" i="24"/>
  <c r="J96" i="24"/>
  <c r="I96" i="24"/>
  <c r="H96" i="24"/>
  <c r="G96" i="24"/>
  <c r="F96" i="24"/>
  <c r="E96" i="24"/>
  <c r="D96" i="24"/>
  <c r="B96" i="24"/>
  <c r="K95" i="24"/>
  <c r="J95" i="24"/>
  <c r="I95" i="24"/>
  <c r="H95" i="24"/>
  <c r="G95" i="24"/>
  <c r="F95" i="24"/>
  <c r="E95" i="24"/>
  <c r="D95" i="24"/>
  <c r="B95" i="24"/>
  <c r="P94" i="24"/>
  <c r="O94" i="24"/>
  <c r="N94" i="24"/>
  <c r="M94" i="24"/>
  <c r="L94" i="24"/>
  <c r="K94" i="24"/>
  <c r="J94" i="24"/>
  <c r="I94" i="24"/>
  <c r="H94" i="24"/>
  <c r="G94" i="24"/>
  <c r="F94" i="24"/>
  <c r="E94" i="24"/>
  <c r="D94" i="24"/>
  <c r="B94" i="24"/>
  <c r="P92" i="24"/>
  <c r="O92" i="24"/>
  <c r="N92" i="24"/>
  <c r="M92" i="24"/>
  <c r="L92" i="24"/>
  <c r="K92" i="24"/>
  <c r="J92" i="24"/>
  <c r="I92" i="24"/>
  <c r="H92" i="24"/>
  <c r="G92" i="24"/>
  <c r="F92" i="24"/>
  <c r="E92" i="24"/>
  <c r="D92" i="24"/>
  <c r="B92" i="24"/>
  <c r="P91" i="24"/>
  <c r="O91" i="24"/>
  <c r="N91" i="24"/>
  <c r="M91" i="24"/>
  <c r="L91" i="24"/>
  <c r="K91" i="24"/>
  <c r="J91" i="24"/>
  <c r="I91" i="24"/>
  <c r="H91" i="24"/>
  <c r="G91" i="24"/>
  <c r="F91" i="24"/>
  <c r="E91" i="24"/>
  <c r="D91" i="24"/>
  <c r="B91" i="24"/>
  <c r="P90" i="24"/>
  <c r="O90" i="24"/>
  <c r="N90" i="24"/>
  <c r="M90" i="24"/>
  <c r="L90" i="24"/>
  <c r="K90" i="24"/>
  <c r="J90" i="24"/>
  <c r="I90" i="24"/>
  <c r="H90" i="24"/>
  <c r="G90" i="24"/>
  <c r="F90" i="24"/>
  <c r="E90" i="24"/>
  <c r="D90" i="24"/>
  <c r="B90" i="24"/>
  <c r="P89" i="24"/>
  <c r="O89" i="24"/>
  <c r="N89" i="24"/>
  <c r="M89" i="24"/>
  <c r="L89" i="24"/>
  <c r="K89" i="24"/>
  <c r="J89" i="24"/>
  <c r="I89" i="24"/>
  <c r="H89" i="24"/>
  <c r="G89" i="24"/>
  <c r="F89" i="24"/>
  <c r="E89" i="24"/>
  <c r="D89" i="24"/>
  <c r="B89" i="24"/>
  <c r="P88" i="24"/>
  <c r="O88" i="24"/>
  <c r="N88" i="24"/>
  <c r="M88" i="24"/>
  <c r="L88" i="24"/>
  <c r="K88" i="24"/>
  <c r="J88" i="24"/>
  <c r="I88" i="24"/>
  <c r="H88" i="24"/>
  <c r="G88" i="24"/>
  <c r="F88" i="24"/>
  <c r="E88" i="24"/>
  <c r="D88" i="24"/>
  <c r="B88" i="24"/>
  <c r="P84" i="24"/>
  <c r="O84" i="24"/>
  <c r="N84" i="24"/>
  <c r="M84" i="24"/>
  <c r="L84" i="24"/>
  <c r="K84" i="24"/>
  <c r="J84" i="24"/>
  <c r="I84" i="24"/>
  <c r="H84" i="24"/>
  <c r="G84" i="24"/>
  <c r="F84" i="24"/>
  <c r="E84" i="24"/>
  <c r="D84" i="24"/>
  <c r="B84" i="24"/>
  <c r="B83" i="24"/>
  <c r="P80" i="24"/>
  <c r="O80" i="24"/>
  <c r="N80" i="24"/>
  <c r="M80" i="24"/>
  <c r="L80" i="24"/>
  <c r="K80" i="24"/>
  <c r="J80" i="24"/>
  <c r="I80" i="24"/>
  <c r="H80" i="24"/>
  <c r="G80" i="24"/>
  <c r="F80" i="24"/>
  <c r="E80" i="24"/>
  <c r="D80" i="24"/>
  <c r="B80" i="24"/>
  <c r="P79" i="24"/>
  <c r="O79" i="24"/>
  <c r="N79" i="24"/>
  <c r="M79" i="24"/>
  <c r="L79" i="24"/>
  <c r="K79" i="24"/>
  <c r="J79" i="24"/>
  <c r="I79" i="24"/>
  <c r="H79" i="24"/>
  <c r="G79" i="24"/>
  <c r="F79" i="24"/>
  <c r="E79" i="24"/>
  <c r="D79" i="24"/>
  <c r="B79" i="24"/>
  <c r="P77" i="24"/>
  <c r="O77" i="24"/>
  <c r="N77" i="24"/>
  <c r="M77" i="24"/>
  <c r="L77" i="24"/>
  <c r="K77" i="24"/>
  <c r="J77" i="24"/>
  <c r="I77" i="24"/>
  <c r="H77" i="24"/>
  <c r="G77" i="24"/>
  <c r="F77" i="24"/>
  <c r="E77" i="24"/>
  <c r="D77" i="24"/>
  <c r="B77" i="24"/>
  <c r="P76" i="24"/>
  <c r="O76" i="24"/>
  <c r="N76" i="24"/>
  <c r="M76" i="24"/>
  <c r="L76" i="24"/>
  <c r="K76" i="24"/>
  <c r="J76" i="24"/>
  <c r="I76" i="24"/>
  <c r="H76" i="24"/>
  <c r="G76" i="24"/>
  <c r="F76" i="24"/>
  <c r="E76" i="24"/>
  <c r="D76" i="24"/>
  <c r="B76" i="24"/>
  <c r="P75" i="24"/>
  <c r="O75" i="24"/>
  <c r="N75" i="24"/>
  <c r="M75" i="24"/>
  <c r="L75" i="24"/>
  <c r="K75" i="24"/>
  <c r="J75" i="24"/>
  <c r="I75" i="24"/>
  <c r="H75" i="24"/>
  <c r="G75" i="24"/>
  <c r="F75" i="24"/>
  <c r="E75" i="24"/>
  <c r="D75" i="24"/>
  <c r="B75" i="24"/>
  <c r="P74" i="24"/>
  <c r="O74" i="24"/>
  <c r="N74" i="24"/>
  <c r="M74" i="24"/>
  <c r="L74" i="24"/>
  <c r="K74" i="24"/>
  <c r="J74" i="24"/>
  <c r="I74" i="24"/>
  <c r="H74" i="24"/>
  <c r="G74" i="24"/>
  <c r="F74" i="24"/>
  <c r="E74" i="24"/>
  <c r="D74" i="24"/>
  <c r="B74" i="24"/>
  <c r="P73" i="24"/>
  <c r="O73" i="24"/>
  <c r="N73" i="24"/>
  <c r="M73" i="24"/>
  <c r="L73" i="24"/>
  <c r="K73" i="24"/>
  <c r="J73" i="24"/>
  <c r="I73" i="24"/>
  <c r="H73" i="24"/>
  <c r="G73" i="24"/>
  <c r="F73" i="24"/>
  <c r="E73" i="24"/>
  <c r="D73" i="24"/>
  <c r="B73" i="24"/>
  <c r="P72" i="24"/>
  <c r="O72" i="24"/>
  <c r="N72" i="24"/>
  <c r="M72" i="24"/>
  <c r="L72" i="24"/>
  <c r="K72" i="24"/>
  <c r="J72" i="24"/>
  <c r="I72" i="24"/>
  <c r="H72" i="24"/>
  <c r="G72" i="24"/>
  <c r="F72" i="24"/>
  <c r="E72" i="24"/>
  <c r="D72" i="24"/>
  <c r="B72" i="24"/>
  <c r="P71" i="24"/>
  <c r="O71" i="24"/>
  <c r="N71" i="24"/>
  <c r="M71" i="24"/>
  <c r="L71" i="24"/>
  <c r="L78" i="24" s="1"/>
  <c r="L81" i="24" s="1"/>
  <c r="K71" i="24"/>
  <c r="J71" i="24"/>
  <c r="I71" i="24"/>
  <c r="H71" i="24"/>
  <c r="G71" i="24"/>
  <c r="F71" i="24"/>
  <c r="E71" i="24"/>
  <c r="D71" i="24"/>
  <c r="B71" i="24"/>
  <c r="P70" i="24"/>
  <c r="O70" i="24"/>
  <c r="N70" i="24"/>
  <c r="M70" i="24"/>
  <c r="L70" i="24"/>
  <c r="K70" i="24"/>
  <c r="J70" i="24"/>
  <c r="I70" i="24"/>
  <c r="H70" i="24"/>
  <c r="G70" i="24"/>
  <c r="F70" i="24"/>
  <c r="E70" i="24"/>
  <c r="D70" i="24"/>
  <c r="B70" i="24"/>
  <c r="B67" i="24"/>
  <c r="B66" i="24"/>
  <c r="B61" i="24"/>
  <c r="P59" i="24"/>
  <c r="O59" i="24"/>
  <c r="N59" i="24"/>
  <c r="M59" i="24"/>
  <c r="L59" i="24"/>
  <c r="K59" i="24"/>
  <c r="J59" i="24"/>
  <c r="I59" i="24"/>
  <c r="H59" i="24"/>
  <c r="G59" i="24"/>
  <c r="F59" i="24"/>
  <c r="E59" i="24"/>
  <c r="D59" i="24"/>
  <c r="B59" i="24"/>
  <c r="B52" i="24"/>
  <c r="P44" i="24"/>
  <c r="O44" i="24"/>
  <c r="N44" i="24"/>
  <c r="M44" i="24"/>
  <c r="L44" i="24"/>
  <c r="K44" i="24"/>
  <c r="J44" i="24"/>
  <c r="I44" i="24"/>
  <c r="H44" i="24"/>
  <c r="G44" i="24"/>
  <c r="F44" i="24"/>
  <c r="E44" i="24"/>
  <c r="D44" i="24"/>
  <c r="B44" i="24"/>
  <c r="P43" i="24"/>
  <c r="Q43" i="24" s="1"/>
  <c r="R43" i="24" s="1"/>
  <c r="S43" i="24" s="1"/>
  <c r="T43" i="24" s="1"/>
  <c r="U43" i="24" s="1"/>
  <c r="V43" i="24" s="1"/>
  <c r="W43" i="24" s="1"/>
  <c r="X43" i="24" s="1"/>
  <c r="Y43" i="24" s="1"/>
  <c r="Z43" i="24" s="1"/>
  <c r="O43" i="24"/>
  <c r="N43" i="24"/>
  <c r="M43" i="24"/>
  <c r="L43" i="24"/>
  <c r="K43" i="24"/>
  <c r="J43" i="24"/>
  <c r="I43" i="24"/>
  <c r="H43" i="24"/>
  <c r="G43" i="24"/>
  <c r="F43" i="24"/>
  <c r="E43" i="24"/>
  <c r="D43" i="24"/>
  <c r="B43" i="24"/>
  <c r="P40" i="24"/>
  <c r="O40" i="24"/>
  <c r="N40" i="24"/>
  <c r="M40" i="24"/>
  <c r="L40" i="24"/>
  <c r="K40" i="24"/>
  <c r="J40" i="24"/>
  <c r="I40" i="24"/>
  <c r="H40" i="24"/>
  <c r="G40" i="24"/>
  <c r="F40" i="24"/>
  <c r="E40" i="24"/>
  <c r="D40" i="24"/>
  <c r="B40" i="24"/>
  <c r="P38" i="24"/>
  <c r="O38" i="24"/>
  <c r="N38" i="24"/>
  <c r="M38" i="24"/>
  <c r="L38" i="24"/>
  <c r="K38" i="24"/>
  <c r="J38" i="24"/>
  <c r="I38" i="24"/>
  <c r="H38" i="24"/>
  <c r="G38" i="24"/>
  <c r="F38" i="24"/>
  <c r="E38" i="24"/>
  <c r="D38" i="24"/>
  <c r="N37" i="24"/>
  <c r="M37" i="24"/>
  <c r="I37" i="24"/>
  <c r="F37" i="24"/>
  <c r="E37" i="24"/>
  <c r="P30" i="24"/>
  <c r="O30" i="24"/>
  <c r="N30" i="24"/>
  <c r="M30" i="24"/>
  <c r="L30" i="24"/>
  <c r="K30" i="24"/>
  <c r="J30" i="24"/>
  <c r="I30" i="24"/>
  <c r="H30" i="24"/>
  <c r="G30" i="24"/>
  <c r="F30" i="24"/>
  <c r="E30" i="24"/>
  <c r="D30" i="24"/>
  <c r="E29" i="24"/>
  <c r="A29" i="24"/>
  <c r="P28" i="24"/>
  <c r="P29" i="24" s="1"/>
  <c r="O28" i="24"/>
  <c r="O29" i="24" s="1"/>
  <c r="N28" i="24"/>
  <c r="M28" i="24"/>
  <c r="N29" i="24" s="1"/>
  <c r="L28" i="24"/>
  <c r="L29" i="24" s="1"/>
  <c r="K28" i="24"/>
  <c r="J28" i="24"/>
  <c r="K29" i="24" s="1"/>
  <c r="I28" i="24"/>
  <c r="I29" i="24" s="1"/>
  <c r="H28" i="24"/>
  <c r="H29" i="24" s="1"/>
  <c r="G28" i="24"/>
  <c r="G29" i="24" s="1"/>
  <c r="F28" i="24"/>
  <c r="E28" i="24"/>
  <c r="F29" i="24" s="1"/>
  <c r="D28" i="24"/>
  <c r="P26" i="24"/>
  <c r="O26" i="24"/>
  <c r="N26" i="24"/>
  <c r="M26" i="24"/>
  <c r="L26" i="24"/>
  <c r="K26" i="24"/>
  <c r="J26" i="24"/>
  <c r="I26" i="24"/>
  <c r="H26" i="24"/>
  <c r="G26" i="24"/>
  <c r="F26" i="24"/>
  <c r="E26" i="24"/>
  <c r="D26" i="24"/>
  <c r="P25" i="24"/>
  <c r="O25" i="24"/>
  <c r="N25" i="24"/>
  <c r="M25" i="24"/>
  <c r="L25" i="24"/>
  <c r="K25" i="24"/>
  <c r="J25" i="24"/>
  <c r="I25" i="24"/>
  <c r="H25" i="24"/>
  <c r="G25" i="24"/>
  <c r="F25" i="24"/>
  <c r="E25" i="24"/>
  <c r="D25" i="24"/>
  <c r="P24" i="24"/>
  <c r="O24" i="24"/>
  <c r="N24" i="24"/>
  <c r="M24" i="24"/>
  <c r="L24" i="24"/>
  <c r="K24" i="24"/>
  <c r="J24" i="24"/>
  <c r="I24" i="24"/>
  <c r="H24" i="24"/>
  <c r="G24" i="24"/>
  <c r="F24" i="24"/>
  <c r="E24" i="24"/>
  <c r="D24" i="24"/>
  <c r="P23" i="24"/>
  <c r="O23" i="24"/>
  <c r="N23" i="24"/>
  <c r="M23" i="24"/>
  <c r="L23" i="24"/>
  <c r="K23" i="24"/>
  <c r="J23" i="24"/>
  <c r="I23" i="24"/>
  <c r="H23" i="24"/>
  <c r="G23" i="24"/>
  <c r="F23" i="24"/>
  <c r="E23" i="24"/>
  <c r="D23" i="24"/>
  <c r="A22" i="24"/>
  <c r="P21" i="24"/>
  <c r="Q21" i="24" s="1"/>
  <c r="O21" i="24"/>
  <c r="P22" i="24" s="1"/>
  <c r="N21" i="24"/>
  <c r="N22" i="24" s="1"/>
  <c r="M21" i="24"/>
  <c r="L21" i="24"/>
  <c r="M22" i="24" s="1"/>
  <c r="K21" i="24"/>
  <c r="K22" i="24" s="1"/>
  <c r="J21" i="24"/>
  <c r="J22" i="24" s="1"/>
  <c r="I21" i="24"/>
  <c r="I22" i="24" s="1"/>
  <c r="H21" i="24"/>
  <c r="G21" i="24"/>
  <c r="H22" i="24" s="1"/>
  <c r="F21" i="24"/>
  <c r="F22" i="24" s="1"/>
  <c r="E21" i="24"/>
  <c r="D21" i="24"/>
  <c r="E22" i="24" s="1"/>
  <c r="N20" i="24"/>
  <c r="M20" i="24"/>
  <c r="F20" i="24"/>
  <c r="E20" i="24"/>
  <c r="A19" i="24"/>
  <c r="P18" i="24"/>
  <c r="Q18" i="24" s="1"/>
  <c r="O18" i="24"/>
  <c r="O19" i="24" s="1"/>
  <c r="N18" i="24"/>
  <c r="N19" i="24" s="1"/>
  <c r="M18" i="24"/>
  <c r="L18" i="24"/>
  <c r="M19" i="24" s="1"/>
  <c r="K18" i="24"/>
  <c r="J18" i="24"/>
  <c r="I18" i="24"/>
  <c r="J19" i="24" s="1"/>
  <c r="H18" i="24"/>
  <c r="H19" i="24" s="1"/>
  <c r="G18" i="24"/>
  <c r="G19" i="24" s="1"/>
  <c r="F18" i="24"/>
  <c r="F19" i="24" s="1"/>
  <c r="E18" i="24"/>
  <c r="D18" i="24"/>
  <c r="E19" i="24" s="1"/>
  <c r="K17" i="24"/>
  <c r="J17" i="24"/>
  <c r="A17" i="24"/>
  <c r="P16" i="24"/>
  <c r="P20" i="24" s="1"/>
  <c r="O16" i="24"/>
  <c r="P17" i="24" s="1"/>
  <c r="N16" i="24"/>
  <c r="N17" i="24" s="1"/>
  <c r="M16" i="24"/>
  <c r="M17" i="24" s="1"/>
  <c r="L16" i="24"/>
  <c r="L17" i="24" s="1"/>
  <c r="K16" i="24"/>
  <c r="J16" i="24"/>
  <c r="J20" i="24" s="1"/>
  <c r="I16" i="24"/>
  <c r="H16" i="24"/>
  <c r="H20" i="24" s="1"/>
  <c r="G16" i="24"/>
  <c r="H17" i="24" s="1"/>
  <c r="F16" i="24"/>
  <c r="F17" i="24" s="1"/>
  <c r="E16" i="24"/>
  <c r="E17" i="24" s="1"/>
  <c r="D16" i="24"/>
  <c r="D20" i="24" s="1"/>
  <c r="I14" i="24"/>
  <c r="H14" i="24"/>
  <c r="A14" i="24"/>
  <c r="P13" i="24"/>
  <c r="P14" i="24" s="1"/>
  <c r="O13" i="24"/>
  <c r="O14" i="24" s="1"/>
  <c r="N13" i="24"/>
  <c r="M13" i="24"/>
  <c r="N14" i="24" s="1"/>
  <c r="L13" i="24"/>
  <c r="L14" i="24" s="1"/>
  <c r="K13" i="24"/>
  <c r="K14" i="24" s="1"/>
  <c r="J13" i="24"/>
  <c r="J14" i="24" s="1"/>
  <c r="I13" i="24"/>
  <c r="H13" i="24"/>
  <c r="G13" i="24"/>
  <c r="G14" i="24" s="1"/>
  <c r="F13" i="24"/>
  <c r="E13" i="24"/>
  <c r="F14" i="24" s="1"/>
  <c r="D13" i="24"/>
  <c r="O12" i="24"/>
  <c r="G12" i="24"/>
  <c r="P11" i="24"/>
  <c r="P12" i="24" s="1"/>
  <c r="O11" i="24"/>
  <c r="N11" i="24"/>
  <c r="M11" i="24"/>
  <c r="M12" i="24" s="1"/>
  <c r="L11" i="24"/>
  <c r="L12" i="24" s="1"/>
  <c r="K11" i="24"/>
  <c r="J11" i="24"/>
  <c r="K12" i="24" s="1"/>
  <c r="I11" i="24"/>
  <c r="I12" i="24" s="1"/>
  <c r="H11" i="24"/>
  <c r="H12" i="24" s="1"/>
  <c r="G11" i="24"/>
  <c r="F11" i="24"/>
  <c r="E11" i="24"/>
  <c r="E12" i="24" s="1"/>
  <c r="D11" i="24"/>
  <c r="C1" i="24"/>
  <c r="C216" i="24" s="1" a="1"/>
  <c r="C216" i="24" s="1"/>
  <c r="K539" i="23"/>
  <c r="J539" i="23"/>
  <c r="I539" i="23"/>
  <c r="H539" i="23"/>
  <c r="G539" i="23"/>
  <c r="F539" i="23"/>
  <c r="E539" i="23"/>
  <c r="D539" i="23"/>
  <c r="B539" i="23"/>
  <c r="P538" i="23"/>
  <c r="O538" i="23"/>
  <c r="N538" i="23"/>
  <c r="M538" i="23"/>
  <c r="L538" i="23"/>
  <c r="K538" i="23"/>
  <c r="J538" i="23"/>
  <c r="I538" i="23"/>
  <c r="H538" i="23"/>
  <c r="G538" i="23"/>
  <c r="F538" i="23"/>
  <c r="E538" i="23"/>
  <c r="D538" i="23"/>
  <c r="B538" i="23"/>
  <c r="P537" i="23"/>
  <c r="O537" i="23"/>
  <c r="N537" i="23"/>
  <c r="M537" i="23"/>
  <c r="L537" i="23"/>
  <c r="K537" i="23"/>
  <c r="J537" i="23"/>
  <c r="I537" i="23"/>
  <c r="H537" i="23"/>
  <c r="G537" i="23"/>
  <c r="F537" i="23"/>
  <c r="E537" i="23"/>
  <c r="D537" i="23"/>
  <c r="B537" i="23"/>
  <c r="K536" i="23"/>
  <c r="J536" i="23"/>
  <c r="I536" i="23"/>
  <c r="H536" i="23"/>
  <c r="G536" i="23"/>
  <c r="F536" i="23"/>
  <c r="E536" i="23"/>
  <c r="D536" i="23"/>
  <c r="B536" i="23"/>
  <c r="K535" i="23"/>
  <c r="J535" i="23"/>
  <c r="I535" i="23"/>
  <c r="H535" i="23"/>
  <c r="G535" i="23"/>
  <c r="F535" i="23"/>
  <c r="E535" i="23"/>
  <c r="D535" i="23"/>
  <c r="B535" i="23"/>
  <c r="K534" i="23"/>
  <c r="J534" i="23"/>
  <c r="I534" i="23"/>
  <c r="H534" i="23"/>
  <c r="G534" i="23"/>
  <c r="F534" i="23"/>
  <c r="E534" i="23"/>
  <c r="D534" i="23"/>
  <c r="B534" i="23"/>
  <c r="K533" i="23"/>
  <c r="J533" i="23"/>
  <c r="I533" i="23"/>
  <c r="H533" i="23"/>
  <c r="G533" i="23"/>
  <c r="F533" i="23"/>
  <c r="E533" i="23"/>
  <c r="D533" i="23"/>
  <c r="D540" i="23" s="1"/>
  <c r="B533" i="23"/>
  <c r="K529" i="23"/>
  <c r="J529" i="23"/>
  <c r="I529" i="23"/>
  <c r="H529" i="23"/>
  <c r="G529" i="23"/>
  <c r="F529" i="23"/>
  <c r="E529" i="23"/>
  <c r="D529" i="23"/>
  <c r="B529" i="23"/>
  <c r="K528" i="23"/>
  <c r="J528" i="23"/>
  <c r="I528" i="23"/>
  <c r="H528" i="23"/>
  <c r="G528" i="23"/>
  <c r="F528" i="23"/>
  <c r="E528" i="23"/>
  <c r="D528" i="23"/>
  <c r="B528" i="23"/>
  <c r="K527" i="23"/>
  <c r="J527" i="23"/>
  <c r="I527" i="23"/>
  <c r="H527" i="23"/>
  <c r="G527" i="23"/>
  <c r="F527" i="23"/>
  <c r="E527" i="23"/>
  <c r="D527" i="23"/>
  <c r="B527" i="23"/>
  <c r="K526" i="23"/>
  <c r="J526" i="23"/>
  <c r="I526" i="23"/>
  <c r="H526" i="23"/>
  <c r="G526" i="23"/>
  <c r="F526" i="23"/>
  <c r="E526" i="23"/>
  <c r="D526" i="23"/>
  <c r="B526" i="23"/>
  <c r="K525" i="23"/>
  <c r="K530" i="23" s="1"/>
  <c r="J525" i="23"/>
  <c r="I525" i="23"/>
  <c r="H525" i="23"/>
  <c r="G525" i="23"/>
  <c r="F525" i="23"/>
  <c r="E525" i="23"/>
  <c r="D525" i="23"/>
  <c r="B525" i="23"/>
  <c r="B499" i="23"/>
  <c r="P495" i="23"/>
  <c r="O495" i="23"/>
  <c r="N495" i="23"/>
  <c r="M495" i="23"/>
  <c r="L495" i="23"/>
  <c r="K495" i="23"/>
  <c r="J495" i="23"/>
  <c r="I495" i="23"/>
  <c r="H495" i="23"/>
  <c r="G495" i="23"/>
  <c r="F495" i="23"/>
  <c r="E495" i="23"/>
  <c r="D495" i="23"/>
  <c r="B495" i="23"/>
  <c r="P493" i="23"/>
  <c r="O493" i="23"/>
  <c r="N493" i="23"/>
  <c r="M493" i="23"/>
  <c r="L493" i="23"/>
  <c r="K493" i="23"/>
  <c r="J493" i="23"/>
  <c r="I493" i="23"/>
  <c r="H493" i="23"/>
  <c r="G493" i="23"/>
  <c r="F493" i="23"/>
  <c r="E493" i="23"/>
  <c r="D493" i="23"/>
  <c r="B493" i="23"/>
  <c r="P492" i="23"/>
  <c r="O492" i="23"/>
  <c r="N492" i="23"/>
  <c r="M492" i="23"/>
  <c r="L492" i="23"/>
  <c r="K492" i="23"/>
  <c r="J492" i="23"/>
  <c r="I492" i="23"/>
  <c r="H492" i="23"/>
  <c r="G492" i="23"/>
  <c r="F492" i="23"/>
  <c r="E492" i="23"/>
  <c r="D492" i="23"/>
  <c r="B492" i="23"/>
  <c r="B490" i="23"/>
  <c r="P485" i="23"/>
  <c r="O485" i="23"/>
  <c r="N485" i="23"/>
  <c r="M485" i="23"/>
  <c r="L485" i="23"/>
  <c r="K485" i="23"/>
  <c r="J485" i="23"/>
  <c r="I485" i="23"/>
  <c r="H485" i="23"/>
  <c r="G485" i="23"/>
  <c r="F485" i="23"/>
  <c r="E485" i="23"/>
  <c r="D485" i="23"/>
  <c r="B485" i="23"/>
  <c r="P484" i="23"/>
  <c r="O484" i="23"/>
  <c r="N484" i="23"/>
  <c r="M484" i="23"/>
  <c r="L484" i="23"/>
  <c r="K484" i="23"/>
  <c r="J484" i="23"/>
  <c r="I484" i="23"/>
  <c r="H484" i="23"/>
  <c r="G484" i="23"/>
  <c r="F484" i="23"/>
  <c r="E484" i="23"/>
  <c r="D484" i="23"/>
  <c r="B484" i="23"/>
  <c r="P483" i="23"/>
  <c r="O483" i="23"/>
  <c r="N483" i="23"/>
  <c r="M483" i="23"/>
  <c r="L483" i="23"/>
  <c r="K483" i="23"/>
  <c r="J483" i="23"/>
  <c r="I483" i="23"/>
  <c r="H483" i="23"/>
  <c r="G483" i="23"/>
  <c r="F483" i="23"/>
  <c r="E483" i="23"/>
  <c r="D483" i="23"/>
  <c r="B483" i="23"/>
  <c r="P480" i="23"/>
  <c r="O480" i="23"/>
  <c r="N480" i="23"/>
  <c r="M480" i="23"/>
  <c r="L480" i="23"/>
  <c r="K480" i="23"/>
  <c r="J480" i="23"/>
  <c r="I480" i="23"/>
  <c r="H480" i="23"/>
  <c r="G480" i="23"/>
  <c r="F480" i="23"/>
  <c r="E480" i="23"/>
  <c r="D480" i="23"/>
  <c r="B480" i="23"/>
  <c r="K479" i="23"/>
  <c r="J479" i="23"/>
  <c r="I479" i="23"/>
  <c r="H479" i="23"/>
  <c r="G479" i="23"/>
  <c r="F479" i="23"/>
  <c r="E479" i="23"/>
  <c r="D479" i="23"/>
  <c r="B479" i="23"/>
  <c r="P478" i="23"/>
  <c r="O478" i="23"/>
  <c r="N478" i="23"/>
  <c r="M478" i="23"/>
  <c r="L478" i="23"/>
  <c r="K478" i="23"/>
  <c r="J478" i="23"/>
  <c r="I478" i="23"/>
  <c r="H478" i="23"/>
  <c r="G478" i="23"/>
  <c r="F478" i="23"/>
  <c r="E478" i="23"/>
  <c r="D478" i="23"/>
  <c r="B478" i="23"/>
  <c r="P477" i="23"/>
  <c r="O477" i="23"/>
  <c r="N477" i="23"/>
  <c r="M477" i="23"/>
  <c r="L477" i="23"/>
  <c r="K477" i="23"/>
  <c r="J477" i="23"/>
  <c r="I477" i="23"/>
  <c r="H477" i="23"/>
  <c r="G477" i="23"/>
  <c r="F477" i="23"/>
  <c r="E477" i="23"/>
  <c r="D477" i="23"/>
  <c r="B477" i="23"/>
  <c r="P476" i="23"/>
  <c r="O476" i="23"/>
  <c r="N476" i="23"/>
  <c r="M476" i="23"/>
  <c r="L476" i="23"/>
  <c r="K476" i="23"/>
  <c r="J476" i="23"/>
  <c r="I476" i="23"/>
  <c r="H476" i="23"/>
  <c r="G476" i="23"/>
  <c r="F476" i="23"/>
  <c r="E476" i="23"/>
  <c r="D476" i="23"/>
  <c r="B476" i="23"/>
  <c r="P475" i="23"/>
  <c r="O475" i="23"/>
  <c r="N475" i="23"/>
  <c r="M475" i="23"/>
  <c r="L475" i="23"/>
  <c r="K475" i="23"/>
  <c r="J475" i="23"/>
  <c r="I475" i="23"/>
  <c r="H475" i="23"/>
  <c r="G475" i="23"/>
  <c r="F475" i="23"/>
  <c r="E475" i="23"/>
  <c r="D475" i="23"/>
  <c r="B475" i="23"/>
  <c r="P474" i="23"/>
  <c r="O474" i="23"/>
  <c r="N474" i="23"/>
  <c r="M474" i="23"/>
  <c r="L474" i="23"/>
  <c r="K474" i="23"/>
  <c r="J474" i="23"/>
  <c r="I474" i="23"/>
  <c r="H474" i="23"/>
  <c r="G474" i="23"/>
  <c r="F474" i="23"/>
  <c r="E474" i="23"/>
  <c r="D474" i="23"/>
  <c r="B474" i="23"/>
  <c r="P471" i="23"/>
  <c r="O471" i="23"/>
  <c r="N471" i="23"/>
  <c r="M471" i="23"/>
  <c r="L471" i="23"/>
  <c r="K471" i="23"/>
  <c r="J471" i="23"/>
  <c r="I471" i="23"/>
  <c r="H471" i="23"/>
  <c r="G471" i="23"/>
  <c r="F471" i="23"/>
  <c r="E471" i="23"/>
  <c r="D471" i="23"/>
  <c r="B471" i="23"/>
  <c r="B469" i="23"/>
  <c r="B464" i="23"/>
  <c r="P463" i="23"/>
  <c r="Q463" i="23" s="1"/>
  <c r="O463" i="23"/>
  <c r="O464" i="23" s="1"/>
  <c r="N463" i="23"/>
  <c r="M463" i="23"/>
  <c r="M464" i="23" s="1"/>
  <c r="L463" i="23"/>
  <c r="L464" i="23" s="1"/>
  <c r="K463" i="23"/>
  <c r="K464" i="23" s="1"/>
  <c r="J463" i="23"/>
  <c r="J464" i="23" s="1"/>
  <c r="I463" i="23"/>
  <c r="I464" i="23" s="1"/>
  <c r="H463" i="23"/>
  <c r="H464" i="23" s="1"/>
  <c r="G463" i="23"/>
  <c r="G464" i="23" s="1"/>
  <c r="F463" i="23"/>
  <c r="E463" i="23"/>
  <c r="E464" i="23" s="1"/>
  <c r="D463" i="23"/>
  <c r="D464" i="23" s="1"/>
  <c r="B463" i="23"/>
  <c r="B459" i="23"/>
  <c r="P458" i="23"/>
  <c r="Q458" i="23" s="1"/>
  <c r="R458" i="23" s="1"/>
  <c r="S458" i="23" s="1"/>
  <c r="T458" i="23" s="1"/>
  <c r="U458" i="23" s="1"/>
  <c r="V458" i="23" s="1"/>
  <c r="W458" i="23" s="1"/>
  <c r="X458" i="23" s="1"/>
  <c r="Y458" i="23" s="1"/>
  <c r="Z458" i="23" s="1"/>
  <c r="O458" i="23"/>
  <c r="N458" i="23"/>
  <c r="M458" i="23"/>
  <c r="L458" i="23"/>
  <c r="K458" i="23"/>
  <c r="J458" i="23"/>
  <c r="I458" i="23"/>
  <c r="H458" i="23"/>
  <c r="G458" i="23"/>
  <c r="F458" i="23"/>
  <c r="E458" i="23"/>
  <c r="D458" i="23"/>
  <c r="B458" i="23"/>
  <c r="P457" i="23"/>
  <c r="P459" i="23" s="1"/>
  <c r="O457" i="23"/>
  <c r="O459" i="23" s="1"/>
  <c r="N457" i="23"/>
  <c r="N459" i="23" s="1"/>
  <c r="M457" i="23"/>
  <c r="L457" i="23"/>
  <c r="L459" i="23" s="1"/>
  <c r="K457" i="23"/>
  <c r="K459" i="23" s="1"/>
  <c r="J457" i="23"/>
  <c r="J459" i="23" s="1"/>
  <c r="I457" i="23"/>
  <c r="I459" i="23" s="1"/>
  <c r="H457" i="23"/>
  <c r="H459" i="23" s="1"/>
  <c r="G457" i="23"/>
  <c r="G459" i="23" s="1"/>
  <c r="F457" i="23"/>
  <c r="F459" i="23" s="1"/>
  <c r="E457" i="23"/>
  <c r="D457" i="23"/>
  <c r="D459" i="23" s="1"/>
  <c r="B457" i="23"/>
  <c r="P454" i="23"/>
  <c r="O454" i="23"/>
  <c r="N454" i="23"/>
  <c r="M454" i="23"/>
  <c r="L454" i="23"/>
  <c r="K454" i="23"/>
  <c r="J454" i="23"/>
  <c r="I454" i="23"/>
  <c r="H454" i="23"/>
  <c r="G454" i="23"/>
  <c r="F454" i="23"/>
  <c r="E454" i="23"/>
  <c r="D454" i="23"/>
  <c r="B454" i="23"/>
  <c r="P453" i="23"/>
  <c r="O453" i="23"/>
  <c r="N453" i="23"/>
  <c r="M453" i="23"/>
  <c r="L453" i="23"/>
  <c r="K453" i="23"/>
  <c r="J453" i="23"/>
  <c r="I453" i="23"/>
  <c r="H453" i="23"/>
  <c r="G453" i="23"/>
  <c r="F453" i="23"/>
  <c r="E453" i="23"/>
  <c r="D453" i="23"/>
  <c r="B453" i="23"/>
  <c r="P450" i="23"/>
  <c r="O450" i="23"/>
  <c r="N450" i="23"/>
  <c r="M450" i="23"/>
  <c r="L450" i="23"/>
  <c r="K450" i="23"/>
  <c r="J450" i="23"/>
  <c r="I450" i="23"/>
  <c r="H450" i="23"/>
  <c r="G450" i="23"/>
  <c r="F450" i="23"/>
  <c r="E450" i="23"/>
  <c r="D450" i="23"/>
  <c r="B450" i="23"/>
  <c r="P449" i="23"/>
  <c r="O449" i="23"/>
  <c r="N449" i="23"/>
  <c r="M449" i="23"/>
  <c r="L449" i="23"/>
  <c r="K449" i="23"/>
  <c r="J449" i="23"/>
  <c r="I449" i="23"/>
  <c r="H449" i="23"/>
  <c r="G449" i="23"/>
  <c r="F449" i="23"/>
  <c r="E449" i="23"/>
  <c r="D449" i="23"/>
  <c r="B449" i="23"/>
  <c r="P446" i="23"/>
  <c r="O446" i="23"/>
  <c r="N446" i="23"/>
  <c r="M446" i="23"/>
  <c r="L446" i="23"/>
  <c r="K446" i="23"/>
  <c r="J446" i="23"/>
  <c r="I446" i="23"/>
  <c r="H446" i="23"/>
  <c r="G446" i="23"/>
  <c r="F446" i="23"/>
  <c r="E446" i="23"/>
  <c r="D446" i="23"/>
  <c r="B446" i="23"/>
  <c r="B444" i="23"/>
  <c r="P443" i="23"/>
  <c r="O443" i="23"/>
  <c r="N443" i="23"/>
  <c r="M443" i="23"/>
  <c r="L443" i="23"/>
  <c r="K443" i="23"/>
  <c r="J443" i="23"/>
  <c r="I443" i="23"/>
  <c r="H443" i="23"/>
  <c r="G443" i="23"/>
  <c r="F443" i="23"/>
  <c r="E443" i="23"/>
  <c r="D443" i="23"/>
  <c r="B443" i="23"/>
  <c r="P439" i="23"/>
  <c r="O439" i="23"/>
  <c r="N439" i="23"/>
  <c r="M439" i="23"/>
  <c r="L439" i="23"/>
  <c r="K439" i="23"/>
  <c r="J439" i="23"/>
  <c r="I439" i="23"/>
  <c r="H439" i="23"/>
  <c r="G439" i="23"/>
  <c r="F439" i="23"/>
  <c r="E439" i="23"/>
  <c r="D439" i="23"/>
  <c r="B439" i="23"/>
  <c r="P435" i="23"/>
  <c r="Q435" i="23" s="1"/>
  <c r="R435" i="23" s="1"/>
  <c r="S435" i="23" s="1"/>
  <c r="T435" i="23" s="1"/>
  <c r="U435" i="23" s="1"/>
  <c r="V435" i="23" s="1"/>
  <c r="W435" i="23" s="1"/>
  <c r="X435" i="23" s="1"/>
  <c r="Y435" i="23" s="1"/>
  <c r="Z435" i="23" s="1"/>
  <c r="O435" i="23"/>
  <c r="N435" i="23"/>
  <c r="M435" i="23"/>
  <c r="L435" i="23"/>
  <c r="K435" i="23"/>
  <c r="J435" i="23"/>
  <c r="I435" i="23"/>
  <c r="H435" i="23"/>
  <c r="G435" i="23"/>
  <c r="F435" i="23"/>
  <c r="E435" i="23"/>
  <c r="D435" i="23"/>
  <c r="B435" i="23"/>
  <c r="P434" i="23"/>
  <c r="O434" i="23"/>
  <c r="N434" i="23"/>
  <c r="M434" i="23"/>
  <c r="L434" i="23"/>
  <c r="K434" i="23"/>
  <c r="J434" i="23"/>
  <c r="I434" i="23"/>
  <c r="H434" i="23"/>
  <c r="G434" i="23"/>
  <c r="F434" i="23"/>
  <c r="E434" i="23"/>
  <c r="D434" i="23"/>
  <c r="B434" i="23"/>
  <c r="P433" i="23"/>
  <c r="O433" i="23"/>
  <c r="N433" i="23"/>
  <c r="M433" i="23"/>
  <c r="L433" i="23"/>
  <c r="K433" i="23"/>
  <c r="J433" i="23"/>
  <c r="I433" i="23"/>
  <c r="H433" i="23"/>
  <c r="G433" i="23"/>
  <c r="F433" i="23"/>
  <c r="E433" i="23"/>
  <c r="D433" i="23"/>
  <c r="B433" i="23"/>
  <c r="P428" i="23"/>
  <c r="O428" i="23"/>
  <c r="N428" i="23"/>
  <c r="M428" i="23"/>
  <c r="L428" i="23"/>
  <c r="K428" i="23"/>
  <c r="J428" i="23"/>
  <c r="I428" i="23"/>
  <c r="H428" i="23"/>
  <c r="G428" i="23"/>
  <c r="F428" i="23"/>
  <c r="E428" i="23"/>
  <c r="D428" i="23"/>
  <c r="B428" i="23"/>
  <c r="P427" i="23"/>
  <c r="Q427" i="23" s="1"/>
  <c r="O427" i="23"/>
  <c r="N427" i="23"/>
  <c r="N429" i="23" s="1"/>
  <c r="M427" i="23"/>
  <c r="M429" i="23" s="1"/>
  <c r="L427" i="23"/>
  <c r="K427" i="23"/>
  <c r="J427" i="23"/>
  <c r="J429" i="23" s="1"/>
  <c r="I427" i="23"/>
  <c r="H427" i="23"/>
  <c r="G427" i="23"/>
  <c r="F427" i="23"/>
  <c r="F429" i="23" s="1"/>
  <c r="E427" i="23"/>
  <c r="E429" i="23" s="1"/>
  <c r="D427" i="23"/>
  <c r="B427" i="23"/>
  <c r="P424" i="23"/>
  <c r="O424" i="23"/>
  <c r="N424" i="23"/>
  <c r="M424" i="23"/>
  <c r="L424" i="23"/>
  <c r="K424" i="23"/>
  <c r="J424" i="23"/>
  <c r="I424" i="23"/>
  <c r="H424" i="23"/>
  <c r="G424" i="23"/>
  <c r="F424" i="23"/>
  <c r="E424" i="23"/>
  <c r="D424" i="23"/>
  <c r="B424" i="23"/>
  <c r="P423" i="23"/>
  <c r="Q423" i="23" s="1"/>
  <c r="O423" i="23"/>
  <c r="N423" i="23"/>
  <c r="M423" i="23"/>
  <c r="L423" i="23"/>
  <c r="K423" i="23"/>
  <c r="J423" i="23"/>
  <c r="I423" i="23"/>
  <c r="H423" i="23"/>
  <c r="G423" i="23"/>
  <c r="F423" i="23"/>
  <c r="E423" i="23"/>
  <c r="D423" i="23"/>
  <c r="B423" i="23"/>
  <c r="P419" i="23"/>
  <c r="O419" i="23"/>
  <c r="N419" i="23"/>
  <c r="M419" i="23"/>
  <c r="L419" i="23"/>
  <c r="K419" i="23"/>
  <c r="J419" i="23"/>
  <c r="I419" i="23"/>
  <c r="H419" i="23"/>
  <c r="G419" i="23"/>
  <c r="F419" i="23"/>
  <c r="E419" i="23"/>
  <c r="D419" i="23"/>
  <c r="B419" i="23"/>
  <c r="P418" i="23"/>
  <c r="O418" i="23"/>
  <c r="N418" i="23"/>
  <c r="M418" i="23"/>
  <c r="L418" i="23"/>
  <c r="K418" i="23"/>
  <c r="J418" i="23"/>
  <c r="I418" i="23"/>
  <c r="H418" i="23"/>
  <c r="G418" i="23"/>
  <c r="F418" i="23"/>
  <c r="E418" i="23"/>
  <c r="D418" i="23"/>
  <c r="B418" i="23"/>
  <c r="P417" i="23"/>
  <c r="O417" i="23"/>
  <c r="N417" i="23"/>
  <c r="M417" i="23"/>
  <c r="M420" i="23" s="1"/>
  <c r="L417" i="23"/>
  <c r="K417" i="23"/>
  <c r="J417" i="23"/>
  <c r="I417" i="23"/>
  <c r="H417" i="23"/>
  <c r="G417" i="23"/>
  <c r="F417" i="23"/>
  <c r="E417" i="23"/>
  <c r="E420" i="23" s="1"/>
  <c r="D417" i="23"/>
  <c r="B417" i="23"/>
  <c r="P414" i="23"/>
  <c r="O414" i="23"/>
  <c r="N414" i="23"/>
  <c r="M414" i="23"/>
  <c r="L414" i="23"/>
  <c r="K414" i="23"/>
  <c r="K409" i="23" s="1"/>
  <c r="K413" i="23" s="1"/>
  <c r="J414" i="23"/>
  <c r="I414" i="23"/>
  <c r="H414" i="23"/>
  <c r="G414" i="23"/>
  <c r="F414" i="23"/>
  <c r="E414" i="23"/>
  <c r="D414" i="23"/>
  <c r="B414" i="23"/>
  <c r="B413" i="23"/>
  <c r="P410" i="23"/>
  <c r="O410" i="23"/>
  <c r="N410" i="23"/>
  <c r="M410" i="23"/>
  <c r="L410" i="23"/>
  <c r="K410" i="23"/>
  <c r="J410" i="23"/>
  <c r="J409" i="23" s="1"/>
  <c r="J413" i="23" s="1"/>
  <c r="I410" i="23"/>
  <c r="I409" i="23" s="1"/>
  <c r="I413" i="23" s="1"/>
  <c r="H410" i="23"/>
  <c r="H409" i="23" s="1"/>
  <c r="H413" i="23" s="1"/>
  <c r="G410" i="23"/>
  <c r="F410" i="23"/>
  <c r="E410" i="23"/>
  <c r="D410" i="23"/>
  <c r="B410" i="23"/>
  <c r="P409" i="23"/>
  <c r="P413" i="23" s="1"/>
  <c r="O409" i="23"/>
  <c r="O413" i="23" s="1"/>
  <c r="G409" i="23"/>
  <c r="G413" i="23" s="1"/>
  <c r="B409" i="23"/>
  <c r="Z405" i="23"/>
  <c r="Y405" i="23"/>
  <c r="X405" i="23"/>
  <c r="W405" i="23"/>
  <c r="V405" i="23"/>
  <c r="U405" i="23"/>
  <c r="T405" i="23"/>
  <c r="S405" i="23"/>
  <c r="R405" i="23"/>
  <c r="Q405" i="23"/>
  <c r="P405" i="23"/>
  <c r="O405" i="23"/>
  <c r="N405" i="23"/>
  <c r="M405" i="23"/>
  <c r="L405" i="23"/>
  <c r="K405" i="23"/>
  <c r="J405" i="23"/>
  <c r="I405" i="23"/>
  <c r="H405" i="23"/>
  <c r="G405" i="23"/>
  <c r="F405" i="23"/>
  <c r="E405" i="23"/>
  <c r="D405" i="23"/>
  <c r="B405" i="23"/>
  <c r="Z404" i="23"/>
  <c r="Y404" i="23"/>
  <c r="X404" i="23"/>
  <c r="W404" i="23"/>
  <c r="V404" i="23"/>
  <c r="U404" i="23"/>
  <c r="T404" i="23"/>
  <c r="S404" i="23"/>
  <c r="R404" i="23"/>
  <c r="Q404" i="23"/>
  <c r="P404" i="23"/>
  <c r="O404" i="23"/>
  <c r="O159" i="23" s="1"/>
  <c r="N404" i="23"/>
  <c r="M404" i="23"/>
  <c r="L404" i="23"/>
  <c r="K404" i="23"/>
  <c r="K159" i="23" s="1"/>
  <c r="J404" i="23"/>
  <c r="J159" i="23" s="1"/>
  <c r="I404" i="23"/>
  <c r="I159" i="23" s="1"/>
  <c r="H404" i="23"/>
  <c r="G404" i="23"/>
  <c r="G159" i="23" s="1"/>
  <c r="F404" i="23"/>
  <c r="E404" i="23"/>
  <c r="D404" i="23"/>
  <c r="B404" i="23"/>
  <c r="Z403" i="23"/>
  <c r="Y403" i="23"/>
  <c r="X403" i="23"/>
  <c r="W403" i="23"/>
  <c r="V403" i="23"/>
  <c r="U403" i="23"/>
  <c r="T403" i="23"/>
  <c r="S403" i="23"/>
  <c r="R403" i="23"/>
  <c r="Q403" i="23"/>
  <c r="P403" i="23"/>
  <c r="O403" i="23"/>
  <c r="N403" i="23"/>
  <c r="M403" i="23"/>
  <c r="L403" i="23"/>
  <c r="K403" i="23"/>
  <c r="J403" i="23"/>
  <c r="I403" i="23"/>
  <c r="H403" i="23"/>
  <c r="G403" i="23"/>
  <c r="F403" i="23"/>
  <c r="E403" i="23"/>
  <c r="D403" i="23"/>
  <c r="B403" i="23"/>
  <c r="Z402" i="23"/>
  <c r="Y402" i="23"/>
  <c r="X402" i="23"/>
  <c r="W402" i="23"/>
  <c r="V402" i="23"/>
  <c r="U402" i="23"/>
  <c r="U509" i="23" s="1"/>
  <c r="T402" i="23"/>
  <c r="S402" i="23"/>
  <c r="R402" i="23"/>
  <c r="Q402" i="23"/>
  <c r="P402" i="23"/>
  <c r="O402" i="23"/>
  <c r="N402" i="23"/>
  <c r="M402" i="23"/>
  <c r="L402" i="23"/>
  <c r="K402" i="23"/>
  <c r="J402" i="23"/>
  <c r="J263" i="23" s="1"/>
  <c r="I402" i="23"/>
  <c r="I263" i="23" s="1"/>
  <c r="H402" i="23"/>
  <c r="G402" i="23"/>
  <c r="G263" i="23" s="1"/>
  <c r="F402" i="23"/>
  <c r="E402" i="23"/>
  <c r="D402" i="23"/>
  <c r="B402" i="23"/>
  <c r="Z401" i="23"/>
  <c r="Y401" i="23"/>
  <c r="X401" i="23"/>
  <c r="W401" i="23"/>
  <c r="V401" i="23"/>
  <c r="U401" i="23"/>
  <c r="T401" i="23"/>
  <c r="S401" i="23"/>
  <c r="R401" i="23"/>
  <c r="Q401" i="23"/>
  <c r="P401" i="23"/>
  <c r="O401" i="23"/>
  <c r="N401" i="23"/>
  <c r="M401" i="23"/>
  <c r="L401" i="23"/>
  <c r="K401" i="23"/>
  <c r="J401" i="23"/>
  <c r="I401" i="23"/>
  <c r="H401" i="23"/>
  <c r="G401" i="23"/>
  <c r="F401" i="23"/>
  <c r="E401" i="23"/>
  <c r="D401" i="23"/>
  <c r="B401" i="23"/>
  <c r="Z400" i="23"/>
  <c r="Y400" i="23"/>
  <c r="X400" i="23"/>
  <c r="W400" i="23"/>
  <c r="V400" i="23"/>
  <c r="U400" i="23"/>
  <c r="T400" i="23"/>
  <c r="S400" i="23"/>
  <c r="R400" i="23"/>
  <c r="Q400" i="23"/>
  <c r="P400" i="23"/>
  <c r="O400" i="23"/>
  <c r="N400" i="23"/>
  <c r="M400" i="23"/>
  <c r="L400" i="23"/>
  <c r="K400" i="23"/>
  <c r="J400" i="23"/>
  <c r="I400" i="23"/>
  <c r="H400" i="23"/>
  <c r="G400" i="23"/>
  <c r="F400" i="23"/>
  <c r="E400" i="23"/>
  <c r="D400" i="23"/>
  <c r="B400" i="23"/>
  <c r="B396" i="23"/>
  <c r="P395" i="23"/>
  <c r="O395" i="23"/>
  <c r="N395" i="23"/>
  <c r="M395" i="23"/>
  <c r="L395" i="23"/>
  <c r="K395" i="23"/>
  <c r="J395" i="23"/>
  <c r="I395" i="23"/>
  <c r="H395" i="23"/>
  <c r="G395" i="23"/>
  <c r="F395" i="23"/>
  <c r="E395" i="23"/>
  <c r="D395" i="23"/>
  <c r="B395" i="23"/>
  <c r="B391" i="23"/>
  <c r="P388" i="23"/>
  <c r="O388" i="23"/>
  <c r="N388" i="23"/>
  <c r="M388" i="23"/>
  <c r="L388" i="23"/>
  <c r="K388" i="23"/>
  <c r="J388" i="23"/>
  <c r="I388" i="23"/>
  <c r="H388" i="23"/>
  <c r="G388" i="23"/>
  <c r="F388" i="23"/>
  <c r="E388" i="23"/>
  <c r="D388" i="23"/>
  <c r="B388" i="23"/>
  <c r="P386" i="23"/>
  <c r="P468" i="23" s="1"/>
  <c r="O386" i="23"/>
  <c r="O468" i="23" s="1"/>
  <c r="N386" i="23"/>
  <c r="N468" i="23" s="1"/>
  <c r="M386" i="23"/>
  <c r="M468" i="23" s="1"/>
  <c r="L386" i="23"/>
  <c r="L468" i="23" s="1"/>
  <c r="K386" i="23"/>
  <c r="K468" i="23" s="1"/>
  <c r="J386" i="23"/>
  <c r="J468" i="23" s="1"/>
  <c r="J469" i="23" s="1"/>
  <c r="I386" i="23"/>
  <c r="I468" i="23" s="1"/>
  <c r="H386" i="23"/>
  <c r="H468" i="23" s="1"/>
  <c r="G386" i="23"/>
  <c r="G468" i="23" s="1"/>
  <c r="F386" i="23"/>
  <c r="F468" i="23" s="1"/>
  <c r="E386" i="23"/>
  <c r="E468" i="23" s="1"/>
  <c r="D386" i="23"/>
  <c r="D468" i="23" s="1"/>
  <c r="B386" i="23"/>
  <c r="P385" i="23"/>
  <c r="O385" i="23"/>
  <c r="N385" i="23"/>
  <c r="M385" i="23"/>
  <c r="L385" i="23"/>
  <c r="K385" i="23"/>
  <c r="J385" i="23"/>
  <c r="I385" i="23"/>
  <c r="H385" i="23"/>
  <c r="G385" i="23"/>
  <c r="F385" i="23"/>
  <c r="E385" i="23"/>
  <c r="D385" i="23"/>
  <c r="B385" i="23"/>
  <c r="P384" i="23"/>
  <c r="O384" i="23"/>
  <c r="N384" i="23"/>
  <c r="M384" i="23"/>
  <c r="L384" i="23"/>
  <c r="K384" i="23"/>
  <c r="J384" i="23"/>
  <c r="I384" i="23"/>
  <c r="H384" i="23"/>
  <c r="G384" i="23"/>
  <c r="F384" i="23"/>
  <c r="E384" i="23"/>
  <c r="D384" i="23"/>
  <c r="B384" i="23"/>
  <c r="Z381" i="23"/>
  <c r="Y381" i="23"/>
  <c r="X381" i="23"/>
  <c r="W381" i="23"/>
  <c r="V381" i="23"/>
  <c r="U381" i="23"/>
  <c r="T381" i="23"/>
  <c r="S381" i="23"/>
  <c r="R381" i="23"/>
  <c r="Q381" i="23"/>
  <c r="P381" i="23"/>
  <c r="O381" i="23"/>
  <c r="N381" i="23"/>
  <c r="M381" i="23"/>
  <c r="L381" i="23"/>
  <c r="K381" i="23"/>
  <c r="J381" i="23"/>
  <c r="I381" i="23"/>
  <c r="H381" i="23"/>
  <c r="G381" i="23"/>
  <c r="F381" i="23"/>
  <c r="E381" i="23"/>
  <c r="D381" i="23"/>
  <c r="B381" i="23"/>
  <c r="Z380" i="23"/>
  <c r="Z486" i="23" s="1"/>
  <c r="Y380" i="23"/>
  <c r="Y486" i="23" s="1"/>
  <c r="X380" i="23"/>
  <c r="X486" i="23" s="1"/>
  <c r="W380" i="23"/>
  <c r="W486" i="23" s="1"/>
  <c r="V380" i="23"/>
  <c r="V486" i="23" s="1"/>
  <c r="U380" i="23"/>
  <c r="U486" i="23" s="1"/>
  <c r="T380" i="23"/>
  <c r="T486" i="23" s="1"/>
  <c r="S380" i="23"/>
  <c r="S486" i="23" s="1"/>
  <c r="R380" i="23"/>
  <c r="R486" i="23" s="1"/>
  <c r="Q380" i="23"/>
  <c r="Q486" i="23" s="1"/>
  <c r="P380" i="23"/>
  <c r="P486" i="23" s="1"/>
  <c r="O380" i="23"/>
  <c r="O486" i="23" s="1"/>
  <c r="N380" i="23"/>
  <c r="N486" i="23" s="1"/>
  <c r="M380" i="23"/>
  <c r="M486" i="23" s="1"/>
  <c r="L380" i="23"/>
  <c r="L486" i="23" s="1"/>
  <c r="K380" i="23"/>
  <c r="K486" i="23" s="1"/>
  <c r="J380" i="23"/>
  <c r="J486" i="23" s="1"/>
  <c r="I380" i="23"/>
  <c r="I486" i="23" s="1"/>
  <c r="H380" i="23"/>
  <c r="H486" i="23" s="1"/>
  <c r="G380" i="23"/>
  <c r="G486" i="23" s="1"/>
  <c r="F380" i="23"/>
  <c r="F486" i="23" s="1"/>
  <c r="E380" i="23"/>
  <c r="E486" i="23" s="1"/>
  <c r="D380" i="23"/>
  <c r="D486" i="23" s="1"/>
  <c r="B380" i="23"/>
  <c r="Y379" i="23"/>
  <c r="W379" i="23"/>
  <c r="S379" i="23"/>
  <c r="Q379" i="23"/>
  <c r="Z378" i="23"/>
  <c r="Y378" i="23"/>
  <c r="X378" i="23"/>
  <c r="W378" i="23"/>
  <c r="V378" i="23"/>
  <c r="U378" i="23"/>
  <c r="T378" i="23"/>
  <c r="S378" i="23"/>
  <c r="R378" i="23"/>
  <c r="Q378" i="23"/>
  <c r="P378" i="23"/>
  <c r="P331" i="23" s="1"/>
  <c r="P332" i="23" s="1"/>
  <c r="O378" i="23"/>
  <c r="O331" i="23" s="1"/>
  <c r="N378" i="23"/>
  <c r="N331" i="23" s="1"/>
  <c r="N332" i="23" s="1"/>
  <c r="N333" i="23" s="1"/>
  <c r="M378" i="23"/>
  <c r="M331" i="23" s="1"/>
  <c r="M332" i="23" s="1"/>
  <c r="M333" i="23" s="1"/>
  <c r="L378" i="23"/>
  <c r="K378" i="23"/>
  <c r="J378" i="23"/>
  <c r="J331" i="23" s="1"/>
  <c r="J332" i="23" s="1"/>
  <c r="I378" i="23"/>
  <c r="I331" i="23" s="1"/>
  <c r="H378" i="23"/>
  <c r="H331" i="23" s="1"/>
  <c r="G378" i="23"/>
  <c r="G331" i="23" s="1"/>
  <c r="G332" i="23" s="1"/>
  <c r="F378" i="23"/>
  <c r="F331" i="23" s="1"/>
  <c r="F332" i="23" s="1"/>
  <c r="E378" i="23"/>
  <c r="E331" i="23" s="1"/>
  <c r="D378" i="23"/>
  <c r="D331" i="23" s="1"/>
  <c r="B378" i="23"/>
  <c r="Z377" i="23"/>
  <c r="Y377" i="23"/>
  <c r="X377" i="23"/>
  <c r="W377" i="23"/>
  <c r="V377" i="23"/>
  <c r="U377" i="23"/>
  <c r="T377" i="23"/>
  <c r="S377" i="23"/>
  <c r="R377" i="23"/>
  <c r="Q377" i="23"/>
  <c r="P377" i="23"/>
  <c r="P271" i="23" s="1"/>
  <c r="O377" i="23"/>
  <c r="O271" i="23" s="1"/>
  <c r="N377" i="23"/>
  <c r="N271" i="23" s="1"/>
  <c r="M377" i="23"/>
  <c r="L377" i="23"/>
  <c r="K377" i="23"/>
  <c r="J377" i="23"/>
  <c r="J271" i="23" s="1"/>
  <c r="I377" i="23"/>
  <c r="I271" i="23" s="1"/>
  <c r="H377" i="23"/>
  <c r="H271" i="23" s="1"/>
  <c r="G377" i="23"/>
  <c r="G271" i="23" s="1"/>
  <c r="F377" i="23"/>
  <c r="F271" i="23" s="1"/>
  <c r="E377" i="23"/>
  <c r="D377" i="23"/>
  <c r="D271" i="23" s="1"/>
  <c r="B377" i="23"/>
  <c r="Z376" i="23"/>
  <c r="Y376" i="23"/>
  <c r="X376" i="23"/>
  <c r="W376" i="23"/>
  <c r="V376" i="23"/>
  <c r="U376" i="23"/>
  <c r="T376" i="23"/>
  <c r="S376" i="23"/>
  <c r="R376" i="23"/>
  <c r="Q376" i="23"/>
  <c r="P376" i="23"/>
  <c r="O376" i="23"/>
  <c r="N376" i="23"/>
  <c r="M376" i="23"/>
  <c r="L376" i="23"/>
  <c r="K376" i="23"/>
  <c r="J376" i="23"/>
  <c r="I376" i="23"/>
  <c r="H376" i="23"/>
  <c r="G376" i="23"/>
  <c r="F376" i="23"/>
  <c r="E376" i="23"/>
  <c r="D376" i="23"/>
  <c r="B376" i="23"/>
  <c r="Z375" i="23"/>
  <c r="Z379" i="23" s="1"/>
  <c r="Y375" i="23"/>
  <c r="X375" i="23"/>
  <c r="X379" i="23" s="1"/>
  <c r="W375" i="23"/>
  <c r="V375" i="23"/>
  <c r="V379" i="23" s="1"/>
  <c r="U375" i="23"/>
  <c r="U379" i="23" s="1"/>
  <c r="T375" i="23"/>
  <c r="T379" i="23" s="1"/>
  <c r="S375" i="23"/>
  <c r="R375" i="23"/>
  <c r="R379" i="23" s="1"/>
  <c r="Q375" i="23"/>
  <c r="P375" i="23"/>
  <c r="P379" i="23" s="1"/>
  <c r="O375" i="23"/>
  <c r="O379" i="23" s="1"/>
  <c r="N375" i="23"/>
  <c r="N379" i="23" s="1"/>
  <c r="M375" i="23"/>
  <c r="M379" i="23" s="1"/>
  <c r="L375" i="23"/>
  <c r="L379" i="23" s="1"/>
  <c r="K375" i="23"/>
  <c r="K379" i="23" s="1"/>
  <c r="J375" i="23"/>
  <c r="J379" i="23" s="1"/>
  <c r="I375" i="23"/>
  <c r="I379" i="23" s="1"/>
  <c r="H375" i="23"/>
  <c r="H379" i="23" s="1"/>
  <c r="G375" i="23"/>
  <c r="G379" i="23" s="1"/>
  <c r="F375" i="23"/>
  <c r="F379" i="23" s="1"/>
  <c r="E375" i="23"/>
  <c r="E379" i="23" s="1"/>
  <c r="D375" i="23"/>
  <c r="D379" i="23" s="1"/>
  <c r="B375" i="23"/>
  <c r="B371" i="23"/>
  <c r="P370" i="23"/>
  <c r="O370" i="23"/>
  <c r="N370" i="23"/>
  <c r="M370" i="23"/>
  <c r="L370" i="23"/>
  <c r="K370" i="23"/>
  <c r="J370" i="23"/>
  <c r="I370" i="23"/>
  <c r="H370" i="23"/>
  <c r="G370" i="23"/>
  <c r="F370" i="23"/>
  <c r="E370" i="23"/>
  <c r="D370" i="23"/>
  <c r="B370" i="23"/>
  <c r="P369" i="23"/>
  <c r="O369" i="23"/>
  <c r="N369" i="23"/>
  <c r="M369" i="23"/>
  <c r="L369" i="23"/>
  <c r="K369" i="23"/>
  <c r="J369" i="23"/>
  <c r="I369" i="23"/>
  <c r="H369" i="23"/>
  <c r="G369" i="23"/>
  <c r="F369" i="23"/>
  <c r="E369" i="23"/>
  <c r="D369" i="23"/>
  <c r="B369" i="23"/>
  <c r="B367" i="23"/>
  <c r="B362" i="23"/>
  <c r="P361" i="23"/>
  <c r="O361" i="23"/>
  <c r="N361" i="23"/>
  <c r="M361" i="23"/>
  <c r="L361" i="23"/>
  <c r="K361" i="23"/>
  <c r="J361" i="23"/>
  <c r="I361" i="23"/>
  <c r="H361" i="23"/>
  <c r="G361" i="23"/>
  <c r="F361" i="23"/>
  <c r="E361" i="23"/>
  <c r="D361" i="23"/>
  <c r="B361" i="23"/>
  <c r="P360" i="23"/>
  <c r="O360" i="23"/>
  <c r="N360" i="23"/>
  <c r="M360" i="23"/>
  <c r="L360" i="23"/>
  <c r="K360" i="23"/>
  <c r="J360" i="23"/>
  <c r="I360" i="23"/>
  <c r="H360" i="23"/>
  <c r="G360" i="23"/>
  <c r="F360" i="23"/>
  <c r="E360" i="23"/>
  <c r="D360" i="23"/>
  <c r="B360" i="23"/>
  <c r="B358" i="23"/>
  <c r="P354" i="23"/>
  <c r="O354" i="23"/>
  <c r="N354" i="23"/>
  <c r="M354" i="23"/>
  <c r="L354" i="23"/>
  <c r="K354" i="23"/>
  <c r="J354" i="23"/>
  <c r="I354" i="23"/>
  <c r="H354" i="23"/>
  <c r="G354" i="23"/>
  <c r="F354" i="23"/>
  <c r="E354" i="23"/>
  <c r="D354" i="23"/>
  <c r="B354" i="23"/>
  <c r="B352" i="23"/>
  <c r="P351" i="23"/>
  <c r="O351" i="23"/>
  <c r="N351" i="23"/>
  <c r="M351" i="23"/>
  <c r="L351" i="23"/>
  <c r="K351" i="23"/>
  <c r="J351" i="23"/>
  <c r="I351" i="23"/>
  <c r="H351" i="23"/>
  <c r="G351" i="23"/>
  <c r="F351" i="23"/>
  <c r="E351" i="23"/>
  <c r="D351" i="23"/>
  <c r="B351" i="23"/>
  <c r="P347" i="23"/>
  <c r="O347" i="23"/>
  <c r="N347" i="23"/>
  <c r="M347" i="23"/>
  <c r="L347" i="23"/>
  <c r="K347" i="23"/>
  <c r="J347" i="23"/>
  <c r="I347" i="23"/>
  <c r="H347" i="23"/>
  <c r="G347" i="23"/>
  <c r="F347" i="23"/>
  <c r="E347" i="23"/>
  <c r="D347" i="23"/>
  <c r="B347" i="23"/>
  <c r="B345" i="23"/>
  <c r="P341" i="23"/>
  <c r="P37" i="23" s="1"/>
  <c r="O341" i="23"/>
  <c r="O37" i="23" s="1"/>
  <c r="N341" i="23"/>
  <c r="M341" i="23"/>
  <c r="M37" i="23" s="1"/>
  <c r="L341" i="23"/>
  <c r="L37" i="23" s="1"/>
  <c r="K341" i="23"/>
  <c r="J341" i="23"/>
  <c r="I341" i="23"/>
  <c r="H341" i="23"/>
  <c r="H37" i="23" s="1"/>
  <c r="G341" i="23"/>
  <c r="G37" i="23" s="1"/>
  <c r="F341" i="23"/>
  <c r="E341" i="23"/>
  <c r="E37" i="23" s="1"/>
  <c r="D341" i="23"/>
  <c r="D37" i="23" s="1"/>
  <c r="B341" i="23"/>
  <c r="P340" i="23"/>
  <c r="O340" i="23"/>
  <c r="N340" i="23"/>
  <c r="M340" i="23"/>
  <c r="L340" i="23"/>
  <c r="K340" i="23"/>
  <c r="J340" i="23"/>
  <c r="I340" i="23"/>
  <c r="H340" i="23"/>
  <c r="G340" i="23"/>
  <c r="F340" i="23"/>
  <c r="E340" i="23"/>
  <c r="D340" i="23"/>
  <c r="B340" i="23"/>
  <c r="B336" i="23"/>
  <c r="P335" i="23"/>
  <c r="O335" i="23"/>
  <c r="N335" i="23"/>
  <c r="M335" i="23"/>
  <c r="L335" i="23"/>
  <c r="K335" i="23"/>
  <c r="J335" i="23"/>
  <c r="I335" i="23"/>
  <c r="H335" i="23"/>
  <c r="G335" i="23"/>
  <c r="F335" i="23"/>
  <c r="E335" i="23"/>
  <c r="D335" i="23"/>
  <c r="B335" i="23"/>
  <c r="P334" i="23"/>
  <c r="Q334" i="23" s="1"/>
  <c r="R334" i="23" s="1"/>
  <c r="S334" i="23" s="1"/>
  <c r="T334" i="23" s="1"/>
  <c r="U334" i="23" s="1"/>
  <c r="V334" i="23" s="1"/>
  <c r="W334" i="23" s="1"/>
  <c r="X334" i="23" s="1"/>
  <c r="Y334" i="23" s="1"/>
  <c r="Z334" i="23" s="1"/>
  <c r="O334" i="23"/>
  <c r="N334" i="23"/>
  <c r="M334" i="23"/>
  <c r="L334" i="23"/>
  <c r="K334" i="23"/>
  <c r="J334" i="23"/>
  <c r="I334" i="23"/>
  <c r="H334" i="23"/>
  <c r="G334" i="23"/>
  <c r="F334" i="23"/>
  <c r="E334" i="23"/>
  <c r="D334" i="23"/>
  <c r="B334" i="23"/>
  <c r="B332" i="23"/>
  <c r="Z331" i="23"/>
  <c r="Y331" i="23"/>
  <c r="X331" i="23"/>
  <c r="W331" i="23"/>
  <c r="V331" i="23"/>
  <c r="U331" i="23"/>
  <c r="T331" i="23"/>
  <c r="S331" i="23"/>
  <c r="R331" i="23"/>
  <c r="Q331" i="23"/>
  <c r="L331" i="23"/>
  <c r="L332" i="23" s="1"/>
  <c r="K331" i="23"/>
  <c r="K332" i="23" s="1"/>
  <c r="P328" i="23"/>
  <c r="O328" i="23"/>
  <c r="N328" i="23"/>
  <c r="M328" i="23"/>
  <c r="L328" i="23"/>
  <c r="K328" i="23"/>
  <c r="J328" i="23"/>
  <c r="I328" i="23"/>
  <c r="H328" i="23"/>
  <c r="G328" i="23"/>
  <c r="F328" i="23"/>
  <c r="E328" i="23"/>
  <c r="D328" i="23"/>
  <c r="B328" i="23"/>
  <c r="P327" i="23"/>
  <c r="O327" i="23"/>
  <c r="N327" i="23"/>
  <c r="M327" i="23"/>
  <c r="L327" i="23"/>
  <c r="K327" i="23"/>
  <c r="J327" i="23"/>
  <c r="I327" i="23"/>
  <c r="H327" i="23"/>
  <c r="G327" i="23"/>
  <c r="F327" i="23"/>
  <c r="E327" i="23"/>
  <c r="D327" i="23"/>
  <c r="B327" i="23"/>
  <c r="P326" i="23"/>
  <c r="O326" i="23"/>
  <c r="N326" i="23"/>
  <c r="M326" i="23"/>
  <c r="L326" i="23"/>
  <c r="K326" i="23"/>
  <c r="J326" i="23"/>
  <c r="I326" i="23"/>
  <c r="H326" i="23"/>
  <c r="G326" i="23"/>
  <c r="F326" i="23"/>
  <c r="E326" i="23"/>
  <c r="D326" i="23"/>
  <c r="B326" i="23"/>
  <c r="P320" i="23"/>
  <c r="O320" i="23"/>
  <c r="N320" i="23"/>
  <c r="M320" i="23"/>
  <c r="L320" i="23"/>
  <c r="K320" i="23"/>
  <c r="J320" i="23"/>
  <c r="I320" i="23"/>
  <c r="H320" i="23"/>
  <c r="G320" i="23"/>
  <c r="F320" i="23"/>
  <c r="E320" i="23"/>
  <c r="D320" i="23"/>
  <c r="B320" i="23"/>
  <c r="P319" i="23"/>
  <c r="O319" i="23"/>
  <c r="N319" i="23"/>
  <c r="M319" i="23"/>
  <c r="L319" i="23"/>
  <c r="K319" i="23"/>
  <c r="J319" i="23"/>
  <c r="I319" i="23"/>
  <c r="H319" i="23"/>
  <c r="G319" i="23"/>
  <c r="F319" i="23"/>
  <c r="E319" i="23"/>
  <c r="D319" i="23"/>
  <c r="B319" i="23"/>
  <c r="K316" i="23"/>
  <c r="J316" i="23"/>
  <c r="I316" i="23"/>
  <c r="H316" i="23"/>
  <c r="G316" i="23"/>
  <c r="F316" i="23"/>
  <c r="E316" i="23"/>
  <c r="D316" i="23"/>
  <c r="B316" i="23"/>
  <c r="B314" i="23"/>
  <c r="P313" i="23"/>
  <c r="O313" i="23"/>
  <c r="N313" i="23"/>
  <c r="M313" i="23"/>
  <c r="L313" i="23"/>
  <c r="K313" i="23"/>
  <c r="J313" i="23"/>
  <c r="J314" i="23" s="1"/>
  <c r="J315" i="23" s="1"/>
  <c r="I313" i="23"/>
  <c r="H313" i="23"/>
  <c r="G313" i="23"/>
  <c r="G314" i="23" s="1"/>
  <c r="F313" i="23"/>
  <c r="F314" i="23" s="1"/>
  <c r="E313" i="23"/>
  <c r="E314" i="23" s="1"/>
  <c r="E315" i="23" s="1"/>
  <c r="D313" i="23"/>
  <c r="D314" i="23" s="1"/>
  <c r="D315" i="23" s="1"/>
  <c r="B313" i="23"/>
  <c r="K310" i="23"/>
  <c r="J310" i="23"/>
  <c r="I310" i="23"/>
  <c r="H310" i="23"/>
  <c r="G310" i="23"/>
  <c r="F310" i="23"/>
  <c r="E310" i="23"/>
  <c r="D310" i="23"/>
  <c r="B310" i="23"/>
  <c r="K309" i="23"/>
  <c r="J309" i="23"/>
  <c r="I309" i="23"/>
  <c r="H309" i="23"/>
  <c r="G309" i="23"/>
  <c r="F309" i="23"/>
  <c r="E309" i="23"/>
  <c r="D309" i="23"/>
  <c r="B309" i="23"/>
  <c r="K306" i="23"/>
  <c r="J306" i="23"/>
  <c r="I306" i="23"/>
  <c r="H306" i="23"/>
  <c r="G306" i="23"/>
  <c r="F306" i="23"/>
  <c r="E306" i="23"/>
  <c r="D306" i="23"/>
  <c r="B306" i="23"/>
  <c r="K305" i="23"/>
  <c r="J305" i="23"/>
  <c r="I305" i="23"/>
  <c r="H305" i="23"/>
  <c r="G305" i="23"/>
  <c r="F305" i="23"/>
  <c r="E305" i="23"/>
  <c r="D305" i="23"/>
  <c r="B305" i="23"/>
  <c r="K302" i="23"/>
  <c r="J302" i="23"/>
  <c r="I302" i="23"/>
  <c r="H302" i="23"/>
  <c r="G302" i="23"/>
  <c r="F302" i="23"/>
  <c r="E302" i="23"/>
  <c r="D302" i="23"/>
  <c r="B302" i="23"/>
  <c r="K301" i="23"/>
  <c r="J301" i="23"/>
  <c r="I301" i="23"/>
  <c r="H301" i="23"/>
  <c r="G301" i="23"/>
  <c r="F301" i="23"/>
  <c r="E301" i="23"/>
  <c r="D301" i="23"/>
  <c r="B301" i="23"/>
  <c r="K298" i="23"/>
  <c r="J298" i="23"/>
  <c r="I298" i="23"/>
  <c r="H298" i="23"/>
  <c r="G298" i="23"/>
  <c r="F298" i="23"/>
  <c r="E298" i="23"/>
  <c r="D298" i="23"/>
  <c r="B298" i="23"/>
  <c r="K297" i="23"/>
  <c r="J297" i="23"/>
  <c r="I297" i="23"/>
  <c r="H297" i="23"/>
  <c r="G297" i="23"/>
  <c r="F297" i="23"/>
  <c r="E297" i="23"/>
  <c r="D297" i="23"/>
  <c r="B297" i="23"/>
  <c r="K294" i="23"/>
  <c r="J294" i="23"/>
  <c r="I294" i="23"/>
  <c r="H294" i="23"/>
  <c r="G294" i="23"/>
  <c r="F294" i="23"/>
  <c r="E294" i="23"/>
  <c r="D294" i="23"/>
  <c r="B294" i="23"/>
  <c r="B292" i="23"/>
  <c r="B286" i="23"/>
  <c r="P285" i="23"/>
  <c r="O285" i="23"/>
  <c r="N285" i="23"/>
  <c r="M285" i="23"/>
  <c r="L285" i="23"/>
  <c r="K285" i="23"/>
  <c r="J285" i="23"/>
  <c r="I285" i="23"/>
  <c r="H285" i="23"/>
  <c r="G285" i="23"/>
  <c r="F285" i="23"/>
  <c r="E285" i="23"/>
  <c r="D285" i="23"/>
  <c r="B285" i="23"/>
  <c r="P284" i="23"/>
  <c r="O284" i="23"/>
  <c r="N284" i="23"/>
  <c r="M284" i="23"/>
  <c r="L284" i="23"/>
  <c r="K284" i="23"/>
  <c r="J284" i="23"/>
  <c r="I284" i="23"/>
  <c r="H284" i="23"/>
  <c r="G284" i="23"/>
  <c r="F284" i="23"/>
  <c r="E284" i="23"/>
  <c r="D284" i="23"/>
  <c r="B284" i="23"/>
  <c r="P283" i="23"/>
  <c r="O283" i="23"/>
  <c r="N283" i="23"/>
  <c r="M283" i="23"/>
  <c r="L283" i="23"/>
  <c r="L286" i="23" s="1"/>
  <c r="K283" i="23"/>
  <c r="J283" i="23"/>
  <c r="I283" i="23"/>
  <c r="H283" i="23"/>
  <c r="G283" i="23"/>
  <c r="F283" i="23"/>
  <c r="E283" i="23"/>
  <c r="D283" i="23"/>
  <c r="D286" i="23" s="1"/>
  <c r="B283" i="23"/>
  <c r="K280" i="23"/>
  <c r="J280" i="23"/>
  <c r="I280" i="23"/>
  <c r="H280" i="23"/>
  <c r="G280" i="23"/>
  <c r="F280" i="23"/>
  <c r="E280" i="23"/>
  <c r="D280" i="23"/>
  <c r="B280" i="23"/>
  <c r="K279" i="23"/>
  <c r="J279" i="23"/>
  <c r="I279" i="23"/>
  <c r="H279" i="23"/>
  <c r="G279" i="23"/>
  <c r="F279" i="23"/>
  <c r="E279" i="23"/>
  <c r="D279" i="23"/>
  <c r="B279" i="23"/>
  <c r="K276" i="23"/>
  <c r="J276" i="23"/>
  <c r="I276" i="23"/>
  <c r="H276" i="23"/>
  <c r="G276" i="23"/>
  <c r="F276" i="23"/>
  <c r="E276" i="23"/>
  <c r="D276" i="23"/>
  <c r="B276" i="23"/>
  <c r="B274" i="23"/>
  <c r="P273" i="23"/>
  <c r="O273" i="23"/>
  <c r="N273" i="23"/>
  <c r="M273" i="23"/>
  <c r="L273" i="23"/>
  <c r="K273" i="23"/>
  <c r="J273" i="23"/>
  <c r="I273" i="23"/>
  <c r="H273" i="23"/>
  <c r="G273" i="23"/>
  <c r="F273" i="23"/>
  <c r="E273" i="23"/>
  <c r="D273" i="23"/>
  <c r="Z271" i="23"/>
  <c r="Y271" i="23"/>
  <c r="X271" i="23"/>
  <c r="W271" i="23"/>
  <c r="V271" i="23"/>
  <c r="U271" i="23"/>
  <c r="T271" i="23"/>
  <c r="S271" i="23"/>
  <c r="R271" i="23"/>
  <c r="Q271" i="23"/>
  <c r="M271" i="23"/>
  <c r="L271" i="23"/>
  <c r="K271" i="23"/>
  <c r="E271" i="23"/>
  <c r="B267" i="23"/>
  <c r="P266" i="23"/>
  <c r="O266" i="23"/>
  <c r="N266" i="23"/>
  <c r="M266" i="23"/>
  <c r="L266" i="23"/>
  <c r="K266" i="23"/>
  <c r="J266" i="23"/>
  <c r="I266" i="23"/>
  <c r="H266" i="23"/>
  <c r="G266" i="23"/>
  <c r="F266" i="23"/>
  <c r="E266" i="23"/>
  <c r="D266" i="23"/>
  <c r="B266" i="23"/>
  <c r="B264" i="23"/>
  <c r="Z263" i="23"/>
  <c r="Y263" i="23"/>
  <c r="X263" i="23"/>
  <c r="W263" i="23"/>
  <c r="V263" i="23"/>
  <c r="U263" i="23"/>
  <c r="T263" i="23"/>
  <c r="S263" i="23"/>
  <c r="R263" i="23"/>
  <c r="Q263" i="23"/>
  <c r="P263" i="23"/>
  <c r="O263" i="23"/>
  <c r="N263" i="23"/>
  <c r="M263" i="23"/>
  <c r="L263" i="23"/>
  <c r="K263" i="23"/>
  <c r="H263" i="23"/>
  <c r="F263" i="23"/>
  <c r="E263" i="23"/>
  <c r="D263" i="23"/>
  <c r="B258" i="23"/>
  <c r="P257" i="23"/>
  <c r="O257" i="23"/>
  <c r="N257" i="23"/>
  <c r="M257" i="23"/>
  <c r="L257" i="23"/>
  <c r="K257" i="23"/>
  <c r="J257" i="23"/>
  <c r="I257" i="23"/>
  <c r="H257" i="23"/>
  <c r="G257" i="23"/>
  <c r="F257" i="23"/>
  <c r="E257" i="23"/>
  <c r="D257" i="23"/>
  <c r="B257" i="23"/>
  <c r="K256" i="23"/>
  <c r="J256" i="23"/>
  <c r="J258" i="23" s="1"/>
  <c r="I256" i="23"/>
  <c r="H256" i="23"/>
  <c r="G256" i="23"/>
  <c r="F256" i="23"/>
  <c r="E256" i="23"/>
  <c r="D256" i="23"/>
  <c r="B256" i="23"/>
  <c r="P253" i="23"/>
  <c r="Q253" i="23" s="1"/>
  <c r="O253" i="23"/>
  <c r="N253" i="23"/>
  <c r="M253" i="23"/>
  <c r="L253" i="23"/>
  <c r="K253" i="23"/>
  <c r="J253" i="23"/>
  <c r="I253" i="23"/>
  <c r="H253" i="23"/>
  <c r="G253" i="23"/>
  <c r="F253" i="23"/>
  <c r="E253" i="23"/>
  <c r="D253" i="23"/>
  <c r="B253" i="23"/>
  <c r="P252" i="23"/>
  <c r="Q252" i="23" s="1"/>
  <c r="R252" i="23" s="1"/>
  <c r="S252" i="23" s="1"/>
  <c r="T252" i="23" s="1"/>
  <c r="U252" i="23" s="1"/>
  <c r="V252" i="23" s="1"/>
  <c r="W252" i="23" s="1"/>
  <c r="X252" i="23" s="1"/>
  <c r="Y252" i="23" s="1"/>
  <c r="Z252" i="23" s="1"/>
  <c r="O252" i="23"/>
  <c r="N252" i="23"/>
  <c r="M252" i="23"/>
  <c r="L252" i="23"/>
  <c r="K252" i="23"/>
  <c r="J252" i="23"/>
  <c r="I252" i="23"/>
  <c r="H252" i="23"/>
  <c r="G252" i="23"/>
  <c r="F252" i="23"/>
  <c r="E252" i="23"/>
  <c r="D252" i="23"/>
  <c r="B252" i="23"/>
  <c r="K249" i="23"/>
  <c r="J249" i="23"/>
  <c r="I249" i="23"/>
  <c r="H249" i="23"/>
  <c r="G249" i="23"/>
  <c r="F249" i="23"/>
  <c r="E249" i="23"/>
  <c r="D249" i="23"/>
  <c r="B249" i="23"/>
  <c r="P248" i="23"/>
  <c r="O248" i="23"/>
  <c r="N248" i="23"/>
  <c r="M248" i="23"/>
  <c r="L248" i="23"/>
  <c r="K248" i="23"/>
  <c r="J248" i="23"/>
  <c r="I248" i="23"/>
  <c r="H248" i="23"/>
  <c r="G248" i="23"/>
  <c r="F248" i="23"/>
  <c r="E248" i="23"/>
  <c r="D248" i="23"/>
  <c r="B248" i="23"/>
  <c r="P247" i="23"/>
  <c r="O247" i="23"/>
  <c r="N247" i="23"/>
  <c r="M247" i="23"/>
  <c r="L247" i="23"/>
  <c r="K247" i="23"/>
  <c r="J247" i="23"/>
  <c r="I247" i="23"/>
  <c r="H247" i="23"/>
  <c r="G247" i="23"/>
  <c r="F247" i="23"/>
  <c r="E247" i="23"/>
  <c r="D247" i="23"/>
  <c r="B247" i="23"/>
  <c r="P243" i="23"/>
  <c r="O243" i="23"/>
  <c r="N243" i="23"/>
  <c r="M243" i="23"/>
  <c r="L243" i="23"/>
  <c r="K243" i="23"/>
  <c r="J243" i="23"/>
  <c r="I243" i="23"/>
  <c r="H243" i="23"/>
  <c r="G243" i="23"/>
  <c r="F243" i="23"/>
  <c r="E243" i="23"/>
  <c r="D243" i="23"/>
  <c r="B243" i="23"/>
  <c r="P242" i="23"/>
  <c r="Q242" i="23" s="1"/>
  <c r="R242" i="23" s="1"/>
  <c r="S242" i="23" s="1"/>
  <c r="T242" i="23" s="1"/>
  <c r="U242" i="23" s="1"/>
  <c r="V242" i="23" s="1"/>
  <c r="W242" i="23" s="1"/>
  <c r="X242" i="23" s="1"/>
  <c r="Y242" i="23" s="1"/>
  <c r="Z242" i="23" s="1"/>
  <c r="O242" i="23"/>
  <c r="N242" i="23"/>
  <c r="M242" i="23"/>
  <c r="L242" i="23"/>
  <c r="K242" i="23"/>
  <c r="J242" i="23"/>
  <c r="I242" i="23"/>
  <c r="H242" i="23"/>
  <c r="G242" i="23"/>
  <c r="F242" i="23"/>
  <c r="E242" i="23"/>
  <c r="D242" i="23"/>
  <c r="B242" i="23"/>
  <c r="P240" i="23"/>
  <c r="O240" i="23"/>
  <c r="N240" i="23"/>
  <c r="M240" i="23"/>
  <c r="L240" i="23"/>
  <c r="K240" i="23"/>
  <c r="J240" i="23"/>
  <c r="I240" i="23"/>
  <c r="H240" i="23"/>
  <c r="G240" i="23"/>
  <c r="F240" i="23"/>
  <c r="E240" i="23"/>
  <c r="D240" i="23"/>
  <c r="B240" i="23"/>
  <c r="P239" i="23"/>
  <c r="O239" i="23"/>
  <c r="O241" i="23" s="1"/>
  <c r="N239" i="23"/>
  <c r="M239" i="23"/>
  <c r="L239" i="23"/>
  <c r="K239" i="23"/>
  <c r="J239" i="23"/>
  <c r="I239" i="23"/>
  <c r="H239" i="23"/>
  <c r="G239" i="23"/>
  <c r="G241" i="23" s="1"/>
  <c r="F239" i="23"/>
  <c r="E239" i="23"/>
  <c r="D239" i="23"/>
  <c r="B239" i="23"/>
  <c r="P238" i="23"/>
  <c r="P290" i="23" s="1"/>
  <c r="O238" i="23"/>
  <c r="O290" i="23" s="1"/>
  <c r="N238" i="23"/>
  <c r="M238" i="23"/>
  <c r="M290" i="23" s="1"/>
  <c r="L238" i="23"/>
  <c r="L290" i="23" s="1"/>
  <c r="K238" i="23"/>
  <c r="K290" i="23" s="1"/>
  <c r="J238" i="23"/>
  <c r="J290" i="23" s="1"/>
  <c r="I238" i="23"/>
  <c r="I290" i="23" s="1"/>
  <c r="H238" i="23"/>
  <c r="H290" i="23" s="1"/>
  <c r="G238" i="23"/>
  <c r="G290" i="23" s="1"/>
  <c r="F238" i="23"/>
  <c r="E238" i="23"/>
  <c r="E290" i="23" s="1"/>
  <c r="D238" i="23"/>
  <c r="D290" i="23" s="1"/>
  <c r="B238" i="23"/>
  <c r="P233" i="23"/>
  <c r="O233" i="23"/>
  <c r="N233" i="23"/>
  <c r="M233" i="23"/>
  <c r="L233" i="23"/>
  <c r="K233" i="23"/>
  <c r="J233" i="23"/>
  <c r="I233" i="23"/>
  <c r="H233" i="23"/>
  <c r="G233" i="23"/>
  <c r="F233" i="23"/>
  <c r="E233" i="23"/>
  <c r="D233" i="23"/>
  <c r="B233" i="23"/>
  <c r="P232" i="23"/>
  <c r="O232" i="23"/>
  <c r="N232" i="23"/>
  <c r="M232" i="23"/>
  <c r="L232" i="23"/>
  <c r="K232" i="23"/>
  <c r="J232" i="23"/>
  <c r="I232" i="23"/>
  <c r="H232" i="23"/>
  <c r="G232" i="23"/>
  <c r="F232" i="23"/>
  <c r="E232" i="23"/>
  <c r="D232" i="23"/>
  <c r="B232" i="23"/>
  <c r="P231" i="23"/>
  <c r="O231" i="23"/>
  <c r="N231" i="23"/>
  <c r="M231" i="23"/>
  <c r="L231" i="23"/>
  <c r="K231" i="23"/>
  <c r="J231" i="23"/>
  <c r="I231" i="23"/>
  <c r="H231" i="23"/>
  <c r="G231" i="23"/>
  <c r="F231" i="23"/>
  <c r="E231" i="23"/>
  <c r="D231" i="23"/>
  <c r="B231" i="23"/>
  <c r="P230" i="23"/>
  <c r="O230" i="23"/>
  <c r="N230" i="23"/>
  <c r="M230" i="23"/>
  <c r="L230" i="23"/>
  <c r="K230" i="23"/>
  <c r="J230" i="23"/>
  <c r="I230" i="23"/>
  <c r="H230" i="23"/>
  <c r="G230" i="23"/>
  <c r="F230" i="23"/>
  <c r="E230" i="23"/>
  <c r="D230" i="23"/>
  <c r="B230" i="23"/>
  <c r="P226" i="23"/>
  <c r="O226" i="23"/>
  <c r="N226" i="23"/>
  <c r="M226" i="23"/>
  <c r="L226" i="23"/>
  <c r="K226" i="23"/>
  <c r="J226" i="23"/>
  <c r="I226" i="23"/>
  <c r="H226" i="23"/>
  <c r="G226" i="23"/>
  <c r="F226" i="23"/>
  <c r="E226" i="23"/>
  <c r="D226" i="23"/>
  <c r="B226" i="23"/>
  <c r="P225" i="23"/>
  <c r="O225" i="23"/>
  <c r="N225" i="23"/>
  <c r="M225" i="23"/>
  <c r="L225" i="23"/>
  <c r="K225" i="23"/>
  <c r="J225" i="23"/>
  <c r="I225" i="23"/>
  <c r="H225" i="23"/>
  <c r="G225" i="23"/>
  <c r="F225" i="23"/>
  <c r="E225" i="23"/>
  <c r="D225" i="23"/>
  <c r="B225" i="23"/>
  <c r="P224" i="23"/>
  <c r="O224" i="23"/>
  <c r="N224" i="23"/>
  <c r="M224" i="23"/>
  <c r="L224" i="23"/>
  <c r="K224" i="23"/>
  <c r="J224" i="23"/>
  <c r="I224" i="23"/>
  <c r="H224" i="23"/>
  <c r="G224" i="23"/>
  <c r="F224" i="23"/>
  <c r="E224" i="23"/>
  <c r="D224" i="23"/>
  <c r="B224" i="23"/>
  <c r="K223" i="23"/>
  <c r="J223" i="23"/>
  <c r="I223" i="23"/>
  <c r="H223" i="23"/>
  <c r="G223" i="23"/>
  <c r="F223" i="23"/>
  <c r="E223" i="23"/>
  <c r="D223" i="23"/>
  <c r="B223" i="23"/>
  <c r="P220" i="23"/>
  <c r="O220" i="23"/>
  <c r="N220" i="23"/>
  <c r="M220" i="23"/>
  <c r="L220" i="23"/>
  <c r="K220" i="23"/>
  <c r="J220" i="23"/>
  <c r="I220" i="23"/>
  <c r="H220" i="23"/>
  <c r="G220" i="23"/>
  <c r="F220" i="23"/>
  <c r="E220" i="23"/>
  <c r="D220" i="23"/>
  <c r="B220" i="23"/>
  <c r="P219" i="23"/>
  <c r="O219" i="23"/>
  <c r="N219" i="23"/>
  <c r="M219" i="23"/>
  <c r="L219" i="23"/>
  <c r="K219" i="23"/>
  <c r="J219" i="23"/>
  <c r="I219" i="23"/>
  <c r="H219" i="23"/>
  <c r="G219" i="23"/>
  <c r="F219" i="23"/>
  <c r="E219" i="23"/>
  <c r="D219" i="23"/>
  <c r="B219" i="23"/>
  <c r="P217" i="23"/>
  <c r="O217" i="23"/>
  <c r="N217" i="23"/>
  <c r="M217" i="23"/>
  <c r="L217" i="23"/>
  <c r="K217" i="23"/>
  <c r="J217" i="23"/>
  <c r="I217" i="23"/>
  <c r="H217" i="23"/>
  <c r="G217" i="23"/>
  <c r="F217" i="23"/>
  <c r="E217" i="23"/>
  <c r="D217" i="23"/>
  <c r="B217" i="23"/>
  <c r="P216" i="23"/>
  <c r="O216" i="23"/>
  <c r="N216" i="23"/>
  <c r="M216" i="23"/>
  <c r="L216" i="23"/>
  <c r="K216" i="23"/>
  <c r="I216" i="23"/>
  <c r="H216" i="23"/>
  <c r="G216" i="23"/>
  <c r="F216" i="23"/>
  <c r="E216" i="23"/>
  <c r="D216" i="23"/>
  <c r="B216" i="23"/>
  <c r="P215" i="23"/>
  <c r="O215" i="23"/>
  <c r="N215" i="23"/>
  <c r="M215" i="23"/>
  <c r="L215" i="23"/>
  <c r="K215" i="23"/>
  <c r="I215" i="23"/>
  <c r="H215" i="23"/>
  <c r="G215" i="23"/>
  <c r="F215" i="23"/>
  <c r="E215" i="23"/>
  <c r="D215" i="23"/>
  <c r="B215" i="23"/>
  <c r="P211" i="23"/>
  <c r="O211" i="23"/>
  <c r="N211" i="23"/>
  <c r="M211" i="23"/>
  <c r="L211" i="23"/>
  <c r="K211" i="23"/>
  <c r="J211" i="23"/>
  <c r="I211" i="23"/>
  <c r="H211" i="23"/>
  <c r="G211" i="23"/>
  <c r="F211" i="23"/>
  <c r="E211" i="23"/>
  <c r="D211" i="23"/>
  <c r="B211" i="23"/>
  <c r="P210" i="23"/>
  <c r="O210" i="23"/>
  <c r="N210" i="23"/>
  <c r="M210" i="23"/>
  <c r="L210" i="23"/>
  <c r="K210" i="23"/>
  <c r="J210" i="23"/>
  <c r="I210" i="23"/>
  <c r="H210" i="23"/>
  <c r="G210" i="23"/>
  <c r="F210" i="23"/>
  <c r="E210" i="23"/>
  <c r="D210" i="23"/>
  <c r="B210" i="23"/>
  <c r="P209" i="23"/>
  <c r="O209" i="23"/>
  <c r="N209" i="23"/>
  <c r="M209" i="23"/>
  <c r="L209" i="23"/>
  <c r="K209" i="23"/>
  <c r="J209" i="23"/>
  <c r="I209" i="23"/>
  <c r="H209" i="23"/>
  <c r="G209" i="23"/>
  <c r="F209" i="23"/>
  <c r="E209" i="23"/>
  <c r="D209" i="23"/>
  <c r="B209" i="23"/>
  <c r="P208" i="23"/>
  <c r="O208" i="23"/>
  <c r="N208" i="23"/>
  <c r="M208" i="23"/>
  <c r="L208" i="23"/>
  <c r="K208" i="23"/>
  <c r="J208" i="23"/>
  <c r="I208" i="23"/>
  <c r="H208" i="23"/>
  <c r="G208" i="23"/>
  <c r="F208" i="23"/>
  <c r="E208" i="23"/>
  <c r="D208" i="23"/>
  <c r="B208" i="23"/>
  <c r="P205" i="23"/>
  <c r="O205" i="23"/>
  <c r="N205" i="23"/>
  <c r="M205" i="23"/>
  <c r="L205" i="23"/>
  <c r="K205" i="23"/>
  <c r="J205" i="23"/>
  <c r="I205" i="23"/>
  <c r="H205" i="23"/>
  <c r="G205" i="23"/>
  <c r="F205" i="23"/>
  <c r="E205" i="23"/>
  <c r="D205" i="23"/>
  <c r="P204" i="23"/>
  <c r="O204" i="23"/>
  <c r="N204" i="23"/>
  <c r="M204" i="23"/>
  <c r="L204" i="23"/>
  <c r="K204" i="23"/>
  <c r="J204" i="23"/>
  <c r="I204" i="23"/>
  <c r="H204" i="23"/>
  <c r="G204" i="23"/>
  <c r="F204" i="23"/>
  <c r="E204" i="23"/>
  <c r="D204" i="23"/>
  <c r="P203" i="23"/>
  <c r="O203" i="23"/>
  <c r="N203" i="23"/>
  <c r="M203" i="23"/>
  <c r="L203" i="23"/>
  <c r="K203" i="23"/>
  <c r="J203" i="23"/>
  <c r="I203" i="23"/>
  <c r="H203" i="23"/>
  <c r="G203" i="23"/>
  <c r="F203" i="23"/>
  <c r="E203" i="23"/>
  <c r="D203" i="23"/>
  <c r="P202" i="23"/>
  <c r="O202" i="23"/>
  <c r="N202" i="23"/>
  <c r="M202" i="23"/>
  <c r="L202" i="23"/>
  <c r="K202" i="23"/>
  <c r="J202" i="23"/>
  <c r="I202" i="23"/>
  <c r="H202" i="23"/>
  <c r="G202" i="23"/>
  <c r="F202" i="23"/>
  <c r="E202" i="23"/>
  <c r="D202" i="23"/>
  <c r="B199" i="23"/>
  <c r="P198" i="23"/>
  <c r="Q198" i="23" s="1"/>
  <c r="R198" i="23" s="1"/>
  <c r="S198" i="23" s="1"/>
  <c r="T198" i="23" s="1"/>
  <c r="U198" i="23" s="1"/>
  <c r="V198" i="23" s="1"/>
  <c r="W198" i="23" s="1"/>
  <c r="X198" i="23" s="1"/>
  <c r="Y198" i="23" s="1"/>
  <c r="Z198" i="23" s="1"/>
  <c r="O198" i="23"/>
  <c r="N198" i="23"/>
  <c r="M198" i="23"/>
  <c r="L198" i="23"/>
  <c r="K198" i="23"/>
  <c r="J198" i="23"/>
  <c r="I198" i="23"/>
  <c r="H198" i="23"/>
  <c r="G198" i="23"/>
  <c r="F198" i="23"/>
  <c r="E198" i="23"/>
  <c r="D198" i="23"/>
  <c r="B198" i="23"/>
  <c r="B196" i="23"/>
  <c r="P195" i="23"/>
  <c r="O195" i="23"/>
  <c r="N195" i="23"/>
  <c r="M195" i="23"/>
  <c r="L195" i="23"/>
  <c r="K195" i="23"/>
  <c r="J195" i="23"/>
  <c r="I195" i="23"/>
  <c r="H195" i="23"/>
  <c r="G195" i="23"/>
  <c r="F195" i="23"/>
  <c r="E195" i="23"/>
  <c r="D195" i="23"/>
  <c r="B195" i="23"/>
  <c r="P193" i="23"/>
  <c r="P272" i="23" s="1"/>
  <c r="O193" i="23"/>
  <c r="O272" i="23" s="1"/>
  <c r="N193" i="23"/>
  <c r="N272" i="23" s="1"/>
  <c r="M193" i="23"/>
  <c r="M272" i="23" s="1"/>
  <c r="L193" i="23"/>
  <c r="L272" i="23" s="1"/>
  <c r="K193" i="23"/>
  <c r="K272" i="23" s="1"/>
  <c r="J193" i="23"/>
  <c r="J272" i="23" s="1"/>
  <c r="I193" i="23"/>
  <c r="I272" i="23" s="1"/>
  <c r="H193" i="23"/>
  <c r="H272" i="23" s="1"/>
  <c r="G193" i="23"/>
  <c r="G272" i="23" s="1"/>
  <c r="F193" i="23"/>
  <c r="F272" i="23" s="1"/>
  <c r="E193" i="23"/>
  <c r="E272" i="23" s="1"/>
  <c r="D193" i="23"/>
  <c r="D272" i="23" s="1"/>
  <c r="B193" i="23"/>
  <c r="Q192" i="23"/>
  <c r="P192" i="23"/>
  <c r="P291" i="23" s="1"/>
  <c r="O192" i="23"/>
  <c r="O291" i="23" s="1"/>
  <c r="N192" i="23"/>
  <c r="N291" i="23" s="1"/>
  <c r="M192" i="23"/>
  <c r="M291" i="23" s="1"/>
  <c r="L192" i="23"/>
  <c r="L291" i="23" s="1"/>
  <c r="K192" i="23"/>
  <c r="K291" i="23" s="1"/>
  <c r="J192" i="23"/>
  <c r="J291" i="23" s="1"/>
  <c r="I192" i="23"/>
  <c r="I291" i="23" s="1"/>
  <c r="H192" i="23"/>
  <c r="H291" i="23" s="1"/>
  <c r="G192" i="23"/>
  <c r="G291" i="23" s="1"/>
  <c r="F192" i="23"/>
  <c r="F291" i="23" s="1"/>
  <c r="E192" i="23"/>
  <c r="E291" i="23" s="1"/>
  <c r="D192" i="23"/>
  <c r="D291" i="23" s="1"/>
  <c r="B192" i="23"/>
  <c r="P190" i="23"/>
  <c r="O190" i="23"/>
  <c r="O262" i="23" s="1"/>
  <c r="N190" i="23"/>
  <c r="N262" i="23" s="1"/>
  <c r="M190" i="23"/>
  <c r="M262" i="23" s="1"/>
  <c r="L190" i="23"/>
  <c r="L262" i="23" s="1"/>
  <c r="K190" i="23"/>
  <c r="K262" i="23" s="1"/>
  <c r="J190" i="23"/>
  <c r="J262" i="23" s="1"/>
  <c r="I190" i="23"/>
  <c r="I262" i="23" s="1"/>
  <c r="H190" i="23"/>
  <c r="H262" i="23" s="1"/>
  <c r="G190" i="23"/>
  <c r="G262" i="23" s="1"/>
  <c r="F190" i="23"/>
  <c r="F262" i="23" s="1"/>
  <c r="E190" i="23"/>
  <c r="E262" i="23" s="1"/>
  <c r="D190" i="23"/>
  <c r="D262" i="23" s="1"/>
  <c r="B190" i="23"/>
  <c r="P188" i="23"/>
  <c r="O188" i="23"/>
  <c r="N188" i="23"/>
  <c r="M188" i="23"/>
  <c r="L188" i="23"/>
  <c r="K188" i="23"/>
  <c r="J188" i="23"/>
  <c r="I188" i="23"/>
  <c r="H188" i="23"/>
  <c r="G188" i="23"/>
  <c r="F188" i="23"/>
  <c r="E188" i="23"/>
  <c r="D188" i="23"/>
  <c r="B188" i="23"/>
  <c r="P187" i="23"/>
  <c r="O187" i="23"/>
  <c r="N187" i="23"/>
  <c r="M187" i="23"/>
  <c r="L187" i="23"/>
  <c r="K187" i="23"/>
  <c r="J187" i="23"/>
  <c r="I187" i="23"/>
  <c r="H187" i="23"/>
  <c r="G187" i="23"/>
  <c r="F187" i="23"/>
  <c r="E187" i="23"/>
  <c r="D187" i="23"/>
  <c r="B187" i="23"/>
  <c r="P186" i="23"/>
  <c r="O186" i="23"/>
  <c r="N186" i="23"/>
  <c r="M186" i="23"/>
  <c r="L186" i="23"/>
  <c r="K186" i="23"/>
  <c r="J186" i="23"/>
  <c r="I186" i="23"/>
  <c r="H186" i="23"/>
  <c r="G186" i="23"/>
  <c r="F186" i="23"/>
  <c r="E186" i="23"/>
  <c r="D186" i="23"/>
  <c r="B186" i="23"/>
  <c r="P185" i="23"/>
  <c r="O185" i="23"/>
  <c r="N185" i="23"/>
  <c r="M185" i="23"/>
  <c r="L185" i="23"/>
  <c r="K185" i="23"/>
  <c r="J185" i="23"/>
  <c r="I185" i="23"/>
  <c r="H185" i="23"/>
  <c r="G185" i="23"/>
  <c r="F185" i="23"/>
  <c r="E185" i="23"/>
  <c r="D185" i="23"/>
  <c r="B185" i="23"/>
  <c r="P184" i="23"/>
  <c r="O184" i="23"/>
  <c r="N184" i="23"/>
  <c r="M184" i="23"/>
  <c r="L184" i="23"/>
  <c r="K184" i="23"/>
  <c r="J184" i="23"/>
  <c r="I184" i="23"/>
  <c r="H184" i="23"/>
  <c r="G184" i="23"/>
  <c r="F184" i="23"/>
  <c r="E184" i="23"/>
  <c r="D184" i="23"/>
  <c r="B184" i="23"/>
  <c r="P183" i="23"/>
  <c r="O183" i="23"/>
  <c r="N183" i="23"/>
  <c r="M183" i="23"/>
  <c r="L183" i="23"/>
  <c r="K183" i="23"/>
  <c r="J183" i="23"/>
  <c r="I183" i="23"/>
  <c r="H183" i="23"/>
  <c r="G183" i="23"/>
  <c r="F183" i="23"/>
  <c r="E183" i="23"/>
  <c r="D183" i="23"/>
  <c r="B183" i="23"/>
  <c r="P182" i="23"/>
  <c r="O182" i="23"/>
  <c r="N182" i="23"/>
  <c r="M182" i="23"/>
  <c r="L182" i="23"/>
  <c r="K182" i="23"/>
  <c r="J182" i="23"/>
  <c r="I182" i="23"/>
  <c r="H182" i="23"/>
  <c r="G182" i="23"/>
  <c r="F182" i="23"/>
  <c r="E182" i="23"/>
  <c r="D182" i="23"/>
  <c r="B182" i="23"/>
  <c r="B179" i="23"/>
  <c r="B177" i="23"/>
  <c r="P172" i="23"/>
  <c r="O172" i="23"/>
  <c r="N172" i="23"/>
  <c r="M172" i="23"/>
  <c r="L172" i="23"/>
  <c r="K172" i="23"/>
  <c r="J172" i="23"/>
  <c r="I172" i="23"/>
  <c r="H172" i="23"/>
  <c r="G172" i="23"/>
  <c r="F172" i="23"/>
  <c r="E172" i="23"/>
  <c r="D172" i="23"/>
  <c r="P171" i="23"/>
  <c r="O171" i="23"/>
  <c r="N171" i="23"/>
  <c r="M171" i="23"/>
  <c r="L171" i="23"/>
  <c r="K171" i="23"/>
  <c r="J171" i="23"/>
  <c r="I171" i="23"/>
  <c r="H171" i="23"/>
  <c r="G171" i="23"/>
  <c r="F171" i="23"/>
  <c r="E171" i="23"/>
  <c r="D171" i="23"/>
  <c r="B169" i="23"/>
  <c r="P164" i="23"/>
  <c r="O164" i="23"/>
  <c r="N164" i="23"/>
  <c r="M164" i="23"/>
  <c r="L164" i="23"/>
  <c r="K164" i="23"/>
  <c r="J164" i="23"/>
  <c r="I164" i="23"/>
  <c r="H164" i="23"/>
  <c r="G164" i="23"/>
  <c r="F164" i="23"/>
  <c r="E164" i="23"/>
  <c r="D164" i="23"/>
  <c r="B164" i="23"/>
  <c r="P163" i="23"/>
  <c r="O163" i="23"/>
  <c r="N163" i="23"/>
  <c r="M163" i="23"/>
  <c r="L163" i="23"/>
  <c r="K163" i="23"/>
  <c r="J163" i="23"/>
  <c r="I163" i="23"/>
  <c r="H163" i="23"/>
  <c r="G163" i="23"/>
  <c r="F163" i="23"/>
  <c r="E163" i="23"/>
  <c r="D163" i="23"/>
  <c r="B163" i="23"/>
  <c r="P162" i="23"/>
  <c r="O162" i="23"/>
  <c r="N162" i="23"/>
  <c r="M162" i="23"/>
  <c r="L162" i="23"/>
  <c r="K162" i="23"/>
  <c r="J162" i="23"/>
  <c r="I162" i="23"/>
  <c r="H162" i="23"/>
  <c r="G162" i="23"/>
  <c r="F162" i="23"/>
  <c r="E162" i="23"/>
  <c r="D162" i="23"/>
  <c r="B162" i="23"/>
  <c r="B160" i="23"/>
  <c r="Z159" i="23"/>
  <c r="Y159" i="23"/>
  <c r="X159" i="23"/>
  <c r="W159" i="23"/>
  <c r="V159" i="23"/>
  <c r="U159" i="23"/>
  <c r="T159" i="23"/>
  <c r="S159" i="23"/>
  <c r="R159" i="23"/>
  <c r="Q159" i="23"/>
  <c r="P159" i="23"/>
  <c r="N159" i="23"/>
  <c r="M159" i="23"/>
  <c r="L159" i="23"/>
  <c r="H159" i="23"/>
  <c r="F159" i="23"/>
  <c r="E159" i="23"/>
  <c r="D159" i="23"/>
  <c r="P155" i="23"/>
  <c r="O155" i="23"/>
  <c r="N155" i="23"/>
  <c r="M155" i="23"/>
  <c r="L155" i="23"/>
  <c r="K155" i="23"/>
  <c r="J155" i="23"/>
  <c r="I155" i="23"/>
  <c r="H155" i="23"/>
  <c r="G155" i="23"/>
  <c r="F155" i="23"/>
  <c r="E155" i="23"/>
  <c r="D155" i="23"/>
  <c r="B155" i="23"/>
  <c r="P154" i="23"/>
  <c r="O154" i="23"/>
  <c r="N154" i="23"/>
  <c r="M154" i="23"/>
  <c r="L154" i="23"/>
  <c r="K154" i="23"/>
  <c r="J154" i="23"/>
  <c r="I154" i="23"/>
  <c r="H154" i="23"/>
  <c r="G154" i="23"/>
  <c r="F154" i="23"/>
  <c r="E154" i="23"/>
  <c r="D154" i="23"/>
  <c r="B154" i="23"/>
  <c r="P151" i="23"/>
  <c r="Q151" i="23" s="1"/>
  <c r="R151" i="23" s="1"/>
  <c r="S151" i="23" s="1"/>
  <c r="T151" i="23" s="1"/>
  <c r="U151" i="23" s="1"/>
  <c r="V151" i="23" s="1"/>
  <c r="W151" i="23" s="1"/>
  <c r="X151" i="23" s="1"/>
  <c r="Y151" i="23" s="1"/>
  <c r="Z151" i="23" s="1"/>
  <c r="O151" i="23"/>
  <c r="N151" i="23"/>
  <c r="M151" i="23"/>
  <c r="L151" i="23"/>
  <c r="K151" i="23"/>
  <c r="J151" i="23"/>
  <c r="I151" i="23"/>
  <c r="H151" i="23"/>
  <c r="G151" i="23"/>
  <c r="F151" i="23"/>
  <c r="E151" i="23"/>
  <c r="D151" i="23"/>
  <c r="B151" i="23"/>
  <c r="B149" i="23"/>
  <c r="P148" i="23"/>
  <c r="Q148" i="23" s="1"/>
  <c r="R148" i="23" s="1"/>
  <c r="S148" i="23" s="1"/>
  <c r="T148" i="23" s="1"/>
  <c r="U148" i="23" s="1"/>
  <c r="V148" i="23" s="1"/>
  <c r="W148" i="23" s="1"/>
  <c r="X148" i="23" s="1"/>
  <c r="Y148" i="23" s="1"/>
  <c r="Z148" i="23" s="1"/>
  <c r="O148" i="23"/>
  <c r="N148" i="23"/>
  <c r="M148" i="23"/>
  <c r="L148" i="23"/>
  <c r="K148" i="23"/>
  <c r="J148" i="23"/>
  <c r="I148" i="23"/>
  <c r="H148" i="23"/>
  <c r="G148" i="23"/>
  <c r="F148" i="23"/>
  <c r="E148" i="23"/>
  <c r="D148" i="23"/>
  <c r="B148" i="23"/>
  <c r="B146" i="23"/>
  <c r="P145" i="23"/>
  <c r="O145" i="23"/>
  <c r="N145" i="23"/>
  <c r="M145" i="23"/>
  <c r="M146" i="23" s="1"/>
  <c r="L145" i="23"/>
  <c r="L146" i="23" s="1"/>
  <c r="L147" i="23" s="1"/>
  <c r="K145" i="23"/>
  <c r="K146" i="23" s="1"/>
  <c r="J145" i="23"/>
  <c r="J146" i="23" s="1"/>
  <c r="I145" i="23"/>
  <c r="I146" i="23" s="1"/>
  <c r="H145" i="23"/>
  <c r="H146" i="23" s="1"/>
  <c r="G145" i="23"/>
  <c r="G146" i="23" s="1"/>
  <c r="F145" i="23"/>
  <c r="F146" i="23" s="1"/>
  <c r="E145" i="23"/>
  <c r="E146" i="23" s="1"/>
  <c r="D145" i="23"/>
  <c r="D146" i="23" s="1"/>
  <c r="D147" i="23" s="1"/>
  <c r="B145" i="23"/>
  <c r="B141" i="23"/>
  <c r="P139" i="23"/>
  <c r="O139" i="23"/>
  <c r="N139" i="23"/>
  <c r="M139" i="23"/>
  <c r="L139" i="23"/>
  <c r="K139" i="23"/>
  <c r="J139" i="23"/>
  <c r="I139" i="23"/>
  <c r="H139" i="23"/>
  <c r="G139" i="23"/>
  <c r="F139" i="23"/>
  <c r="E139" i="23"/>
  <c r="D139" i="23"/>
  <c r="B139" i="23"/>
  <c r="P138" i="23"/>
  <c r="O138" i="23"/>
  <c r="N138" i="23"/>
  <c r="M138" i="23"/>
  <c r="L138" i="23"/>
  <c r="K138" i="23"/>
  <c r="J138" i="23"/>
  <c r="I138" i="23"/>
  <c r="H138" i="23"/>
  <c r="G138" i="23"/>
  <c r="F138" i="23"/>
  <c r="E138" i="23"/>
  <c r="D138" i="23"/>
  <c r="B138" i="23"/>
  <c r="P137" i="23"/>
  <c r="O137" i="23"/>
  <c r="N137" i="23"/>
  <c r="M137" i="23"/>
  <c r="L137" i="23"/>
  <c r="K137" i="23"/>
  <c r="J137" i="23"/>
  <c r="I137" i="23"/>
  <c r="H137" i="23"/>
  <c r="G137" i="23"/>
  <c r="F137" i="23"/>
  <c r="E137" i="23"/>
  <c r="D137" i="23"/>
  <c r="B137" i="23"/>
  <c r="P136" i="23"/>
  <c r="O136" i="23"/>
  <c r="N136" i="23"/>
  <c r="M136" i="23"/>
  <c r="L136" i="23"/>
  <c r="K136" i="23"/>
  <c r="J136" i="23"/>
  <c r="I136" i="23"/>
  <c r="H136" i="23"/>
  <c r="G136" i="23"/>
  <c r="F136" i="23"/>
  <c r="E136" i="23"/>
  <c r="D136" i="23"/>
  <c r="B136" i="23"/>
  <c r="P135" i="23"/>
  <c r="O135" i="23"/>
  <c r="N135" i="23"/>
  <c r="M135" i="23"/>
  <c r="L135" i="23"/>
  <c r="K135" i="23"/>
  <c r="J135" i="23"/>
  <c r="I135" i="23"/>
  <c r="H135" i="23"/>
  <c r="G135" i="23"/>
  <c r="F135" i="23"/>
  <c r="E135" i="23"/>
  <c r="D135" i="23"/>
  <c r="B135" i="23"/>
  <c r="P134" i="23"/>
  <c r="O134" i="23"/>
  <c r="N134" i="23"/>
  <c r="M134" i="23"/>
  <c r="L134" i="23"/>
  <c r="K134" i="23"/>
  <c r="J134" i="23"/>
  <c r="I134" i="23"/>
  <c r="H134" i="23"/>
  <c r="G134" i="23"/>
  <c r="F134" i="23"/>
  <c r="E134" i="23"/>
  <c r="D134" i="23"/>
  <c r="B134" i="23"/>
  <c r="P127" i="23"/>
  <c r="O127" i="23"/>
  <c r="N127" i="23"/>
  <c r="M127" i="23"/>
  <c r="L127" i="23"/>
  <c r="K127" i="23"/>
  <c r="J127" i="23"/>
  <c r="I127" i="23"/>
  <c r="H127" i="23"/>
  <c r="G127" i="23"/>
  <c r="F127" i="23"/>
  <c r="E127" i="23"/>
  <c r="D127" i="23"/>
  <c r="B127" i="23"/>
  <c r="P126" i="23"/>
  <c r="O126" i="23"/>
  <c r="N126" i="23"/>
  <c r="M126" i="23"/>
  <c r="L126" i="23"/>
  <c r="K126" i="23"/>
  <c r="J126" i="23"/>
  <c r="I126" i="23"/>
  <c r="H126" i="23"/>
  <c r="G126" i="23"/>
  <c r="F126" i="23"/>
  <c r="E126" i="23"/>
  <c r="D126" i="23"/>
  <c r="B126" i="23"/>
  <c r="P125" i="23"/>
  <c r="O125" i="23"/>
  <c r="N125" i="23"/>
  <c r="M125" i="23"/>
  <c r="L125" i="23"/>
  <c r="K125" i="23"/>
  <c r="J125" i="23"/>
  <c r="I125" i="23"/>
  <c r="H125" i="23"/>
  <c r="G125" i="23"/>
  <c r="F125" i="23"/>
  <c r="E125" i="23"/>
  <c r="D125" i="23"/>
  <c r="B125" i="23"/>
  <c r="P124" i="23"/>
  <c r="O124" i="23"/>
  <c r="N124" i="23"/>
  <c r="M124" i="23"/>
  <c r="L124" i="23"/>
  <c r="K124" i="23"/>
  <c r="J124" i="23"/>
  <c r="I124" i="23"/>
  <c r="H124" i="23"/>
  <c r="G124" i="23"/>
  <c r="F124" i="23"/>
  <c r="E124" i="23"/>
  <c r="D124" i="23"/>
  <c r="B124" i="23"/>
  <c r="P123" i="23"/>
  <c r="O123" i="23"/>
  <c r="N123" i="23"/>
  <c r="M123" i="23"/>
  <c r="L123" i="23"/>
  <c r="K123" i="23"/>
  <c r="K128" i="23" s="1"/>
  <c r="J123" i="23"/>
  <c r="I123" i="23"/>
  <c r="H123" i="23"/>
  <c r="G123" i="23"/>
  <c r="F123" i="23"/>
  <c r="E123" i="23"/>
  <c r="D123" i="23"/>
  <c r="B123" i="23"/>
  <c r="P122" i="23"/>
  <c r="O122" i="23"/>
  <c r="N122" i="23"/>
  <c r="M122" i="23"/>
  <c r="L122" i="23"/>
  <c r="K122" i="23"/>
  <c r="J122" i="23"/>
  <c r="I122" i="23"/>
  <c r="I128" i="23" s="1"/>
  <c r="H122" i="23"/>
  <c r="G122" i="23"/>
  <c r="F122" i="23"/>
  <c r="E122" i="23"/>
  <c r="D122" i="23"/>
  <c r="B122" i="23"/>
  <c r="P120" i="23"/>
  <c r="O120" i="23"/>
  <c r="N120" i="23"/>
  <c r="M120" i="23"/>
  <c r="L120" i="23"/>
  <c r="K120" i="23"/>
  <c r="J120" i="23"/>
  <c r="I120" i="23"/>
  <c r="H120" i="23"/>
  <c r="G120" i="23"/>
  <c r="F120" i="23"/>
  <c r="E120" i="23"/>
  <c r="D120" i="23"/>
  <c r="B120" i="23"/>
  <c r="P119" i="23"/>
  <c r="O119" i="23"/>
  <c r="N119" i="23"/>
  <c r="M119" i="23"/>
  <c r="L119" i="23"/>
  <c r="K119" i="23"/>
  <c r="J119" i="23"/>
  <c r="I119" i="23"/>
  <c r="H119" i="23"/>
  <c r="G119" i="23"/>
  <c r="F119" i="23"/>
  <c r="E119" i="23"/>
  <c r="D119" i="23"/>
  <c r="B119" i="23"/>
  <c r="P118" i="23"/>
  <c r="O118" i="23"/>
  <c r="N118" i="23"/>
  <c r="M118" i="23"/>
  <c r="L118" i="23"/>
  <c r="K118" i="23"/>
  <c r="J118" i="23"/>
  <c r="I118" i="23"/>
  <c r="H118" i="23"/>
  <c r="G118" i="23"/>
  <c r="F118" i="23"/>
  <c r="E118" i="23"/>
  <c r="D118" i="23"/>
  <c r="B118" i="23"/>
  <c r="P117" i="23"/>
  <c r="O117" i="23"/>
  <c r="N117" i="23"/>
  <c r="M117" i="23"/>
  <c r="L117" i="23"/>
  <c r="K117" i="23"/>
  <c r="J117" i="23"/>
  <c r="I117" i="23"/>
  <c r="H117" i="23"/>
  <c r="G117" i="23"/>
  <c r="F117" i="23"/>
  <c r="E117" i="23"/>
  <c r="D117" i="23"/>
  <c r="B117" i="23"/>
  <c r="Z116" i="23"/>
  <c r="Y116" i="23"/>
  <c r="X116" i="23"/>
  <c r="W116" i="23"/>
  <c r="V116" i="23"/>
  <c r="U116" i="23"/>
  <c r="T116" i="23"/>
  <c r="S116" i="23"/>
  <c r="R116" i="23"/>
  <c r="Q116" i="23"/>
  <c r="P116" i="23"/>
  <c r="O116" i="23"/>
  <c r="N116" i="23"/>
  <c r="M116" i="23"/>
  <c r="L116" i="23"/>
  <c r="K116" i="23"/>
  <c r="J116" i="23"/>
  <c r="I116" i="23"/>
  <c r="H116" i="23"/>
  <c r="G116" i="23"/>
  <c r="F116" i="23"/>
  <c r="E116" i="23"/>
  <c r="D116" i="23"/>
  <c r="B116" i="23"/>
  <c r="P115" i="23"/>
  <c r="O115" i="23"/>
  <c r="N115" i="23"/>
  <c r="M115" i="23"/>
  <c r="L115" i="23"/>
  <c r="K115" i="23"/>
  <c r="J115" i="23"/>
  <c r="I115" i="23"/>
  <c r="H115" i="23"/>
  <c r="G115" i="23"/>
  <c r="F115" i="23"/>
  <c r="E115" i="23"/>
  <c r="D115" i="23"/>
  <c r="B115" i="23"/>
  <c r="P109" i="23"/>
  <c r="O109" i="23"/>
  <c r="N109" i="23"/>
  <c r="M109" i="23"/>
  <c r="L109" i="23"/>
  <c r="K109" i="23"/>
  <c r="J109" i="23"/>
  <c r="I109" i="23"/>
  <c r="H109" i="23"/>
  <c r="G109" i="23"/>
  <c r="F109" i="23"/>
  <c r="E109" i="23"/>
  <c r="D109" i="23"/>
  <c r="B109" i="23"/>
  <c r="P108" i="23"/>
  <c r="O108" i="23"/>
  <c r="N108" i="23"/>
  <c r="M108" i="23"/>
  <c r="L108" i="23"/>
  <c r="K108" i="23"/>
  <c r="J108" i="23"/>
  <c r="I108" i="23"/>
  <c r="H108" i="23"/>
  <c r="G108" i="23"/>
  <c r="F108" i="23"/>
  <c r="E108" i="23"/>
  <c r="D108" i="23"/>
  <c r="B108" i="23"/>
  <c r="P107" i="23"/>
  <c r="P494" i="23" s="1"/>
  <c r="P496" i="23" s="1"/>
  <c r="O107" i="23"/>
  <c r="O494" i="23" s="1"/>
  <c r="N107" i="23"/>
  <c r="N494" i="23" s="1"/>
  <c r="M107" i="23"/>
  <c r="L107" i="23"/>
  <c r="L494" i="23" s="1"/>
  <c r="K107" i="23"/>
  <c r="J107" i="23"/>
  <c r="J494" i="23" s="1"/>
  <c r="I107" i="23"/>
  <c r="I494" i="23" s="1"/>
  <c r="H107" i="23"/>
  <c r="H494" i="23" s="1"/>
  <c r="H496" i="23" s="1"/>
  <c r="G107" i="23"/>
  <c r="G494" i="23" s="1"/>
  <c r="F107" i="23"/>
  <c r="F494" i="23" s="1"/>
  <c r="E107" i="23"/>
  <c r="D107" i="23"/>
  <c r="D494" i="23" s="1"/>
  <c r="B107" i="23"/>
  <c r="P104" i="23"/>
  <c r="O104" i="23"/>
  <c r="N104" i="23"/>
  <c r="M104" i="23"/>
  <c r="L104" i="23"/>
  <c r="K104" i="23"/>
  <c r="J104" i="23"/>
  <c r="I104" i="23"/>
  <c r="H104" i="23"/>
  <c r="G104" i="23"/>
  <c r="F104" i="23"/>
  <c r="E104" i="23"/>
  <c r="D104" i="23"/>
  <c r="B104" i="23"/>
  <c r="P103" i="23"/>
  <c r="O103" i="23"/>
  <c r="N103" i="23"/>
  <c r="M103" i="23"/>
  <c r="L103" i="23"/>
  <c r="K103" i="23"/>
  <c r="J103" i="23"/>
  <c r="I103" i="23"/>
  <c r="H103" i="23"/>
  <c r="G103" i="23"/>
  <c r="F103" i="23"/>
  <c r="E103" i="23"/>
  <c r="D103" i="23"/>
  <c r="B103" i="23"/>
  <c r="P102" i="23"/>
  <c r="O102" i="23"/>
  <c r="N102" i="23"/>
  <c r="M102" i="23"/>
  <c r="L102" i="23"/>
  <c r="K102" i="23"/>
  <c r="J102" i="23"/>
  <c r="I102" i="23"/>
  <c r="H102" i="23"/>
  <c r="G102" i="23"/>
  <c r="F102" i="23"/>
  <c r="E102" i="23"/>
  <c r="D102" i="23"/>
  <c r="B102" i="23"/>
  <c r="P101" i="23"/>
  <c r="O101" i="23"/>
  <c r="N101" i="23"/>
  <c r="M101" i="23"/>
  <c r="L101" i="23"/>
  <c r="K101" i="23"/>
  <c r="J101" i="23"/>
  <c r="I101" i="23"/>
  <c r="H101" i="23"/>
  <c r="G101" i="23"/>
  <c r="F101" i="23"/>
  <c r="E101" i="23"/>
  <c r="D101" i="23"/>
  <c r="B101" i="23"/>
  <c r="P100" i="23"/>
  <c r="O100" i="23"/>
  <c r="N100" i="23"/>
  <c r="M100" i="23"/>
  <c r="L100" i="23"/>
  <c r="K100" i="23"/>
  <c r="J100" i="23"/>
  <c r="I100" i="23"/>
  <c r="H100" i="23"/>
  <c r="G100" i="23"/>
  <c r="F100" i="23"/>
  <c r="E100" i="23"/>
  <c r="D100" i="23"/>
  <c r="B100" i="23"/>
  <c r="P96" i="23"/>
  <c r="O96" i="23"/>
  <c r="N96" i="23"/>
  <c r="M96" i="23"/>
  <c r="L96" i="23"/>
  <c r="K96" i="23"/>
  <c r="J96" i="23"/>
  <c r="I96" i="23"/>
  <c r="H96" i="23"/>
  <c r="G96" i="23"/>
  <c r="F96" i="23"/>
  <c r="E96" i="23"/>
  <c r="D96" i="23"/>
  <c r="B96" i="23"/>
  <c r="K95" i="23"/>
  <c r="J95" i="23"/>
  <c r="I95" i="23"/>
  <c r="H95" i="23"/>
  <c r="G95" i="23"/>
  <c r="F95" i="23"/>
  <c r="E95" i="23"/>
  <c r="D95" i="23"/>
  <c r="B95" i="23"/>
  <c r="P94" i="23"/>
  <c r="O94" i="23"/>
  <c r="N94" i="23"/>
  <c r="M94" i="23"/>
  <c r="L94" i="23"/>
  <c r="K94" i="23"/>
  <c r="J94" i="23"/>
  <c r="I94" i="23"/>
  <c r="H94" i="23"/>
  <c r="G94" i="23"/>
  <c r="F94" i="23"/>
  <c r="E94" i="23"/>
  <c r="D94" i="23"/>
  <c r="B94" i="23"/>
  <c r="P92" i="23"/>
  <c r="O92" i="23"/>
  <c r="N92" i="23"/>
  <c r="M92" i="23"/>
  <c r="L92" i="23"/>
  <c r="K92" i="23"/>
  <c r="J92" i="23"/>
  <c r="I92" i="23"/>
  <c r="H92" i="23"/>
  <c r="G92" i="23"/>
  <c r="F92" i="23"/>
  <c r="E92" i="23"/>
  <c r="D92" i="23"/>
  <c r="B92" i="23"/>
  <c r="P91" i="23"/>
  <c r="O91" i="23"/>
  <c r="N91" i="23"/>
  <c r="M91" i="23"/>
  <c r="L91" i="23"/>
  <c r="K91" i="23"/>
  <c r="J91" i="23"/>
  <c r="I91" i="23"/>
  <c r="H91" i="23"/>
  <c r="G91" i="23"/>
  <c r="F91" i="23"/>
  <c r="E91" i="23"/>
  <c r="D91" i="23"/>
  <c r="B91" i="23"/>
  <c r="P90" i="23"/>
  <c r="O90" i="23"/>
  <c r="N90" i="23"/>
  <c r="M90" i="23"/>
  <c r="L90" i="23"/>
  <c r="K90" i="23"/>
  <c r="J90" i="23"/>
  <c r="I90" i="23"/>
  <c r="H90" i="23"/>
  <c r="G90" i="23"/>
  <c r="F90" i="23"/>
  <c r="E90" i="23"/>
  <c r="D90" i="23"/>
  <c r="B90" i="23"/>
  <c r="P89" i="23"/>
  <c r="O89" i="23"/>
  <c r="N89" i="23"/>
  <c r="M89" i="23"/>
  <c r="L89" i="23"/>
  <c r="K89" i="23"/>
  <c r="J89" i="23"/>
  <c r="I89" i="23"/>
  <c r="H89" i="23"/>
  <c r="G89" i="23"/>
  <c r="F89" i="23"/>
  <c r="E89" i="23"/>
  <c r="D89" i="23"/>
  <c r="B89" i="23"/>
  <c r="P88" i="23"/>
  <c r="O88" i="23"/>
  <c r="N88" i="23"/>
  <c r="M88" i="23"/>
  <c r="L88" i="23"/>
  <c r="K88" i="23"/>
  <c r="J88" i="23"/>
  <c r="I88" i="23"/>
  <c r="H88" i="23"/>
  <c r="G88" i="23"/>
  <c r="F88" i="23"/>
  <c r="E88" i="23"/>
  <c r="D88" i="23"/>
  <c r="B88" i="23"/>
  <c r="P84" i="23"/>
  <c r="O84" i="23"/>
  <c r="N84" i="23"/>
  <c r="M84" i="23"/>
  <c r="L84" i="23"/>
  <c r="K84" i="23"/>
  <c r="J84" i="23"/>
  <c r="I84" i="23"/>
  <c r="H84" i="23"/>
  <c r="G84" i="23"/>
  <c r="F84" i="23"/>
  <c r="E84" i="23"/>
  <c r="D84" i="23"/>
  <c r="B84" i="23"/>
  <c r="B83" i="23"/>
  <c r="P80" i="23"/>
  <c r="O80" i="23"/>
  <c r="N80" i="23"/>
  <c r="M80" i="23"/>
  <c r="L80" i="23"/>
  <c r="K80" i="23"/>
  <c r="J80" i="23"/>
  <c r="I80" i="23"/>
  <c r="H80" i="23"/>
  <c r="G80" i="23"/>
  <c r="F80" i="23"/>
  <c r="E80" i="23"/>
  <c r="D80" i="23"/>
  <c r="B80" i="23"/>
  <c r="P79" i="23"/>
  <c r="O79" i="23"/>
  <c r="N79" i="23"/>
  <c r="M79" i="23"/>
  <c r="L79" i="23"/>
  <c r="K79" i="23"/>
  <c r="J79" i="23"/>
  <c r="I79" i="23"/>
  <c r="H79" i="23"/>
  <c r="G79" i="23"/>
  <c r="F79" i="23"/>
  <c r="E79" i="23"/>
  <c r="D79" i="23"/>
  <c r="B79" i="23"/>
  <c r="P77" i="23"/>
  <c r="O77" i="23"/>
  <c r="N77" i="23"/>
  <c r="M77" i="23"/>
  <c r="L77" i="23"/>
  <c r="K77" i="23"/>
  <c r="J77" i="23"/>
  <c r="I77" i="23"/>
  <c r="H77" i="23"/>
  <c r="G77" i="23"/>
  <c r="F77" i="23"/>
  <c r="E77" i="23"/>
  <c r="D77" i="23"/>
  <c r="B77" i="23"/>
  <c r="P76" i="23"/>
  <c r="O76" i="23"/>
  <c r="N76" i="23"/>
  <c r="M76" i="23"/>
  <c r="L76" i="23"/>
  <c r="K76" i="23"/>
  <c r="J76" i="23"/>
  <c r="I76" i="23"/>
  <c r="H76" i="23"/>
  <c r="G76" i="23"/>
  <c r="F76" i="23"/>
  <c r="E76" i="23"/>
  <c r="D76" i="23"/>
  <c r="B76" i="23"/>
  <c r="P75" i="23"/>
  <c r="O75" i="23"/>
  <c r="N75" i="23"/>
  <c r="M75" i="23"/>
  <c r="L75" i="23"/>
  <c r="K75" i="23"/>
  <c r="J75" i="23"/>
  <c r="I75" i="23"/>
  <c r="H75" i="23"/>
  <c r="G75" i="23"/>
  <c r="F75" i="23"/>
  <c r="E75" i="23"/>
  <c r="D75" i="23"/>
  <c r="B75" i="23"/>
  <c r="P74" i="23"/>
  <c r="O74" i="23"/>
  <c r="N74" i="23"/>
  <c r="M74" i="23"/>
  <c r="L74" i="23"/>
  <c r="K74" i="23"/>
  <c r="J74" i="23"/>
  <c r="I74" i="23"/>
  <c r="H74" i="23"/>
  <c r="G74" i="23"/>
  <c r="F74" i="23"/>
  <c r="E74" i="23"/>
  <c r="D74" i="23"/>
  <c r="B74" i="23"/>
  <c r="P73" i="23"/>
  <c r="O73" i="23"/>
  <c r="N73" i="23"/>
  <c r="M73" i="23"/>
  <c r="L73" i="23"/>
  <c r="K73" i="23"/>
  <c r="J73" i="23"/>
  <c r="I73" i="23"/>
  <c r="H73" i="23"/>
  <c r="G73" i="23"/>
  <c r="F73" i="23"/>
  <c r="E73" i="23"/>
  <c r="D73" i="23"/>
  <c r="B73" i="23"/>
  <c r="P72" i="23"/>
  <c r="O72" i="23"/>
  <c r="N72" i="23"/>
  <c r="M72" i="23"/>
  <c r="L72" i="23"/>
  <c r="K72" i="23"/>
  <c r="J72" i="23"/>
  <c r="I72" i="23"/>
  <c r="H72" i="23"/>
  <c r="G72" i="23"/>
  <c r="F72" i="23"/>
  <c r="E72" i="23"/>
  <c r="D72" i="23"/>
  <c r="B72" i="23"/>
  <c r="P71" i="23"/>
  <c r="O71" i="23"/>
  <c r="N71" i="23"/>
  <c r="M71" i="23"/>
  <c r="L71" i="23"/>
  <c r="K71" i="23"/>
  <c r="J71" i="23"/>
  <c r="I71" i="23"/>
  <c r="H71" i="23"/>
  <c r="G71" i="23"/>
  <c r="F71" i="23"/>
  <c r="E71" i="23"/>
  <c r="D71" i="23"/>
  <c r="B71" i="23"/>
  <c r="P70" i="23"/>
  <c r="O70" i="23"/>
  <c r="N70" i="23"/>
  <c r="M70" i="23"/>
  <c r="L70" i="23"/>
  <c r="K70" i="23"/>
  <c r="J70" i="23"/>
  <c r="I70" i="23"/>
  <c r="H70" i="23"/>
  <c r="G70" i="23"/>
  <c r="F70" i="23"/>
  <c r="E70" i="23"/>
  <c r="D70" i="23"/>
  <c r="B70" i="23"/>
  <c r="B67" i="23"/>
  <c r="B66" i="23"/>
  <c r="B61" i="23"/>
  <c r="P59" i="23"/>
  <c r="O59" i="23"/>
  <c r="N59" i="23"/>
  <c r="M59" i="23"/>
  <c r="L59" i="23"/>
  <c r="K59" i="23"/>
  <c r="J59" i="23"/>
  <c r="I59" i="23"/>
  <c r="H59" i="23"/>
  <c r="G59" i="23"/>
  <c r="F59" i="23"/>
  <c r="E59" i="23"/>
  <c r="D59" i="23"/>
  <c r="B59" i="23"/>
  <c r="B52" i="23"/>
  <c r="P44" i="23"/>
  <c r="O44" i="23"/>
  <c r="N44" i="23"/>
  <c r="M44" i="23"/>
  <c r="L44" i="23"/>
  <c r="K44" i="23"/>
  <c r="J44" i="23"/>
  <c r="I44" i="23"/>
  <c r="H44" i="23"/>
  <c r="G44" i="23"/>
  <c r="F44" i="23"/>
  <c r="E44" i="23"/>
  <c r="D44" i="23"/>
  <c r="B44" i="23"/>
  <c r="P43" i="23"/>
  <c r="O43" i="23"/>
  <c r="N43" i="23"/>
  <c r="M43" i="23"/>
  <c r="L43" i="23"/>
  <c r="K43" i="23"/>
  <c r="J43" i="23"/>
  <c r="I43" i="23"/>
  <c r="H43" i="23"/>
  <c r="G43" i="23"/>
  <c r="F43" i="23"/>
  <c r="E43" i="23"/>
  <c r="D43" i="23"/>
  <c r="B43" i="23"/>
  <c r="P40" i="23"/>
  <c r="O40" i="23"/>
  <c r="N40" i="23"/>
  <c r="M40" i="23"/>
  <c r="L40" i="23"/>
  <c r="K40" i="23"/>
  <c r="J40" i="23"/>
  <c r="I40" i="23"/>
  <c r="H40" i="23"/>
  <c r="G40" i="23"/>
  <c r="F40" i="23"/>
  <c r="E40" i="23"/>
  <c r="D40" i="23"/>
  <c r="B40" i="23"/>
  <c r="P38" i="23"/>
  <c r="O38" i="23"/>
  <c r="N38" i="23"/>
  <c r="M38" i="23"/>
  <c r="L38" i="23"/>
  <c r="K38" i="23"/>
  <c r="J38" i="23"/>
  <c r="I38" i="23"/>
  <c r="H38" i="23"/>
  <c r="G38" i="23"/>
  <c r="F38" i="23"/>
  <c r="E38" i="23"/>
  <c r="D38" i="23"/>
  <c r="N37" i="23"/>
  <c r="K37" i="23"/>
  <c r="J37" i="23"/>
  <c r="I37" i="23"/>
  <c r="F37" i="23"/>
  <c r="P30" i="23"/>
  <c r="O30" i="23"/>
  <c r="N30" i="23"/>
  <c r="M30" i="23"/>
  <c r="L30" i="23"/>
  <c r="K30" i="23"/>
  <c r="J30" i="23"/>
  <c r="I30" i="23"/>
  <c r="H30" i="23"/>
  <c r="G30" i="23"/>
  <c r="F30" i="23"/>
  <c r="E30" i="23"/>
  <c r="D30" i="23"/>
  <c r="A29" i="23"/>
  <c r="P28" i="23"/>
  <c r="O28" i="23"/>
  <c r="P29" i="23" s="1"/>
  <c r="N28" i="23"/>
  <c r="M28" i="23"/>
  <c r="N29" i="23" s="1"/>
  <c r="L28" i="23"/>
  <c r="K28" i="23"/>
  <c r="L29" i="23" s="1"/>
  <c r="J28" i="23"/>
  <c r="I28" i="23"/>
  <c r="I29" i="23" s="1"/>
  <c r="H28" i="23"/>
  <c r="G28" i="23"/>
  <c r="H29" i="23" s="1"/>
  <c r="F28" i="23"/>
  <c r="E28" i="23"/>
  <c r="F29" i="23" s="1"/>
  <c r="D28" i="23"/>
  <c r="P26" i="23"/>
  <c r="O26" i="23"/>
  <c r="N26" i="23"/>
  <c r="M26" i="23"/>
  <c r="L26" i="23"/>
  <c r="K26" i="23"/>
  <c r="J26" i="23"/>
  <c r="I26" i="23"/>
  <c r="H26" i="23"/>
  <c r="G26" i="23"/>
  <c r="F26" i="23"/>
  <c r="E26" i="23"/>
  <c r="D26" i="23"/>
  <c r="P25" i="23"/>
  <c r="O25" i="23"/>
  <c r="N25" i="23"/>
  <c r="M25" i="23"/>
  <c r="L25" i="23"/>
  <c r="K25" i="23"/>
  <c r="J25" i="23"/>
  <c r="I25" i="23"/>
  <c r="H25" i="23"/>
  <c r="G25" i="23"/>
  <c r="F25" i="23"/>
  <c r="E25" i="23"/>
  <c r="D25" i="23"/>
  <c r="P24" i="23"/>
  <c r="O24" i="23"/>
  <c r="N24" i="23"/>
  <c r="M24" i="23"/>
  <c r="L24" i="23"/>
  <c r="K24" i="23"/>
  <c r="J24" i="23"/>
  <c r="I24" i="23"/>
  <c r="H24" i="23"/>
  <c r="G24" i="23"/>
  <c r="F24" i="23"/>
  <c r="E24" i="23"/>
  <c r="D24" i="23"/>
  <c r="P23" i="23"/>
  <c r="O23" i="23"/>
  <c r="N23" i="23"/>
  <c r="M23" i="23"/>
  <c r="L23" i="23"/>
  <c r="K23" i="23"/>
  <c r="J23" i="23"/>
  <c r="I23" i="23"/>
  <c r="H23" i="23"/>
  <c r="G23" i="23"/>
  <c r="F23" i="23"/>
  <c r="E23" i="23"/>
  <c r="D23" i="23"/>
  <c r="A22" i="23"/>
  <c r="Q21" i="23"/>
  <c r="R21" i="23" s="1"/>
  <c r="R22" i="23" s="1"/>
  <c r="P21" i="23"/>
  <c r="O21" i="23"/>
  <c r="P22" i="23" s="1"/>
  <c r="N21" i="23"/>
  <c r="M21" i="23"/>
  <c r="N22" i="23" s="1"/>
  <c r="L21" i="23"/>
  <c r="K21" i="23"/>
  <c r="K22" i="23" s="1"/>
  <c r="J21" i="23"/>
  <c r="I21" i="23"/>
  <c r="J22" i="23" s="1"/>
  <c r="H21" i="23"/>
  <c r="G21" i="23"/>
  <c r="H22" i="23" s="1"/>
  <c r="F21" i="23"/>
  <c r="E21" i="23"/>
  <c r="F22" i="23" s="1"/>
  <c r="D21" i="23"/>
  <c r="J20" i="23"/>
  <c r="I20" i="23"/>
  <c r="I19" i="23"/>
  <c r="A19" i="23"/>
  <c r="P18" i="23"/>
  <c r="O18" i="23"/>
  <c r="N18" i="23"/>
  <c r="O19" i="23" s="1"/>
  <c r="M18" i="23"/>
  <c r="L18" i="23"/>
  <c r="M19" i="23" s="1"/>
  <c r="K18" i="23"/>
  <c r="J18" i="23"/>
  <c r="K19" i="23" s="1"/>
  <c r="I18" i="23"/>
  <c r="H18" i="23"/>
  <c r="G18" i="23"/>
  <c r="F18" i="23"/>
  <c r="G19" i="23" s="1"/>
  <c r="E18" i="23"/>
  <c r="D18" i="23"/>
  <c r="E19" i="23" s="1"/>
  <c r="O17" i="23"/>
  <c r="G17" i="23"/>
  <c r="A17" i="23"/>
  <c r="P16" i="23"/>
  <c r="O16" i="23"/>
  <c r="O20" i="23" s="1"/>
  <c r="N16" i="23"/>
  <c r="M16" i="23"/>
  <c r="M20" i="23" s="1"/>
  <c r="L16" i="23"/>
  <c r="M17" i="23" s="1"/>
  <c r="K16" i="23"/>
  <c r="K20" i="23" s="1"/>
  <c r="J16" i="23"/>
  <c r="K17" i="23" s="1"/>
  <c r="I16" i="23"/>
  <c r="H16" i="23"/>
  <c r="I17" i="23" s="1"/>
  <c r="G16" i="23"/>
  <c r="G20" i="23" s="1"/>
  <c r="F16" i="23"/>
  <c r="E16" i="23"/>
  <c r="E20" i="23" s="1"/>
  <c r="D16" i="23"/>
  <c r="E17" i="23" s="1"/>
  <c r="E14" i="23"/>
  <c r="A14" i="23"/>
  <c r="P13" i="23"/>
  <c r="P14" i="23" s="1"/>
  <c r="O13" i="23"/>
  <c r="N13" i="23"/>
  <c r="O14" i="23" s="1"/>
  <c r="M13" i="23"/>
  <c r="L13" i="23"/>
  <c r="L14" i="23" s="1"/>
  <c r="K13" i="23"/>
  <c r="J13" i="23"/>
  <c r="K14" i="23" s="1"/>
  <c r="I13" i="23"/>
  <c r="H13" i="23"/>
  <c r="I14" i="23" s="1"/>
  <c r="G13" i="23"/>
  <c r="F13" i="23"/>
  <c r="G14" i="23" s="1"/>
  <c r="E13" i="23"/>
  <c r="D13" i="23"/>
  <c r="M12" i="23"/>
  <c r="K12" i="23"/>
  <c r="E12" i="23"/>
  <c r="P11" i="23"/>
  <c r="P12" i="23" s="1"/>
  <c r="O11" i="23"/>
  <c r="O12" i="23" s="1"/>
  <c r="N11" i="23"/>
  <c r="M11" i="23"/>
  <c r="N12" i="23" s="1"/>
  <c r="L11" i="23"/>
  <c r="L12" i="23" s="1"/>
  <c r="K11" i="23"/>
  <c r="J11" i="23"/>
  <c r="I11" i="23"/>
  <c r="H11" i="23"/>
  <c r="H12" i="23" s="1"/>
  <c r="G11" i="23"/>
  <c r="G12" i="23" s="1"/>
  <c r="F11" i="23"/>
  <c r="E11" i="23"/>
  <c r="F12" i="23" s="1"/>
  <c r="D11" i="23"/>
  <c r="C1" i="23"/>
  <c r="C138" i="23" s="1" a="1"/>
  <c r="C138" i="23" s="1"/>
  <c r="Z116" i="16"/>
  <c r="Z331" i="16"/>
  <c r="Z375" i="16"/>
  <c r="Z376" i="16"/>
  <c r="Z377" i="16"/>
  <c r="Z271" i="16" s="1"/>
  <c r="Z378" i="16"/>
  <c r="Z379" i="16"/>
  <c r="Z380" i="16"/>
  <c r="Z381" i="16"/>
  <c r="Z400" i="16"/>
  <c r="Z401" i="16"/>
  <c r="Z402" i="16"/>
  <c r="Z263" i="16" s="1"/>
  <c r="Z403" i="16"/>
  <c r="Z404" i="16"/>
  <c r="Z159" i="16" s="1"/>
  <c r="Z405" i="16"/>
  <c r="Z486" i="16"/>
  <c r="Z509" i="16"/>
  <c r="Z538" i="16"/>
  <c r="N247" i="16"/>
  <c r="O247" i="16"/>
  <c r="P247" i="16"/>
  <c r="M247" i="16"/>
  <c r="E247" i="16"/>
  <c r="F247" i="16"/>
  <c r="G247" i="16"/>
  <c r="H247" i="16"/>
  <c r="I247" i="16"/>
  <c r="J247" i="16"/>
  <c r="K247" i="16"/>
  <c r="L247" i="16"/>
  <c r="D247" i="16"/>
  <c r="M537" i="16"/>
  <c r="N537" i="16"/>
  <c r="O537" i="16"/>
  <c r="P537" i="16"/>
  <c r="M538" i="16"/>
  <c r="N538" i="16"/>
  <c r="O538" i="16"/>
  <c r="P538" i="16"/>
  <c r="M313" i="16"/>
  <c r="N313" i="16"/>
  <c r="O313" i="16"/>
  <c r="P313" i="16"/>
  <c r="AA6" i="8"/>
  <c r="G6" i="9"/>
  <c r="K38" i="16"/>
  <c r="K40" i="16"/>
  <c r="K43" i="16"/>
  <c r="K44" i="16"/>
  <c r="K59" i="16"/>
  <c r="K70" i="16"/>
  <c r="K71" i="16"/>
  <c r="K72" i="16"/>
  <c r="K73" i="16"/>
  <c r="K74" i="16"/>
  <c r="K75" i="16"/>
  <c r="K76" i="16"/>
  <c r="K77" i="16"/>
  <c r="K391" i="16" s="1"/>
  <c r="K79" i="16"/>
  <c r="K80" i="16"/>
  <c r="K84" i="16"/>
  <c r="K88" i="16"/>
  <c r="K89" i="16"/>
  <c r="K90" i="16"/>
  <c r="K91" i="16"/>
  <c r="K92" i="16"/>
  <c r="K94" i="16"/>
  <c r="K95" i="16"/>
  <c r="K96" i="16"/>
  <c r="K100" i="16"/>
  <c r="K101" i="16"/>
  <c r="K102" i="16"/>
  <c r="K103" i="16"/>
  <c r="K104" i="16"/>
  <c r="K107" i="16"/>
  <c r="K108" i="16"/>
  <c r="K109" i="16"/>
  <c r="K115" i="16"/>
  <c r="K116" i="16"/>
  <c r="K117" i="16"/>
  <c r="K118" i="16"/>
  <c r="K119" i="16"/>
  <c r="K120" i="16"/>
  <c r="K122" i="16"/>
  <c r="K123" i="16"/>
  <c r="K124" i="16"/>
  <c r="K125" i="16"/>
  <c r="K126" i="16"/>
  <c r="K127" i="16"/>
  <c r="K134" i="16"/>
  <c r="K135" i="16"/>
  <c r="K136" i="16"/>
  <c r="K137" i="16"/>
  <c r="K138" i="16"/>
  <c r="K139" i="16"/>
  <c r="K145" i="16"/>
  <c r="K146" i="16" s="1"/>
  <c r="K148" i="16"/>
  <c r="K151" i="16"/>
  <c r="K154" i="16"/>
  <c r="K155" i="16"/>
  <c r="K162" i="16"/>
  <c r="K163" i="16"/>
  <c r="K164" i="16"/>
  <c r="K171" i="16"/>
  <c r="K172" i="16"/>
  <c r="K182" i="16"/>
  <c r="K183" i="16"/>
  <c r="K184" i="16"/>
  <c r="K185" i="16"/>
  <c r="K186" i="16"/>
  <c r="K187" i="16"/>
  <c r="K188" i="16"/>
  <c r="K190" i="16"/>
  <c r="K262" i="16" s="1"/>
  <c r="K192" i="16"/>
  <c r="K291" i="16" s="1"/>
  <c r="K193" i="16"/>
  <c r="K272" i="16" s="1"/>
  <c r="K195" i="16"/>
  <c r="K198" i="16"/>
  <c r="K202" i="16"/>
  <c r="K203" i="16"/>
  <c r="K204" i="16"/>
  <c r="K205" i="16"/>
  <c r="K208" i="16"/>
  <c r="K209" i="16"/>
  <c r="K210" i="16"/>
  <c r="K211" i="16"/>
  <c r="K215" i="16"/>
  <c r="K216" i="16"/>
  <c r="K217" i="16"/>
  <c r="K219" i="16"/>
  <c r="K220" i="16"/>
  <c r="K223" i="16"/>
  <c r="K224" i="16"/>
  <c r="K225" i="16"/>
  <c r="K226" i="16"/>
  <c r="K230" i="16"/>
  <c r="K231" i="16"/>
  <c r="K232" i="16"/>
  <c r="K233" i="16"/>
  <c r="K238" i="16"/>
  <c r="K239" i="16"/>
  <c r="K240" i="16"/>
  <c r="K242" i="16"/>
  <c r="K243" i="16"/>
  <c r="K248" i="16"/>
  <c r="K249" i="16"/>
  <c r="K252" i="16"/>
  <c r="K253" i="16"/>
  <c r="K256" i="16"/>
  <c r="K258" i="16" s="1"/>
  <c r="K257" i="16"/>
  <c r="K266" i="16"/>
  <c r="K273" i="16"/>
  <c r="K276" i="16"/>
  <c r="K279" i="16"/>
  <c r="K280" i="16"/>
  <c r="K283" i="16"/>
  <c r="K284" i="16"/>
  <c r="K285" i="16"/>
  <c r="K294" i="16"/>
  <c r="K297" i="16"/>
  <c r="K298" i="16"/>
  <c r="K301" i="16"/>
  <c r="K302" i="16"/>
  <c r="K305" i="16"/>
  <c r="K306" i="16"/>
  <c r="K309" i="16"/>
  <c r="K310" i="16"/>
  <c r="K313" i="16"/>
  <c r="K314" i="16" s="1"/>
  <c r="K316" i="16"/>
  <c r="K319" i="16"/>
  <c r="K320" i="16"/>
  <c r="K326" i="16"/>
  <c r="K327" i="16"/>
  <c r="K328" i="16"/>
  <c r="K334" i="16"/>
  <c r="K335" i="16"/>
  <c r="K340" i="16"/>
  <c r="K341" i="16"/>
  <c r="K37" i="16" s="1"/>
  <c r="K347" i="16"/>
  <c r="K351" i="16"/>
  <c r="K354" i="16"/>
  <c r="K360" i="16"/>
  <c r="K361" i="16"/>
  <c r="K369" i="16"/>
  <c r="K370" i="16"/>
  <c r="K375" i="16"/>
  <c r="K376" i="16"/>
  <c r="K377" i="16"/>
  <c r="K271" i="16" s="1"/>
  <c r="K378" i="16"/>
  <c r="K331" i="16" s="1"/>
  <c r="K380" i="16"/>
  <c r="K486" i="16" s="1"/>
  <c r="K381" i="16"/>
  <c r="K384" i="16"/>
  <c r="K385" i="16"/>
  <c r="K386" i="16"/>
  <c r="K468" i="16" s="1"/>
  <c r="K469" i="16" s="1"/>
  <c r="K388" i="16"/>
  <c r="K395" i="16"/>
  <c r="K400" i="16"/>
  <c r="K401" i="16"/>
  <c r="K402" i="16"/>
  <c r="K263" i="16" s="1"/>
  <c r="K403" i="16"/>
  <c r="K404" i="16"/>
  <c r="K159" i="16" s="1"/>
  <c r="K405" i="16"/>
  <c r="K410" i="16"/>
  <c r="K414" i="16"/>
  <c r="K417" i="16"/>
  <c r="K418" i="16"/>
  <c r="K419" i="16"/>
  <c r="K423" i="16"/>
  <c r="K424" i="16"/>
  <c r="K427" i="16"/>
  <c r="K428" i="16"/>
  <c r="K433" i="16"/>
  <c r="K434" i="16"/>
  <c r="K435" i="16"/>
  <c r="K439" i="16"/>
  <c r="K443" i="16"/>
  <c r="K446" i="16"/>
  <c r="K449" i="16"/>
  <c r="K450" i="16"/>
  <c r="K453" i="16"/>
  <c r="K454" i="16"/>
  <c r="K457" i="16"/>
  <c r="K459" i="16" s="1"/>
  <c r="K458" i="16"/>
  <c r="K463" i="16"/>
  <c r="K471" i="16"/>
  <c r="K474" i="16"/>
  <c r="K475" i="16"/>
  <c r="K476" i="16"/>
  <c r="K477" i="16"/>
  <c r="K478" i="16"/>
  <c r="K479" i="16"/>
  <c r="K480" i="16"/>
  <c r="K483" i="16"/>
  <c r="K484" i="16"/>
  <c r="K485" i="16"/>
  <c r="K492" i="16"/>
  <c r="K493" i="16"/>
  <c r="K495" i="16"/>
  <c r="K525" i="16"/>
  <c r="K526" i="16"/>
  <c r="K527" i="16"/>
  <c r="K528" i="16"/>
  <c r="K529" i="16"/>
  <c r="K533" i="16"/>
  <c r="K534" i="16"/>
  <c r="K535" i="16"/>
  <c r="K536" i="16"/>
  <c r="K537" i="16"/>
  <c r="K538" i="16"/>
  <c r="K539" i="16"/>
  <c r="J261" i="15"/>
  <c r="J260" i="15"/>
  <c r="J215" i="25" s="1"/>
  <c r="C216" i="23" l="1" a="1"/>
  <c r="C216" i="23" s="1"/>
  <c r="C217" i="24" a="1"/>
  <c r="C217" i="24" s="1"/>
  <c r="C136" i="25" a="1"/>
  <c r="C136" i="25" s="1"/>
  <c r="C136" i="24" a="1"/>
  <c r="C136" i="24" s="1"/>
  <c r="C137" i="25" a="1"/>
  <c r="C137" i="25" s="1"/>
  <c r="C136" i="23" a="1"/>
  <c r="C136" i="23" s="1"/>
  <c r="C137" i="24" a="1"/>
  <c r="C137" i="24" s="1"/>
  <c r="C138" i="25" a="1"/>
  <c r="C138" i="25" s="1"/>
  <c r="C137" i="23" a="1"/>
  <c r="C137" i="23" s="1"/>
  <c r="C138" i="24" a="1"/>
  <c r="C138" i="24" s="1"/>
  <c r="C216" i="25" a="1"/>
  <c r="C216" i="25" s="1"/>
  <c r="C217" i="25" a="1"/>
  <c r="C217" i="25" s="1"/>
  <c r="C215" i="24" a="1"/>
  <c r="C215" i="24" s="1"/>
  <c r="C215" i="23" a="1"/>
  <c r="C215" i="23" s="1"/>
  <c r="G409" i="24"/>
  <c r="G413" i="24" s="1"/>
  <c r="O409" i="24"/>
  <c r="O413" i="24" s="1"/>
  <c r="H121" i="25"/>
  <c r="K444" i="17"/>
  <c r="K445" i="17" s="1"/>
  <c r="D189" i="23"/>
  <c r="L189" i="23"/>
  <c r="E218" i="23"/>
  <c r="E114" i="23" s="1"/>
  <c r="E121" i="23" s="1"/>
  <c r="K429" i="23"/>
  <c r="D530" i="23"/>
  <c r="F85" i="24"/>
  <c r="N85" i="24"/>
  <c r="G149" i="24"/>
  <c r="O149" i="24"/>
  <c r="G227" i="24"/>
  <c r="H409" i="24"/>
  <c r="H413" i="24" s="1"/>
  <c r="P409" i="24"/>
  <c r="P413" i="24" s="1"/>
  <c r="K420" i="24"/>
  <c r="O420" i="25"/>
  <c r="H429" i="25"/>
  <c r="D432" i="25"/>
  <c r="K350" i="17"/>
  <c r="M241" i="17"/>
  <c r="F333" i="23"/>
  <c r="F336" i="23" s="1"/>
  <c r="F337" i="23" s="1"/>
  <c r="F36" i="23" s="1"/>
  <c r="E530" i="23"/>
  <c r="J93" i="24"/>
  <c r="J409" i="24"/>
  <c r="J413" i="24" s="1"/>
  <c r="D128" i="25"/>
  <c r="L128" i="25"/>
  <c r="E246" i="25"/>
  <c r="E48" i="25" s="1"/>
  <c r="H420" i="25"/>
  <c r="P420" i="25"/>
  <c r="D540" i="25"/>
  <c r="F540" i="25"/>
  <c r="K227" i="16"/>
  <c r="K227" i="23"/>
  <c r="F234" i="24"/>
  <c r="E420" i="24"/>
  <c r="Q43" i="25"/>
  <c r="I420" i="25"/>
  <c r="N409" i="17"/>
  <c r="N413" i="17" s="1"/>
  <c r="N93" i="23"/>
  <c r="D420" i="23"/>
  <c r="L420" i="23"/>
  <c r="F420" i="23"/>
  <c r="O218" i="24"/>
  <c r="O114" i="24" s="1"/>
  <c r="J227" i="24"/>
  <c r="K241" i="24"/>
  <c r="I286" i="24"/>
  <c r="I432" i="24"/>
  <c r="M241" i="25"/>
  <c r="E258" i="25"/>
  <c r="J420" i="25"/>
  <c r="Q43" i="23"/>
  <c r="R43" i="23" s="1"/>
  <c r="H78" i="23"/>
  <c r="I429" i="23"/>
  <c r="G218" i="24"/>
  <c r="G114" i="24" s="1"/>
  <c r="P218" i="24"/>
  <c r="P114" i="24" s="1"/>
  <c r="P121" i="24" s="1"/>
  <c r="J530" i="24"/>
  <c r="D540" i="24"/>
  <c r="J264" i="25"/>
  <c r="J265" i="25" s="1"/>
  <c r="E274" i="25"/>
  <c r="N218" i="25"/>
  <c r="N114" i="25" s="1"/>
  <c r="H241" i="25"/>
  <c r="J78" i="23"/>
  <c r="K442" i="16"/>
  <c r="E78" i="23"/>
  <c r="E81" i="23" s="1"/>
  <c r="M78" i="23"/>
  <c r="M81" i="23" s="1"/>
  <c r="M82" i="23" s="1"/>
  <c r="M83" i="23" s="1"/>
  <c r="G246" i="23"/>
  <c r="G97" i="23" s="1"/>
  <c r="G98" i="23" s="1"/>
  <c r="H218" i="24"/>
  <c r="H114" i="24" s="1"/>
  <c r="J429" i="24"/>
  <c r="F218" i="25"/>
  <c r="F114" i="25" s="1"/>
  <c r="G234" i="25"/>
  <c r="O234" i="25"/>
  <c r="I234" i="25"/>
  <c r="O420" i="17"/>
  <c r="P128" i="17"/>
  <c r="K264" i="23"/>
  <c r="K420" i="17"/>
  <c r="N420" i="23"/>
  <c r="H420" i="23"/>
  <c r="G429" i="23"/>
  <c r="O429" i="23"/>
  <c r="D93" i="24"/>
  <c r="L93" i="24"/>
  <c r="L218" i="24"/>
  <c r="L114" i="24" s="1"/>
  <c r="L121" i="24" s="1"/>
  <c r="G286" i="24"/>
  <c r="D420" i="24"/>
  <c r="L420" i="24"/>
  <c r="D429" i="24"/>
  <c r="L429" i="24"/>
  <c r="H212" i="25"/>
  <c r="P212" i="25"/>
  <c r="D420" i="25"/>
  <c r="D429" i="25"/>
  <c r="L429" i="25"/>
  <c r="D530" i="25"/>
  <c r="K218" i="17"/>
  <c r="K114" i="17" s="1"/>
  <c r="K93" i="17"/>
  <c r="P429" i="17"/>
  <c r="K460" i="16"/>
  <c r="H93" i="23"/>
  <c r="N110" i="23"/>
  <c r="F140" i="23"/>
  <c r="F141" i="23" s="1"/>
  <c r="F142" i="23" s="1"/>
  <c r="N140" i="23"/>
  <c r="N141" i="23" s="1"/>
  <c r="G189" i="23"/>
  <c r="G196" i="23" s="1"/>
  <c r="O189" i="23"/>
  <c r="D409" i="23"/>
  <c r="D413" i="23" s="1"/>
  <c r="L409" i="23"/>
  <c r="L413" i="23" s="1"/>
  <c r="G420" i="23"/>
  <c r="O420" i="23"/>
  <c r="H429" i="23"/>
  <c r="E93" i="24"/>
  <c r="M93" i="24"/>
  <c r="K140" i="24"/>
  <c r="D382" i="24"/>
  <c r="E382" i="24" s="1"/>
  <c r="F382" i="24" s="1"/>
  <c r="G382" i="24" s="1"/>
  <c r="H382" i="24" s="1"/>
  <c r="I382" i="24" s="1"/>
  <c r="M420" i="24"/>
  <c r="E429" i="24"/>
  <c r="M429" i="24"/>
  <c r="G78" i="25"/>
  <c r="G81" i="25" s="1"/>
  <c r="G82" i="25" s="1"/>
  <c r="G83" i="25" s="1"/>
  <c r="O78" i="25"/>
  <c r="D227" i="25"/>
  <c r="E429" i="25"/>
  <c r="M429" i="25"/>
  <c r="E530" i="25"/>
  <c r="P496" i="17"/>
  <c r="N212" i="17"/>
  <c r="F274" i="23"/>
  <c r="M286" i="23"/>
  <c r="P78" i="23"/>
  <c r="P81" i="23" s="1"/>
  <c r="P82" i="23" s="1"/>
  <c r="P83" i="23" s="1"/>
  <c r="H189" i="23"/>
  <c r="P189" i="23"/>
  <c r="F409" i="23"/>
  <c r="F413" i="23" s="1"/>
  <c r="N409" i="23"/>
  <c r="N413" i="23" s="1"/>
  <c r="H540" i="23"/>
  <c r="J128" i="24"/>
  <c r="N128" i="24"/>
  <c r="K234" i="24"/>
  <c r="O286" i="24"/>
  <c r="F420" i="24"/>
  <c r="N420" i="24"/>
  <c r="J432" i="24"/>
  <c r="K140" i="25"/>
  <c r="K141" i="25" s="1"/>
  <c r="K142" i="25" s="1"/>
  <c r="K218" i="25"/>
  <c r="K114" i="25" s="1"/>
  <c r="J432" i="25"/>
  <c r="K78" i="17"/>
  <c r="K81" i="17" s="1"/>
  <c r="K82" i="17" s="1"/>
  <c r="K83" i="17" s="1"/>
  <c r="N429" i="17"/>
  <c r="M290" i="17"/>
  <c r="D496" i="23"/>
  <c r="E128" i="23"/>
  <c r="M128" i="23"/>
  <c r="H140" i="23"/>
  <c r="P140" i="23"/>
  <c r="P141" i="23" s="1"/>
  <c r="J140" i="23"/>
  <c r="J141" i="23" s="1"/>
  <c r="H147" i="23"/>
  <c r="F227" i="23"/>
  <c r="J234" i="23"/>
  <c r="D234" i="23"/>
  <c r="D246" i="23"/>
  <c r="D481" i="23" s="1"/>
  <c r="D482" i="23" s="1"/>
  <c r="I530" i="23"/>
  <c r="I540" i="23"/>
  <c r="H110" i="24"/>
  <c r="K128" i="24"/>
  <c r="D234" i="24"/>
  <c r="L234" i="24"/>
  <c r="H234" i="24"/>
  <c r="H286" i="24"/>
  <c r="H287" i="24" s="1"/>
  <c r="P286" i="24"/>
  <c r="P287" i="24" s="1"/>
  <c r="I540" i="24"/>
  <c r="I85" i="25"/>
  <c r="H128" i="25"/>
  <c r="P128" i="25"/>
  <c r="H140" i="25"/>
  <c r="D246" i="25"/>
  <c r="D286" i="25"/>
  <c r="D287" i="25" s="1"/>
  <c r="L286" i="25"/>
  <c r="G420" i="25"/>
  <c r="F432" i="25"/>
  <c r="E432" i="25"/>
  <c r="G530" i="25"/>
  <c r="K286" i="17"/>
  <c r="K287" i="17" s="1"/>
  <c r="K140" i="17"/>
  <c r="K141" i="17" s="1"/>
  <c r="K142" i="17" s="1"/>
  <c r="K110" i="17"/>
  <c r="L496" i="23"/>
  <c r="G212" i="23"/>
  <c r="H246" i="23"/>
  <c r="H48" i="23" s="1"/>
  <c r="K93" i="23"/>
  <c r="D110" i="23"/>
  <c r="L218" i="23"/>
  <c r="L114" i="23" s="1"/>
  <c r="L121" i="23" s="1"/>
  <c r="I218" i="23"/>
  <c r="I114" i="23" s="1"/>
  <c r="I121" i="23" s="1"/>
  <c r="E246" i="23"/>
  <c r="E48" i="23" s="1"/>
  <c r="H258" i="23"/>
  <c r="J420" i="23"/>
  <c r="J540" i="23"/>
  <c r="L212" i="24"/>
  <c r="D218" i="24"/>
  <c r="D114" i="24" s="1"/>
  <c r="D121" i="24" s="1"/>
  <c r="F409" i="24"/>
  <c r="F413" i="24" s="1"/>
  <c r="J540" i="24"/>
  <c r="E93" i="25"/>
  <c r="M93" i="25"/>
  <c r="E140" i="25"/>
  <c r="M140" i="25"/>
  <c r="K189" i="25"/>
  <c r="I264" i="25"/>
  <c r="I265" i="25" s="1"/>
  <c r="M218" i="25"/>
  <c r="M114" i="25" s="1"/>
  <c r="M121" i="25" s="1"/>
  <c r="J333" i="25"/>
  <c r="J336" i="25" s="1"/>
  <c r="J337" i="25" s="1"/>
  <c r="J36" i="25" s="1"/>
  <c r="O212" i="23"/>
  <c r="E286" i="23"/>
  <c r="K78" i="16"/>
  <c r="K81" i="16" s="1"/>
  <c r="K82" i="16" s="1"/>
  <c r="K83" i="16" s="1"/>
  <c r="D93" i="23"/>
  <c r="L93" i="23"/>
  <c r="F93" i="23"/>
  <c r="P93" i="23"/>
  <c r="K189" i="23"/>
  <c r="K196" i="23" s="1"/>
  <c r="K197" i="23" s="1"/>
  <c r="D218" i="23"/>
  <c r="D114" i="23" s="1"/>
  <c r="D121" i="23" s="1"/>
  <c r="M218" i="23"/>
  <c r="M114" i="23" s="1"/>
  <c r="M121" i="23" s="1"/>
  <c r="L234" i="23"/>
  <c r="H235" i="24"/>
  <c r="P235" i="24"/>
  <c r="F189" i="24"/>
  <c r="F196" i="24" s="1"/>
  <c r="N189" i="24"/>
  <c r="E212" i="24"/>
  <c r="M212" i="24"/>
  <c r="I212" i="24"/>
  <c r="I241" i="24"/>
  <c r="I530" i="24"/>
  <c r="E530" i="24"/>
  <c r="L235" i="25"/>
  <c r="F93" i="25"/>
  <c r="N93" i="25"/>
  <c r="L189" i="25"/>
  <c r="E212" i="25"/>
  <c r="M212" i="25"/>
  <c r="L420" i="25"/>
  <c r="K460" i="17"/>
  <c r="G481" i="23"/>
  <c r="G482" i="23" s="1"/>
  <c r="J487" i="24"/>
  <c r="J105" i="24"/>
  <c r="K290" i="17"/>
  <c r="K241" i="17"/>
  <c r="K420" i="16"/>
  <c r="H292" i="23"/>
  <c r="K212" i="23"/>
  <c r="O234" i="23"/>
  <c r="K350" i="16"/>
  <c r="M85" i="23"/>
  <c r="J93" i="23"/>
  <c r="L110" i="23"/>
  <c r="G128" i="23"/>
  <c r="O128" i="23"/>
  <c r="J189" i="23"/>
  <c r="J196" i="23" s="1"/>
  <c r="D264" i="23"/>
  <c r="E212" i="23"/>
  <c r="M212" i="23"/>
  <c r="E227" i="23"/>
  <c r="I234" i="23"/>
  <c r="K246" i="23"/>
  <c r="K48" i="23" s="1"/>
  <c r="K286" i="23"/>
  <c r="D212" i="24"/>
  <c r="D48" i="24"/>
  <c r="J215" i="24"/>
  <c r="E227" i="24"/>
  <c r="J234" i="24"/>
  <c r="E409" i="24"/>
  <c r="E413" i="24" s="1"/>
  <c r="M409" i="24"/>
  <c r="M413" i="24" s="1"/>
  <c r="H420" i="24"/>
  <c r="P420" i="24"/>
  <c r="Q417" i="24"/>
  <c r="R417" i="24" s="1"/>
  <c r="H432" i="24"/>
  <c r="I487" i="24" s="1"/>
  <c r="I488" i="24" s="1"/>
  <c r="G432" i="24"/>
  <c r="F432" i="24"/>
  <c r="E432" i="24"/>
  <c r="F487" i="24" s="1"/>
  <c r="F488" i="24" s="1"/>
  <c r="D432" i="24"/>
  <c r="H93" i="25"/>
  <c r="P93" i="25"/>
  <c r="E218" i="25"/>
  <c r="E114" i="25" s="1"/>
  <c r="E121" i="25" s="1"/>
  <c r="J234" i="25"/>
  <c r="H409" i="25"/>
  <c r="H413" i="25" s="1"/>
  <c r="P409" i="25"/>
  <c r="P413" i="25" s="1"/>
  <c r="D487" i="25"/>
  <c r="D488" i="25" s="1"/>
  <c r="D105" i="25"/>
  <c r="K494" i="17"/>
  <c r="K496" i="17" s="1"/>
  <c r="K409" i="17"/>
  <c r="K413" i="17" s="1"/>
  <c r="M460" i="17"/>
  <c r="D189" i="25"/>
  <c r="D191" i="25" s="1"/>
  <c r="D194" i="25" s="1"/>
  <c r="P110" i="23"/>
  <c r="G227" i="23"/>
  <c r="K128" i="25"/>
  <c r="D481" i="25"/>
  <c r="D97" i="25"/>
  <c r="D98" i="25" s="1"/>
  <c r="J216" i="24"/>
  <c r="J216" i="25"/>
  <c r="K218" i="16"/>
  <c r="K114" i="16" s="1"/>
  <c r="K121" i="16" s="1"/>
  <c r="E93" i="23"/>
  <c r="M93" i="23"/>
  <c r="E189" i="23"/>
  <c r="E196" i="23" s="1"/>
  <c r="M189" i="23"/>
  <c r="H212" i="23"/>
  <c r="P212" i="23"/>
  <c r="F218" i="23"/>
  <c r="F114" i="23" s="1"/>
  <c r="F121" i="23" s="1"/>
  <c r="N218" i="23"/>
  <c r="N114" i="23" s="1"/>
  <c r="N121" i="23" s="1"/>
  <c r="H227" i="23"/>
  <c r="F246" i="23"/>
  <c r="F286" i="23"/>
  <c r="F287" i="23" s="1"/>
  <c r="N286" i="23"/>
  <c r="N287" i="23" s="1"/>
  <c r="H314" i="23"/>
  <c r="H315" i="23" s="1"/>
  <c r="O128" i="24"/>
  <c r="M332" i="24"/>
  <c r="M333" i="24" s="1"/>
  <c r="M336" i="24" s="1"/>
  <c r="M337" i="24" s="1"/>
  <c r="F189" i="25"/>
  <c r="F196" i="25" s="1"/>
  <c r="N189" i="25"/>
  <c r="E97" i="25"/>
  <c r="E98" i="25" s="1"/>
  <c r="E99" i="25" s="1"/>
  <c r="N128" i="17"/>
  <c r="J218" i="25"/>
  <c r="J114" i="25" s="1"/>
  <c r="J121" i="25" s="1"/>
  <c r="K189" i="17"/>
  <c r="K274" i="16"/>
  <c r="H85" i="23"/>
  <c r="P85" i="23"/>
  <c r="I212" i="23"/>
  <c r="G218" i="23"/>
  <c r="G114" i="23" s="1"/>
  <c r="O218" i="23"/>
  <c r="O114" i="23" s="1"/>
  <c r="I227" i="23"/>
  <c r="E234" i="23"/>
  <c r="M234" i="23"/>
  <c r="G286" i="23"/>
  <c r="G287" i="23" s="1"/>
  <c r="O286" i="23"/>
  <c r="P333" i="23"/>
  <c r="P336" i="23" s="1"/>
  <c r="P337" i="23" s="1"/>
  <c r="O110" i="24"/>
  <c r="I227" i="24"/>
  <c r="N234" i="24"/>
  <c r="D481" i="24"/>
  <c r="D97" i="24"/>
  <c r="D98" i="24" s="1"/>
  <c r="D99" i="24" s="1"/>
  <c r="P218" i="25"/>
  <c r="P114" i="25" s="1"/>
  <c r="P121" i="25" s="1"/>
  <c r="K85" i="16"/>
  <c r="G93" i="23"/>
  <c r="O93" i="23"/>
  <c r="D128" i="23"/>
  <c r="L128" i="23"/>
  <c r="D140" i="23"/>
  <c r="L140" i="23"/>
  <c r="J212" i="23"/>
  <c r="H218" i="23"/>
  <c r="H114" i="23" s="1"/>
  <c r="H121" i="23" s="1"/>
  <c r="P218" i="23"/>
  <c r="P114" i="23" s="1"/>
  <c r="P121" i="23" s="1"/>
  <c r="J216" i="23"/>
  <c r="F234" i="23"/>
  <c r="N234" i="23"/>
  <c r="H286" i="23"/>
  <c r="P286" i="23"/>
  <c r="D406" i="23"/>
  <c r="D392" i="23" s="1"/>
  <c r="G494" i="24"/>
  <c r="G496" i="24" s="1"/>
  <c r="G110" i="24"/>
  <c r="R43" i="25"/>
  <c r="S43" i="25" s="1"/>
  <c r="T43" i="25" s="1"/>
  <c r="U43" i="25" s="1"/>
  <c r="V43" i="25" s="1"/>
  <c r="W43" i="25" s="1"/>
  <c r="X43" i="25" s="1"/>
  <c r="Y43" i="25" s="1"/>
  <c r="Z43" i="25" s="1"/>
  <c r="K235" i="25"/>
  <c r="J78" i="25"/>
  <c r="J81" i="25" s="1"/>
  <c r="P218" i="17"/>
  <c r="P114" i="17" s="1"/>
  <c r="P121" i="17" s="1"/>
  <c r="M212" i="17"/>
  <c r="K189" i="16"/>
  <c r="P234" i="24"/>
  <c r="F290" i="24"/>
  <c r="K459" i="24"/>
  <c r="K460" i="24" s="1"/>
  <c r="D48" i="25"/>
  <c r="K227" i="25"/>
  <c r="E487" i="25"/>
  <c r="E105" i="25"/>
  <c r="E106" i="25" s="1"/>
  <c r="O290" i="17"/>
  <c r="O241" i="17"/>
  <c r="O218" i="17"/>
  <c r="O114" i="17" s="1"/>
  <c r="O121" i="17" s="1"/>
  <c r="N432" i="23"/>
  <c r="F432" i="23"/>
  <c r="D432" i="23"/>
  <c r="J85" i="23"/>
  <c r="E140" i="23"/>
  <c r="E141" i="23" s="1"/>
  <c r="E142" i="23" s="1"/>
  <c r="M140" i="23"/>
  <c r="M141" i="23" s="1"/>
  <c r="M142" i="23" s="1"/>
  <c r="G234" i="23"/>
  <c r="I286" i="23"/>
  <c r="H332" i="23"/>
  <c r="H333" i="23"/>
  <c r="H336" i="23" s="1"/>
  <c r="K140" i="16"/>
  <c r="K85" i="23"/>
  <c r="E85" i="23"/>
  <c r="I93" i="23"/>
  <c r="F110" i="23"/>
  <c r="F128" i="23"/>
  <c r="N128" i="23"/>
  <c r="D149" i="23"/>
  <c r="L149" i="23"/>
  <c r="L150" i="23" s="1"/>
  <c r="J147" i="23"/>
  <c r="I189" i="23"/>
  <c r="I196" i="23" s="1"/>
  <c r="D212" i="23"/>
  <c r="L212" i="23"/>
  <c r="J215" i="23"/>
  <c r="D227" i="23"/>
  <c r="H234" i="23"/>
  <c r="P234" i="23"/>
  <c r="H97" i="23"/>
  <c r="H98" i="23" s="1"/>
  <c r="H99" i="23" s="1"/>
  <c r="J286" i="23"/>
  <c r="J287" i="23" s="1"/>
  <c r="E409" i="23"/>
  <c r="E413" i="23" s="1"/>
  <c r="M409" i="23"/>
  <c r="M413" i="23" s="1"/>
  <c r="P420" i="23"/>
  <c r="Q417" i="23"/>
  <c r="R417" i="23" s="1"/>
  <c r="G420" i="24"/>
  <c r="O420" i="24"/>
  <c r="D85" i="25"/>
  <c r="D106" i="25"/>
  <c r="N460" i="17"/>
  <c r="N241" i="17"/>
  <c r="I420" i="23"/>
  <c r="G460" i="23"/>
  <c r="K540" i="23"/>
  <c r="H78" i="24"/>
  <c r="H81" i="24" s="1"/>
  <c r="H82" i="24" s="1"/>
  <c r="H83" i="24" s="1"/>
  <c r="P78" i="24"/>
  <c r="P81" i="24" s="1"/>
  <c r="P82" i="24" s="1"/>
  <c r="P83" i="24" s="1"/>
  <c r="F93" i="24"/>
  <c r="N93" i="24"/>
  <c r="H496" i="24"/>
  <c r="P496" i="24"/>
  <c r="P110" i="24"/>
  <c r="D140" i="24"/>
  <c r="L140" i="24"/>
  <c r="L141" i="24" s="1"/>
  <c r="L142" i="24" s="1"/>
  <c r="F212" i="24"/>
  <c r="N212" i="24"/>
  <c r="K218" i="24"/>
  <c r="K114" i="24" s="1"/>
  <c r="K121" i="24" s="1"/>
  <c r="K227" i="24"/>
  <c r="M241" i="24"/>
  <c r="F246" i="24"/>
  <c r="F48" i="24" s="1"/>
  <c r="K286" i="24"/>
  <c r="D406" i="24"/>
  <c r="D392" i="24" s="1"/>
  <c r="I420" i="24"/>
  <c r="F429" i="24"/>
  <c r="N429" i="24"/>
  <c r="K530" i="24"/>
  <c r="K540" i="24"/>
  <c r="G93" i="25"/>
  <c r="O93" i="25"/>
  <c r="E128" i="25"/>
  <c r="M128" i="25"/>
  <c r="F140" i="25"/>
  <c r="N140" i="25"/>
  <c r="I212" i="25"/>
  <c r="E227" i="25"/>
  <c r="P241" i="25"/>
  <c r="H286" i="25"/>
  <c r="H287" i="25" s="1"/>
  <c r="P286" i="25"/>
  <c r="P287" i="25" s="1"/>
  <c r="K420" i="25"/>
  <c r="G429" i="25"/>
  <c r="O429" i="25"/>
  <c r="K429" i="17"/>
  <c r="P286" i="17"/>
  <c r="Q459" i="23"/>
  <c r="R459" i="23" s="1"/>
  <c r="S459" i="23" s="1"/>
  <c r="T459" i="23" s="1"/>
  <c r="U459" i="23" s="1"/>
  <c r="V459" i="23" s="1"/>
  <c r="W459" i="23" s="1"/>
  <c r="X459" i="23" s="1"/>
  <c r="Y459" i="23" s="1"/>
  <c r="Z459" i="23" s="1"/>
  <c r="F530" i="23"/>
  <c r="I78" i="24"/>
  <c r="I81" i="24" s="1"/>
  <c r="G93" i="24"/>
  <c r="O93" i="24"/>
  <c r="G121" i="24"/>
  <c r="E128" i="24"/>
  <c r="M128" i="24"/>
  <c r="K189" i="24"/>
  <c r="K191" i="24" s="1"/>
  <c r="K194" i="24" s="1"/>
  <c r="G212" i="24"/>
  <c r="O212" i="24"/>
  <c r="D286" i="24"/>
  <c r="D287" i="24" s="1"/>
  <c r="L286" i="24"/>
  <c r="G429" i="24"/>
  <c r="O429" i="24"/>
  <c r="D78" i="25"/>
  <c r="D81" i="25" s="1"/>
  <c r="D82" i="25" s="1"/>
  <c r="D83" i="25" s="1"/>
  <c r="L78" i="25"/>
  <c r="L81" i="25" s="1"/>
  <c r="L82" i="25" s="1"/>
  <c r="L83" i="25" s="1"/>
  <c r="G85" i="25"/>
  <c r="F128" i="25"/>
  <c r="N128" i="25"/>
  <c r="J212" i="25"/>
  <c r="F227" i="25"/>
  <c r="I241" i="25"/>
  <c r="G540" i="25"/>
  <c r="K234" i="17"/>
  <c r="N420" i="17"/>
  <c r="O286" i="17"/>
  <c r="O287" i="17" s="1"/>
  <c r="M218" i="17"/>
  <c r="M114" i="17" s="1"/>
  <c r="M121" i="17" s="1"/>
  <c r="K420" i="23"/>
  <c r="O460" i="23"/>
  <c r="G530" i="23"/>
  <c r="P85" i="24"/>
  <c r="H128" i="24"/>
  <c r="P128" i="24"/>
  <c r="D189" i="24"/>
  <c r="L189" i="24"/>
  <c r="J189" i="24"/>
  <c r="J196" i="24" s="1"/>
  <c r="H212" i="24"/>
  <c r="P212" i="24"/>
  <c r="E286" i="24"/>
  <c r="M286" i="24"/>
  <c r="G315" i="24"/>
  <c r="E78" i="25"/>
  <c r="E81" i="25" s="1"/>
  <c r="M78" i="25"/>
  <c r="M81" i="25" s="1"/>
  <c r="M82" i="25" s="1"/>
  <c r="M83" i="25" s="1"/>
  <c r="K85" i="25"/>
  <c r="L85" i="25"/>
  <c r="I93" i="25"/>
  <c r="F110" i="25"/>
  <c r="K121" i="25"/>
  <c r="G189" i="25"/>
  <c r="O189" i="25"/>
  <c r="K212" i="25"/>
  <c r="G227" i="25"/>
  <c r="K234" i="25"/>
  <c r="J314" i="25"/>
  <c r="J315" i="25" s="1"/>
  <c r="E420" i="25"/>
  <c r="M420" i="25"/>
  <c r="I429" i="25"/>
  <c r="H530" i="25"/>
  <c r="H540" i="25"/>
  <c r="K530" i="17"/>
  <c r="N286" i="17"/>
  <c r="N189" i="17"/>
  <c r="O128" i="17"/>
  <c r="H465" i="23"/>
  <c r="H530" i="23"/>
  <c r="F540" i="23"/>
  <c r="H85" i="24"/>
  <c r="J106" i="24"/>
  <c r="G128" i="24"/>
  <c r="I140" i="24"/>
  <c r="E140" i="24"/>
  <c r="M140" i="24"/>
  <c r="E189" i="24"/>
  <c r="E196" i="24" s="1"/>
  <c r="M189" i="24"/>
  <c r="F218" i="24"/>
  <c r="F114" i="24" s="1"/>
  <c r="F121" i="24" s="1"/>
  <c r="N218" i="24"/>
  <c r="N114" i="24" s="1"/>
  <c r="N121" i="24" s="1"/>
  <c r="F530" i="24"/>
  <c r="F540" i="24"/>
  <c r="O85" i="25"/>
  <c r="J93" i="25"/>
  <c r="K110" i="25"/>
  <c r="I140" i="25"/>
  <c r="I141" i="25" s="1"/>
  <c r="H189" i="25"/>
  <c r="H196" i="25" s="1"/>
  <c r="P189" i="25"/>
  <c r="D218" i="25"/>
  <c r="D114" i="25" s="1"/>
  <c r="D121" i="25" s="1"/>
  <c r="L218" i="25"/>
  <c r="L114" i="25" s="1"/>
  <c r="L121" i="25" s="1"/>
  <c r="D234" i="25"/>
  <c r="L234" i="25"/>
  <c r="I246" i="25"/>
  <c r="K286" i="25"/>
  <c r="K287" i="25" s="1"/>
  <c r="K315" i="25"/>
  <c r="J429" i="25"/>
  <c r="I530" i="25"/>
  <c r="I540" i="25"/>
  <c r="K121" i="17"/>
  <c r="O496" i="17"/>
  <c r="M409" i="17"/>
  <c r="M413" i="17" s="1"/>
  <c r="M286" i="17"/>
  <c r="M287" i="17" s="1"/>
  <c r="G540" i="23"/>
  <c r="D85" i="24"/>
  <c r="L85" i="24"/>
  <c r="I85" i="24"/>
  <c r="F140" i="24"/>
  <c r="F141" i="24" s="1"/>
  <c r="F142" i="24" s="1"/>
  <c r="N140" i="24"/>
  <c r="J140" i="24"/>
  <c r="F147" i="24"/>
  <c r="F149" i="24" s="1"/>
  <c r="J264" i="24"/>
  <c r="J212" i="24"/>
  <c r="G530" i="24"/>
  <c r="G540" i="24"/>
  <c r="K93" i="25"/>
  <c r="N110" i="25"/>
  <c r="I128" i="25"/>
  <c r="I189" i="25"/>
  <c r="I227" i="25"/>
  <c r="E234" i="25"/>
  <c r="M234" i="25"/>
  <c r="E315" i="25"/>
  <c r="P429" i="25"/>
  <c r="J530" i="25"/>
  <c r="J540" i="25"/>
  <c r="N444" i="17"/>
  <c r="N445" i="17" s="1"/>
  <c r="M128" i="17"/>
  <c r="J530" i="23"/>
  <c r="E85" i="24"/>
  <c r="M85" i="24"/>
  <c r="D78" i="24"/>
  <c r="D81" i="24" s="1"/>
  <c r="K93" i="24"/>
  <c r="O121" i="24"/>
  <c r="N147" i="24"/>
  <c r="N149" i="24" s="1"/>
  <c r="N150" i="24" s="1"/>
  <c r="G189" i="24"/>
  <c r="O189" i="24"/>
  <c r="K212" i="24"/>
  <c r="H121" i="24"/>
  <c r="E241" i="24"/>
  <c r="F314" i="24"/>
  <c r="F315" i="24" s="1"/>
  <c r="H530" i="24"/>
  <c r="H540" i="24"/>
  <c r="H85" i="25"/>
  <c r="P78" i="25"/>
  <c r="P81" i="25" s="1"/>
  <c r="P82" i="25" s="1"/>
  <c r="P83" i="25" s="1"/>
  <c r="J82" i="25"/>
  <c r="J83" i="25" s="1"/>
  <c r="J128" i="25"/>
  <c r="J189" i="25"/>
  <c r="H274" i="25"/>
  <c r="H275" i="25" s="1"/>
  <c r="F212" i="25"/>
  <c r="N212" i="25"/>
  <c r="J227" i="25"/>
  <c r="F234" i="25"/>
  <c r="N234" i="25"/>
  <c r="E241" i="25"/>
  <c r="G286" i="25"/>
  <c r="O286" i="25"/>
  <c r="O287" i="25" s="1"/>
  <c r="D406" i="25"/>
  <c r="D392" i="25" s="1"/>
  <c r="K530" i="25"/>
  <c r="K128" i="17"/>
  <c r="M496" i="17"/>
  <c r="O460" i="17"/>
  <c r="P241" i="17"/>
  <c r="N121" i="17"/>
  <c r="O212" i="17"/>
  <c r="K540" i="25"/>
  <c r="K540" i="17"/>
  <c r="M140" i="17"/>
  <c r="M141" i="17" s="1"/>
  <c r="M142" i="17" s="1"/>
  <c r="O189" i="17"/>
  <c r="M189" i="17"/>
  <c r="P189" i="17"/>
  <c r="P191" i="17" s="1"/>
  <c r="P194" i="17" s="1"/>
  <c r="O140" i="17"/>
  <c r="O141" i="17" s="1"/>
  <c r="O142" i="17" s="1"/>
  <c r="N287" i="17"/>
  <c r="P140" i="17"/>
  <c r="P141" i="17" s="1"/>
  <c r="P142" i="17" s="1"/>
  <c r="N140" i="17"/>
  <c r="N141" i="17" s="1"/>
  <c r="N142" i="17" s="1"/>
  <c r="P469" i="17"/>
  <c r="P470" i="17" s="1"/>
  <c r="M444" i="17"/>
  <c r="M445" i="17" s="1"/>
  <c r="P420" i="17"/>
  <c r="N149" i="17"/>
  <c r="N150" i="17" s="1"/>
  <c r="O149" i="17"/>
  <c r="O150" i="17" s="1"/>
  <c r="P444" i="17"/>
  <c r="P445" i="17" s="1"/>
  <c r="O444" i="17"/>
  <c r="O445" i="17" s="1"/>
  <c r="P287" i="17"/>
  <c r="M149" i="17"/>
  <c r="M150" i="17" s="1"/>
  <c r="P149" i="17"/>
  <c r="P150" i="17" s="1"/>
  <c r="N19" i="17"/>
  <c r="Z263" i="17"/>
  <c r="Z116" i="17"/>
  <c r="Z538" i="17"/>
  <c r="K352" i="17"/>
  <c r="K353" i="17" s="1"/>
  <c r="K292" i="17"/>
  <c r="K293" i="17" s="1"/>
  <c r="K196" i="17"/>
  <c r="K197" i="17" s="1"/>
  <c r="K191" i="17"/>
  <c r="K194" i="17" s="1"/>
  <c r="K57" i="17"/>
  <c r="K332" i="17"/>
  <c r="K333" i="17" s="1"/>
  <c r="K264" i="17"/>
  <c r="K324" i="17" s="1"/>
  <c r="K274" i="17"/>
  <c r="K275" i="17" s="1"/>
  <c r="K85" i="17"/>
  <c r="K19" i="17"/>
  <c r="K470" i="17"/>
  <c r="K64" i="17" s="1"/>
  <c r="K147" i="17"/>
  <c r="Q24" i="25"/>
  <c r="R24" i="25" s="1"/>
  <c r="S24" i="25" s="1"/>
  <c r="T24" i="25" s="1"/>
  <c r="U24" i="25" s="1"/>
  <c r="V24" i="25" s="1"/>
  <c r="W24" i="25" s="1"/>
  <c r="X24" i="25" s="1"/>
  <c r="Y24" i="25" s="1"/>
  <c r="Z24" i="25" s="1"/>
  <c r="Q23" i="25"/>
  <c r="R23" i="25" s="1"/>
  <c r="S23" i="25" s="1"/>
  <c r="T23" i="25" s="1"/>
  <c r="U23" i="25" s="1"/>
  <c r="V23" i="25" s="1"/>
  <c r="W23" i="25" s="1"/>
  <c r="X23" i="25" s="1"/>
  <c r="Y23" i="25" s="1"/>
  <c r="Z23" i="25" s="1"/>
  <c r="Q25" i="25"/>
  <c r="R25" i="25" s="1"/>
  <c r="Q30" i="25"/>
  <c r="R30" i="25" s="1"/>
  <c r="S30" i="25" s="1"/>
  <c r="T30" i="25" s="1"/>
  <c r="U30" i="25" s="1"/>
  <c r="V30" i="25" s="1"/>
  <c r="W30" i="25" s="1"/>
  <c r="X30" i="25" s="1"/>
  <c r="Y30" i="25" s="1"/>
  <c r="Z30" i="25" s="1"/>
  <c r="Z235" i="25" s="1"/>
  <c r="Q29" i="25"/>
  <c r="Q75" i="25" s="1"/>
  <c r="Q19" i="25"/>
  <c r="R18" i="25"/>
  <c r="S21" i="25"/>
  <c r="R22" i="25"/>
  <c r="G149" i="25"/>
  <c r="G150" i="25" s="1"/>
  <c r="O149" i="25"/>
  <c r="O150" i="25" s="1"/>
  <c r="G14" i="25"/>
  <c r="O14" i="25"/>
  <c r="I17" i="25"/>
  <c r="K19" i="25"/>
  <c r="L20" i="25"/>
  <c r="F22" i="25"/>
  <c r="N22" i="25"/>
  <c r="L29" i="25"/>
  <c r="F350" i="25"/>
  <c r="N350" i="25"/>
  <c r="Z433" i="25"/>
  <c r="R433" i="25"/>
  <c r="Q457" i="25"/>
  <c r="R457" i="25" s="1"/>
  <c r="S457" i="25" s="1"/>
  <c r="Y433" i="25"/>
  <c r="Q433" i="25"/>
  <c r="Q464" i="25"/>
  <c r="R464" i="25" s="1"/>
  <c r="S464" i="25" s="1"/>
  <c r="T464" i="25" s="1"/>
  <c r="U464" i="25" s="1"/>
  <c r="V464" i="25" s="1"/>
  <c r="W464" i="25" s="1"/>
  <c r="X464" i="25" s="1"/>
  <c r="Y464" i="25" s="1"/>
  <c r="Z464" i="25" s="1"/>
  <c r="X433" i="25"/>
  <c r="W433" i="25"/>
  <c r="Q468" i="25"/>
  <c r="V433" i="25"/>
  <c r="U433" i="25"/>
  <c r="Q436" i="25"/>
  <c r="Q434" i="25" s="1"/>
  <c r="S433" i="25"/>
  <c r="T433" i="25"/>
  <c r="Q386" i="25"/>
  <c r="R386" i="25" s="1"/>
  <c r="S386" i="25" s="1"/>
  <c r="T386" i="25" s="1"/>
  <c r="U386" i="25" s="1"/>
  <c r="V386" i="25" s="1"/>
  <c r="W386" i="25" s="1"/>
  <c r="X386" i="25" s="1"/>
  <c r="Y386" i="25" s="1"/>
  <c r="Z386" i="25" s="1"/>
  <c r="Q320" i="25"/>
  <c r="R320" i="25" s="1"/>
  <c r="S320" i="25" s="1"/>
  <c r="T320" i="25" s="1"/>
  <c r="U320" i="25" s="1"/>
  <c r="V320" i="25" s="1"/>
  <c r="W320" i="25" s="1"/>
  <c r="X320" i="25" s="1"/>
  <c r="Y320" i="25" s="1"/>
  <c r="Z320" i="25" s="1"/>
  <c r="Q319" i="25"/>
  <c r="R319" i="25" s="1"/>
  <c r="S319" i="25" s="1"/>
  <c r="T319" i="25" s="1"/>
  <c r="U319" i="25" s="1"/>
  <c r="V319" i="25" s="1"/>
  <c r="W319" i="25" s="1"/>
  <c r="X319" i="25" s="1"/>
  <c r="Y319" i="25" s="1"/>
  <c r="Z319" i="25" s="1"/>
  <c r="M249" i="25"/>
  <c r="U246" i="25"/>
  <c r="M246" i="25"/>
  <c r="L249" i="25"/>
  <c r="T246" i="25"/>
  <c r="L246" i="25"/>
  <c r="S246" i="25"/>
  <c r="Q238" i="25"/>
  <c r="R238" i="25" s="1"/>
  <c r="Z246" i="25"/>
  <c r="R246" i="25"/>
  <c r="Q249" i="25"/>
  <c r="R249" i="25" s="1"/>
  <c r="S249" i="25" s="1"/>
  <c r="T249" i="25" s="1"/>
  <c r="U249" i="25" s="1"/>
  <c r="V249" i="25" s="1"/>
  <c r="W249" i="25" s="1"/>
  <c r="X249" i="25" s="1"/>
  <c r="Y249" i="25" s="1"/>
  <c r="Z249" i="25" s="1"/>
  <c r="Q248" i="25"/>
  <c r="R248" i="25" s="1"/>
  <c r="S248" i="25" s="1"/>
  <c r="T248" i="25" s="1"/>
  <c r="U248" i="25" s="1"/>
  <c r="V248" i="25" s="1"/>
  <c r="W248" i="25" s="1"/>
  <c r="X248" i="25" s="1"/>
  <c r="Y248" i="25" s="1"/>
  <c r="Z248" i="25" s="1"/>
  <c r="Q247" i="25"/>
  <c r="R247" i="25" s="1"/>
  <c r="S247" i="25" s="1"/>
  <c r="T247" i="25" s="1"/>
  <c r="U247" i="25" s="1"/>
  <c r="V247" i="25" s="1"/>
  <c r="W247" i="25" s="1"/>
  <c r="X247" i="25" s="1"/>
  <c r="Y247" i="25" s="1"/>
  <c r="Z247" i="25" s="1"/>
  <c r="Y246" i="25"/>
  <c r="Q246" i="25"/>
  <c r="P249" i="25"/>
  <c r="X246" i="25"/>
  <c r="P246" i="25"/>
  <c r="O249" i="25"/>
  <c r="W246" i="25"/>
  <c r="O246" i="25"/>
  <c r="N249" i="25"/>
  <c r="V246" i="25"/>
  <c r="Q220" i="25"/>
  <c r="Q219" i="25"/>
  <c r="R219" i="25" s="1"/>
  <c r="N246" i="25"/>
  <c r="V168" i="25"/>
  <c r="N168" i="25"/>
  <c r="F168" i="25"/>
  <c r="Z158" i="25"/>
  <c r="R158" i="25"/>
  <c r="J158" i="25"/>
  <c r="T168" i="25"/>
  <c r="L168" i="25"/>
  <c r="D168" i="25"/>
  <c r="X158" i="25"/>
  <c r="P158" i="25"/>
  <c r="H158" i="25"/>
  <c r="S168" i="25"/>
  <c r="K168" i="25"/>
  <c r="W158" i="25"/>
  <c r="O158" i="25"/>
  <c r="G158" i="25"/>
  <c r="Z168" i="25"/>
  <c r="R168" i="25"/>
  <c r="J168" i="25"/>
  <c r="V158" i="25"/>
  <c r="N158" i="25"/>
  <c r="F158" i="25"/>
  <c r="Y168" i="25"/>
  <c r="Q168" i="25"/>
  <c r="I168" i="25"/>
  <c r="U158" i="25"/>
  <c r="M158" i="25"/>
  <c r="E158" i="25"/>
  <c r="W168" i="25"/>
  <c r="O168" i="25"/>
  <c r="G168" i="25"/>
  <c r="S158" i="25"/>
  <c r="K158" i="25"/>
  <c r="P168" i="25"/>
  <c r="L158" i="25"/>
  <c r="M168" i="25"/>
  <c r="I158" i="25"/>
  <c r="H168" i="25"/>
  <c r="D158" i="25"/>
  <c r="E168" i="25"/>
  <c r="Q117" i="25"/>
  <c r="R117" i="25" s="1"/>
  <c r="S117" i="25" s="1"/>
  <c r="T117" i="25" s="1"/>
  <c r="U117" i="25" s="1"/>
  <c r="V117" i="25" s="1"/>
  <c r="W117" i="25" s="1"/>
  <c r="X117" i="25" s="1"/>
  <c r="Y117" i="25" s="1"/>
  <c r="Z117" i="25" s="1"/>
  <c r="Y158" i="25"/>
  <c r="U168" i="25"/>
  <c r="Q158" i="25"/>
  <c r="K17" i="25"/>
  <c r="D93" i="25"/>
  <c r="L93" i="25"/>
  <c r="J494" i="25"/>
  <c r="J496" i="25" s="1"/>
  <c r="J110" i="25"/>
  <c r="P12" i="25"/>
  <c r="N19" i="25"/>
  <c r="G20" i="25"/>
  <c r="O20" i="25"/>
  <c r="Q22" i="25"/>
  <c r="G29" i="25"/>
  <c r="O29" i="25"/>
  <c r="G128" i="25"/>
  <c r="O128" i="25"/>
  <c r="E141" i="25"/>
  <c r="E142" i="25" s="1"/>
  <c r="M141" i="25"/>
  <c r="M142" i="25" s="1"/>
  <c r="H141" i="25"/>
  <c r="H142" i="25" s="1"/>
  <c r="T158" i="25"/>
  <c r="J17" i="25"/>
  <c r="H20" i="25"/>
  <c r="P20" i="25"/>
  <c r="F141" i="25"/>
  <c r="F142" i="25" s="1"/>
  <c r="N141" i="25"/>
  <c r="N142" i="25" s="1"/>
  <c r="J149" i="25"/>
  <c r="J150" i="25" s="1"/>
  <c r="P19" i="25"/>
  <c r="F85" i="25"/>
  <c r="F78" i="25"/>
  <c r="F81" i="25" s="1"/>
  <c r="F82" i="25" s="1"/>
  <c r="F83" i="25" s="1"/>
  <c r="N85" i="25"/>
  <c r="N78" i="25"/>
  <c r="N81" i="25" s="1"/>
  <c r="N82" i="25" s="1"/>
  <c r="N83" i="25" s="1"/>
  <c r="O81" i="25"/>
  <c r="N121" i="25"/>
  <c r="Q38" i="25"/>
  <c r="Q40" i="25" s="1"/>
  <c r="F391" i="25"/>
  <c r="F366" i="25" s="1"/>
  <c r="N391" i="25"/>
  <c r="N344" i="25" s="1"/>
  <c r="F121" i="25"/>
  <c r="E350" i="25"/>
  <c r="M350" i="25"/>
  <c r="M344" i="25" s="1"/>
  <c r="E391" i="25"/>
  <c r="M391" i="25"/>
  <c r="F147" i="25"/>
  <c r="G350" i="25"/>
  <c r="G344" i="25" s="1"/>
  <c r="O350" i="25"/>
  <c r="G391" i="25"/>
  <c r="O391" i="25"/>
  <c r="H78" i="25"/>
  <c r="H81" i="25" s="1"/>
  <c r="H82" i="25" s="1"/>
  <c r="H83" i="25" s="1"/>
  <c r="E85" i="25"/>
  <c r="M85" i="25"/>
  <c r="D110" i="25"/>
  <c r="L110" i="25"/>
  <c r="G140" i="25"/>
  <c r="O140" i="25"/>
  <c r="H350" i="25"/>
  <c r="P350" i="25"/>
  <c r="H391" i="25"/>
  <c r="P391" i="25"/>
  <c r="I78" i="25"/>
  <c r="I81" i="25" s="1"/>
  <c r="I82" i="25" s="1"/>
  <c r="I83" i="25" s="1"/>
  <c r="E110" i="25"/>
  <c r="M110" i="25"/>
  <c r="I147" i="25"/>
  <c r="K196" i="25"/>
  <c r="K197" i="25"/>
  <c r="K191" i="25"/>
  <c r="K194" i="25" s="1"/>
  <c r="I350" i="25"/>
  <c r="I391" i="25"/>
  <c r="N146" i="25"/>
  <c r="N147" i="25" s="1"/>
  <c r="J350" i="25"/>
  <c r="J391" i="25"/>
  <c r="K78" i="25"/>
  <c r="K81" i="25" s="1"/>
  <c r="K82" i="25" s="1"/>
  <c r="K83" i="25" s="1"/>
  <c r="E82" i="25"/>
  <c r="E83" i="25" s="1"/>
  <c r="P85" i="25"/>
  <c r="G110" i="25"/>
  <c r="O110" i="25"/>
  <c r="J140" i="25"/>
  <c r="K350" i="25"/>
  <c r="K391" i="25"/>
  <c r="H110" i="25"/>
  <c r="P110" i="25"/>
  <c r="I142" i="25"/>
  <c r="D147" i="25"/>
  <c r="L147" i="25"/>
  <c r="D350" i="25"/>
  <c r="L350" i="25"/>
  <c r="D391" i="25"/>
  <c r="L391" i="25"/>
  <c r="O82" i="25"/>
  <c r="O83" i="25" s="1"/>
  <c r="J85" i="25"/>
  <c r="I110" i="25"/>
  <c r="D140" i="25"/>
  <c r="L140" i="25"/>
  <c r="P140" i="25"/>
  <c r="E149" i="25"/>
  <c r="E150" i="25" s="1"/>
  <c r="M149" i="25"/>
  <c r="M150" i="25" s="1"/>
  <c r="H146" i="25"/>
  <c r="H147" i="25" s="1"/>
  <c r="P146" i="25"/>
  <c r="P147" i="25" s="1"/>
  <c r="E189" i="25"/>
  <c r="M189" i="25"/>
  <c r="N191" i="25"/>
  <c r="N194" i="25" s="1"/>
  <c r="G218" i="25"/>
  <c r="O218" i="25"/>
  <c r="O114" i="25" s="1"/>
  <c r="O121" i="25" s="1"/>
  <c r="K147" i="25"/>
  <c r="O191" i="25"/>
  <c r="O194" i="25" s="1"/>
  <c r="I218" i="25"/>
  <c r="I114" i="25" s="1"/>
  <c r="I121" i="25" s="1"/>
  <c r="H227" i="25"/>
  <c r="P191" i="25"/>
  <c r="P194" i="25" s="1"/>
  <c r="I196" i="25"/>
  <c r="I197" i="25" s="1"/>
  <c r="I191" i="25"/>
  <c r="I194" i="25" s="1"/>
  <c r="J196" i="25"/>
  <c r="J197" i="25" s="1"/>
  <c r="J191" i="25"/>
  <c r="J194" i="25" s="1"/>
  <c r="F264" i="25"/>
  <c r="F265" i="25" s="1"/>
  <c r="D212" i="25"/>
  <c r="L212" i="25"/>
  <c r="J235" i="25"/>
  <c r="D196" i="25"/>
  <c r="L191" i="25"/>
  <c r="L194" i="25" s="1"/>
  <c r="F197" i="25"/>
  <c r="F191" i="25"/>
  <c r="F194" i="25" s="1"/>
  <c r="H264" i="25"/>
  <c r="H324" i="25" s="1"/>
  <c r="H265" i="25"/>
  <c r="E264" i="25"/>
  <c r="E324" i="25" s="1"/>
  <c r="I235" i="25"/>
  <c r="F246" i="25"/>
  <c r="G264" i="25"/>
  <c r="G265" i="25" s="1"/>
  <c r="G292" i="25"/>
  <c r="G293" i="25"/>
  <c r="K274" i="25"/>
  <c r="K275" i="25" s="1"/>
  <c r="H246" i="25"/>
  <c r="D274" i="25"/>
  <c r="D275" i="25" s="1"/>
  <c r="K246" i="25"/>
  <c r="J286" i="25"/>
  <c r="J287" i="25" s="1"/>
  <c r="K264" i="25"/>
  <c r="K265" i="25" s="1"/>
  <c r="F274" i="25"/>
  <c r="F275" i="25" s="1"/>
  <c r="D264" i="25"/>
  <c r="D265" i="25" s="1"/>
  <c r="H234" i="25"/>
  <c r="H235" i="25"/>
  <c r="P234" i="25"/>
  <c r="P235" i="25"/>
  <c r="D241" i="25"/>
  <c r="D290" i="25"/>
  <c r="L241" i="25"/>
  <c r="L290" i="25"/>
  <c r="F258" i="25"/>
  <c r="F259" i="25" s="1"/>
  <c r="E235" i="25"/>
  <c r="M235" i="25"/>
  <c r="E292" i="25"/>
  <c r="E293" i="25" s="1"/>
  <c r="F241" i="25"/>
  <c r="N241" i="25"/>
  <c r="G246" i="25"/>
  <c r="G258" i="25"/>
  <c r="G259" i="25" s="1"/>
  <c r="E275" i="25"/>
  <c r="F235" i="25"/>
  <c r="N235" i="25"/>
  <c r="G241" i="25"/>
  <c r="O241" i="25"/>
  <c r="H258" i="25"/>
  <c r="H259" i="25" s="1"/>
  <c r="G274" i="25"/>
  <c r="G275" i="25" s="1"/>
  <c r="D314" i="25"/>
  <c r="D315" i="25" s="1"/>
  <c r="N336" i="25"/>
  <c r="N337" i="25" s="1"/>
  <c r="N36" i="25" s="1"/>
  <c r="G235" i="25"/>
  <c r="O235" i="25"/>
  <c r="I258" i="25"/>
  <c r="I259" i="25" s="1"/>
  <c r="E287" i="25"/>
  <c r="M286" i="25"/>
  <c r="M287" i="25" s="1"/>
  <c r="I290" i="25"/>
  <c r="G336" i="25"/>
  <c r="G337" i="25" s="1"/>
  <c r="O336" i="25"/>
  <c r="O337" i="25" s="1"/>
  <c r="O36" i="25" s="1"/>
  <c r="J246" i="25"/>
  <c r="R253" i="25"/>
  <c r="J258" i="25"/>
  <c r="J259" i="25" s="1"/>
  <c r="J241" i="25"/>
  <c r="K258" i="25"/>
  <c r="K259" i="25" s="1"/>
  <c r="I274" i="25"/>
  <c r="I275" i="25" s="1"/>
  <c r="G287" i="25"/>
  <c r="F292" i="25"/>
  <c r="F293" i="25" s="1"/>
  <c r="J292" i="25"/>
  <c r="J293" i="25" s="1"/>
  <c r="K241" i="25"/>
  <c r="D324" i="25"/>
  <c r="D258" i="25"/>
  <c r="D259" i="25" s="1"/>
  <c r="E259" i="25"/>
  <c r="J274" i="25"/>
  <c r="J275" i="25" s="1"/>
  <c r="H292" i="25"/>
  <c r="H293" i="25" s="1"/>
  <c r="K293" i="25"/>
  <c r="K292" i="25"/>
  <c r="I286" i="25"/>
  <c r="I287" i="25" s="1"/>
  <c r="I314" i="25"/>
  <c r="I315" i="25" s="1"/>
  <c r="L287" i="25"/>
  <c r="I333" i="25"/>
  <c r="G315" i="25"/>
  <c r="E333" i="25"/>
  <c r="M333" i="25"/>
  <c r="F332" i="25"/>
  <c r="F333" i="25" s="1"/>
  <c r="F420" i="25"/>
  <c r="N420" i="25"/>
  <c r="H333" i="25"/>
  <c r="P333" i="25"/>
  <c r="D382" i="25"/>
  <c r="E382" i="25" s="1"/>
  <c r="F382" i="25" s="1"/>
  <c r="G382" i="25" s="1"/>
  <c r="H382" i="25" s="1"/>
  <c r="I382" i="25" s="1"/>
  <c r="J382" i="25" s="1"/>
  <c r="K382" i="25" s="1"/>
  <c r="L382" i="25" s="1"/>
  <c r="M382" i="25" s="1"/>
  <c r="N382" i="25" s="1"/>
  <c r="O382" i="25" s="1"/>
  <c r="P382" i="25" s="1"/>
  <c r="Q382" i="25" s="1"/>
  <c r="R382" i="25" s="1"/>
  <c r="S382" i="25" s="1"/>
  <c r="T382" i="25" s="1"/>
  <c r="U382" i="25" s="1"/>
  <c r="V382" i="25" s="1"/>
  <c r="W382" i="25" s="1"/>
  <c r="X382" i="25" s="1"/>
  <c r="Y382" i="25" s="1"/>
  <c r="Z382" i="25" s="1"/>
  <c r="G469" i="25"/>
  <c r="G470" i="25" s="1"/>
  <c r="V538" i="25"/>
  <c r="V509" i="25"/>
  <c r="K333" i="25"/>
  <c r="R427" i="25"/>
  <c r="D333" i="25"/>
  <c r="L333" i="25"/>
  <c r="J442" i="25"/>
  <c r="J469" i="25"/>
  <c r="J470" i="25" s="1"/>
  <c r="O469" i="25"/>
  <c r="O470" i="25" s="1"/>
  <c r="K442" i="25"/>
  <c r="R423" i="25"/>
  <c r="I442" i="25"/>
  <c r="I469" i="25"/>
  <c r="I470" i="25" s="1"/>
  <c r="U538" i="25"/>
  <c r="U509" i="25"/>
  <c r="H432" i="25"/>
  <c r="P470" i="25"/>
  <c r="K469" i="25"/>
  <c r="K470" i="25" s="1"/>
  <c r="W509" i="25"/>
  <c r="W538" i="25"/>
  <c r="L432" i="25"/>
  <c r="Q459" i="25"/>
  <c r="R459" i="25" s="1"/>
  <c r="S459" i="25" s="1"/>
  <c r="T459" i="25" s="1"/>
  <c r="U459" i="25" s="1"/>
  <c r="V459" i="25" s="1"/>
  <c r="W459" i="25" s="1"/>
  <c r="X459" i="25" s="1"/>
  <c r="Y459" i="25" s="1"/>
  <c r="Z459" i="25" s="1"/>
  <c r="D482" i="25"/>
  <c r="D442" i="25"/>
  <c r="L442" i="25"/>
  <c r="D469" i="25"/>
  <c r="D470" i="25" s="1"/>
  <c r="L469" i="25"/>
  <c r="L470" i="25" s="1"/>
  <c r="X538" i="25"/>
  <c r="X509" i="25"/>
  <c r="E442" i="25"/>
  <c r="M442" i="25"/>
  <c r="E469" i="25"/>
  <c r="E470" i="25" s="1"/>
  <c r="M469" i="25"/>
  <c r="M470" i="25" s="1"/>
  <c r="Q538" i="25"/>
  <c r="Q509" i="25"/>
  <c r="Y538" i="25"/>
  <c r="Y509" i="25"/>
  <c r="E465" i="25"/>
  <c r="E57" i="25" s="1"/>
  <c r="M465" i="25"/>
  <c r="M57" i="25" s="1"/>
  <c r="F442" i="25"/>
  <c r="N442" i="25"/>
  <c r="F469" i="25"/>
  <c r="F470" i="25" s="1"/>
  <c r="N470" i="25"/>
  <c r="N469" i="25"/>
  <c r="R538" i="25"/>
  <c r="R509" i="25"/>
  <c r="Z538" i="25"/>
  <c r="Z509" i="25"/>
  <c r="R417" i="25"/>
  <c r="I432" i="25"/>
  <c r="J487" i="25" s="1"/>
  <c r="J488" i="25" s="1"/>
  <c r="P432" i="25"/>
  <c r="O432" i="25"/>
  <c r="N432" i="25"/>
  <c r="M432" i="25"/>
  <c r="K432" i="25"/>
  <c r="G442" i="25"/>
  <c r="O442" i="25"/>
  <c r="S538" i="25"/>
  <c r="S509" i="25"/>
  <c r="F487" i="25"/>
  <c r="F488" i="25" s="1"/>
  <c r="D460" i="25"/>
  <c r="L460" i="25"/>
  <c r="H496" i="25"/>
  <c r="P496" i="25"/>
  <c r="H442" i="25"/>
  <c r="P442" i="25"/>
  <c r="T509" i="25"/>
  <c r="T538" i="25"/>
  <c r="G432" i="25"/>
  <c r="Q519" i="25"/>
  <c r="R463" i="25"/>
  <c r="H470" i="25"/>
  <c r="K459" i="25"/>
  <c r="K460" i="25" s="1"/>
  <c r="D464" i="25"/>
  <c r="D465" i="25" s="1"/>
  <c r="L464" i="25"/>
  <c r="L465" i="25" s="1"/>
  <c r="G496" i="25"/>
  <c r="O496" i="25"/>
  <c r="F460" i="25"/>
  <c r="F57" i="25" s="1"/>
  <c r="N460" i="25"/>
  <c r="N57" i="25" s="1"/>
  <c r="G465" i="25"/>
  <c r="O465" i="25"/>
  <c r="I496" i="25"/>
  <c r="F530" i="25"/>
  <c r="G460" i="25"/>
  <c r="O460" i="25"/>
  <c r="H465" i="25"/>
  <c r="H460" i="25"/>
  <c r="P460" i="25"/>
  <c r="P464" i="25"/>
  <c r="P465" i="25" s="1"/>
  <c r="I465" i="25"/>
  <c r="E488" i="25"/>
  <c r="K496" i="25"/>
  <c r="I460" i="25"/>
  <c r="I57" i="25" s="1"/>
  <c r="J465" i="25"/>
  <c r="D496" i="25"/>
  <c r="L496" i="25"/>
  <c r="J460" i="25"/>
  <c r="K465" i="25"/>
  <c r="E496" i="25"/>
  <c r="M496" i="25"/>
  <c r="F496" i="25"/>
  <c r="N496" i="25"/>
  <c r="E540" i="25"/>
  <c r="Q464" i="24"/>
  <c r="R464" i="24" s="1"/>
  <c r="S464" i="24" s="1"/>
  <c r="T464" i="24" s="1"/>
  <c r="U464" i="24" s="1"/>
  <c r="V464" i="24" s="1"/>
  <c r="W464" i="24" s="1"/>
  <c r="X464" i="24" s="1"/>
  <c r="Y464" i="24" s="1"/>
  <c r="Z464" i="24" s="1"/>
  <c r="X433" i="24"/>
  <c r="W433" i="24"/>
  <c r="Q468" i="24"/>
  <c r="R468" i="24" s="1"/>
  <c r="V433" i="24"/>
  <c r="U433" i="24"/>
  <c r="T433" i="24"/>
  <c r="Q436" i="24"/>
  <c r="R436" i="24" s="1"/>
  <c r="S433" i="24"/>
  <c r="Q457" i="24"/>
  <c r="R457" i="24" s="1"/>
  <c r="Y433" i="24"/>
  <c r="Q433" i="24"/>
  <c r="Q386" i="24"/>
  <c r="R386" i="24" s="1"/>
  <c r="S386" i="24" s="1"/>
  <c r="T386" i="24" s="1"/>
  <c r="U386" i="24" s="1"/>
  <c r="V386" i="24" s="1"/>
  <c r="W386" i="24" s="1"/>
  <c r="X386" i="24" s="1"/>
  <c r="Y386" i="24" s="1"/>
  <c r="Z386" i="24" s="1"/>
  <c r="Z433" i="24"/>
  <c r="R433" i="24"/>
  <c r="Q320" i="24"/>
  <c r="R320" i="24" s="1"/>
  <c r="S320" i="24" s="1"/>
  <c r="T320" i="24" s="1"/>
  <c r="U320" i="24" s="1"/>
  <c r="V320" i="24" s="1"/>
  <c r="W320" i="24" s="1"/>
  <c r="X320" i="24" s="1"/>
  <c r="Y320" i="24" s="1"/>
  <c r="Z320" i="24" s="1"/>
  <c r="Q319" i="24"/>
  <c r="R319" i="24" s="1"/>
  <c r="S319" i="24" s="1"/>
  <c r="T319" i="24" s="1"/>
  <c r="U319" i="24" s="1"/>
  <c r="V319" i="24" s="1"/>
  <c r="W319" i="24" s="1"/>
  <c r="X319" i="24" s="1"/>
  <c r="Y319" i="24" s="1"/>
  <c r="Z319" i="24" s="1"/>
  <c r="Q238" i="24"/>
  <c r="R238" i="24" s="1"/>
  <c r="Q249" i="24"/>
  <c r="R249" i="24" s="1"/>
  <c r="S249" i="24" s="1"/>
  <c r="T249" i="24" s="1"/>
  <c r="U249" i="24" s="1"/>
  <c r="V249" i="24" s="1"/>
  <c r="W249" i="24" s="1"/>
  <c r="X249" i="24" s="1"/>
  <c r="Y249" i="24" s="1"/>
  <c r="Z249" i="24" s="1"/>
  <c r="Q248" i="24"/>
  <c r="R248" i="24" s="1"/>
  <c r="S248" i="24" s="1"/>
  <c r="T248" i="24" s="1"/>
  <c r="U248" i="24" s="1"/>
  <c r="V248" i="24" s="1"/>
  <c r="W248" i="24" s="1"/>
  <c r="X248" i="24" s="1"/>
  <c r="Y248" i="24" s="1"/>
  <c r="Z248" i="24" s="1"/>
  <c r="Q247" i="24"/>
  <c r="P249" i="24"/>
  <c r="P246" i="24"/>
  <c r="O249" i="24"/>
  <c r="O246" i="24"/>
  <c r="Q220" i="24"/>
  <c r="Q219" i="24"/>
  <c r="M249" i="24"/>
  <c r="M246" i="24"/>
  <c r="X168" i="24"/>
  <c r="P168" i="24"/>
  <c r="H168" i="24"/>
  <c r="T158" i="24"/>
  <c r="L158" i="24"/>
  <c r="D158" i="24"/>
  <c r="N246" i="24"/>
  <c r="W168" i="24"/>
  <c r="O168" i="24"/>
  <c r="G168" i="24"/>
  <c r="S158" i="24"/>
  <c r="K158" i="24"/>
  <c r="L246" i="24"/>
  <c r="V168" i="24"/>
  <c r="N168" i="24"/>
  <c r="F168" i="24"/>
  <c r="Z158" i="24"/>
  <c r="R158" i="24"/>
  <c r="J158" i="24"/>
  <c r="U168" i="24"/>
  <c r="M168" i="24"/>
  <c r="E168" i="24"/>
  <c r="Y158" i="24"/>
  <c r="Q158" i="24"/>
  <c r="I158" i="24"/>
  <c r="L249" i="24"/>
  <c r="Y168" i="24"/>
  <c r="Q168" i="24"/>
  <c r="I168" i="24"/>
  <c r="U158" i="24"/>
  <c r="M158" i="24"/>
  <c r="E158" i="24"/>
  <c r="Z168" i="24"/>
  <c r="N158" i="24"/>
  <c r="Q117" i="24"/>
  <c r="R117" i="24" s="1"/>
  <c r="S117" i="24" s="1"/>
  <c r="T117" i="24" s="1"/>
  <c r="U117" i="24" s="1"/>
  <c r="V117" i="24" s="1"/>
  <c r="W117" i="24" s="1"/>
  <c r="X117" i="24" s="1"/>
  <c r="Y117" i="24" s="1"/>
  <c r="Z117" i="24" s="1"/>
  <c r="T168" i="24"/>
  <c r="H158" i="24"/>
  <c r="S168" i="24"/>
  <c r="G158" i="24"/>
  <c r="R168" i="24"/>
  <c r="X158" i="24"/>
  <c r="F158" i="24"/>
  <c r="L168" i="24"/>
  <c r="W158" i="24"/>
  <c r="K168" i="24"/>
  <c r="V158" i="24"/>
  <c r="P158" i="24"/>
  <c r="O158" i="24"/>
  <c r="N249" i="24"/>
  <c r="J168" i="24"/>
  <c r="D168" i="24"/>
  <c r="M141" i="24"/>
  <c r="M142" i="24" s="1"/>
  <c r="F12" i="24"/>
  <c r="R21" i="24"/>
  <c r="Q22" i="24"/>
  <c r="M29" i="24"/>
  <c r="I20" i="24"/>
  <c r="I17" i="24"/>
  <c r="Q24" i="24"/>
  <c r="R24" i="24" s="1"/>
  <c r="S24" i="24" s="1"/>
  <c r="T24" i="24" s="1"/>
  <c r="U24" i="24" s="1"/>
  <c r="V24" i="24" s="1"/>
  <c r="W24" i="24" s="1"/>
  <c r="X24" i="24" s="1"/>
  <c r="Y24" i="24" s="1"/>
  <c r="Z24" i="24" s="1"/>
  <c r="M149" i="24"/>
  <c r="M150" i="24" s="1"/>
  <c r="N12" i="24"/>
  <c r="K20" i="24"/>
  <c r="K19" i="24"/>
  <c r="Q23" i="24"/>
  <c r="Q30" i="24"/>
  <c r="R30" i="24" s="1"/>
  <c r="S30" i="24" s="1"/>
  <c r="T30" i="24" s="1"/>
  <c r="U30" i="24" s="1"/>
  <c r="V30" i="24" s="1"/>
  <c r="W30" i="24" s="1"/>
  <c r="X30" i="24" s="1"/>
  <c r="Y30" i="24" s="1"/>
  <c r="Z30" i="24" s="1"/>
  <c r="Z235" i="24" s="1"/>
  <c r="Q25" i="24"/>
  <c r="E141" i="24"/>
  <c r="E142" i="24" s="1"/>
  <c r="G22" i="24"/>
  <c r="J350" i="24"/>
  <c r="I93" i="24"/>
  <c r="Q19" i="24"/>
  <c r="R18" i="24"/>
  <c r="L19" i="24"/>
  <c r="O22" i="24"/>
  <c r="Q29" i="24"/>
  <c r="Q72" i="24" s="1"/>
  <c r="D141" i="24"/>
  <c r="D142" i="24" s="1"/>
  <c r="I189" i="24"/>
  <c r="K350" i="24"/>
  <c r="F494" i="24"/>
  <c r="F496" i="24" s="1"/>
  <c r="F110" i="24"/>
  <c r="L20" i="24"/>
  <c r="I82" i="24"/>
  <c r="I83" i="24" s="1"/>
  <c r="F128" i="24"/>
  <c r="I149" i="24"/>
  <c r="I150" i="24" s="1"/>
  <c r="G20" i="24"/>
  <c r="O20" i="24"/>
  <c r="K391" i="24"/>
  <c r="D149" i="24"/>
  <c r="D150" i="24" s="1"/>
  <c r="K196" i="24"/>
  <c r="K197" i="24" s="1"/>
  <c r="J391" i="24"/>
  <c r="J78" i="24"/>
  <c r="J81" i="24" s="1"/>
  <c r="J82" i="24" s="1"/>
  <c r="J83" i="24" s="1"/>
  <c r="J85" i="24"/>
  <c r="J141" i="24"/>
  <c r="J142" i="24" s="1"/>
  <c r="L149" i="24"/>
  <c r="L150" i="24" s="1"/>
  <c r="D196" i="24"/>
  <c r="D197" i="24" s="1"/>
  <c r="D191" i="24"/>
  <c r="D194" i="24" s="1"/>
  <c r="L191" i="24"/>
  <c r="L194" i="24" s="1"/>
  <c r="J12" i="24"/>
  <c r="P19" i="24"/>
  <c r="L235" i="24"/>
  <c r="K85" i="24"/>
  <c r="K78" i="24"/>
  <c r="K81" i="24" s="1"/>
  <c r="K82" i="24" s="1"/>
  <c r="K83" i="24" s="1"/>
  <c r="H93" i="24"/>
  <c r="P93" i="24"/>
  <c r="E14" i="24"/>
  <c r="M14" i="24"/>
  <c r="G17" i="24"/>
  <c r="O17" i="24"/>
  <c r="I19" i="24"/>
  <c r="L22" i="24"/>
  <c r="J29" i="24"/>
  <c r="K141" i="24"/>
  <c r="K142" i="24" s="1"/>
  <c r="N494" i="24"/>
  <c r="N110" i="24"/>
  <c r="N141" i="24"/>
  <c r="N142" i="24"/>
  <c r="Q38" i="24"/>
  <c r="I141" i="24"/>
  <c r="I142" i="24" s="1"/>
  <c r="D350" i="24"/>
  <c r="D366" i="24" s="1"/>
  <c r="L350" i="24"/>
  <c r="D391" i="24"/>
  <c r="L391" i="24"/>
  <c r="E78" i="24"/>
  <c r="E81" i="24" s="1"/>
  <c r="E82" i="24" s="1"/>
  <c r="E83" i="24" s="1"/>
  <c r="M78" i="24"/>
  <c r="M81" i="24" s="1"/>
  <c r="M82" i="24" s="1"/>
  <c r="M83" i="24" s="1"/>
  <c r="I110" i="24"/>
  <c r="G150" i="24"/>
  <c r="M191" i="24"/>
  <c r="M194" i="24" s="1"/>
  <c r="H227" i="24"/>
  <c r="E350" i="24"/>
  <c r="M350" i="24"/>
  <c r="E391" i="24"/>
  <c r="M391" i="24"/>
  <c r="F78" i="24"/>
  <c r="F81" i="24" s="1"/>
  <c r="F82" i="24" s="1"/>
  <c r="F83" i="24" s="1"/>
  <c r="N78" i="24"/>
  <c r="N81" i="24" s="1"/>
  <c r="N82" i="24" s="1"/>
  <c r="N83" i="24" s="1"/>
  <c r="J110" i="24"/>
  <c r="H264" i="24"/>
  <c r="H265" i="24" s="1"/>
  <c r="J235" i="24"/>
  <c r="F350" i="24"/>
  <c r="N350" i="24"/>
  <c r="N357" i="24" s="1"/>
  <c r="F391" i="24"/>
  <c r="N391" i="24"/>
  <c r="G78" i="24"/>
  <c r="G81" i="24" s="1"/>
  <c r="G82" i="24" s="1"/>
  <c r="G83" i="24" s="1"/>
  <c r="O78" i="24"/>
  <c r="O81" i="24" s="1"/>
  <c r="O82" i="24" s="1"/>
  <c r="O83" i="24" s="1"/>
  <c r="K110" i="24"/>
  <c r="I128" i="24"/>
  <c r="G196" i="24"/>
  <c r="G191" i="24"/>
  <c r="G194" i="24" s="1"/>
  <c r="O191" i="24"/>
  <c r="O194" i="24" s="1"/>
  <c r="I264" i="24"/>
  <c r="I265" i="24" s="1"/>
  <c r="E234" i="24"/>
  <c r="E235" i="24"/>
  <c r="M234" i="24"/>
  <c r="M235" i="24"/>
  <c r="J246" i="24"/>
  <c r="J265" i="24"/>
  <c r="G350" i="24"/>
  <c r="O350" i="24"/>
  <c r="G391" i="24"/>
  <c r="O391" i="24"/>
  <c r="D110" i="24"/>
  <c r="L110" i="24"/>
  <c r="E146" i="24"/>
  <c r="E147" i="24" s="1"/>
  <c r="O150" i="24"/>
  <c r="H189" i="24"/>
  <c r="P189" i="24"/>
  <c r="F235" i="24"/>
  <c r="N235" i="24"/>
  <c r="H350" i="24"/>
  <c r="P350" i="24"/>
  <c r="H391" i="24"/>
  <c r="P391" i="24"/>
  <c r="E110" i="24"/>
  <c r="M110" i="24"/>
  <c r="G140" i="24"/>
  <c r="O140" i="24"/>
  <c r="K146" i="24"/>
  <c r="K147" i="24" s="1"/>
  <c r="D290" i="24"/>
  <c r="D241" i="24"/>
  <c r="L290" i="24"/>
  <c r="L241" i="24"/>
  <c r="I350" i="24"/>
  <c r="I391" i="24"/>
  <c r="D82" i="24"/>
  <c r="D83" i="24" s="1"/>
  <c r="L82" i="24"/>
  <c r="L83" i="24" s="1"/>
  <c r="G85" i="24"/>
  <c r="O85" i="24"/>
  <c r="D128" i="24"/>
  <c r="L128" i="24"/>
  <c r="H140" i="24"/>
  <c r="P140" i="24"/>
  <c r="S252" i="24"/>
  <c r="T252" i="24" s="1"/>
  <c r="U252" i="24" s="1"/>
  <c r="V252" i="24" s="1"/>
  <c r="W252" i="24" s="1"/>
  <c r="X252" i="24" s="1"/>
  <c r="Y252" i="24" s="1"/>
  <c r="Z252" i="24" s="1"/>
  <c r="J324" i="24"/>
  <c r="J258" i="24"/>
  <c r="J259" i="24" s="1"/>
  <c r="D274" i="24"/>
  <c r="D275" i="24" s="1"/>
  <c r="J146" i="24"/>
  <c r="J147" i="24" s="1"/>
  <c r="E218" i="24"/>
  <c r="E114" i="24" s="1"/>
  <c r="E121" i="24" s="1"/>
  <c r="M218" i="24"/>
  <c r="M114" i="24" s="1"/>
  <c r="M121" i="24" s="1"/>
  <c r="K264" i="24"/>
  <c r="K324" i="24" s="1"/>
  <c r="G234" i="24"/>
  <c r="G235" i="24"/>
  <c r="O234" i="24"/>
  <c r="O235" i="24"/>
  <c r="D264" i="24"/>
  <c r="I218" i="24"/>
  <c r="I114" i="24" s="1"/>
  <c r="I121" i="24" s="1"/>
  <c r="K246" i="24"/>
  <c r="I246" i="24"/>
  <c r="H246" i="24"/>
  <c r="G246" i="24"/>
  <c r="E246" i="24"/>
  <c r="D258" i="24"/>
  <c r="D259" i="24" s="1"/>
  <c r="H147" i="24"/>
  <c r="E264" i="24"/>
  <c r="E265" i="24"/>
  <c r="N191" i="24"/>
  <c r="N194" i="24" s="1"/>
  <c r="J218" i="24"/>
  <c r="J114" i="24" s="1"/>
  <c r="J121" i="24" s="1"/>
  <c r="D227" i="24"/>
  <c r="I235" i="24"/>
  <c r="I234" i="24"/>
  <c r="H290" i="24"/>
  <c r="H241" i="24"/>
  <c r="P290" i="24"/>
  <c r="P241" i="24"/>
  <c r="F258" i="24"/>
  <c r="F259" i="24" s="1"/>
  <c r="P146" i="24"/>
  <c r="P147" i="24" s="1"/>
  <c r="F264" i="24"/>
  <c r="I292" i="24"/>
  <c r="I293" i="24" s="1"/>
  <c r="S253" i="24"/>
  <c r="H274" i="24"/>
  <c r="G264" i="24"/>
  <c r="G324" i="24" s="1"/>
  <c r="G265" i="24"/>
  <c r="F227" i="24"/>
  <c r="J290" i="24"/>
  <c r="J241" i="24"/>
  <c r="K235" i="24"/>
  <c r="K292" i="24"/>
  <c r="K293" i="24" s="1"/>
  <c r="E324" i="24"/>
  <c r="E258" i="24"/>
  <c r="E259" i="24" s="1"/>
  <c r="K274" i="24"/>
  <c r="K275" i="24" s="1"/>
  <c r="E292" i="24"/>
  <c r="E293" i="24" s="1"/>
  <c r="F241" i="24"/>
  <c r="N241" i="24"/>
  <c r="G258" i="24"/>
  <c r="G259" i="24" s="1"/>
  <c r="E274" i="24"/>
  <c r="E275" i="24" s="1"/>
  <c r="F292" i="24"/>
  <c r="F293" i="24"/>
  <c r="G241" i="24"/>
  <c r="O241" i="24"/>
  <c r="H258" i="24"/>
  <c r="H259" i="24" s="1"/>
  <c r="F274" i="24"/>
  <c r="F275" i="24" s="1"/>
  <c r="I314" i="24"/>
  <c r="I315" i="24" s="1"/>
  <c r="E336" i="24"/>
  <c r="E337" i="24" s="1"/>
  <c r="G292" i="24"/>
  <c r="G293" i="24" s="1"/>
  <c r="I324" i="24"/>
  <c r="I258" i="24"/>
  <c r="I259" i="24" s="1"/>
  <c r="G274" i="24"/>
  <c r="G275" i="24" s="1"/>
  <c r="G336" i="24"/>
  <c r="G337" i="24" s="1"/>
  <c r="G36" i="24" s="1"/>
  <c r="O336" i="24"/>
  <c r="O337" i="24" s="1"/>
  <c r="K258" i="24"/>
  <c r="K259" i="24" s="1"/>
  <c r="I274" i="24"/>
  <c r="I275" i="24" s="1"/>
  <c r="G287" i="24"/>
  <c r="O287" i="24"/>
  <c r="H332" i="24"/>
  <c r="H333" i="24" s="1"/>
  <c r="P332" i="24"/>
  <c r="J274" i="24"/>
  <c r="J275" i="24" s="1"/>
  <c r="I336" i="24"/>
  <c r="I337" i="24" s="1"/>
  <c r="F286" i="24"/>
  <c r="F287" i="24" s="1"/>
  <c r="N286" i="24"/>
  <c r="N287" i="24" s="1"/>
  <c r="I287" i="24"/>
  <c r="J287" i="24"/>
  <c r="K287" i="24"/>
  <c r="K315" i="24"/>
  <c r="L287" i="24"/>
  <c r="L333" i="24"/>
  <c r="D332" i="24"/>
  <c r="D333" i="24" s="1"/>
  <c r="E287" i="24"/>
  <c r="M287" i="24"/>
  <c r="E315" i="24"/>
  <c r="E469" i="24"/>
  <c r="E470" i="24" s="1"/>
  <c r="F333" i="24"/>
  <c r="N333" i="24"/>
  <c r="J382" i="24"/>
  <c r="K382" i="24" s="1"/>
  <c r="L382" i="24" s="1"/>
  <c r="M382" i="24" s="1"/>
  <c r="N382" i="24" s="1"/>
  <c r="O382" i="24" s="1"/>
  <c r="P382" i="24" s="1"/>
  <c r="Q382" i="24" s="1"/>
  <c r="R538" i="24"/>
  <c r="R509" i="24"/>
  <c r="Z538" i="24"/>
  <c r="Z509" i="24"/>
  <c r="J420" i="24"/>
  <c r="S417" i="24"/>
  <c r="J333" i="24"/>
  <c r="F469" i="24"/>
  <c r="F470" i="24" s="1"/>
  <c r="N469" i="24"/>
  <c r="N470" i="24" s="1"/>
  <c r="K333" i="24"/>
  <c r="F442" i="24"/>
  <c r="N442" i="24"/>
  <c r="R423" i="24"/>
  <c r="M469" i="24"/>
  <c r="M470" i="24" s="1"/>
  <c r="K429" i="24"/>
  <c r="I442" i="24"/>
  <c r="E442" i="24"/>
  <c r="M442" i="24"/>
  <c r="Q538" i="24"/>
  <c r="Q509" i="24"/>
  <c r="Y538" i="24"/>
  <c r="Y509" i="24"/>
  <c r="Q519" i="24"/>
  <c r="R463" i="24"/>
  <c r="G442" i="24"/>
  <c r="O442" i="24"/>
  <c r="G469" i="24"/>
  <c r="G470" i="24" s="1"/>
  <c r="O469" i="24"/>
  <c r="O470" i="24" s="1"/>
  <c r="S538" i="24"/>
  <c r="S509" i="24"/>
  <c r="O432" i="24"/>
  <c r="M432" i="24"/>
  <c r="K432" i="24"/>
  <c r="P460" i="24"/>
  <c r="Q459" i="24"/>
  <c r="R459" i="24" s="1"/>
  <c r="S459" i="24" s="1"/>
  <c r="T459" i="24" s="1"/>
  <c r="U459" i="24" s="1"/>
  <c r="V459" i="24" s="1"/>
  <c r="W459" i="24" s="1"/>
  <c r="X459" i="24" s="1"/>
  <c r="Y459" i="24" s="1"/>
  <c r="Z459" i="24" s="1"/>
  <c r="H442" i="24"/>
  <c r="P442" i="24"/>
  <c r="H469" i="24"/>
  <c r="H470" i="24"/>
  <c r="P469" i="24"/>
  <c r="T509" i="24"/>
  <c r="T538" i="24"/>
  <c r="K464" i="24"/>
  <c r="K465" i="24" s="1"/>
  <c r="I469" i="24"/>
  <c r="I470" i="24" s="1"/>
  <c r="U509" i="24"/>
  <c r="U538" i="24"/>
  <c r="N496" i="24"/>
  <c r="J442" i="24"/>
  <c r="J469" i="24"/>
  <c r="J470" i="24" s="1"/>
  <c r="V538" i="24"/>
  <c r="V509" i="24"/>
  <c r="K442" i="24"/>
  <c r="K469" i="24"/>
  <c r="K470" i="24" s="1"/>
  <c r="W538" i="24"/>
  <c r="W509" i="24"/>
  <c r="J459" i="24"/>
  <c r="J460" i="24" s="1"/>
  <c r="D442" i="24"/>
  <c r="L442" i="24"/>
  <c r="D469" i="24"/>
  <c r="D470" i="24" s="1"/>
  <c r="L469" i="24"/>
  <c r="L470" i="24" s="1"/>
  <c r="X538" i="24"/>
  <c r="X509" i="24"/>
  <c r="Q427" i="24"/>
  <c r="P432" i="24"/>
  <c r="I459" i="24"/>
  <c r="I460" i="24" s="1"/>
  <c r="I57" i="24" s="1"/>
  <c r="J464" i="24"/>
  <c r="J465" i="24" s="1"/>
  <c r="J488" i="24"/>
  <c r="D460" i="24"/>
  <c r="D57" i="24" s="1"/>
  <c r="L460" i="24"/>
  <c r="L57" i="24" s="1"/>
  <c r="E465" i="24"/>
  <c r="M465" i="24"/>
  <c r="O496" i="24"/>
  <c r="L432" i="24"/>
  <c r="E460" i="24"/>
  <c r="M460" i="24"/>
  <c r="F465" i="24"/>
  <c r="N465" i="24"/>
  <c r="F460" i="24"/>
  <c r="N460" i="24"/>
  <c r="G465" i="24"/>
  <c r="O465" i="24"/>
  <c r="I496" i="24"/>
  <c r="N432" i="24"/>
  <c r="G460" i="24"/>
  <c r="O460" i="24"/>
  <c r="H465" i="24"/>
  <c r="H57" i="24" s="1"/>
  <c r="J496" i="24"/>
  <c r="E540" i="24"/>
  <c r="P464" i="24"/>
  <c r="P465" i="24" s="1"/>
  <c r="K496" i="24"/>
  <c r="D530" i="24"/>
  <c r="H487" i="24"/>
  <c r="H488" i="24" s="1"/>
  <c r="D482" i="24"/>
  <c r="D496" i="24"/>
  <c r="L496" i="24"/>
  <c r="Q24" i="23"/>
  <c r="R24" i="23" s="1"/>
  <c r="S24" i="23" s="1"/>
  <c r="T24" i="23" s="1"/>
  <c r="U24" i="23" s="1"/>
  <c r="V24" i="23" s="1"/>
  <c r="W24" i="23" s="1"/>
  <c r="X24" i="23" s="1"/>
  <c r="Y24" i="23" s="1"/>
  <c r="Z24" i="23" s="1"/>
  <c r="Q29" i="23"/>
  <c r="R29" i="23" s="1"/>
  <c r="S29" i="23" s="1"/>
  <c r="T29" i="23" s="1"/>
  <c r="U29" i="23" s="1"/>
  <c r="V29" i="23" s="1"/>
  <c r="W29" i="23" s="1"/>
  <c r="X29" i="23" s="1"/>
  <c r="Y29" i="23" s="1"/>
  <c r="Z29" i="23" s="1"/>
  <c r="M494" i="23"/>
  <c r="M110" i="23"/>
  <c r="F17" i="23"/>
  <c r="F20" i="23"/>
  <c r="N17" i="23"/>
  <c r="N20" i="23"/>
  <c r="J29" i="23"/>
  <c r="O85" i="23"/>
  <c r="E494" i="23"/>
  <c r="E110" i="23"/>
  <c r="I78" i="23"/>
  <c r="I81" i="23" s="1"/>
  <c r="I85" i="23"/>
  <c r="M14" i="23"/>
  <c r="H19" i="23"/>
  <c r="H20" i="23"/>
  <c r="P19" i="23"/>
  <c r="P20" i="23"/>
  <c r="Q18" i="23"/>
  <c r="S21" i="23"/>
  <c r="Q38" i="23"/>
  <c r="J12" i="23"/>
  <c r="I12" i="23"/>
  <c r="L22" i="23"/>
  <c r="J149" i="23"/>
  <c r="J150" i="23" s="1"/>
  <c r="F14" i="23"/>
  <c r="N14" i="23"/>
  <c r="H17" i="23"/>
  <c r="P17" i="23"/>
  <c r="J19" i="23"/>
  <c r="E22" i="23"/>
  <c r="M22" i="23"/>
  <c r="K29" i="23"/>
  <c r="E82" i="23"/>
  <c r="E83" i="23" s="1"/>
  <c r="H81" i="23"/>
  <c r="G85" i="23"/>
  <c r="O121" i="23"/>
  <c r="D141" i="23"/>
  <c r="D142" i="23" s="1"/>
  <c r="L141" i="23"/>
  <c r="L142" i="23" s="1"/>
  <c r="F189" i="23"/>
  <c r="N189" i="23"/>
  <c r="H196" i="23"/>
  <c r="H197" i="23" s="1"/>
  <c r="H191" i="23"/>
  <c r="H194" i="23" s="1"/>
  <c r="H264" i="23"/>
  <c r="H324" i="23" s="1"/>
  <c r="P262" i="23"/>
  <c r="P264" i="23" s="1"/>
  <c r="Q264" i="23" s="1"/>
  <c r="K140" i="23"/>
  <c r="D20" i="23"/>
  <c r="L20" i="23"/>
  <c r="Q25" i="23"/>
  <c r="J81" i="23"/>
  <c r="J82" i="23" s="1"/>
  <c r="J83" i="23" s="1"/>
  <c r="D150" i="23"/>
  <c r="F212" i="23"/>
  <c r="N212" i="23"/>
  <c r="H14" i="23"/>
  <c r="J17" i="23"/>
  <c r="L19" i="23"/>
  <c r="G22" i="23"/>
  <c r="O22" i="23"/>
  <c r="E29" i="23"/>
  <c r="M29" i="23"/>
  <c r="E235" i="23"/>
  <c r="D85" i="23"/>
  <c r="D78" i="23"/>
  <c r="D81" i="23" s="1"/>
  <c r="D82" i="23" s="1"/>
  <c r="D83" i="23" s="1"/>
  <c r="M235" i="23"/>
  <c r="L85" i="23"/>
  <c r="L78" i="23"/>
  <c r="L81" i="23" s="1"/>
  <c r="L82" i="23" s="1"/>
  <c r="L83" i="23" s="1"/>
  <c r="G147" i="23"/>
  <c r="O146" i="23"/>
  <c r="O147" i="23" s="1"/>
  <c r="P196" i="23"/>
  <c r="P197" i="23" s="1"/>
  <c r="P191" i="23"/>
  <c r="P194" i="23" s="1"/>
  <c r="P479" i="23"/>
  <c r="O479" i="23"/>
  <c r="Q436" i="23"/>
  <c r="R436" i="23" s="1"/>
  <c r="N479" i="23"/>
  <c r="M479" i="23"/>
  <c r="Q457" i="23"/>
  <c r="R457" i="23" s="1"/>
  <c r="L479" i="23"/>
  <c r="Q464" i="23"/>
  <c r="R464" i="23" s="1"/>
  <c r="S464" i="23" s="1"/>
  <c r="T464" i="23" s="1"/>
  <c r="U464" i="23" s="1"/>
  <c r="V464" i="23" s="1"/>
  <c r="W464" i="23" s="1"/>
  <c r="X464" i="23" s="1"/>
  <c r="Y464" i="23" s="1"/>
  <c r="Z464" i="23" s="1"/>
  <c r="Q468" i="23"/>
  <c r="U433" i="23"/>
  <c r="T433" i="23"/>
  <c r="S433" i="23"/>
  <c r="Z433" i="23"/>
  <c r="R433" i="23"/>
  <c r="Y433" i="23"/>
  <c r="Q433" i="23"/>
  <c r="X433" i="23"/>
  <c r="Q386" i="23"/>
  <c r="R386" i="23" s="1"/>
  <c r="S386" i="23" s="1"/>
  <c r="T386" i="23" s="1"/>
  <c r="U386" i="23" s="1"/>
  <c r="V386" i="23" s="1"/>
  <c r="W386" i="23" s="1"/>
  <c r="X386" i="23" s="1"/>
  <c r="Y386" i="23" s="1"/>
  <c r="Z386" i="23" s="1"/>
  <c r="W433" i="23"/>
  <c r="V433" i="23"/>
  <c r="L310" i="23"/>
  <c r="L309" i="23"/>
  <c r="N306" i="23"/>
  <c r="N305" i="23"/>
  <c r="P302" i="23"/>
  <c r="P301" i="23"/>
  <c r="Q301" i="23" s="1"/>
  <c r="L294" i="23"/>
  <c r="Q320" i="23"/>
  <c r="R320" i="23" s="1"/>
  <c r="S320" i="23" s="1"/>
  <c r="T320" i="23" s="1"/>
  <c r="U320" i="23" s="1"/>
  <c r="V320" i="23" s="1"/>
  <c r="W320" i="23" s="1"/>
  <c r="X320" i="23" s="1"/>
  <c r="Y320" i="23" s="1"/>
  <c r="Z320" i="23" s="1"/>
  <c r="Q319" i="23"/>
  <c r="R319" i="23" s="1"/>
  <c r="S319" i="23" s="1"/>
  <c r="T319" i="23" s="1"/>
  <c r="U319" i="23" s="1"/>
  <c r="V319" i="23" s="1"/>
  <c r="W319" i="23" s="1"/>
  <c r="X319" i="23" s="1"/>
  <c r="Y319" i="23" s="1"/>
  <c r="Z319" i="23" s="1"/>
  <c r="P314" i="23"/>
  <c r="L306" i="23"/>
  <c r="L305" i="23"/>
  <c r="N302" i="23"/>
  <c r="N301" i="23"/>
  <c r="P298" i="23"/>
  <c r="P297" i="23"/>
  <c r="Q297" i="23" s="1"/>
  <c r="O316" i="23"/>
  <c r="P310" i="23"/>
  <c r="P309" i="23"/>
  <c r="Q309" i="23" s="1"/>
  <c r="L302" i="23"/>
  <c r="L301" i="23"/>
  <c r="N298" i="23"/>
  <c r="N297" i="23"/>
  <c r="P294" i="23"/>
  <c r="O292" i="23"/>
  <c r="O293" i="23" s="1"/>
  <c r="N309" i="23"/>
  <c r="O302" i="23"/>
  <c r="M297" i="23"/>
  <c r="L280" i="23"/>
  <c r="L279" i="23"/>
  <c r="N276" i="23"/>
  <c r="M274" i="23"/>
  <c r="M275" i="23" s="1"/>
  <c r="O256" i="23"/>
  <c r="M309" i="23"/>
  <c r="M302" i="23"/>
  <c r="L297" i="23"/>
  <c r="M276" i="23"/>
  <c r="L274" i="23"/>
  <c r="N256" i="23"/>
  <c r="N258" i="23" s="1"/>
  <c r="M314" i="23"/>
  <c r="M315" i="23" s="1"/>
  <c r="P306" i="23"/>
  <c r="O301" i="23"/>
  <c r="O294" i="23"/>
  <c r="P292" i="23"/>
  <c r="Q292" i="23" s="1"/>
  <c r="R292" i="23" s="1"/>
  <c r="S292" i="23" s="1"/>
  <c r="T292" i="23" s="1"/>
  <c r="U292" i="23" s="1"/>
  <c r="V292" i="23" s="1"/>
  <c r="W292" i="23" s="1"/>
  <c r="X292" i="23" s="1"/>
  <c r="Y292" i="23" s="1"/>
  <c r="Z292" i="23" s="1"/>
  <c r="L276" i="23"/>
  <c r="M256" i="23"/>
  <c r="L314" i="23"/>
  <c r="O306" i="23"/>
  <c r="M301" i="23"/>
  <c r="N294" i="23"/>
  <c r="O264" i="23"/>
  <c r="O265" i="23" s="1"/>
  <c r="L256" i="23"/>
  <c r="P316" i="23"/>
  <c r="M306" i="23"/>
  <c r="P305" i="23"/>
  <c r="Q305" i="23" s="1"/>
  <c r="M294" i="23"/>
  <c r="M292" i="23"/>
  <c r="M293" i="23" s="1"/>
  <c r="P280" i="23"/>
  <c r="P279" i="23"/>
  <c r="Q279" i="23" s="1"/>
  <c r="N264" i="23"/>
  <c r="N265" i="23" s="1"/>
  <c r="N267" i="23" s="1"/>
  <c r="N316" i="23"/>
  <c r="O310" i="23"/>
  <c r="O305" i="23"/>
  <c r="O298" i="23"/>
  <c r="L292" i="23"/>
  <c r="O280" i="23"/>
  <c r="O279" i="23"/>
  <c r="P274" i="23"/>
  <c r="Q274" i="23" s="1"/>
  <c r="R274" i="23" s="1"/>
  <c r="S274" i="23" s="1"/>
  <c r="T274" i="23" s="1"/>
  <c r="U274" i="23" s="1"/>
  <c r="V274" i="23" s="1"/>
  <c r="W274" i="23" s="1"/>
  <c r="X274" i="23" s="1"/>
  <c r="Y274" i="23" s="1"/>
  <c r="Z274" i="23" s="1"/>
  <c r="M264" i="23"/>
  <c r="M265" i="23" s="1"/>
  <c r="M316" i="23"/>
  <c r="N310" i="23"/>
  <c r="M305" i="23"/>
  <c r="M298" i="23"/>
  <c r="N280" i="23"/>
  <c r="N279" i="23"/>
  <c r="P276" i="23"/>
  <c r="O274" i="23"/>
  <c r="O275" i="23" s="1"/>
  <c r="L264" i="23"/>
  <c r="L265" i="23" s="1"/>
  <c r="L267" i="23" s="1"/>
  <c r="M310" i="23"/>
  <c r="O297" i="23"/>
  <c r="N274" i="23"/>
  <c r="N275" i="23" s="1"/>
  <c r="P256" i="23"/>
  <c r="P258" i="23" s="1"/>
  <c r="N249" i="23"/>
  <c r="N246" i="23"/>
  <c r="P223" i="23"/>
  <c r="W168" i="23"/>
  <c r="O168" i="23"/>
  <c r="G168" i="23"/>
  <c r="S158" i="23"/>
  <c r="K158" i="23"/>
  <c r="M249" i="23"/>
  <c r="M246" i="23"/>
  <c r="O223" i="23"/>
  <c r="V168" i="23"/>
  <c r="N168" i="23"/>
  <c r="F168" i="23"/>
  <c r="Z158" i="23"/>
  <c r="R158" i="23"/>
  <c r="J158" i="23"/>
  <c r="O309" i="23"/>
  <c r="O276" i="23"/>
  <c r="L249" i="23"/>
  <c r="L246" i="23"/>
  <c r="N223" i="23"/>
  <c r="U168" i="23"/>
  <c r="M168" i="23"/>
  <c r="E168" i="23"/>
  <c r="Y158" i="23"/>
  <c r="Q158" i="23"/>
  <c r="I158" i="23"/>
  <c r="Q238" i="23"/>
  <c r="R238" i="23" s="1"/>
  <c r="M223" i="23"/>
  <c r="T168" i="23"/>
  <c r="L168" i="23"/>
  <c r="D168" i="23"/>
  <c r="X158" i="23"/>
  <c r="P158" i="23"/>
  <c r="H158" i="23"/>
  <c r="M280" i="23"/>
  <c r="L223" i="23"/>
  <c r="S168" i="23"/>
  <c r="K168" i="23"/>
  <c r="W158" i="23"/>
  <c r="O158" i="23"/>
  <c r="G158" i="23"/>
  <c r="Q249" i="23"/>
  <c r="R249" i="23" s="1"/>
  <c r="S249" i="23" s="1"/>
  <c r="T249" i="23" s="1"/>
  <c r="U249" i="23" s="1"/>
  <c r="V249" i="23" s="1"/>
  <c r="W249" i="23" s="1"/>
  <c r="X249" i="23" s="1"/>
  <c r="Y249" i="23" s="1"/>
  <c r="Z249" i="23" s="1"/>
  <c r="Q248" i="23"/>
  <c r="R248" i="23" s="1"/>
  <c r="S248" i="23" s="1"/>
  <c r="T248" i="23" s="1"/>
  <c r="U248" i="23" s="1"/>
  <c r="V248" i="23" s="1"/>
  <c r="W248" i="23" s="1"/>
  <c r="X248" i="23" s="1"/>
  <c r="Y248" i="23" s="1"/>
  <c r="Z248" i="23" s="1"/>
  <c r="Q247" i="23"/>
  <c r="R247" i="23" s="1"/>
  <c r="Z168" i="23"/>
  <c r="R168" i="23"/>
  <c r="J168" i="23"/>
  <c r="V158" i="23"/>
  <c r="N158" i="23"/>
  <c r="F158" i="23"/>
  <c r="L316" i="23"/>
  <c r="M279" i="23"/>
  <c r="O249" i="23"/>
  <c r="O246" i="23"/>
  <c r="Q220" i="23"/>
  <c r="Q219" i="23"/>
  <c r="X168" i="23"/>
  <c r="T158" i="23"/>
  <c r="O95" i="23"/>
  <c r="P168" i="23"/>
  <c r="L158" i="23"/>
  <c r="M95" i="23"/>
  <c r="P249" i="23"/>
  <c r="I168" i="23"/>
  <c r="E158" i="23"/>
  <c r="L95" i="23"/>
  <c r="P246" i="23"/>
  <c r="H168" i="23"/>
  <c r="D158" i="23"/>
  <c r="L298" i="23"/>
  <c r="Q23" i="23"/>
  <c r="R23" i="23" s="1"/>
  <c r="S23" i="23" s="1"/>
  <c r="T23" i="23" s="1"/>
  <c r="U23" i="23" s="1"/>
  <c r="V23" i="23" s="1"/>
  <c r="W23" i="23" s="1"/>
  <c r="X23" i="23" s="1"/>
  <c r="Y23" i="23" s="1"/>
  <c r="Z23" i="23" s="1"/>
  <c r="H82" i="23"/>
  <c r="H83" i="23" s="1"/>
  <c r="G391" i="23"/>
  <c r="O391" i="23"/>
  <c r="G121" i="23"/>
  <c r="Q117" i="23"/>
  <c r="R117" i="23" s="1"/>
  <c r="S117" i="23" s="1"/>
  <c r="T117" i="23" s="1"/>
  <c r="U117" i="23" s="1"/>
  <c r="V117" i="23" s="1"/>
  <c r="W117" i="23" s="1"/>
  <c r="X117" i="23" s="1"/>
  <c r="Y117" i="23" s="1"/>
  <c r="Z117" i="23" s="1"/>
  <c r="G140" i="23"/>
  <c r="O140" i="23"/>
  <c r="H141" i="23"/>
  <c r="H142" i="23" s="1"/>
  <c r="J14" i="23"/>
  <c r="L17" i="23"/>
  <c r="F19" i="23"/>
  <c r="N19" i="23"/>
  <c r="I22" i="23"/>
  <c r="Q22" i="23"/>
  <c r="G29" i="23"/>
  <c r="O29" i="23"/>
  <c r="F85" i="23"/>
  <c r="N85" i="23"/>
  <c r="I350" i="23"/>
  <c r="I82" i="23"/>
  <c r="I83" i="23" s="1"/>
  <c r="N95" i="23"/>
  <c r="H128" i="23"/>
  <c r="P128" i="23"/>
  <c r="I147" i="23"/>
  <c r="O196" i="23"/>
  <c r="O197" i="23" s="1"/>
  <c r="O199" i="23" s="1"/>
  <c r="Q30" i="23"/>
  <c r="R30" i="23" s="1"/>
  <c r="S30" i="23" s="1"/>
  <c r="T30" i="23" s="1"/>
  <c r="U30" i="23" s="1"/>
  <c r="V30" i="23" s="1"/>
  <c r="W30" i="23" s="1"/>
  <c r="X30" i="23" s="1"/>
  <c r="Y30" i="23" s="1"/>
  <c r="Z30" i="23" s="1"/>
  <c r="Z235" i="23" s="1"/>
  <c r="S43" i="23"/>
  <c r="T43" i="23" s="1"/>
  <c r="U43" i="23" s="1"/>
  <c r="V43" i="23" s="1"/>
  <c r="W43" i="23" s="1"/>
  <c r="X43" i="23" s="1"/>
  <c r="Y43" i="23" s="1"/>
  <c r="Z43" i="23" s="1"/>
  <c r="G78" i="23"/>
  <c r="G81" i="23" s="1"/>
  <c r="G82" i="23" s="1"/>
  <c r="G83" i="23" s="1"/>
  <c r="O78" i="23"/>
  <c r="O81" i="23" s="1"/>
  <c r="O82" i="23" s="1"/>
  <c r="O83" i="23" s="1"/>
  <c r="I391" i="23"/>
  <c r="P95" i="23"/>
  <c r="K494" i="23"/>
  <c r="K496" i="23" s="1"/>
  <c r="K110" i="23"/>
  <c r="I140" i="23"/>
  <c r="N142" i="23"/>
  <c r="M158" i="23"/>
  <c r="Q168" i="23"/>
  <c r="J128" i="23"/>
  <c r="P142" i="23"/>
  <c r="H149" i="23"/>
  <c r="H150" i="23"/>
  <c r="U158" i="23"/>
  <c r="Y168" i="23"/>
  <c r="D196" i="23"/>
  <c r="D197" i="23" s="1"/>
  <c r="D191" i="23"/>
  <c r="D194" i="23" s="1"/>
  <c r="L196" i="23"/>
  <c r="L191" i="23"/>
  <c r="L194" i="23" s="1"/>
  <c r="J350" i="23"/>
  <c r="J391" i="23"/>
  <c r="K78" i="23"/>
  <c r="K81" i="23" s="1"/>
  <c r="K82" i="23" s="1"/>
  <c r="K83" i="23" s="1"/>
  <c r="G110" i="23"/>
  <c r="O110" i="23"/>
  <c r="J142" i="23"/>
  <c r="K147" i="23"/>
  <c r="K218" i="23"/>
  <c r="K114" i="23" s="1"/>
  <c r="K121" i="23" s="1"/>
  <c r="F235" i="23"/>
  <c r="H274" i="23"/>
  <c r="H275" i="23" s="1"/>
  <c r="K350" i="23"/>
  <c r="K391" i="23"/>
  <c r="H110" i="23"/>
  <c r="J264" i="23"/>
  <c r="J265" i="23" s="1"/>
  <c r="K235" i="23"/>
  <c r="K234" i="23"/>
  <c r="N235" i="23"/>
  <c r="H481" i="23"/>
  <c r="H482" i="23" s="1"/>
  <c r="R253" i="23"/>
  <c r="D350" i="23"/>
  <c r="L350" i="23"/>
  <c r="L344" i="23" s="1"/>
  <c r="D391" i="23"/>
  <c r="D393" i="23"/>
  <c r="L391" i="23"/>
  <c r="I110" i="23"/>
  <c r="E147" i="23"/>
  <c r="M147" i="23"/>
  <c r="L235" i="23"/>
  <c r="G292" i="23"/>
  <c r="G293" i="23" s="1"/>
  <c r="E350" i="23"/>
  <c r="E344" i="23" s="1"/>
  <c r="M350" i="23"/>
  <c r="E391" i="23"/>
  <c r="M391" i="23"/>
  <c r="F78" i="23"/>
  <c r="F81" i="23" s="1"/>
  <c r="F82" i="23" s="1"/>
  <c r="F83" i="23" s="1"/>
  <c r="N78" i="23"/>
  <c r="N81" i="23" s="1"/>
  <c r="N82" i="23" s="1"/>
  <c r="N83" i="23" s="1"/>
  <c r="J110" i="23"/>
  <c r="F147" i="23"/>
  <c r="J227" i="23"/>
  <c r="F350" i="23"/>
  <c r="N350" i="23"/>
  <c r="F391" i="23"/>
  <c r="N391" i="23"/>
  <c r="N146" i="23"/>
  <c r="N147" i="23" s="1"/>
  <c r="H350" i="23"/>
  <c r="H357" i="23" s="1"/>
  <c r="P350" i="23"/>
  <c r="H391" i="23"/>
  <c r="P391" i="23"/>
  <c r="P146" i="23"/>
  <c r="P147" i="23" s="1"/>
  <c r="M196" i="23"/>
  <c r="M191" i="23"/>
  <c r="M194" i="23" s="1"/>
  <c r="O191" i="23"/>
  <c r="O194" i="23" s="1"/>
  <c r="G264" i="23"/>
  <c r="G265" i="23" s="1"/>
  <c r="Q291" i="23"/>
  <c r="F290" i="23"/>
  <c r="F241" i="23"/>
  <c r="N290" i="23"/>
  <c r="N292" i="23" s="1"/>
  <c r="N241" i="23"/>
  <c r="E292" i="23"/>
  <c r="E293" i="23" s="1"/>
  <c r="G274" i="23"/>
  <c r="I264" i="23"/>
  <c r="I265" i="23" s="1"/>
  <c r="G235" i="23"/>
  <c r="O235" i="23"/>
  <c r="H241" i="23"/>
  <c r="P241" i="23"/>
  <c r="I246" i="23"/>
  <c r="I274" i="23"/>
  <c r="I275" i="23" s="1"/>
  <c r="H235" i="23"/>
  <c r="P235" i="23"/>
  <c r="H293" i="23"/>
  <c r="I241" i="23"/>
  <c r="J246" i="23"/>
  <c r="H259" i="23"/>
  <c r="J274" i="23"/>
  <c r="J275" i="23" s="1"/>
  <c r="K265" i="23"/>
  <c r="I235" i="23"/>
  <c r="I292" i="23"/>
  <c r="I293" i="23" s="1"/>
  <c r="J241" i="23"/>
  <c r="D265" i="23"/>
  <c r="K274" i="23"/>
  <c r="K275" i="23" s="1"/>
  <c r="J235" i="23"/>
  <c r="J292" i="23"/>
  <c r="J293" i="23" s="1"/>
  <c r="K241" i="23"/>
  <c r="D274" i="23"/>
  <c r="D275" i="23" s="1"/>
  <c r="E264" i="23"/>
  <c r="E265" i="23"/>
  <c r="K292" i="23"/>
  <c r="K293" i="23" s="1"/>
  <c r="D241" i="23"/>
  <c r="L241" i="23"/>
  <c r="E274" i="23"/>
  <c r="E275" i="23" s="1"/>
  <c r="F264" i="23"/>
  <c r="F324" i="23" s="1"/>
  <c r="D292" i="23"/>
  <c r="D293" i="23" s="1"/>
  <c r="E241" i="23"/>
  <c r="M241" i="23"/>
  <c r="F275" i="23"/>
  <c r="E287" i="23"/>
  <c r="M287" i="23"/>
  <c r="I258" i="23"/>
  <c r="I259" i="23" s="1"/>
  <c r="J259" i="23"/>
  <c r="O287" i="23"/>
  <c r="H287" i="23"/>
  <c r="P287" i="23"/>
  <c r="M336" i="23"/>
  <c r="M337" i="23" s="1"/>
  <c r="K324" i="23"/>
  <c r="K258" i="23"/>
  <c r="K259" i="23" s="1"/>
  <c r="I287" i="23"/>
  <c r="K314" i="23"/>
  <c r="K315" i="23" s="1"/>
  <c r="D324" i="23"/>
  <c r="D258" i="23"/>
  <c r="D259" i="23" s="1"/>
  <c r="N314" i="23"/>
  <c r="N315" i="23" s="1"/>
  <c r="G333" i="23"/>
  <c r="O332" i="23"/>
  <c r="O333" i="23" s="1"/>
  <c r="N336" i="23"/>
  <c r="N337" i="23" s="1"/>
  <c r="E324" i="23"/>
  <c r="E258" i="23"/>
  <c r="E259" i="23" s="1"/>
  <c r="K287" i="23"/>
  <c r="G315" i="23"/>
  <c r="F315" i="23"/>
  <c r="F258" i="23"/>
  <c r="F259" i="23" s="1"/>
  <c r="D287" i="23"/>
  <c r="L287" i="23"/>
  <c r="O314" i="23"/>
  <c r="O315" i="23" s="1"/>
  <c r="I332" i="23"/>
  <c r="I333" i="23" s="1"/>
  <c r="G324" i="23"/>
  <c r="G258" i="23"/>
  <c r="G259" i="23" s="1"/>
  <c r="I314" i="23"/>
  <c r="I315" i="23" s="1"/>
  <c r="J333" i="23"/>
  <c r="M442" i="23"/>
  <c r="G469" i="23"/>
  <c r="G470" i="23" s="1"/>
  <c r="O469" i="23"/>
  <c r="O470" i="23" s="1"/>
  <c r="K333" i="23"/>
  <c r="L333" i="23"/>
  <c r="D332" i="23"/>
  <c r="D333" i="23" s="1"/>
  <c r="G442" i="23"/>
  <c r="O442" i="23"/>
  <c r="E332" i="23"/>
  <c r="E333" i="23" s="1"/>
  <c r="G350" i="23"/>
  <c r="O350" i="23"/>
  <c r="O344" i="23" s="1"/>
  <c r="E406" i="23"/>
  <c r="E392" i="23" s="1"/>
  <c r="D382" i="23"/>
  <c r="E382" i="23" s="1"/>
  <c r="F382" i="23" s="1"/>
  <c r="G382" i="23" s="1"/>
  <c r="H382" i="23" s="1"/>
  <c r="I382" i="23" s="1"/>
  <c r="J382" i="23" s="1"/>
  <c r="K382" i="23" s="1"/>
  <c r="L382" i="23" s="1"/>
  <c r="M382" i="23" s="1"/>
  <c r="N382" i="23" s="1"/>
  <c r="O382" i="23" s="1"/>
  <c r="P382" i="23" s="1"/>
  <c r="Q382" i="23" s="1"/>
  <c r="R382" i="23" s="1"/>
  <c r="S382" i="23" s="1"/>
  <c r="T382" i="23" s="1"/>
  <c r="U382" i="23" s="1"/>
  <c r="V382" i="23" s="1"/>
  <c r="W382" i="23" s="1"/>
  <c r="X382" i="23" s="1"/>
  <c r="Y382" i="23" s="1"/>
  <c r="Z382" i="23" s="1"/>
  <c r="I469" i="23"/>
  <c r="I470" i="23" s="1"/>
  <c r="L432" i="23"/>
  <c r="R427" i="23"/>
  <c r="K442" i="23"/>
  <c r="K469" i="23"/>
  <c r="K470" i="23" s="1"/>
  <c r="R423" i="23"/>
  <c r="E442" i="23"/>
  <c r="S538" i="23"/>
  <c r="S509" i="23"/>
  <c r="D429" i="23"/>
  <c r="L429" i="23"/>
  <c r="H442" i="23"/>
  <c r="P442" i="23"/>
  <c r="H469" i="23"/>
  <c r="H470" i="23" s="1"/>
  <c r="P469" i="23"/>
  <c r="T509" i="23"/>
  <c r="T538" i="23"/>
  <c r="G432" i="23"/>
  <c r="O432" i="23"/>
  <c r="I442" i="23"/>
  <c r="H432" i="23"/>
  <c r="P432" i="23"/>
  <c r="J442" i="23"/>
  <c r="V538" i="23"/>
  <c r="V509" i="23"/>
  <c r="P429" i="23"/>
  <c r="I432" i="23"/>
  <c r="G496" i="23"/>
  <c r="O496" i="23"/>
  <c r="U538" i="23"/>
  <c r="W538" i="23"/>
  <c r="W509" i="23"/>
  <c r="J432" i="23"/>
  <c r="G465" i="23"/>
  <c r="O465" i="23"/>
  <c r="D442" i="23"/>
  <c r="L442" i="23"/>
  <c r="D469" i="23"/>
  <c r="D470" i="23" s="1"/>
  <c r="L469" i="23"/>
  <c r="L470" i="23" s="1"/>
  <c r="X538" i="23"/>
  <c r="X509" i="23"/>
  <c r="K432" i="23"/>
  <c r="Q519" i="23"/>
  <c r="R463" i="23"/>
  <c r="J470" i="23"/>
  <c r="E469" i="23"/>
  <c r="E470" i="23" s="1"/>
  <c r="M469" i="23"/>
  <c r="M470" i="23" s="1"/>
  <c r="Q538" i="23"/>
  <c r="Q509" i="23"/>
  <c r="Y538" i="23"/>
  <c r="Y509" i="23"/>
  <c r="F460" i="23"/>
  <c r="N460" i="23"/>
  <c r="F442" i="23"/>
  <c r="N442" i="23"/>
  <c r="F469" i="23"/>
  <c r="F470" i="23" s="1"/>
  <c r="N469" i="23"/>
  <c r="N470" i="23" s="1"/>
  <c r="R538" i="23"/>
  <c r="R509" i="23"/>
  <c r="Z538" i="23"/>
  <c r="Z509" i="23"/>
  <c r="E432" i="23"/>
  <c r="F487" i="23" s="1"/>
  <c r="F488" i="23" s="1"/>
  <c r="M432" i="23"/>
  <c r="N487" i="23" s="1"/>
  <c r="N488" i="23" s="1"/>
  <c r="E459" i="23"/>
  <c r="E460" i="23" s="1"/>
  <c r="M459" i="23"/>
  <c r="M460" i="23" s="1"/>
  <c r="F464" i="23"/>
  <c r="F465" i="23" s="1"/>
  <c r="N464" i="23"/>
  <c r="N465" i="23" s="1"/>
  <c r="F496" i="23"/>
  <c r="N496" i="23"/>
  <c r="H460" i="23"/>
  <c r="H57" i="23" s="1"/>
  <c r="P460" i="23"/>
  <c r="P464" i="23"/>
  <c r="P465" i="23" s="1"/>
  <c r="I465" i="23"/>
  <c r="E540" i="23"/>
  <c r="I460" i="23"/>
  <c r="J465" i="23"/>
  <c r="I496" i="23"/>
  <c r="J460" i="23"/>
  <c r="J57" i="23" s="1"/>
  <c r="K465" i="23"/>
  <c r="J496" i="23"/>
  <c r="K460" i="23"/>
  <c r="K57" i="23" s="1"/>
  <c r="D465" i="23"/>
  <c r="L465" i="23"/>
  <c r="D460" i="23"/>
  <c r="L460" i="23"/>
  <c r="E465" i="23"/>
  <c r="M465" i="23"/>
  <c r="E496" i="23"/>
  <c r="M496" i="23"/>
  <c r="K429" i="16"/>
  <c r="K409" i="16"/>
  <c r="K413" i="16" s="1"/>
  <c r="K212" i="16"/>
  <c r="K110" i="16"/>
  <c r="K379" i="16"/>
  <c r="K286" i="16"/>
  <c r="K287" i="16" s="1"/>
  <c r="K259" i="16"/>
  <c r="K234" i="16"/>
  <c r="K530" i="16"/>
  <c r="K540" i="16"/>
  <c r="K93" i="16"/>
  <c r="K241" i="16"/>
  <c r="K128" i="16"/>
  <c r="K332" i="16"/>
  <c r="K333" i="16" s="1"/>
  <c r="K196" i="16"/>
  <c r="K197" i="16" s="1"/>
  <c r="K191" i="16"/>
  <c r="K194" i="16" s="1"/>
  <c r="K264" i="16"/>
  <c r="K324" i="16" s="1"/>
  <c r="K444" i="16"/>
  <c r="K445" i="16" s="1"/>
  <c r="K352" i="16"/>
  <c r="K353" i="16" s="1"/>
  <c r="K494" i="16"/>
  <c r="K496" i="16" s="1"/>
  <c r="K464" i="16"/>
  <c r="K465" i="16" s="1"/>
  <c r="K57" i="16" s="1"/>
  <c r="K141" i="16"/>
  <c r="K142" i="16" s="1"/>
  <c r="K290" i="16"/>
  <c r="K315" i="16"/>
  <c r="K275" i="16"/>
  <c r="K470" i="16"/>
  <c r="K147" i="16"/>
  <c r="C292" i="23" l="1" a="1"/>
  <c r="C292" i="23" s="1"/>
  <c r="C279" i="23" a="1"/>
  <c r="C279" i="23" s="1"/>
  <c r="L197" i="23"/>
  <c r="L199" i="23" s="1"/>
  <c r="L200" i="23" s="1"/>
  <c r="L293" i="23"/>
  <c r="C309" i="23" a="1"/>
  <c r="C309" i="23" s="1"/>
  <c r="L315" i="23"/>
  <c r="C314" i="23" a="1"/>
  <c r="C314" i="23" s="1"/>
  <c r="C301" i="23" a="1"/>
  <c r="C301" i="23" s="1"/>
  <c r="C297" i="23" a="1"/>
  <c r="C297" i="23" s="1"/>
  <c r="C305" i="23" a="1"/>
  <c r="C305" i="23" s="1"/>
  <c r="L275" i="23"/>
  <c r="C274" i="23" a="1"/>
  <c r="C274" i="23" s="1"/>
  <c r="G366" i="23"/>
  <c r="G367" i="23" s="1"/>
  <c r="G368" i="23" s="1"/>
  <c r="I197" i="23"/>
  <c r="J191" i="24"/>
  <c r="J194" i="24" s="1"/>
  <c r="E406" i="25"/>
  <c r="E392" i="25" s="1"/>
  <c r="F324" i="25"/>
  <c r="E265" i="25"/>
  <c r="E481" i="25"/>
  <c r="E482" i="25" s="1"/>
  <c r="E489" i="25" s="1"/>
  <c r="F105" i="24"/>
  <c r="F106" i="24" s="1"/>
  <c r="D97" i="23"/>
  <c r="D98" i="23" s="1"/>
  <c r="D99" i="23" s="1"/>
  <c r="G48" i="23"/>
  <c r="I366" i="23"/>
  <c r="I367" i="23" s="1"/>
  <c r="I368" i="23" s="1"/>
  <c r="D393" i="25"/>
  <c r="J324" i="25"/>
  <c r="O57" i="23"/>
  <c r="E57" i="23"/>
  <c r="G191" i="23"/>
  <c r="G194" i="23" s="1"/>
  <c r="E191" i="24"/>
  <c r="E194" i="24" s="1"/>
  <c r="J344" i="24"/>
  <c r="J345" i="24" s="1"/>
  <c r="J346" i="24" s="1"/>
  <c r="D48" i="23"/>
  <c r="E191" i="23"/>
  <c r="E194" i="23" s="1"/>
  <c r="G197" i="23"/>
  <c r="K57" i="25"/>
  <c r="F105" i="25"/>
  <c r="F106" i="25" s="1"/>
  <c r="K191" i="23"/>
  <c r="K194" i="23" s="1"/>
  <c r="I191" i="23"/>
  <c r="I194" i="23" s="1"/>
  <c r="P366" i="24"/>
  <c r="P367" i="24" s="1"/>
  <c r="P368" i="24" s="1"/>
  <c r="G99" i="23"/>
  <c r="G57" i="23"/>
  <c r="K35" i="24"/>
  <c r="M57" i="24"/>
  <c r="O366" i="24"/>
  <c r="O367" i="24" s="1"/>
  <c r="O368" i="24" s="1"/>
  <c r="I324" i="25"/>
  <c r="E481" i="23"/>
  <c r="E482" i="23" s="1"/>
  <c r="E97" i="23"/>
  <c r="E98" i="23" s="1"/>
  <c r="E57" i="24"/>
  <c r="K324" i="25"/>
  <c r="D357" i="25"/>
  <c r="D358" i="25" s="1"/>
  <c r="D359" i="25" s="1"/>
  <c r="K357" i="25"/>
  <c r="K358" i="25" s="1"/>
  <c r="K359" i="25" s="1"/>
  <c r="P357" i="23"/>
  <c r="P358" i="23" s="1"/>
  <c r="P359" i="23" s="1"/>
  <c r="O366" i="25"/>
  <c r="O367" i="25" s="1"/>
  <c r="O368" i="25" s="1"/>
  <c r="N191" i="17"/>
  <c r="N194" i="17" s="1"/>
  <c r="F197" i="24"/>
  <c r="F199" i="24" s="1"/>
  <c r="F200" i="24" s="1"/>
  <c r="D99" i="25"/>
  <c r="G35" i="23"/>
  <c r="J357" i="23"/>
  <c r="J358" i="23" s="1"/>
  <c r="J359" i="23" s="1"/>
  <c r="K64" i="16"/>
  <c r="M357" i="23"/>
  <c r="M358" i="23" s="1"/>
  <c r="M359" i="23" s="1"/>
  <c r="G57" i="24"/>
  <c r="H357" i="24"/>
  <c r="H358" i="24" s="1"/>
  <c r="H359" i="24" s="1"/>
  <c r="F344" i="24"/>
  <c r="F345" i="24" s="1"/>
  <c r="F346" i="24" s="1"/>
  <c r="H57" i="25"/>
  <c r="F357" i="25"/>
  <c r="F358" i="25" s="1"/>
  <c r="F359" i="25" s="1"/>
  <c r="E323" i="23"/>
  <c r="F191" i="24"/>
  <c r="F194" i="24" s="1"/>
  <c r="K265" i="24"/>
  <c r="H191" i="25"/>
  <c r="H194" i="25" s="1"/>
  <c r="H35" i="25" s="1"/>
  <c r="G324" i="25"/>
  <c r="M36" i="23"/>
  <c r="M113" i="23"/>
  <c r="D53" i="23"/>
  <c r="H337" i="23"/>
  <c r="H36" i="23" s="1"/>
  <c r="K35" i="23"/>
  <c r="H324" i="24"/>
  <c r="D393" i="24"/>
  <c r="H323" i="25"/>
  <c r="I366" i="25"/>
  <c r="I367" i="25" s="1"/>
  <c r="I368" i="25" s="1"/>
  <c r="N357" i="25"/>
  <c r="N358" i="25" s="1"/>
  <c r="N359" i="25" s="1"/>
  <c r="K265" i="17"/>
  <c r="K267" i="17" s="1"/>
  <c r="K268" i="17" s="1"/>
  <c r="I481" i="25"/>
  <c r="I482" i="25" s="1"/>
  <c r="I97" i="25"/>
  <c r="I98" i="25" s="1"/>
  <c r="I99" i="25" s="1"/>
  <c r="I48" i="25"/>
  <c r="F406" i="23"/>
  <c r="F392" i="23" s="1"/>
  <c r="I323" i="23"/>
  <c r="O57" i="24"/>
  <c r="N57" i="24"/>
  <c r="H344" i="24"/>
  <c r="H345" i="24" s="1"/>
  <c r="H346" i="24" s="1"/>
  <c r="J357" i="24"/>
  <c r="J358" i="24" s="1"/>
  <c r="J359" i="24" s="1"/>
  <c r="J323" i="25"/>
  <c r="F481" i="24"/>
  <c r="F482" i="24" s="1"/>
  <c r="F489" i="24" s="1"/>
  <c r="F97" i="24"/>
  <c r="F98" i="24" s="1"/>
  <c r="F99" i="24" s="1"/>
  <c r="D487" i="23"/>
  <c r="D488" i="23" s="1"/>
  <c r="D489" i="23" s="1"/>
  <c r="D105" i="23"/>
  <c r="D106" i="23" s="1"/>
  <c r="J218" i="23"/>
  <c r="J114" i="23" s="1"/>
  <c r="J121" i="23" s="1"/>
  <c r="D487" i="24"/>
  <c r="D488" i="24" s="1"/>
  <c r="D105" i="24"/>
  <c r="D106" i="24" s="1"/>
  <c r="D111" i="24" s="1"/>
  <c r="K481" i="23"/>
  <c r="K482" i="23" s="1"/>
  <c r="K97" i="23"/>
  <c r="K98" i="23" s="1"/>
  <c r="K99" i="23" s="1"/>
  <c r="G196" i="25"/>
  <c r="G197" i="25" s="1"/>
  <c r="G199" i="25" s="1"/>
  <c r="G200" i="25" s="1"/>
  <c r="G191" i="25"/>
  <c r="G194" i="25" s="1"/>
  <c r="J191" i="23"/>
  <c r="J194" i="23" s="1"/>
  <c r="E393" i="23"/>
  <c r="J57" i="24"/>
  <c r="F35" i="24"/>
  <c r="L366" i="24"/>
  <c r="L367" i="24" s="1"/>
  <c r="L368" i="24" s="1"/>
  <c r="I35" i="25"/>
  <c r="L344" i="25"/>
  <c r="L345" i="25" s="1"/>
  <c r="L346" i="25" s="1"/>
  <c r="P357" i="25"/>
  <c r="P358" i="25" s="1"/>
  <c r="P359" i="25" s="1"/>
  <c r="E487" i="24"/>
  <c r="E488" i="24" s="1"/>
  <c r="E105" i="24"/>
  <c r="E106" i="24" s="1"/>
  <c r="I324" i="23"/>
  <c r="F265" i="23"/>
  <c r="J197" i="23"/>
  <c r="J199" i="23" s="1"/>
  <c r="J200" i="23" s="1"/>
  <c r="K57" i="24"/>
  <c r="G323" i="24"/>
  <c r="K323" i="25"/>
  <c r="F150" i="24"/>
  <c r="F481" i="23"/>
  <c r="F482" i="23" s="1"/>
  <c r="F489" i="23" s="1"/>
  <c r="F97" i="23"/>
  <c r="F98" i="23" s="1"/>
  <c r="F99" i="23" s="1"/>
  <c r="N357" i="23"/>
  <c r="N358" i="23" s="1"/>
  <c r="N359" i="23" s="1"/>
  <c r="O57" i="25"/>
  <c r="K344" i="25"/>
  <c r="K345" i="25" s="1"/>
  <c r="K346" i="25" s="1"/>
  <c r="M357" i="25"/>
  <c r="M358" i="25" s="1"/>
  <c r="M359" i="25" s="1"/>
  <c r="E406" i="24"/>
  <c r="G487" i="24"/>
  <c r="G488" i="24" s="1"/>
  <c r="G105" i="24"/>
  <c r="G106" i="24" s="1"/>
  <c r="M57" i="23"/>
  <c r="H366" i="23"/>
  <c r="H367" i="23" s="1"/>
  <c r="H368" i="23" s="1"/>
  <c r="E366" i="23"/>
  <c r="E367" i="23" s="1"/>
  <c r="E368" i="23" s="1"/>
  <c r="E366" i="24"/>
  <c r="E367" i="24" s="1"/>
  <c r="E368" i="24" s="1"/>
  <c r="J366" i="24"/>
  <c r="J367" i="24" s="1"/>
  <c r="J368" i="24" s="1"/>
  <c r="L57" i="25"/>
  <c r="J344" i="25"/>
  <c r="J345" i="25" s="1"/>
  <c r="J346" i="25" s="1"/>
  <c r="P366" i="25"/>
  <c r="P367" i="25" s="1"/>
  <c r="P368" i="25" s="1"/>
  <c r="E99" i="23"/>
  <c r="H105" i="24"/>
  <c r="H106" i="24" s="1"/>
  <c r="I105" i="24"/>
  <c r="I106" i="24" s="1"/>
  <c r="J324" i="23"/>
  <c r="I344" i="23"/>
  <c r="I345" i="23" s="1"/>
  <c r="I346" i="23" s="1"/>
  <c r="O357" i="23"/>
  <c r="O358" i="23" s="1"/>
  <c r="O359" i="23" s="1"/>
  <c r="L344" i="24"/>
  <c r="L345" i="24" s="1"/>
  <c r="L346" i="24" s="1"/>
  <c r="D57" i="25"/>
  <c r="F323" i="25"/>
  <c r="F48" i="23"/>
  <c r="Q424" i="23"/>
  <c r="R424" i="23" s="1"/>
  <c r="O191" i="17"/>
  <c r="O194" i="17" s="1"/>
  <c r="M191" i="17"/>
  <c r="M194" i="17" s="1"/>
  <c r="Q193" i="25"/>
  <c r="Q272" i="25" s="1"/>
  <c r="Q171" i="25"/>
  <c r="Q172" i="25" s="1"/>
  <c r="Q84" i="25"/>
  <c r="Q469" i="25"/>
  <c r="Q470" i="25" s="1"/>
  <c r="Q471" i="25" s="1"/>
  <c r="Q187" i="25"/>
  <c r="Q332" i="25"/>
  <c r="Q333" i="25" s="1"/>
  <c r="Q507" i="25" s="1"/>
  <c r="Q188" i="25"/>
  <c r="Q171" i="23"/>
  <c r="R171" i="23" s="1"/>
  <c r="S171" i="23" s="1"/>
  <c r="T171" i="23" s="1"/>
  <c r="U171" i="23" s="1"/>
  <c r="V171" i="23" s="1"/>
  <c r="W171" i="23" s="1"/>
  <c r="X171" i="23" s="1"/>
  <c r="Y171" i="23" s="1"/>
  <c r="Z171" i="23" s="1"/>
  <c r="Q84" i="23"/>
  <c r="R84" i="23" s="1"/>
  <c r="S84" i="23" s="1"/>
  <c r="T84" i="23" s="1"/>
  <c r="U84" i="23" s="1"/>
  <c r="V84" i="23" s="1"/>
  <c r="W84" i="23" s="1"/>
  <c r="X84" i="23" s="1"/>
  <c r="Y84" i="23" s="1"/>
  <c r="Z84" i="23" s="1"/>
  <c r="K199" i="17"/>
  <c r="K200" i="17" s="1"/>
  <c r="K149" i="17"/>
  <c r="K150" i="17" s="1"/>
  <c r="K323" i="17"/>
  <c r="W235" i="25"/>
  <c r="K336" i="17"/>
  <c r="K337" i="17" s="1"/>
  <c r="Q235" i="25"/>
  <c r="R235" i="25" s="1"/>
  <c r="S235" i="25" s="1"/>
  <c r="T235" i="25" s="1"/>
  <c r="U235" i="25" s="1"/>
  <c r="V235" i="25"/>
  <c r="Q184" i="23"/>
  <c r="R184" i="23" s="1"/>
  <c r="S184" i="23" s="1"/>
  <c r="T184" i="23" s="1"/>
  <c r="U184" i="23" s="1"/>
  <c r="V184" i="23" s="1"/>
  <c r="W184" i="23" s="1"/>
  <c r="X184" i="23" s="1"/>
  <c r="Y184" i="23" s="1"/>
  <c r="Z184" i="23" s="1"/>
  <c r="Q418" i="23"/>
  <c r="R418" i="23" s="1"/>
  <c r="Q163" i="23"/>
  <c r="R163" i="23" s="1"/>
  <c r="S163" i="23" s="1"/>
  <c r="T163" i="23" s="1"/>
  <c r="U163" i="23" s="1"/>
  <c r="V163" i="23" s="1"/>
  <c r="W163" i="23" s="1"/>
  <c r="X163" i="23" s="1"/>
  <c r="Y163" i="23" s="1"/>
  <c r="Z163" i="23" s="1"/>
  <c r="Q162" i="23"/>
  <c r="R162" i="23" s="1"/>
  <c r="S162" i="23" s="1"/>
  <c r="T162" i="23" s="1"/>
  <c r="U162" i="23" s="1"/>
  <c r="V162" i="23" s="1"/>
  <c r="W162" i="23" s="1"/>
  <c r="X162" i="23" s="1"/>
  <c r="Y162" i="23" s="1"/>
  <c r="Z162" i="23" s="1"/>
  <c r="Q413" i="23"/>
  <c r="Q414" i="23" s="1"/>
  <c r="Q125" i="23" s="1"/>
  <c r="Q439" i="23"/>
  <c r="R439" i="23" s="1"/>
  <c r="Q332" i="23"/>
  <c r="Q333" i="23" s="1"/>
  <c r="Q507" i="23" s="1"/>
  <c r="Q469" i="23"/>
  <c r="R469" i="23" s="1"/>
  <c r="S469" i="23" s="1"/>
  <c r="T469" i="23" s="1"/>
  <c r="U469" i="23" s="1"/>
  <c r="V469" i="23" s="1"/>
  <c r="W469" i="23" s="1"/>
  <c r="X469" i="23" s="1"/>
  <c r="Y469" i="23" s="1"/>
  <c r="Z469" i="23" s="1"/>
  <c r="Q185" i="23"/>
  <c r="R185" i="23" s="1"/>
  <c r="S185" i="23" s="1"/>
  <c r="T185" i="23" s="1"/>
  <c r="U185" i="23" s="1"/>
  <c r="V185" i="23" s="1"/>
  <c r="W185" i="23" s="1"/>
  <c r="X185" i="23" s="1"/>
  <c r="Y185" i="23" s="1"/>
  <c r="Z185" i="23" s="1"/>
  <c r="Q44" i="25"/>
  <c r="X235" i="25"/>
  <c r="Y235" i="25"/>
  <c r="Q162" i="25"/>
  <c r="Q164" i="25" s="1"/>
  <c r="Q28" i="25"/>
  <c r="Q465" i="25"/>
  <c r="Q120" i="25" s="1"/>
  <c r="Q146" i="24"/>
  <c r="Q475" i="24" s="1"/>
  <c r="Q413" i="24"/>
  <c r="Q516" i="24" s="1"/>
  <c r="Q313" i="25"/>
  <c r="Q145" i="25" s="1"/>
  <c r="Q26" i="25"/>
  <c r="Q163" i="25"/>
  <c r="Q439" i="25"/>
  <c r="Q107" i="25" s="1"/>
  <c r="Q190" i="25"/>
  <c r="Q262" i="25" s="1"/>
  <c r="Q185" i="25"/>
  <c r="Q184" i="25"/>
  <c r="Q154" i="25"/>
  <c r="Q409" i="25"/>
  <c r="Q515" i="25" s="1"/>
  <c r="Q465" i="24"/>
  <c r="Q120" i="24" s="1"/>
  <c r="Q413" i="25"/>
  <c r="R29" i="25"/>
  <c r="S29" i="25" s="1"/>
  <c r="T29" i="25" s="1"/>
  <c r="U29" i="25" s="1"/>
  <c r="V29" i="25" s="1"/>
  <c r="W29" i="25" s="1"/>
  <c r="X29" i="25" s="1"/>
  <c r="Y29" i="25" s="1"/>
  <c r="Z29" i="25" s="1"/>
  <c r="Q418" i="25"/>
  <c r="Q424" i="25"/>
  <c r="Q186" i="25"/>
  <c r="Q139" i="25"/>
  <c r="Q72" i="25"/>
  <c r="Q419" i="25"/>
  <c r="R217" i="25" s="1"/>
  <c r="Q146" i="25"/>
  <c r="Q475" i="25" s="1"/>
  <c r="Q188" i="24"/>
  <c r="R436" i="25"/>
  <c r="S436" i="25" s="1"/>
  <c r="S434" i="25" s="1"/>
  <c r="Q185" i="24"/>
  <c r="G36" i="25"/>
  <c r="G113" i="25"/>
  <c r="R290" i="25"/>
  <c r="S238" i="25"/>
  <c r="E111" i="25"/>
  <c r="N149" i="25"/>
  <c r="N150" i="25" s="1"/>
  <c r="G345" i="25"/>
  <c r="G346" i="25" s="1"/>
  <c r="F367" i="25"/>
  <c r="F368" i="25" s="1"/>
  <c r="S510" i="25"/>
  <c r="S460" i="25"/>
  <c r="O444" i="25"/>
  <c r="O445" i="25" s="1"/>
  <c r="O64" i="25" s="1"/>
  <c r="Q432" i="25"/>
  <c r="S427" i="25"/>
  <c r="M336" i="25"/>
  <c r="M337" i="25" s="1"/>
  <c r="F35" i="25"/>
  <c r="J35" i="25"/>
  <c r="D352" i="25"/>
  <c r="D353" i="25" s="1"/>
  <c r="J141" i="25"/>
  <c r="J142" i="25" s="1"/>
  <c r="K35" i="25"/>
  <c r="E352" i="25"/>
  <c r="E353" i="25" s="1"/>
  <c r="Q109" i="25"/>
  <c r="O113" i="25"/>
  <c r="E169" i="25"/>
  <c r="E170" i="25" s="1"/>
  <c r="L176" i="25"/>
  <c r="L160" i="25"/>
  <c r="L161" i="25" s="1"/>
  <c r="L165" i="25" s="1"/>
  <c r="I169" i="25"/>
  <c r="I170" i="25" s="1"/>
  <c r="V176" i="25"/>
  <c r="K169" i="25"/>
  <c r="K170" i="25" s="1"/>
  <c r="L169" i="25"/>
  <c r="L170" i="25" s="1"/>
  <c r="Z176" i="25"/>
  <c r="P481" i="25"/>
  <c r="P97" i="25"/>
  <c r="Y481" i="25"/>
  <c r="Y97" i="25"/>
  <c r="T481" i="25"/>
  <c r="T97" i="25"/>
  <c r="E357" i="25"/>
  <c r="J366" i="25"/>
  <c r="E344" i="25"/>
  <c r="F344" i="25"/>
  <c r="T21" i="25"/>
  <c r="S22" i="25"/>
  <c r="G444" i="25"/>
  <c r="G445" i="25" s="1"/>
  <c r="G64" i="25" s="1"/>
  <c r="I176" i="25"/>
  <c r="I160" i="25"/>
  <c r="I161" i="25" s="1"/>
  <c r="I165" i="25" s="1"/>
  <c r="F169" i="25"/>
  <c r="F170" i="25" s="1"/>
  <c r="R519" i="25"/>
  <c r="S463" i="25"/>
  <c r="R465" i="25"/>
  <c r="P444" i="25"/>
  <c r="Q444" i="25" s="1"/>
  <c r="F444" i="25"/>
  <c r="F445" i="25" s="1"/>
  <c r="F64" i="25" s="1"/>
  <c r="H487" i="25"/>
  <c r="H488" i="25" s="1"/>
  <c r="H105" i="25"/>
  <c r="H106" i="25" s="1"/>
  <c r="K444" i="25"/>
  <c r="K445" i="25" s="1"/>
  <c r="K64" i="25" s="1"/>
  <c r="P336" i="25"/>
  <c r="P337" i="25" s="1"/>
  <c r="D267" i="25"/>
  <c r="D268" i="25" s="1"/>
  <c r="K481" i="25"/>
  <c r="K482" i="25" s="1"/>
  <c r="K97" i="25"/>
  <c r="K98" i="25" s="1"/>
  <c r="K99" i="25" s="1"/>
  <c r="K48" i="25"/>
  <c r="I267" i="25"/>
  <c r="I268" i="25" s="1"/>
  <c r="H149" i="25"/>
  <c r="H150" i="25" s="1"/>
  <c r="M169" i="25"/>
  <c r="M170" i="25" s="1"/>
  <c r="N169" i="25"/>
  <c r="N170" i="25" s="1"/>
  <c r="M481" i="25"/>
  <c r="M97" i="25"/>
  <c r="K366" i="25"/>
  <c r="L357" i="25"/>
  <c r="T457" i="25"/>
  <c r="N352" i="25"/>
  <c r="N353" i="25" s="1"/>
  <c r="S25" i="25"/>
  <c r="N487" i="25"/>
  <c r="N488" i="25" s="1"/>
  <c r="N105" i="25"/>
  <c r="N106" i="25" s="1"/>
  <c r="I444" i="25"/>
  <c r="I445" i="25" s="1"/>
  <c r="I64" i="25" s="1"/>
  <c r="E336" i="25"/>
  <c r="E337" i="25" s="1"/>
  <c r="I292" i="25"/>
  <c r="I293" i="25"/>
  <c r="F199" i="25"/>
  <c r="F200" i="25" s="1"/>
  <c r="J199" i="25"/>
  <c r="J200" i="25" s="1"/>
  <c r="H444" i="25"/>
  <c r="H445" i="25" s="1"/>
  <c r="H64" i="25" s="1"/>
  <c r="O487" i="25"/>
  <c r="O488" i="25" s="1"/>
  <c r="O105" i="25"/>
  <c r="O106" i="25" s="1"/>
  <c r="L444" i="25"/>
  <c r="L445" i="25" s="1"/>
  <c r="L64" i="25" s="1"/>
  <c r="K336" i="25"/>
  <c r="K337" i="25" s="1"/>
  <c r="H336" i="25"/>
  <c r="H337" i="25" s="1"/>
  <c r="I336" i="25"/>
  <c r="I337" i="25" s="1"/>
  <c r="G481" i="25"/>
  <c r="G482" i="25" s="1"/>
  <c r="G97" i="25"/>
  <c r="G98" i="25" s="1"/>
  <c r="G99" i="25" s="1"/>
  <c r="G48" i="25"/>
  <c r="D292" i="25"/>
  <c r="D323" i="25" s="1"/>
  <c r="H197" i="25"/>
  <c r="M191" i="25"/>
  <c r="M194" i="25" s="1"/>
  <c r="L149" i="25"/>
  <c r="L150" i="25" s="1"/>
  <c r="O141" i="25"/>
  <c r="O142" i="25" s="1"/>
  <c r="D111" i="25"/>
  <c r="Q217" i="25"/>
  <c r="R481" i="25"/>
  <c r="R97" i="25"/>
  <c r="S481" i="25"/>
  <c r="S97" i="25"/>
  <c r="U481" i="25"/>
  <c r="U97" i="25"/>
  <c r="I357" i="25"/>
  <c r="J357" i="25"/>
  <c r="N444" i="25"/>
  <c r="N445" i="25" s="1"/>
  <c r="N64" i="25" s="1"/>
  <c r="K199" i="25"/>
  <c r="K200" i="25" s="1"/>
  <c r="F149" i="25"/>
  <c r="F150" i="25" s="1"/>
  <c r="P169" i="25"/>
  <c r="Q169" i="25" s="1"/>
  <c r="J169" i="25"/>
  <c r="J170" i="25" s="1"/>
  <c r="R510" i="25"/>
  <c r="R460" i="25"/>
  <c r="G487" i="25"/>
  <c r="G488" i="25" s="1"/>
  <c r="G105" i="25"/>
  <c r="G106" i="25" s="1"/>
  <c r="S417" i="25"/>
  <c r="M444" i="25"/>
  <c r="M445" i="25" s="1"/>
  <c r="M64" i="25" s="1"/>
  <c r="D444" i="25"/>
  <c r="D445" i="25" s="1"/>
  <c r="D64" i="25" s="1"/>
  <c r="J444" i="25"/>
  <c r="J445" i="25" s="1"/>
  <c r="J64" i="25" s="1"/>
  <c r="F336" i="25"/>
  <c r="F337" i="25" s="1"/>
  <c r="J267" i="25"/>
  <c r="J268" i="25" s="1"/>
  <c r="G267" i="25"/>
  <c r="G268" i="25" s="1"/>
  <c r="G323" i="25"/>
  <c r="E191" i="25"/>
  <c r="E194" i="25" s="1"/>
  <c r="E35" i="25" s="1"/>
  <c r="E196" i="25"/>
  <c r="E323" i="25" s="1"/>
  <c r="P141" i="25"/>
  <c r="P142" i="25" s="1"/>
  <c r="D149" i="25"/>
  <c r="D150" i="25" s="1"/>
  <c r="K352" i="25"/>
  <c r="K353" i="25" s="1"/>
  <c r="I149" i="25"/>
  <c r="I150" i="25" s="1"/>
  <c r="G141" i="25"/>
  <c r="G142" i="25" s="1"/>
  <c r="T176" i="25"/>
  <c r="K176" i="25"/>
  <c r="K160" i="25"/>
  <c r="K161" i="25" s="1"/>
  <c r="K165" i="25" s="1"/>
  <c r="H176" i="25"/>
  <c r="H160" i="25"/>
  <c r="H161" i="25" s="1"/>
  <c r="H165" i="25" s="1"/>
  <c r="Q216" i="25"/>
  <c r="V481" i="25"/>
  <c r="V97" i="25"/>
  <c r="S219" i="25"/>
  <c r="Z481" i="25"/>
  <c r="Z97" i="25"/>
  <c r="D344" i="25"/>
  <c r="N366" i="25"/>
  <c r="G366" i="25"/>
  <c r="F352" i="25"/>
  <c r="F353" i="25" s="1"/>
  <c r="R19" i="25"/>
  <c r="S18" i="25"/>
  <c r="L487" i="25"/>
  <c r="L488" i="25" s="1"/>
  <c r="L105" i="25"/>
  <c r="L106" i="25" s="1"/>
  <c r="N345" i="25"/>
  <c r="N346" i="25" s="1"/>
  <c r="P57" i="25"/>
  <c r="G57" i="25"/>
  <c r="K487" i="25"/>
  <c r="K488" i="25" s="1"/>
  <c r="K105" i="25"/>
  <c r="K106" i="25" s="1"/>
  <c r="P487" i="25"/>
  <c r="P488" i="25" s="1"/>
  <c r="P105" i="25"/>
  <c r="P106" i="25" s="1"/>
  <c r="E444" i="25"/>
  <c r="E445" i="25" s="1"/>
  <c r="E64" i="25" s="1"/>
  <c r="L336" i="25"/>
  <c r="L337" i="25" s="1"/>
  <c r="S253" i="25"/>
  <c r="K267" i="25"/>
  <c r="K268" i="25" s="1"/>
  <c r="F267" i="25"/>
  <c r="F268" i="25" s="1"/>
  <c r="I199" i="25"/>
  <c r="I200" i="25" s="1"/>
  <c r="K149" i="25"/>
  <c r="K150" i="25" s="1"/>
  <c r="L141" i="25"/>
  <c r="L142" i="25" s="1"/>
  <c r="P352" i="25"/>
  <c r="P353" i="25" s="1"/>
  <c r="E393" i="25"/>
  <c r="E394" i="25" s="1"/>
  <c r="Y176" i="25"/>
  <c r="D176" i="25"/>
  <c r="D160" i="25"/>
  <c r="D161" i="25" s="1"/>
  <c r="D165" i="25" s="1"/>
  <c r="S176" i="25"/>
  <c r="E176" i="25"/>
  <c r="E160" i="25"/>
  <c r="E161" i="25" s="1"/>
  <c r="E165" i="25" s="1"/>
  <c r="G176" i="25"/>
  <c r="G160" i="25"/>
  <c r="G161" i="25" s="1"/>
  <c r="G165" i="25" s="1"/>
  <c r="P176" i="25"/>
  <c r="P160" i="25"/>
  <c r="Q160" i="25" s="1"/>
  <c r="Q161" i="25" s="1"/>
  <c r="Q115" i="25"/>
  <c r="G357" i="25"/>
  <c r="X481" i="25"/>
  <c r="X97" i="25"/>
  <c r="D489" i="25"/>
  <c r="D336" i="25"/>
  <c r="D337" i="25" s="1"/>
  <c r="J481" i="25"/>
  <c r="J482" i="25" s="1"/>
  <c r="J489" i="25" s="1"/>
  <c r="J97" i="25"/>
  <c r="J98" i="25" s="1"/>
  <c r="J99" i="25" s="1"/>
  <c r="J48" i="25"/>
  <c r="H481" i="25"/>
  <c r="H482" i="25" s="1"/>
  <c r="H97" i="25"/>
  <c r="H98" i="25" s="1"/>
  <c r="H99" i="25" s="1"/>
  <c r="H48" i="25"/>
  <c r="F481" i="25"/>
  <c r="F482" i="25" s="1"/>
  <c r="F489" i="25" s="1"/>
  <c r="F97" i="25"/>
  <c r="F98" i="25" s="1"/>
  <c r="F99" i="25" s="1"/>
  <c r="F48" i="25"/>
  <c r="H267" i="25"/>
  <c r="H268" i="25" s="1"/>
  <c r="D35" i="25"/>
  <c r="I323" i="25"/>
  <c r="D141" i="25"/>
  <c r="D142" i="25" s="1"/>
  <c r="D394" i="25"/>
  <c r="H352" i="25"/>
  <c r="H353" i="25" s="1"/>
  <c r="O352" i="25"/>
  <c r="O353" i="25" s="1"/>
  <c r="Q176" i="25"/>
  <c r="H169" i="25"/>
  <c r="H170" i="25" s="1"/>
  <c r="G169" i="25"/>
  <c r="G170" i="25" s="1"/>
  <c r="M176" i="25"/>
  <c r="M160" i="25"/>
  <c r="M161" i="25" s="1"/>
  <c r="F176" i="25"/>
  <c r="F160" i="25"/>
  <c r="F161" i="25" s="1"/>
  <c r="F165" i="25" s="1"/>
  <c r="O176" i="25"/>
  <c r="O160" i="25"/>
  <c r="O161" i="25" s="1"/>
  <c r="O165" i="25" s="1"/>
  <c r="X176" i="25"/>
  <c r="J176" i="25"/>
  <c r="J160" i="25"/>
  <c r="J161" i="25" s="1"/>
  <c r="J165" i="25" s="1"/>
  <c r="N481" i="25"/>
  <c r="N97" i="25"/>
  <c r="O481" i="25"/>
  <c r="O97" i="25"/>
  <c r="H366" i="25"/>
  <c r="O357" i="25"/>
  <c r="D366" i="25"/>
  <c r="E366" i="25"/>
  <c r="H344" i="25"/>
  <c r="Q510" i="25"/>
  <c r="Q460" i="25"/>
  <c r="J113" i="25"/>
  <c r="E267" i="25"/>
  <c r="E268" i="25" s="1"/>
  <c r="J352" i="25"/>
  <c r="J353" i="25" s="1"/>
  <c r="P149" i="25"/>
  <c r="Q149" i="25" s="1"/>
  <c r="M345" i="25"/>
  <c r="M346" i="25" s="1"/>
  <c r="J57" i="25"/>
  <c r="M487" i="25"/>
  <c r="M488" i="25" s="1"/>
  <c r="M105" i="25"/>
  <c r="M106" i="25" s="1"/>
  <c r="I487" i="25"/>
  <c r="I488" i="25" s="1"/>
  <c r="J105" i="25"/>
  <c r="J106" i="25" s="1"/>
  <c r="I105" i="25"/>
  <c r="I106" i="25" s="1"/>
  <c r="S423" i="25"/>
  <c r="F406" i="25"/>
  <c r="D197" i="25"/>
  <c r="G114" i="25"/>
  <c r="G121" i="25" s="1"/>
  <c r="G35" i="25"/>
  <c r="L352" i="25"/>
  <c r="L353" i="25" s="1"/>
  <c r="I352" i="25"/>
  <c r="I353" i="25" s="1"/>
  <c r="G352" i="25"/>
  <c r="G353" i="25" s="1"/>
  <c r="M352" i="25"/>
  <c r="M353" i="25" s="1"/>
  <c r="N113" i="25"/>
  <c r="O169" i="25"/>
  <c r="O170" i="25" s="1"/>
  <c r="U176" i="25"/>
  <c r="N176" i="25"/>
  <c r="N160" i="25"/>
  <c r="N161" i="25" s="1"/>
  <c r="N165" i="25" s="1"/>
  <c r="W176" i="25"/>
  <c r="D169" i="25"/>
  <c r="D170" i="25" s="1"/>
  <c r="R176" i="25"/>
  <c r="Q215" i="25"/>
  <c r="T215" i="25"/>
  <c r="R215" i="25"/>
  <c r="S215" i="25"/>
  <c r="W481" i="25"/>
  <c r="W97" i="25"/>
  <c r="Q481" i="25"/>
  <c r="Q97" i="25"/>
  <c r="Q290" i="25"/>
  <c r="L481" i="25"/>
  <c r="L97" i="25"/>
  <c r="I344" i="25"/>
  <c r="H357" i="25"/>
  <c r="L366" i="25"/>
  <c r="M366" i="25"/>
  <c r="O344" i="25"/>
  <c r="P344" i="25"/>
  <c r="Q384" i="25"/>
  <c r="R468" i="25"/>
  <c r="Q465" i="23"/>
  <c r="Q120" i="23" s="1"/>
  <c r="Q171" i="24"/>
  <c r="Q172" i="24" s="1"/>
  <c r="W235" i="24"/>
  <c r="Q419" i="23"/>
  <c r="R419" i="23" s="1"/>
  <c r="S419" i="23" s="1"/>
  <c r="T419" i="23" s="1"/>
  <c r="U419" i="23" s="1"/>
  <c r="V419" i="23" s="1"/>
  <c r="W419" i="23" s="1"/>
  <c r="X419" i="23" s="1"/>
  <c r="Y419" i="23" s="1"/>
  <c r="Z419" i="23" s="1"/>
  <c r="Y235" i="24"/>
  <c r="Q434" i="24"/>
  <c r="Q432" i="24" s="1"/>
  <c r="Q487" i="24" s="1"/>
  <c r="Q439" i="24"/>
  <c r="Q107" i="24" s="1"/>
  <c r="Q75" i="24"/>
  <c r="Q115" i="24"/>
  <c r="Q424" i="24"/>
  <c r="Q469" i="24"/>
  <c r="Q470" i="24" s="1"/>
  <c r="O36" i="24"/>
  <c r="O113" i="24"/>
  <c r="Q246" i="23"/>
  <c r="Q481" i="23" s="1"/>
  <c r="D444" i="24"/>
  <c r="D445" i="24" s="1"/>
  <c r="D64" i="24" s="1"/>
  <c r="P470" i="24"/>
  <c r="O487" i="24"/>
  <c r="O488" i="24" s="1"/>
  <c r="O105" i="24"/>
  <c r="O106" i="24" s="1"/>
  <c r="K336" i="24"/>
  <c r="K337" i="24" s="1"/>
  <c r="N336" i="24"/>
  <c r="N337" i="24" s="1"/>
  <c r="D336" i="24"/>
  <c r="D337" i="24" s="1"/>
  <c r="I36" i="24"/>
  <c r="I113" i="24"/>
  <c r="G197" i="24"/>
  <c r="G160" i="24"/>
  <c r="G161" i="24" s="1"/>
  <c r="G165" i="24" s="1"/>
  <c r="G176" i="24"/>
  <c r="M176" i="24"/>
  <c r="M160" i="24"/>
  <c r="M161" i="24" s="1"/>
  <c r="M165" i="24" s="1"/>
  <c r="Q176" i="24"/>
  <c r="R290" i="24"/>
  <c r="S238" i="24"/>
  <c r="Q246" i="24"/>
  <c r="R247" i="24"/>
  <c r="R510" i="24"/>
  <c r="R460" i="24"/>
  <c r="S457" i="24"/>
  <c r="K169" i="24"/>
  <c r="K170" i="24" s="1"/>
  <c r="J176" i="24"/>
  <c r="J160" i="24"/>
  <c r="J161" i="24" s="1"/>
  <c r="J165" i="24" s="1"/>
  <c r="D489" i="24"/>
  <c r="P57" i="24"/>
  <c r="G444" i="24"/>
  <c r="G445" i="24" s="1"/>
  <c r="G64" i="24" s="1"/>
  <c r="M36" i="24"/>
  <c r="M113" i="24"/>
  <c r="E36" i="24"/>
  <c r="E113" i="24"/>
  <c r="D324" i="24"/>
  <c r="D265" i="24"/>
  <c r="G357" i="24"/>
  <c r="D394" i="24"/>
  <c r="R23" i="24"/>
  <c r="S23" i="24" s="1"/>
  <c r="T23" i="24" s="1"/>
  <c r="U23" i="24" s="1"/>
  <c r="V23" i="24" s="1"/>
  <c r="W23" i="24" s="1"/>
  <c r="X23" i="24" s="1"/>
  <c r="Y23" i="24" s="1"/>
  <c r="Z23" i="24" s="1"/>
  <c r="M169" i="24"/>
  <c r="M170" i="24" s="1"/>
  <c r="P357" i="24"/>
  <c r="S436" i="24"/>
  <c r="R434" i="24"/>
  <c r="K444" i="24"/>
  <c r="K445" i="24" s="1"/>
  <c r="K64" i="24" s="1"/>
  <c r="J336" i="24"/>
  <c r="J337" i="24" s="1"/>
  <c r="L336" i="24"/>
  <c r="L337" i="24" s="1"/>
  <c r="Q235" i="23"/>
  <c r="R235" i="23" s="1"/>
  <c r="S235" i="23" s="1"/>
  <c r="T235" i="23" s="1"/>
  <c r="U235" i="23" s="1"/>
  <c r="P487" i="24"/>
  <c r="P488" i="24" s="1"/>
  <c r="P105" i="24"/>
  <c r="P106" i="24" s="1"/>
  <c r="P444" i="24"/>
  <c r="Q444" i="24" s="1"/>
  <c r="K487" i="24"/>
  <c r="K488" i="24" s="1"/>
  <c r="K105" i="24"/>
  <c r="K106" i="24" s="1"/>
  <c r="T417" i="24"/>
  <c r="U215" i="24" s="1"/>
  <c r="E481" i="24"/>
  <c r="E482" i="24" s="1"/>
  <c r="E489" i="24" s="1"/>
  <c r="E97" i="24"/>
  <c r="E98" i="24" s="1"/>
  <c r="E99" i="24" s="1"/>
  <c r="E48" i="24"/>
  <c r="K149" i="24"/>
  <c r="K150" i="24" s="1"/>
  <c r="P352" i="24"/>
  <c r="P353" i="24" s="1"/>
  <c r="P344" i="24"/>
  <c r="E149" i="24"/>
  <c r="E150" i="24" s="1"/>
  <c r="E323" i="24"/>
  <c r="E197" i="24"/>
  <c r="X176" i="24"/>
  <c r="O444" i="24"/>
  <c r="O445" i="24" s="1"/>
  <c r="O64" i="24" s="1"/>
  <c r="E444" i="24"/>
  <c r="E445" i="24" s="1"/>
  <c r="E64" i="24" s="1"/>
  <c r="O169" i="24"/>
  <c r="O170" i="24" s="1"/>
  <c r="N487" i="24"/>
  <c r="N488" i="24" s="1"/>
  <c r="N105" i="24"/>
  <c r="N106" i="24" s="1"/>
  <c r="F57" i="24"/>
  <c r="L487" i="24"/>
  <c r="L488" i="24" s="1"/>
  <c r="L105" i="24"/>
  <c r="L106" i="24" s="1"/>
  <c r="R427" i="24"/>
  <c r="R219" i="24"/>
  <c r="H444" i="24"/>
  <c r="H445" i="24" s="1"/>
  <c r="H64" i="24" s="1"/>
  <c r="R465" i="24"/>
  <c r="R519" i="24"/>
  <c r="S463" i="24"/>
  <c r="R382" i="24"/>
  <c r="Q384" i="24"/>
  <c r="Q332" i="24"/>
  <c r="P333" i="24"/>
  <c r="G481" i="24"/>
  <c r="G482" i="24" s="1"/>
  <c r="G97" i="24"/>
  <c r="G98" i="24" s="1"/>
  <c r="G99" i="24" s="1"/>
  <c r="G48" i="24"/>
  <c r="J149" i="24"/>
  <c r="J150" i="24" s="1"/>
  <c r="P141" i="24"/>
  <c r="P142" i="24" s="1"/>
  <c r="O141" i="24"/>
  <c r="O142" i="24" s="1"/>
  <c r="J481" i="24"/>
  <c r="J482" i="24" s="1"/>
  <c r="J489" i="24" s="1"/>
  <c r="J48" i="24"/>
  <c r="J97" i="24"/>
  <c r="J98" i="24" s="1"/>
  <c r="J99" i="24" s="1"/>
  <c r="H267" i="24"/>
  <c r="H268" i="24" s="1"/>
  <c r="F169" i="24"/>
  <c r="F170" i="24" s="1"/>
  <c r="L481" i="24"/>
  <c r="L97" i="24"/>
  <c r="M444" i="24"/>
  <c r="M445" i="24" s="1"/>
  <c r="M64" i="24" s="1"/>
  <c r="F336" i="24"/>
  <c r="F337" i="24" s="1"/>
  <c r="P149" i="24"/>
  <c r="Q149" i="24" s="1"/>
  <c r="K267" i="24"/>
  <c r="K268" i="24" s="1"/>
  <c r="N358" i="24"/>
  <c r="N359" i="24" s="1"/>
  <c r="S423" i="24"/>
  <c r="H275" i="24"/>
  <c r="M487" i="24"/>
  <c r="M488" i="24" s="1"/>
  <c r="M105" i="24"/>
  <c r="M106" i="24" s="1"/>
  <c r="N444" i="24"/>
  <c r="N445" i="24" s="1"/>
  <c r="N64" i="24" s="1"/>
  <c r="F324" i="24"/>
  <c r="F323" i="24"/>
  <c r="F265" i="24"/>
  <c r="H292" i="24"/>
  <c r="H293" i="24" s="1"/>
  <c r="H141" i="24"/>
  <c r="H142" i="24" s="1"/>
  <c r="M352" i="24"/>
  <c r="M353" i="24" s="1"/>
  <c r="M344" i="24"/>
  <c r="M357" i="24"/>
  <c r="M366" i="24"/>
  <c r="K352" i="24"/>
  <c r="K353" i="24" s="1"/>
  <c r="K357" i="24"/>
  <c r="K366" i="24"/>
  <c r="K344" i="24"/>
  <c r="Q139" i="24"/>
  <c r="Q187" i="24"/>
  <c r="Q44" i="24"/>
  <c r="Q186" i="24"/>
  <c r="Q154" i="24"/>
  <c r="H169" i="24"/>
  <c r="H170" i="24" s="1"/>
  <c r="G344" i="24"/>
  <c r="I357" i="24"/>
  <c r="S468" i="24"/>
  <c r="J444" i="24"/>
  <c r="J445" i="24" s="1"/>
  <c r="J64" i="24" s="1"/>
  <c r="L444" i="24"/>
  <c r="L445" i="24" s="1"/>
  <c r="L64" i="24" s="1"/>
  <c r="I444" i="24"/>
  <c r="I445" i="24" s="1"/>
  <c r="I64" i="24" s="1"/>
  <c r="F444" i="24"/>
  <c r="F445" i="24" s="1"/>
  <c r="F64" i="24" s="1"/>
  <c r="H336" i="24"/>
  <c r="H337" i="24" s="1"/>
  <c r="E352" i="24"/>
  <c r="E353" i="24" s="1"/>
  <c r="E344" i="24"/>
  <c r="E357" i="24"/>
  <c r="K176" i="24"/>
  <c r="K160" i="24"/>
  <c r="K161" i="24" s="1"/>
  <c r="F357" i="24"/>
  <c r="D367" i="24"/>
  <c r="D368" i="24" s="1"/>
  <c r="G267" i="24"/>
  <c r="G268" i="24" s="1"/>
  <c r="H149" i="24"/>
  <c r="H150" i="24" s="1"/>
  <c r="D292" i="24"/>
  <c r="D293" i="24" s="1"/>
  <c r="P191" i="24"/>
  <c r="P194" i="24" s="1"/>
  <c r="E35" i="24"/>
  <c r="K199" i="24"/>
  <c r="K200" i="24" s="1"/>
  <c r="Q162" i="24"/>
  <c r="Q26" i="24"/>
  <c r="R25" i="24"/>
  <c r="N176" i="24"/>
  <c r="N160" i="24"/>
  <c r="N161" i="24" s="1"/>
  <c r="Y176" i="24"/>
  <c r="R176" i="24"/>
  <c r="S176" i="24"/>
  <c r="N481" i="24"/>
  <c r="N97" i="24"/>
  <c r="P169" i="24"/>
  <c r="Q169" i="24" s="1"/>
  <c r="Q170" i="24" s="1"/>
  <c r="Q216" i="24"/>
  <c r="M481" i="24"/>
  <c r="M97" i="24"/>
  <c r="Q290" i="24"/>
  <c r="O357" i="24"/>
  <c r="F366" i="24"/>
  <c r="G366" i="24"/>
  <c r="H191" i="24"/>
  <c r="H194" i="24" s="1"/>
  <c r="H35" i="24" s="1"/>
  <c r="H196" i="24"/>
  <c r="H323" i="24" s="1"/>
  <c r="G35" i="24"/>
  <c r="Q40" i="24"/>
  <c r="Q109" i="24" s="1"/>
  <c r="K323" i="24"/>
  <c r="J352" i="24"/>
  <c r="J353" i="24" s="1"/>
  <c r="P176" i="24"/>
  <c r="P160" i="24"/>
  <c r="Q160" i="24" s="1"/>
  <c r="Q161" i="24" s="1"/>
  <c r="V176" i="24"/>
  <c r="E176" i="24"/>
  <c r="E160" i="24"/>
  <c r="E161" i="24" s="1"/>
  <c r="E165" i="24" s="1"/>
  <c r="E169" i="24"/>
  <c r="E170" i="24" s="1"/>
  <c r="Z176" i="24"/>
  <c r="G169" i="24"/>
  <c r="G170" i="24" s="1"/>
  <c r="P481" i="24"/>
  <c r="P97" i="24"/>
  <c r="O344" i="24"/>
  <c r="N366" i="24"/>
  <c r="I191" i="24"/>
  <c r="I194" i="24" s="1"/>
  <c r="I35" i="24" s="1"/>
  <c r="I196" i="24"/>
  <c r="I323" i="24" s="1"/>
  <c r="Q419" i="24"/>
  <c r="Q418" i="24"/>
  <c r="R216" i="24" s="1"/>
  <c r="Q409" i="24"/>
  <c r="Q313" i="24"/>
  <c r="Q193" i="24"/>
  <c r="Q190" i="24"/>
  <c r="Q184" i="24"/>
  <c r="R29" i="24"/>
  <c r="Q28" i="24"/>
  <c r="Q163" i="24"/>
  <c r="S21" i="24"/>
  <c r="R22" i="24"/>
  <c r="O176" i="24"/>
  <c r="O160" i="24"/>
  <c r="O161" i="24" s="1"/>
  <c r="O165" i="24" s="1"/>
  <c r="W176" i="24"/>
  <c r="U176" i="24"/>
  <c r="N169" i="24"/>
  <c r="N170" i="24" s="1"/>
  <c r="Q217" i="24"/>
  <c r="O481" i="24"/>
  <c r="O97" i="24"/>
  <c r="Q510" i="24"/>
  <c r="Q460" i="24"/>
  <c r="T253" i="24"/>
  <c r="H481" i="24"/>
  <c r="H482" i="24" s="1"/>
  <c r="H489" i="24" s="1"/>
  <c r="H97" i="24"/>
  <c r="H98" i="24" s="1"/>
  <c r="H99" i="24" s="1"/>
  <c r="H48" i="24"/>
  <c r="I352" i="24"/>
  <c r="I353" i="24" s="1"/>
  <c r="G141" i="24"/>
  <c r="G142" i="24" s="1"/>
  <c r="H352" i="24"/>
  <c r="H353" i="24" s="1"/>
  <c r="O352" i="24"/>
  <c r="O353" i="24" s="1"/>
  <c r="N352" i="24"/>
  <c r="N353" i="24" s="1"/>
  <c r="L352" i="24"/>
  <c r="L353" i="24" s="1"/>
  <c r="D35" i="24"/>
  <c r="J35" i="24"/>
  <c r="D169" i="24"/>
  <c r="D170" i="24" s="1"/>
  <c r="L169" i="24"/>
  <c r="L170" i="24" s="1"/>
  <c r="I169" i="24"/>
  <c r="I170" i="24" s="1"/>
  <c r="D176" i="24"/>
  <c r="D160" i="24"/>
  <c r="D161" i="24" s="1"/>
  <c r="D165" i="24" s="1"/>
  <c r="I344" i="24"/>
  <c r="J292" i="24"/>
  <c r="J293" i="24" s="1"/>
  <c r="E267" i="24"/>
  <c r="E268" i="24"/>
  <c r="I481" i="24"/>
  <c r="I482" i="24" s="1"/>
  <c r="I489" i="24" s="1"/>
  <c r="I97" i="24"/>
  <c r="I98" i="24" s="1"/>
  <c r="I99" i="24" s="1"/>
  <c r="I48" i="24"/>
  <c r="G352" i="24"/>
  <c r="G353" i="24" s="1"/>
  <c r="I267" i="24"/>
  <c r="I268" i="24" s="1"/>
  <c r="F352" i="24"/>
  <c r="F353" i="24" s="1"/>
  <c r="D352" i="24"/>
  <c r="D353" i="24" s="1"/>
  <c r="D199" i="24"/>
  <c r="D200" i="24" s="1"/>
  <c r="H160" i="24"/>
  <c r="H161" i="24" s="1"/>
  <c r="H165" i="24" s="1"/>
  <c r="H176" i="24"/>
  <c r="T215" i="24"/>
  <c r="S215" i="24"/>
  <c r="R215" i="24"/>
  <c r="Q215" i="24"/>
  <c r="L176" i="24"/>
  <c r="L160" i="24"/>
  <c r="L161" i="24" s="1"/>
  <c r="L165" i="24" s="1"/>
  <c r="I366" i="24"/>
  <c r="N344" i="24"/>
  <c r="D357" i="24"/>
  <c r="K481" i="24"/>
  <c r="K482" i="24" s="1"/>
  <c r="K97" i="24"/>
  <c r="K98" i="24" s="1"/>
  <c r="K99" i="24" s="1"/>
  <c r="K48" i="24"/>
  <c r="J267" i="24"/>
  <c r="J268" i="24" s="1"/>
  <c r="Q84" i="24"/>
  <c r="G113" i="24"/>
  <c r="D323" i="24"/>
  <c r="F111" i="24"/>
  <c r="R19" i="24"/>
  <c r="S18" i="24"/>
  <c r="J197" i="24"/>
  <c r="J169" i="24"/>
  <c r="J170" i="24" s="1"/>
  <c r="F176" i="24"/>
  <c r="F160" i="24"/>
  <c r="F161" i="24" s="1"/>
  <c r="I160" i="24"/>
  <c r="I161" i="24" s="1"/>
  <c r="I176" i="24"/>
  <c r="X235" i="24"/>
  <c r="T176" i="24"/>
  <c r="V235" i="24"/>
  <c r="Q235" i="24"/>
  <c r="R235" i="24" s="1"/>
  <c r="S235" i="24" s="1"/>
  <c r="T235" i="24" s="1"/>
  <c r="U235" i="24" s="1"/>
  <c r="D344" i="24"/>
  <c r="L357" i="24"/>
  <c r="H366" i="24"/>
  <c r="P293" i="23"/>
  <c r="Q190" i="23"/>
  <c r="Q262" i="23" s="1"/>
  <c r="Q265" i="23" s="1"/>
  <c r="Q28" i="23"/>
  <c r="R28" i="23" s="1"/>
  <c r="S28" i="23" s="1"/>
  <c r="T28" i="23" s="1"/>
  <c r="U28" i="23" s="1"/>
  <c r="V28" i="23" s="1"/>
  <c r="W28" i="23" s="1"/>
  <c r="X28" i="23" s="1"/>
  <c r="Y28" i="23" s="1"/>
  <c r="Z28" i="23" s="1"/>
  <c r="Q193" i="23"/>
  <c r="Q272" i="23" s="1"/>
  <c r="Q72" i="23"/>
  <c r="R72" i="23" s="1"/>
  <c r="S72" i="23" s="1"/>
  <c r="T72" i="23" s="1"/>
  <c r="U72" i="23" s="1"/>
  <c r="V72" i="23" s="1"/>
  <c r="W72" i="23" s="1"/>
  <c r="X72" i="23" s="1"/>
  <c r="Y72" i="23" s="1"/>
  <c r="Z72" i="23" s="1"/>
  <c r="Q75" i="23"/>
  <c r="R75" i="23" s="1"/>
  <c r="Q409" i="23"/>
  <c r="Q515" i="23" s="1"/>
  <c r="Q313" i="23"/>
  <c r="R313" i="23" s="1"/>
  <c r="P275" i="23"/>
  <c r="Q115" i="23"/>
  <c r="O345" i="23"/>
  <c r="O346" i="23" s="1"/>
  <c r="P36" i="23"/>
  <c r="P113" i="23"/>
  <c r="N36" i="23"/>
  <c r="N113" i="23"/>
  <c r="G267" i="23"/>
  <c r="G268" i="23" s="1"/>
  <c r="J267" i="23"/>
  <c r="J268" i="23" s="1"/>
  <c r="R434" i="23"/>
  <c r="S436" i="23"/>
  <c r="I336" i="23"/>
  <c r="I337" i="23" s="1"/>
  <c r="O336" i="23"/>
  <c r="O337" i="23" s="1"/>
  <c r="D336" i="23"/>
  <c r="D337" i="23" s="1"/>
  <c r="N149" i="23"/>
  <c r="N150" i="23" s="1"/>
  <c r="I267" i="23"/>
  <c r="I268" i="23" s="1"/>
  <c r="R510" i="23"/>
  <c r="R460" i="23"/>
  <c r="S457" i="23"/>
  <c r="P199" i="23"/>
  <c r="Q199" i="23" s="1"/>
  <c r="P176" i="23"/>
  <c r="P160" i="23"/>
  <c r="Q160" i="23" s="1"/>
  <c r="Q161" i="23" s="1"/>
  <c r="F169" i="23"/>
  <c r="F170" i="23" s="1"/>
  <c r="R279" i="23"/>
  <c r="Q280" i="23"/>
  <c r="L345" i="23"/>
  <c r="L346" i="23" s="1"/>
  <c r="Q109" i="23"/>
  <c r="Q40" i="23"/>
  <c r="J444" i="23"/>
  <c r="J445" i="23" s="1"/>
  <c r="J64" i="23" s="1"/>
  <c r="D267" i="23"/>
  <c r="D268" i="23" s="1"/>
  <c r="E176" i="23"/>
  <c r="E160" i="23"/>
  <c r="E161" i="23" s="1"/>
  <c r="L324" i="23"/>
  <c r="R264" i="23"/>
  <c r="Q266" i="23"/>
  <c r="H358" i="23"/>
  <c r="H359" i="23" s="1"/>
  <c r="N366" i="23"/>
  <c r="Q434" i="23"/>
  <c r="G275" i="23"/>
  <c r="H323" i="23"/>
  <c r="H113" i="23"/>
  <c r="H129" i="23" s="1"/>
  <c r="H444" i="23"/>
  <c r="H445" i="23" s="1"/>
  <c r="H64" i="23" s="1"/>
  <c r="R290" i="23"/>
  <c r="G169" i="23"/>
  <c r="G170" i="23" s="1"/>
  <c r="E345" i="23"/>
  <c r="E346" i="23" s="1"/>
  <c r="F57" i="23"/>
  <c r="G352" i="23"/>
  <c r="G353" i="23" s="1"/>
  <c r="M323" i="23"/>
  <c r="O481" i="23"/>
  <c r="O482" i="23" s="1"/>
  <c r="O97" i="23"/>
  <c r="O98" i="23" s="1"/>
  <c r="O99" i="23" s="1"/>
  <c r="O176" i="23"/>
  <c r="O160" i="23"/>
  <c r="O161" i="23" s="1"/>
  <c r="O165" i="23" s="1"/>
  <c r="K487" i="23"/>
  <c r="K488" i="23" s="1"/>
  <c r="K105" i="23"/>
  <c r="K106" i="23" s="1"/>
  <c r="K111" i="23" s="1"/>
  <c r="E444" i="23"/>
  <c r="E445" i="23" s="1"/>
  <c r="E64" i="23" s="1"/>
  <c r="L336" i="23"/>
  <c r="L337" i="23" s="1"/>
  <c r="M444" i="23"/>
  <c r="M445" i="23" s="1"/>
  <c r="M64" i="23" s="1"/>
  <c r="G336" i="23"/>
  <c r="G337" i="23" s="1"/>
  <c r="E35" i="23"/>
  <c r="K199" i="23"/>
  <c r="K200" i="23" s="1"/>
  <c r="N352" i="23"/>
  <c r="N353" i="23" s="1"/>
  <c r="J323" i="23"/>
  <c r="E394" i="23"/>
  <c r="M149" i="23"/>
  <c r="M150" i="23" s="1"/>
  <c r="D352" i="23"/>
  <c r="D353" i="23" s="1"/>
  <c r="K150" i="23"/>
  <c r="K149" i="23"/>
  <c r="U176" i="23"/>
  <c r="G323" i="23"/>
  <c r="V235" i="23"/>
  <c r="I169" i="23"/>
  <c r="I170" i="23" s="1"/>
  <c r="F176" i="23"/>
  <c r="F160" i="23"/>
  <c r="F161" i="23" s="1"/>
  <c r="F165" i="23" s="1"/>
  <c r="W176" i="23"/>
  <c r="X235" i="23"/>
  <c r="L169" i="23"/>
  <c r="L170" i="23" s="1"/>
  <c r="M169" i="23"/>
  <c r="M170" i="23" s="1"/>
  <c r="S215" i="23"/>
  <c r="R215" i="23"/>
  <c r="Q215" i="23"/>
  <c r="L258" i="23"/>
  <c r="L259" i="23" s="1"/>
  <c r="I357" i="23"/>
  <c r="R468" i="23"/>
  <c r="K141" i="23"/>
  <c r="K142" i="23" s="1"/>
  <c r="N196" i="23"/>
  <c r="N323" i="23" s="1"/>
  <c r="N191" i="23"/>
  <c r="N194" i="23" s="1"/>
  <c r="S22" i="23"/>
  <c r="T21" i="23"/>
  <c r="K53" i="23"/>
  <c r="L268" i="23"/>
  <c r="D199" i="23"/>
  <c r="D200" i="23" s="1"/>
  <c r="I141" i="23"/>
  <c r="I142" i="23" s="1"/>
  <c r="G141" i="23"/>
  <c r="G142" i="23" s="1"/>
  <c r="H199" i="23"/>
  <c r="H200" i="23" s="1"/>
  <c r="L352" i="23"/>
  <c r="L353" i="23" s="1"/>
  <c r="I444" i="23"/>
  <c r="I445" i="23" s="1"/>
  <c r="I64" i="23" s="1"/>
  <c r="L57" i="23"/>
  <c r="I57" i="23"/>
  <c r="P57" i="23"/>
  <c r="L444" i="23"/>
  <c r="L445" i="23" s="1"/>
  <c r="L64" i="23" s="1"/>
  <c r="J487" i="23"/>
  <c r="J488" i="23" s="1"/>
  <c r="J105" i="23"/>
  <c r="J106" i="23" s="1"/>
  <c r="I487" i="23"/>
  <c r="I488" i="23" s="1"/>
  <c r="I105" i="23"/>
  <c r="I106" i="23" s="1"/>
  <c r="P470" i="23"/>
  <c r="L487" i="23"/>
  <c r="L488" i="23" s="1"/>
  <c r="L105" i="23"/>
  <c r="L106" i="23" s="1"/>
  <c r="E197" i="23"/>
  <c r="K323" i="23"/>
  <c r="F352" i="23"/>
  <c r="F353" i="23" s="1"/>
  <c r="F149" i="23"/>
  <c r="F150" i="23" s="1"/>
  <c r="M352" i="23"/>
  <c r="M353" i="23" s="1"/>
  <c r="E149" i="23"/>
  <c r="E150" i="23" s="1"/>
  <c r="P481" i="23"/>
  <c r="P482" i="23" s="1"/>
  <c r="P97" i="23"/>
  <c r="P98" i="23" s="1"/>
  <c r="P99" i="23" s="1"/>
  <c r="N160" i="23"/>
  <c r="N161" i="23" s="1"/>
  <c r="N176" i="23"/>
  <c r="K169" i="23"/>
  <c r="K170" i="23" s="1"/>
  <c r="S247" i="23"/>
  <c r="L481" i="23"/>
  <c r="L482" i="23" s="1"/>
  <c r="L97" i="23"/>
  <c r="L98" i="23" s="1"/>
  <c r="L99" i="23" s="1"/>
  <c r="S238" i="23"/>
  <c r="P227" i="23"/>
  <c r="P35" i="23" s="1"/>
  <c r="P48" i="23"/>
  <c r="R301" i="23"/>
  <c r="Q302" i="23"/>
  <c r="M366" i="23"/>
  <c r="Q510" i="23"/>
  <c r="Q460" i="23"/>
  <c r="O149" i="23"/>
  <c r="O150" i="23" s="1"/>
  <c r="F196" i="23"/>
  <c r="F197" i="23" s="1"/>
  <c r="F191" i="23"/>
  <c r="F194" i="23" s="1"/>
  <c r="F35" i="23" s="1"/>
  <c r="R18" i="23"/>
  <c r="Q19" i="23"/>
  <c r="F113" i="23"/>
  <c r="F129" i="23" s="1"/>
  <c r="H487" i="23"/>
  <c r="H488" i="23" s="1"/>
  <c r="H489" i="23" s="1"/>
  <c r="H105" i="23"/>
  <c r="H106" i="23" s="1"/>
  <c r="H111" i="23" s="1"/>
  <c r="D57" i="23"/>
  <c r="S463" i="23"/>
  <c r="R519" i="23"/>
  <c r="R465" i="23"/>
  <c r="D444" i="23"/>
  <c r="D445" i="23" s="1"/>
  <c r="D64" i="23" s="1"/>
  <c r="S423" i="23"/>
  <c r="E267" i="23"/>
  <c r="E268" i="23" s="1"/>
  <c r="P352" i="23"/>
  <c r="P353" i="23" s="1"/>
  <c r="E352" i="23"/>
  <c r="E353" i="23" s="1"/>
  <c r="S253" i="23"/>
  <c r="K352" i="23"/>
  <c r="K353" i="23" s="1"/>
  <c r="D176" i="23"/>
  <c r="D160" i="23"/>
  <c r="D161" i="23" s="1"/>
  <c r="V176" i="23"/>
  <c r="W235" i="23"/>
  <c r="J176" i="23"/>
  <c r="J160" i="23"/>
  <c r="J161" i="23" s="1"/>
  <c r="P259" i="23"/>
  <c r="P324" i="23"/>
  <c r="Q256" i="23"/>
  <c r="M267" i="23"/>
  <c r="M268" i="23" s="1"/>
  <c r="R305" i="23"/>
  <c r="Q306" i="23"/>
  <c r="N259" i="23"/>
  <c r="N324" i="23"/>
  <c r="G357" i="23"/>
  <c r="R309" i="23"/>
  <c r="Q310" i="23"/>
  <c r="K366" i="23"/>
  <c r="F344" i="23"/>
  <c r="D357" i="23"/>
  <c r="P366" i="23"/>
  <c r="Q384" i="23"/>
  <c r="G149" i="23"/>
  <c r="G150" i="23" s="1"/>
  <c r="P265" i="23"/>
  <c r="G444" i="23"/>
  <c r="G445" i="23" s="1"/>
  <c r="G64" i="23" s="1"/>
  <c r="R297" i="23"/>
  <c r="Q298" i="23"/>
  <c r="J352" i="23"/>
  <c r="J353" i="23" s="1"/>
  <c r="E169" i="23"/>
  <c r="E170" i="23" s="1"/>
  <c r="N444" i="23"/>
  <c r="N445" i="23"/>
  <c r="N64" i="23" s="1"/>
  <c r="O487" i="23"/>
  <c r="O488" i="23" s="1"/>
  <c r="O105" i="23"/>
  <c r="O106" i="23" s="1"/>
  <c r="K444" i="23"/>
  <c r="K445" i="23" s="1"/>
  <c r="K64" i="23" s="1"/>
  <c r="K336" i="23"/>
  <c r="K337" i="23" s="1"/>
  <c r="J336" i="23"/>
  <c r="J337" i="23" s="1"/>
  <c r="N293" i="23"/>
  <c r="Q146" i="23"/>
  <c r="H352" i="23"/>
  <c r="H353" i="23" s="1"/>
  <c r="L323" i="23"/>
  <c r="M176" i="23"/>
  <c r="M160" i="23"/>
  <c r="M161" i="23" s="1"/>
  <c r="M165" i="23" s="1"/>
  <c r="I352" i="23"/>
  <c r="I353" i="23" s="1"/>
  <c r="Q216" i="23"/>
  <c r="H169" i="23"/>
  <c r="H170" i="23" s="1"/>
  <c r="L176" i="23"/>
  <c r="L160" i="23"/>
  <c r="L161" i="23" s="1"/>
  <c r="J169" i="23"/>
  <c r="J170" i="23" s="1"/>
  <c r="Q217" i="23"/>
  <c r="L227" i="23"/>
  <c r="L35" i="23" s="1"/>
  <c r="L48" i="23"/>
  <c r="R246" i="23"/>
  <c r="Y235" i="23"/>
  <c r="R176" i="23"/>
  <c r="O227" i="23"/>
  <c r="O35" i="23" s="1"/>
  <c r="O48" i="23"/>
  <c r="M481" i="23"/>
  <c r="M482" i="23" s="1"/>
  <c r="M97" i="23"/>
  <c r="M98" i="23" s="1"/>
  <c r="M99" i="23" s="1"/>
  <c r="K176" i="23"/>
  <c r="K160" i="23"/>
  <c r="K161" i="23" s="1"/>
  <c r="K165" i="23" s="1"/>
  <c r="K344" i="23"/>
  <c r="P344" i="23"/>
  <c r="K357" i="23"/>
  <c r="D366" i="23"/>
  <c r="N344" i="23"/>
  <c r="L357" i="23"/>
  <c r="H265" i="23"/>
  <c r="H53" i="23" s="1"/>
  <c r="E487" i="23"/>
  <c r="E488" i="23" s="1"/>
  <c r="E489" i="23" s="1"/>
  <c r="F105" i="23"/>
  <c r="F106" i="23" s="1"/>
  <c r="F111" i="23" s="1"/>
  <c r="E105" i="23"/>
  <c r="E106" i="23" s="1"/>
  <c r="E111" i="23" s="1"/>
  <c r="E336" i="23"/>
  <c r="E337" i="23" s="1"/>
  <c r="Q176" i="23"/>
  <c r="M324" i="23"/>
  <c r="F267" i="23"/>
  <c r="F268" i="23" s="1"/>
  <c r="D169" i="23"/>
  <c r="D170" i="23" s="1"/>
  <c r="M487" i="23"/>
  <c r="M488" i="23" s="1"/>
  <c r="N105" i="23"/>
  <c r="N106" i="23" s="1"/>
  <c r="M105" i="23"/>
  <c r="M106" i="23" s="1"/>
  <c r="F444" i="23"/>
  <c r="F445" i="23" s="1"/>
  <c r="F64" i="23" s="1"/>
  <c r="P487" i="23"/>
  <c r="P488" i="23" s="1"/>
  <c r="P105" i="23"/>
  <c r="P106" i="23" s="1"/>
  <c r="G487" i="23"/>
  <c r="G488" i="23" s="1"/>
  <c r="G489" i="23" s="1"/>
  <c r="G105" i="23"/>
  <c r="G106" i="23" s="1"/>
  <c r="G111" i="23" s="1"/>
  <c r="P444" i="23"/>
  <c r="Q444" i="23" s="1"/>
  <c r="O444" i="23"/>
  <c r="O445" i="23" s="1"/>
  <c r="O64" i="23" s="1"/>
  <c r="K267" i="23"/>
  <c r="K268" i="23" s="1"/>
  <c r="J481" i="23"/>
  <c r="J482" i="23" s="1"/>
  <c r="J97" i="23"/>
  <c r="J98" i="23" s="1"/>
  <c r="J99" i="23" s="1"/>
  <c r="J48" i="23"/>
  <c r="O200" i="23"/>
  <c r="P149" i="23"/>
  <c r="Q149" i="23" s="1"/>
  <c r="R149" i="23" s="1"/>
  <c r="S149" i="23" s="1"/>
  <c r="T149" i="23" s="1"/>
  <c r="U149" i="23" s="1"/>
  <c r="V149" i="23" s="1"/>
  <c r="W149" i="23" s="1"/>
  <c r="X149" i="23" s="1"/>
  <c r="Y149" i="23" s="1"/>
  <c r="Z149" i="23" s="1"/>
  <c r="I35" i="23"/>
  <c r="D35" i="23"/>
  <c r="O323" i="23"/>
  <c r="O141" i="23"/>
  <c r="O142" i="23" s="1"/>
  <c r="P169" i="23"/>
  <c r="Q169" i="23" s="1"/>
  <c r="Q170" i="23" s="1"/>
  <c r="T176" i="23"/>
  <c r="H176" i="23"/>
  <c r="H160" i="23"/>
  <c r="H161" i="23" s="1"/>
  <c r="Q290" i="23"/>
  <c r="Q293" i="23" s="1"/>
  <c r="I176" i="23"/>
  <c r="I160" i="23"/>
  <c r="I161" i="23" s="1"/>
  <c r="I165" i="23" s="1"/>
  <c r="Z176" i="23"/>
  <c r="S176" i="23"/>
  <c r="N481" i="23"/>
  <c r="N482" i="23" s="1"/>
  <c r="N489" i="23" s="1"/>
  <c r="N97" i="23"/>
  <c r="N98" i="23" s="1"/>
  <c r="N99" i="23" s="1"/>
  <c r="O267" i="23"/>
  <c r="O268" i="23" s="1"/>
  <c r="J344" i="23"/>
  <c r="J366" i="23"/>
  <c r="Q314" i="23"/>
  <c r="R314" i="23" s="1"/>
  <c r="S314" i="23" s="1"/>
  <c r="T314" i="23" s="1"/>
  <c r="U314" i="23" s="1"/>
  <c r="V314" i="23" s="1"/>
  <c r="W314" i="23" s="1"/>
  <c r="X314" i="23" s="1"/>
  <c r="Y314" i="23" s="1"/>
  <c r="Z314" i="23" s="1"/>
  <c r="P315" i="23"/>
  <c r="G344" i="23"/>
  <c r="D344" i="23"/>
  <c r="L366" i="23"/>
  <c r="F357" i="23"/>
  <c r="R25" i="23"/>
  <c r="Q26" i="23"/>
  <c r="S427" i="23"/>
  <c r="F292" i="23"/>
  <c r="I149" i="23"/>
  <c r="I150" i="23" s="1"/>
  <c r="M227" i="23"/>
  <c r="M35" i="23" s="1"/>
  <c r="M48" i="23"/>
  <c r="O324" i="23"/>
  <c r="S417" i="23"/>
  <c r="T215" i="23" s="1"/>
  <c r="N57" i="23"/>
  <c r="O352" i="23"/>
  <c r="O353" i="23" s="1"/>
  <c r="N268" i="23"/>
  <c r="I481" i="23"/>
  <c r="I482" i="23" s="1"/>
  <c r="I97" i="23"/>
  <c r="I98" i="23" s="1"/>
  <c r="I99" i="23" s="1"/>
  <c r="I48" i="23"/>
  <c r="M197" i="23"/>
  <c r="G199" i="23"/>
  <c r="G200" i="23" s="1"/>
  <c r="G53" i="23"/>
  <c r="I199" i="23"/>
  <c r="I200" i="23"/>
  <c r="D394" i="23"/>
  <c r="D323" i="23"/>
  <c r="R219" i="23"/>
  <c r="G176" i="23"/>
  <c r="G160" i="23"/>
  <c r="G161" i="23" s="1"/>
  <c r="G165" i="23" s="1"/>
  <c r="X176" i="23"/>
  <c r="Y176" i="23"/>
  <c r="N227" i="23"/>
  <c r="N48" i="23"/>
  <c r="N169" i="23"/>
  <c r="N170" i="23" s="1"/>
  <c r="O169" i="23"/>
  <c r="O170" i="23" s="1"/>
  <c r="H344" i="23"/>
  <c r="M258" i="23"/>
  <c r="M259" i="23" s="1"/>
  <c r="O258" i="23"/>
  <c r="O259" i="23" s="1"/>
  <c r="E357" i="23"/>
  <c r="M344" i="23"/>
  <c r="F366" i="23"/>
  <c r="O366" i="23"/>
  <c r="P323" i="23"/>
  <c r="Q196" i="23"/>
  <c r="H35" i="23"/>
  <c r="K199" i="16"/>
  <c r="K200" i="16" s="1"/>
  <c r="K336" i="16"/>
  <c r="K337" i="16" s="1"/>
  <c r="K265" i="16"/>
  <c r="K292" i="16"/>
  <c r="K293" i="16" s="1"/>
  <c r="K149" i="16"/>
  <c r="K150" i="16" s="1"/>
  <c r="Q202" i="25" l="1"/>
  <c r="C196" i="23" a="1"/>
  <c r="C196" i="23" s="1"/>
  <c r="I489" i="25"/>
  <c r="J323" i="24"/>
  <c r="K46" i="24"/>
  <c r="J35" i="23"/>
  <c r="D111" i="23"/>
  <c r="K489" i="23"/>
  <c r="G406" i="23"/>
  <c r="I489" i="23"/>
  <c r="I46" i="25"/>
  <c r="F393" i="23"/>
  <c r="F394" i="23" s="1"/>
  <c r="F396" i="23" s="1"/>
  <c r="F397" i="23" s="1"/>
  <c r="F293" i="23"/>
  <c r="L489" i="23"/>
  <c r="L51" i="23" s="1"/>
  <c r="I197" i="24"/>
  <c r="I53" i="24" s="1"/>
  <c r="P150" i="24"/>
  <c r="Q471" i="24"/>
  <c r="H489" i="25"/>
  <c r="I111" i="25"/>
  <c r="I53" i="25"/>
  <c r="G489" i="24"/>
  <c r="S418" i="23"/>
  <c r="T216" i="23" s="1"/>
  <c r="E392" i="24"/>
  <c r="E393" i="24"/>
  <c r="F406" i="24"/>
  <c r="G46" i="23"/>
  <c r="M489" i="23"/>
  <c r="M497" i="23" s="1"/>
  <c r="K489" i="25"/>
  <c r="D51" i="23"/>
  <c r="D497" i="23"/>
  <c r="Q514" i="23"/>
  <c r="R413" i="23"/>
  <c r="S413" i="23" s="1"/>
  <c r="Q516" i="23"/>
  <c r="Q514" i="25"/>
  <c r="Q123" i="25"/>
  <c r="Q123" i="23"/>
  <c r="R332" i="23"/>
  <c r="R123" i="23" s="1"/>
  <c r="Q172" i="23"/>
  <c r="R172" i="23" s="1"/>
  <c r="S172" i="23" s="1"/>
  <c r="T172" i="23" s="1"/>
  <c r="U172" i="23" s="1"/>
  <c r="V172" i="23" s="1"/>
  <c r="W172" i="23" s="1"/>
  <c r="X172" i="23" s="1"/>
  <c r="Y172" i="23" s="1"/>
  <c r="Z172" i="23" s="1"/>
  <c r="Q537" i="25"/>
  <c r="Q164" i="23"/>
  <c r="R164" i="23" s="1"/>
  <c r="S164" i="23" s="1"/>
  <c r="T164" i="23" s="1"/>
  <c r="U164" i="23" s="1"/>
  <c r="V164" i="23" s="1"/>
  <c r="W164" i="23" s="1"/>
  <c r="X164" i="23" s="1"/>
  <c r="Y164" i="23" s="1"/>
  <c r="Z164" i="23" s="1"/>
  <c r="K36" i="17"/>
  <c r="K113" i="17"/>
  <c r="R216" i="23"/>
  <c r="R186" i="25"/>
  <c r="Q470" i="23"/>
  <c r="Q471" i="23" s="1"/>
  <c r="R120" i="24"/>
  <c r="R146" i="24"/>
  <c r="R475" i="24" s="1"/>
  <c r="R120" i="25"/>
  <c r="Q410" i="25"/>
  <c r="Q124" i="25" s="1"/>
  <c r="Q107" i="23"/>
  <c r="Q494" i="23" s="1"/>
  <c r="Q502" i="23" s="1"/>
  <c r="Q414" i="24"/>
  <c r="Q125" i="24" s="1"/>
  <c r="Q410" i="23"/>
  <c r="Q450" i="23" s="1"/>
  <c r="Q126" i="23" s="1"/>
  <c r="R75" i="25"/>
  <c r="S75" i="25" s="1"/>
  <c r="Q203" i="25"/>
  <c r="Q205" i="25" s="1"/>
  <c r="Q204" i="25" s="1"/>
  <c r="Q182" i="25" s="1"/>
  <c r="Q449" i="25"/>
  <c r="Q517" i="25" s="1"/>
  <c r="R72" i="25"/>
  <c r="S72" i="25" s="1"/>
  <c r="T72" i="25" s="1"/>
  <c r="U72" i="25" s="1"/>
  <c r="V72" i="25" s="1"/>
  <c r="W72" i="25" s="1"/>
  <c r="X72" i="25" s="1"/>
  <c r="Y72" i="25" s="1"/>
  <c r="Z72" i="25" s="1"/>
  <c r="R163" i="25"/>
  <c r="S163" i="25" s="1"/>
  <c r="T163" i="25" s="1"/>
  <c r="U163" i="25" s="1"/>
  <c r="V163" i="25" s="1"/>
  <c r="W163" i="25" s="1"/>
  <c r="X163" i="25" s="1"/>
  <c r="Y163" i="25" s="1"/>
  <c r="Z163" i="25" s="1"/>
  <c r="R162" i="25"/>
  <c r="S162" i="25" s="1"/>
  <c r="T162" i="25" s="1"/>
  <c r="U162" i="25" s="1"/>
  <c r="V162" i="25" s="1"/>
  <c r="W162" i="25" s="1"/>
  <c r="X162" i="25" s="1"/>
  <c r="Y162" i="25" s="1"/>
  <c r="Z162" i="25" s="1"/>
  <c r="R149" i="25"/>
  <c r="S149" i="25" s="1"/>
  <c r="T149" i="25" s="1"/>
  <c r="U149" i="25" s="1"/>
  <c r="V149" i="25" s="1"/>
  <c r="W149" i="25" s="1"/>
  <c r="X149" i="25" s="1"/>
  <c r="Y149" i="25" s="1"/>
  <c r="Z149" i="25" s="1"/>
  <c r="R188" i="24"/>
  <c r="R418" i="25"/>
  <c r="S418" i="25" s="1"/>
  <c r="T216" i="25" s="1"/>
  <c r="R185" i="25"/>
  <c r="S185" i="25" s="1"/>
  <c r="T185" i="25" s="1"/>
  <c r="U185" i="25" s="1"/>
  <c r="V185" i="25" s="1"/>
  <c r="W185" i="25" s="1"/>
  <c r="X185" i="25" s="1"/>
  <c r="Y185" i="25" s="1"/>
  <c r="Z185" i="25" s="1"/>
  <c r="R139" i="25"/>
  <c r="R216" i="25"/>
  <c r="R218" i="25" s="1"/>
  <c r="R114" i="25" s="1"/>
  <c r="Y217" i="23"/>
  <c r="R188" i="25"/>
  <c r="R26" i="25"/>
  <c r="R202" i="25" s="1"/>
  <c r="W217" i="23"/>
  <c r="Q414" i="25"/>
  <c r="Q125" i="25" s="1"/>
  <c r="R84" i="25"/>
  <c r="S84" i="25" s="1"/>
  <c r="T84" i="25" s="1"/>
  <c r="U84" i="25" s="1"/>
  <c r="V84" i="25" s="1"/>
  <c r="W84" i="25" s="1"/>
  <c r="X84" i="25" s="1"/>
  <c r="Y84" i="25" s="1"/>
  <c r="Z84" i="25" s="1"/>
  <c r="R424" i="25"/>
  <c r="S424" i="25" s="1"/>
  <c r="R332" i="25"/>
  <c r="R333" i="25" s="1"/>
  <c r="R146" i="25"/>
  <c r="R475" i="25" s="1"/>
  <c r="R409" i="25"/>
  <c r="R515" i="25" s="1"/>
  <c r="Q516" i="25"/>
  <c r="R469" i="25"/>
  <c r="S469" i="25" s="1"/>
  <c r="T469" i="25" s="1"/>
  <c r="U469" i="25" s="1"/>
  <c r="V469" i="25" s="1"/>
  <c r="W469" i="25" s="1"/>
  <c r="X469" i="25" s="1"/>
  <c r="Y469" i="25" s="1"/>
  <c r="Z469" i="25" s="1"/>
  <c r="R413" i="25"/>
  <c r="R516" i="25" s="1"/>
  <c r="R187" i="25"/>
  <c r="R439" i="25"/>
  <c r="S439" i="25" s="1"/>
  <c r="R193" i="25"/>
  <c r="R272" i="25" s="1"/>
  <c r="R44" i="25"/>
  <c r="R190" i="25"/>
  <c r="R262" i="25" s="1"/>
  <c r="R28" i="25"/>
  <c r="S28" i="25" s="1"/>
  <c r="T28" i="25" s="1"/>
  <c r="U28" i="25" s="1"/>
  <c r="V28" i="25" s="1"/>
  <c r="W28" i="25" s="1"/>
  <c r="X28" i="25" s="1"/>
  <c r="Y28" i="25" s="1"/>
  <c r="Z28" i="25" s="1"/>
  <c r="R171" i="25"/>
  <c r="S171" i="25" s="1"/>
  <c r="T171" i="25" s="1"/>
  <c r="U171" i="25" s="1"/>
  <c r="V171" i="25" s="1"/>
  <c r="W171" i="25" s="1"/>
  <c r="X171" i="25" s="1"/>
  <c r="Y171" i="25" s="1"/>
  <c r="Z171" i="25" s="1"/>
  <c r="R313" i="25"/>
  <c r="R145" i="25" s="1"/>
  <c r="R419" i="25"/>
  <c r="S419" i="25" s="1"/>
  <c r="T419" i="25" s="1"/>
  <c r="U419" i="25" s="1"/>
  <c r="V419" i="25" s="1"/>
  <c r="W419" i="25" s="1"/>
  <c r="X419" i="25" s="1"/>
  <c r="Y419" i="25" s="1"/>
  <c r="Z419" i="25" s="1"/>
  <c r="Q420" i="25"/>
  <c r="R184" i="25"/>
  <c r="S184" i="25" s="1"/>
  <c r="T184" i="25" s="1"/>
  <c r="U184" i="25" s="1"/>
  <c r="V184" i="25" s="1"/>
  <c r="W184" i="25" s="1"/>
  <c r="X184" i="25" s="1"/>
  <c r="Y184" i="25" s="1"/>
  <c r="Z184" i="25" s="1"/>
  <c r="T436" i="25"/>
  <c r="T434" i="25" s="1"/>
  <c r="Q165" i="25"/>
  <c r="R434" i="25"/>
  <c r="R432" i="25" s="1"/>
  <c r="R120" i="23"/>
  <c r="R184" i="24"/>
  <c r="R84" i="24"/>
  <c r="P161" i="25"/>
  <c r="P165" i="25" s="1"/>
  <c r="R193" i="23"/>
  <c r="S193" i="23" s="1"/>
  <c r="E173" i="25"/>
  <c r="E179" i="25" s="1"/>
  <c r="E177" i="25"/>
  <c r="E178" i="25" s="1"/>
  <c r="E47" i="25" s="1"/>
  <c r="O371" i="25"/>
  <c r="O372" i="25" s="1"/>
  <c r="F36" i="25"/>
  <c r="F113" i="25"/>
  <c r="H173" i="25"/>
  <c r="H179" i="25" s="1"/>
  <c r="H177" i="25"/>
  <c r="H178" i="25" s="1"/>
  <c r="H47" i="25" s="1"/>
  <c r="K177" i="25"/>
  <c r="K178" i="25" s="1"/>
  <c r="K47" i="25" s="1"/>
  <c r="K173" i="25"/>
  <c r="K179" i="25" s="1"/>
  <c r="P362" i="25"/>
  <c r="P36" i="25"/>
  <c r="P113" i="25"/>
  <c r="I177" i="25"/>
  <c r="I178" i="25" s="1"/>
  <c r="I47" i="25" s="1"/>
  <c r="I173" i="25"/>
  <c r="I179" i="25" s="1"/>
  <c r="F173" i="25"/>
  <c r="F179" i="25" s="1"/>
  <c r="F177" i="25"/>
  <c r="F178" i="25" s="1"/>
  <c r="F47" i="25" s="1"/>
  <c r="F50" i="25" s="1"/>
  <c r="F371" i="25"/>
  <c r="F372" i="25" s="1"/>
  <c r="G173" i="25"/>
  <c r="G179" i="25" s="1"/>
  <c r="G177" i="25"/>
  <c r="G178" i="25" s="1"/>
  <c r="G47" i="25" s="1"/>
  <c r="G50" i="25" s="1"/>
  <c r="F362" i="25"/>
  <c r="F363" i="25" s="1"/>
  <c r="M165" i="25"/>
  <c r="K362" i="25"/>
  <c r="K363" i="25" s="1"/>
  <c r="I36" i="25"/>
  <c r="I113" i="25"/>
  <c r="I129" i="25" s="1"/>
  <c r="M173" i="25"/>
  <c r="M179" i="25" s="1"/>
  <c r="M177" i="25"/>
  <c r="M178" i="25" s="1"/>
  <c r="M47" i="25" s="1"/>
  <c r="D177" i="25"/>
  <c r="D178" i="25" s="1"/>
  <c r="D47" i="25" s="1"/>
  <c r="D173" i="25"/>
  <c r="S468" i="25"/>
  <c r="I345" i="25"/>
  <c r="I346" i="25" s="1"/>
  <c r="P150" i="25"/>
  <c r="Q494" i="25"/>
  <c r="Q502" i="25" s="1"/>
  <c r="E396" i="25"/>
  <c r="E397" i="25" s="1"/>
  <c r="H53" i="25"/>
  <c r="S483" i="25"/>
  <c r="T417" i="25"/>
  <c r="D293" i="25"/>
  <c r="D53" i="25" s="1"/>
  <c r="P445" i="25"/>
  <c r="P64" i="25" s="1"/>
  <c r="T22" i="25"/>
  <c r="U21" i="25"/>
  <c r="E358" i="25"/>
  <c r="E359" i="25" s="1"/>
  <c r="P371" i="25"/>
  <c r="P372" i="25" s="1"/>
  <c r="S118" i="25"/>
  <c r="Q385" i="25"/>
  <c r="R384" i="25"/>
  <c r="Q391" i="25"/>
  <c r="H345" i="25"/>
  <c r="H346" i="25" s="1"/>
  <c r="H497" i="25"/>
  <c r="H51" i="25"/>
  <c r="G358" i="25"/>
  <c r="G359" i="25" s="1"/>
  <c r="Q477" i="25"/>
  <c r="R160" i="25"/>
  <c r="J173" i="25"/>
  <c r="J179" i="25" s="1"/>
  <c r="J177" i="25"/>
  <c r="J178" i="25" s="1"/>
  <c r="J47" i="25" s="1"/>
  <c r="G53" i="25"/>
  <c r="N173" i="25"/>
  <c r="N179" i="25" s="1"/>
  <c r="N177" i="25"/>
  <c r="N178" i="25" s="1"/>
  <c r="N47" i="25" s="1"/>
  <c r="E497" i="25"/>
  <c r="E51" i="25"/>
  <c r="H111" i="25"/>
  <c r="K36" i="25"/>
  <c r="K113" i="25"/>
  <c r="K129" i="25" s="1"/>
  <c r="R28" i="24"/>
  <c r="R419" i="24"/>
  <c r="S217" i="24" s="1"/>
  <c r="P345" i="25"/>
  <c r="S508" i="25"/>
  <c r="Q508" i="25"/>
  <c r="Q218" i="25"/>
  <c r="Q483" i="25"/>
  <c r="D199" i="25"/>
  <c r="D200" i="25" s="1"/>
  <c r="D46" i="25" s="1"/>
  <c r="E367" i="25"/>
  <c r="E368" i="25" s="1"/>
  <c r="J53" i="25"/>
  <c r="D497" i="25"/>
  <c r="D51" i="25"/>
  <c r="G367" i="25"/>
  <c r="G368" i="25" s="1"/>
  <c r="E197" i="25"/>
  <c r="G129" i="25"/>
  <c r="G111" i="25"/>
  <c r="S519" i="25"/>
  <c r="S465" i="25"/>
  <c r="S120" i="25" s="1"/>
  <c r="T463" i="25"/>
  <c r="M36" i="25"/>
  <c r="M113" i="25"/>
  <c r="Q487" i="25"/>
  <c r="Q105" i="25"/>
  <c r="D362" i="25"/>
  <c r="D363" i="25" s="1"/>
  <c r="R444" i="25"/>
  <c r="Q352" i="25"/>
  <c r="S290" i="25"/>
  <c r="T238" i="25"/>
  <c r="O345" i="25"/>
  <c r="O346" i="25" s="1"/>
  <c r="R508" i="25"/>
  <c r="F392" i="25"/>
  <c r="F394" i="25" s="1"/>
  <c r="F393" i="25"/>
  <c r="G406" i="25"/>
  <c r="D367" i="25"/>
  <c r="D368" i="25" s="1"/>
  <c r="J111" i="25"/>
  <c r="J129" i="25"/>
  <c r="Q454" i="25"/>
  <c r="Q119" i="25" s="1"/>
  <c r="Q453" i="25"/>
  <c r="Q147" i="25"/>
  <c r="Q150" i="25" s="1"/>
  <c r="T18" i="25"/>
  <c r="S19" i="25"/>
  <c r="N367" i="25"/>
  <c r="N368" i="25" s="1"/>
  <c r="R169" i="25"/>
  <c r="J358" i="25"/>
  <c r="J359" i="25" s="1"/>
  <c r="G489" i="25"/>
  <c r="Q170" i="25"/>
  <c r="Q173" i="25" s="1"/>
  <c r="E36" i="25"/>
  <c r="E113" i="25"/>
  <c r="E129" i="25" s="1"/>
  <c r="T510" i="25"/>
  <c r="T460" i="25"/>
  <c r="U457" i="25"/>
  <c r="K53" i="25"/>
  <c r="F345" i="25"/>
  <c r="F346" i="25" s="1"/>
  <c r="R154" i="25"/>
  <c r="I371" i="25"/>
  <c r="I372" i="25" s="1"/>
  <c r="M367" i="25"/>
  <c r="M368" i="25" s="1"/>
  <c r="O173" i="25"/>
  <c r="O179" i="25" s="1"/>
  <c r="O177" i="25"/>
  <c r="O178" i="25" s="1"/>
  <c r="O47" i="25" s="1"/>
  <c r="O358" i="25"/>
  <c r="O359" i="25" s="1"/>
  <c r="Q91" i="25"/>
  <c r="D397" i="25"/>
  <c r="D396" i="25"/>
  <c r="F53" i="25"/>
  <c r="J497" i="25"/>
  <c r="J51" i="25"/>
  <c r="D345" i="25"/>
  <c r="D346" i="25" s="1"/>
  <c r="P170" i="25"/>
  <c r="I358" i="25"/>
  <c r="I359" i="25" s="1"/>
  <c r="H199" i="25"/>
  <c r="H200" i="25" s="1"/>
  <c r="H46" i="25" s="1"/>
  <c r="S26" i="25"/>
  <c r="T25" i="25"/>
  <c r="L358" i="25"/>
  <c r="L359" i="25" s="1"/>
  <c r="K111" i="25"/>
  <c r="E345" i="25"/>
  <c r="E346" i="25" s="1"/>
  <c r="D36" i="25"/>
  <c r="D113" i="25"/>
  <c r="D129" i="25" s="1"/>
  <c r="L36" i="25"/>
  <c r="L113" i="25"/>
  <c r="F46" i="25"/>
  <c r="T427" i="25"/>
  <c r="T219" i="25"/>
  <c r="T508" i="25" s="1"/>
  <c r="L367" i="25"/>
  <c r="L368" i="25" s="1"/>
  <c r="I497" i="25"/>
  <c r="I51" i="25"/>
  <c r="F129" i="25"/>
  <c r="F111" i="25"/>
  <c r="R483" i="25"/>
  <c r="R118" i="25"/>
  <c r="K367" i="25"/>
  <c r="K368" i="25" s="1"/>
  <c r="K497" i="25"/>
  <c r="K51" i="25"/>
  <c r="J367" i="25"/>
  <c r="J368" i="25" s="1"/>
  <c r="L177" i="25"/>
  <c r="L178" i="25" s="1"/>
  <c r="L47" i="25" s="1"/>
  <c r="L173" i="25"/>
  <c r="L179" i="25" s="1"/>
  <c r="M362" i="25"/>
  <c r="M363" i="25" s="1"/>
  <c r="H358" i="25"/>
  <c r="H359" i="25" s="1"/>
  <c r="G46" i="25"/>
  <c r="T423" i="25"/>
  <c r="Q118" i="25"/>
  <c r="H367" i="25"/>
  <c r="H368" i="25" s="1"/>
  <c r="F497" i="25"/>
  <c r="F51" i="25"/>
  <c r="Q89" i="25"/>
  <c r="T253" i="25"/>
  <c r="H36" i="25"/>
  <c r="H113" i="25"/>
  <c r="H129" i="25" s="1"/>
  <c r="N362" i="25"/>
  <c r="N363" i="25" s="1"/>
  <c r="K46" i="25"/>
  <c r="J46" i="25"/>
  <c r="U217" i="23"/>
  <c r="V217" i="23"/>
  <c r="R149" i="24"/>
  <c r="R432" i="24"/>
  <c r="R105" i="24" s="1"/>
  <c r="R217" i="23"/>
  <c r="R163" i="24"/>
  <c r="Z217" i="23"/>
  <c r="Q173" i="24"/>
  <c r="R139" i="24"/>
  <c r="R469" i="24"/>
  <c r="R470" i="24" s="1"/>
  <c r="R72" i="24"/>
  <c r="Q105" i="24"/>
  <c r="S217" i="23"/>
  <c r="Q420" i="23"/>
  <c r="T217" i="23"/>
  <c r="X217" i="23"/>
  <c r="Q97" i="23"/>
  <c r="R439" i="24"/>
  <c r="R107" i="24" s="1"/>
  <c r="R217" i="24"/>
  <c r="R218" i="24" s="1"/>
  <c r="R114" i="24" s="1"/>
  <c r="R75" i="24"/>
  <c r="R190" i="23"/>
  <c r="R262" i="23" s="1"/>
  <c r="R265" i="23" s="1"/>
  <c r="I165" i="24"/>
  <c r="I129" i="24"/>
  <c r="I111" i="24"/>
  <c r="K36" i="24"/>
  <c r="K113" i="24"/>
  <c r="K129" i="24" s="1"/>
  <c r="N36" i="24"/>
  <c r="N113" i="24"/>
  <c r="F165" i="24"/>
  <c r="H111" i="24"/>
  <c r="H177" i="24"/>
  <c r="H178" i="24" s="1"/>
  <c r="H47" i="24" s="1"/>
  <c r="H50" i="24" s="1"/>
  <c r="H173" i="24"/>
  <c r="H179" i="24" s="1"/>
  <c r="O177" i="24"/>
  <c r="O178" i="24" s="1"/>
  <c r="O47" i="24" s="1"/>
  <c r="O173" i="24"/>
  <c r="O179" i="24" s="1"/>
  <c r="J362" i="24"/>
  <c r="J363" i="24" s="1"/>
  <c r="N165" i="24"/>
  <c r="J36" i="24"/>
  <c r="J113" i="24"/>
  <c r="E371" i="24"/>
  <c r="E372" i="24" s="1"/>
  <c r="H36" i="24"/>
  <c r="H113" i="24"/>
  <c r="H129" i="24" s="1"/>
  <c r="I173" i="24"/>
  <c r="I179" i="24" s="1"/>
  <c r="I177" i="24"/>
  <c r="I178" i="24" s="1"/>
  <c r="I47" i="24" s="1"/>
  <c r="G177" i="24"/>
  <c r="G178" i="24" s="1"/>
  <c r="G47" i="24" s="1"/>
  <c r="G50" i="24" s="1"/>
  <c r="G173" i="24"/>
  <c r="G179" i="24" s="1"/>
  <c r="D371" i="24"/>
  <c r="D372" i="24" s="1"/>
  <c r="P371" i="24"/>
  <c r="P372" i="24" s="1"/>
  <c r="L173" i="24"/>
  <c r="L179" i="24" s="1"/>
  <c r="L177" i="24"/>
  <c r="L178" i="24" s="1"/>
  <c r="L47" i="24" s="1"/>
  <c r="F177" i="24"/>
  <c r="F178" i="24" s="1"/>
  <c r="F47" i="24" s="1"/>
  <c r="F173" i="24"/>
  <c r="F179" i="24" s="1"/>
  <c r="J371" i="24"/>
  <c r="J372" i="24" s="1"/>
  <c r="D173" i="24"/>
  <c r="D177" i="24"/>
  <c r="D178" i="24" s="1"/>
  <c r="D47" i="24" s="1"/>
  <c r="K165" i="24"/>
  <c r="O371" i="24"/>
  <c r="O372" i="24" s="1"/>
  <c r="F367" i="24"/>
  <c r="F368" i="24" s="1"/>
  <c r="D396" i="24"/>
  <c r="D397" i="24" s="1"/>
  <c r="I345" i="24"/>
  <c r="I346" i="24" s="1"/>
  <c r="R246" i="24"/>
  <c r="Q537" i="23"/>
  <c r="N345" i="24"/>
  <c r="N346" i="24" s="1"/>
  <c r="N177" i="24"/>
  <c r="N178" i="24" s="1"/>
  <c r="N47" i="24" s="1"/>
  <c r="N173" i="24"/>
  <c r="N179" i="24" s="1"/>
  <c r="Q477" i="24"/>
  <c r="R160" i="24"/>
  <c r="E358" i="24"/>
  <c r="E359" i="24" s="1"/>
  <c r="K367" i="24"/>
  <c r="K368" i="24" s="1"/>
  <c r="M345" i="24"/>
  <c r="M346" i="24" s="1"/>
  <c r="F36" i="24"/>
  <c r="F113" i="24"/>
  <c r="F129" i="24" s="1"/>
  <c r="H362" i="24"/>
  <c r="H363" i="24" s="1"/>
  <c r="Q385" i="24"/>
  <c r="Q391" i="24"/>
  <c r="S427" i="24"/>
  <c r="S219" i="24"/>
  <c r="S508" i="24" s="1"/>
  <c r="R483" i="24"/>
  <c r="E497" i="24"/>
  <c r="E51" i="24"/>
  <c r="P445" i="24"/>
  <c r="P64" i="24" s="1"/>
  <c r="Q481" i="24"/>
  <c r="Q97" i="24"/>
  <c r="S247" i="24"/>
  <c r="T247" i="24" s="1"/>
  <c r="U247" i="24" s="1"/>
  <c r="V247" i="24" s="1"/>
  <c r="W247" i="24" s="1"/>
  <c r="X247" i="24" s="1"/>
  <c r="Y247" i="24" s="1"/>
  <c r="Z247" i="24" s="1"/>
  <c r="H497" i="24"/>
  <c r="H51" i="24"/>
  <c r="T423" i="24"/>
  <c r="R332" i="24"/>
  <c r="Q333" i="24"/>
  <c r="Q123" i="24"/>
  <c r="Q514" i="24"/>
  <c r="I367" i="24"/>
  <c r="I368" i="24" s="1"/>
  <c r="Q508" i="24"/>
  <c r="Q218" i="24"/>
  <c r="Q114" i="24" s="1"/>
  <c r="U253" i="24"/>
  <c r="S29" i="24"/>
  <c r="T29" i="24" s="1"/>
  <c r="U29" i="24" s="1"/>
  <c r="V29" i="24" s="1"/>
  <c r="W29" i="24" s="1"/>
  <c r="X29" i="24" s="1"/>
  <c r="Y29" i="24" s="1"/>
  <c r="Z29" i="24" s="1"/>
  <c r="P161" i="24"/>
  <c r="P165" i="24" s="1"/>
  <c r="H197" i="24"/>
  <c r="H53" i="24" s="1"/>
  <c r="E345" i="24"/>
  <c r="E346" i="24" s="1"/>
  <c r="K358" i="24"/>
  <c r="K359" i="24" s="1"/>
  <c r="S382" i="24"/>
  <c r="R384" i="24"/>
  <c r="P345" i="24"/>
  <c r="P346" i="24" s="1"/>
  <c r="R413" i="24"/>
  <c r="D267" i="24"/>
  <c r="D268" i="24" s="1"/>
  <c r="D46" i="24" s="1"/>
  <c r="D53" i="24"/>
  <c r="U246" i="24"/>
  <c r="Y246" i="24"/>
  <c r="Q515" i="24"/>
  <c r="Q449" i="24"/>
  <c r="Q517" i="24" s="1"/>
  <c r="Q410" i="24"/>
  <c r="R409" i="24"/>
  <c r="P336" i="24"/>
  <c r="P337" i="24" s="1"/>
  <c r="R418" i="24"/>
  <c r="Q420" i="24"/>
  <c r="I358" i="24"/>
  <c r="I359" i="24" s="1"/>
  <c r="J497" i="24"/>
  <c r="J51" i="24"/>
  <c r="D36" i="24"/>
  <c r="D113" i="24"/>
  <c r="D129" i="24" s="1"/>
  <c r="Q294" i="23"/>
  <c r="Q327" i="23" s="1"/>
  <c r="H367" i="24"/>
  <c r="H368" i="24" s="1"/>
  <c r="J173" i="24"/>
  <c r="J179" i="24" s="1"/>
  <c r="J177" i="24"/>
  <c r="J178" i="24" s="1"/>
  <c r="J47" i="24" s="1"/>
  <c r="K53" i="24"/>
  <c r="P170" i="24"/>
  <c r="G345" i="24"/>
  <c r="G346" i="24" s="1"/>
  <c r="R154" i="24"/>
  <c r="F267" i="24"/>
  <c r="F268" i="24" s="1"/>
  <c r="F46" i="24" s="1"/>
  <c r="F53" i="24"/>
  <c r="G53" i="24"/>
  <c r="S519" i="24"/>
  <c r="T463" i="24"/>
  <c r="S465" i="24"/>
  <c r="S120" i="24" s="1"/>
  <c r="L371" i="24"/>
  <c r="L372" i="24" s="1"/>
  <c r="T436" i="24"/>
  <c r="S434" i="24"/>
  <c r="S432" i="24" s="1"/>
  <c r="K173" i="24"/>
  <c r="K179" i="24" s="1"/>
  <c r="K177" i="24"/>
  <c r="K178" i="24" s="1"/>
  <c r="K47" i="24" s="1"/>
  <c r="V246" i="24"/>
  <c r="S290" i="24"/>
  <c r="T238" i="24"/>
  <c r="G199" i="24"/>
  <c r="G200" i="24" s="1"/>
  <c r="G46" i="24" s="1"/>
  <c r="J53" i="24"/>
  <c r="M177" i="24"/>
  <c r="M178" i="24" s="1"/>
  <c r="M47" i="24" s="1"/>
  <c r="M173" i="24"/>
  <c r="D358" i="24"/>
  <c r="D359" i="24" s="1"/>
  <c r="E129" i="24"/>
  <c r="E111" i="24"/>
  <c r="L36" i="24"/>
  <c r="L113" i="24"/>
  <c r="L358" i="24"/>
  <c r="L359" i="24" s="1"/>
  <c r="J199" i="24"/>
  <c r="J200" i="24" s="1"/>
  <c r="J46" i="24" s="1"/>
  <c r="K111" i="24"/>
  <c r="R508" i="24"/>
  <c r="Q537" i="24"/>
  <c r="Q262" i="24"/>
  <c r="R190" i="24"/>
  <c r="I199" i="24"/>
  <c r="I200" i="24" s="1"/>
  <c r="I46" i="24" s="1"/>
  <c r="R169" i="24"/>
  <c r="R162" i="24"/>
  <c r="Q164" i="24"/>
  <c r="R186" i="24"/>
  <c r="N362" i="24"/>
  <c r="N363" i="24" s="1"/>
  <c r="R424" i="24"/>
  <c r="G111" i="24"/>
  <c r="G129" i="24"/>
  <c r="R185" i="24"/>
  <c r="E199" i="24"/>
  <c r="E200" i="24" s="1"/>
  <c r="E46" i="24" s="1"/>
  <c r="U417" i="24"/>
  <c r="E177" i="24"/>
  <c r="E178" i="24" s="1"/>
  <c r="E47" i="24" s="1"/>
  <c r="E173" i="24"/>
  <c r="E179" i="24" s="1"/>
  <c r="O358" i="24"/>
  <c r="O359" i="24" s="1"/>
  <c r="K345" i="24"/>
  <c r="K346" i="24" s="1"/>
  <c r="D345" i="24"/>
  <c r="D346" i="24" s="1"/>
  <c r="S19" i="24"/>
  <c r="T18" i="24"/>
  <c r="K489" i="24"/>
  <c r="Q118" i="24"/>
  <c r="Q272" i="24"/>
  <c r="R193" i="24"/>
  <c r="R26" i="24"/>
  <c r="S25" i="24"/>
  <c r="F358" i="24"/>
  <c r="F359" i="24" s="1"/>
  <c r="R44" i="24"/>
  <c r="G497" i="24"/>
  <c r="G51" i="24"/>
  <c r="S510" i="24"/>
  <c r="S460" i="24"/>
  <c r="T457" i="24"/>
  <c r="S246" i="24"/>
  <c r="O345" i="24"/>
  <c r="O346" i="24" s="1"/>
  <c r="M367" i="24"/>
  <c r="M368" i="24" s="1"/>
  <c r="E53" i="24"/>
  <c r="F497" i="24"/>
  <c r="F51" i="24"/>
  <c r="M358" i="24"/>
  <c r="M359" i="24" s="1"/>
  <c r="R444" i="24"/>
  <c r="Q352" i="24"/>
  <c r="G358" i="24"/>
  <c r="G359" i="24" s="1"/>
  <c r="I497" i="24"/>
  <c r="I51" i="24"/>
  <c r="T21" i="24"/>
  <c r="S22" i="24"/>
  <c r="R313" i="24"/>
  <c r="Q145" i="24"/>
  <c r="N367" i="24"/>
  <c r="N368" i="24" s="1"/>
  <c r="G367" i="24"/>
  <c r="G368" i="24" s="1"/>
  <c r="Q202" i="24"/>
  <c r="Q203" i="24"/>
  <c r="Q89" i="24"/>
  <c r="T468" i="24"/>
  <c r="R187" i="24"/>
  <c r="J129" i="24"/>
  <c r="J111" i="24"/>
  <c r="R171" i="24"/>
  <c r="P358" i="24"/>
  <c r="P359" i="24" s="1"/>
  <c r="D497" i="24"/>
  <c r="D51" i="24"/>
  <c r="R118" i="24"/>
  <c r="Z246" i="24"/>
  <c r="Q494" i="24"/>
  <c r="Q502" i="24" s="1"/>
  <c r="Q483" i="24"/>
  <c r="R409" i="23"/>
  <c r="S409" i="23" s="1"/>
  <c r="Q449" i="23"/>
  <c r="Q517" i="23" s="1"/>
  <c r="R432" i="23"/>
  <c r="P170" i="23"/>
  <c r="P177" i="23" s="1"/>
  <c r="Q177" i="23" s="1"/>
  <c r="Q178" i="23" s="1"/>
  <c r="Q145" i="23"/>
  <c r="R145" i="23" s="1"/>
  <c r="O46" i="23"/>
  <c r="R420" i="23"/>
  <c r="Q432" i="23"/>
  <c r="Q105" i="23" s="1"/>
  <c r="N197" i="23"/>
  <c r="N199" i="23" s="1"/>
  <c r="N200" i="23" s="1"/>
  <c r="N173" i="23"/>
  <c r="N179" i="23" s="1"/>
  <c r="N177" i="23"/>
  <c r="N178" i="23" s="1"/>
  <c r="N47" i="23" s="1"/>
  <c r="J165" i="23"/>
  <c r="H165" i="23"/>
  <c r="L46" i="23"/>
  <c r="H497" i="23"/>
  <c r="H51" i="23"/>
  <c r="N165" i="23"/>
  <c r="D36" i="23"/>
  <c r="D113" i="23"/>
  <c r="D129" i="23" s="1"/>
  <c r="N111" i="23"/>
  <c r="N129" i="23"/>
  <c r="E497" i="23"/>
  <c r="E51" i="23"/>
  <c r="L36" i="23"/>
  <c r="L113" i="23"/>
  <c r="L129" i="23" s="1"/>
  <c r="O111" i="23"/>
  <c r="K46" i="23"/>
  <c r="K173" i="23"/>
  <c r="K179" i="23" s="1"/>
  <c r="K177" i="23"/>
  <c r="K178" i="23" s="1"/>
  <c r="K47" i="23" s="1"/>
  <c r="I371" i="23"/>
  <c r="I372" i="23" s="1"/>
  <c r="J46" i="23"/>
  <c r="M362" i="23"/>
  <c r="M363" i="23" s="1"/>
  <c r="I36" i="23"/>
  <c r="I113" i="23"/>
  <c r="I129" i="23" s="1"/>
  <c r="D165" i="23"/>
  <c r="N362" i="23"/>
  <c r="N363" i="23" s="1"/>
  <c r="D177" i="23"/>
  <c r="D178" i="23" s="1"/>
  <c r="D47" i="23" s="1"/>
  <c r="D173" i="23"/>
  <c r="D179" i="23" s="1"/>
  <c r="L165" i="23"/>
  <c r="G36" i="23"/>
  <c r="G113" i="23"/>
  <c r="G129" i="23" s="1"/>
  <c r="O362" i="23"/>
  <c r="O363" i="23" s="1"/>
  <c r="E165" i="23"/>
  <c r="G358" i="23"/>
  <c r="G359" i="23" s="1"/>
  <c r="P489" i="23"/>
  <c r="H362" i="23"/>
  <c r="H363" i="23" s="1"/>
  <c r="R199" i="23"/>
  <c r="S199" i="23" s="1"/>
  <c r="T199" i="23" s="1"/>
  <c r="U199" i="23" s="1"/>
  <c r="V199" i="23" s="1"/>
  <c r="W199" i="23" s="1"/>
  <c r="X199" i="23" s="1"/>
  <c r="Y199" i="23" s="1"/>
  <c r="Z199" i="23" s="1"/>
  <c r="H371" i="23"/>
  <c r="H372" i="23" s="1"/>
  <c r="F367" i="23"/>
  <c r="F368" i="23" s="1"/>
  <c r="S439" i="23"/>
  <c r="R107" i="23"/>
  <c r="Q203" i="23"/>
  <c r="Q202" i="23"/>
  <c r="J367" i="23"/>
  <c r="J368" i="23" s="1"/>
  <c r="J111" i="23"/>
  <c r="G392" i="23"/>
  <c r="G393" i="23"/>
  <c r="H406" i="23"/>
  <c r="Q385" i="23"/>
  <c r="Q391" i="23"/>
  <c r="R384" i="23"/>
  <c r="T423" i="23"/>
  <c r="Q139" i="23"/>
  <c r="Q44" i="23"/>
  <c r="R44" i="23" s="1"/>
  <c r="Q187" i="23"/>
  <c r="Q188" i="23"/>
  <c r="Q154" i="23"/>
  <c r="Q186" i="23"/>
  <c r="R302" i="23"/>
  <c r="S301" i="23"/>
  <c r="M177" i="23"/>
  <c r="M178" i="23" s="1"/>
  <c r="M47" i="23" s="1"/>
  <c r="M173" i="23"/>
  <c r="M179" i="23" s="1"/>
  <c r="O489" i="23"/>
  <c r="F173" i="23"/>
  <c r="F179" i="23" s="1"/>
  <c r="F177" i="23"/>
  <c r="F178" i="23" s="1"/>
  <c r="F47" i="23" s="1"/>
  <c r="P200" i="23"/>
  <c r="R256" i="23"/>
  <c r="Q257" i="23"/>
  <c r="G371" i="23"/>
  <c r="G372" i="23" s="1"/>
  <c r="Q315" i="23"/>
  <c r="Q316" i="23" s="1"/>
  <c r="J53" i="23"/>
  <c r="L358" i="23"/>
  <c r="L359" i="23" s="1"/>
  <c r="J173" i="23"/>
  <c r="J179" i="23" s="1"/>
  <c r="J177" i="23"/>
  <c r="J178" i="23" s="1"/>
  <c r="J47" i="23" s="1"/>
  <c r="T247" i="23"/>
  <c r="U247" i="23" s="1"/>
  <c r="V247" i="23" s="1"/>
  <c r="W247" i="23" s="1"/>
  <c r="X247" i="23" s="1"/>
  <c r="Y247" i="23" s="1"/>
  <c r="Z247" i="23" s="1"/>
  <c r="G173" i="23"/>
  <c r="G179" i="23" s="1"/>
  <c r="G177" i="23"/>
  <c r="G178" i="23" s="1"/>
  <c r="G47" i="23" s="1"/>
  <c r="M53" i="23"/>
  <c r="S25" i="23"/>
  <c r="R26" i="23"/>
  <c r="F358" i="23"/>
  <c r="F359" i="23" s="1"/>
  <c r="J345" i="23"/>
  <c r="J346" i="23" s="1"/>
  <c r="R169" i="23"/>
  <c r="D46" i="23"/>
  <c r="J489" i="23"/>
  <c r="N345" i="23"/>
  <c r="N346" i="23" s="1"/>
  <c r="P367" i="23"/>
  <c r="S18" i="23"/>
  <c r="R19" i="23"/>
  <c r="R146" i="23" s="1"/>
  <c r="P53" i="23"/>
  <c r="S510" i="23"/>
  <c r="S460" i="23"/>
  <c r="T457" i="23"/>
  <c r="H173" i="23"/>
  <c r="H179" i="23" s="1"/>
  <c r="H177" i="23"/>
  <c r="H178" i="23" s="1"/>
  <c r="H47" i="23" s="1"/>
  <c r="J36" i="23"/>
  <c r="J113" i="23"/>
  <c r="J129" i="23" s="1"/>
  <c r="T253" i="23"/>
  <c r="R508" i="23"/>
  <c r="O367" i="23"/>
  <c r="O368" i="23" s="1"/>
  <c r="O173" i="23"/>
  <c r="O179" i="23" s="1"/>
  <c r="O177" i="23"/>
  <c r="O178" i="23" s="1"/>
  <c r="O47" i="23" s="1"/>
  <c r="I497" i="23"/>
  <c r="I51" i="23"/>
  <c r="R444" i="23"/>
  <c r="Q352" i="23"/>
  <c r="K36" i="23"/>
  <c r="K113" i="23"/>
  <c r="K129" i="23" s="1"/>
  <c r="S279" i="23"/>
  <c r="R280" i="23"/>
  <c r="M345" i="23"/>
  <c r="M346" i="23" s="1"/>
  <c r="D396" i="23"/>
  <c r="D397" i="23" s="1"/>
  <c r="T417" i="23"/>
  <c r="L367" i="23"/>
  <c r="L368" i="23" s="1"/>
  <c r="E36" i="23"/>
  <c r="E113" i="23"/>
  <c r="E129" i="23" s="1"/>
  <c r="S75" i="23"/>
  <c r="D367" i="23"/>
  <c r="D368" i="23" s="1"/>
  <c r="M129" i="23"/>
  <c r="M111" i="23"/>
  <c r="R481" i="23"/>
  <c r="R97" i="23"/>
  <c r="Q475" i="23"/>
  <c r="Q89" i="23"/>
  <c r="D358" i="23"/>
  <c r="D359" i="23" s="1"/>
  <c r="U21" i="23"/>
  <c r="T22" i="23"/>
  <c r="R470" i="23"/>
  <c r="S468" i="23"/>
  <c r="S246" i="23"/>
  <c r="R266" i="23"/>
  <c r="S264" i="23"/>
  <c r="P161" i="23"/>
  <c r="S434" i="23"/>
  <c r="T436" i="23"/>
  <c r="P267" i="23"/>
  <c r="Q267" i="23" s="1"/>
  <c r="R267" i="23" s="1"/>
  <c r="E358" i="23"/>
  <c r="E359" i="23" s="1"/>
  <c r="E63" i="23" s="1"/>
  <c r="E65" i="23" s="1"/>
  <c r="Q258" i="23"/>
  <c r="T427" i="23"/>
  <c r="H267" i="23"/>
  <c r="H268" i="23" s="1"/>
  <c r="H46" i="23" s="1"/>
  <c r="K358" i="23"/>
  <c r="K359" i="23" s="1"/>
  <c r="L53" i="23"/>
  <c r="E177" i="23"/>
  <c r="E178" i="23" s="1"/>
  <c r="E47" i="23" s="1"/>
  <c r="E173" i="23"/>
  <c r="E179" i="23" s="1"/>
  <c r="J362" i="23"/>
  <c r="J363" i="23" s="1"/>
  <c r="F345" i="23"/>
  <c r="F346" i="23" s="1"/>
  <c r="R306" i="23"/>
  <c r="S305" i="23"/>
  <c r="S519" i="23"/>
  <c r="T463" i="23"/>
  <c r="S465" i="23"/>
  <c r="S120" i="23" s="1"/>
  <c r="F199" i="23"/>
  <c r="F200" i="23" s="1"/>
  <c r="F46" i="23" s="1"/>
  <c r="F53" i="23"/>
  <c r="Q118" i="23"/>
  <c r="S290" i="23"/>
  <c r="T238" i="23"/>
  <c r="Q508" i="23"/>
  <c r="Q218" i="23"/>
  <c r="Q483" i="23"/>
  <c r="L177" i="23"/>
  <c r="L178" i="23" s="1"/>
  <c r="L47" i="23" s="1"/>
  <c r="L173" i="23"/>
  <c r="L179" i="23" s="1"/>
  <c r="E396" i="23"/>
  <c r="E397" i="23" s="1"/>
  <c r="Q477" i="23"/>
  <c r="R160" i="23"/>
  <c r="R118" i="23"/>
  <c r="P362" i="23"/>
  <c r="O36" i="23"/>
  <c r="O113" i="23"/>
  <c r="O129" i="23" s="1"/>
  <c r="I53" i="23"/>
  <c r="K345" i="23"/>
  <c r="K346" i="23" s="1"/>
  <c r="I46" i="23"/>
  <c r="Q323" i="23"/>
  <c r="Q208" i="23" s="1"/>
  <c r="R196" i="23"/>
  <c r="M199" i="23"/>
  <c r="M200" i="23" s="1"/>
  <c r="M46" i="23" s="1"/>
  <c r="R483" i="23"/>
  <c r="D345" i="23"/>
  <c r="D346" i="23" s="1"/>
  <c r="N497" i="23"/>
  <c r="N51" i="23"/>
  <c r="P150" i="23"/>
  <c r="F497" i="23"/>
  <c r="F51" i="23"/>
  <c r="P345" i="23"/>
  <c r="O53" i="23"/>
  <c r="K367" i="23"/>
  <c r="K368" i="23" s="1"/>
  <c r="F323" i="23"/>
  <c r="L111" i="23"/>
  <c r="E199" i="23"/>
  <c r="E200" i="23" s="1"/>
  <c r="E46" i="23" s="1"/>
  <c r="E53" i="23"/>
  <c r="N35" i="23"/>
  <c r="I358" i="23"/>
  <c r="I359" i="23" s="1"/>
  <c r="K497" i="23"/>
  <c r="K51" i="23"/>
  <c r="G345" i="23"/>
  <c r="G346" i="23" s="1"/>
  <c r="G497" i="23"/>
  <c r="G51" i="23"/>
  <c r="I173" i="23"/>
  <c r="I179" i="23" s="1"/>
  <c r="I177" i="23"/>
  <c r="I178" i="23" s="1"/>
  <c r="I47" i="23" s="1"/>
  <c r="E371" i="23"/>
  <c r="E372" i="23" s="1"/>
  <c r="H345" i="23"/>
  <c r="H346" i="23" s="1"/>
  <c r="I111" i="23"/>
  <c r="S424" i="23"/>
  <c r="R315" i="23"/>
  <c r="R316" i="23" s="1"/>
  <c r="S313" i="23"/>
  <c r="P445" i="23"/>
  <c r="P64" i="23" s="1"/>
  <c r="S216" i="23"/>
  <c r="R298" i="23"/>
  <c r="S297" i="23"/>
  <c r="R310" i="23"/>
  <c r="S309" i="23"/>
  <c r="M367" i="23"/>
  <c r="M368" i="23" s="1"/>
  <c r="P129" i="23"/>
  <c r="P111" i="23"/>
  <c r="N367" i="23"/>
  <c r="N368" i="23" s="1"/>
  <c r="S219" i="23"/>
  <c r="S483" i="23" s="1"/>
  <c r="K323" i="16"/>
  <c r="K36" i="16"/>
  <c r="K113" i="16"/>
  <c r="K267" i="16"/>
  <c r="K268" i="16" s="1"/>
  <c r="T218" i="23" l="1"/>
  <c r="T114" i="23" s="1"/>
  <c r="S420" i="23"/>
  <c r="R471" i="24"/>
  <c r="T418" i="23"/>
  <c r="T420" i="23" s="1"/>
  <c r="L497" i="23"/>
  <c r="E394" i="24"/>
  <c r="E396" i="24" s="1"/>
  <c r="E397" i="24" s="1"/>
  <c r="M51" i="23"/>
  <c r="F63" i="25"/>
  <c r="F65" i="25" s="1"/>
  <c r="F392" i="24"/>
  <c r="G406" i="24"/>
  <c r="F393" i="24"/>
  <c r="R414" i="23"/>
  <c r="R125" i="23" s="1"/>
  <c r="R516" i="23"/>
  <c r="R514" i="23"/>
  <c r="S332" i="23"/>
  <c r="T332" i="23" s="1"/>
  <c r="R333" i="23"/>
  <c r="R507" i="23" s="1"/>
  <c r="R272" i="23"/>
  <c r="Q91" i="23"/>
  <c r="Q165" i="23"/>
  <c r="Q173" i="23"/>
  <c r="T418" i="25"/>
  <c r="U216" i="25" s="1"/>
  <c r="R218" i="23"/>
  <c r="R114" i="23" s="1"/>
  <c r="R89" i="24"/>
  <c r="Q124" i="23"/>
  <c r="U436" i="25"/>
  <c r="U434" i="25" s="1"/>
  <c r="S413" i="25"/>
  <c r="T413" i="25" s="1"/>
  <c r="S217" i="25"/>
  <c r="Z217" i="25"/>
  <c r="R471" i="23"/>
  <c r="Q450" i="25"/>
  <c r="Q126" i="25" s="1"/>
  <c r="R470" i="25"/>
  <c r="R471" i="25" s="1"/>
  <c r="R410" i="25"/>
  <c r="R124" i="25" s="1"/>
  <c r="S409" i="25"/>
  <c r="S515" i="25" s="1"/>
  <c r="R449" i="25"/>
  <c r="R517" i="25" s="1"/>
  <c r="N34" i="25"/>
  <c r="S218" i="23"/>
  <c r="S114" i="23" s="1"/>
  <c r="R514" i="25"/>
  <c r="R123" i="25"/>
  <c r="S313" i="25"/>
  <c r="S145" i="25" s="1"/>
  <c r="S332" i="25"/>
  <c r="S514" i="25" s="1"/>
  <c r="S202" i="25"/>
  <c r="W217" i="25"/>
  <c r="R164" i="25"/>
  <c r="S164" i="25" s="1"/>
  <c r="T164" i="25" s="1"/>
  <c r="U164" i="25" s="1"/>
  <c r="V164" i="25" s="1"/>
  <c r="W164" i="25" s="1"/>
  <c r="X164" i="25" s="1"/>
  <c r="Y164" i="25" s="1"/>
  <c r="Z164" i="25" s="1"/>
  <c r="S190" i="25"/>
  <c r="S537" i="25" s="1"/>
  <c r="S432" i="25"/>
  <c r="S487" i="25" s="1"/>
  <c r="S193" i="25"/>
  <c r="S272" i="25" s="1"/>
  <c r="R89" i="25"/>
  <c r="R203" i="25"/>
  <c r="R205" i="25" s="1"/>
  <c r="R204" i="25" s="1"/>
  <c r="R182" i="25" s="1"/>
  <c r="R487" i="24"/>
  <c r="G34" i="24"/>
  <c r="G39" i="24" s="1"/>
  <c r="G130" i="24" s="1"/>
  <c r="S216" i="25"/>
  <c r="Y217" i="25"/>
  <c r="S420" i="25"/>
  <c r="V217" i="25"/>
  <c r="R420" i="25"/>
  <c r="R100" i="25" s="1"/>
  <c r="R107" i="25"/>
  <c r="R494" i="25" s="1"/>
  <c r="R502" i="25" s="1"/>
  <c r="U217" i="25"/>
  <c r="N53" i="23"/>
  <c r="S139" i="25"/>
  <c r="X217" i="25"/>
  <c r="T217" i="25"/>
  <c r="T218" i="25" s="1"/>
  <c r="T114" i="25" s="1"/>
  <c r="R172" i="25"/>
  <c r="S172" i="25" s="1"/>
  <c r="T172" i="25" s="1"/>
  <c r="U172" i="25" s="1"/>
  <c r="V172" i="25" s="1"/>
  <c r="W172" i="25" s="1"/>
  <c r="X172" i="25" s="1"/>
  <c r="Y172" i="25" s="1"/>
  <c r="Z172" i="25" s="1"/>
  <c r="R537" i="25"/>
  <c r="S185" i="24"/>
  <c r="T185" i="24" s="1"/>
  <c r="U185" i="24" s="1"/>
  <c r="V185" i="24" s="1"/>
  <c r="W185" i="24" s="1"/>
  <c r="X185" i="24" s="1"/>
  <c r="Y185" i="24" s="1"/>
  <c r="Z185" i="24" s="1"/>
  <c r="R414" i="25"/>
  <c r="R125" i="25" s="1"/>
  <c r="E34" i="25"/>
  <c r="E41" i="25" s="1"/>
  <c r="D63" i="25"/>
  <c r="D65" i="25" s="1"/>
  <c r="I34" i="25"/>
  <c r="I41" i="25" s="1"/>
  <c r="G34" i="25"/>
  <c r="G39" i="25" s="1"/>
  <c r="G130" i="25" s="1"/>
  <c r="F34" i="25"/>
  <c r="F39" i="25" s="1"/>
  <c r="F130" i="25" s="1"/>
  <c r="R537" i="23"/>
  <c r="R515" i="23"/>
  <c r="K371" i="25"/>
  <c r="K372" i="25" s="1"/>
  <c r="E371" i="25"/>
  <c r="E372" i="25" s="1"/>
  <c r="I50" i="25"/>
  <c r="I49" i="25"/>
  <c r="I52" i="25" s="1"/>
  <c r="O362" i="25"/>
  <c r="O363" i="25" s="1"/>
  <c r="D371" i="25"/>
  <c r="D372" i="25" s="1"/>
  <c r="D56" i="25" s="1"/>
  <c r="D58" i="25" s="1"/>
  <c r="H50" i="25"/>
  <c r="H49" i="25"/>
  <c r="H52" i="25" s="1"/>
  <c r="E50" i="25"/>
  <c r="E49" i="25"/>
  <c r="E52" i="25" s="1"/>
  <c r="L371" i="25"/>
  <c r="L372" i="25" s="1"/>
  <c r="I362" i="25"/>
  <c r="I363" i="25" s="1"/>
  <c r="E362" i="25"/>
  <c r="E363" i="25" s="1"/>
  <c r="K50" i="25"/>
  <c r="K49" i="25"/>
  <c r="K52" i="25" s="1"/>
  <c r="J50" i="25"/>
  <c r="J49" i="25"/>
  <c r="J52" i="25" s="1"/>
  <c r="H371" i="25"/>
  <c r="H372" i="25" s="1"/>
  <c r="L362" i="25"/>
  <c r="L363" i="25" s="1"/>
  <c r="T483" i="25"/>
  <c r="U417" i="25"/>
  <c r="U215" i="25"/>
  <c r="H362" i="25"/>
  <c r="H363" i="25" s="1"/>
  <c r="S469" i="24"/>
  <c r="T469" i="24" s="1"/>
  <c r="U469" i="24" s="1"/>
  <c r="V469" i="24" s="1"/>
  <c r="W469" i="24" s="1"/>
  <c r="X469" i="24" s="1"/>
  <c r="Y469" i="24" s="1"/>
  <c r="Z469" i="24" s="1"/>
  <c r="S162" i="24"/>
  <c r="T162" i="24" s="1"/>
  <c r="U162" i="24" s="1"/>
  <c r="V162" i="24" s="1"/>
  <c r="W162" i="24" s="1"/>
  <c r="X162" i="24" s="1"/>
  <c r="Y162" i="24" s="1"/>
  <c r="Z162" i="24" s="1"/>
  <c r="D50" i="25"/>
  <c r="D49" i="25"/>
  <c r="D52" i="25" s="1"/>
  <c r="T432" i="25"/>
  <c r="S444" i="25"/>
  <c r="R352" i="25"/>
  <c r="G49" i="25"/>
  <c r="G52" i="25" s="1"/>
  <c r="J34" i="25"/>
  <c r="P363" i="25"/>
  <c r="S44" i="25"/>
  <c r="J371" i="25"/>
  <c r="J372" i="25" s="1"/>
  <c r="E63" i="25"/>
  <c r="E65" i="25" s="1"/>
  <c r="U25" i="25"/>
  <c r="T26" i="25"/>
  <c r="M371" i="25"/>
  <c r="M372" i="25" s="1"/>
  <c r="G392" i="25"/>
  <c r="H406" i="25"/>
  <c r="G393" i="25"/>
  <c r="R385" i="25"/>
  <c r="R391" i="25"/>
  <c r="S384" i="25"/>
  <c r="T75" i="25"/>
  <c r="U423" i="25"/>
  <c r="S186" i="25"/>
  <c r="R449" i="23"/>
  <c r="R517" i="23" s="1"/>
  <c r="T424" i="25"/>
  <c r="U510" i="25"/>
  <c r="U460" i="25"/>
  <c r="V457" i="25"/>
  <c r="G497" i="25"/>
  <c r="G51" i="25"/>
  <c r="T290" i="25"/>
  <c r="U238" i="25"/>
  <c r="K34" i="25"/>
  <c r="Q73" i="25"/>
  <c r="Q442" i="25" s="1"/>
  <c r="O34" i="25"/>
  <c r="H34" i="25"/>
  <c r="S171" i="24"/>
  <c r="T171" i="24" s="1"/>
  <c r="U171" i="24" s="1"/>
  <c r="V171" i="24" s="1"/>
  <c r="W171" i="24" s="1"/>
  <c r="X171" i="24" s="1"/>
  <c r="Y171" i="24" s="1"/>
  <c r="Z171" i="24" s="1"/>
  <c r="S149" i="24"/>
  <c r="T149" i="24" s="1"/>
  <c r="U149" i="24" s="1"/>
  <c r="V149" i="24" s="1"/>
  <c r="W149" i="24" s="1"/>
  <c r="X149" i="24" s="1"/>
  <c r="Y149" i="24" s="1"/>
  <c r="Z149" i="24" s="1"/>
  <c r="R507" i="25"/>
  <c r="T439" i="25"/>
  <c r="S107" i="25"/>
  <c r="R487" i="25"/>
  <c r="R105" i="25"/>
  <c r="S187" i="25"/>
  <c r="T187" i="25" s="1"/>
  <c r="S154" i="25"/>
  <c r="T118" i="25"/>
  <c r="N371" i="25"/>
  <c r="N372" i="25" s="1"/>
  <c r="F396" i="25"/>
  <c r="F397" i="25" s="1"/>
  <c r="F56" i="25" s="1"/>
  <c r="F58" i="25" s="1"/>
  <c r="U22" i="25"/>
  <c r="V21" i="25"/>
  <c r="S146" i="25"/>
  <c r="D179" i="25"/>
  <c r="D34" i="25" s="1"/>
  <c r="L34" i="25"/>
  <c r="U427" i="25"/>
  <c r="U219" i="25"/>
  <c r="S169" i="25"/>
  <c r="R170" i="25"/>
  <c r="R454" i="25"/>
  <c r="R119" i="25" s="1"/>
  <c r="R453" i="25"/>
  <c r="R147" i="25"/>
  <c r="R150" i="25" s="1"/>
  <c r="S188" i="25"/>
  <c r="U253" i="25"/>
  <c r="P173" i="25"/>
  <c r="P179" i="25" s="1"/>
  <c r="P177" i="25"/>
  <c r="F49" i="25"/>
  <c r="F52" i="25" s="1"/>
  <c r="T465" i="25"/>
  <c r="T120" i="25" s="1"/>
  <c r="T519" i="25"/>
  <c r="U463" i="25"/>
  <c r="E199" i="25"/>
  <c r="E200" i="25" s="1"/>
  <c r="E46" i="25" s="1"/>
  <c r="E53" i="25"/>
  <c r="P346" i="25"/>
  <c r="R477" i="25"/>
  <c r="S160" i="25"/>
  <c r="R161" i="25"/>
  <c r="S470" i="25"/>
  <c r="T468" i="25"/>
  <c r="J362" i="25"/>
  <c r="J363" i="25" s="1"/>
  <c r="T19" i="25"/>
  <c r="U18" i="25"/>
  <c r="G371" i="25"/>
  <c r="G372" i="25" s="1"/>
  <c r="Q114" i="25"/>
  <c r="Q121" i="25" s="1"/>
  <c r="Q100" i="25"/>
  <c r="G362" i="25"/>
  <c r="G363" i="25" s="1"/>
  <c r="M34" i="25"/>
  <c r="F34" i="24"/>
  <c r="F41" i="24" s="1"/>
  <c r="S75" i="24"/>
  <c r="T75" i="24" s="1"/>
  <c r="S439" i="24"/>
  <c r="T439" i="24" s="1"/>
  <c r="R202" i="24"/>
  <c r="P173" i="23"/>
  <c r="P179" i="23" s="1"/>
  <c r="S190" i="23"/>
  <c r="S537" i="23" s="1"/>
  <c r="R164" i="24"/>
  <c r="K34" i="24"/>
  <c r="K41" i="24" s="1"/>
  <c r="Q165" i="24"/>
  <c r="K50" i="24"/>
  <c r="K49" i="24"/>
  <c r="K52" i="24" s="1"/>
  <c r="J34" i="24"/>
  <c r="J39" i="24" s="1"/>
  <c r="J130" i="24" s="1"/>
  <c r="S188" i="24"/>
  <c r="S84" i="24"/>
  <c r="T84" i="24" s="1"/>
  <c r="U84" i="24" s="1"/>
  <c r="V84" i="24" s="1"/>
  <c r="W84" i="24" s="1"/>
  <c r="X84" i="24" s="1"/>
  <c r="Y84" i="24" s="1"/>
  <c r="Z84" i="24" s="1"/>
  <c r="S187" i="24"/>
  <c r="S44" i="24"/>
  <c r="W246" i="24"/>
  <c r="W481" i="24" s="1"/>
  <c r="S184" i="24"/>
  <c r="T184" i="24" s="1"/>
  <c r="U184" i="24" s="1"/>
  <c r="V184" i="24" s="1"/>
  <c r="W184" i="24" s="1"/>
  <c r="X184" i="24" s="1"/>
  <c r="Y184" i="24" s="1"/>
  <c r="Z184" i="24" s="1"/>
  <c r="O34" i="24"/>
  <c r="S72" i="24"/>
  <c r="T72" i="24" s="1"/>
  <c r="U72" i="24" s="1"/>
  <c r="V72" i="24" s="1"/>
  <c r="W72" i="24" s="1"/>
  <c r="X72" i="24" s="1"/>
  <c r="Y72" i="24" s="1"/>
  <c r="Z72" i="24" s="1"/>
  <c r="E63" i="24"/>
  <c r="E65" i="24" s="1"/>
  <c r="L34" i="24"/>
  <c r="N371" i="24"/>
  <c r="N372" i="24" s="1"/>
  <c r="D362" i="24"/>
  <c r="D363" i="24" s="1"/>
  <c r="D56" i="24" s="1"/>
  <c r="D58" i="24" s="1"/>
  <c r="I371" i="24"/>
  <c r="I372" i="24" s="1"/>
  <c r="G362" i="24"/>
  <c r="G363" i="24" s="1"/>
  <c r="L362" i="24"/>
  <c r="L363" i="24" s="1"/>
  <c r="D50" i="24"/>
  <c r="D49" i="24"/>
  <c r="D52" i="24" s="1"/>
  <c r="I50" i="24"/>
  <c r="I49" i="24"/>
  <c r="I52" i="24" s="1"/>
  <c r="D63" i="24"/>
  <c r="D65" i="24" s="1"/>
  <c r="J50" i="24"/>
  <c r="J49" i="24"/>
  <c r="J52" i="24" s="1"/>
  <c r="F371" i="24"/>
  <c r="F372" i="24" s="1"/>
  <c r="M362" i="24"/>
  <c r="M363" i="24" s="1"/>
  <c r="M371" i="24"/>
  <c r="M372" i="24" s="1"/>
  <c r="E50" i="24"/>
  <c r="E49" i="24"/>
  <c r="E52" i="24" s="1"/>
  <c r="P362" i="24"/>
  <c r="G371" i="24"/>
  <c r="G372" i="24" s="1"/>
  <c r="R385" i="24"/>
  <c r="R391" i="24"/>
  <c r="Q147" i="23"/>
  <c r="Q150" i="23" s="1"/>
  <c r="R410" i="23"/>
  <c r="Q91" i="24"/>
  <c r="U468" i="24"/>
  <c r="S424" i="24"/>
  <c r="T290" i="24"/>
  <c r="U238" i="24"/>
  <c r="S154" i="24"/>
  <c r="U423" i="24"/>
  <c r="Q450" i="24"/>
  <c r="Q126" i="24" s="1"/>
  <c r="Q124" i="24"/>
  <c r="T382" i="24"/>
  <c r="S384" i="24"/>
  <c r="Z481" i="24"/>
  <c r="Z97" i="24"/>
  <c r="H49" i="24"/>
  <c r="H52" i="24" s="1"/>
  <c r="R172" i="24"/>
  <c r="F362" i="24"/>
  <c r="F363" i="24" s="1"/>
  <c r="V417" i="24"/>
  <c r="V215" i="24"/>
  <c r="G49" i="24"/>
  <c r="G52" i="24" s="1"/>
  <c r="I362" i="24"/>
  <c r="I363" i="24" s="1"/>
  <c r="P36" i="24"/>
  <c r="P113" i="24"/>
  <c r="R516" i="24"/>
  <c r="S413" i="24"/>
  <c r="R414" i="24"/>
  <c r="R125" i="24" s="1"/>
  <c r="H199" i="24"/>
  <c r="H200" i="24" s="1"/>
  <c r="H46" i="24" s="1"/>
  <c r="V253" i="24"/>
  <c r="T25" i="24"/>
  <c r="S26" i="24"/>
  <c r="R272" i="24"/>
  <c r="S193" i="24"/>
  <c r="K497" i="24"/>
  <c r="K51" i="24"/>
  <c r="U436" i="24"/>
  <c r="T434" i="24"/>
  <c r="X246" i="24"/>
  <c r="R477" i="24"/>
  <c r="S160" i="24"/>
  <c r="R161" i="24"/>
  <c r="H34" i="24"/>
  <c r="N34" i="24"/>
  <c r="R537" i="24"/>
  <c r="R262" i="24"/>
  <c r="S190" i="24"/>
  <c r="S418" i="24"/>
  <c r="R420" i="24"/>
  <c r="R100" i="24" s="1"/>
  <c r="S216" i="24"/>
  <c r="K371" i="24"/>
  <c r="K372" i="24" s="1"/>
  <c r="T22" i="24"/>
  <c r="U21" i="24"/>
  <c r="T519" i="24"/>
  <c r="U463" i="24"/>
  <c r="T465" i="24"/>
  <c r="T120" i="24" s="1"/>
  <c r="S487" i="24"/>
  <c r="S105" i="24"/>
  <c r="Q453" i="23"/>
  <c r="R453" i="23" s="1"/>
  <c r="Q454" i="23"/>
  <c r="Q119" i="23" s="1"/>
  <c r="Q454" i="24"/>
  <c r="Q119" i="24" s="1"/>
  <c r="Q121" i="24" s="1"/>
  <c r="Q453" i="24"/>
  <c r="Q147" i="24"/>
  <c r="Q150" i="24" s="1"/>
  <c r="R145" i="24"/>
  <c r="S481" i="24"/>
  <c r="S97" i="24"/>
  <c r="U18" i="24"/>
  <c r="T19" i="24"/>
  <c r="S186" i="24"/>
  <c r="R494" i="24"/>
  <c r="R502" i="24" s="1"/>
  <c r="V481" i="24"/>
  <c r="V97" i="24"/>
  <c r="H371" i="24"/>
  <c r="H372" i="24" s="1"/>
  <c r="S139" i="24"/>
  <c r="K362" i="24"/>
  <c r="K363" i="24" s="1"/>
  <c r="E362" i="24"/>
  <c r="E363" i="24" s="1"/>
  <c r="E56" i="24" s="1"/>
  <c r="E58" i="24" s="1"/>
  <c r="I34" i="24"/>
  <c r="Q507" i="24"/>
  <c r="S169" i="24"/>
  <c r="R170" i="24"/>
  <c r="S332" i="24"/>
  <c r="R123" i="24"/>
  <c r="R333" i="24"/>
  <c r="R514" i="24"/>
  <c r="S313" i="24"/>
  <c r="T510" i="24"/>
  <c r="T460" i="24"/>
  <c r="U457" i="24"/>
  <c r="Y481" i="24"/>
  <c r="Y97" i="24"/>
  <c r="S163" i="24"/>
  <c r="T163" i="24" s="1"/>
  <c r="U163" i="24" s="1"/>
  <c r="V163" i="24" s="1"/>
  <c r="W163" i="24" s="1"/>
  <c r="X163" i="24" s="1"/>
  <c r="Y163" i="24" s="1"/>
  <c r="Z163" i="24" s="1"/>
  <c r="S419" i="24"/>
  <c r="T246" i="24"/>
  <c r="D179" i="24"/>
  <c r="D34" i="24" s="1"/>
  <c r="E34" i="24"/>
  <c r="R203" i="24"/>
  <c r="Q205" i="24"/>
  <c r="O362" i="24"/>
  <c r="O363" i="24" s="1"/>
  <c r="T427" i="24"/>
  <c r="T219" i="24"/>
  <c r="S483" i="24"/>
  <c r="R481" i="24"/>
  <c r="R97" i="24"/>
  <c r="F49" i="24"/>
  <c r="F52" i="24" s="1"/>
  <c r="F50" i="24"/>
  <c r="S444" i="24"/>
  <c r="R352" i="24"/>
  <c r="S118" i="24"/>
  <c r="M179" i="24"/>
  <c r="M34" i="24" s="1"/>
  <c r="P173" i="24"/>
  <c r="P179" i="24" s="1"/>
  <c r="P177" i="24"/>
  <c r="Q100" i="24"/>
  <c r="R515" i="24"/>
  <c r="R449" i="24"/>
  <c r="R517" i="24" s="1"/>
  <c r="S409" i="24"/>
  <c r="R410" i="24"/>
  <c r="U481" i="24"/>
  <c r="U97" i="24"/>
  <c r="S146" i="24"/>
  <c r="Q73" i="24"/>
  <c r="Q442" i="24" s="1"/>
  <c r="S28" i="24"/>
  <c r="T28" i="24" s="1"/>
  <c r="U28" i="24" s="1"/>
  <c r="V28" i="24" s="1"/>
  <c r="W28" i="24" s="1"/>
  <c r="X28" i="24" s="1"/>
  <c r="Y28" i="24" s="1"/>
  <c r="Z28" i="24" s="1"/>
  <c r="S267" i="23"/>
  <c r="W246" i="23"/>
  <c r="W481" i="23" s="1"/>
  <c r="Z246" i="23"/>
  <c r="Z481" i="23" s="1"/>
  <c r="R487" i="23"/>
  <c r="V246" i="23"/>
  <c r="V97" i="23" s="1"/>
  <c r="T246" i="23"/>
  <c r="T481" i="23" s="1"/>
  <c r="P178" i="23"/>
  <c r="P47" i="23" s="1"/>
  <c r="R258" i="23"/>
  <c r="R105" i="23"/>
  <c r="G34" i="23"/>
  <c r="G39" i="23" s="1"/>
  <c r="G130" i="23" s="1"/>
  <c r="Q487" i="23"/>
  <c r="F34" i="23"/>
  <c r="F39" i="23" s="1"/>
  <c r="F130" i="23" s="1"/>
  <c r="N34" i="23"/>
  <c r="N39" i="23" s="1"/>
  <c r="N130" i="23" s="1"/>
  <c r="Y246" i="23"/>
  <c r="Y97" i="23" s="1"/>
  <c r="Q268" i="23"/>
  <c r="P363" i="23"/>
  <c r="R257" i="23"/>
  <c r="D63" i="23"/>
  <c r="D65" i="23" s="1"/>
  <c r="F63" i="23"/>
  <c r="F65" i="23" s="1"/>
  <c r="X246" i="23"/>
  <c r="X481" i="23" s="1"/>
  <c r="P268" i="23"/>
  <c r="P46" i="23" s="1"/>
  <c r="U246" i="23"/>
  <c r="U97" i="23" s="1"/>
  <c r="H34" i="23"/>
  <c r="H39" i="23" s="1"/>
  <c r="H130" i="23" s="1"/>
  <c r="N50" i="23"/>
  <c r="N49" i="23"/>
  <c r="N52" i="23" s="1"/>
  <c r="K362" i="23"/>
  <c r="K363" i="23" s="1"/>
  <c r="D371" i="23"/>
  <c r="D372" i="23" s="1"/>
  <c r="K50" i="23"/>
  <c r="K49" i="23"/>
  <c r="K52" i="23" s="1"/>
  <c r="M50" i="23"/>
  <c r="M49" i="23"/>
  <c r="M52" i="23" s="1"/>
  <c r="H49" i="23"/>
  <c r="H52" i="23" s="1"/>
  <c r="H50" i="23"/>
  <c r="J50" i="23"/>
  <c r="J49" i="23"/>
  <c r="J52" i="23" s="1"/>
  <c r="G362" i="23"/>
  <c r="G363" i="23" s="1"/>
  <c r="D49" i="23"/>
  <c r="D52" i="23" s="1"/>
  <c r="D50" i="23"/>
  <c r="L50" i="23"/>
  <c r="L49" i="23"/>
  <c r="L52" i="23" s="1"/>
  <c r="E50" i="23"/>
  <c r="E49" i="23"/>
  <c r="E52" i="23" s="1"/>
  <c r="R475" i="23"/>
  <c r="R89" i="23"/>
  <c r="F371" i="23"/>
  <c r="F372" i="23" s="1"/>
  <c r="L371" i="23"/>
  <c r="L372" i="23" s="1"/>
  <c r="N371" i="23"/>
  <c r="N372" i="23" s="1"/>
  <c r="I50" i="23"/>
  <c r="I49" i="23"/>
  <c r="I52" i="23" s="1"/>
  <c r="O50" i="23"/>
  <c r="O49" i="23"/>
  <c r="O52" i="23" s="1"/>
  <c r="F362" i="23"/>
  <c r="F363" i="23" s="1"/>
  <c r="K371" i="23"/>
  <c r="K372" i="23" s="1"/>
  <c r="U427" i="23"/>
  <c r="G50" i="23"/>
  <c r="G49" i="23"/>
  <c r="G52" i="23" s="1"/>
  <c r="T18" i="23"/>
  <c r="S19" i="23"/>
  <c r="S44" i="23" s="1"/>
  <c r="T290" i="23"/>
  <c r="U238" i="23"/>
  <c r="T75" i="23"/>
  <c r="U253" i="23"/>
  <c r="T510" i="23"/>
  <c r="T460" i="23"/>
  <c r="U457" i="23"/>
  <c r="P368" i="23"/>
  <c r="J497" i="23"/>
  <c r="J51" i="23"/>
  <c r="T25" i="23"/>
  <c r="S26" i="23"/>
  <c r="Q259" i="23"/>
  <c r="R139" i="23"/>
  <c r="S139" i="23" s="1"/>
  <c r="T439" i="23"/>
  <c r="S107" i="23"/>
  <c r="M34" i="23"/>
  <c r="T305" i="23"/>
  <c r="S306" i="23"/>
  <c r="V21" i="23"/>
  <c r="U22" i="23"/>
  <c r="L362" i="23"/>
  <c r="L363" i="23" s="1"/>
  <c r="R494" i="23"/>
  <c r="R502" i="23" s="1"/>
  <c r="T519" i="23"/>
  <c r="U463" i="23"/>
  <c r="T465" i="23"/>
  <c r="T120" i="23" s="1"/>
  <c r="U417" i="23"/>
  <c r="U215" i="23"/>
  <c r="S508" i="23"/>
  <c r="S256" i="23"/>
  <c r="S515" i="23"/>
  <c r="T409" i="23"/>
  <c r="T301" i="23"/>
  <c r="S302" i="23"/>
  <c r="U423" i="23"/>
  <c r="Q73" i="23"/>
  <c r="Q442" i="23" s="1"/>
  <c r="H392" i="23"/>
  <c r="I406" i="23"/>
  <c r="H393" i="23"/>
  <c r="P497" i="23"/>
  <c r="P51" i="23"/>
  <c r="T424" i="23"/>
  <c r="U436" i="23"/>
  <c r="T434" i="23"/>
  <c r="T432" i="23" s="1"/>
  <c r="D362" i="23"/>
  <c r="D363" i="23" s="1"/>
  <c r="R323" i="23"/>
  <c r="S196" i="23"/>
  <c r="Q114" i="23"/>
  <c r="Q100" i="23"/>
  <c r="S516" i="23"/>
  <c r="T413" i="23"/>
  <c r="S272" i="23"/>
  <c r="T193" i="23"/>
  <c r="S432" i="23"/>
  <c r="S481" i="23"/>
  <c r="S97" i="23"/>
  <c r="R177" i="23"/>
  <c r="T279" i="23"/>
  <c r="S280" i="23"/>
  <c r="R186" i="23"/>
  <c r="S186" i="23" s="1"/>
  <c r="R385" i="23"/>
  <c r="R391" i="23"/>
  <c r="S384" i="23"/>
  <c r="G394" i="23"/>
  <c r="G63" i="23" s="1"/>
  <c r="G65" i="23" s="1"/>
  <c r="L34" i="23"/>
  <c r="M371" i="23"/>
  <c r="M372" i="23" s="1"/>
  <c r="R477" i="23"/>
  <c r="S160" i="23"/>
  <c r="R91" i="23"/>
  <c r="R161" i="23"/>
  <c r="R165" i="23" s="1"/>
  <c r="F49" i="23"/>
  <c r="F52" i="23" s="1"/>
  <c r="F50" i="23"/>
  <c r="J371" i="23"/>
  <c r="J372" i="23" s="1"/>
  <c r="T309" i="23"/>
  <c r="S310" i="23"/>
  <c r="P165" i="23"/>
  <c r="S470" i="23"/>
  <c r="T468" i="23"/>
  <c r="R268" i="23"/>
  <c r="R147" i="23"/>
  <c r="R150" i="23" s="1"/>
  <c r="S145" i="23"/>
  <c r="Q476" i="23"/>
  <c r="R154" i="23"/>
  <c r="R202" i="23"/>
  <c r="D34" i="23"/>
  <c r="O34" i="23"/>
  <c r="J34" i="23"/>
  <c r="I362" i="23"/>
  <c r="I363" i="23" s="1"/>
  <c r="P346" i="23"/>
  <c r="S266" i="23"/>
  <c r="T264" i="23"/>
  <c r="S444" i="23"/>
  <c r="R352" i="23"/>
  <c r="O497" i="23"/>
  <c r="O51" i="23"/>
  <c r="R188" i="23"/>
  <c r="R203" i="23"/>
  <c r="Q205" i="23"/>
  <c r="K34" i="23"/>
  <c r="I34" i="23"/>
  <c r="S315" i="23"/>
  <c r="S316" i="23" s="1"/>
  <c r="T313" i="23"/>
  <c r="O371" i="23"/>
  <c r="O372" i="23" s="1"/>
  <c r="S118" i="23"/>
  <c r="R170" i="23"/>
  <c r="R173" i="23" s="1"/>
  <c r="S298" i="23"/>
  <c r="T297" i="23"/>
  <c r="N46" i="23"/>
  <c r="E34" i="23"/>
  <c r="T219" i="23"/>
  <c r="U219" i="23" s="1"/>
  <c r="E362" i="23"/>
  <c r="E363" i="23" s="1"/>
  <c r="E56" i="23" s="1"/>
  <c r="E58" i="23" s="1"/>
  <c r="R187" i="23"/>
  <c r="S187" i="23" s="1"/>
  <c r="P38" i="16"/>
  <c r="P40" i="16"/>
  <c r="P43" i="16"/>
  <c r="P44" i="16"/>
  <c r="P59" i="16"/>
  <c r="P70" i="16"/>
  <c r="P71" i="16"/>
  <c r="P72" i="16"/>
  <c r="P73" i="16"/>
  <c r="P74" i="16"/>
  <c r="P75" i="16"/>
  <c r="P76" i="16"/>
  <c r="P77" i="16"/>
  <c r="P391" i="16" s="1"/>
  <c r="P79" i="16"/>
  <c r="P80" i="16"/>
  <c r="P84" i="16"/>
  <c r="P88" i="16"/>
  <c r="P89" i="16"/>
  <c r="P90" i="16"/>
  <c r="P91" i="16"/>
  <c r="P92" i="16"/>
  <c r="P94" i="16"/>
  <c r="P96" i="16"/>
  <c r="P100" i="16"/>
  <c r="P101" i="16"/>
  <c r="P102" i="16"/>
  <c r="P103" i="16"/>
  <c r="P104" i="16"/>
  <c r="P107" i="16"/>
  <c r="P108" i="16"/>
  <c r="P109" i="16"/>
  <c r="P115" i="16"/>
  <c r="P116" i="16"/>
  <c r="P117" i="16"/>
  <c r="P118" i="16"/>
  <c r="P119" i="16"/>
  <c r="P120" i="16"/>
  <c r="P122" i="16"/>
  <c r="P123" i="16"/>
  <c r="P124" i="16"/>
  <c r="P125" i="16"/>
  <c r="P126" i="16"/>
  <c r="P127" i="16"/>
  <c r="P134" i="16"/>
  <c r="P135" i="16"/>
  <c r="P136" i="16"/>
  <c r="P137" i="16"/>
  <c r="P138" i="16"/>
  <c r="P139" i="16"/>
  <c r="P145" i="16"/>
  <c r="P146" i="16" s="1"/>
  <c r="P147" i="16" s="1"/>
  <c r="P148" i="16"/>
  <c r="P151" i="16"/>
  <c r="P154" i="16"/>
  <c r="P155" i="16"/>
  <c r="P162" i="16"/>
  <c r="P163" i="16"/>
  <c r="P164" i="16"/>
  <c r="P171" i="16"/>
  <c r="P172" i="16"/>
  <c r="P182" i="16"/>
  <c r="P183" i="16"/>
  <c r="P184" i="16"/>
  <c r="P185" i="16"/>
  <c r="P186" i="16"/>
  <c r="P187" i="16"/>
  <c r="P188" i="16"/>
  <c r="P190" i="16"/>
  <c r="P262" i="16" s="1"/>
  <c r="P192" i="16"/>
  <c r="P291" i="16" s="1"/>
  <c r="P193" i="16"/>
  <c r="P272" i="16" s="1"/>
  <c r="P195" i="16"/>
  <c r="P198" i="16"/>
  <c r="P202" i="16"/>
  <c r="P203" i="16"/>
  <c r="P204" i="16"/>
  <c r="P205" i="16"/>
  <c r="P208" i="16"/>
  <c r="P209" i="16"/>
  <c r="P210" i="16"/>
  <c r="P211" i="16"/>
  <c r="P215" i="16"/>
  <c r="P216" i="16"/>
  <c r="P217" i="16"/>
  <c r="P219" i="16"/>
  <c r="P220" i="16"/>
  <c r="P224" i="16"/>
  <c r="P225" i="16"/>
  <c r="P226" i="16"/>
  <c r="P230" i="16"/>
  <c r="P231" i="16"/>
  <c r="P232" i="16"/>
  <c r="P233" i="16"/>
  <c r="P238" i="16"/>
  <c r="P290" i="16" s="1"/>
  <c r="P239" i="16"/>
  <c r="P240" i="16"/>
  <c r="P242" i="16"/>
  <c r="P243" i="16"/>
  <c r="P248" i="16"/>
  <c r="P252" i="16"/>
  <c r="P253" i="16"/>
  <c r="P257" i="16"/>
  <c r="P266" i="16"/>
  <c r="P273" i="16"/>
  <c r="P283" i="16"/>
  <c r="P284" i="16"/>
  <c r="P285" i="16"/>
  <c r="P319" i="16"/>
  <c r="P320" i="16"/>
  <c r="P326" i="16"/>
  <c r="P327" i="16"/>
  <c r="P328" i="16"/>
  <c r="P334" i="16"/>
  <c r="P335" i="16"/>
  <c r="P340" i="16"/>
  <c r="P341" i="16"/>
  <c r="P37" i="16" s="1"/>
  <c r="P347" i="16"/>
  <c r="P351" i="16"/>
  <c r="P354" i="16"/>
  <c r="P360" i="16"/>
  <c r="P361" i="16"/>
  <c r="P369" i="16"/>
  <c r="P370" i="16"/>
  <c r="P375" i="16"/>
  <c r="P376" i="16"/>
  <c r="P377" i="16"/>
  <c r="P271" i="16" s="1"/>
  <c r="P378" i="16"/>
  <c r="P331" i="16" s="1"/>
  <c r="P380" i="16"/>
  <c r="P486" i="16" s="1"/>
  <c r="P381" i="16"/>
  <c r="P384" i="16"/>
  <c r="P385" i="16"/>
  <c r="P442" i="16" s="1"/>
  <c r="P386" i="16"/>
  <c r="P468" i="16" s="1"/>
  <c r="P469" i="16" s="1"/>
  <c r="P470" i="16" s="1"/>
  <c r="P388" i="16"/>
  <c r="P395" i="16"/>
  <c r="P400" i="16"/>
  <c r="P401" i="16"/>
  <c r="P402" i="16"/>
  <c r="P263" i="16" s="1"/>
  <c r="P403" i="16"/>
  <c r="P404" i="16"/>
  <c r="P159" i="16" s="1"/>
  <c r="P405" i="16"/>
  <c r="P410" i="16"/>
  <c r="P414" i="16"/>
  <c r="P417" i="16"/>
  <c r="P418" i="16"/>
  <c r="P419" i="16"/>
  <c r="P423" i="16"/>
  <c r="P424" i="16"/>
  <c r="P427" i="16"/>
  <c r="P428" i="16"/>
  <c r="P433" i="16"/>
  <c r="P434" i="16"/>
  <c r="P435" i="16"/>
  <c r="P439" i="16"/>
  <c r="P443" i="16"/>
  <c r="P446" i="16"/>
  <c r="P449" i="16"/>
  <c r="P450" i="16"/>
  <c r="P453" i="16"/>
  <c r="P454" i="16"/>
  <c r="P457" i="16"/>
  <c r="P458" i="16"/>
  <c r="P463" i="16"/>
  <c r="P471" i="16"/>
  <c r="P474" i="16"/>
  <c r="P475" i="16"/>
  <c r="P476" i="16"/>
  <c r="P477" i="16"/>
  <c r="P478" i="16"/>
  <c r="P480" i="16"/>
  <c r="P483" i="16"/>
  <c r="P484" i="16"/>
  <c r="P485" i="16"/>
  <c r="P492" i="16"/>
  <c r="P493" i="16"/>
  <c r="P494" i="16"/>
  <c r="P495" i="16"/>
  <c r="T100" i="23" l="1"/>
  <c r="U216" i="23"/>
  <c r="U218" i="23" s="1"/>
  <c r="U114" i="23" s="1"/>
  <c r="U418" i="23"/>
  <c r="U420" i="23" s="1"/>
  <c r="F394" i="24"/>
  <c r="F63" i="24" s="1"/>
  <c r="F65" i="24" s="1"/>
  <c r="G394" i="25"/>
  <c r="P409" i="16"/>
  <c r="P413" i="16" s="1"/>
  <c r="P286" i="16"/>
  <c r="R450" i="23"/>
  <c r="R126" i="23" s="1"/>
  <c r="S414" i="23"/>
  <c r="S125" i="23" s="1"/>
  <c r="P85" i="16"/>
  <c r="P429" i="16"/>
  <c r="P140" i="16"/>
  <c r="P128" i="16"/>
  <c r="P420" i="16"/>
  <c r="P218" i="16"/>
  <c r="P114" i="16" s="1"/>
  <c r="P121" i="16" s="1"/>
  <c r="G392" i="24"/>
  <c r="H406" i="24"/>
  <c r="G393" i="24"/>
  <c r="P459" i="16"/>
  <c r="P460" i="16" s="1"/>
  <c r="P496" i="16"/>
  <c r="P241" i="16"/>
  <c r="P78" i="16"/>
  <c r="P81" i="16" s="1"/>
  <c r="S333" i="23"/>
  <c r="S507" i="23" s="1"/>
  <c r="S514" i="23"/>
  <c r="S123" i="23"/>
  <c r="T420" i="25"/>
  <c r="T100" i="25" s="1"/>
  <c r="P34" i="23"/>
  <c r="P39" i="23" s="1"/>
  <c r="P130" i="23" s="1"/>
  <c r="R100" i="23"/>
  <c r="T202" i="25"/>
  <c r="V436" i="25"/>
  <c r="W436" i="25" s="1"/>
  <c r="S471" i="25"/>
  <c r="S516" i="25"/>
  <c r="T332" i="25"/>
  <c r="T123" i="25" s="1"/>
  <c r="S262" i="25"/>
  <c r="T190" i="25"/>
  <c r="U190" i="25" s="1"/>
  <c r="S218" i="25"/>
  <c r="S114" i="25" s="1"/>
  <c r="S105" i="25"/>
  <c r="G41" i="24"/>
  <c r="G45" i="24" s="1"/>
  <c r="S471" i="23"/>
  <c r="I39" i="25"/>
  <c r="I130" i="25" s="1"/>
  <c r="S203" i="25"/>
  <c r="S205" i="25" s="1"/>
  <c r="S204" i="25" s="1"/>
  <c r="S182" i="25" s="1"/>
  <c r="S100" i="23"/>
  <c r="S123" i="25"/>
  <c r="S333" i="25"/>
  <c r="S507" i="25" s="1"/>
  <c r="R173" i="25"/>
  <c r="S449" i="25"/>
  <c r="S517" i="25" s="1"/>
  <c r="S410" i="25"/>
  <c r="S124" i="25" s="1"/>
  <c r="R165" i="25"/>
  <c r="T409" i="25"/>
  <c r="T515" i="25" s="1"/>
  <c r="R91" i="25"/>
  <c r="T139" i="25"/>
  <c r="U139" i="25" s="1"/>
  <c r="T313" i="25"/>
  <c r="U313" i="25" s="1"/>
  <c r="S164" i="24"/>
  <c r="T164" i="24" s="1"/>
  <c r="U164" i="24" s="1"/>
  <c r="V164" i="24" s="1"/>
  <c r="W164" i="24" s="1"/>
  <c r="X164" i="24" s="1"/>
  <c r="Y164" i="24" s="1"/>
  <c r="Z164" i="24" s="1"/>
  <c r="T193" i="25"/>
  <c r="T272" i="25" s="1"/>
  <c r="T267" i="23"/>
  <c r="T190" i="23"/>
  <c r="T537" i="23" s="1"/>
  <c r="S449" i="23"/>
  <c r="S517" i="23" s="1"/>
  <c r="S202" i="23"/>
  <c r="S262" i="23"/>
  <c r="S265" i="23" s="1"/>
  <c r="S268" i="23" s="1"/>
  <c r="T470" i="24"/>
  <c r="S414" i="25"/>
  <c r="S125" i="25" s="1"/>
  <c r="G41" i="25"/>
  <c r="G42" i="25" s="1"/>
  <c r="S470" i="24"/>
  <c r="S471" i="24" s="1"/>
  <c r="E56" i="25"/>
  <c r="E58" i="25" s="1"/>
  <c r="E61" i="25" s="1"/>
  <c r="R450" i="25"/>
  <c r="R126" i="25" s="1"/>
  <c r="S172" i="24"/>
  <c r="T172" i="24" s="1"/>
  <c r="U172" i="24" s="1"/>
  <c r="V172" i="24" s="1"/>
  <c r="W172" i="24" s="1"/>
  <c r="X172" i="24" s="1"/>
  <c r="Y172" i="24" s="1"/>
  <c r="Z172" i="24" s="1"/>
  <c r="F39" i="24"/>
  <c r="F130" i="24" s="1"/>
  <c r="F41" i="25"/>
  <c r="F45" i="25" s="1"/>
  <c r="E39" i="25"/>
  <c r="E130" i="25" s="1"/>
  <c r="P34" i="25"/>
  <c r="F61" i="25"/>
  <c r="F60" i="25"/>
  <c r="D61" i="25"/>
  <c r="D60" i="25"/>
  <c r="Q350" i="25"/>
  <c r="Q121" i="23"/>
  <c r="V427" i="25"/>
  <c r="V219" i="25"/>
  <c r="U75" i="25"/>
  <c r="R73" i="25"/>
  <c r="R442" i="25" s="1"/>
  <c r="U483" i="25"/>
  <c r="V417" i="25"/>
  <c r="V215" i="25"/>
  <c r="T154" i="25"/>
  <c r="S385" i="25"/>
  <c r="S391" i="25"/>
  <c r="T384" i="25"/>
  <c r="T188" i="25"/>
  <c r="U188" i="25" s="1"/>
  <c r="K41" i="25"/>
  <c r="K39" i="25"/>
  <c r="K130" i="25" s="1"/>
  <c r="T444" i="25"/>
  <c r="S352" i="25"/>
  <c r="V18" i="25"/>
  <c r="U19" i="25"/>
  <c r="U187" i="25" s="1"/>
  <c r="S477" i="25"/>
  <c r="T160" i="25"/>
  <c r="S161" i="25"/>
  <c r="S165" i="25" s="1"/>
  <c r="S91" i="25"/>
  <c r="T186" i="25"/>
  <c r="U186" i="25" s="1"/>
  <c r="T470" i="25"/>
  <c r="U468" i="25"/>
  <c r="U519" i="25"/>
  <c r="V463" i="25"/>
  <c r="U465" i="25"/>
  <c r="U120" i="25" s="1"/>
  <c r="Q177" i="25"/>
  <c r="P178" i="25"/>
  <c r="P47" i="25" s="1"/>
  <c r="S475" i="25"/>
  <c r="T146" i="25"/>
  <c r="S89" i="25"/>
  <c r="S494" i="25"/>
  <c r="S502" i="25" s="1"/>
  <c r="E45" i="25"/>
  <c r="E42" i="25"/>
  <c r="S454" i="25"/>
  <c r="S119" i="25" s="1"/>
  <c r="S453" i="25"/>
  <c r="S147" i="25"/>
  <c r="S150" i="25" s="1"/>
  <c r="D39" i="25"/>
  <c r="D130" i="25" s="1"/>
  <c r="D41" i="25"/>
  <c r="J41" i="24"/>
  <c r="J42" i="24" s="1"/>
  <c r="T169" i="25"/>
  <c r="S170" i="25"/>
  <c r="S173" i="25" s="1"/>
  <c r="U439" i="25"/>
  <c r="T107" i="25"/>
  <c r="H39" i="25"/>
  <c r="H130" i="25" s="1"/>
  <c r="H41" i="25"/>
  <c r="T487" i="25"/>
  <c r="T105" i="25"/>
  <c r="U290" i="25"/>
  <c r="V238" i="25"/>
  <c r="G396" i="25"/>
  <c r="G397" i="25" s="1"/>
  <c r="G56" i="25" s="1"/>
  <c r="G58" i="25" s="1"/>
  <c r="G63" i="25"/>
  <c r="G65" i="25" s="1"/>
  <c r="W21" i="25"/>
  <c r="V22" i="25"/>
  <c r="V510" i="25"/>
  <c r="V460" i="25"/>
  <c r="W457" i="25"/>
  <c r="U424" i="25"/>
  <c r="V423" i="25"/>
  <c r="H392" i="25"/>
  <c r="H393" i="25"/>
  <c r="I406" i="25"/>
  <c r="J39" i="25"/>
  <c r="J130" i="25" s="1"/>
  <c r="J41" i="25"/>
  <c r="I42" i="25"/>
  <c r="I45" i="25"/>
  <c r="U432" i="25"/>
  <c r="V25" i="25"/>
  <c r="U26" i="25"/>
  <c r="T516" i="25"/>
  <c r="U413" i="25"/>
  <c r="V253" i="25"/>
  <c r="U118" i="25"/>
  <c r="T44" i="25"/>
  <c r="U508" i="25"/>
  <c r="U218" i="25"/>
  <c r="U114" i="25" s="1"/>
  <c r="U418" i="25"/>
  <c r="U420" i="25" s="1"/>
  <c r="Z97" i="23"/>
  <c r="X97" i="23"/>
  <c r="Y481" i="23"/>
  <c r="S107" i="24"/>
  <c r="S494" i="24" s="1"/>
  <c r="S502" i="24" s="1"/>
  <c r="S203" i="23"/>
  <c r="S410" i="23"/>
  <c r="S124" i="23" s="1"/>
  <c r="T187" i="24"/>
  <c r="T97" i="23"/>
  <c r="R91" i="24"/>
  <c r="R173" i="24"/>
  <c r="R165" i="24"/>
  <c r="K39" i="24"/>
  <c r="K130" i="24" s="1"/>
  <c r="W97" i="23"/>
  <c r="R454" i="23"/>
  <c r="R119" i="23" s="1"/>
  <c r="W97" i="24"/>
  <c r="V481" i="23"/>
  <c r="Q350" i="24"/>
  <c r="E61" i="24"/>
  <c r="E60" i="24"/>
  <c r="R73" i="24"/>
  <c r="R442" i="24" s="1"/>
  <c r="T444" i="24"/>
  <c r="S352" i="24"/>
  <c r="T26" i="24"/>
  <c r="U25" i="24"/>
  <c r="H41" i="23"/>
  <c r="H42" i="23" s="1"/>
  <c r="R124" i="23"/>
  <c r="R450" i="24"/>
  <c r="R126" i="24" s="1"/>
  <c r="R124" i="24"/>
  <c r="V18" i="24"/>
  <c r="U19" i="24"/>
  <c r="U519" i="24"/>
  <c r="V463" i="24"/>
  <c r="U465" i="24"/>
  <c r="U120" i="24" s="1"/>
  <c r="V436" i="24"/>
  <c r="U434" i="24"/>
  <c r="U432" i="24" s="1"/>
  <c r="W253" i="24"/>
  <c r="V423" i="24"/>
  <c r="T424" i="24"/>
  <c r="P34" i="24"/>
  <c r="T188" i="24"/>
  <c r="U188" i="24" s="1"/>
  <c r="S537" i="24"/>
  <c r="S262" i="24"/>
  <c r="T190" i="24"/>
  <c r="S516" i="24"/>
  <c r="T413" i="24"/>
  <c r="S414" i="24"/>
  <c r="S125" i="24" s="1"/>
  <c r="S477" i="24"/>
  <c r="T160" i="24"/>
  <c r="S161" i="24"/>
  <c r="S515" i="24"/>
  <c r="S449" i="24"/>
  <c r="S517" i="24" s="1"/>
  <c r="T409" i="24"/>
  <c r="S410" i="24"/>
  <c r="R205" i="24"/>
  <c r="Q204" i="24"/>
  <c r="U439" i="24"/>
  <c r="T107" i="24"/>
  <c r="S202" i="24"/>
  <c r="T419" i="24"/>
  <c r="T217" i="24"/>
  <c r="T154" i="24"/>
  <c r="G41" i="23"/>
  <c r="G42" i="23" s="1"/>
  <c r="F41" i="23"/>
  <c r="F45" i="23" s="1"/>
  <c r="S475" i="24"/>
  <c r="S89" i="24"/>
  <c r="T146" i="24"/>
  <c r="S203" i="24"/>
  <c r="R507" i="24"/>
  <c r="X481" i="24"/>
  <c r="X97" i="24"/>
  <c r="S385" i="24"/>
  <c r="S391" i="24"/>
  <c r="P363" i="24"/>
  <c r="T481" i="24"/>
  <c r="T97" i="24"/>
  <c r="T118" i="24"/>
  <c r="D61" i="24"/>
  <c r="D60" i="24"/>
  <c r="T508" i="24"/>
  <c r="E39" i="24"/>
  <c r="E130" i="24" s="1"/>
  <c r="E41" i="24"/>
  <c r="T139" i="24"/>
  <c r="U139" i="24" s="1"/>
  <c r="U75" i="24"/>
  <c r="S218" i="24"/>
  <c r="S114" i="24" s="1"/>
  <c r="H39" i="24"/>
  <c r="H130" i="24" s="1"/>
  <c r="H41" i="24"/>
  <c r="U382" i="24"/>
  <c r="T384" i="24"/>
  <c r="U290" i="24"/>
  <c r="V238" i="24"/>
  <c r="U470" i="24"/>
  <c r="V468" i="24"/>
  <c r="F45" i="24"/>
  <c r="F42" i="24"/>
  <c r="U427" i="24"/>
  <c r="U219" i="24"/>
  <c r="T483" i="24"/>
  <c r="D41" i="24"/>
  <c r="D39" i="24"/>
  <c r="D130" i="24" s="1"/>
  <c r="T44" i="24"/>
  <c r="U44" i="24" s="1"/>
  <c r="T313" i="24"/>
  <c r="T332" i="24"/>
  <c r="S123" i="24"/>
  <c r="S333" i="24"/>
  <c r="S514" i="24"/>
  <c r="I39" i="24"/>
  <c r="I130" i="24" s="1"/>
  <c r="I41" i="24"/>
  <c r="R454" i="24"/>
  <c r="R119" i="24" s="1"/>
  <c r="R453" i="24"/>
  <c r="R147" i="24"/>
  <c r="R150" i="24" s="1"/>
  <c r="S145" i="24"/>
  <c r="U22" i="24"/>
  <c r="V21" i="24"/>
  <c r="S272" i="24"/>
  <c r="T193" i="24"/>
  <c r="W417" i="24"/>
  <c r="W215" i="24"/>
  <c r="T169" i="24"/>
  <c r="S170" i="24"/>
  <c r="R259" i="23"/>
  <c r="T432" i="24"/>
  <c r="Q177" i="24"/>
  <c r="P178" i="24"/>
  <c r="P47" i="24" s="1"/>
  <c r="U510" i="24"/>
  <c r="U460" i="24"/>
  <c r="V457" i="24"/>
  <c r="T186" i="24"/>
  <c r="U186" i="24" s="1"/>
  <c r="T418" i="24"/>
  <c r="S420" i="24"/>
  <c r="T216" i="24"/>
  <c r="K42" i="24"/>
  <c r="K45" i="24"/>
  <c r="Q179" i="23"/>
  <c r="Q92" i="23" s="1"/>
  <c r="S257" i="23"/>
  <c r="U481" i="23"/>
  <c r="N41" i="23"/>
  <c r="N42" i="23" s="1"/>
  <c r="T483" i="23"/>
  <c r="F56" i="23"/>
  <c r="F58" i="23" s="1"/>
  <c r="F61" i="23" s="1"/>
  <c r="Q350" i="23"/>
  <c r="E61" i="23"/>
  <c r="E60" i="23"/>
  <c r="T487" i="23"/>
  <c r="T105" i="23"/>
  <c r="T470" i="23"/>
  <c r="U468" i="23"/>
  <c r="T298" i="23"/>
  <c r="U297" i="23"/>
  <c r="S385" i="23"/>
  <c r="S391" i="23"/>
  <c r="T384" i="23"/>
  <c r="S323" i="23"/>
  <c r="T196" i="23"/>
  <c r="S169" i="23"/>
  <c r="T315" i="23"/>
  <c r="T316" i="23" s="1"/>
  <c r="U313" i="23"/>
  <c r="S188" i="23"/>
  <c r="P50" i="23"/>
  <c r="P49" i="23"/>
  <c r="P52" i="23" s="1"/>
  <c r="T272" i="23"/>
  <c r="U193" i="23"/>
  <c r="T302" i="23"/>
  <c r="U301" i="23"/>
  <c r="U508" i="23"/>
  <c r="U25" i="23"/>
  <c r="T26" i="23"/>
  <c r="E39" i="23"/>
  <c r="E130" i="23" s="1"/>
  <c r="E41" i="23"/>
  <c r="U424" i="23"/>
  <c r="M39" i="23"/>
  <c r="M130" i="23" s="1"/>
  <c r="M41" i="23"/>
  <c r="U75" i="23"/>
  <c r="T444" i="23"/>
  <c r="S352" i="23"/>
  <c r="I392" i="23"/>
  <c r="J406" i="23"/>
  <c r="I393" i="23"/>
  <c r="U290" i="23"/>
  <c r="V238" i="23"/>
  <c r="S146" i="23"/>
  <c r="S147" i="23" s="1"/>
  <c r="S150" i="23" s="1"/>
  <c r="I41" i="23"/>
  <c r="I39" i="23"/>
  <c r="I130" i="23" s="1"/>
  <c r="U264" i="23"/>
  <c r="T266" i="23"/>
  <c r="R476" i="23"/>
  <c r="S154" i="23"/>
  <c r="D56" i="23"/>
  <c r="D58" i="23" s="1"/>
  <c r="H394" i="23"/>
  <c r="T515" i="23"/>
  <c r="U409" i="23"/>
  <c r="T256" i="23"/>
  <c r="U483" i="23"/>
  <c r="V417" i="23"/>
  <c r="V215" i="23"/>
  <c r="W21" i="23"/>
  <c r="V22" i="23"/>
  <c r="V253" i="23"/>
  <c r="V427" i="23"/>
  <c r="V219" i="23"/>
  <c r="L39" i="23"/>
  <c r="L130" i="23" s="1"/>
  <c r="L41" i="23"/>
  <c r="S487" i="23"/>
  <c r="S105" i="23"/>
  <c r="T516" i="23"/>
  <c r="U413" i="23"/>
  <c r="U332" i="23"/>
  <c r="T123" i="23"/>
  <c r="T514" i="23"/>
  <c r="T333" i="23"/>
  <c r="P371" i="23"/>
  <c r="P372" i="23" s="1"/>
  <c r="K39" i="23"/>
  <c r="K130" i="23" s="1"/>
  <c r="K41" i="23"/>
  <c r="J39" i="23"/>
  <c r="J130" i="23" s="1"/>
  <c r="J41" i="23"/>
  <c r="T508" i="23"/>
  <c r="O39" i="23"/>
  <c r="O130" i="23" s="1"/>
  <c r="O41" i="23"/>
  <c r="T310" i="23"/>
  <c r="U309" i="23"/>
  <c r="T280" i="23"/>
  <c r="U279" i="23"/>
  <c r="U434" i="23"/>
  <c r="V436" i="23"/>
  <c r="S258" i="23"/>
  <c r="S494" i="23"/>
  <c r="S502" i="23" s="1"/>
  <c r="U510" i="23"/>
  <c r="U460" i="23"/>
  <c r="V457" i="23"/>
  <c r="U18" i="23"/>
  <c r="T19" i="23"/>
  <c r="T139" i="23" s="1"/>
  <c r="R205" i="23"/>
  <c r="Q204" i="23"/>
  <c r="D39" i="23"/>
  <c r="D130" i="23" s="1"/>
  <c r="D41" i="23"/>
  <c r="S477" i="23"/>
  <c r="T160" i="23"/>
  <c r="S161" i="23"/>
  <c r="S165" i="23" s="1"/>
  <c r="S91" i="23"/>
  <c r="R73" i="23"/>
  <c r="R442" i="23" s="1"/>
  <c r="S177" i="23"/>
  <c r="R178" i="23"/>
  <c r="V423" i="23"/>
  <c r="T306" i="23"/>
  <c r="U305" i="23"/>
  <c r="U439" i="23"/>
  <c r="T107" i="23"/>
  <c r="S453" i="23"/>
  <c r="T145" i="23"/>
  <c r="G396" i="23"/>
  <c r="G397" i="23" s="1"/>
  <c r="G56" i="23" s="1"/>
  <c r="G58" i="23" s="1"/>
  <c r="U519" i="23"/>
  <c r="U465" i="23"/>
  <c r="U120" i="23" s="1"/>
  <c r="V463" i="23"/>
  <c r="T118" i="23"/>
  <c r="P332" i="16"/>
  <c r="P333" i="16" s="1"/>
  <c r="P93" i="16"/>
  <c r="P189" i="16"/>
  <c r="P191" i="16" s="1"/>
  <c r="P194" i="16" s="1"/>
  <c r="P350" i="16"/>
  <c r="P352" i="16" s="1"/>
  <c r="P287" i="16"/>
  <c r="P212" i="16"/>
  <c r="P110" i="16"/>
  <c r="P82" i="16"/>
  <c r="P83" i="16" s="1"/>
  <c r="P149" i="16"/>
  <c r="P150" i="16" s="1"/>
  <c r="P444" i="16"/>
  <c r="P445" i="16" s="1"/>
  <c r="P64" i="16" s="1"/>
  <c r="P464" i="16"/>
  <c r="P465" i="16" s="1"/>
  <c r="P234" i="16"/>
  <c r="P141" i="16"/>
  <c r="P142" i="16" s="1"/>
  <c r="P379" i="16"/>
  <c r="P415" i="15"/>
  <c r="P404" i="15"/>
  <c r="P405" i="15" s="1"/>
  <c r="P398" i="15"/>
  <c r="P394" i="15"/>
  <c r="P400" i="15" s="1"/>
  <c r="P384" i="15"/>
  <c r="P379" i="15"/>
  <c r="P372" i="15"/>
  <c r="P356" i="15"/>
  <c r="D332" i="15"/>
  <c r="E332" i="15" s="1"/>
  <c r="F332" i="15" s="1"/>
  <c r="G332" i="15" s="1"/>
  <c r="H332" i="15" s="1"/>
  <c r="I332" i="15" s="1"/>
  <c r="J332" i="15" s="1"/>
  <c r="K332" i="15" s="1"/>
  <c r="L332" i="15" s="1"/>
  <c r="M332" i="15" s="1"/>
  <c r="N332" i="15" s="1"/>
  <c r="O332" i="15" s="1"/>
  <c r="P332" i="15" s="1"/>
  <c r="P333" i="15" s="1"/>
  <c r="P338" i="15"/>
  <c r="P321" i="15"/>
  <c r="P317" i="15"/>
  <c r="P311" i="15"/>
  <c r="P305" i="15"/>
  <c r="P299" i="15"/>
  <c r="P292" i="15"/>
  <c r="P284" i="15"/>
  <c r="P279" i="15"/>
  <c r="P274" i="15"/>
  <c r="P268" i="15"/>
  <c r="P263" i="15"/>
  <c r="P258" i="15"/>
  <c r="P253" i="15"/>
  <c r="P241" i="15"/>
  <c r="P236" i="15"/>
  <c r="P231" i="15"/>
  <c r="P226" i="15"/>
  <c r="P205" i="15"/>
  <c r="P200" i="15"/>
  <c r="P199" i="15"/>
  <c r="P191" i="15"/>
  <c r="P179" i="15"/>
  <c r="P176" i="15"/>
  <c r="P169" i="15"/>
  <c r="P161" i="15"/>
  <c r="P154" i="15"/>
  <c r="P157" i="15" s="1"/>
  <c r="P159" i="15" s="1"/>
  <c r="P142" i="15"/>
  <c r="P133" i="15"/>
  <c r="P117" i="15"/>
  <c r="P110" i="15"/>
  <c r="P98" i="15"/>
  <c r="P90" i="15"/>
  <c r="P83" i="15"/>
  <c r="P79" i="15"/>
  <c r="P72" i="15"/>
  <c r="P55" i="15"/>
  <c r="P38" i="15"/>
  <c r="P26" i="15"/>
  <c r="P34" i="15" s="1"/>
  <c r="P23" i="15"/>
  <c r="P14" i="15"/>
  <c r="V216" i="23" l="1"/>
  <c r="V218" i="23" s="1"/>
  <c r="V114" i="23" s="1"/>
  <c r="V418" i="23"/>
  <c r="W418" i="23" s="1"/>
  <c r="F396" i="24"/>
  <c r="F397" i="24" s="1"/>
  <c r="F56" i="24" s="1"/>
  <c r="F58" i="24" s="1"/>
  <c r="F61" i="24" s="1"/>
  <c r="T414" i="23"/>
  <c r="T125" i="23" s="1"/>
  <c r="P144" i="15"/>
  <c r="P30" i="15"/>
  <c r="P57" i="16"/>
  <c r="H392" i="24"/>
  <c r="H393" i="24"/>
  <c r="I406" i="24"/>
  <c r="P31" i="15"/>
  <c r="P84" i="15"/>
  <c r="P103" i="15" s="1"/>
  <c r="P118" i="15" s="1"/>
  <c r="G394" i="24"/>
  <c r="P41" i="23"/>
  <c r="P42" i="23" s="1"/>
  <c r="U202" i="25"/>
  <c r="T449" i="23"/>
  <c r="T517" i="23" s="1"/>
  <c r="V434" i="25"/>
  <c r="V432" i="25" s="1"/>
  <c r="V105" i="25" s="1"/>
  <c r="T471" i="25"/>
  <c r="U332" i="25"/>
  <c r="U123" i="25" s="1"/>
  <c r="T333" i="25"/>
  <c r="T507" i="25" s="1"/>
  <c r="T514" i="25"/>
  <c r="G42" i="24"/>
  <c r="S100" i="25"/>
  <c r="T537" i="25"/>
  <c r="T262" i="25"/>
  <c r="T471" i="23"/>
  <c r="S165" i="24"/>
  <c r="S91" i="24"/>
  <c r="T145" i="25"/>
  <c r="U145" i="25" s="1"/>
  <c r="U409" i="25"/>
  <c r="U515" i="25" s="1"/>
  <c r="U267" i="23"/>
  <c r="F42" i="23"/>
  <c r="T203" i="25"/>
  <c r="T205" i="25" s="1"/>
  <c r="U190" i="23"/>
  <c r="U537" i="23" s="1"/>
  <c r="T262" i="23"/>
  <c r="T265" i="23" s="1"/>
  <c r="T268" i="23" s="1"/>
  <c r="T449" i="25"/>
  <c r="T517" i="25" s="1"/>
  <c r="T410" i="25"/>
  <c r="T124" i="25" s="1"/>
  <c r="U187" i="24"/>
  <c r="V187" i="24" s="1"/>
  <c r="U193" i="25"/>
  <c r="U272" i="25" s="1"/>
  <c r="T471" i="24"/>
  <c r="U471" i="24" s="1"/>
  <c r="S173" i="24"/>
  <c r="G45" i="25"/>
  <c r="T414" i="25"/>
  <c r="T125" i="25" s="1"/>
  <c r="E60" i="25"/>
  <c r="S450" i="25"/>
  <c r="S126" i="25" s="1"/>
  <c r="S205" i="23"/>
  <c r="T410" i="23"/>
  <c r="T124" i="23" s="1"/>
  <c r="S450" i="23"/>
  <c r="S126" i="23" s="1"/>
  <c r="T203" i="23"/>
  <c r="J45" i="24"/>
  <c r="F42" i="25"/>
  <c r="S454" i="23"/>
  <c r="S119" i="23" s="1"/>
  <c r="T203" i="24"/>
  <c r="T202" i="24"/>
  <c r="U100" i="25"/>
  <c r="G61" i="25"/>
  <c r="G60" i="25"/>
  <c r="V118" i="25"/>
  <c r="U487" i="25"/>
  <c r="U105" i="25"/>
  <c r="I392" i="25"/>
  <c r="I393" i="25"/>
  <c r="J406" i="25"/>
  <c r="U169" i="25"/>
  <c r="T170" i="25"/>
  <c r="T173" i="25" s="1"/>
  <c r="R177" i="25"/>
  <c r="Q178" i="25"/>
  <c r="Q476" i="25"/>
  <c r="W427" i="25"/>
  <c r="W219" i="25"/>
  <c r="T475" i="25"/>
  <c r="U146" i="25"/>
  <c r="T89" i="25"/>
  <c r="T477" i="25"/>
  <c r="U160" i="25"/>
  <c r="T91" i="25"/>
  <c r="T161" i="25"/>
  <c r="T165" i="25" s="1"/>
  <c r="W18" i="25"/>
  <c r="V19" i="25"/>
  <c r="V186" i="25" s="1"/>
  <c r="V519" i="25"/>
  <c r="W463" i="25"/>
  <c r="V465" i="25"/>
  <c r="V120" i="25" s="1"/>
  <c r="S73" i="25"/>
  <c r="S442" i="25" s="1"/>
  <c r="W253" i="25"/>
  <c r="V424" i="25"/>
  <c r="W22" i="25"/>
  <c r="X21" i="25"/>
  <c r="W434" i="25"/>
  <c r="X436" i="25"/>
  <c r="V290" i="25"/>
  <c r="W238" i="25"/>
  <c r="T494" i="25"/>
  <c r="T502" i="25" s="1"/>
  <c r="H394" i="25"/>
  <c r="V313" i="25"/>
  <c r="V439" i="25"/>
  <c r="U107" i="25"/>
  <c r="U537" i="25"/>
  <c r="U262" i="25"/>
  <c r="V190" i="25"/>
  <c r="W510" i="25"/>
  <c r="W460" i="25"/>
  <c r="X457" i="25"/>
  <c r="D42" i="25"/>
  <c r="D45" i="25"/>
  <c r="T385" i="25"/>
  <c r="T391" i="25"/>
  <c r="U384" i="25"/>
  <c r="U154" i="25"/>
  <c r="V418" i="25"/>
  <c r="V420" i="25" s="1"/>
  <c r="V216" i="25"/>
  <c r="V218" i="25" s="1"/>
  <c r="V114" i="25" s="1"/>
  <c r="R350" i="25"/>
  <c r="U44" i="25"/>
  <c r="J42" i="25"/>
  <c r="J45" i="25"/>
  <c r="H42" i="25"/>
  <c r="H45" i="25"/>
  <c r="U470" i="25"/>
  <c r="V468" i="25"/>
  <c r="V508" i="25"/>
  <c r="V75" i="25"/>
  <c r="U516" i="25"/>
  <c r="V413" i="25"/>
  <c r="W25" i="25"/>
  <c r="V26" i="25"/>
  <c r="W423" i="25"/>
  <c r="U444" i="25"/>
  <c r="T352" i="25"/>
  <c r="K42" i="25"/>
  <c r="K45" i="25"/>
  <c r="V483" i="25"/>
  <c r="W417" i="25"/>
  <c r="W215" i="25"/>
  <c r="Q344" i="25"/>
  <c r="Q388" i="25"/>
  <c r="Q366" i="25"/>
  <c r="Q357" i="25"/>
  <c r="G45" i="23"/>
  <c r="T257" i="23"/>
  <c r="R179" i="23"/>
  <c r="R92" i="23" s="1"/>
  <c r="H45" i="23"/>
  <c r="S205" i="24"/>
  <c r="R350" i="24"/>
  <c r="U487" i="24"/>
  <c r="U105" i="24"/>
  <c r="U418" i="24"/>
  <c r="U216" i="24"/>
  <c r="T420" i="24"/>
  <c r="S454" i="24"/>
  <c r="S119" i="24" s="1"/>
  <c r="S453" i="24"/>
  <c r="S147" i="24"/>
  <c r="S150" i="24" s="1"/>
  <c r="T145" i="24"/>
  <c r="V519" i="24"/>
  <c r="W463" i="24"/>
  <c r="V465" i="24"/>
  <c r="V120" i="24" s="1"/>
  <c r="U313" i="24"/>
  <c r="V427" i="24"/>
  <c r="V219" i="24"/>
  <c r="U483" i="24"/>
  <c r="T475" i="24"/>
  <c r="T89" i="24"/>
  <c r="U146" i="24"/>
  <c r="S450" i="24"/>
  <c r="S126" i="24" s="1"/>
  <c r="S124" i="24"/>
  <c r="V188" i="24"/>
  <c r="T487" i="24"/>
  <c r="T105" i="24"/>
  <c r="U332" i="24"/>
  <c r="T123" i="24"/>
  <c r="T514" i="24"/>
  <c r="T333" i="24"/>
  <c r="S73" i="24"/>
  <c r="S442" i="24" s="1"/>
  <c r="U169" i="24"/>
  <c r="T170" i="24"/>
  <c r="T173" i="24" s="1"/>
  <c r="I42" i="24"/>
  <c r="I45" i="24"/>
  <c r="V44" i="24"/>
  <c r="T385" i="24"/>
  <c r="T391" i="24"/>
  <c r="E45" i="24"/>
  <c r="E42" i="24"/>
  <c r="U419" i="24"/>
  <c r="U217" i="24"/>
  <c r="T516" i="24"/>
  <c r="U413" i="24"/>
  <c r="T414" i="24"/>
  <c r="T125" i="24" s="1"/>
  <c r="X253" i="24"/>
  <c r="R177" i="24"/>
  <c r="Q178" i="24"/>
  <c r="Q179" i="24" s="1"/>
  <c r="Q92" i="24" s="1"/>
  <c r="Q476" i="24"/>
  <c r="V186" i="24"/>
  <c r="V25" i="24"/>
  <c r="U26" i="24"/>
  <c r="U118" i="24"/>
  <c r="V470" i="24"/>
  <c r="W468" i="24"/>
  <c r="V382" i="24"/>
  <c r="U384" i="24"/>
  <c r="T494" i="24"/>
  <c r="T502" i="24" s="1"/>
  <c r="T477" i="24"/>
  <c r="U160" i="24"/>
  <c r="T161" i="24"/>
  <c r="T165" i="24" s="1"/>
  <c r="T91" i="24"/>
  <c r="Q366" i="24"/>
  <c r="Q344" i="24"/>
  <c r="Q357" i="24"/>
  <c r="Q388" i="24"/>
  <c r="U508" i="24"/>
  <c r="T515" i="24"/>
  <c r="T449" i="24"/>
  <c r="T517" i="24" s="1"/>
  <c r="U409" i="24"/>
  <c r="T410" i="24"/>
  <c r="T218" i="24"/>
  <c r="T114" i="24" s="1"/>
  <c r="W21" i="24"/>
  <c r="V22" i="24"/>
  <c r="V75" i="24"/>
  <c r="V439" i="24"/>
  <c r="U107" i="24"/>
  <c r="U424" i="24"/>
  <c r="W18" i="24"/>
  <c r="V19" i="24"/>
  <c r="U444" i="24"/>
  <c r="T352" i="24"/>
  <c r="H42" i="24"/>
  <c r="H45" i="24"/>
  <c r="V510" i="24"/>
  <c r="V460" i="24"/>
  <c r="W457" i="24"/>
  <c r="X417" i="24"/>
  <c r="X215" i="24"/>
  <c r="S100" i="24"/>
  <c r="T272" i="24"/>
  <c r="U193" i="24"/>
  <c r="S507" i="24"/>
  <c r="D42" i="24"/>
  <c r="D45" i="24"/>
  <c r="V290" i="24"/>
  <c r="W238" i="24"/>
  <c r="V139" i="24"/>
  <c r="U154" i="24"/>
  <c r="Q182" i="24"/>
  <c r="R204" i="24"/>
  <c r="T537" i="24"/>
  <c r="T262" i="24"/>
  <c r="U190" i="24"/>
  <c r="W423" i="24"/>
  <c r="V434" i="24"/>
  <c r="W436" i="24"/>
  <c r="N45" i="23"/>
  <c r="T258" i="23"/>
  <c r="F60" i="23"/>
  <c r="G61" i="23"/>
  <c r="G60" i="23"/>
  <c r="U139" i="23"/>
  <c r="D61" i="23"/>
  <c r="D60" i="23"/>
  <c r="V18" i="23"/>
  <c r="U19" i="23"/>
  <c r="V434" i="23"/>
  <c r="V432" i="23" s="1"/>
  <c r="W436" i="23"/>
  <c r="U310" i="23"/>
  <c r="V309" i="23"/>
  <c r="K45" i="23"/>
  <c r="K42" i="23"/>
  <c r="T507" i="23"/>
  <c r="X21" i="23"/>
  <c r="W22" i="23"/>
  <c r="I42" i="23"/>
  <c r="I45" i="23"/>
  <c r="S475" i="23"/>
  <c r="S89" i="23"/>
  <c r="T146" i="23"/>
  <c r="T147" i="23" s="1"/>
  <c r="T150" i="23" s="1"/>
  <c r="J392" i="23"/>
  <c r="K406" i="23"/>
  <c r="J393" i="23"/>
  <c r="V25" i="23"/>
  <c r="U26" i="23"/>
  <c r="T177" i="23"/>
  <c r="S178" i="23"/>
  <c r="V508" i="23"/>
  <c r="U515" i="23"/>
  <c r="V409" i="23"/>
  <c r="S476" i="23"/>
  <c r="T154" i="23"/>
  <c r="I394" i="23"/>
  <c r="V424" i="23"/>
  <c r="T453" i="23"/>
  <c r="U145" i="23"/>
  <c r="R350" i="23"/>
  <c r="D45" i="23"/>
  <c r="D42" i="23"/>
  <c r="V290" i="23"/>
  <c r="W238" i="23"/>
  <c r="V519" i="23"/>
  <c r="V465" i="23"/>
  <c r="V120" i="23" s="1"/>
  <c r="W463" i="23"/>
  <c r="W423" i="23"/>
  <c r="L45" i="23"/>
  <c r="L42" i="23"/>
  <c r="W253" i="23"/>
  <c r="U100" i="23"/>
  <c r="U272" i="23"/>
  <c r="V193" i="23"/>
  <c r="T188" i="23"/>
  <c r="U188" i="23" s="1"/>
  <c r="T323" i="23"/>
  <c r="U196" i="23"/>
  <c r="S73" i="23"/>
  <c r="S442" i="23" s="1"/>
  <c r="T44" i="23"/>
  <c r="U44" i="23" s="1"/>
  <c r="V305" i="23"/>
  <c r="U306" i="23"/>
  <c r="V510" i="23"/>
  <c r="V460" i="23"/>
  <c r="W457" i="23"/>
  <c r="U333" i="23"/>
  <c r="V332" i="23"/>
  <c r="U123" i="23"/>
  <c r="U514" i="23"/>
  <c r="V483" i="23"/>
  <c r="W417" i="23"/>
  <c r="W215" i="23"/>
  <c r="T202" i="23"/>
  <c r="U432" i="23"/>
  <c r="V75" i="23"/>
  <c r="U315" i="23"/>
  <c r="U316" i="23" s="1"/>
  <c r="V313" i="23"/>
  <c r="T477" i="23"/>
  <c r="U160" i="23"/>
  <c r="T91" i="23"/>
  <c r="T161" i="23"/>
  <c r="T165" i="23" s="1"/>
  <c r="W427" i="23"/>
  <c r="W219" i="23"/>
  <c r="V279" i="23"/>
  <c r="U280" i="23"/>
  <c r="T187" i="23"/>
  <c r="U187" i="23" s="1"/>
  <c r="T186" i="23"/>
  <c r="U186" i="23" s="1"/>
  <c r="T494" i="23"/>
  <c r="T502" i="23" s="1"/>
  <c r="O42" i="23"/>
  <c r="O45" i="23"/>
  <c r="H396" i="23"/>
  <c r="H397" i="23" s="1"/>
  <c r="H56" i="23" s="1"/>
  <c r="H58" i="23" s="1"/>
  <c r="H63" i="23"/>
  <c r="H65" i="23" s="1"/>
  <c r="M45" i="23"/>
  <c r="M42" i="23"/>
  <c r="T385" i="23"/>
  <c r="T391" i="23"/>
  <c r="U384" i="23"/>
  <c r="V297" i="23"/>
  <c r="U298" i="23"/>
  <c r="Q357" i="23"/>
  <c r="Q366" i="23"/>
  <c r="Q388" i="23"/>
  <c r="Q344" i="23"/>
  <c r="V439" i="23"/>
  <c r="U107" i="23"/>
  <c r="R204" i="23"/>
  <c r="Q182" i="23"/>
  <c r="U118" i="23"/>
  <c r="S259" i="23"/>
  <c r="U444" i="23"/>
  <c r="T352" i="23"/>
  <c r="E45" i="23"/>
  <c r="E42" i="23"/>
  <c r="T169" i="23"/>
  <c r="S170" i="23"/>
  <c r="S173" i="23" s="1"/>
  <c r="J42" i="23"/>
  <c r="J45" i="23"/>
  <c r="U516" i="23"/>
  <c r="V413" i="23"/>
  <c r="U256" i="23"/>
  <c r="V264" i="23"/>
  <c r="U266" i="23"/>
  <c r="V301" i="23"/>
  <c r="U302" i="23"/>
  <c r="U470" i="23"/>
  <c r="V468" i="23"/>
  <c r="P336" i="16"/>
  <c r="P337" i="16" s="1"/>
  <c r="P353" i="16"/>
  <c r="V420" i="23" l="1"/>
  <c r="V100" i="23" s="1"/>
  <c r="W216" i="23"/>
  <c r="W218" i="23" s="1"/>
  <c r="W114" i="23" s="1"/>
  <c r="U414" i="23"/>
  <c r="U125" i="23" s="1"/>
  <c r="F60" i="24"/>
  <c r="P91" i="15"/>
  <c r="P99" i="15" s="1"/>
  <c r="P101" i="15" s="1"/>
  <c r="I394" i="25"/>
  <c r="I396" i="25" s="1"/>
  <c r="I397" i="25" s="1"/>
  <c r="I56" i="25" s="1"/>
  <c r="I58" i="25" s="1"/>
  <c r="G396" i="24"/>
  <c r="G397" i="24"/>
  <c r="G56" i="24" s="1"/>
  <c r="G58" i="24" s="1"/>
  <c r="G63" i="24"/>
  <c r="G65" i="24" s="1"/>
  <c r="I392" i="24"/>
  <c r="J406" i="24"/>
  <c r="I393" i="24"/>
  <c r="H394" i="24"/>
  <c r="P45" i="23"/>
  <c r="V202" i="25"/>
  <c r="U471" i="25"/>
  <c r="V332" i="25"/>
  <c r="W332" i="25" s="1"/>
  <c r="U449" i="23"/>
  <c r="U517" i="23" s="1"/>
  <c r="U514" i="25"/>
  <c r="U333" i="25"/>
  <c r="U507" i="25" s="1"/>
  <c r="U471" i="23"/>
  <c r="T454" i="25"/>
  <c r="T119" i="25" s="1"/>
  <c r="U410" i="23"/>
  <c r="V410" i="23" s="1"/>
  <c r="U262" i="23"/>
  <c r="U265" i="23" s="1"/>
  <c r="U268" i="23" s="1"/>
  <c r="V190" i="23"/>
  <c r="V537" i="23" s="1"/>
  <c r="V409" i="25"/>
  <c r="V515" i="25" s="1"/>
  <c r="T147" i="25"/>
  <c r="T150" i="25" s="1"/>
  <c r="T453" i="25"/>
  <c r="U453" i="25" s="1"/>
  <c r="U203" i="25"/>
  <c r="U205" i="25" s="1"/>
  <c r="S204" i="23"/>
  <c r="U449" i="25"/>
  <c r="U517" i="25" s="1"/>
  <c r="U410" i="25"/>
  <c r="U124" i="25" s="1"/>
  <c r="T205" i="24"/>
  <c r="T450" i="23"/>
  <c r="T126" i="23" s="1"/>
  <c r="V193" i="25"/>
  <c r="V272" i="25" s="1"/>
  <c r="V487" i="25"/>
  <c r="T454" i="23"/>
  <c r="T119" i="23" s="1"/>
  <c r="W432" i="25"/>
  <c r="W105" i="25" s="1"/>
  <c r="T450" i="25"/>
  <c r="T126" i="25" s="1"/>
  <c r="T205" i="23"/>
  <c r="U414" i="25"/>
  <c r="U125" i="25" s="1"/>
  <c r="U202" i="24"/>
  <c r="U203" i="23"/>
  <c r="V471" i="24"/>
  <c r="T259" i="23"/>
  <c r="V100" i="25"/>
  <c r="S350" i="25"/>
  <c r="W290" i="25"/>
  <c r="X238" i="25"/>
  <c r="W508" i="25"/>
  <c r="V444" i="25"/>
  <c r="U352" i="25"/>
  <c r="U147" i="25"/>
  <c r="U150" i="25" s="1"/>
  <c r="V145" i="25"/>
  <c r="V44" i="25"/>
  <c r="W44" i="25" s="1"/>
  <c r="W313" i="25"/>
  <c r="Y21" i="25"/>
  <c r="X22" i="25"/>
  <c r="S177" i="25"/>
  <c r="R178" i="25"/>
  <c r="R476" i="25"/>
  <c r="V187" i="25"/>
  <c r="W187" i="25" s="1"/>
  <c r="U385" i="25"/>
  <c r="U391" i="25"/>
  <c r="V384" i="25"/>
  <c r="W519" i="25"/>
  <c r="X463" i="25"/>
  <c r="W465" i="25"/>
  <c r="W120" i="25" s="1"/>
  <c r="X25" i="25"/>
  <c r="W26" i="25"/>
  <c r="X18" i="25"/>
  <c r="W19" i="25"/>
  <c r="W186" i="25" s="1"/>
  <c r="U475" i="25"/>
  <c r="V146" i="25"/>
  <c r="U89" i="25"/>
  <c r="V169" i="25"/>
  <c r="U170" i="25"/>
  <c r="U173" i="25" s="1"/>
  <c r="V537" i="25"/>
  <c r="V262" i="25"/>
  <c r="W190" i="25"/>
  <c r="W424" i="25"/>
  <c r="X253" i="25"/>
  <c r="W75" i="25"/>
  <c r="X510" i="25"/>
  <c r="X460" i="25"/>
  <c r="Y457" i="25"/>
  <c r="V188" i="25"/>
  <c r="W188" i="25" s="1"/>
  <c r="W483" i="25"/>
  <c r="X417" i="25"/>
  <c r="X215" i="25"/>
  <c r="H396" i="25"/>
  <c r="H397" i="25" s="1"/>
  <c r="H56" i="25" s="1"/>
  <c r="H58" i="25" s="1"/>
  <c r="H63" i="25"/>
  <c r="H65" i="25" s="1"/>
  <c r="Q76" i="25"/>
  <c r="X434" i="25"/>
  <c r="Y436" i="25"/>
  <c r="T204" i="25"/>
  <c r="U477" i="25"/>
  <c r="V160" i="25"/>
  <c r="U161" i="25"/>
  <c r="U165" i="25" s="1"/>
  <c r="U91" i="25"/>
  <c r="X427" i="25"/>
  <c r="X219" i="25"/>
  <c r="W418" i="25"/>
  <c r="W420" i="25" s="1"/>
  <c r="W216" i="25"/>
  <c r="W218" i="25" s="1"/>
  <c r="W114" i="25" s="1"/>
  <c r="X423" i="25"/>
  <c r="V516" i="25"/>
  <c r="W413" i="25"/>
  <c r="W118" i="25"/>
  <c r="U494" i="25"/>
  <c r="U502" i="25" s="1"/>
  <c r="V470" i="25"/>
  <c r="W468" i="25"/>
  <c r="R344" i="25"/>
  <c r="R357" i="25"/>
  <c r="R366" i="25"/>
  <c r="R388" i="25"/>
  <c r="V154" i="25"/>
  <c r="T73" i="25"/>
  <c r="T442" i="25" s="1"/>
  <c r="W439" i="25"/>
  <c r="V107" i="25"/>
  <c r="V139" i="25"/>
  <c r="W139" i="25" s="1"/>
  <c r="Q179" i="25"/>
  <c r="J392" i="25"/>
  <c r="K406" i="25"/>
  <c r="J393" i="25"/>
  <c r="S179" i="23"/>
  <c r="S92" i="23" s="1"/>
  <c r="S204" i="24"/>
  <c r="S350" i="24"/>
  <c r="U537" i="24"/>
  <c r="U262" i="24"/>
  <c r="V190" i="24"/>
  <c r="W519" i="24"/>
  <c r="X463" i="24"/>
  <c r="W465" i="24"/>
  <c r="W120" i="24" s="1"/>
  <c r="W186" i="24"/>
  <c r="W427" i="24"/>
  <c r="W219" i="24"/>
  <c r="V483" i="24"/>
  <c r="U258" i="23"/>
  <c r="W510" i="24"/>
  <c r="W460" i="24"/>
  <c r="X457" i="24"/>
  <c r="V424" i="24"/>
  <c r="U385" i="24"/>
  <c r="U391" i="24"/>
  <c r="W25" i="24"/>
  <c r="V26" i="24"/>
  <c r="U516" i="24"/>
  <c r="V413" i="24"/>
  <c r="U414" i="24"/>
  <c r="U125" i="24" s="1"/>
  <c r="T73" i="24"/>
  <c r="T442" i="24" s="1"/>
  <c r="U333" i="24"/>
  <c r="V332" i="24"/>
  <c r="U123" i="24"/>
  <c r="U514" i="24"/>
  <c r="V418" i="24"/>
  <c r="V216" i="24"/>
  <c r="U420" i="24"/>
  <c r="U494" i="24"/>
  <c r="U502" i="24" s="1"/>
  <c r="U477" i="24"/>
  <c r="V160" i="24"/>
  <c r="U161" i="24"/>
  <c r="U165" i="24" s="1"/>
  <c r="U91" i="24"/>
  <c r="W382" i="24"/>
  <c r="V384" i="24"/>
  <c r="V313" i="24"/>
  <c r="U203" i="24"/>
  <c r="R366" i="24"/>
  <c r="R388" i="24"/>
  <c r="R357" i="24"/>
  <c r="R344" i="24"/>
  <c r="X436" i="24"/>
  <c r="W434" i="24"/>
  <c r="W432" i="24" s="1"/>
  <c r="R182" i="24"/>
  <c r="V118" i="24"/>
  <c r="V444" i="24"/>
  <c r="U352" i="24"/>
  <c r="W439" i="24"/>
  <c r="V107" i="24"/>
  <c r="X21" i="24"/>
  <c r="W22" i="24"/>
  <c r="T450" i="24"/>
  <c r="T126" i="24" s="1"/>
  <c r="T124" i="24"/>
  <c r="W470" i="24"/>
  <c r="X468" i="24"/>
  <c r="U475" i="24"/>
  <c r="V146" i="24"/>
  <c r="U89" i="24"/>
  <c r="Y417" i="24"/>
  <c r="Y215" i="24"/>
  <c r="V508" i="24"/>
  <c r="V432" i="24"/>
  <c r="U515" i="24"/>
  <c r="U449" i="24"/>
  <c r="U517" i="24" s="1"/>
  <c r="V409" i="24"/>
  <c r="U410" i="24"/>
  <c r="T507" i="24"/>
  <c r="X423" i="24"/>
  <c r="V154" i="24"/>
  <c r="U272" i="24"/>
  <c r="V193" i="24"/>
  <c r="W75" i="24"/>
  <c r="Q76" i="24"/>
  <c r="Y253" i="24"/>
  <c r="T100" i="24"/>
  <c r="W290" i="24"/>
  <c r="X238" i="24"/>
  <c r="X18" i="24"/>
  <c r="W19" i="24"/>
  <c r="W139" i="24" s="1"/>
  <c r="S177" i="24"/>
  <c r="R178" i="24"/>
  <c r="R179" i="24" s="1"/>
  <c r="R92" i="24" s="1"/>
  <c r="R476" i="24"/>
  <c r="V419" i="24"/>
  <c r="V217" i="24"/>
  <c r="V169" i="24"/>
  <c r="U170" i="24"/>
  <c r="U173" i="24" s="1"/>
  <c r="T454" i="24"/>
  <c r="T119" i="24" s="1"/>
  <c r="T453" i="24"/>
  <c r="T147" i="24"/>
  <c r="T150" i="24" s="1"/>
  <c r="U145" i="24"/>
  <c r="U218" i="24"/>
  <c r="U114" i="24" s="1"/>
  <c r="U202" i="23"/>
  <c r="S350" i="23"/>
  <c r="H61" i="23"/>
  <c r="H60" i="23"/>
  <c r="X423" i="23"/>
  <c r="X418" i="23" s="1"/>
  <c r="T73" i="23"/>
  <c r="T442" i="23" s="1"/>
  <c r="J394" i="23"/>
  <c r="W434" i="23"/>
  <c r="W432" i="23" s="1"/>
  <c r="X436" i="23"/>
  <c r="W264" i="23"/>
  <c r="V266" i="23"/>
  <c r="R182" i="23"/>
  <c r="U507" i="23"/>
  <c r="W519" i="23"/>
  <c r="X463" i="23"/>
  <c r="W465" i="23"/>
  <c r="W120" i="23" s="1"/>
  <c r="U453" i="23"/>
  <c r="V145" i="23"/>
  <c r="V272" i="23"/>
  <c r="W193" i="23"/>
  <c r="V444" i="23"/>
  <c r="U352" i="23"/>
  <c r="U494" i="23"/>
  <c r="U502" i="23" s="1"/>
  <c r="V306" i="23"/>
  <c r="W305" i="23"/>
  <c r="R357" i="23"/>
  <c r="R344" i="23"/>
  <c r="R388" i="23"/>
  <c r="R366" i="23"/>
  <c r="W439" i="23"/>
  <c r="V107" i="23"/>
  <c r="U385" i="23"/>
  <c r="U391" i="23"/>
  <c r="V384" i="23"/>
  <c r="X427" i="23"/>
  <c r="X219" i="23"/>
  <c r="W483" i="23"/>
  <c r="X417" i="23"/>
  <c r="W420" i="23"/>
  <c r="X215" i="23"/>
  <c r="W510" i="23"/>
  <c r="W460" i="23"/>
  <c r="X457" i="23"/>
  <c r="W290" i="23"/>
  <c r="X238" i="23"/>
  <c r="T475" i="23"/>
  <c r="T89" i="23"/>
  <c r="U146" i="23"/>
  <c r="Y21" i="23"/>
  <c r="X22" i="23"/>
  <c r="V487" i="23"/>
  <c r="V105" i="23"/>
  <c r="W508" i="23"/>
  <c r="V298" i="23"/>
  <c r="W297" i="23"/>
  <c r="V186" i="23"/>
  <c r="U169" i="23"/>
  <c r="T170" i="23"/>
  <c r="T173" i="23" s="1"/>
  <c r="Q76" i="23"/>
  <c r="V118" i="23"/>
  <c r="V515" i="23"/>
  <c r="W409" i="23"/>
  <c r="U177" i="23"/>
  <c r="T178" i="23"/>
  <c r="W279" i="23"/>
  <c r="V280" i="23"/>
  <c r="W75" i="23"/>
  <c r="W424" i="23"/>
  <c r="W18" i="23"/>
  <c r="V19" i="23"/>
  <c r="V44" i="23" s="1"/>
  <c r="V267" i="23"/>
  <c r="W332" i="23"/>
  <c r="V333" i="23"/>
  <c r="V123" i="23"/>
  <c r="V514" i="23"/>
  <c r="X253" i="23"/>
  <c r="X216" i="23"/>
  <c r="V470" i="23"/>
  <c r="W468" i="23"/>
  <c r="V310" i="23"/>
  <c r="W309" i="23"/>
  <c r="T476" i="23"/>
  <c r="U154" i="23"/>
  <c r="K392" i="23"/>
  <c r="L406" i="23"/>
  <c r="K393" i="23"/>
  <c r="V256" i="23"/>
  <c r="V302" i="23"/>
  <c r="W301" i="23"/>
  <c r="V516" i="23"/>
  <c r="W413" i="23"/>
  <c r="U477" i="23"/>
  <c r="V160" i="23"/>
  <c r="U161" i="23"/>
  <c r="U165" i="23" s="1"/>
  <c r="U91" i="23"/>
  <c r="V315" i="23"/>
  <c r="V316" i="23" s="1"/>
  <c r="W313" i="23"/>
  <c r="U487" i="23"/>
  <c r="U105" i="23"/>
  <c r="U323" i="23"/>
  <c r="V196" i="23"/>
  <c r="I396" i="23"/>
  <c r="I397" i="23" s="1"/>
  <c r="I56" i="23" s="1"/>
  <c r="I58" i="23" s="1"/>
  <c r="I63" i="23"/>
  <c r="I65" i="23" s="1"/>
  <c r="V26" i="23"/>
  <c r="W25" i="23"/>
  <c r="U257" i="23"/>
  <c r="P36" i="16"/>
  <c r="P113" i="16"/>
  <c r="V414" i="23" l="1"/>
  <c r="V125" i="23" s="1"/>
  <c r="L294" i="25"/>
  <c r="L294" i="24"/>
  <c r="L292" i="24"/>
  <c r="L292" i="25"/>
  <c r="L297" i="24"/>
  <c r="L298" i="25"/>
  <c r="L297" i="25"/>
  <c r="L298" i="24"/>
  <c r="L301" i="25"/>
  <c r="L302" i="24"/>
  <c r="L301" i="24"/>
  <c r="L302" i="25"/>
  <c r="P310" i="24"/>
  <c r="P309" i="24"/>
  <c r="P310" i="25"/>
  <c r="P309" i="25"/>
  <c r="P301" i="25"/>
  <c r="P302" i="25"/>
  <c r="P301" i="24"/>
  <c r="P302" i="24"/>
  <c r="P292" i="25"/>
  <c r="P293" i="25" s="1"/>
  <c r="P294" i="24"/>
  <c r="P294" i="25"/>
  <c r="P292" i="24"/>
  <c r="P276" i="25"/>
  <c r="P276" i="24"/>
  <c r="P274" i="25"/>
  <c r="P275" i="25" s="1"/>
  <c r="P274" i="24"/>
  <c r="P275" i="24" s="1"/>
  <c r="P529" i="17"/>
  <c r="P529" i="25"/>
  <c r="Q529" i="25" s="1"/>
  <c r="R529" i="25" s="1"/>
  <c r="S529" i="25" s="1"/>
  <c r="T529" i="25" s="1"/>
  <c r="U529" i="25" s="1"/>
  <c r="V529" i="25" s="1"/>
  <c r="W529" i="25" s="1"/>
  <c r="X529" i="25" s="1"/>
  <c r="P527" i="17"/>
  <c r="P526" i="25"/>
  <c r="Q526" i="25" s="1"/>
  <c r="R526" i="25" s="1"/>
  <c r="S526" i="25" s="1"/>
  <c r="T526" i="25" s="1"/>
  <c r="U526" i="25" s="1"/>
  <c r="V526" i="25" s="1"/>
  <c r="W526" i="25" s="1"/>
  <c r="X526" i="25" s="1"/>
  <c r="P529" i="24"/>
  <c r="Q529" i="24" s="1"/>
  <c r="R529" i="24" s="1"/>
  <c r="S529" i="24" s="1"/>
  <c r="T529" i="24" s="1"/>
  <c r="U529" i="24" s="1"/>
  <c r="V529" i="24" s="1"/>
  <c r="W529" i="24" s="1"/>
  <c r="P529" i="23"/>
  <c r="Q529" i="23" s="1"/>
  <c r="R529" i="23" s="1"/>
  <c r="S529" i="23" s="1"/>
  <c r="T529" i="23" s="1"/>
  <c r="U529" i="23" s="1"/>
  <c r="V529" i="23" s="1"/>
  <c r="W529" i="23" s="1"/>
  <c r="P525" i="16"/>
  <c r="P527" i="24"/>
  <c r="Q527" i="24" s="1"/>
  <c r="R527" i="24" s="1"/>
  <c r="S527" i="24" s="1"/>
  <c r="T527" i="24" s="1"/>
  <c r="U527" i="24" s="1"/>
  <c r="V527" i="24" s="1"/>
  <c r="W527" i="24" s="1"/>
  <c r="P526" i="24"/>
  <c r="Q526" i="24" s="1"/>
  <c r="R526" i="24" s="1"/>
  <c r="S526" i="24" s="1"/>
  <c r="T526" i="24" s="1"/>
  <c r="U526" i="24" s="1"/>
  <c r="V526" i="24" s="1"/>
  <c r="W526" i="24" s="1"/>
  <c r="P526" i="23"/>
  <c r="Q526" i="23" s="1"/>
  <c r="R526" i="23" s="1"/>
  <c r="S526" i="23" s="1"/>
  <c r="T526" i="23" s="1"/>
  <c r="U526" i="23" s="1"/>
  <c r="V526" i="23" s="1"/>
  <c r="W526" i="23" s="1"/>
  <c r="P526" i="16"/>
  <c r="P528" i="25"/>
  <c r="Q528" i="25" s="1"/>
  <c r="R528" i="25" s="1"/>
  <c r="S528" i="25" s="1"/>
  <c r="T528" i="25" s="1"/>
  <c r="U528" i="25" s="1"/>
  <c r="V528" i="25" s="1"/>
  <c r="W528" i="25" s="1"/>
  <c r="X528" i="25" s="1"/>
  <c r="P527" i="16"/>
  <c r="P525" i="17"/>
  <c r="P525" i="25"/>
  <c r="P528" i="24"/>
  <c r="Q528" i="24" s="1"/>
  <c r="R528" i="24" s="1"/>
  <c r="S528" i="24" s="1"/>
  <c r="T528" i="24" s="1"/>
  <c r="U528" i="24" s="1"/>
  <c r="V528" i="24" s="1"/>
  <c r="W528" i="24" s="1"/>
  <c r="P528" i="23"/>
  <c r="Q528" i="23" s="1"/>
  <c r="R528" i="23" s="1"/>
  <c r="S528" i="23" s="1"/>
  <c r="T528" i="23" s="1"/>
  <c r="U528" i="23" s="1"/>
  <c r="V528" i="23" s="1"/>
  <c r="W528" i="23" s="1"/>
  <c r="P528" i="16"/>
  <c r="P527" i="25"/>
  <c r="Q527" i="25" s="1"/>
  <c r="R527" i="25" s="1"/>
  <c r="S527" i="25" s="1"/>
  <c r="T527" i="25" s="1"/>
  <c r="U527" i="25" s="1"/>
  <c r="V527" i="25" s="1"/>
  <c r="W527" i="25" s="1"/>
  <c r="X527" i="25" s="1"/>
  <c r="P528" i="17"/>
  <c r="P526" i="17"/>
  <c r="P525" i="24"/>
  <c r="P525" i="23"/>
  <c r="P529" i="16"/>
  <c r="P527" i="23"/>
  <c r="Q527" i="23" s="1"/>
  <c r="R527" i="23" s="1"/>
  <c r="S527" i="23" s="1"/>
  <c r="T527" i="23" s="1"/>
  <c r="U527" i="23" s="1"/>
  <c r="V527" i="23" s="1"/>
  <c r="W527" i="23" s="1"/>
  <c r="P256" i="25"/>
  <c r="P256" i="24"/>
  <c r="L280" i="25"/>
  <c r="L279" i="24"/>
  <c r="L279" i="25"/>
  <c r="L280" i="24"/>
  <c r="L479" i="24"/>
  <c r="L482" i="24" s="1"/>
  <c r="L489" i="24" s="1"/>
  <c r="L479" i="25"/>
  <c r="L482" i="25" s="1"/>
  <c r="L489" i="25" s="1"/>
  <c r="L95" i="25"/>
  <c r="L98" i="25" s="1"/>
  <c r="L99" i="25" s="1"/>
  <c r="L223" i="25"/>
  <c r="L196" i="25"/>
  <c r="L196" i="24"/>
  <c r="L223" i="24"/>
  <c r="L95" i="24"/>
  <c r="L98" i="24" s="1"/>
  <c r="L99" i="24" s="1"/>
  <c r="L527" i="24"/>
  <c r="L527" i="23"/>
  <c r="L527" i="16"/>
  <c r="L526" i="17"/>
  <c r="L529" i="16"/>
  <c r="L529" i="25"/>
  <c r="L526" i="16"/>
  <c r="L528" i="16"/>
  <c r="L526" i="25"/>
  <c r="L529" i="24"/>
  <c r="L529" i="23"/>
  <c r="L525" i="16"/>
  <c r="L529" i="17"/>
  <c r="L526" i="24"/>
  <c r="L526" i="23"/>
  <c r="L527" i="25"/>
  <c r="L528" i="17"/>
  <c r="L528" i="25"/>
  <c r="L525" i="24"/>
  <c r="L527" i="17"/>
  <c r="L525" i="25"/>
  <c r="L528" i="24"/>
  <c r="L528" i="23"/>
  <c r="L525" i="23"/>
  <c r="L525" i="17"/>
  <c r="L256" i="25"/>
  <c r="L256" i="24"/>
  <c r="L310" i="25"/>
  <c r="L310" i="24"/>
  <c r="L309" i="25"/>
  <c r="L309" i="24"/>
  <c r="L306" i="24"/>
  <c r="L306" i="25"/>
  <c r="L305" i="24"/>
  <c r="L305" i="25"/>
  <c r="L264" i="24"/>
  <c r="L265" i="24" s="1"/>
  <c r="L267" i="24" s="1"/>
  <c r="L268" i="24" s="1"/>
  <c r="L264" i="25"/>
  <c r="L265" i="25" s="1"/>
  <c r="L316" i="24"/>
  <c r="L314" i="24"/>
  <c r="L315" i="24" s="1"/>
  <c r="L314" i="25"/>
  <c r="L315" i="25" s="1"/>
  <c r="L316" i="25"/>
  <c r="L274" i="25"/>
  <c r="L276" i="24"/>
  <c r="L274" i="24"/>
  <c r="L275" i="24" s="1"/>
  <c r="L276" i="25"/>
  <c r="P316" i="24"/>
  <c r="P316" i="25"/>
  <c r="P314" i="25"/>
  <c r="P315" i="25" s="1"/>
  <c r="P314" i="24"/>
  <c r="P315" i="24" s="1"/>
  <c r="P306" i="25"/>
  <c r="P305" i="25"/>
  <c r="P306" i="24"/>
  <c r="P305" i="24"/>
  <c r="P297" i="24"/>
  <c r="P297" i="25"/>
  <c r="P298" i="24"/>
  <c r="P298" i="25"/>
  <c r="P279" i="25"/>
  <c r="P280" i="24"/>
  <c r="P280" i="25"/>
  <c r="P279" i="24"/>
  <c r="P264" i="25"/>
  <c r="P265" i="25" s="1"/>
  <c r="P264" i="24"/>
  <c r="P265" i="24" s="1"/>
  <c r="P95" i="25"/>
  <c r="P98" i="25" s="1"/>
  <c r="P99" i="25" s="1"/>
  <c r="P223" i="25"/>
  <c r="P95" i="24"/>
  <c r="P98" i="24" s="1"/>
  <c r="P99" i="24" s="1"/>
  <c r="P196" i="25"/>
  <c r="P479" i="24"/>
  <c r="P482" i="24" s="1"/>
  <c r="P489" i="24" s="1"/>
  <c r="P479" i="25"/>
  <c r="P482" i="25" s="1"/>
  <c r="P489" i="25" s="1"/>
  <c r="P223" i="24"/>
  <c r="P196" i="24"/>
  <c r="O316" i="25"/>
  <c r="O314" i="24"/>
  <c r="O315" i="24" s="1"/>
  <c r="O316" i="24"/>
  <c r="O314" i="25"/>
  <c r="O315" i="25" s="1"/>
  <c r="O223" i="25"/>
  <c r="O196" i="25"/>
  <c r="O95" i="24"/>
  <c r="O98" i="24" s="1"/>
  <c r="O99" i="24" s="1"/>
  <c r="O196" i="24"/>
  <c r="O479" i="25"/>
  <c r="O482" i="25" s="1"/>
  <c r="O489" i="25" s="1"/>
  <c r="O95" i="25"/>
  <c r="O98" i="25" s="1"/>
  <c r="O99" i="25" s="1"/>
  <c r="O479" i="24"/>
  <c r="O482" i="24" s="1"/>
  <c r="O489" i="24" s="1"/>
  <c r="O223" i="24"/>
  <c r="O297" i="24"/>
  <c r="O298" i="25"/>
  <c r="O297" i="25"/>
  <c r="O298" i="24"/>
  <c r="O309" i="25"/>
  <c r="O310" i="24"/>
  <c r="O309" i="24"/>
  <c r="O310" i="25"/>
  <c r="O294" i="25"/>
  <c r="O294" i="24"/>
  <c r="O292" i="25"/>
  <c r="O293" i="25" s="1"/>
  <c r="O292" i="24"/>
  <c r="O526" i="17"/>
  <c r="O525" i="16"/>
  <c r="O529" i="16"/>
  <c r="O528" i="25"/>
  <c r="O528" i="16"/>
  <c r="O528" i="24"/>
  <c r="O526" i="24"/>
  <c r="O527" i="17"/>
  <c r="O529" i="25"/>
  <c r="O527" i="25"/>
  <c r="O525" i="25"/>
  <c r="O526" i="16"/>
  <c r="O526" i="25"/>
  <c r="O528" i="23"/>
  <c r="O526" i="23"/>
  <c r="O528" i="17"/>
  <c r="O527" i="16"/>
  <c r="O529" i="24"/>
  <c r="O527" i="24"/>
  <c r="O525" i="24"/>
  <c r="O529" i="17"/>
  <c r="O529" i="23"/>
  <c r="O527" i="23"/>
  <c r="O525" i="23"/>
  <c r="O525" i="17"/>
  <c r="O256" i="24"/>
  <c r="O256" i="25"/>
  <c r="O279" i="25"/>
  <c r="O279" i="24"/>
  <c r="O280" i="24"/>
  <c r="O280" i="25"/>
  <c r="O301" i="24"/>
  <c r="O301" i="25"/>
  <c r="O302" i="25"/>
  <c r="O302" i="24"/>
  <c r="O276" i="25"/>
  <c r="O276" i="24"/>
  <c r="O274" i="25"/>
  <c r="O275" i="25" s="1"/>
  <c r="O274" i="24"/>
  <c r="O275" i="24" s="1"/>
  <c r="O264" i="24"/>
  <c r="O265" i="24" s="1"/>
  <c r="O267" i="24" s="1"/>
  <c r="O268" i="24" s="1"/>
  <c r="O264" i="25"/>
  <c r="O265" i="25" s="1"/>
  <c r="O306" i="25"/>
  <c r="O305" i="24"/>
  <c r="O305" i="25"/>
  <c r="O306" i="24"/>
  <c r="N301" i="25"/>
  <c r="N302" i="24"/>
  <c r="N302" i="25"/>
  <c r="N301" i="24"/>
  <c r="N279" i="24"/>
  <c r="N280" i="25"/>
  <c r="N279" i="25"/>
  <c r="N280" i="24"/>
  <c r="N479" i="25"/>
  <c r="N482" i="25" s="1"/>
  <c r="N489" i="25" s="1"/>
  <c r="N196" i="25"/>
  <c r="N223" i="24"/>
  <c r="N223" i="25"/>
  <c r="N95" i="25"/>
  <c r="N98" i="25" s="1"/>
  <c r="N99" i="25" s="1"/>
  <c r="N196" i="24"/>
  <c r="N479" i="24"/>
  <c r="N482" i="24" s="1"/>
  <c r="N489" i="24" s="1"/>
  <c r="N95" i="24"/>
  <c r="N98" i="24" s="1"/>
  <c r="N99" i="24" s="1"/>
  <c r="N264" i="25"/>
  <c r="N265" i="25" s="1"/>
  <c r="N267" i="25" s="1"/>
  <c r="N268" i="25" s="1"/>
  <c r="N264" i="24"/>
  <c r="N265" i="24" s="1"/>
  <c r="N267" i="24" s="1"/>
  <c r="N268" i="24" s="1"/>
  <c r="N298" i="24"/>
  <c r="N298" i="25"/>
  <c r="N297" i="24"/>
  <c r="N297" i="25"/>
  <c r="N274" i="25"/>
  <c r="N275" i="25" s="1"/>
  <c r="N276" i="24"/>
  <c r="N274" i="24"/>
  <c r="N275" i="24" s="1"/>
  <c r="N276" i="25"/>
  <c r="N316" i="24"/>
  <c r="N316" i="25"/>
  <c r="N314" i="24"/>
  <c r="N315" i="24" s="1"/>
  <c r="N314" i="25"/>
  <c r="N315" i="25" s="1"/>
  <c r="N310" i="24"/>
  <c r="N309" i="24"/>
  <c r="N310" i="25"/>
  <c r="N309" i="25"/>
  <c r="N528" i="23"/>
  <c r="N526" i="16"/>
  <c r="N525" i="25"/>
  <c r="N526" i="17"/>
  <c r="N526" i="25"/>
  <c r="N527" i="24"/>
  <c r="N529" i="16"/>
  <c r="N525" i="17"/>
  <c r="N529" i="17"/>
  <c r="N529" i="25"/>
  <c r="N526" i="23"/>
  <c r="N525" i="24"/>
  <c r="N529" i="23"/>
  <c r="N527" i="16"/>
  <c r="N527" i="17"/>
  <c r="N527" i="25"/>
  <c r="N528" i="24"/>
  <c r="N526" i="24"/>
  <c r="N528" i="16"/>
  <c r="N527" i="23"/>
  <c r="N525" i="16"/>
  <c r="N528" i="17"/>
  <c r="N528" i="25"/>
  <c r="N529" i="24"/>
  <c r="N525" i="23"/>
  <c r="N256" i="25"/>
  <c r="N256" i="24"/>
  <c r="N306" i="24"/>
  <c r="N305" i="24"/>
  <c r="N306" i="25"/>
  <c r="N305" i="25"/>
  <c r="N294" i="25"/>
  <c r="N292" i="25"/>
  <c r="N293" i="25" s="1"/>
  <c r="N292" i="24"/>
  <c r="N294" i="24"/>
  <c r="M314" i="24"/>
  <c r="M314" i="25"/>
  <c r="M316" i="24"/>
  <c r="M316" i="25"/>
  <c r="M223" i="24"/>
  <c r="M479" i="25"/>
  <c r="M482" i="25" s="1"/>
  <c r="M489" i="25" s="1"/>
  <c r="M95" i="24"/>
  <c r="M98" i="24" s="1"/>
  <c r="M99" i="24" s="1"/>
  <c r="M196" i="24"/>
  <c r="M95" i="25"/>
  <c r="M98" i="25" s="1"/>
  <c r="M99" i="25" s="1"/>
  <c r="M479" i="24"/>
  <c r="M482" i="24" s="1"/>
  <c r="M489" i="24" s="1"/>
  <c r="M223" i="25"/>
  <c r="M196" i="25"/>
  <c r="M306" i="24"/>
  <c r="M305" i="24"/>
  <c r="M306" i="25"/>
  <c r="M305" i="25"/>
  <c r="M298" i="24"/>
  <c r="M297" i="24"/>
  <c r="M298" i="25"/>
  <c r="M297" i="25"/>
  <c r="M279" i="25"/>
  <c r="M280" i="25"/>
  <c r="M280" i="24"/>
  <c r="M279" i="24"/>
  <c r="M264" i="25"/>
  <c r="M265" i="25" s="1"/>
  <c r="M267" i="25" s="1"/>
  <c r="M268" i="25" s="1"/>
  <c r="M264" i="24"/>
  <c r="M265" i="24" s="1"/>
  <c r="M267" i="24" s="1"/>
  <c r="M268" i="24" s="1"/>
  <c r="M310" i="24"/>
  <c r="M309" i="25"/>
  <c r="M309" i="24"/>
  <c r="M310" i="25"/>
  <c r="M302" i="24"/>
  <c r="M301" i="24"/>
  <c r="M301" i="25"/>
  <c r="M302" i="25"/>
  <c r="M294" i="25"/>
  <c r="M292" i="24"/>
  <c r="M292" i="25"/>
  <c r="M294" i="24"/>
  <c r="M276" i="25"/>
  <c r="M274" i="25"/>
  <c r="M274" i="24"/>
  <c r="M276" i="24"/>
  <c r="M526" i="24"/>
  <c r="M527" i="23"/>
  <c r="M525" i="24"/>
  <c r="M526" i="25"/>
  <c r="M527" i="24"/>
  <c r="M528" i="23"/>
  <c r="M529" i="24"/>
  <c r="M526" i="23"/>
  <c r="M525" i="17"/>
  <c r="M527" i="17"/>
  <c r="M529" i="17"/>
  <c r="M527" i="25"/>
  <c r="M526" i="16"/>
  <c r="M528" i="16"/>
  <c r="M528" i="24"/>
  <c r="M529" i="23"/>
  <c r="M525" i="23"/>
  <c r="M528" i="25"/>
  <c r="M526" i="17"/>
  <c r="M528" i="17"/>
  <c r="M529" i="25"/>
  <c r="M525" i="25"/>
  <c r="M525" i="16"/>
  <c r="M527" i="16"/>
  <c r="M529" i="16"/>
  <c r="M256" i="25"/>
  <c r="M256" i="24"/>
  <c r="I394" i="24"/>
  <c r="I63" i="24" s="1"/>
  <c r="I65" i="24" s="1"/>
  <c r="I63" i="25"/>
  <c r="I65" i="25" s="1"/>
  <c r="J394" i="25"/>
  <c r="J396" i="25" s="1"/>
  <c r="J397" i="25" s="1"/>
  <c r="J56" i="25" s="1"/>
  <c r="J58" i="25" s="1"/>
  <c r="G60" i="24"/>
  <c r="G61" i="24"/>
  <c r="H63" i="24"/>
  <c r="H65" i="24" s="1"/>
  <c r="H396" i="24"/>
  <c r="H397" i="24" s="1"/>
  <c r="H56" i="24" s="1"/>
  <c r="H58" i="24" s="1"/>
  <c r="J392" i="24"/>
  <c r="J393" i="24"/>
  <c r="K406" i="24"/>
  <c r="W190" i="23"/>
  <c r="W537" i="23" s="1"/>
  <c r="W202" i="25"/>
  <c r="V449" i="23"/>
  <c r="V517" i="23" s="1"/>
  <c r="V471" i="23"/>
  <c r="V471" i="25"/>
  <c r="V514" i="25"/>
  <c r="V123" i="25"/>
  <c r="V333" i="25"/>
  <c r="V507" i="25" s="1"/>
  <c r="V262" i="23"/>
  <c r="V265" i="23" s="1"/>
  <c r="V268" i="23" s="1"/>
  <c r="U124" i="23"/>
  <c r="W409" i="25"/>
  <c r="W515" i="25" s="1"/>
  <c r="U454" i="25"/>
  <c r="U119" i="25" s="1"/>
  <c r="V410" i="25"/>
  <c r="V124" i="25" s="1"/>
  <c r="V203" i="25"/>
  <c r="W203" i="25" s="1"/>
  <c r="W471" i="24"/>
  <c r="V449" i="25"/>
  <c r="V517" i="25" s="1"/>
  <c r="T204" i="23"/>
  <c r="U450" i="23"/>
  <c r="U126" i="23" s="1"/>
  <c r="W193" i="25"/>
  <c r="W272" i="25" s="1"/>
  <c r="V258" i="23"/>
  <c r="U205" i="23"/>
  <c r="T204" i="24"/>
  <c r="U454" i="23"/>
  <c r="U119" i="23" s="1"/>
  <c r="V414" i="25"/>
  <c r="V125" i="25" s="1"/>
  <c r="W487" i="25"/>
  <c r="U450" i="25"/>
  <c r="U126" i="25" s="1"/>
  <c r="V202" i="24"/>
  <c r="X432" i="25"/>
  <c r="X487" i="25" s="1"/>
  <c r="T179" i="23"/>
  <c r="T92" i="23" s="1"/>
  <c r="I61" i="25"/>
  <c r="I60" i="25"/>
  <c r="T350" i="25"/>
  <c r="W100" i="25"/>
  <c r="R76" i="25"/>
  <c r="X508" i="25"/>
  <c r="X118" i="25"/>
  <c r="X75" i="25"/>
  <c r="Y253" i="25"/>
  <c r="X483" i="25"/>
  <c r="Y417" i="25"/>
  <c r="Y215" i="25"/>
  <c r="W169" i="25"/>
  <c r="V170" i="25"/>
  <c r="V173" i="25" s="1"/>
  <c r="X519" i="25"/>
  <c r="Y463" i="25"/>
  <c r="X465" i="25"/>
  <c r="X120" i="25" s="1"/>
  <c r="U73" i="25"/>
  <c r="U442" i="25" s="1"/>
  <c r="R179" i="25"/>
  <c r="S357" i="25"/>
  <c r="S388" i="25"/>
  <c r="S344" i="25"/>
  <c r="S366" i="25"/>
  <c r="W470" i="25"/>
  <c r="X468" i="25"/>
  <c r="Y434" i="25"/>
  <c r="Z436" i="25"/>
  <c r="Z434" i="25" s="1"/>
  <c r="T177" i="25"/>
  <c r="S178" i="25"/>
  <c r="S476" i="25"/>
  <c r="V453" i="25"/>
  <c r="W145" i="25"/>
  <c r="V147" i="25"/>
  <c r="V150" i="25" s="1"/>
  <c r="X290" i="25"/>
  <c r="Y238" i="25"/>
  <c r="U204" i="25"/>
  <c r="T182" i="25"/>
  <c r="Z21" i="25"/>
  <c r="Z22" i="25" s="1"/>
  <c r="Y22" i="25"/>
  <c r="H61" i="25"/>
  <c r="H60" i="25"/>
  <c r="X424" i="25"/>
  <c r="V475" i="25"/>
  <c r="W146" i="25"/>
  <c r="V89" i="25"/>
  <c r="V385" i="25"/>
  <c r="V391" i="25"/>
  <c r="W384" i="25"/>
  <c r="Q92" i="25"/>
  <c r="W154" i="25"/>
  <c r="X418" i="25"/>
  <c r="X216" i="25"/>
  <c r="X218" i="25" s="1"/>
  <c r="X114" i="25" s="1"/>
  <c r="X26" i="25"/>
  <c r="Y25" i="25"/>
  <c r="X313" i="25"/>
  <c r="V494" i="25"/>
  <c r="V502" i="25" s="1"/>
  <c r="Y427" i="25"/>
  <c r="Y219" i="25"/>
  <c r="Y510" i="25"/>
  <c r="Y460" i="25"/>
  <c r="Z457" i="25"/>
  <c r="X332" i="25"/>
  <c r="W333" i="25"/>
  <c r="W123" i="25"/>
  <c r="W514" i="25"/>
  <c r="Y423" i="25"/>
  <c r="V477" i="25"/>
  <c r="W160" i="25"/>
  <c r="V161" i="25"/>
  <c r="V165" i="25" s="1"/>
  <c r="V91" i="25"/>
  <c r="X188" i="25"/>
  <c r="W537" i="25"/>
  <c r="W262" i="25"/>
  <c r="X190" i="25"/>
  <c r="W444" i="25"/>
  <c r="V352" i="25"/>
  <c r="K392" i="25"/>
  <c r="L406" i="25"/>
  <c r="K393" i="25"/>
  <c r="X439" i="25"/>
  <c r="W107" i="25"/>
  <c r="W516" i="25"/>
  <c r="X413" i="25"/>
  <c r="Y18" i="25"/>
  <c r="X19" i="25"/>
  <c r="X44" i="25" s="1"/>
  <c r="V202" i="23"/>
  <c r="W154" i="24"/>
  <c r="W487" i="24"/>
  <c r="W105" i="24"/>
  <c r="X519" i="24"/>
  <c r="Y463" i="24"/>
  <c r="X465" i="24"/>
  <c r="X120" i="24" s="1"/>
  <c r="V537" i="24"/>
  <c r="V262" i="24"/>
  <c r="W190" i="24"/>
  <c r="Z253" i="24"/>
  <c r="Y423" i="24"/>
  <c r="V494" i="24"/>
  <c r="V502" i="24" s="1"/>
  <c r="S182" i="24"/>
  <c r="W44" i="24"/>
  <c r="U507" i="24"/>
  <c r="X427" i="24"/>
  <c r="X219" i="24"/>
  <c r="W483" i="24"/>
  <c r="W169" i="24"/>
  <c r="V170" i="24"/>
  <c r="V173" i="24" s="1"/>
  <c r="V487" i="24"/>
  <c r="V105" i="24"/>
  <c r="X439" i="24"/>
  <c r="W107" i="24"/>
  <c r="V385" i="24"/>
  <c r="V391" i="24"/>
  <c r="V516" i="24"/>
  <c r="W413" i="24"/>
  <c r="V414" i="24"/>
  <c r="V125" i="24" s="1"/>
  <c r="V272" i="24"/>
  <c r="W193" i="24"/>
  <c r="W187" i="24"/>
  <c r="X470" i="24"/>
  <c r="Y468" i="24"/>
  <c r="X434" i="24"/>
  <c r="X432" i="24" s="1"/>
  <c r="Y436" i="24"/>
  <c r="W313" i="24"/>
  <c r="X382" i="24"/>
  <c r="W384" i="24"/>
  <c r="U100" i="24"/>
  <c r="U73" i="24"/>
  <c r="U442" i="24" s="1"/>
  <c r="W424" i="24"/>
  <c r="W188" i="24"/>
  <c r="T350" i="24"/>
  <c r="Z417" i="24"/>
  <c r="Z215" i="24"/>
  <c r="V203" i="24"/>
  <c r="U205" i="24"/>
  <c r="V257" i="23"/>
  <c r="U454" i="24"/>
  <c r="U119" i="24" s="1"/>
  <c r="U453" i="24"/>
  <c r="V145" i="24"/>
  <c r="U147" i="24"/>
  <c r="U150" i="24" s="1"/>
  <c r="W419" i="24"/>
  <c r="W217" i="24"/>
  <c r="Y18" i="24"/>
  <c r="X19" i="24"/>
  <c r="X139" i="24" s="1"/>
  <c r="X75" i="24"/>
  <c r="U450" i="24"/>
  <c r="U126" i="24" s="1"/>
  <c r="U124" i="24"/>
  <c r="W444" i="24"/>
  <c r="V352" i="24"/>
  <c r="V218" i="24"/>
  <c r="V114" i="24" s="1"/>
  <c r="X510" i="24"/>
  <c r="X460" i="24"/>
  <c r="Y457" i="24"/>
  <c r="X22" i="24"/>
  <c r="Y21" i="24"/>
  <c r="W332" i="24"/>
  <c r="V123" i="24"/>
  <c r="V333" i="24"/>
  <c r="V514" i="24"/>
  <c r="V515" i="24"/>
  <c r="V449" i="24"/>
  <c r="V517" i="24" s="1"/>
  <c r="W409" i="24"/>
  <c r="V410" i="24"/>
  <c r="V475" i="24"/>
  <c r="W146" i="24"/>
  <c r="V89" i="24"/>
  <c r="R76" i="24"/>
  <c r="W418" i="24"/>
  <c r="W216" i="24"/>
  <c r="V420" i="24"/>
  <c r="X25" i="24"/>
  <c r="W26" i="24"/>
  <c r="T177" i="24"/>
  <c r="S178" i="24"/>
  <c r="S179" i="24" s="1"/>
  <c r="S476" i="24"/>
  <c r="X290" i="24"/>
  <c r="Y238" i="24"/>
  <c r="V477" i="24"/>
  <c r="W160" i="24"/>
  <c r="V91" i="24"/>
  <c r="V161" i="24"/>
  <c r="V165" i="24" s="1"/>
  <c r="W118" i="24"/>
  <c r="W508" i="24"/>
  <c r="S388" i="24"/>
  <c r="S366" i="24"/>
  <c r="S357" i="24"/>
  <c r="S344" i="24"/>
  <c r="T350" i="23"/>
  <c r="W44" i="23"/>
  <c r="W516" i="23"/>
  <c r="X413" i="23"/>
  <c r="X332" i="23"/>
  <c r="W123" i="23"/>
  <c r="W514" i="23"/>
  <c r="W333" i="23"/>
  <c r="X424" i="23"/>
  <c r="X301" i="23"/>
  <c r="W302" i="23"/>
  <c r="L392" i="23"/>
  <c r="L393" i="23"/>
  <c r="M406" i="23"/>
  <c r="X309" i="23"/>
  <c r="W310" i="23"/>
  <c r="X279" i="23"/>
  <c r="W280" i="23"/>
  <c r="X290" i="23"/>
  <c r="Y238" i="23"/>
  <c r="R76" i="23"/>
  <c r="X519" i="23"/>
  <c r="Y463" i="23"/>
  <c r="X465" i="23"/>
  <c r="X120" i="23" s="1"/>
  <c r="W306" i="23"/>
  <c r="X305" i="23"/>
  <c r="W118" i="23"/>
  <c r="V323" i="23"/>
  <c r="W196" i="23"/>
  <c r="V177" i="23"/>
  <c r="U178" i="23"/>
  <c r="W272" i="23"/>
  <c r="X193" i="23"/>
  <c r="Y436" i="23"/>
  <c r="X434" i="23"/>
  <c r="X432" i="23" s="1"/>
  <c r="Y423" i="23"/>
  <c r="Y418" i="23" s="1"/>
  <c r="U259" i="23"/>
  <c r="W267" i="23"/>
  <c r="V124" i="23"/>
  <c r="Z21" i="23"/>
  <c r="Z22" i="23" s="1"/>
  <c r="Y22" i="23"/>
  <c r="X508" i="23"/>
  <c r="X218" i="23"/>
  <c r="X114" i="23" s="1"/>
  <c r="Y427" i="23"/>
  <c r="Y219" i="23"/>
  <c r="U73" i="23"/>
  <c r="U442" i="23" s="1"/>
  <c r="W487" i="23"/>
  <c r="W105" i="23"/>
  <c r="W444" i="23"/>
  <c r="V352" i="23"/>
  <c r="I61" i="23"/>
  <c r="I60" i="23"/>
  <c r="K394" i="23"/>
  <c r="Y216" i="23"/>
  <c r="W256" i="23"/>
  <c r="U476" i="23"/>
  <c r="V154" i="23"/>
  <c r="W515" i="23"/>
  <c r="X409" i="23"/>
  <c r="W410" i="23"/>
  <c r="U475" i="23"/>
  <c r="V146" i="23"/>
  <c r="U89" i="23"/>
  <c r="W100" i="23"/>
  <c r="V187" i="23"/>
  <c r="V494" i="23"/>
  <c r="V502" i="23" s="1"/>
  <c r="V453" i="23"/>
  <c r="W145" i="23"/>
  <c r="J396" i="23"/>
  <c r="J397" i="23" s="1"/>
  <c r="J56" i="23" s="1"/>
  <c r="J58" i="23" s="1"/>
  <c r="J63" i="23"/>
  <c r="J65" i="23" s="1"/>
  <c r="V188" i="23"/>
  <c r="W188" i="23" s="1"/>
  <c r="V203" i="23"/>
  <c r="V169" i="23"/>
  <c r="U170" i="23"/>
  <c r="U173" i="23" s="1"/>
  <c r="X460" i="23"/>
  <c r="X510" i="23"/>
  <c r="Y457" i="23"/>
  <c r="W26" i="23"/>
  <c r="X25" i="23"/>
  <c r="X483" i="23"/>
  <c r="Y417" i="23"/>
  <c r="X420" i="23"/>
  <c r="Y215" i="23"/>
  <c r="V385" i="23"/>
  <c r="V391" i="23"/>
  <c r="W384" i="23"/>
  <c r="X439" i="23"/>
  <c r="W107" i="23"/>
  <c r="U147" i="23"/>
  <c r="U150" i="23" s="1"/>
  <c r="S344" i="23"/>
  <c r="S388" i="23"/>
  <c r="S366" i="23"/>
  <c r="S357" i="23"/>
  <c r="Y253" i="23"/>
  <c r="X264" i="23"/>
  <c r="W266" i="23"/>
  <c r="V477" i="23"/>
  <c r="W160" i="23"/>
  <c r="V91" i="23"/>
  <c r="V161" i="23"/>
  <c r="V165" i="23" s="1"/>
  <c r="X297" i="23"/>
  <c r="W298" i="23"/>
  <c r="W315" i="23"/>
  <c r="W316" i="23" s="1"/>
  <c r="X313" i="23"/>
  <c r="W470" i="23"/>
  <c r="X468" i="23"/>
  <c r="V507" i="23"/>
  <c r="W19" i="23"/>
  <c r="W186" i="23" s="1"/>
  <c r="X18" i="23"/>
  <c r="X75" i="23"/>
  <c r="V139" i="23"/>
  <c r="S182" i="23"/>
  <c r="AD41" i="7"/>
  <c r="AC41" i="7"/>
  <c r="AB41" i="7"/>
  <c r="AK31" i="7"/>
  <c r="L275" i="25" l="1"/>
  <c r="L293" i="25"/>
  <c r="C292" i="25" a="1"/>
  <c r="C292" i="25" s="1"/>
  <c r="C292" i="24" a="1"/>
  <c r="C292" i="24" s="1"/>
  <c r="N293" i="24"/>
  <c r="O293" i="24"/>
  <c r="P293" i="24"/>
  <c r="L293" i="24"/>
  <c r="W414" i="23"/>
  <c r="W125" i="23" s="1"/>
  <c r="L530" i="25"/>
  <c r="C309" i="25" a="1"/>
  <c r="C309" i="25" s="1"/>
  <c r="C297" i="25" a="1"/>
  <c r="C297" i="25" s="1"/>
  <c r="P497" i="24"/>
  <c r="P51" i="24"/>
  <c r="L48" i="25"/>
  <c r="L227" i="25"/>
  <c r="L35" i="25" s="1"/>
  <c r="P324" i="24"/>
  <c r="P258" i="24"/>
  <c r="P259" i="24" s="1"/>
  <c r="P197" i="25"/>
  <c r="P323" i="25"/>
  <c r="L258" i="24"/>
  <c r="L259" i="24" s="1"/>
  <c r="L324" i="24"/>
  <c r="L530" i="24"/>
  <c r="L111" i="25"/>
  <c r="L129" i="25"/>
  <c r="P324" i="25"/>
  <c r="P258" i="25"/>
  <c r="C301" i="25" a="1"/>
  <c r="C301" i="25" s="1"/>
  <c r="P111" i="24"/>
  <c r="P129" i="24"/>
  <c r="L324" i="25"/>
  <c r="L258" i="25"/>
  <c r="L259" i="25" s="1"/>
  <c r="L497" i="25"/>
  <c r="L51" i="25"/>
  <c r="M530" i="25"/>
  <c r="P48" i="25"/>
  <c r="P227" i="25"/>
  <c r="P35" i="25" s="1"/>
  <c r="L497" i="24"/>
  <c r="L51" i="24"/>
  <c r="L267" i="25"/>
  <c r="L268" i="25" s="1"/>
  <c r="L323" i="25"/>
  <c r="L197" i="25"/>
  <c r="L199" i="25" s="1"/>
  <c r="L200" i="25" s="1"/>
  <c r="P111" i="25"/>
  <c r="P129" i="25"/>
  <c r="L530" i="23"/>
  <c r="L111" i="24"/>
  <c r="L129" i="24"/>
  <c r="P530" i="23"/>
  <c r="Q525" i="23"/>
  <c r="P530" i="25"/>
  <c r="Q525" i="25"/>
  <c r="P530" i="16"/>
  <c r="O530" i="23"/>
  <c r="P197" i="24"/>
  <c r="P323" i="24"/>
  <c r="P267" i="24"/>
  <c r="P268" i="24" s="1"/>
  <c r="L227" i="24"/>
  <c r="L35" i="24" s="1"/>
  <c r="L48" i="24"/>
  <c r="P530" i="24"/>
  <c r="Q525" i="24"/>
  <c r="P530" i="17"/>
  <c r="P497" i="25"/>
  <c r="P51" i="25"/>
  <c r="N530" i="17"/>
  <c r="P48" i="24"/>
  <c r="P227" i="24"/>
  <c r="P35" i="24" s="1"/>
  <c r="P267" i="25"/>
  <c r="P268" i="25" s="1"/>
  <c r="L197" i="24"/>
  <c r="L323" i="24"/>
  <c r="O197" i="24"/>
  <c r="O199" i="24" s="1"/>
  <c r="O200" i="24" s="1"/>
  <c r="O323" i="24"/>
  <c r="C309" i="24" a="1"/>
  <c r="C309" i="24" s="1"/>
  <c r="O129" i="24"/>
  <c r="O111" i="24"/>
  <c r="O197" i="25"/>
  <c r="O323" i="25"/>
  <c r="C297" i="24" a="1"/>
  <c r="C297" i="24" s="1"/>
  <c r="O530" i="24"/>
  <c r="O48" i="24"/>
  <c r="O227" i="24"/>
  <c r="O35" i="24" s="1"/>
  <c r="O227" i="25"/>
  <c r="O35" i="25" s="1"/>
  <c r="O48" i="25"/>
  <c r="O258" i="25"/>
  <c r="O259" i="25" s="1"/>
  <c r="O324" i="25"/>
  <c r="O530" i="25"/>
  <c r="O51" i="24"/>
  <c r="O497" i="24"/>
  <c r="C301" i="24" a="1"/>
  <c r="C301" i="24" s="1"/>
  <c r="C279" i="24" a="1"/>
  <c r="C279" i="24" s="1"/>
  <c r="O258" i="24"/>
  <c r="O259" i="24" s="1"/>
  <c r="O324" i="24"/>
  <c r="O129" i="25"/>
  <c r="O111" i="25"/>
  <c r="O267" i="25"/>
  <c r="O268" i="25" s="1"/>
  <c r="O530" i="17"/>
  <c r="O51" i="25"/>
  <c r="O497" i="25"/>
  <c r="N111" i="24"/>
  <c r="N129" i="24"/>
  <c r="N497" i="24"/>
  <c r="N51" i="24"/>
  <c r="N530" i="24"/>
  <c r="N197" i="24"/>
  <c r="N199" i="24" s="1"/>
  <c r="N200" i="24" s="1"/>
  <c r="N323" i="24"/>
  <c r="C305" i="25" a="1"/>
  <c r="C305" i="25" s="1"/>
  <c r="N258" i="24"/>
  <c r="N259" i="24" s="1"/>
  <c r="N324" i="24"/>
  <c r="N530" i="25"/>
  <c r="N111" i="25"/>
  <c r="N129" i="25"/>
  <c r="N258" i="25"/>
  <c r="N259" i="25" s="1"/>
  <c r="N324" i="25"/>
  <c r="N227" i="25"/>
  <c r="N35" i="25" s="1"/>
  <c r="N48" i="25"/>
  <c r="C305" i="24" a="1"/>
  <c r="C305" i="24" s="1"/>
  <c r="N530" i="23"/>
  <c r="N227" i="24"/>
  <c r="N35" i="24" s="1"/>
  <c r="N48" i="24"/>
  <c r="C279" i="25" a="1"/>
  <c r="C279" i="25" s="1"/>
  <c r="N197" i="25"/>
  <c r="N199" i="25" s="1"/>
  <c r="N200" i="25" s="1"/>
  <c r="N323" i="25"/>
  <c r="N497" i="25"/>
  <c r="N51" i="25"/>
  <c r="M258" i="24"/>
  <c r="M259" i="24" s="1"/>
  <c r="M324" i="24"/>
  <c r="M530" i="24"/>
  <c r="M293" i="25"/>
  <c r="M227" i="24"/>
  <c r="M35" i="24" s="1"/>
  <c r="M48" i="24"/>
  <c r="M129" i="24"/>
  <c r="M111" i="24"/>
  <c r="M258" i="25"/>
  <c r="M259" i="25" s="1"/>
  <c r="M324" i="25"/>
  <c r="M293" i="24"/>
  <c r="M323" i="25"/>
  <c r="C196" i="25" a="1"/>
  <c r="C196" i="25" s="1"/>
  <c r="M197" i="25"/>
  <c r="M497" i="25"/>
  <c r="M51" i="25"/>
  <c r="M530" i="23"/>
  <c r="M530" i="17"/>
  <c r="M227" i="25"/>
  <c r="M35" i="25" s="1"/>
  <c r="M48" i="25"/>
  <c r="M497" i="24"/>
  <c r="M51" i="24"/>
  <c r="M315" i="25"/>
  <c r="C314" i="25" a="1"/>
  <c r="C314" i="25" s="1"/>
  <c r="M275" i="25"/>
  <c r="C274" i="25" a="1"/>
  <c r="C274" i="25" s="1"/>
  <c r="M323" i="24"/>
  <c r="M197" i="24"/>
  <c r="M199" i="24" s="1"/>
  <c r="M200" i="24" s="1"/>
  <c r="C196" i="24" a="1"/>
  <c r="C196" i="24" s="1"/>
  <c r="M275" i="24"/>
  <c r="C274" i="24" a="1"/>
  <c r="C274" i="24" s="1"/>
  <c r="M111" i="25"/>
  <c r="M129" i="25"/>
  <c r="C314" i="24" a="1"/>
  <c r="C314" i="24" s="1"/>
  <c r="M315" i="24"/>
  <c r="I396" i="24"/>
  <c r="I397" i="24" s="1"/>
  <c r="I56" i="24" s="1"/>
  <c r="I58" i="24" s="1"/>
  <c r="I61" i="24" s="1"/>
  <c r="L394" i="23"/>
  <c r="J63" i="25"/>
  <c r="J65" i="25" s="1"/>
  <c r="K392" i="24"/>
  <c r="K393" i="24"/>
  <c r="L406" i="24"/>
  <c r="J394" i="24"/>
  <c r="K394" i="25"/>
  <c r="K396" i="25" s="1"/>
  <c r="H60" i="24"/>
  <c r="H61" i="24"/>
  <c r="X190" i="23"/>
  <c r="X537" i="23" s="1"/>
  <c r="W262" i="23"/>
  <c r="W265" i="23" s="1"/>
  <c r="W268" i="23" s="1"/>
  <c r="X202" i="25"/>
  <c r="W471" i="23"/>
  <c r="W449" i="23"/>
  <c r="W517" i="23" s="1"/>
  <c r="W471" i="25"/>
  <c r="X409" i="25"/>
  <c r="Y409" i="25" s="1"/>
  <c r="X471" i="24"/>
  <c r="W202" i="23"/>
  <c r="W410" i="25"/>
  <c r="V454" i="25"/>
  <c r="V119" i="25" s="1"/>
  <c r="X193" i="25"/>
  <c r="X272" i="25" s="1"/>
  <c r="W449" i="25"/>
  <c r="W517" i="25" s="1"/>
  <c r="V205" i="25"/>
  <c r="V204" i="25" s="1"/>
  <c r="U204" i="23"/>
  <c r="W258" i="23"/>
  <c r="V259" i="23"/>
  <c r="V450" i="23"/>
  <c r="V126" i="23" s="1"/>
  <c r="V454" i="23"/>
  <c r="V119" i="23" s="1"/>
  <c r="W414" i="25"/>
  <c r="W125" i="25" s="1"/>
  <c r="V450" i="25"/>
  <c r="V126" i="25" s="1"/>
  <c r="X105" i="25"/>
  <c r="Y432" i="25"/>
  <c r="Y105" i="25" s="1"/>
  <c r="U179" i="23"/>
  <c r="U92" i="23" s="1"/>
  <c r="X203" i="25"/>
  <c r="Z432" i="25"/>
  <c r="J61" i="25"/>
  <c r="J60" i="25"/>
  <c r="Y519" i="25"/>
  <c r="Z463" i="25"/>
  <c r="Y465" i="25"/>
  <c r="Y120" i="25" s="1"/>
  <c r="V73" i="25"/>
  <c r="V442" i="25" s="1"/>
  <c r="X516" i="25"/>
  <c r="Y413" i="25"/>
  <c r="Z423" i="25"/>
  <c r="X154" i="25"/>
  <c r="U177" i="25"/>
  <c r="T178" i="25"/>
  <c r="T476" i="25"/>
  <c r="Y483" i="25"/>
  <c r="Z417" i="25"/>
  <c r="Z215" i="25"/>
  <c r="Y75" i="25"/>
  <c r="X186" i="25"/>
  <c r="Y26" i="25"/>
  <c r="Z25" i="25"/>
  <c r="Z26" i="25" s="1"/>
  <c r="W453" i="25"/>
  <c r="X145" i="25"/>
  <c r="W147" i="25"/>
  <c r="W150" i="25" s="1"/>
  <c r="Z253" i="25"/>
  <c r="Y527" i="25"/>
  <c r="Y313" i="25"/>
  <c r="Y528" i="25"/>
  <c r="X187" i="25"/>
  <c r="T344" i="25"/>
  <c r="T357" i="25"/>
  <c r="T388" i="25"/>
  <c r="T366" i="25"/>
  <c r="L392" i="25"/>
  <c r="L393" i="25"/>
  <c r="M406" i="25"/>
  <c r="Y424" i="25"/>
  <c r="Y19" i="25"/>
  <c r="Y44" i="25" s="1"/>
  <c r="Z44" i="25" s="1"/>
  <c r="Z18" i="25"/>
  <c r="Z19" i="25" s="1"/>
  <c r="W494" i="25"/>
  <c r="W502" i="25" s="1"/>
  <c r="Z427" i="25"/>
  <c r="Z219" i="25"/>
  <c r="W385" i="25"/>
  <c r="X384" i="25"/>
  <c r="W391" i="25"/>
  <c r="W475" i="25"/>
  <c r="X146" i="25"/>
  <c r="W89" i="25"/>
  <c r="X139" i="25"/>
  <c r="X169" i="25"/>
  <c r="W170" i="25"/>
  <c r="W173" i="25" s="1"/>
  <c r="Y188" i="25"/>
  <c r="Z188" i="25" s="1"/>
  <c r="Y118" i="25"/>
  <c r="Y439" i="25"/>
  <c r="X107" i="25"/>
  <c r="X444" i="25"/>
  <c r="W352" i="25"/>
  <c r="W507" i="25"/>
  <c r="Y418" i="25"/>
  <c r="Y420" i="25" s="1"/>
  <c r="Y216" i="25"/>
  <c r="Y290" i="25"/>
  <c r="Z238" i="25"/>
  <c r="Y526" i="25"/>
  <c r="R92" i="25"/>
  <c r="X537" i="25"/>
  <c r="X262" i="25"/>
  <c r="Y190" i="25"/>
  <c r="W477" i="25"/>
  <c r="X160" i="25"/>
  <c r="W161" i="25"/>
  <c r="W165" i="25" s="1"/>
  <c r="W91" i="25"/>
  <c r="Y332" i="25"/>
  <c r="X123" i="25"/>
  <c r="X333" i="25"/>
  <c r="X514" i="25"/>
  <c r="S76" i="25"/>
  <c r="Y508" i="25"/>
  <c r="Y529" i="25"/>
  <c r="U182" i="25"/>
  <c r="X470" i="25"/>
  <c r="Y468" i="25"/>
  <c r="Z510" i="25"/>
  <c r="Z460" i="25"/>
  <c r="S179" i="25"/>
  <c r="U350" i="25"/>
  <c r="X420" i="25"/>
  <c r="X100" i="25" s="1"/>
  <c r="X529" i="24"/>
  <c r="U350" i="24"/>
  <c r="X118" i="24"/>
  <c r="Y19" i="24"/>
  <c r="Y139" i="24" s="1"/>
  <c r="Z139" i="24" s="1"/>
  <c r="Z18" i="24"/>
  <c r="Z19" i="24" s="1"/>
  <c r="X26" i="24"/>
  <c r="Y25" i="24"/>
  <c r="X444" i="24"/>
  <c r="W352" i="24"/>
  <c r="W477" i="24"/>
  <c r="X160" i="24"/>
  <c r="W91" i="24"/>
  <c r="W161" i="24"/>
  <c r="W165" i="24" s="1"/>
  <c r="Y75" i="24"/>
  <c r="X419" i="24"/>
  <c r="X217" i="24"/>
  <c r="T366" i="24"/>
  <c r="T344" i="24"/>
  <c r="T357" i="24"/>
  <c r="T388" i="24"/>
  <c r="X487" i="24"/>
  <c r="X105" i="24"/>
  <c r="Y519" i="24"/>
  <c r="Y465" i="24"/>
  <c r="Y120" i="24" s="1"/>
  <c r="Z463" i="24"/>
  <c r="V205" i="24"/>
  <c r="U204" i="24"/>
  <c r="Z436" i="24"/>
  <c r="Z434" i="24" s="1"/>
  <c r="Y434" i="24"/>
  <c r="Y432" i="24" s="1"/>
  <c r="Z423" i="24"/>
  <c r="X154" i="24"/>
  <c r="S76" i="24"/>
  <c r="S92" i="24"/>
  <c r="V100" i="24"/>
  <c r="W475" i="24"/>
  <c r="X146" i="24"/>
  <c r="W89" i="24"/>
  <c r="V507" i="24"/>
  <c r="Y470" i="24"/>
  <c r="Z468" i="24"/>
  <c r="Z470" i="24" s="1"/>
  <c r="X187" i="24"/>
  <c r="X169" i="24"/>
  <c r="W170" i="24"/>
  <c r="W173" i="24" s="1"/>
  <c r="X508" i="24"/>
  <c r="X44" i="24"/>
  <c r="X313" i="24"/>
  <c r="X186" i="24"/>
  <c r="Y186" i="24" s="1"/>
  <c r="Z186" i="24" s="1"/>
  <c r="U177" i="24"/>
  <c r="T178" i="24"/>
  <c r="T179" i="24" s="1"/>
  <c r="T476" i="24"/>
  <c r="W218" i="24"/>
  <c r="W114" i="24" s="1"/>
  <c r="V454" i="24"/>
  <c r="V119" i="24" s="1"/>
  <c r="V453" i="24"/>
  <c r="W145" i="24"/>
  <c r="V147" i="24"/>
  <c r="V150" i="24" s="1"/>
  <c r="X526" i="24"/>
  <c r="X188" i="24"/>
  <c r="X527" i="24"/>
  <c r="W516" i="24"/>
  <c r="X413" i="24"/>
  <c r="W414" i="24"/>
  <c r="W125" i="24" s="1"/>
  <c r="V73" i="24"/>
  <c r="V442" i="24" s="1"/>
  <c r="Y427" i="24"/>
  <c r="Y219" i="24"/>
  <c r="X483" i="24"/>
  <c r="W202" i="24"/>
  <c r="W515" i="24"/>
  <c r="W449" i="24"/>
  <c r="W517" i="24" s="1"/>
  <c r="X409" i="24"/>
  <c r="W410" i="24"/>
  <c r="X424" i="24"/>
  <c r="Z21" i="24"/>
  <c r="Z22" i="24" s="1"/>
  <c r="Y22" i="24"/>
  <c r="Y290" i="24"/>
  <c r="Z238" i="24"/>
  <c r="X418" i="24"/>
  <c r="X216" i="24"/>
  <c r="W420" i="24"/>
  <c r="X528" i="24"/>
  <c r="W333" i="24"/>
  <c r="X332" i="24"/>
  <c r="W123" i="24"/>
  <c r="W514" i="24"/>
  <c r="W385" i="24"/>
  <c r="W391" i="24"/>
  <c r="W272" i="24"/>
  <c r="X193" i="24"/>
  <c r="W494" i="24"/>
  <c r="W502" i="24" s="1"/>
  <c r="T182" i="24"/>
  <c r="W203" i="24"/>
  <c r="X527" i="23"/>
  <c r="V450" i="24"/>
  <c r="V126" i="24" s="1"/>
  <c r="V124" i="24"/>
  <c r="Y510" i="24"/>
  <c r="Y460" i="24"/>
  <c r="Z457" i="24"/>
  <c r="Y382" i="24"/>
  <c r="X384" i="24"/>
  <c r="Y439" i="24"/>
  <c r="X107" i="24"/>
  <c r="W537" i="24"/>
  <c r="W262" i="24"/>
  <c r="X190" i="24"/>
  <c r="X528" i="23"/>
  <c r="W203" i="23"/>
  <c r="X529" i="23"/>
  <c r="X100" i="23"/>
  <c r="J61" i="23"/>
  <c r="J60" i="23"/>
  <c r="U350" i="23"/>
  <c r="V475" i="23"/>
  <c r="V89" i="23"/>
  <c r="W146" i="23"/>
  <c r="X272" i="23"/>
  <c r="Y193" i="23"/>
  <c r="Y75" i="23"/>
  <c r="Y264" i="23"/>
  <c r="X266" i="23"/>
  <c r="V205" i="23"/>
  <c r="X267" i="23"/>
  <c r="Y424" i="23"/>
  <c r="X516" i="23"/>
  <c r="Y413" i="23"/>
  <c r="X414" i="23"/>
  <c r="X125" i="23" s="1"/>
  <c r="Y510" i="23"/>
  <c r="Y460" i="23"/>
  <c r="Z457" i="23"/>
  <c r="T182" i="23"/>
  <c r="X118" i="23"/>
  <c r="Z216" i="23"/>
  <c r="X515" i="23"/>
  <c r="Y409" i="23"/>
  <c r="X410" i="23"/>
  <c r="Z423" i="23"/>
  <c r="Z418" i="23" s="1"/>
  <c r="W177" i="23"/>
  <c r="V178" i="23"/>
  <c r="Y290" i="23"/>
  <c r="Z238" i="23"/>
  <c r="Y279" i="23"/>
  <c r="X280" i="23"/>
  <c r="X302" i="23"/>
  <c r="Y301" i="23"/>
  <c r="W507" i="23"/>
  <c r="X310" i="23"/>
  <c r="Y309" i="23"/>
  <c r="Z253" i="23"/>
  <c r="X19" i="23"/>
  <c r="X44" i="23" s="1"/>
  <c r="Y18" i="23"/>
  <c r="L396" i="23"/>
  <c r="L397" i="23" s="1"/>
  <c r="L56" i="23" s="1"/>
  <c r="L58" i="23" s="1"/>
  <c r="L63" i="23"/>
  <c r="L65" i="23" s="1"/>
  <c r="W139" i="23"/>
  <c r="W494" i="23"/>
  <c r="W502" i="23" s="1"/>
  <c r="V73" i="23"/>
  <c r="V442" i="23" s="1"/>
  <c r="W453" i="23"/>
  <c r="X145" i="23"/>
  <c r="Y439" i="23"/>
  <c r="X107" i="23"/>
  <c r="Y508" i="23"/>
  <c r="Y218" i="23"/>
  <c r="Y114" i="23" s="1"/>
  <c r="W169" i="23"/>
  <c r="V170" i="23"/>
  <c r="V173" i="23" s="1"/>
  <c r="V147" i="23"/>
  <c r="V150" i="23" s="1"/>
  <c r="W323" i="23"/>
  <c r="X196" i="23"/>
  <c r="X444" i="23"/>
  <c r="W352" i="23"/>
  <c r="X315" i="23"/>
  <c r="X316" i="23" s="1"/>
  <c r="Y313" i="23"/>
  <c r="X256" i="23"/>
  <c r="X298" i="23"/>
  <c r="Y297" i="23"/>
  <c r="S76" i="23"/>
  <c r="W187" i="23"/>
  <c r="W124" i="23"/>
  <c r="K396" i="23"/>
  <c r="K397" i="23" s="1"/>
  <c r="K56" i="23" s="1"/>
  <c r="K58" i="23" s="1"/>
  <c r="K63" i="23"/>
  <c r="K65" i="23" s="1"/>
  <c r="Z427" i="23"/>
  <c r="Z219" i="23"/>
  <c r="W257" i="23"/>
  <c r="X470" i="23"/>
  <c r="Y468" i="23"/>
  <c r="W477" i="23"/>
  <c r="X160" i="23"/>
  <c r="W91" i="23"/>
  <c r="W161" i="23"/>
  <c r="W165" i="23" s="1"/>
  <c r="W385" i="23"/>
  <c r="W391" i="23"/>
  <c r="X384" i="23"/>
  <c r="Y25" i="23"/>
  <c r="X26" i="23"/>
  <c r="V476" i="23"/>
  <c r="W154" i="23"/>
  <c r="X526" i="23"/>
  <c r="X487" i="23"/>
  <c r="X105" i="23"/>
  <c r="Y519" i="23"/>
  <c r="Z463" i="23"/>
  <c r="Y465" i="23"/>
  <c r="Y120" i="23" s="1"/>
  <c r="Z436" i="23"/>
  <c r="Z434" i="23" s="1"/>
  <c r="Y434" i="23"/>
  <c r="Y432" i="23" s="1"/>
  <c r="Y332" i="23"/>
  <c r="X333" i="23"/>
  <c r="X123" i="23"/>
  <c r="X514" i="23"/>
  <c r="T388" i="23"/>
  <c r="T366" i="23"/>
  <c r="T357" i="23"/>
  <c r="T344" i="23"/>
  <c r="Y483" i="23"/>
  <c r="Z417" i="23"/>
  <c r="Y420" i="23"/>
  <c r="Z215" i="23"/>
  <c r="X306" i="23"/>
  <c r="Y305" i="23"/>
  <c r="M392" i="23"/>
  <c r="N406" i="23"/>
  <c r="M393" i="23"/>
  <c r="AK23" i="8"/>
  <c r="Z380" i="17" s="1"/>
  <c r="Z486" i="17" s="1"/>
  <c r="AK24" i="8"/>
  <c r="Z375" i="17" s="1"/>
  <c r="AK25" i="8"/>
  <c r="Z376" i="17" s="1"/>
  <c r="AK26" i="8"/>
  <c r="Z377" i="17" s="1"/>
  <c r="Z271" i="17" s="1"/>
  <c r="AK27" i="8"/>
  <c r="Z378" i="17" s="1"/>
  <c r="Z331" i="17" s="1"/>
  <c r="AK28" i="8"/>
  <c r="Z381" i="17" s="1"/>
  <c r="AK29" i="8"/>
  <c r="AA23" i="8"/>
  <c r="P380" i="17" s="1"/>
  <c r="P486" i="17" s="1"/>
  <c r="AA24" i="8"/>
  <c r="AA25" i="8"/>
  <c r="AA26" i="8"/>
  <c r="AA27" i="8"/>
  <c r="P378" i="17" s="1"/>
  <c r="P331" i="17" s="1"/>
  <c r="AA28" i="8"/>
  <c r="P381" i="17" s="1"/>
  <c r="AA29" i="8"/>
  <c r="V30" i="8"/>
  <c r="AJ29" i="8"/>
  <c r="AI29" i="8"/>
  <c r="AH29" i="8"/>
  <c r="AG29" i="8"/>
  <c r="AF29" i="8"/>
  <c r="AE29" i="8"/>
  <c r="AD29" i="8"/>
  <c r="AC29" i="8"/>
  <c r="AB29" i="8"/>
  <c r="Z29" i="8"/>
  <c r="Y29" i="8"/>
  <c r="X29" i="8"/>
  <c r="W29" i="8"/>
  <c r="AJ28" i="8"/>
  <c r="AI28" i="8"/>
  <c r="AH28" i="8"/>
  <c r="AG28" i="8"/>
  <c r="AF28" i="8"/>
  <c r="AE28" i="8"/>
  <c r="AD28" i="8"/>
  <c r="AC28" i="8"/>
  <c r="AB28" i="8"/>
  <c r="Z28" i="8"/>
  <c r="O381" i="17" s="1"/>
  <c r="Y28" i="8"/>
  <c r="N381" i="17" s="1"/>
  <c r="X28" i="8"/>
  <c r="M381" i="17" s="1"/>
  <c r="W28" i="8"/>
  <c r="AJ27" i="8"/>
  <c r="AI27" i="8"/>
  <c r="AH27" i="8"/>
  <c r="AG27" i="8"/>
  <c r="AF27" i="8"/>
  <c r="AE27" i="8"/>
  <c r="AD27" i="8"/>
  <c r="AC27" i="8"/>
  <c r="AB27" i="8"/>
  <c r="Z27" i="8"/>
  <c r="O378" i="17" s="1"/>
  <c r="O331" i="17" s="1"/>
  <c r="Y27" i="8"/>
  <c r="N378" i="17" s="1"/>
  <c r="N331" i="17" s="1"/>
  <c r="N332" i="17" s="1"/>
  <c r="N333" i="17" s="1"/>
  <c r="N336" i="17" s="1"/>
  <c r="N337" i="17" s="1"/>
  <c r="X27" i="8"/>
  <c r="M378" i="17" s="1"/>
  <c r="M331" i="17" s="1"/>
  <c r="M332" i="17" s="1"/>
  <c r="M333" i="17" s="1"/>
  <c r="M336" i="17" s="1"/>
  <c r="M337" i="17" s="1"/>
  <c r="W27" i="8"/>
  <c r="AJ26" i="8"/>
  <c r="AI26" i="8"/>
  <c r="AH26" i="8"/>
  <c r="AG26" i="8"/>
  <c r="AF26" i="8"/>
  <c r="AE26" i="8"/>
  <c r="AD26" i="8"/>
  <c r="AC26" i="8"/>
  <c r="AB26" i="8"/>
  <c r="Z26" i="8"/>
  <c r="Y26" i="8"/>
  <c r="X26" i="8"/>
  <c r="W26" i="8"/>
  <c r="AJ25" i="8"/>
  <c r="AI25" i="8"/>
  <c r="AH25" i="8"/>
  <c r="AG25" i="8"/>
  <c r="AF25" i="8"/>
  <c r="AE25" i="8"/>
  <c r="AD25" i="8"/>
  <c r="AC25" i="8"/>
  <c r="AB25" i="8"/>
  <c r="Z25" i="8"/>
  <c r="Y25" i="8"/>
  <c r="X25" i="8"/>
  <c r="W25" i="8"/>
  <c r="L474" i="17" s="1"/>
  <c r="AJ24" i="8"/>
  <c r="AI24" i="8"/>
  <c r="AH24" i="8"/>
  <c r="AG24" i="8"/>
  <c r="AF24" i="8"/>
  <c r="AE24" i="8"/>
  <c r="AD24" i="8"/>
  <c r="AC24" i="8"/>
  <c r="AB24" i="8"/>
  <c r="Z24" i="8"/>
  <c r="Y24" i="8"/>
  <c r="X24" i="8"/>
  <c r="W24" i="8"/>
  <c r="AJ23" i="8"/>
  <c r="AI23" i="8"/>
  <c r="AH23" i="8"/>
  <c r="AG23" i="8"/>
  <c r="AF23" i="8"/>
  <c r="AE23" i="8"/>
  <c r="AD23" i="8"/>
  <c r="AC23" i="8"/>
  <c r="AB23" i="8"/>
  <c r="Z23" i="8"/>
  <c r="O380" i="17" s="1"/>
  <c r="O486" i="17" s="1"/>
  <c r="Y23" i="8"/>
  <c r="N380" i="17" s="1"/>
  <c r="N486" i="17" s="1"/>
  <c r="X23" i="8"/>
  <c r="M380" i="17" s="1"/>
  <c r="M486" i="17" s="1"/>
  <c r="W23" i="8"/>
  <c r="N474" i="17" l="1"/>
  <c r="N376" i="17"/>
  <c r="N113" i="17"/>
  <c r="N36" i="17"/>
  <c r="M376" i="17"/>
  <c r="M474" i="17"/>
  <c r="M36" i="17"/>
  <c r="M113" i="17"/>
  <c r="M375" i="17"/>
  <c r="N375" i="17"/>
  <c r="O332" i="17"/>
  <c r="O333" i="17" s="1"/>
  <c r="O336" i="17" s="1"/>
  <c r="O337" i="17" s="1"/>
  <c r="M76" i="17"/>
  <c r="M384" i="17"/>
  <c r="M74" i="17"/>
  <c r="O376" i="17"/>
  <c r="O474" i="17"/>
  <c r="O375" i="17"/>
  <c r="M377" i="17"/>
  <c r="M271" i="17" s="1"/>
  <c r="N76" i="17"/>
  <c r="N384" i="17"/>
  <c r="N74" i="17"/>
  <c r="Z379" i="17"/>
  <c r="O377" i="17"/>
  <c r="O271" i="17" s="1"/>
  <c r="N377" i="17"/>
  <c r="N271" i="17" s="1"/>
  <c r="O74" i="17"/>
  <c r="O76" i="17"/>
  <c r="O384" i="17"/>
  <c r="Q530" i="23"/>
  <c r="R525" i="23"/>
  <c r="P199" i="25"/>
  <c r="Q199" i="25" s="1"/>
  <c r="R199" i="25" s="1"/>
  <c r="S199" i="25" s="1"/>
  <c r="T199" i="25" s="1"/>
  <c r="U199" i="25" s="1"/>
  <c r="V199" i="25" s="1"/>
  <c r="W199" i="25" s="1"/>
  <c r="X199" i="25" s="1"/>
  <c r="Y199" i="25" s="1"/>
  <c r="Z199" i="25" s="1"/>
  <c r="L199" i="24"/>
  <c r="L200" i="24" s="1"/>
  <c r="L46" i="24" s="1"/>
  <c r="P199" i="24"/>
  <c r="Q199" i="24" s="1"/>
  <c r="R199" i="24" s="1"/>
  <c r="S199" i="24" s="1"/>
  <c r="T199" i="24" s="1"/>
  <c r="U199" i="24" s="1"/>
  <c r="V199" i="24" s="1"/>
  <c r="W199" i="24" s="1"/>
  <c r="X199" i="24" s="1"/>
  <c r="Y199" i="24" s="1"/>
  <c r="Z199" i="24" s="1"/>
  <c r="R525" i="24"/>
  <c r="Q530" i="24"/>
  <c r="Q256" i="24" s="1"/>
  <c r="L46" i="25"/>
  <c r="L41" i="25"/>
  <c r="L39" i="25"/>
  <c r="L130" i="25" s="1"/>
  <c r="P39" i="25"/>
  <c r="P130" i="25" s="1"/>
  <c r="P41" i="25"/>
  <c r="L53" i="25"/>
  <c r="L50" i="25"/>
  <c r="L49" i="25"/>
  <c r="L52" i="25" s="1"/>
  <c r="P39" i="24"/>
  <c r="P130" i="24" s="1"/>
  <c r="P41" i="24"/>
  <c r="L53" i="24"/>
  <c r="L50" i="24"/>
  <c r="L49" i="24"/>
  <c r="L52" i="24" s="1"/>
  <c r="Q530" i="25"/>
  <c r="Q256" i="25" s="1"/>
  <c r="Q257" i="25" s="1"/>
  <c r="R525" i="25"/>
  <c r="P53" i="25"/>
  <c r="P49" i="25"/>
  <c r="P52" i="25" s="1"/>
  <c r="P50" i="25"/>
  <c r="P53" i="24"/>
  <c r="P50" i="24"/>
  <c r="P49" i="24"/>
  <c r="P52" i="24" s="1"/>
  <c r="L41" i="24"/>
  <c r="L39" i="24"/>
  <c r="L130" i="24" s="1"/>
  <c r="P259" i="25"/>
  <c r="O199" i="25"/>
  <c r="O200" i="25" s="1"/>
  <c r="O46" i="25" s="1"/>
  <c r="O39" i="25"/>
  <c r="O130" i="25" s="1"/>
  <c r="O41" i="25"/>
  <c r="O46" i="24"/>
  <c r="O39" i="24"/>
  <c r="O130" i="24" s="1"/>
  <c r="O41" i="24"/>
  <c r="O53" i="25"/>
  <c r="O50" i="25"/>
  <c r="O49" i="25"/>
  <c r="O52" i="25" s="1"/>
  <c r="O53" i="24"/>
  <c r="O50" i="24"/>
  <c r="O49" i="24"/>
  <c r="O52" i="24" s="1"/>
  <c r="N53" i="24"/>
  <c r="N49" i="24"/>
  <c r="N52" i="24" s="1"/>
  <c r="N50" i="24"/>
  <c r="N46" i="24"/>
  <c r="N41" i="24"/>
  <c r="N39" i="24"/>
  <c r="N130" i="24" s="1"/>
  <c r="N53" i="25"/>
  <c r="N50" i="25"/>
  <c r="N49" i="25"/>
  <c r="N52" i="25" s="1"/>
  <c r="N46" i="25"/>
  <c r="N39" i="25"/>
  <c r="N130" i="25" s="1"/>
  <c r="N41" i="25"/>
  <c r="M46" i="24"/>
  <c r="M41" i="24"/>
  <c r="M39" i="24"/>
  <c r="M130" i="24" s="1"/>
  <c r="M49" i="25"/>
  <c r="M52" i="25" s="1"/>
  <c r="M50" i="25"/>
  <c r="M53" i="24"/>
  <c r="M50" i="24"/>
  <c r="M49" i="24"/>
  <c r="M52" i="24" s="1"/>
  <c r="M53" i="25"/>
  <c r="M199" i="25"/>
  <c r="M200" i="25" s="1"/>
  <c r="M46" i="25" s="1"/>
  <c r="M41" i="25"/>
  <c r="M39" i="25"/>
  <c r="M130" i="25" s="1"/>
  <c r="I60" i="24"/>
  <c r="X262" i="23"/>
  <c r="X265" i="23" s="1"/>
  <c r="X268" i="23" s="1"/>
  <c r="Y190" i="23"/>
  <c r="Y537" i="23" s="1"/>
  <c r="K394" i="24"/>
  <c r="K63" i="24" s="1"/>
  <c r="K65" i="24" s="1"/>
  <c r="M394" i="23"/>
  <c r="K63" i="25"/>
  <c r="K65" i="25" s="1"/>
  <c r="J396" i="24"/>
  <c r="J397" i="24" s="1"/>
  <c r="J56" i="24" s="1"/>
  <c r="J58" i="24" s="1"/>
  <c r="J63" i="24"/>
  <c r="J65" i="24" s="1"/>
  <c r="K397" i="25"/>
  <c r="K56" i="25" s="1"/>
  <c r="K58" i="25" s="1"/>
  <c r="K61" i="25" s="1"/>
  <c r="L393" i="24"/>
  <c r="M406" i="24"/>
  <c r="L392" i="24"/>
  <c r="K396" i="24"/>
  <c r="K397" i="24" s="1"/>
  <c r="K56" i="24" s="1"/>
  <c r="K58" i="24" s="1"/>
  <c r="P375" i="17"/>
  <c r="P74" i="17"/>
  <c r="P76" i="17"/>
  <c r="P384" i="17"/>
  <c r="P332" i="17"/>
  <c r="P333" i="17" s="1"/>
  <c r="P336" i="17" s="1"/>
  <c r="P337" i="17" s="1"/>
  <c r="P377" i="17"/>
  <c r="P271" i="17" s="1"/>
  <c r="P376" i="17"/>
  <c r="P474" i="17"/>
  <c r="Y202" i="25"/>
  <c r="Z202" i="25" s="1"/>
  <c r="X471" i="23"/>
  <c r="Y471" i="24"/>
  <c r="Z471" i="24" s="1"/>
  <c r="X449" i="23"/>
  <c r="X517" i="23" s="1"/>
  <c r="X202" i="23"/>
  <c r="X471" i="25"/>
  <c r="X515" i="25"/>
  <c r="X410" i="25"/>
  <c r="Y410" i="25" s="1"/>
  <c r="W124" i="25"/>
  <c r="W454" i="25"/>
  <c r="W119" i="25" s="1"/>
  <c r="X258" i="23"/>
  <c r="X449" i="25"/>
  <c r="X517" i="25" s="1"/>
  <c r="W205" i="25"/>
  <c r="X205" i="25" s="1"/>
  <c r="Y193" i="25"/>
  <c r="Y272" i="25" s="1"/>
  <c r="W450" i="23"/>
  <c r="W126" i="23" s="1"/>
  <c r="W454" i="23"/>
  <c r="W119" i="23" s="1"/>
  <c r="Z105" i="25"/>
  <c r="Y487" i="25"/>
  <c r="X414" i="25"/>
  <c r="X125" i="25" s="1"/>
  <c r="Z487" i="25"/>
  <c r="W450" i="25"/>
  <c r="W126" i="25" s="1"/>
  <c r="V179" i="23"/>
  <c r="V92" i="23" s="1"/>
  <c r="Z529" i="25"/>
  <c r="Z528" i="25"/>
  <c r="Y203" i="25"/>
  <c r="Z526" i="25"/>
  <c r="Z527" i="25"/>
  <c r="V350" i="25"/>
  <c r="Z313" i="25"/>
  <c r="Y515" i="25"/>
  <c r="Z409" i="25"/>
  <c r="Z439" i="25"/>
  <c r="Z107" i="25" s="1"/>
  <c r="Y107" i="25"/>
  <c r="Y169" i="25"/>
  <c r="X170" i="25"/>
  <c r="X173" i="25" s="1"/>
  <c r="Y187" i="25"/>
  <c r="Z187" i="25" s="1"/>
  <c r="Z75" i="25"/>
  <c r="T179" i="25"/>
  <c r="V177" i="25"/>
  <c r="U178" i="25"/>
  <c r="U476" i="25"/>
  <c r="Y516" i="25"/>
  <c r="Z413" i="25"/>
  <c r="Z424" i="25"/>
  <c r="V182" i="25"/>
  <c r="Y218" i="25"/>
  <c r="Y114" i="25" s="1"/>
  <c r="Z418" i="25"/>
  <c r="Z420" i="25" s="1"/>
  <c r="Z216" i="25"/>
  <c r="Z218" i="25" s="1"/>
  <c r="Z114" i="25" s="1"/>
  <c r="Z483" i="25"/>
  <c r="Y470" i="25"/>
  <c r="Z468" i="25"/>
  <c r="Z470" i="25" s="1"/>
  <c r="Z508" i="25"/>
  <c r="Z290" i="25"/>
  <c r="Y139" i="25"/>
  <c r="Z139" i="25" s="1"/>
  <c r="M392" i="25"/>
  <c r="N406" i="25"/>
  <c r="M393" i="25"/>
  <c r="X453" i="25"/>
  <c r="X147" i="25"/>
  <c r="X150" i="25" s="1"/>
  <c r="Y145" i="25"/>
  <c r="Y154" i="25"/>
  <c r="Z118" i="25"/>
  <c r="W73" i="25"/>
  <c r="W442" i="25" s="1"/>
  <c r="S92" i="25"/>
  <c r="X477" i="25"/>
  <c r="Y160" i="25"/>
  <c r="X161" i="25"/>
  <c r="X165" i="25" s="1"/>
  <c r="X91" i="25"/>
  <c r="U357" i="25"/>
  <c r="U344" i="25"/>
  <c r="U366" i="25"/>
  <c r="U388" i="25"/>
  <c r="X475" i="25"/>
  <c r="X89" i="25"/>
  <c r="Y146" i="25"/>
  <c r="T76" i="25"/>
  <c r="Y444" i="25"/>
  <c r="X352" i="25"/>
  <c r="X385" i="25"/>
  <c r="X391" i="25"/>
  <c r="Y384" i="25"/>
  <c r="L394" i="25"/>
  <c r="Y186" i="25"/>
  <c r="Z186" i="25" s="1"/>
  <c r="Z519" i="25"/>
  <c r="Z465" i="25"/>
  <c r="Z120" i="25" s="1"/>
  <c r="Z332" i="25"/>
  <c r="Y123" i="25"/>
  <c r="Y333" i="25"/>
  <c r="Y514" i="25"/>
  <c r="X507" i="25"/>
  <c r="Y537" i="25"/>
  <c r="Y262" i="25"/>
  <c r="Z190" i="25"/>
  <c r="X494" i="25"/>
  <c r="X502" i="25" s="1"/>
  <c r="V204" i="24"/>
  <c r="Y529" i="24"/>
  <c r="Y100" i="23"/>
  <c r="W100" i="24"/>
  <c r="Z432" i="24"/>
  <c r="Z487" i="24" s="1"/>
  <c r="V350" i="24"/>
  <c r="Y118" i="24"/>
  <c r="Z382" i="24"/>
  <c r="Y384" i="24"/>
  <c r="X272" i="24"/>
  <c r="Y193" i="24"/>
  <c r="W73" i="24"/>
  <c r="W442" i="24" s="1"/>
  <c r="X202" i="24"/>
  <c r="Z427" i="24"/>
  <c r="Z219" i="24"/>
  <c r="Y483" i="24"/>
  <c r="X475" i="24"/>
  <c r="Y146" i="24"/>
  <c r="X89" i="24"/>
  <c r="W205" i="24"/>
  <c r="Y419" i="24"/>
  <c r="Y217" i="24"/>
  <c r="Y26" i="24"/>
  <c r="Z25" i="24"/>
  <c r="Z26" i="24" s="1"/>
  <c r="W507" i="24"/>
  <c r="Y313" i="24"/>
  <c r="Z432" i="23"/>
  <c r="Z487" i="23" s="1"/>
  <c r="Y528" i="24"/>
  <c r="Z465" i="24"/>
  <c r="Z120" i="24" s="1"/>
  <c r="Z519" i="24"/>
  <c r="X218" i="24"/>
  <c r="X114" i="24" s="1"/>
  <c r="Y188" i="24"/>
  <c r="Z188" i="24" s="1"/>
  <c r="Y487" i="24"/>
  <c r="Y105" i="24"/>
  <c r="X515" i="24"/>
  <c r="X449" i="24"/>
  <c r="X517" i="24" s="1"/>
  <c r="X410" i="24"/>
  <c r="Y409" i="24"/>
  <c r="X516" i="24"/>
  <c r="X414" i="24"/>
  <c r="X125" i="24" s="1"/>
  <c r="Y413" i="24"/>
  <c r="X537" i="24"/>
  <c r="X262" i="24"/>
  <c r="Y190" i="24"/>
  <c r="W454" i="24"/>
  <c r="W119" i="24" s="1"/>
  <c r="W453" i="24"/>
  <c r="X145" i="24"/>
  <c r="W147" i="24"/>
  <c r="W150" i="24" s="1"/>
  <c r="X203" i="24"/>
  <c r="Y418" i="24"/>
  <c r="Y216" i="24"/>
  <c r="X420" i="24"/>
  <c r="Y424" i="24"/>
  <c r="Y526" i="24"/>
  <c r="Z75" i="24"/>
  <c r="Y332" i="24"/>
  <c r="X123" i="24"/>
  <c r="X333" i="24"/>
  <c r="X514" i="24"/>
  <c r="Y527" i="24"/>
  <c r="X494" i="24"/>
  <c r="X502" i="24" s="1"/>
  <c r="Z510" i="24"/>
  <c r="Z460" i="24"/>
  <c r="U182" i="24"/>
  <c r="Z290" i="24"/>
  <c r="T92" i="24"/>
  <c r="Y169" i="24"/>
  <c r="X170" i="24"/>
  <c r="X173" i="24" s="1"/>
  <c r="X477" i="24"/>
  <c r="Y160" i="24"/>
  <c r="X161" i="24"/>
  <c r="X165" i="24" s="1"/>
  <c r="X91" i="24"/>
  <c r="U366" i="24"/>
  <c r="U344" i="24"/>
  <c r="U388" i="24"/>
  <c r="U357" i="24"/>
  <c r="X385" i="24"/>
  <c r="X391" i="24"/>
  <c r="Y508" i="24"/>
  <c r="Z439" i="24"/>
  <c r="Z107" i="24" s="1"/>
  <c r="Y107" i="24"/>
  <c r="W450" i="24"/>
  <c r="W126" i="24" s="1"/>
  <c r="W124" i="24"/>
  <c r="V177" i="24"/>
  <c r="U178" i="24"/>
  <c r="U179" i="24" s="1"/>
  <c r="U92" i="24" s="1"/>
  <c r="U476" i="24"/>
  <c r="Y44" i="24"/>
  <c r="Z44" i="24" s="1"/>
  <c r="Y187" i="24"/>
  <c r="Z187" i="24" s="1"/>
  <c r="Y154" i="24"/>
  <c r="T76" i="24"/>
  <c r="Y444" i="24"/>
  <c r="X352" i="24"/>
  <c r="Y527" i="23"/>
  <c r="Y526" i="23"/>
  <c r="Y528" i="23"/>
  <c r="Y529" i="23"/>
  <c r="X203" i="23"/>
  <c r="W476" i="23"/>
  <c r="X154" i="23"/>
  <c r="T76" i="23"/>
  <c r="X507" i="23"/>
  <c r="Y315" i="23"/>
  <c r="Y316" i="23" s="1"/>
  <c r="Z313" i="23"/>
  <c r="Z315" i="23" s="1"/>
  <c r="Z316" i="23" s="1"/>
  <c r="Z439" i="23"/>
  <c r="Z107" i="23" s="1"/>
  <c r="Y107" i="23"/>
  <c r="L61" i="23"/>
  <c r="L60" i="23"/>
  <c r="U182" i="23"/>
  <c r="X188" i="23"/>
  <c r="X494" i="23"/>
  <c r="X502" i="23" s="1"/>
  <c r="Z290" i="23"/>
  <c r="W475" i="23"/>
  <c r="X146" i="23"/>
  <c r="X147" i="23" s="1"/>
  <c r="X150" i="23" s="1"/>
  <c r="W89" i="23"/>
  <c r="Z332" i="23"/>
  <c r="Y333" i="23"/>
  <c r="Y123" i="23"/>
  <c r="Y514" i="23"/>
  <c r="X323" i="23"/>
  <c r="Y196" i="23"/>
  <c r="Y516" i="23"/>
  <c r="Z413" i="23"/>
  <c r="Y414" i="23"/>
  <c r="Y125" i="23" s="1"/>
  <c r="Z510" i="23"/>
  <c r="Z460" i="23"/>
  <c r="X477" i="23"/>
  <c r="Y160" i="23"/>
  <c r="X161" i="23"/>
  <c r="X165" i="23" s="1"/>
  <c r="X91" i="23"/>
  <c r="X257" i="23"/>
  <c r="Y444" i="23"/>
  <c r="X352" i="23"/>
  <c r="Y302" i="23"/>
  <c r="Z301" i="23"/>
  <c r="Y515" i="23"/>
  <c r="Z409" i="23"/>
  <c r="Y410" i="23"/>
  <c r="Y267" i="23"/>
  <c r="Y272" i="23"/>
  <c r="Z193" i="23"/>
  <c r="Z272" i="23" s="1"/>
  <c r="K60" i="23"/>
  <c r="K61" i="23"/>
  <c r="Z297" i="23"/>
  <c r="Z298" i="23" s="1"/>
  <c r="Y298" i="23"/>
  <c r="V350" i="23"/>
  <c r="X124" i="23"/>
  <c r="N392" i="23"/>
  <c r="O406" i="23"/>
  <c r="N393" i="23"/>
  <c r="Z508" i="23"/>
  <c r="Z218" i="23"/>
  <c r="Z114" i="23" s="1"/>
  <c r="Y487" i="23"/>
  <c r="Y105" i="23"/>
  <c r="Z519" i="23"/>
  <c r="Z465" i="23"/>
  <c r="Z120" i="23" s="1"/>
  <c r="Z25" i="23"/>
  <c r="Z26" i="23" s="1"/>
  <c r="Y26" i="23"/>
  <c r="W73" i="23"/>
  <c r="W442" i="23" s="1"/>
  <c r="X453" i="23"/>
  <c r="Y145" i="23"/>
  <c r="X177" i="23"/>
  <c r="W178" i="23"/>
  <c r="Y118" i="23"/>
  <c r="Z424" i="23"/>
  <c r="Z264" i="23"/>
  <c r="Y266" i="23"/>
  <c r="Y470" i="23"/>
  <c r="Z468" i="23"/>
  <c r="Z470" i="23" s="1"/>
  <c r="Y256" i="23"/>
  <c r="W147" i="23"/>
  <c r="W150" i="23" s="1"/>
  <c r="X139" i="23"/>
  <c r="Z309" i="23"/>
  <c r="Y310" i="23"/>
  <c r="Z75" i="23"/>
  <c r="X186" i="23"/>
  <c r="M396" i="23"/>
  <c r="M397" i="23" s="1"/>
  <c r="M56" i="23" s="1"/>
  <c r="M58" i="23" s="1"/>
  <c r="M63" i="23"/>
  <c r="M65" i="23" s="1"/>
  <c r="Z305" i="23"/>
  <c r="Y306" i="23"/>
  <c r="Z483" i="23"/>
  <c r="Z420" i="23"/>
  <c r="X385" i="23"/>
  <c r="X391" i="23"/>
  <c r="Y384" i="23"/>
  <c r="X187" i="23"/>
  <c r="W259" i="23"/>
  <c r="X169" i="23"/>
  <c r="W170" i="23"/>
  <c r="W173" i="23" s="1"/>
  <c r="Z18" i="23"/>
  <c r="Z19" i="23" s="1"/>
  <c r="Y19" i="23"/>
  <c r="Y44" i="23" s="1"/>
  <c r="Z44" i="23" s="1"/>
  <c r="Z279" i="23"/>
  <c r="Y280" i="23"/>
  <c r="W205" i="23"/>
  <c r="V204" i="23"/>
  <c r="U388" i="23"/>
  <c r="U344" i="23"/>
  <c r="U366" i="23"/>
  <c r="U357" i="23"/>
  <c r="AK30" i="8"/>
  <c r="AA30" i="8"/>
  <c r="AA7" i="8"/>
  <c r="O36" i="17" l="1"/>
  <c r="O113" i="17"/>
  <c r="N379" i="17"/>
  <c r="O350" i="17"/>
  <c r="N350" i="17"/>
  <c r="N352" i="17" s="1"/>
  <c r="N353" i="17" s="1"/>
  <c r="M350" i="17"/>
  <c r="O379" i="17"/>
  <c r="M379" i="17"/>
  <c r="Q258" i="25"/>
  <c r="Q259" i="25" s="1"/>
  <c r="P200" i="24"/>
  <c r="P46" i="24" s="1"/>
  <c r="P42" i="25"/>
  <c r="P45" i="25"/>
  <c r="P200" i="25"/>
  <c r="P46" i="25" s="1"/>
  <c r="P45" i="24"/>
  <c r="P42" i="24"/>
  <c r="L42" i="25"/>
  <c r="L45" i="25"/>
  <c r="Q258" i="24"/>
  <c r="Q257" i="24"/>
  <c r="L42" i="24"/>
  <c r="L45" i="24"/>
  <c r="S525" i="25"/>
  <c r="R530" i="25"/>
  <c r="R256" i="25" s="1"/>
  <c r="R530" i="24"/>
  <c r="R256" i="24" s="1"/>
  <c r="S525" i="24"/>
  <c r="R530" i="23"/>
  <c r="S525" i="23"/>
  <c r="O42" i="24"/>
  <c r="O45" i="24"/>
  <c r="O42" i="25"/>
  <c r="O45" i="25"/>
  <c r="N42" i="24"/>
  <c r="N45" i="24"/>
  <c r="N42" i="25"/>
  <c r="N45" i="25"/>
  <c r="M45" i="25"/>
  <c r="M42" i="25"/>
  <c r="M42" i="24"/>
  <c r="M45" i="24"/>
  <c r="Y262" i="23"/>
  <c r="Y265" i="23" s="1"/>
  <c r="Y268" i="23" s="1"/>
  <c r="Z190" i="23"/>
  <c r="Z537" i="23" s="1"/>
  <c r="K60" i="25"/>
  <c r="L394" i="24"/>
  <c r="M392" i="24"/>
  <c r="N406" i="24"/>
  <c r="M393" i="24"/>
  <c r="N394" i="23"/>
  <c r="J60" i="24"/>
  <c r="J61" i="24"/>
  <c r="K60" i="24"/>
  <c r="K61" i="24"/>
  <c r="P350" i="17"/>
  <c r="P379" i="17"/>
  <c r="P36" i="17"/>
  <c r="P113" i="17"/>
  <c r="Y471" i="23"/>
  <c r="Z471" i="23" s="1"/>
  <c r="Y202" i="23"/>
  <c r="Z202" i="23" s="1"/>
  <c r="X124" i="25"/>
  <c r="Y449" i="23"/>
  <c r="Y517" i="23" s="1"/>
  <c r="Y471" i="25"/>
  <c r="Z471" i="25" s="1"/>
  <c r="Y258" i="23"/>
  <c r="X454" i="25"/>
  <c r="X119" i="25" s="1"/>
  <c r="Z193" i="25"/>
  <c r="Z272" i="25" s="1"/>
  <c r="Y449" i="25"/>
  <c r="Y517" i="25" s="1"/>
  <c r="X454" i="23"/>
  <c r="X119" i="23" s="1"/>
  <c r="W204" i="25"/>
  <c r="W182" i="25" s="1"/>
  <c r="Y205" i="25"/>
  <c r="X450" i="23"/>
  <c r="X126" i="23" s="1"/>
  <c r="Y414" i="25"/>
  <c r="Y125" i="25" s="1"/>
  <c r="W179" i="23"/>
  <c r="W92" i="23" s="1"/>
  <c r="X450" i="25"/>
  <c r="X126" i="25" s="1"/>
  <c r="Z203" i="25"/>
  <c r="Z105" i="24"/>
  <c r="X100" i="24"/>
  <c r="Z100" i="25"/>
  <c r="W204" i="24"/>
  <c r="W350" i="25"/>
  <c r="Z333" i="25"/>
  <c r="Z123" i="25"/>
  <c r="Z514" i="25"/>
  <c r="Y100" i="25"/>
  <c r="Z516" i="25"/>
  <c r="T92" i="25"/>
  <c r="Z494" i="25"/>
  <c r="Z502" i="25" s="1"/>
  <c r="Y124" i="25"/>
  <c r="U76" i="25"/>
  <c r="U179" i="25"/>
  <c r="Z537" i="25"/>
  <c r="Z262" i="25"/>
  <c r="L396" i="25"/>
  <c r="L397" i="25" s="1"/>
  <c r="L56" i="25" s="1"/>
  <c r="L58" i="25" s="1"/>
  <c r="L63" i="25"/>
  <c r="L65" i="25" s="1"/>
  <c r="X73" i="25"/>
  <c r="X442" i="25" s="1"/>
  <c r="N392" i="25"/>
  <c r="N393" i="25"/>
  <c r="O406" i="25"/>
  <c r="W177" i="25"/>
  <c r="V178" i="25"/>
  <c r="V476" i="25"/>
  <c r="Y477" i="25"/>
  <c r="Z160" i="25"/>
  <c r="Y161" i="25"/>
  <c r="Y165" i="25" s="1"/>
  <c r="Y91" i="25"/>
  <c r="Z154" i="25"/>
  <c r="Y203" i="24"/>
  <c r="Z203" i="24" s="1"/>
  <c r="Y453" i="25"/>
  <c r="Z145" i="25"/>
  <c r="Y147" i="25"/>
  <c r="Y150" i="25" s="1"/>
  <c r="M394" i="25"/>
  <c r="Z515" i="25"/>
  <c r="Z410" i="25"/>
  <c r="Y507" i="25"/>
  <c r="Y385" i="25"/>
  <c r="Y391" i="25"/>
  <c r="Z384" i="25"/>
  <c r="Z444" i="25"/>
  <c r="Y352" i="25"/>
  <c r="Y475" i="25"/>
  <c r="Z146" i="25"/>
  <c r="Y89" i="25"/>
  <c r="Z169" i="25"/>
  <c r="Z170" i="25" s="1"/>
  <c r="Z173" i="25" s="1"/>
  <c r="Y170" i="25"/>
  <c r="Y173" i="25" s="1"/>
  <c r="V357" i="25"/>
  <c r="V366" i="25"/>
  <c r="V388" i="25"/>
  <c r="V344" i="25"/>
  <c r="Y494" i="25"/>
  <c r="Y502" i="25" s="1"/>
  <c r="Z310" i="23"/>
  <c r="Z527" i="24"/>
  <c r="Z526" i="24"/>
  <c r="Z528" i="24"/>
  <c r="Z529" i="24"/>
  <c r="Z384" i="24"/>
  <c r="Z385" i="24" s="1"/>
  <c r="W350" i="24"/>
  <c r="Y477" i="24"/>
  <c r="Z160" i="24"/>
  <c r="Y91" i="24"/>
  <c r="Y161" i="24"/>
  <c r="Y165" i="24" s="1"/>
  <c r="V182" i="24"/>
  <c r="V366" i="24"/>
  <c r="V344" i="24"/>
  <c r="V357" i="24"/>
  <c r="V388" i="24"/>
  <c r="Z105" i="23"/>
  <c r="Z444" i="24"/>
  <c r="Y352" i="24"/>
  <c r="Z494" i="24"/>
  <c r="Z502" i="24" s="1"/>
  <c r="X73" i="24"/>
  <c r="X442" i="24" s="1"/>
  <c r="Y218" i="24"/>
  <c r="Y114" i="24" s="1"/>
  <c r="Y475" i="24"/>
  <c r="Z146" i="24"/>
  <c r="Y89" i="24"/>
  <c r="Z508" i="24"/>
  <c r="Y272" i="24"/>
  <c r="Z193" i="24"/>
  <c r="Z272" i="24" s="1"/>
  <c r="Y385" i="24"/>
  <c r="Y391" i="24"/>
  <c r="Y494" i="24"/>
  <c r="Y502" i="24" s="1"/>
  <c r="Z118" i="24"/>
  <c r="Z418" i="24"/>
  <c r="Z216" i="24"/>
  <c r="Y420" i="24"/>
  <c r="Y515" i="24"/>
  <c r="Y449" i="24"/>
  <c r="Y517" i="24" s="1"/>
  <c r="Y410" i="24"/>
  <c r="Z409" i="24"/>
  <c r="Y516" i="24"/>
  <c r="Y414" i="24"/>
  <c r="Y125" i="24" s="1"/>
  <c r="Z413" i="24"/>
  <c r="W177" i="24"/>
  <c r="V178" i="24"/>
  <c r="V179" i="24" s="1"/>
  <c r="V476" i="24"/>
  <c r="X507" i="24"/>
  <c r="X450" i="24"/>
  <c r="X126" i="24" s="1"/>
  <c r="X124" i="24"/>
  <c r="Z313" i="24"/>
  <c r="Z419" i="24"/>
  <c r="Z217" i="24"/>
  <c r="Z483" i="24"/>
  <c r="U76" i="24"/>
  <c r="X454" i="24"/>
  <c r="X119" i="24" s="1"/>
  <c r="X453" i="24"/>
  <c r="Y145" i="24"/>
  <c r="X147" i="24"/>
  <c r="X150" i="24" s="1"/>
  <c r="X205" i="24"/>
  <c r="Y202" i="24"/>
  <c r="Z202" i="24" s="1"/>
  <c r="Z424" i="24"/>
  <c r="Y537" i="24"/>
  <c r="Y262" i="24"/>
  <c r="Z190" i="24"/>
  <c r="Z154" i="24"/>
  <c r="Z169" i="24"/>
  <c r="Z170" i="24" s="1"/>
  <c r="Z173" i="24" s="1"/>
  <c r="Y170" i="24"/>
  <c r="Y173" i="24" s="1"/>
  <c r="Z332" i="24"/>
  <c r="Y333" i="24"/>
  <c r="Y123" i="24"/>
  <c r="Y514" i="24"/>
  <c r="Z526" i="23"/>
  <c r="Z100" i="23"/>
  <c r="W204" i="23"/>
  <c r="Z280" i="23"/>
  <c r="X205" i="23"/>
  <c r="Z529" i="23"/>
  <c r="Z527" i="23"/>
  <c r="Z302" i="23"/>
  <c r="Z266" i="23"/>
  <c r="M61" i="23"/>
  <c r="M60" i="23"/>
  <c r="Z494" i="23"/>
  <c r="Z502" i="23" s="1"/>
  <c r="Z306" i="23"/>
  <c r="Y124" i="23"/>
  <c r="Z118" i="23"/>
  <c r="X475" i="23"/>
  <c r="X89" i="23"/>
  <c r="Y146" i="23"/>
  <c r="Y147" i="23" s="1"/>
  <c r="Y150" i="23" s="1"/>
  <c r="X476" i="23"/>
  <c r="Y154" i="23"/>
  <c r="O392" i="23"/>
  <c r="O393" i="23"/>
  <c r="P406" i="23"/>
  <c r="U76" i="23"/>
  <c r="N396" i="23"/>
  <c r="N397" i="23" s="1"/>
  <c r="N56" i="23" s="1"/>
  <c r="N58" i="23" s="1"/>
  <c r="N63" i="23"/>
  <c r="N65" i="23" s="1"/>
  <c r="Y257" i="23"/>
  <c r="Y323" i="23"/>
  <c r="Z196" i="23"/>
  <c r="Y507" i="23"/>
  <c r="X73" i="23"/>
  <c r="X442" i="23" s="1"/>
  <c r="Z123" i="23"/>
  <c r="Z333" i="23"/>
  <c r="Z514" i="23"/>
  <c r="Z515" i="23"/>
  <c r="Z410" i="23"/>
  <c r="X259" i="23"/>
  <c r="Z516" i="23"/>
  <c r="Z414" i="23"/>
  <c r="Z125" i="23" s="1"/>
  <c r="Y187" i="23"/>
  <c r="Z187" i="23" s="1"/>
  <c r="Y186" i="23"/>
  <c r="Z186" i="23" s="1"/>
  <c r="Z256" i="23"/>
  <c r="Y203" i="23"/>
  <c r="Z203" i="23" s="1"/>
  <c r="Y177" i="23"/>
  <c r="X178" i="23"/>
  <c r="Y385" i="23"/>
  <c r="Y391" i="23"/>
  <c r="Z384" i="23"/>
  <c r="Y453" i="23"/>
  <c r="Z145" i="23"/>
  <c r="V388" i="23"/>
  <c r="V357" i="23"/>
  <c r="V366" i="23"/>
  <c r="V344" i="23"/>
  <c r="Y477" i="23"/>
  <c r="Z160" i="23"/>
  <c r="Y161" i="23"/>
  <c r="Y165" i="23" s="1"/>
  <c r="Y91" i="23"/>
  <c r="Y188" i="23"/>
  <c r="Z188" i="23" s="1"/>
  <c r="Z528" i="23"/>
  <c r="W350" i="23"/>
  <c r="Y494" i="23"/>
  <c r="Y502" i="23" s="1"/>
  <c r="Z444" i="23"/>
  <c r="Y352" i="23"/>
  <c r="Y169" i="23"/>
  <c r="X170" i="23"/>
  <c r="X173" i="23" s="1"/>
  <c r="Y139" i="23"/>
  <c r="Z139" i="23" s="1"/>
  <c r="Z267" i="23"/>
  <c r="V182" i="23"/>
  <c r="M352" i="17" l="1"/>
  <c r="M353" i="17" s="1"/>
  <c r="O352" i="17"/>
  <c r="O353" i="17" s="1"/>
  <c r="R258" i="24"/>
  <c r="S530" i="24"/>
  <c r="S256" i="24" s="1"/>
  <c r="T525" i="24"/>
  <c r="S530" i="25"/>
  <c r="S256" i="25" s="1"/>
  <c r="T525" i="25"/>
  <c r="R257" i="25"/>
  <c r="R258" i="25"/>
  <c r="T525" i="23"/>
  <c r="S530" i="23"/>
  <c r="Q259" i="24"/>
  <c r="R257" i="24"/>
  <c r="Z262" i="23"/>
  <c r="Z265" i="23" s="1"/>
  <c r="Z268" i="23" s="1"/>
  <c r="M394" i="24"/>
  <c r="M396" i="24" s="1"/>
  <c r="M397" i="24" s="1"/>
  <c r="M56" i="24" s="1"/>
  <c r="M58" i="24" s="1"/>
  <c r="O394" i="23"/>
  <c r="N392" i="24"/>
  <c r="N393" i="24"/>
  <c r="O406" i="24"/>
  <c r="L63" i="24"/>
  <c r="L65" i="24" s="1"/>
  <c r="L396" i="24"/>
  <c r="L397" i="24" s="1"/>
  <c r="L56" i="24" s="1"/>
  <c r="L58" i="24" s="1"/>
  <c r="P352" i="17"/>
  <c r="P353" i="17" s="1"/>
  <c r="Z449" i="23"/>
  <c r="Z517" i="23" s="1"/>
  <c r="Y259" i="23"/>
  <c r="Y454" i="25"/>
  <c r="Y119" i="25" s="1"/>
  <c r="Z449" i="25"/>
  <c r="Z517" i="25" s="1"/>
  <c r="Y454" i="23"/>
  <c r="Y119" i="23" s="1"/>
  <c r="Z205" i="25"/>
  <c r="X204" i="25"/>
  <c r="Y204" i="25" s="1"/>
  <c r="Z414" i="25"/>
  <c r="Z125" i="25" s="1"/>
  <c r="Y450" i="23"/>
  <c r="Y126" i="23" s="1"/>
  <c r="X179" i="23"/>
  <c r="X92" i="23" s="1"/>
  <c r="Y450" i="25"/>
  <c r="Y126" i="25" s="1"/>
  <c r="Y205" i="24"/>
  <c r="Z205" i="24" s="1"/>
  <c r="L61" i="25"/>
  <c r="L60" i="25"/>
  <c r="Z352" i="25"/>
  <c r="Z124" i="25"/>
  <c r="Z453" i="25"/>
  <c r="Z147" i="25"/>
  <c r="Z150" i="25" s="1"/>
  <c r="Y73" i="25"/>
  <c r="Y442" i="25" s="1"/>
  <c r="U92" i="25"/>
  <c r="Z385" i="25"/>
  <c r="Z391" i="25"/>
  <c r="Z477" i="25"/>
  <c r="Z161" i="25"/>
  <c r="Z165" i="25" s="1"/>
  <c r="Z91" i="25"/>
  <c r="X177" i="25"/>
  <c r="W178" i="25"/>
  <c r="W476" i="25"/>
  <c r="O392" i="25"/>
  <c r="O393" i="25"/>
  <c r="P406" i="25"/>
  <c r="V76" i="25"/>
  <c r="M396" i="25"/>
  <c r="M397" i="25" s="1"/>
  <c r="M56" i="25" s="1"/>
  <c r="M58" i="25" s="1"/>
  <c r="M63" i="25"/>
  <c r="M65" i="25" s="1"/>
  <c r="N394" i="25"/>
  <c r="Y100" i="24"/>
  <c r="Z475" i="25"/>
  <c r="Z89" i="25"/>
  <c r="V179" i="25"/>
  <c r="X350" i="25"/>
  <c r="Z507" i="25"/>
  <c r="W366" i="25"/>
  <c r="W388" i="25"/>
  <c r="W344" i="25"/>
  <c r="W357" i="25"/>
  <c r="X204" i="24"/>
  <c r="Z391" i="24"/>
  <c r="X204" i="23"/>
  <c r="Z420" i="24"/>
  <c r="Z218" i="24"/>
  <c r="Z114" i="24" s="1"/>
  <c r="Z515" i="24"/>
  <c r="Z449" i="24"/>
  <c r="Z517" i="24" s="1"/>
  <c r="Z410" i="24"/>
  <c r="Y450" i="24"/>
  <c r="Y126" i="24" s="1"/>
  <c r="Y124" i="24"/>
  <c r="Z352" i="24"/>
  <c r="Z477" i="24"/>
  <c r="Z161" i="24"/>
  <c r="Z165" i="24" s="1"/>
  <c r="Z91" i="24"/>
  <c r="Y454" i="24"/>
  <c r="Y119" i="24" s="1"/>
  <c r="Y453" i="24"/>
  <c r="Y147" i="24"/>
  <c r="Y150" i="24" s="1"/>
  <c r="Z145" i="24"/>
  <c r="Z73" i="24"/>
  <c r="Z442" i="24" s="1"/>
  <c r="Z475" i="24"/>
  <c r="Z89" i="24"/>
  <c r="W388" i="24"/>
  <c r="W366" i="24"/>
  <c r="W357" i="24"/>
  <c r="W344" i="24"/>
  <c r="Z516" i="24"/>
  <c r="Z414" i="24"/>
  <c r="Z125" i="24" s="1"/>
  <c r="W182" i="24"/>
  <c r="Y507" i="24"/>
  <c r="Z537" i="24"/>
  <c r="Z262" i="24"/>
  <c r="V92" i="24"/>
  <c r="Z123" i="24"/>
  <c r="Z333" i="24"/>
  <c r="Z514" i="24"/>
  <c r="X177" i="24"/>
  <c r="W178" i="24"/>
  <c r="W179" i="24" s="1"/>
  <c r="W92" i="24" s="1"/>
  <c r="W476" i="24"/>
  <c r="Y73" i="24"/>
  <c r="Y442" i="24" s="1"/>
  <c r="X350" i="24"/>
  <c r="V76" i="24"/>
  <c r="Z323" i="23"/>
  <c r="X350" i="23"/>
  <c r="N61" i="23"/>
  <c r="N60" i="23"/>
  <c r="Z477" i="23"/>
  <c r="Z161" i="23"/>
  <c r="Z165" i="23" s="1"/>
  <c r="Z91" i="23"/>
  <c r="P392" i="23"/>
  <c r="Q406" i="23"/>
  <c r="P393" i="23"/>
  <c r="Q393" i="23" s="1"/>
  <c r="R393" i="23" s="1"/>
  <c r="S393" i="23" s="1"/>
  <c r="T393" i="23" s="1"/>
  <c r="U393" i="23" s="1"/>
  <c r="V393" i="23" s="1"/>
  <c r="W393" i="23" s="1"/>
  <c r="X393" i="23" s="1"/>
  <c r="Y393" i="23" s="1"/>
  <c r="Z393" i="23" s="1"/>
  <c r="W357" i="23"/>
  <c r="W344" i="23"/>
  <c r="W388" i="23"/>
  <c r="W366" i="23"/>
  <c r="Y73" i="23"/>
  <c r="Y442" i="23" s="1"/>
  <c r="Z258" i="23"/>
  <c r="V76" i="23"/>
  <c r="Z352" i="23"/>
  <c r="Z453" i="23"/>
  <c r="Z177" i="23"/>
  <c r="Z178" i="23" s="1"/>
  <c r="Y178" i="23"/>
  <c r="Z257" i="23"/>
  <c r="Z124" i="23"/>
  <c r="Y476" i="23"/>
  <c r="Z154" i="23"/>
  <c r="Y205" i="23"/>
  <c r="O396" i="23"/>
  <c r="O397" i="23" s="1"/>
  <c r="O56" i="23" s="1"/>
  <c r="O58" i="23" s="1"/>
  <c r="O63" i="23"/>
  <c r="O65" i="23" s="1"/>
  <c r="Z385" i="23"/>
  <c r="Z391" i="23"/>
  <c r="W182" i="23"/>
  <c r="Y475" i="23"/>
  <c r="Y89" i="23"/>
  <c r="Z146" i="23"/>
  <c r="Z147" i="23" s="1"/>
  <c r="Z150" i="23" s="1"/>
  <c r="Z507" i="23"/>
  <c r="Z169" i="23"/>
  <c r="Z170" i="23" s="1"/>
  <c r="Z173" i="23" s="1"/>
  <c r="Y170" i="23"/>
  <c r="Y173" i="23" s="1"/>
  <c r="P11" i="16"/>
  <c r="P13" i="16"/>
  <c r="P16" i="16"/>
  <c r="P18" i="16"/>
  <c r="P21" i="16"/>
  <c r="P23" i="16"/>
  <c r="P24" i="16"/>
  <c r="P25" i="16"/>
  <c r="P26" i="16"/>
  <c r="P28" i="16"/>
  <c r="P30" i="16"/>
  <c r="I7" i="6"/>
  <c r="I84" i="6" s="1"/>
  <c r="AK280" i="5"/>
  <c r="AK281" i="5"/>
  <c r="AK282" i="5"/>
  <c r="AK283" i="5"/>
  <c r="AK284" i="5"/>
  <c r="AK285" i="5"/>
  <c r="AK286" i="5"/>
  <c r="AK287" i="5"/>
  <c r="AK288" i="5"/>
  <c r="AK289" i="5"/>
  <c r="AK290" i="5"/>
  <c r="AK291" i="5"/>
  <c r="AK292" i="5"/>
  <c r="AK293" i="5"/>
  <c r="AK294" i="5"/>
  <c r="AK295" i="5"/>
  <c r="AK296" i="5"/>
  <c r="AK297" i="5"/>
  <c r="AK298" i="5"/>
  <c r="AK299" i="5"/>
  <c r="AK300" i="5"/>
  <c r="AK301" i="5"/>
  <c r="AK302" i="5"/>
  <c r="AK303" i="5"/>
  <c r="AK304" i="5"/>
  <c r="AK305" i="5"/>
  <c r="AK306" i="5"/>
  <c r="AK307" i="5"/>
  <c r="AK308" i="5"/>
  <c r="AK309" i="5"/>
  <c r="AK310" i="5"/>
  <c r="AK311" i="5"/>
  <c r="AK312" i="5"/>
  <c r="AK313" i="5"/>
  <c r="AK314" i="5"/>
  <c r="AK315" i="5"/>
  <c r="AK316" i="5"/>
  <c r="AK317" i="5"/>
  <c r="AK318" i="5"/>
  <c r="AK319" i="5"/>
  <c r="AK320" i="5"/>
  <c r="AK321" i="5"/>
  <c r="AK322" i="5"/>
  <c r="AK323" i="5"/>
  <c r="AK324" i="5"/>
  <c r="AK325" i="5"/>
  <c r="AK326" i="5"/>
  <c r="AK327" i="5"/>
  <c r="AK328" i="5"/>
  <c r="AK215" i="5"/>
  <c r="AK216" i="5"/>
  <c r="AK217" i="5"/>
  <c r="AK218" i="5"/>
  <c r="AK219" i="5"/>
  <c r="AK220" i="5"/>
  <c r="AK221" i="5"/>
  <c r="AK222" i="5"/>
  <c r="AK223" i="5"/>
  <c r="AK224" i="5"/>
  <c r="AK225" i="5"/>
  <c r="AK226" i="5"/>
  <c r="AK227" i="5"/>
  <c r="AK228" i="5"/>
  <c r="AK229" i="5"/>
  <c r="AK230" i="5"/>
  <c r="AK231" i="5"/>
  <c r="AK232" i="5"/>
  <c r="AK233" i="5"/>
  <c r="AK234" i="5"/>
  <c r="AK235" i="5"/>
  <c r="AK236" i="5"/>
  <c r="AK237" i="5"/>
  <c r="AK239" i="5"/>
  <c r="AK240" i="5"/>
  <c r="AK241" i="5"/>
  <c r="AK242" i="5"/>
  <c r="AK243" i="5"/>
  <c r="AK244" i="5"/>
  <c r="AK245" i="5"/>
  <c r="AK246" i="5"/>
  <c r="AK247" i="5"/>
  <c r="AK248" i="5"/>
  <c r="AK249" i="5"/>
  <c r="AK250" i="5"/>
  <c r="AK251" i="5"/>
  <c r="AK252" i="5"/>
  <c r="AK253" i="5"/>
  <c r="AK254" i="5"/>
  <c r="AK255" i="5"/>
  <c r="AK256" i="5"/>
  <c r="AK257" i="5"/>
  <c r="AK258" i="5"/>
  <c r="AK259" i="5"/>
  <c r="AK260" i="5"/>
  <c r="AK261" i="5"/>
  <c r="AK262" i="5"/>
  <c r="AK263" i="5"/>
  <c r="AK264" i="5"/>
  <c r="AK265" i="5"/>
  <c r="AK266" i="5"/>
  <c r="AK267" i="5"/>
  <c r="AK268" i="5"/>
  <c r="AK269" i="5"/>
  <c r="AK270" i="5"/>
  <c r="AK271" i="5"/>
  <c r="AK272" i="5"/>
  <c r="AK273" i="5"/>
  <c r="AK274" i="5"/>
  <c r="AK8" i="5"/>
  <c r="AK19" i="5" s="1"/>
  <c r="AK9" i="5"/>
  <c r="AK16" i="5"/>
  <c r="AK17" i="5"/>
  <c r="AK18" i="5"/>
  <c r="AK20" i="5"/>
  <c r="AK21" i="5"/>
  <c r="AK22" i="5"/>
  <c r="AK23" i="5"/>
  <c r="AK24" i="5"/>
  <c r="AK25" i="5"/>
  <c r="AK26" i="5"/>
  <c r="AK27" i="5"/>
  <c r="AK28" i="5"/>
  <c r="AK29" i="5"/>
  <c r="AK30" i="5"/>
  <c r="AK6" i="5" s="1"/>
  <c r="AK31" i="5"/>
  <c r="AK32" i="5"/>
  <c r="AK33" i="5"/>
  <c r="AK34" i="5"/>
  <c r="AK35" i="5"/>
  <c r="AK36" i="5"/>
  <c r="AK37" i="5"/>
  <c r="AK38" i="5"/>
  <c r="AK39" i="5"/>
  <c r="AK40" i="5"/>
  <c r="AK41" i="5"/>
  <c r="AK42" i="5"/>
  <c r="AK43" i="5"/>
  <c r="AK44" i="5"/>
  <c r="AK45" i="5"/>
  <c r="AK46" i="5"/>
  <c r="AK47" i="5"/>
  <c r="AK48" i="5"/>
  <c r="AK49" i="5"/>
  <c r="AK50" i="5"/>
  <c r="AK51" i="5"/>
  <c r="AK52" i="5"/>
  <c r="AK53" i="5"/>
  <c r="AK54" i="5"/>
  <c r="AK55" i="5"/>
  <c r="AK56" i="5"/>
  <c r="AK57" i="5"/>
  <c r="AK58" i="5"/>
  <c r="AK59" i="5"/>
  <c r="AK60" i="5"/>
  <c r="AK61" i="5"/>
  <c r="AK62" i="5"/>
  <c r="AK63" i="5"/>
  <c r="AK64" i="5"/>
  <c r="AK65" i="5"/>
  <c r="AK66" i="5"/>
  <c r="AK67" i="5"/>
  <c r="AK68" i="5"/>
  <c r="AK69" i="5"/>
  <c r="AK70" i="5"/>
  <c r="AK71" i="5"/>
  <c r="AK72" i="5"/>
  <c r="AK73" i="5"/>
  <c r="AK74" i="5"/>
  <c r="AK75" i="5"/>
  <c r="AK76" i="5"/>
  <c r="AK77" i="5"/>
  <c r="AK78" i="5"/>
  <c r="AK79" i="5"/>
  <c r="AK80" i="5"/>
  <c r="AK81" i="5"/>
  <c r="AK82" i="5"/>
  <c r="AK83" i="5"/>
  <c r="AK84" i="5"/>
  <c r="AK85" i="5"/>
  <c r="AK86" i="5"/>
  <c r="AK87" i="5"/>
  <c r="AK88" i="5"/>
  <c r="AK89" i="5"/>
  <c r="AK90" i="5"/>
  <c r="AK91" i="5"/>
  <c r="AK92" i="5"/>
  <c r="AK93" i="5"/>
  <c r="AK94" i="5"/>
  <c r="AK95" i="5"/>
  <c r="AK96" i="5"/>
  <c r="AK97" i="5"/>
  <c r="AK98" i="5"/>
  <c r="AK99" i="5"/>
  <c r="AK100" i="5"/>
  <c r="AK101" i="5"/>
  <c r="AK102" i="5"/>
  <c r="AK103" i="5"/>
  <c r="AK104" i="5"/>
  <c r="AK105" i="5"/>
  <c r="AK106" i="5"/>
  <c r="AK107" i="5"/>
  <c r="AK108" i="5"/>
  <c r="AK109" i="5"/>
  <c r="AK110" i="5"/>
  <c r="AK115" i="5"/>
  <c r="AK116" i="5"/>
  <c r="AK117" i="5"/>
  <c r="AK118" i="5"/>
  <c r="AK119" i="5"/>
  <c r="AK120" i="5"/>
  <c r="AK121" i="5"/>
  <c r="AK122" i="5"/>
  <c r="AK123" i="5"/>
  <c r="AK124" i="5"/>
  <c r="AK125" i="5"/>
  <c r="AK126" i="5"/>
  <c r="AK127" i="5"/>
  <c r="AK128" i="5"/>
  <c r="AK129" i="5"/>
  <c r="AK130" i="5"/>
  <c r="AK131" i="5"/>
  <c r="AK132" i="5"/>
  <c r="AK133" i="5"/>
  <c r="AK134" i="5"/>
  <c r="AK135" i="5"/>
  <c r="AK136" i="5"/>
  <c r="AK137" i="5"/>
  <c r="AK138" i="5"/>
  <c r="AK139" i="5"/>
  <c r="AK140" i="5"/>
  <c r="AK141" i="5"/>
  <c r="AK142" i="5"/>
  <c r="AK143" i="5"/>
  <c r="AK144" i="5"/>
  <c r="AK145" i="5"/>
  <c r="AK146" i="5"/>
  <c r="AK147" i="5"/>
  <c r="AK148" i="5"/>
  <c r="AK149" i="5"/>
  <c r="AK150" i="5"/>
  <c r="AK151" i="5"/>
  <c r="AK152" i="5"/>
  <c r="AK153" i="5"/>
  <c r="AK154" i="5"/>
  <c r="AK155" i="5"/>
  <c r="AK156" i="5"/>
  <c r="AK157" i="5"/>
  <c r="AK158" i="5"/>
  <c r="AK159" i="5"/>
  <c r="AK160" i="5"/>
  <c r="AK161" i="5"/>
  <c r="AK162" i="5"/>
  <c r="AK163" i="5"/>
  <c r="AK164" i="5"/>
  <c r="AK165" i="5"/>
  <c r="AK166" i="5"/>
  <c r="AK167" i="5"/>
  <c r="AK168" i="5"/>
  <c r="AK169" i="5"/>
  <c r="AK170" i="5"/>
  <c r="AK171" i="5"/>
  <c r="AK172" i="5"/>
  <c r="AK173" i="5"/>
  <c r="AK174" i="5"/>
  <c r="AK175" i="5"/>
  <c r="AK176" i="5"/>
  <c r="AK177" i="5"/>
  <c r="AK178" i="5"/>
  <c r="AK179" i="5"/>
  <c r="AK180" i="5"/>
  <c r="AK181" i="5"/>
  <c r="AK182" i="5"/>
  <c r="AK183" i="5"/>
  <c r="AK184" i="5"/>
  <c r="AK185" i="5"/>
  <c r="AK186" i="5"/>
  <c r="AK187" i="5"/>
  <c r="AK188" i="5"/>
  <c r="AK189" i="5"/>
  <c r="AK190" i="5"/>
  <c r="AK191" i="5"/>
  <c r="AK192" i="5"/>
  <c r="AK193" i="5"/>
  <c r="AK194" i="5"/>
  <c r="AK195" i="5"/>
  <c r="AK196" i="5"/>
  <c r="AK197" i="5"/>
  <c r="AK198" i="5"/>
  <c r="AK199" i="5"/>
  <c r="AK200" i="5"/>
  <c r="AK201" i="5"/>
  <c r="AK202" i="5"/>
  <c r="AK203" i="5"/>
  <c r="AK204" i="5"/>
  <c r="AK205" i="5"/>
  <c r="AK206" i="5"/>
  <c r="AK207" i="5"/>
  <c r="AK208" i="5"/>
  <c r="AK209" i="5"/>
  <c r="AK210" i="5"/>
  <c r="AA15" i="5"/>
  <c r="AA16" i="5"/>
  <c r="AA111" i="5" s="1"/>
  <c r="AA17" i="5"/>
  <c r="AA18" i="5"/>
  <c r="AA19" i="5"/>
  <c r="AA20" i="5"/>
  <c r="AA21" i="5"/>
  <c r="AA22" i="5"/>
  <c r="AA23" i="5"/>
  <c r="AA24" i="5"/>
  <c r="AA25" i="5"/>
  <c r="AA26" i="5"/>
  <c r="AA27" i="5"/>
  <c r="AA28" i="5"/>
  <c r="AA29" i="5"/>
  <c r="AA30" i="5"/>
  <c r="AA31" i="5"/>
  <c r="AA32" i="5"/>
  <c r="AA33" i="5"/>
  <c r="AA34" i="5"/>
  <c r="AA35" i="5"/>
  <c r="AA36" i="5"/>
  <c r="AA37" i="5"/>
  <c r="AA38" i="5"/>
  <c r="AA39" i="5"/>
  <c r="AA40" i="5"/>
  <c r="AA41" i="5"/>
  <c r="AA42" i="5"/>
  <c r="AA43" i="5"/>
  <c r="AA44" i="5"/>
  <c r="AA45" i="5"/>
  <c r="AA46" i="5"/>
  <c r="AA47" i="5"/>
  <c r="AA48" i="5"/>
  <c r="AA49" i="5"/>
  <c r="AA50" i="5"/>
  <c r="AA51" i="5"/>
  <c r="AA52" i="5"/>
  <c r="AA53" i="5"/>
  <c r="AA54" i="5"/>
  <c r="AA55" i="5"/>
  <c r="AA56" i="5"/>
  <c r="AA57" i="5"/>
  <c r="AA58" i="5"/>
  <c r="AA59" i="5"/>
  <c r="AA60" i="5"/>
  <c r="AA61" i="5"/>
  <c r="AA62" i="5"/>
  <c r="AA63" i="5"/>
  <c r="AA64" i="5"/>
  <c r="AA65" i="5"/>
  <c r="AA66" i="5"/>
  <c r="AA67" i="5"/>
  <c r="AA68" i="5"/>
  <c r="AA69" i="5"/>
  <c r="AA70" i="5"/>
  <c r="AA71" i="5"/>
  <c r="AA72" i="5"/>
  <c r="AA73" i="5"/>
  <c r="AA74" i="5"/>
  <c r="AA75" i="5"/>
  <c r="AA76" i="5"/>
  <c r="AA77" i="5"/>
  <c r="AA78" i="5"/>
  <c r="AA79" i="5"/>
  <c r="AA80" i="5"/>
  <c r="AA81" i="5"/>
  <c r="AA82" i="5"/>
  <c r="AA83" i="5"/>
  <c r="AA84" i="5"/>
  <c r="AA85" i="5"/>
  <c r="AA86" i="5"/>
  <c r="AA87" i="5"/>
  <c r="AA88" i="5"/>
  <c r="AA89" i="5"/>
  <c r="AA90" i="5"/>
  <c r="AA91" i="5"/>
  <c r="AA92" i="5"/>
  <c r="AA93" i="5"/>
  <c r="AA94" i="5"/>
  <c r="AA95" i="5"/>
  <c r="AA96" i="5"/>
  <c r="AA97" i="5"/>
  <c r="AA98" i="5"/>
  <c r="AA99" i="5"/>
  <c r="AA100" i="5"/>
  <c r="AA101" i="5"/>
  <c r="AA102" i="5"/>
  <c r="AA103" i="5"/>
  <c r="AA104" i="5"/>
  <c r="AA105" i="5"/>
  <c r="AA106" i="5"/>
  <c r="AA107" i="5"/>
  <c r="AA108" i="5"/>
  <c r="AA109" i="5"/>
  <c r="AA110" i="5"/>
  <c r="AA115" i="5"/>
  <c r="AA116" i="5"/>
  <c r="AA117" i="5"/>
  <c r="AA118" i="5"/>
  <c r="AA119" i="5"/>
  <c r="AA120" i="5"/>
  <c r="AA121" i="5"/>
  <c r="AA122" i="5"/>
  <c r="AA123" i="5"/>
  <c r="AA124" i="5"/>
  <c r="AA125" i="5"/>
  <c r="AA126" i="5"/>
  <c r="AA127" i="5"/>
  <c r="AA128" i="5"/>
  <c r="AA129" i="5"/>
  <c r="AA130" i="5"/>
  <c r="AA131" i="5"/>
  <c r="AA132" i="5"/>
  <c r="AA133" i="5"/>
  <c r="AA134" i="5"/>
  <c r="AA135" i="5"/>
  <c r="AA136" i="5"/>
  <c r="AA137" i="5"/>
  <c r="AA138" i="5"/>
  <c r="AA139" i="5"/>
  <c r="AA140" i="5"/>
  <c r="AA141" i="5"/>
  <c r="AA142" i="5"/>
  <c r="AA143" i="5"/>
  <c r="AA144" i="5"/>
  <c r="AA145" i="5"/>
  <c r="AA146" i="5"/>
  <c r="AA147" i="5"/>
  <c r="AA148" i="5"/>
  <c r="AA149" i="5"/>
  <c r="AA150" i="5"/>
  <c r="AA151" i="5"/>
  <c r="AA152" i="5"/>
  <c r="AA153" i="5"/>
  <c r="AA154" i="5"/>
  <c r="AA155" i="5"/>
  <c r="AA156" i="5"/>
  <c r="AA157" i="5"/>
  <c r="AA158" i="5"/>
  <c r="AA159" i="5"/>
  <c r="AA160" i="5"/>
  <c r="AA161" i="5"/>
  <c r="AA162" i="5"/>
  <c r="AA163" i="5"/>
  <c r="AA164" i="5"/>
  <c r="AA165" i="5"/>
  <c r="AA166" i="5"/>
  <c r="AA167" i="5"/>
  <c r="AA168" i="5"/>
  <c r="AA169" i="5"/>
  <c r="AA170" i="5"/>
  <c r="AA171" i="5"/>
  <c r="AA172" i="5"/>
  <c r="AA173" i="5"/>
  <c r="AA174" i="5"/>
  <c r="AA175" i="5"/>
  <c r="AA176" i="5"/>
  <c r="AA177" i="5"/>
  <c r="AA178" i="5"/>
  <c r="AA179" i="5"/>
  <c r="AA180" i="5"/>
  <c r="AA181" i="5"/>
  <c r="AA182" i="5"/>
  <c r="AA183" i="5"/>
  <c r="AA184" i="5"/>
  <c r="AA185" i="5"/>
  <c r="AA186" i="5"/>
  <c r="AA187" i="5"/>
  <c r="AA188" i="5"/>
  <c r="AA189" i="5"/>
  <c r="AA190" i="5"/>
  <c r="AA191" i="5"/>
  <c r="AA192" i="5"/>
  <c r="AA193" i="5"/>
  <c r="AA194" i="5"/>
  <c r="AA195" i="5"/>
  <c r="AA196" i="5"/>
  <c r="AA197" i="5"/>
  <c r="AA198" i="5"/>
  <c r="AA199" i="5"/>
  <c r="AA200" i="5"/>
  <c r="AA201" i="5"/>
  <c r="AA202" i="5"/>
  <c r="AA203" i="5"/>
  <c r="AA204" i="5"/>
  <c r="AA205" i="5"/>
  <c r="AA206" i="5"/>
  <c r="AA207" i="5"/>
  <c r="AA208" i="5"/>
  <c r="AA209" i="5"/>
  <c r="AA210" i="5"/>
  <c r="AA211" i="5"/>
  <c r="AA8" i="5"/>
  <c r="S257" i="24" l="1"/>
  <c r="R259" i="25"/>
  <c r="S258" i="25"/>
  <c r="S257" i="25"/>
  <c r="T530" i="25"/>
  <c r="T256" i="25" s="1"/>
  <c r="U525" i="25"/>
  <c r="U525" i="24"/>
  <c r="T530" i="24"/>
  <c r="T256" i="24" s="1"/>
  <c r="T530" i="23"/>
  <c r="U525" i="23"/>
  <c r="R259" i="24"/>
  <c r="S258" i="24"/>
  <c r="M63" i="24"/>
  <c r="M65" i="24" s="1"/>
  <c r="N394" i="24"/>
  <c r="N396" i="24" s="1"/>
  <c r="N397" i="24" s="1"/>
  <c r="N56" i="24" s="1"/>
  <c r="N58" i="24" s="1"/>
  <c r="O393" i="24"/>
  <c r="P406" i="24"/>
  <c r="O392" i="24"/>
  <c r="L61" i="24"/>
  <c r="L60" i="24"/>
  <c r="M61" i="24"/>
  <c r="M60" i="24"/>
  <c r="Z454" i="25"/>
  <c r="Z119" i="25" s="1"/>
  <c r="Z454" i="23"/>
  <c r="Z119" i="23" s="1"/>
  <c r="X182" i="25"/>
  <c r="Y182" i="25" s="1"/>
  <c r="Z450" i="23"/>
  <c r="Z126" i="23" s="1"/>
  <c r="Z204" i="25"/>
  <c r="Z450" i="25"/>
  <c r="Z126" i="25" s="1"/>
  <c r="Y179" i="23"/>
  <c r="Y92" i="23" s="1"/>
  <c r="Y204" i="24"/>
  <c r="Z204" i="24" s="1"/>
  <c r="P392" i="25"/>
  <c r="P393" i="25"/>
  <c r="Q393" i="25" s="1"/>
  <c r="R393" i="25" s="1"/>
  <c r="S393" i="25" s="1"/>
  <c r="T393" i="25" s="1"/>
  <c r="U393" i="25" s="1"/>
  <c r="V393" i="25" s="1"/>
  <c r="W393" i="25" s="1"/>
  <c r="X393" i="25" s="1"/>
  <c r="Y393" i="25" s="1"/>
  <c r="Z393" i="25" s="1"/>
  <c r="Q406" i="25"/>
  <c r="W179" i="25"/>
  <c r="Y350" i="25"/>
  <c r="X357" i="25"/>
  <c r="X366" i="25"/>
  <c r="X344" i="25"/>
  <c r="X388" i="25"/>
  <c r="O394" i="25"/>
  <c r="Y177" i="25"/>
  <c r="X178" i="25"/>
  <c r="X476" i="25"/>
  <c r="Z73" i="25"/>
  <c r="Z442" i="25" s="1"/>
  <c r="M61" i="25"/>
  <c r="M60" i="25"/>
  <c r="V92" i="25"/>
  <c r="N396" i="25"/>
  <c r="N397" i="25" s="1"/>
  <c r="N56" i="25" s="1"/>
  <c r="N58" i="25" s="1"/>
  <c r="N63" i="25"/>
  <c r="N65" i="25" s="1"/>
  <c r="W76" i="25"/>
  <c r="Y177" i="24"/>
  <c r="X178" i="24"/>
  <c r="X179" i="24" s="1"/>
  <c r="X92" i="24" s="1"/>
  <c r="X476" i="24"/>
  <c r="X366" i="24"/>
  <c r="X357" i="24"/>
  <c r="X388" i="24"/>
  <c r="X344" i="24"/>
  <c r="Z100" i="24"/>
  <c r="W76" i="24"/>
  <c r="Z454" i="24"/>
  <c r="Z119" i="24" s="1"/>
  <c r="Z453" i="24"/>
  <c r="Z147" i="24"/>
  <c r="Z150" i="24" s="1"/>
  <c r="Z507" i="24"/>
  <c r="X182" i="24"/>
  <c r="Z450" i="24"/>
  <c r="Z126" i="24" s="1"/>
  <c r="Z124" i="24"/>
  <c r="Y350" i="24"/>
  <c r="Z259" i="23"/>
  <c r="Y350" i="23"/>
  <c r="Z476" i="23"/>
  <c r="W76" i="23"/>
  <c r="X388" i="23"/>
  <c r="X357" i="23"/>
  <c r="X344" i="23"/>
  <c r="X366" i="23"/>
  <c r="O61" i="23"/>
  <c r="O60" i="23"/>
  <c r="X182" i="23"/>
  <c r="Q392" i="23"/>
  <c r="R406" i="23"/>
  <c r="P394" i="23"/>
  <c r="Z73" i="23"/>
  <c r="Z442" i="23" s="1"/>
  <c r="Z205" i="23"/>
  <c r="Y204" i="23"/>
  <c r="Z475" i="23"/>
  <c r="Z89" i="23"/>
  <c r="P20" i="16"/>
  <c r="I66" i="6"/>
  <c r="I18" i="6"/>
  <c r="I115" i="6"/>
  <c r="I73" i="6"/>
  <c r="I65" i="6"/>
  <c r="I57" i="6"/>
  <c r="I49" i="6"/>
  <c r="I41" i="6"/>
  <c r="I33" i="6"/>
  <c r="I25" i="6"/>
  <c r="I17" i="6"/>
  <c r="I138" i="6"/>
  <c r="I130" i="6"/>
  <c r="I122" i="6"/>
  <c r="I114" i="6"/>
  <c r="I106" i="6"/>
  <c r="I98" i="6"/>
  <c r="I90" i="6"/>
  <c r="I82" i="6"/>
  <c r="I50" i="6"/>
  <c r="I10" i="6"/>
  <c r="I91" i="6"/>
  <c r="I72" i="6"/>
  <c r="I64" i="6"/>
  <c r="I56" i="6"/>
  <c r="I48" i="6"/>
  <c r="I40" i="6"/>
  <c r="I32" i="6"/>
  <c r="I24" i="6"/>
  <c r="I16" i="6"/>
  <c r="I145" i="6"/>
  <c r="I137" i="6"/>
  <c r="I129" i="6"/>
  <c r="I121" i="6"/>
  <c r="I113" i="6"/>
  <c r="I105" i="6"/>
  <c r="I97" i="6"/>
  <c r="I89" i="6"/>
  <c r="I81" i="6"/>
  <c r="I42" i="6"/>
  <c r="I139" i="6"/>
  <c r="I99" i="6"/>
  <c r="I71" i="6"/>
  <c r="I63" i="6"/>
  <c r="I55" i="6"/>
  <c r="I47" i="6"/>
  <c r="I39" i="6"/>
  <c r="I31" i="6"/>
  <c r="I23" i="6"/>
  <c r="I15" i="6"/>
  <c r="I144" i="6"/>
  <c r="I136" i="6"/>
  <c r="I128" i="6"/>
  <c r="I120" i="6"/>
  <c r="I112" i="6"/>
  <c r="I104" i="6"/>
  <c r="I96" i="6"/>
  <c r="I88" i="6"/>
  <c r="I80" i="6"/>
  <c r="I74" i="6"/>
  <c r="I26" i="6"/>
  <c r="I123" i="6"/>
  <c r="I83" i="6"/>
  <c r="I70" i="6"/>
  <c r="I62" i="6"/>
  <c r="I54" i="6"/>
  <c r="I46" i="6"/>
  <c r="I38" i="6"/>
  <c r="I30" i="6"/>
  <c r="I22" i="6"/>
  <c r="I14" i="6"/>
  <c r="I143" i="6"/>
  <c r="I135" i="6"/>
  <c r="I127" i="6"/>
  <c r="I119" i="6"/>
  <c r="I111" i="6"/>
  <c r="I103" i="6"/>
  <c r="I95" i="6"/>
  <c r="I87" i="6"/>
  <c r="I69" i="6"/>
  <c r="I61" i="6"/>
  <c r="I53" i="6"/>
  <c r="I45" i="6"/>
  <c r="I37" i="6"/>
  <c r="I29" i="6"/>
  <c r="I21" i="6"/>
  <c r="I13" i="6"/>
  <c r="I142" i="6"/>
  <c r="I134" i="6"/>
  <c r="I126" i="6"/>
  <c r="I118" i="6"/>
  <c r="I110" i="6"/>
  <c r="I102" i="6"/>
  <c r="I94" i="6"/>
  <c r="I86" i="6"/>
  <c r="I58" i="6"/>
  <c r="I131" i="6"/>
  <c r="I68" i="6"/>
  <c r="I60" i="6"/>
  <c r="I52" i="6"/>
  <c r="I44" i="6"/>
  <c r="I36" i="6"/>
  <c r="I28" i="6"/>
  <c r="I20" i="6"/>
  <c r="I12" i="6"/>
  <c r="I141" i="6"/>
  <c r="I133" i="6"/>
  <c r="I125" i="6"/>
  <c r="I117" i="6"/>
  <c r="I109" i="6"/>
  <c r="I101" i="6"/>
  <c r="I93" i="6"/>
  <c r="I85" i="6"/>
  <c r="I34" i="6"/>
  <c r="I107" i="6"/>
  <c r="I75" i="6"/>
  <c r="I67" i="6"/>
  <c r="I59" i="6"/>
  <c r="I51" i="6"/>
  <c r="I43" i="6"/>
  <c r="I35" i="6"/>
  <c r="I27" i="6"/>
  <c r="I19" i="6"/>
  <c r="I11" i="6"/>
  <c r="I140" i="6"/>
  <c r="I132" i="6"/>
  <c r="I124" i="6"/>
  <c r="I116" i="6"/>
  <c r="I108" i="6"/>
  <c r="I100" i="6"/>
  <c r="I92" i="6"/>
  <c r="AK15" i="5"/>
  <c r="AK111" i="5"/>
  <c r="AK211" i="5"/>
  <c r="AK6" i="4"/>
  <c r="AK8" i="4"/>
  <c r="AK10" i="4"/>
  <c r="AK12" i="4" s="1"/>
  <c r="AK355" i="4"/>
  <c r="AK356" i="4"/>
  <c r="AK357" i="4"/>
  <c r="AK358" i="4"/>
  <c r="AK359" i="4"/>
  <c r="AK360" i="4"/>
  <c r="AK361" i="4"/>
  <c r="AK362" i="4"/>
  <c r="AK363" i="4"/>
  <c r="AK364" i="4"/>
  <c r="AK365" i="4"/>
  <c r="AK366" i="4"/>
  <c r="AK367" i="4"/>
  <c r="AK368" i="4"/>
  <c r="AK369" i="4"/>
  <c r="AK370" i="4"/>
  <c r="AK371" i="4"/>
  <c r="AK372" i="4"/>
  <c r="AK373" i="4"/>
  <c r="AK374" i="4"/>
  <c r="AK375" i="4"/>
  <c r="AK376" i="4"/>
  <c r="AK377" i="4"/>
  <c r="AK378" i="4"/>
  <c r="AK379" i="4"/>
  <c r="AK380" i="4"/>
  <c r="AK381" i="4"/>
  <c r="AK382" i="4"/>
  <c r="AK383" i="4"/>
  <c r="AK384" i="4"/>
  <c r="AK385" i="4"/>
  <c r="AK386" i="4"/>
  <c r="AK387" i="4"/>
  <c r="AK388" i="4"/>
  <c r="AK389" i="4"/>
  <c r="AK390" i="4"/>
  <c r="AK391" i="4"/>
  <c r="AK392" i="4"/>
  <c r="AK393" i="4"/>
  <c r="AK394" i="4"/>
  <c r="AK395" i="4"/>
  <c r="AK396" i="4"/>
  <c r="AK397" i="4"/>
  <c r="AK398" i="4"/>
  <c r="AK399" i="4"/>
  <c r="AK400" i="4"/>
  <c r="AK401" i="4"/>
  <c r="AK402" i="4"/>
  <c r="AK403" i="4"/>
  <c r="AK404" i="4"/>
  <c r="AK405" i="4"/>
  <c r="AK406" i="4"/>
  <c r="AK407" i="4"/>
  <c r="AK408" i="4"/>
  <c r="AK409" i="4"/>
  <c r="AK410" i="4"/>
  <c r="AK411" i="4"/>
  <c r="AK412" i="4"/>
  <c r="AK413" i="4"/>
  <c r="AK414" i="4"/>
  <c r="AK415" i="4"/>
  <c r="AK416" i="4"/>
  <c r="AK417" i="4"/>
  <c r="AK418" i="4"/>
  <c r="AK419" i="4"/>
  <c r="AK420" i="4"/>
  <c r="AK421" i="4"/>
  <c r="AK425" i="4"/>
  <c r="AK426" i="4"/>
  <c r="AK427" i="4"/>
  <c r="AK428" i="4"/>
  <c r="AK429" i="4"/>
  <c r="AK430" i="4"/>
  <c r="AK431" i="4"/>
  <c r="AK432" i="4"/>
  <c r="AK433" i="4"/>
  <c r="AK434" i="4"/>
  <c r="AK435" i="4"/>
  <c r="AK436" i="4"/>
  <c r="AK437" i="4"/>
  <c r="AK438" i="4"/>
  <c r="AK439" i="4"/>
  <c r="AK440" i="4"/>
  <c r="AK441" i="4"/>
  <c r="AK442" i="4"/>
  <c r="AK443" i="4"/>
  <c r="AK444" i="4"/>
  <c r="AK445" i="4"/>
  <c r="AK446" i="4"/>
  <c r="AK447" i="4"/>
  <c r="AK448" i="4"/>
  <c r="AK449" i="4"/>
  <c r="AK450" i="4"/>
  <c r="AK451" i="4"/>
  <c r="AK452" i="4"/>
  <c r="AK453" i="4"/>
  <c r="AK454" i="4"/>
  <c r="AK455" i="4"/>
  <c r="AK456" i="4"/>
  <c r="AK457" i="4"/>
  <c r="AK458" i="4"/>
  <c r="AK459" i="4"/>
  <c r="AK460" i="4"/>
  <c r="AK461" i="4"/>
  <c r="AK462" i="4"/>
  <c r="AK463" i="4"/>
  <c r="AK464" i="4"/>
  <c r="AK465" i="4"/>
  <c r="AK466" i="4"/>
  <c r="AK467" i="4"/>
  <c r="AK468" i="4"/>
  <c r="AK469" i="4"/>
  <c r="AK470" i="4"/>
  <c r="AK471" i="4"/>
  <c r="AK472" i="4"/>
  <c r="AK473" i="4"/>
  <c r="AK474" i="4"/>
  <c r="AK475" i="4"/>
  <c r="AK476" i="4"/>
  <c r="AK477" i="4"/>
  <c r="AK478" i="4"/>
  <c r="AK479" i="4"/>
  <c r="AK480" i="4"/>
  <c r="AK481" i="4"/>
  <c r="AK482" i="4"/>
  <c r="AK483" i="4"/>
  <c r="AK484" i="4"/>
  <c r="AK485" i="4"/>
  <c r="AK486" i="4"/>
  <c r="AK487" i="4"/>
  <c r="AK488" i="4"/>
  <c r="AK489" i="4"/>
  <c r="AK490" i="4"/>
  <c r="AK491" i="4"/>
  <c r="AK351" i="4"/>
  <c r="AK281" i="4"/>
  <c r="AK211" i="4"/>
  <c r="AK111" i="4"/>
  <c r="T257" i="24" l="1"/>
  <c r="T258" i="24"/>
  <c r="T257" i="25"/>
  <c r="U530" i="24"/>
  <c r="U256" i="24" s="1"/>
  <c r="V525" i="24"/>
  <c r="U530" i="25"/>
  <c r="U256" i="25" s="1"/>
  <c r="V525" i="25"/>
  <c r="S259" i="24"/>
  <c r="V525" i="23"/>
  <c r="U530" i="23"/>
  <c r="S259" i="25"/>
  <c r="T258" i="25"/>
  <c r="O394" i="24"/>
  <c r="O63" i="24" s="1"/>
  <c r="O65" i="24" s="1"/>
  <c r="N63" i="24"/>
  <c r="N65" i="24" s="1"/>
  <c r="N61" i="24"/>
  <c r="N60" i="24"/>
  <c r="Q406" i="24"/>
  <c r="P393" i="24"/>
  <c r="Q393" i="24" s="1"/>
  <c r="R393" i="24" s="1"/>
  <c r="S393" i="24" s="1"/>
  <c r="T393" i="24" s="1"/>
  <c r="U393" i="24" s="1"/>
  <c r="V393" i="24" s="1"/>
  <c r="W393" i="24" s="1"/>
  <c r="X393" i="24" s="1"/>
  <c r="Y393" i="24" s="1"/>
  <c r="Z393" i="24" s="1"/>
  <c r="P392" i="24"/>
  <c r="Z179" i="23"/>
  <c r="Z92" i="23" s="1"/>
  <c r="X179" i="25"/>
  <c r="X92" i="25" s="1"/>
  <c r="N61" i="25"/>
  <c r="N60" i="25"/>
  <c r="X76" i="25"/>
  <c r="O396" i="25"/>
  <c r="O397" i="25" s="1"/>
  <c r="O56" i="25" s="1"/>
  <c r="O58" i="25" s="1"/>
  <c r="O63" i="25"/>
  <c r="O65" i="25" s="1"/>
  <c r="W92" i="25"/>
  <c r="Z177" i="25"/>
  <c r="Y178" i="25"/>
  <c r="Y476" i="25"/>
  <c r="Y366" i="25"/>
  <c r="Y357" i="25"/>
  <c r="Y388" i="25"/>
  <c r="Y344" i="25"/>
  <c r="Q392" i="25"/>
  <c r="R406" i="25"/>
  <c r="Z350" i="25"/>
  <c r="Z182" i="25"/>
  <c r="P394" i="25"/>
  <c r="Y344" i="24"/>
  <c r="Y357" i="24"/>
  <c r="Y388" i="24"/>
  <c r="Y366" i="24"/>
  <c r="X76" i="24"/>
  <c r="Y182" i="24"/>
  <c r="Z177" i="24"/>
  <c r="Y178" i="24"/>
  <c r="Y179" i="24" s="1"/>
  <c r="Y476" i="24"/>
  <c r="Z350" i="24"/>
  <c r="X76" i="23"/>
  <c r="Y344" i="23"/>
  <c r="Y357" i="23"/>
  <c r="Y366" i="23"/>
  <c r="Y388" i="23"/>
  <c r="Y182" i="23"/>
  <c r="Z204" i="23"/>
  <c r="R392" i="23"/>
  <c r="S406" i="23"/>
  <c r="Z350" i="23"/>
  <c r="P396" i="23"/>
  <c r="Q396" i="23" s="1"/>
  <c r="R396" i="23" s="1"/>
  <c r="S396" i="23" s="1"/>
  <c r="T396" i="23" s="1"/>
  <c r="U396" i="23" s="1"/>
  <c r="V396" i="23" s="1"/>
  <c r="W396" i="23" s="1"/>
  <c r="X396" i="23" s="1"/>
  <c r="Y396" i="23" s="1"/>
  <c r="Z396" i="23" s="1"/>
  <c r="P63" i="23"/>
  <c r="P65" i="23" s="1"/>
  <c r="P66" i="23" s="1"/>
  <c r="Q484" i="23"/>
  <c r="Q77" i="23"/>
  <c r="Q394" i="23"/>
  <c r="I76" i="6"/>
  <c r="I146" i="6"/>
  <c r="AK7" i="5"/>
  <c r="AK4" i="5"/>
  <c r="AK5" i="5" s="1"/>
  <c r="T259" i="24" l="1"/>
  <c r="U257" i="24"/>
  <c r="U258" i="24"/>
  <c r="T259" i="25"/>
  <c r="U257" i="25"/>
  <c r="V530" i="25"/>
  <c r="V256" i="25" s="1"/>
  <c r="W525" i="25"/>
  <c r="U258" i="25"/>
  <c r="W525" i="24"/>
  <c r="V530" i="24"/>
  <c r="V256" i="24" s="1"/>
  <c r="W525" i="23"/>
  <c r="V530" i="23"/>
  <c r="O396" i="24"/>
  <c r="O397" i="24" s="1"/>
  <c r="O56" i="24" s="1"/>
  <c r="O58" i="24" s="1"/>
  <c r="O61" i="24" s="1"/>
  <c r="P394" i="24"/>
  <c r="P396" i="24" s="1"/>
  <c r="Q396" i="24" s="1"/>
  <c r="R396" i="24" s="1"/>
  <c r="S396" i="24" s="1"/>
  <c r="T396" i="24" s="1"/>
  <c r="U396" i="24" s="1"/>
  <c r="V396" i="24" s="1"/>
  <c r="W396" i="24" s="1"/>
  <c r="X396" i="24" s="1"/>
  <c r="Y396" i="24" s="1"/>
  <c r="Z396" i="24" s="1"/>
  <c r="Q392" i="24"/>
  <c r="R406" i="24"/>
  <c r="O61" i="25"/>
  <c r="O60" i="25"/>
  <c r="Y179" i="25"/>
  <c r="Z178" i="25"/>
  <c r="Z476" i="25"/>
  <c r="Y76" i="25"/>
  <c r="R392" i="25"/>
  <c r="S406" i="25"/>
  <c r="Z357" i="25"/>
  <c r="Z388" i="25"/>
  <c r="Z366" i="25"/>
  <c r="Z344" i="25"/>
  <c r="Q484" i="25"/>
  <c r="Q77" i="25"/>
  <c r="Q394" i="25"/>
  <c r="P396" i="25"/>
  <c r="Q396" i="25" s="1"/>
  <c r="R396" i="25" s="1"/>
  <c r="S396" i="25" s="1"/>
  <c r="T396" i="25" s="1"/>
  <c r="U396" i="25" s="1"/>
  <c r="V396" i="25" s="1"/>
  <c r="W396" i="25" s="1"/>
  <c r="X396" i="25" s="1"/>
  <c r="Y396" i="25" s="1"/>
  <c r="Z396" i="25" s="1"/>
  <c r="P397" i="25"/>
  <c r="P56" i="25" s="1"/>
  <c r="P58" i="25" s="1"/>
  <c r="P63" i="25"/>
  <c r="P65" i="25" s="1"/>
  <c r="P66" i="25" s="1"/>
  <c r="Y76" i="24"/>
  <c r="Y92" i="24"/>
  <c r="Z178" i="24"/>
  <c r="Z179" i="24" s="1"/>
  <c r="Z476" i="24"/>
  <c r="Z388" i="24"/>
  <c r="Z344" i="24"/>
  <c r="Z357" i="24"/>
  <c r="Z366" i="24"/>
  <c r="Z182" i="24"/>
  <c r="P397" i="23"/>
  <c r="P56" i="23" s="1"/>
  <c r="P58" i="23" s="1"/>
  <c r="S392" i="23"/>
  <c r="T406" i="23"/>
  <c r="Z182" i="23"/>
  <c r="R484" i="23"/>
  <c r="R77" i="23"/>
  <c r="R394" i="23"/>
  <c r="Z388" i="23"/>
  <c r="Z344" i="23"/>
  <c r="Z357" i="23"/>
  <c r="Z366" i="23"/>
  <c r="Y76" i="23"/>
  <c r="U259" i="24" l="1"/>
  <c r="X525" i="24"/>
  <c r="W530" i="24"/>
  <c r="W256" i="24" s="1"/>
  <c r="W530" i="23"/>
  <c r="X525" i="23"/>
  <c r="U259" i="25"/>
  <c r="V258" i="25"/>
  <c r="X525" i="25"/>
  <c r="W530" i="25"/>
  <c r="W256" i="25" s="1"/>
  <c r="V257" i="24"/>
  <c r="V258" i="24"/>
  <c r="V257" i="25"/>
  <c r="O60" i="24"/>
  <c r="P63" i="24"/>
  <c r="P65" i="24" s="1"/>
  <c r="P66" i="24" s="1"/>
  <c r="R392" i="24"/>
  <c r="S406" i="24"/>
  <c r="Q484" i="24"/>
  <c r="Q77" i="24"/>
  <c r="Q394" i="24"/>
  <c r="P397" i="24"/>
  <c r="P56" i="24" s="1"/>
  <c r="P58" i="24" s="1"/>
  <c r="R484" i="25"/>
  <c r="R77" i="25"/>
  <c r="R394" i="25"/>
  <c r="Z179" i="25"/>
  <c r="P61" i="25"/>
  <c r="P60" i="25"/>
  <c r="Z76" i="25"/>
  <c r="S392" i="25"/>
  <c r="T406" i="25"/>
  <c r="Y92" i="25"/>
  <c r="Z76" i="24"/>
  <c r="Z92" i="24"/>
  <c r="T392" i="23"/>
  <c r="U406" i="23"/>
  <c r="S484" i="23"/>
  <c r="S77" i="23"/>
  <c r="S394" i="23"/>
  <c r="P61" i="23"/>
  <c r="P60" i="23"/>
  <c r="Z76" i="23"/>
  <c r="L537" i="17"/>
  <c r="L538" i="17"/>
  <c r="L11" i="17"/>
  <c r="L13" i="17"/>
  <c r="L16" i="17"/>
  <c r="L18" i="17"/>
  <c r="L20" i="17"/>
  <c r="L21" i="17"/>
  <c r="L23" i="17"/>
  <c r="L24" i="17"/>
  <c r="L25" i="17"/>
  <c r="L26" i="17"/>
  <c r="L28" i="17"/>
  <c r="L30" i="17"/>
  <c r="L38" i="17"/>
  <c r="L40" i="17"/>
  <c r="L43" i="17"/>
  <c r="L44" i="17"/>
  <c r="L59" i="17"/>
  <c r="L72" i="17"/>
  <c r="L73" i="17"/>
  <c r="L74" i="17"/>
  <c r="L75" i="17"/>
  <c r="L76" i="17"/>
  <c r="L77" i="17"/>
  <c r="L391" i="17" s="1"/>
  <c r="L79" i="17"/>
  <c r="L80" i="17"/>
  <c r="L84" i="17"/>
  <c r="L89" i="17"/>
  <c r="L90" i="17"/>
  <c r="L100" i="17"/>
  <c r="L101" i="17"/>
  <c r="L102" i="17"/>
  <c r="L103" i="17"/>
  <c r="L104" i="17"/>
  <c r="L107" i="17"/>
  <c r="L494" i="17" s="1"/>
  <c r="L109" i="17"/>
  <c r="L115" i="17"/>
  <c r="L116" i="17"/>
  <c r="L117" i="17"/>
  <c r="L118" i="17"/>
  <c r="L119" i="17"/>
  <c r="L120" i="17"/>
  <c r="L122" i="17"/>
  <c r="L123" i="17"/>
  <c r="L124" i="17"/>
  <c r="L125" i="17"/>
  <c r="L126" i="17"/>
  <c r="L127" i="17"/>
  <c r="L145" i="17"/>
  <c r="L146" i="17" s="1"/>
  <c r="L147" i="17" s="1"/>
  <c r="L148" i="17"/>
  <c r="L151" i="17"/>
  <c r="L154" i="17"/>
  <c r="L155" i="17"/>
  <c r="L162" i="17"/>
  <c r="L163" i="17"/>
  <c r="L164" i="17"/>
  <c r="L171" i="17"/>
  <c r="L172" i="17"/>
  <c r="L262" i="17"/>
  <c r="L291" i="17"/>
  <c r="L193" i="17"/>
  <c r="L272" i="17" s="1"/>
  <c r="L198" i="17"/>
  <c r="L202" i="17"/>
  <c r="L203" i="17"/>
  <c r="L204" i="17"/>
  <c r="L205" i="17"/>
  <c r="L208" i="17"/>
  <c r="L209" i="17"/>
  <c r="L210" i="17"/>
  <c r="L211" i="17"/>
  <c r="L215" i="17"/>
  <c r="L216" i="17"/>
  <c r="L217" i="17"/>
  <c r="L219" i="17"/>
  <c r="L220" i="17"/>
  <c r="L224" i="17"/>
  <c r="L225" i="17"/>
  <c r="L226" i="17"/>
  <c r="L231" i="17"/>
  <c r="L232" i="17"/>
  <c r="L233" i="17"/>
  <c r="L238" i="17"/>
  <c r="L290" i="17" s="1"/>
  <c r="L239" i="17"/>
  <c r="L240" i="17"/>
  <c r="L242" i="17"/>
  <c r="L243" i="17"/>
  <c r="L252" i="17"/>
  <c r="L253" i="17"/>
  <c r="L257" i="17"/>
  <c r="L266" i="17"/>
  <c r="L273" i="17"/>
  <c r="L284" i="17"/>
  <c r="L285" i="17"/>
  <c r="L313" i="17"/>
  <c r="L319" i="17"/>
  <c r="L320" i="17"/>
  <c r="L326" i="17"/>
  <c r="L327" i="17"/>
  <c r="L328" i="17"/>
  <c r="L334" i="17"/>
  <c r="L335" i="17"/>
  <c r="L340" i="17"/>
  <c r="L341" i="17"/>
  <c r="L37" i="17" s="1"/>
  <c r="L351" i="17"/>
  <c r="L354" i="17"/>
  <c r="L360" i="17"/>
  <c r="L361" i="17"/>
  <c r="L369" i="17"/>
  <c r="L370" i="17"/>
  <c r="L375" i="17"/>
  <c r="L376" i="17"/>
  <c r="L377" i="17"/>
  <c r="L271" i="17" s="1"/>
  <c r="L378" i="17"/>
  <c r="L331" i="17" s="1"/>
  <c r="L380" i="17"/>
  <c r="L486" i="17" s="1"/>
  <c r="L381" i="17"/>
  <c r="L384" i="17"/>
  <c r="L385" i="17"/>
  <c r="L442" i="17" s="1"/>
  <c r="L386" i="17"/>
  <c r="L468" i="17" s="1"/>
  <c r="L469" i="17" s="1"/>
  <c r="L470" i="17" s="1"/>
  <c r="L388" i="17"/>
  <c r="L395" i="17"/>
  <c r="L400" i="17"/>
  <c r="L401" i="17"/>
  <c r="L402" i="17"/>
  <c r="L263" i="17" s="1"/>
  <c r="L403" i="17"/>
  <c r="L404" i="17"/>
  <c r="L159" i="17" s="1"/>
  <c r="L405" i="17"/>
  <c r="L410" i="17"/>
  <c r="L414" i="17"/>
  <c r="L417" i="17"/>
  <c r="L418" i="17"/>
  <c r="L419" i="17"/>
  <c r="L423" i="17"/>
  <c r="L424" i="17"/>
  <c r="L427" i="17"/>
  <c r="L428" i="17"/>
  <c r="L433" i="17"/>
  <c r="L435" i="17"/>
  <c r="L439" i="17"/>
  <c r="L443" i="17"/>
  <c r="L446" i="17"/>
  <c r="L449" i="17"/>
  <c r="L450" i="17"/>
  <c r="L453" i="17"/>
  <c r="L454" i="17"/>
  <c r="L457" i="17"/>
  <c r="L458" i="17"/>
  <c r="L459" i="17"/>
  <c r="L463" i="17"/>
  <c r="L464" i="17" s="1"/>
  <c r="L465" i="17" s="1"/>
  <c r="L471" i="17"/>
  <c r="L475" i="17"/>
  <c r="L476" i="17"/>
  <c r="L477" i="17"/>
  <c r="L483" i="17"/>
  <c r="L484" i="17"/>
  <c r="L485" i="17"/>
  <c r="L493" i="17"/>
  <c r="L495" i="17"/>
  <c r="B65" i="9"/>
  <c r="B57" i="9"/>
  <c r="J31" i="9"/>
  <c r="I31" i="9"/>
  <c r="H31" i="9"/>
  <c r="G31" i="9"/>
  <c r="F31" i="9"/>
  <c r="E31" i="9"/>
  <c r="D31" i="9"/>
  <c r="C31" i="9"/>
  <c r="W257" i="24" l="1"/>
  <c r="W258" i="25"/>
  <c r="V259" i="25"/>
  <c r="Y525" i="25"/>
  <c r="X530" i="25"/>
  <c r="X256" i="25" s="1"/>
  <c r="W257" i="25"/>
  <c r="V259" i="24"/>
  <c r="Y525" i="23"/>
  <c r="X530" i="23"/>
  <c r="W258" i="24"/>
  <c r="X530" i="24"/>
  <c r="X256" i="24" s="1"/>
  <c r="Y525" i="24"/>
  <c r="L286" i="17"/>
  <c r="L287" i="17" s="1"/>
  <c r="L128" i="17"/>
  <c r="P61" i="24"/>
  <c r="P60" i="24"/>
  <c r="S392" i="24"/>
  <c r="T406" i="24"/>
  <c r="R484" i="24"/>
  <c r="R77" i="24"/>
  <c r="R394" i="24"/>
  <c r="Z92" i="25"/>
  <c r="T392" i="25"/>
  <c r="U406" i="25"/>
  <c r="S484" i="25"/>
  <c r="S77" i="25"/>
  <c r="S394" i="25"/>
  <c r="U392" i="23"/>
  <c r="V406" i="23"/>
  <c r="T484" i="23"/>
  <c r="T77" i="23"/>
  <c r="T394" i="23"/>
  <c r="L429" i="17"/>
  <c r="L420" i="17"/>
  <c r="L409" i="17"/>
  <c r="L413" i="17" s="1"/>
  <c r="L218" i="17"/>
  <c r="L114" i="17" s="1"/>
  <c r="L121" i="17" s="1"/>
  <c r="L241" i="17"/>
  <c r="L460" i="17"/>
  <c r="L379" i="17"/>
  <c r="L444" i="17"/>
  <c r="L445" i="17" s="1"/>
  <c r="L496" i="17"/>
  <c r="L212" i="17"/>
  <c r="L140" i="17"/>
  <c r="L189" i="17"/>
  <c r="L332" i="17"/>
  <c r="L333" i="17" s="1"/>
  <c r="L149" i="17"/>
  <c r="L150" i="17" s="1"/>
  <c r="L350" i="17"/>
  <c r="X257" i="24" l="1"/>
  <c r="X258" i="25"/>
  <c r="W259" i="25"/>
  <c r="W259" i="24"/>
  <c r="Z525" i="23"/>
  <c r="Z530" i="23" s="1"/>
  <c r="Y530" i="23"/>
  <c r="Z525" i="25"/>
  <c r="Z530" i="25" s="1"/>
  <c r="Y530" i="25"/>
  <c r="Y256" i="25" s="1"/>
  <c r="Z525" i="24"/>
  <c r="Z530" i="24" s="1"/>
  <c r="Y530" i="24"/>
  <c r="Y256" i="24" s="1"/>
  <c r="X257" i="25"/>
  <c r="X258" i="24"/>
  <c r="T392" i="24"/>
  <c r="U406" i="24"/>
  <c r="S484" i="24"/>
  <c r="S77" i="24"/>
  <c r="S394" i="24"/>
  <c r="L141" i="17"/>
  <c r="L142" i="17" s="1"/>
  <c r="L191" i="17"/>
  <c r="L194" i="17" s="1"/>
  <c r="U392" i="25"/>
  <c r="V406" i="25"/>
  <c r="T484" i="25"/>
  <c r="T77" i="25"/>
  <c r="T394" i="25"/>
  <c r="V392" i="23"/>
  <c r="W406" i="23"/>
  <c r="U484" i="23"/>
  <c r="U77" i="23"/>
  <c r="U394" i="23"/>
  <c r="L352" i="17"/>
  <c r="L353" i="17" s="1"/>
  <c r="L336" i="17"/>
  <c r="L337" i="17" s="1"/>
  <c r="X259" i="24" l="1"/>
  <c r="Y258" i="25"/>
  <c r="Z256" i="24"/>
  <c r="X259" i="25"/>
  <c r="Y258" i="24"/>
  <c r="Z256" i="25"/>
  <c r="Y257" i="24"/>
  <c r="Y257" i="25"/>
  <c r="U392" i="24"/>
  <c r="V406" i="24"/>
  <c r="T484" i="24"/>
  <c r="T77" i="24"/>
  <c r="T394" i="24"/>
  <c r="U484" i="25"/>
  <c r="U77" i="25"/>
  <c r="U394" i="25"/>
  <c r="V392" i="25"/>
  <c r="W406" i="25"/>
  <c r="V484" i="23"/>
  <c r="V77" i="23"/>
  <c r="V394" i="23"/>
  <c r="W392" i="23"/>
  <c r="X406" i="23"/>
  <c r="L36" i="17"/>
  <c r="L113" i="17"/>
  <c r="Z257" i="24" l="1"/>
  <c r="Z258" i="24"/>
  <c r="Z257" i="25"/>
  <c r="Y259" i="25"/>
  <c r="Y259" i="24"/>
  <c r="Z258" i="25"/>
  <c r="V392" i="24"/>
  <c r="W406" i="24"/>
  <c r="U77" i="24"/>
  <c r="U394" i="24"/>
  <c r="U484" i="24"/>
  <c r="W392" i="25"/>
  <c r="X406" i="25"/>
  <c r="V484" i="25"/>
  <c r="V77" i="25"/>
  <c r="V394" i="25"/>
  <c r="X392" i="23"/>
  <c r="Y406" i="23"/>
  <c r="W484" i="23"/>
  <c r="W77" i="23"/>
  <c r="W394" i="23"/>
  <c r="Z259" i="24" l="1"/>
  <c r="Z259" i="25"/>
  <c r="V484" i="24"/>
  <c r="V394" i="24"/>
  <c r="V77" i="24"/>
  <c r="W392" i="24"/>
  <c r="X406" i="24"/>
  <c r="X392" i="25"/>
  <c r="Y406" i="25"/>
  <c r="W484" i="25"/>
  <c r="W77" i="25"/>
  <c r="W394" i="25"/>
  <c r="Y392" i="23"/>
  <c r="Z406" i="23"/>
  <c r="Z392" i="23" s="1"/>
  <c r="X484" i="23"/>
  <c r="X77" i="23"/>
  <c r="X394" i="23"/>
  <c r="J539" i="17"/>
  <c r="I539" i="17"/>
  <c r="H539" i="17"/>
  <c r="G539" i="17"/>
  <c r="F539" i="17"/>
  <c r="E539" i="17"/>
  <c r="D539" i="17"/>
  <c r="B539" i="17"/>
  <c r="J538" i="17"/>
  <c r="I538" i="17"/>
  <c r="H538" i="17"/>
  <c r="G538" i="17"/>
  <c r="F538" i="17"/>
  <c r="E538" i="17"/>
  <c r="D538" i="17"/>
  <c r="B538" i="17"/>
  <c r="J537" i="17"/>
  <c r="I537" i="17"/>
  <c r="H537" i="17"/>
  <c r="G537" i="17"/>
  <c r="F537" i="17"/>
  <c r="E537" i="17"/>
  <c r="D537" i="17"/>
  <c r="B537" i="17"/>
  <c r="J536" i="17"/>
  <c r="I536" i="17"/>
  <c r="H536" i="17"/>
  <c r="G536" i="17"/>
  <c r="F536" i="17"/>
  <c r="E536" i="17"/>
  <c r="D536" i="17"/>
  <c r="B536" i="17"/>
  <c r="J535" i="17"/>
  <c r="I535" i="17"/>
  <c r="H535" i="17"/>
  <c r="G535" i="17"/>
  <c r="F535" i="17"/>
  <c r="E535" i="17"/>
  <c r="D535" i="17"/>
  <c r="B535" i="17"/>
  <c r="J534" i="17"/>
  <c r="I534" i="17"/>
  <c r="H534" i="17"/>
  <c r="G534" i="17"/>
  <c r="F534" i="17"/>
  <c r="E534" i="17"/>
  <c r="D534" i="17"/>
  <c r="B534" i="17"/>
  <c r="J533" i="17"/>
  <c r="I533" i="17"/>
  <c r="H533" i="17"/>
  <c r="G533" i="17"/>
  <c r="F533" i="17"/>
  <c r="E533" i="17"/>
  <c r="D533" i="17"/>
  <c r="B533" i="17"/>
  <c r="J529" i="17"/>
  <c r="I529" i="17"/>
  <c r="H529" i="17"/>
  <c r="G529" i="17"/>
  <c r="F529" i="17"/>
  <c r="E529" i="17"/>
  <c r="D529" i="17"/>
  <c r="B529" i="17"/>
  <c r="J528" i="17"/>
  <c r="I528" i="17"/>
  <c r="H528" i="17"/>
  <c r="G528" i="17"/>
  <c r="F528" i="17"/>
  <c r="E528" i="17"/>
  <c r="D528" i="17"/>
  <c r="B528" i="17"/>
  <c r="J527" i="17"/>
  <c r="I527" i="17"/>
  <c r="H527" i="17"/>
  <c r="G527" i="17"/>
  <c r="F527" i="17"/>
  <c r="E527" i="17"/>
  <c r="D527" i="17"/>
  <c r="B527" i="17"/>
  <c r="J526" i="17"/>
  <c r="I526" i="17"/>
  <c r="H526" i="17"/>
  <c r="G526" i="17"/>
  <c r="F526" i="17"/>
  <c r="E526" i="17"/>
  <c r="D526" i="17"/>
  <c r="B526" i="17"/>
  <c r="J525" i="17"/>
  <c r="I525" i="17"/>
  <c r="I530" i="17" s="1"/>
  <c r="H525" i="17"/>
  <c r="G525" i="17"/>
  <c r="F525" i="17"/>
  <c r="E525" i="17"/>
  <c r="D525" i="17"/>
  <c r="B525" i="17"/>
  <c r="B499" i="17"/>
  <c r="J495" i="17"/>
  <c r="I495" i="17"/>
  <c r="H495" i="17"/>
  <c r="G495" i="17"/>
  <c r="F495" i="17"/>
  <c r="E495" i="17"/>
  <c r="D495" i="17"/>
  <c r="B495" i="17"/>
  <c r="J493" i="17"/>
  <c r="I493" i="17"/>
  <c r="H493" i="17"/>
  <c r="G493" i="17"/>
  <c r="F493" i="17"/>
  <c r="E493" i="17"/>
  <c r="D493" i="17"/>
  <c r="B493" i="17"/>
  <c r="J492" i="17"/>
  <c r="I492" i="17"/>
  <c r="H492" i="17"/>
  <c r="G492" i="17"/>
  <c r="F492" i="17"/>
  <c r="E492" i="17"/>
  <c r="D492" i="17"/>
  <c r="B492" i="17"/>
  <c r="B490" i="17"/>
  <c r="J485" i="17"/>
  <c r="I485" i="17"/>
  <c r="H485" i="17"/>
  <c r="G485" i="17"/>
  <c r="F485" i="17"/>
  <c r="E485" i="17"/>
  <c r="D485" i="17"/>
  <c r="B485" i="17"/>
  <c r="J484" i="17"/>
  <c r="I484" i="17"/>
  <c r="H484" i="17"/>
  <c r="G484" i="17"/>
  <c r="F484" i="17"/>
  <c r="E484" i="17"/>
  <c r="D484" i="17"/>
  <c r="B484" i="17"/>
  <c r="J483" i="17"/>
  <c r="I483" i="17"/>
  <c r="H483" i="17"/>
  <c r="G483" i="17"/>
  <c r="F483" i="17"/>
  <c r="E483" i="17"/>
  <c r="D483" i="17"/>
  <c r="B483" i="17"/>
  <c r="J480" i="17"/>
  <c r="I480" i="17"/>
  <c r="H480" i="17"/>
  <c r="G480" i="17"/>
  <c r="F480" i="17"/>
  <c r="E480" i="17"/>
  <c r="D480" i="17"/>
  <c r="B480" i="17"/>
  <c r="J479" i="17"/>
  <c r="I479" i="17"/>
  <c r="H479" i="17"/>
  <c r="G479" i="17"/>
  <c r="F479" i="17"/>
  <c r="E479" i="17"/>
  <c r="D479" i="17"/>
  <c r="B479" i="17"/>
  <c r="J478" i="17"/>
  <c r="I478" i="17"/>
  <c r="H478" i="17"/>
  <c r="G478" i="17"/>
  <c r="F478" i="17"/>
  <c r="E478" i="17"/>
  <c r="D478" i="17"/>
  <c r="B478" i="17"/>
  <c r="J477" i="17"/>
  <c r="I477" i="17"/>
  <c r="H477" i="17"/>
  <c r="G477" i="17"/>
  <c r="F477" i="17"/>
  <c r="E477" i="17"/>
  <c r="D477" i="17"/>
  <c r="B477" i="17"/>
  <c r="J476" i="17"/>
  <c r="I476" i="17"/>
  <c r="H476" i="17"/>
  <c r="G476" i="17"/>
  <c r="F476" i="17"/>
  <c r="E476" i="17"/>
  <c r="D476" i="17"/>
  <c r="B476" i="17"/>
  <c r="J475" i="17"/>
  <c r="I475" i="17"/>
  <c r="H475" i="17"/>
  <c r="G475" i="17"/>
  <c r="F475" i="17"/>
  <c r="E475" i="17"/>
  <c r="D475" i="17"/>
  <c r="B475" i="17"/>
  <c r="J474" i="17"/>
  <c r="I474" i="17"/>
  <c r="H474" i="17"/>
  <c r="G474" i="17"/>
  <c r="F474" i="17"/>
  <c r="E474" i="17"/>
  <c r="D474" i="17"/>
  <c r="B474" i="17"/>
  <c r="J471" i="17"/>
  <c r="I471" i="17"/>
  <c r="H471" i="17"/>
  <c r="G471" i="17"/>
  <c r="F471" i="17"/>
  <c r="E471" i="17"/>
  <c r="D471" i="17"/>
  <c r="B471" i="17"/>
  <c r="B469" i="17"/>
  <c r="B464" i="17"/>
  <c r="J463" i="17"/>
  <c r="I463" i="17"/>
  <c r="I464" i="17" s="1"/>
  <c r="I465" i="17" s="1"/>
  <c r="H463" i="17"/>
  <c r="H464" i="17" s="1"/>
  <c r="G463" i="17"/>
  <c r="F463" i="17"/>
  <c r="F464" i="17" s="1"/>
  <c r="E463" i="17"/>
  <c r="E464" i="17" s="1"/>
  <c r="E465" i="17" s="1"/>
  <c r="D463" i="17"/>
  <c r="D464" i="17" s="1"/>
  <c r="B463" i="17"/>
  <c r="B459" i="17"/>
  <c r="Q458" i="17"/>
  <c r="R458" i="17" s="1"/>
  <c r="S458" i="17" s="1"/>
  <c r="T458" i="17" s="1"/>
  <c r="U458" i="17" s="1"/>
  <c r="V458" i="17" s="1"/>
  <c r="W458" i="17" s="1"/>
  <c r="X458" i="17" s="1"/>
  <c r="Y458" i="17" s="1"/>
  <c r="Z458" i="17" s="1"/>
  <c r="J458" i="17"/>
  <c r="I458" i="17"/>
  <c r="H458" i="17"/>
  <c r="G458" i="17"/>
  <c r="F458" i="17"/>
  <c r="E458" i="17"/>
  <c r="D458" i="17"/>
  <c r="B458" i="17"/>
  <c r="J457" i="17"/>
  <c r="J459" i="17" s="1"/>
  <c r="I457" i="17"/>
  <c r="I459" i="17" s="1"/>
  <c r="I460" i="17" s="1"/>
  <c r="H457" i="17"/>
  <c r="H459" i="17" s="1"/>
  <c r="G457" i="17"/>
  <c r="G459" i="17" s="1"/>
  <c r="G460" i="17" s="1"/>
  <c r="F457" i="17"/>
  <c r="F459" i="17" s="1"/>
  <c r="E457" i="17"/>
  <c r="D457" i="17"/>
  <c r="D459" i="17" s="1"/>
  <c r="B457" i="17"/>
  <c r="J454" i="17"/>
  <c r="I454" i="17"/>
  <c r="H454" i="17"/>
  <c r="G454" i="17"/>
  <c r="F454" i="17"/>
  <c r="E454" i="17"/>
  <c r="D454" i="17"/>
  <c r="B454" i="17"/>
  <c r="J453" i="17"/>
  <c r="I453" i="17"/>
  <c r="H453" i="17"/>
  <c r="G453" i="17"/>
  <c r="F453" i="17"/>
  <c r="E453" i="17"/>
  <c r="D453" i="17"/>
  <c r="B453" i="17"/>
  <c r="J450" i="17"/>
  <c r="I450" i="17"/>
  <c r="H450" i="17"/>
  <c r="G450" i="17"/>
  <c r="F450" i="17"/>
  <c r="E450" i="17"/>
  <c r="D450" i="17"/>
  <c r="B450" i="17"/>
  <c r="J449" i="17"/>
  <c r="I449" i="17"/>
  <c r="H449" i="17"/>
  <c r="G449" i="17"/>
  <c r="F449" i="17"/>
  <c r="E449" i="17"/>
  <c r="D449" i="17"/>
  <c r="B449" i="17"/>
  <c r="J446" i="17"/>
  <c r="I446" i="17"/>
  <c r="H446" i="17"/>
  <c r="G446" i="17"/>
  <c r="F446" i="17"/>
  <c r="E446" i="17"/>
  <c r="D446" i="17"/>
  <c r="B446" i="17"/>
  <c r="B444" i="17"/>
  <c r="J443" i="17"/>
  <c r="I443" i="17"/>
  <c r="H443" i="17"/>
  <c r="G443" i="17"/>
  <c r="F443" i="17"/>
  <c r="E443" i="17"/>
  <c r="D443" i="17"/>
  <c r="B443" i="17"/>
  <c r="J439" i="17"/>
  <c r="I439" i="17"/>
  <c r="H439" i="17"/>
  <c r="G439" i="17"/>
  <c r="F439" i="17"/>
  <c r="E439" i="17"/>
  <c r="D439" i="17"/>
  <c r="B439" i="17"/>
  <c r="Q435" i="17"/>
  <c r="R435" i="17" s="1"/>
  <c r="S435" i="17" s="1"/>
  <c r="T435" i="17" s="1"/>
  <c r="U435" i="17" s="1"/>
  <c r="V435" i="17" s="1"/>
  <c r="W435" i="17" s="1"/>
  <c r="X435" i="17" s="1"/>
  <c r="Y435" i="17" s="1"/>
  <c r="Z435" i="17" s="1"/>
  <c r="J435" i="17"/>
  <c r="I435" i="17"/>
  <c r="H435" i="17"/>
  <c r="G435" i="17"/>
  <c r="F435" i="17"/>
  <c r="E435" i="17"/>
  <c r="D435" i="17"/>
  <c r="B435" i="17"/>
  <c r="J434" i="17"/>
  <c r="I434" i="17"/>
  <c r="H434" i="17"/>
  <c r="G434" i="17"/>
  <c r="F434" i="17"/>
  <c r="E434" i="17"/>
  <c r="D434" i="17"/>
  <c r="B434" i="17"/>
  <c r="J433" i="17"/>
  <c r="I433" i="17"/>
  <c r="H433" i="17"/>
  <c r="G433" i="17"/>
  <c r="F433" i="17"/>
  <c r="E433" i="17"/>
  <c r="D433" i="17"/>
  <c r="B433" i="17"/>
  <c r="J428" i="17"/>
  <c r="I428" i="17"/>
  <c r="H428" i="17"/>
  <c r="G428" i="17"/>
  <c r="F428" i="17"/>
  <c r="E428" i="17"/>
  <c r="D428" i="17"/>
  <c r="B428" i="17"/>
  <c r="J427" i="17"/>
  <c r="I427" i="17"/>
  <c r="H427" i="17"/>
  <c r="G427" i="17"/>
  <c r="F427" i="17"/>
  <c r="E427" i="17"/>
  <c r="E429" i="17" s="1"/>
  <c r="D427" i="17"/>
  <c r="B427" i="17"/>
  <c r="J424" i="17"/>
  <c r="I424" i="17"/>
  <c r="H424" i="17"/>
  <c r="G424" i="17"/>
  <c r="F424" i="17"/>
  <c r="E424" i="17"/>
  <c r="D424" i="17"/>
  <c r="B424" i="17"/>
  <c r="J423" i="17"/>
  <c r="I423" i="17"/>
  <c r="H423" i="17"/>
  <c r="G423" i="17"/>
  <c r="F423" i="17"/>
  <c r="E423" i="17"/>
  <c r="D423" i="17"/>
  <c r="B423" i="17"/>
  <c r="J419" i="17"/>
  <c r="I419" i="17"/>
  <c r="H419" i="17"/>
  <c r="G419" i="17"/>
  <c r="F419" i="17"/>
  <c r="E419" i="17"/>
  <c r="D419" i="17"/>
  <c r="B419" i="17"/>
  <c r="J418" i="17"/>
  <c r="I418" i="17"/>
  <c r="H418" i="17"/>
  <c r="G418" i="17"/>
  <c r="F418" i="17"/>
  <c r="E418" i="17"/>
  <c r="D418" i="17"/>
  <c r="B418" i="17"/>
  <c r="J417" i="17"/>
  <c r="I417" i="17"/>
  <c r="I420" i="17" s="1"/>
  <c r="H417" i="17"/>
  <c r="H420" i="17" s="1"/>
  <c r="G417" i="17"/>
  <c r="F417" i="17"/>
  <c r="E417" i="17"/>
  <c r="D417" i="17"/>
  <c r="B417" i="17"/>
  <c r="J414" i="17"/>
  <c r="I414" i="17"/>
  <c r="H414" i="17"/>
  <c r="G414" i="17"/>
  <c r="F414" i="17"/>
  <c r="E414" i="17"/>
  <c r="D414" i="17"/>
  <c r="B414" i="17"/>
  <c r="B413" i="17"/>
  <c r="J410" i="17"/>
  <c r="I410" i="17"/>
  <c r="H410" i="17"/>
  <c r="G410" i="17"/>
  <c r="G409" i="17" s="1"/>
  <c r="G413" i="17" s="1"/>
  <c r="F410" i="17"/>
  <c r="E410" i="17"/>
  <c r="D410" i="17"/>
  <c r="B410" i="17"/>
  <c r="B409" i="17"/>
  <c r="Y405" i="17"/>
  <c r="X405" i="17"/>
  <c r="W405" i="17"/>
  <c r="V405" i="17"/>
  <c r="U405" i="17"/>
  <c r="T405" i="17"/>
  <c r="S405" i="17"/>
  <c r="R405" i="17"/>
  <c r="Q405" i="17"/>
  <c r="J405" i="17"/>
  <c r="I405" i="17"/>
  <c r="H405" i="17"/>
  <c r="G405" i="17"/>
  <c r="F405" i="17"/>
  <c r="E405" i="17"/>
  <c r="D405" i="17"/>
  <c r="B405" i="17"/>
  <c r="Y404" i="17"/>
  <c r="Y159" i="17" s="1"/>
  <c r="X404" i="17"/>
  <c r="X159" i="17" s="1"/>
  <c r="W404" i="17"/>
  <c r="V404" i="17"/>
  <c r="V159" i="17" s="1"/>
  <c r="U404" i="17"/>
  <c r="T404" i="17"/>
  <c r="S404" i="17"/>
  <c r="R404" i="17"/>
  <c r="Q404" i="17"/>
  <c r="Q159" i="17" s="1"/>
  <c r="J404" i="17"/>
  <c r="I404" i="17"/>
  <c r="H404" i="17"/>
  <c r="G404" i="17"/>
  <c r="G159" i="17" s="1"/>
  <c r="F404" i="17"/>
  <c r="F159" i="17" s="1"/>
  <c r="E404" i="17"/>
  <c r="E159" i="17" s="1"/>
  <c r="D404" i="17"/>
  <c r="D159" i="17" s="1"/>
  <c r="B404" i="17"/>
  <c r="Y403" i="17"/>
  <c r="X403" i="17"/>
  <c r="W403" i="17"/>
  <c r="V403" i="17"/>
  <c r="U403" i="17"/>
  <c r="T403" i="17"/>
  <c r="S403" i="17"/>
  <c r="R403" i="17"/>
  <c r="Q403" i="17"/>
  <c r="J403" i="17"/>
  <c r="I403" i="17"/>
  <c r="H403" i="17"/>
  <c r="G403" i="17"/>
  <c r="F403" i="17"/>
  <c r="E403" i="17"/>
  <c r="D403" i="17"/>
  <c r="B403" i="17"/>
  <c r="Y402" i="17"/>
  <c r="X402" i="17"/>
  <c r="W402" i="17"/>
  <c r="W538" i="17" s="1"/>
  <c r="V402" i="17"/>
  <c r="V116" i="17" s="1"/>
  <c r="U402" i="17"/>
  <c r="T402" i="17"/>
  <c r="T263" i="17" s="1"/>
  <c r="S402" i="17"/>
  <c r="S116" i="17" s="1"/>
  <c r="R402" i="17"/>
  <c r="Q402" i="17"/>
  <c r="J402" i="17"/>
  <c r="J263" i="17" s="1"/>
  <c r="I402" i="17"/>
  <c r="I263" i="17" s="1"/>
  <c r="H402" i="17"/>
  <c r="H263" i="17" s="1"/>
  <c r="G402" i="17"/>
  <c r="G263" i="17" s="1"/>
  <c r="F402" i="17"/>
  <c r="E402" i="17"/>
  <c r="D402" i="17"/>
  <c r="D263" i="17" s="1"/>
  <c r="B402" i="17"/>
  <c r="Y401" i="17"/>
  <c r="X401" i="17"/>
  <c r="W401" i="17"/>
  <c r="V401" i="17"/>
  <c r="U401" i="17"/>
  <c r="T401" i="17"/>
  <c r="S401" i="17"/>
  <c r="R401" i="17"/>
  <c r="Q401" i="17"/>
  <c r="J401" i="17"/>
  <c r="I401" i="17"/>
  <c r="H401" i="17"/>
  <c r="G401" i="17"/>
  <c r="F401" i="17"/>
  <c r="E401" i="17"/>
  <c r="D401" i="17"/>
  <c r="B401" i="17"/>
  <c r="Y400" i="17"/>
  <c r="X400" i="17"/>
  <c r="W400" i="17"/>
  <c r="V400" i="17"/>
  <c r="U400" i="17"/>
  <c r="T400" i="17"/>
  <c r="S400" i="17"/>
  <c r="R400" i="17"/>
  <c r="Q400" i="17"/>
  <c r="J400" i="17"/>
  <c r="I400" i="17"/>
  <c r="H400" i="17"/>
  <c r="G400" i="17"/>
  <c r="F400" i="17"/>
  <c r="E400" i="17"/>
  <c r="D400" i="17"/>
  <c r="B400" i="17"/>
  <c r="B396" i="17"/>
  <c r="J395" i="17"/>
  <c r="I395" i="17"/>
  <c r="H395" i="17"/>
  <c r="G395" i="17"/>
  <c r="F395" i="17"/>
  <c r="E395" i="17"/>
  <c r="D395" i="17"/>
  <c r="B395" i="17"/>
  <c r="B391" i="17"/>
  <c r="J388" i="17"/>
  <c r="I388" i="17"/>
  <c r="H388" i="17"/>
  <c r="G388" i="17"/>
  <c r="F388" i="17"/>
  <c r="E388" i="17"/>
  <c r="D388" i="17"/>
  <c r="B388" i="17"/>
  <c r="J386" i="17"/>
  <c r="J468" i="17" s="1"/>
  <c r="J469" i="17" s="1"/>
  <c r="I386" i="17"/>
  <c r="I468" i="17" s="1"/>
  <c r="H386" i="17"/>
  <c r="H468" i="17" s="1"/>
  <c r="H469" i="17" s="1"/>
  <c r="G386" i="17"/>
  <c r="G468" i="17" s="1"/>
  <c r="F386" i="17"/>
  <c r="F468" i="17" s="1"/>
  <c r="E386" i="17"/>
  <c r="E468" i="17" s="1"/>
  <c r="D386" i="17"/>
  <c r="D468" i="17" s="1"/>
  <c r="B386" i="17"/>
  <c r="J385" i="17"/>
  <c r="I385" i="17"/>
  <c r="H385" i="17"/>
  <c r="G385" i="17"/>
  <c r="F385" i="17"/>
  <c r="E385" i="17"/>
  <c r="D385" i="17"/>
  <c r="B385" i="17"/>
  <c r="J384" i="17"/>
  <c r="I384" i="17"/>
  <c r="H384" i="17"/>
  <c r="G384" i="17"/>
  <c r="F384" i="17"/>
  <c r="E384" i="17"/>
  <c r="D384" i="17"/>
  <c r="B384" i="17"/>
  <c r="J381" i="17"/>
  <c r="I381" i="17"/>
  <c r="H381" i="17"/>
  <c r="G381" i="17"/>
  <c r="F381" i="17"/>
  <c r="E381" i="17"/>
  <c r="D381" i="17"/>
  <c r="B381" i="17"/>
  <c r="J380" i="17"/>
  <c r="J486" i="17" s="1"/>
  <c r="I380" i="17"/>
  <c r="I486" i="17" s="1"/>
  <c r="H380" i="17"/>
  <c r="H486" i="17" s="1"/>
  <c r="G380" i="17"/>
  <c r="G486" i="17" s="1"/>
  <c r="F380" i="17"/>
  <c r="F486" i="17" s="1"/>
  <c r="E380" i="17"/>
  <c r="E486" i="17" s="1"/>
  <c r="D380" i="17"/>
  <c r="D486" i="17" s="1"/>
  <c r="B380" i="17"/>
  <c r="J378" i="17"/>
  <c r="J331" i="17" s="1"/>
  <c r="J332" i="17" s="1"/>
  <c r="J333" i="17" s="1"/>
  <c r="I378" i="17"/>
  <c r="I331" i="17" s="1"/>
  <c r="I332" i="17" s="1"/>
  <c r="I333" i="17" s="1"/>
  <c r="H378" i="17"/>
  <c r="H331" i="17" s="1"/>
  <c r="H332" i="17" s="1"/>
  <c r="G378" i="17"/>
  <c r="F378" i="17"/>
  <c r="F331" i="17" s="1"/>
  <c r="F332" i="17" s="1"/>
  <c r="F333" i="17" s="1"/>
  <c r="E378" i="17"/>
  <c r="E331" i="17" s="1"/>
  <c r="D378" i="17"/>
  <c r="D331" i="17" s="1"/>
  <c r="D332" i="17" s="1"/>
  <c r="D333" i="17" s="1"/>
  <c r="B378" i="17"/>
  <c r="J377" i="17"/>
  <c r="J271" i="17" s="1"/>
  <c r="I377" i="17"/>
  <c r="I271" i="17" s="1"/>
  <c r="H377" i="17"/>
  <c r="H271" i="17" s="1"/>
  <c r="G377" i="17"/>
  <c r="F377" i="17"/>
  <c r="F271" i="17" s="1"/>
  <c r="E377" i="17"/>
  <c r="D377" i="17"/>
  <c r="D271" i="17" s="1"/>
  <c r="B377" i="17"/>
  <c r="J376" i="17"/>
  <c r="I376" i="17"/>
  <c r="H376" i="17"/>
  <c r="G376" i="17"/>
  <c r="F376" i="17"/>
  <c r="E376" i="17"/>
  <c r="D376" i="17"/>
  <c r="B376" i="17"/>
  <c r="J375" i="17"/>
  <c r="I375" i="17"/>
  <c r="H375" i="17"/>
  <c r="G375" i="17"/>
  <c r="G379" i="17" s="1"/>
  <c r="F375" i="17"/>
  <c r="F379" i="17" s="1"/>
  <c r="E375" i="17"/>
  <c r="E379" i="17" s="1"/>
  <c r="D375" i="17"/>
  <c r="D379" i="17" s="1"/>
  <c r="D382" i="17" s="1"/>
  <c r="B375" i="17"/>
  <c r="B371" i="17"/>
  <c r="J370" i="17"/>
  <c r="I370" i="17"/>
  <c r="H370" i="17"/>
  <c r="G370" i="17"/>
  <c r="F370" i="17"/>
  <c r="E370" i="17"/>
  <c r="D370" i="17"/>
  <c r="B370" i="17"/>
  <c r="J369" i="17"/>
  <c r="I369" i="17"/>
  <c r="H369" i="17"/>
  <c r="G369" i="17"/>
  <c r="F369" i="17"/>
  <c r="E369" i="17"/>
  <c r="D369" i="17"/>
  <c r="B369" i="17"/>
  <c r="B367" i="17"/>
  <c r="B362" i="17"/>
  <c r="J361" i="17"/>
  <c r="I361" i="17"/>
  <c r="H361" i="17"/>
  <c r="G361" i="17"/>
  <c r="F361" i="17"/>
  <c r="E361" i="17"/>
  <c r="D361" i="17"/>
  <c r="B361" i="17"/>
  <c r="J360" i="17"/>
  <c r="I360" i="17"/>
  <c r="H360" i="17"/>
  <c r="G360" i="17"/>
  <c r="F360" i="17"/>
  <c r="E360" i="17"/>
  <c r="D360" i="17"/>
  <c r="B360" i="17"/>
  <c r="B358" i="17"/>
  <c r="J354" i="17"/>
  <c r="I354" i="17"/>
  <c r="H354" i="17"/>
  <c r="G354" i="17"/>
  <c r="F354" i="17"/>
  <c r="E354" i="17"/>
  <c r="D354" i="17"/>
  <c r="B354" i="17"/>
  <c r="B352" i="17"/>
  <c r="J351" i="17"/>
  <c r="I351" i="17"/>
  <c r="H351" i="17"/>
  <c r="G351" i="17"/>
  <c r="F351" i="17"/>
  <c r="E351" i="17"/>
  <c r="D351" i="17"/>
  <c r="B351" i="17"/>
  <c r="J347" i="17"/>
  <c r="I347" i="17"/>
  <c r="H347" i="17"/>
  <c r="G347" i="17"/>
  <c r="F347" i="17"/>
  <c r="E347" i="17"/>
  <c r="D347" i="17"/>
  <c r="B347" i="17"/>
  <c r="B345" i="17"/>
  <c r="J341" i="17"/>
  <c r="I341" i="17"/>
  <c r="H341" i="17"/>
  <c r="G341" i="17"/>
  <c r="F341" i="17"/>
  <c r="F37" i="17" s="1"/>
  <c r="E341" i="17"/>
  <c r="E37" i="17" s="1"/>
  <c r="D341" i="17"/>
  <c r="D37" i="17" s="1"/>
  <c r="B341" i="17"/>
  <c r="J340" i="17"/>
  <c r="I340" i="17"/>
  <c r="H340" i="17"/>
  <c r="G340" i="17"/>
  <c r="F340" i="17"/>
  <c r="E340" i="17"/>
  <c r="D340" i="17"/>
  <c r="B340" i="17"/>
  <c r="B336" i="17"/>
  <c r="J335" i="17"/>
  <c r="I335" i="17"/>
  <c r="H335" i="17"/>
  <c r="G335" i="17"/>
  <c r="F335" i="17"/>
  <c r="E335" i="17"/>
  <c r="D335" i="17"/>
  <c r="B335" i="17"/>
  <c r="Q334" i="17"/>
  <c r="R334" i="17" s="1"/>
  <c r="S334" i="17" s="1"/>
  <c r="T334" i="17" s="1"/>
  <c r="U334" i="17" s="1"/>
  <c r="V334" i="17" s="1"/>
  <c r="W334" i="17" s="1"/>
  <c r="X334" i="17" s="1"/>
  <c r="Y334" i="17" s="1"/>
  <c r="Z334" i="17" s="1"/>
  <c r="J334" i="17"/>
  <c r="I334" i="17"/>
  <c r="H334" i="17"/>
  <c r="G334" i="17"/>
  <c r="F334" i="17"/>
  <c r="E334" i="17"/>
  <c r="D334" i="17"/>
  <c r="B334" i="17"/>
  <c r="B332" i="17"/>
  <c r="G331" i="17"/>
  <c r="G332" i="17" s="1"/>
  <c r="J328" i="17"/>
  <c r="I328" i="17"/>
  <c r="H328" i="17"/>
  <c r="G328" i="17"/>
  <c r="F328" i="17"/>
  <c r="E328" i="17"/>
  <c r="D328" i="17"/>
  <c r="B328" i="17"/>
  <c r="J327" i="17"/>
  <c r="I327" i="17"/>
  <c r="H327" i="17"/>
  <c r="G327" i="17"/>
  <c r="F327" i="17"/>
  <c r="E327" i="17"/>
  <c r="D327" i="17"/>
  <c r="B327" i="17"/>
  <c r="J326" i="17"/>
  <c r="I326" i="17"/>
  <c r="H326" i="17"/>
  <c r="G326" i="17"/>
  <c r="F326" i="17"/>
  <c r="E326" i="17"/>
  <c r="D326" i="17"/>
  <c r="B326" i="17"/>
  <c r="J320" i="17"/>
  <c r="I320" i="17"/>
  <c r="H320" i="17"/>
  <c r="G320" i="17"/>
  <c r="F320" i="17"/>
  <c r="E320" i="17"/>
  <c r="D320" i="17"/>
  <c r="B320" i="17"/>
  <c r="J319" i="17"/>
  <c r="I319" i="17"/>
  <c r="H319" i="17"/>
  <c r="G319" i="17"/>
  <c r="F319" i="17"/>
  <c r="E319" i="17"/>
  <c r="D319" i="17"/>
  <c r="B319" i="17"/>
  <c r="J316" i="17"/>
  <c r="I316" i="17"/>
  <c r="H316" i="17"/>
  <c r="G316" i="17"/>
  <c r="F316" i="17"/>
  <c r="E316" i="17"/>
  <c r="D316" i="17"/>
  <c r="B316" i="17"/>
  <c r="B314" i="17"/>
  <c r="J313" i="17"/>
  <c r="J314" i="17" s="1"/>
  <c r="J315" i="17" s="1"/>
  <c r="I313" i="17"/>
  <c r="I314" i="17" s="1"/>
  <c r="H313" i="17"/>
  <c r="H314" i="17" s="1"/>
  <c r="H315" i="17" s="1"/>
  <c r="G313" i="17"/>
  <c r="G314" i="17" s="1"/>
  <c r="G315" i="17" s="1"/>
  <c r="F313" i="17"/>
  <c r="E313" i="17"/>
  <c r="E314" i="17" s="1"/>
  <c r="E315" i="17" s="1"/>
  <c r="D313" i="17"/>
  <c r="D314" i="17" s="1"/>
  <c r="D315" i="17" s="1"/>
  <c r="B313" i="17"/>
  <c r="J310" i="17"/>
  <c r="I310" i="17"/>
  <c r="H310" i="17"/>
  <c r="G310" i="17"/>
  <c r="F310" i="17"/>
  <c r="E310" i="17"/>
  <c r="D310" i="17"/>
  <c r="B310" i="17"/>
  <c r="J309" i="17"/>
  <c r="I309" i="17"/>
  <c r="H309" i="17"/>
  <c r="G309" i="17"/>
  <c r="F309" i="17"/>
  <c r="E309" i="17"/>
  <c r="D309" i="17"/>
  <c r="B309" i="17"/>
  <c r="J306" i="17"/>
  <c r="I306" i="17"/>
  <c r="H306" i="17"/>
  <c r="G306" i="17"/>
  <c r="F306" i="17"/>
  <c r="E306" i="17"/>
  <c r="D306" i="17"/>
  <c r="B306" i="17"/>
  <c r="J305" i="17"/>
  <c r="I305" i="17"/>
  <c r="H305" i="17"/>
  <c r="G305" i="17"/>
  <c r="F305" i="17"/>
  <c r="E305" i="17"/>
  <c r="D305" i="17"/>
  <c r="B305" i="17"/>
  <c r="J302" i="17"/>
  <c r="I302" i="17"/>
  <c r="H302" i="17"/>
  <c r="G302" i="17"/>
  <c r="F302" i="17"/>
  <c r="E302" i="17"/>
  <c r="D302" i="17"/>
  <c r="B302" i="17"/>
  <c r="J301" i="17"/>
  <c r="I301" i="17"/>
  <c r="H301" i="17"/>
  <c r="G301" i="17"/>
  <c r="F301" i="17"/>
  <c r="E301" i="17"/>
  <c r="D301" i="17"/>
  <c r="B301" i="17"/>
  <c r="J298" i="17"/>
  <c r="I298" i="17"/>
  <c r="H298" i="17"/>
  <c r="G298" i="17"/>
  <c r="F298" i="17"/>
  <c r="E298" i="17"/>
  <c r="D298" i="17"/>
  <c r="B298" i="17"/>
  <c r="J297" i="17"/>
  <c r="I297" i="17"/>
  <c r="H297" i="17"/>
  <c r="G297" i="17"/>
  <c r="F297" i="17"/>
  <c r="E297" i="17"/>
  <c r="D297" i="17"/>
  <c r="B297" i="17"/>
  <c r="J294" i="17"/>
  <c r="I294" i="17"/>
  <c r="H294" i="17"/>
  <c r="G294" i="17"/>
  <c r="F294" i="17"/>
  <c r="E294" i="17"/>
  <c r="D294" i="17"/>
  <c r="B294" i="17"/>
  <c r="B292" i="17"/>
  <c r="B286" i="17"/>
  <c r="J285" i="17"/>
  <c r="I285" i="17"/>
  <c r="H285" i="17"/>
  <c r="G285" i="17"/>
  <c r="F285" i="17"/>
  <c r="E285" i="17"/>
  <c r="D285" i="17"/>
  <c r="B285" i="17"/>
  <c r="J284" i="17"/>
  <c r="I284" i="17"/>
  <c r="H284" i="17"/>
  <c r="G284" i="17"/>
  <c r="F284" i="17"/>
  <c r="E284" i="17"/>
  <c r="D284" i="17"/>
  <c r="B284" i="17"/>
  <c r="J283" i="17"/>
  <c r="I283" i="17"/>
  <c r="H283" i="17"/>
  <c r="G283" i="17"/>
  <c r="G286" i="17" s="1"/>
  <c r="F283" i="17"/>
  <c r="E283" i="17"/>
  <c r="E286" i="17" s="1"/>
  <c r="D283" i="17"/>
  <c r="B283" i="17"/>
  <c r="J280" i="17"/>
  <c r="I280" i="17"/>
  <c r="H280" i="17"/>
  <c r="G280" i="17"/>
  <c r="F280" i="17"/>
  <c r="E280" i="17"/>
  <c r="D280" i="17"/>
  <c r="B280" i="17"/>
  <c r="J279" i="17"/>
  <c r="I279" i="17"/>
  <c r="H279" i="17"/>
  <c r="G279" i="17"/>
  <c r="F279" i="17"/>
  <c r="E279" i="17"/>
  <c r="D279" i="17"/>
  <c r="B279" i="17"/>
  <c r="J276" i="17"/>
  <c r="I276" i="17"/>
  <c r="H276" i="17"/>
  <c r="G276" i="17"/>
  <c r="F276" i="17"/>
  <c r="E276" i="17"/>
  <c r="D276" i="17"/>
  <c r="B276" i="17"/>
  <c r="B274" i="17"/>
  <c r="J273" i="17"/>
  <c r="I273" i="17"/>
  <c r="H273" i="17"/>
  <c r="G273" i="17"/>
  <c r="F273" i="17"/>
  <c r="E273" i="17"/>
  <c r="D273" i="17"/>
  <c r="G271" i="17"/>
  <c r="E271" i="17"/>
  <c r="B267" i="17"/>
  <c r="J266" i="17"/>
  <c r="I266" i="17"/>
  <c r="H266" i="17"/>
  <c r="G266" i="17"/>
  <c r="F266" i="17"/>
  <c r="E266" i="17"/>
  <c r="D266" i="17"/>
  <c r="B266" i="17"/>
  <c r="B264" i="17"/>
  <c r="Y263" i="17"/>
  <c r="X263" i="17"/>
  <c r="U263" i="17"/>
  <c r="R263" i="17"/>
  <c r="Q263" i="17"/>
  <c r="F263" i="17"/>
  <c r="E263" i="17"/>
  <c r="B258" i="17"/>
  <c r="J257" i="17"/>
  <c r="I257" i="17"/>
  <c r="H257" i="17"/>
  <c r="G257" i="17"/>
  <c r="F257" i="17"/>
  <c r="E257" i="17"/>
  <c r="D257" i="17"/>
  <c r="B257" i="17"/>
  <c r="J256" i="17"/>
  <c r="J258" i="17" s="1"/>
  <c r="I256" i="17"/>
  <c r="I258" i="17" s="1"/>
  <c r="H256" i="17"/>
  <c r="H258" i="17" s="1"/>
  <c r="G256" i="17"/>
  <c r="F256" i="17"/>
  <c r="E256" i="17"/>
  <c r="D256" i="17"/>
  <c r="B256" i="17"/>
  <c r="Q253" i="17"/>
  <c r="J253" i="17"/>
  <c r="I253" i="17"/>
  <c r="H253" i="17"/>
  <c r="G253" i="17"/>
  <c r="F253" i="17"/>
  <c r="E253" i="17"/>
  <c r="D253" i="17"/>
  <c r="B253" i="17"/>
  <c r="Q252" i="17"/>
  <c r="R252" i="17" s="1"/>
  <c r="S252" i="17" s="1"/>
  <c r="T252" i="17" s="1"/>
  <c r="U252" i="17" s="1"/>
  <c r="V252" i="17" s="1"/>
  <c r="W252" i="17" s="1"/>
  <c r="X252" i="17" s="1"/>
  <c r="Y252" i="17" s="1"/>
  <c r="Z252" i="17" s="1"/>
  <c r="J252" i="17"/>
  <c r="I252" i="17"/>
  <c r="H252" i="17"/>
  <c r="G252" i="17"/>
  <c r="F252" i="17"/>
  <c r="E252" i="17"/>
  <c r="D252" i="17"/>
  <c r="B252" i="17"/>
  <c r="J249" i="17"/>
  <c r="I249" i="17"/>
  <c r="H249" i="17"/>
  <c r="G249" i="17"/>
  <c r="F249" i="17"/>
  <c r="E249" i="17"/>
  <c r="D249" i="17"/>
  <c r="B249" i="17"/>
  <c r="J248" i="17"/>
  <c r="I248" i="17"/>
  <c r="H248" i="17"/>
  <c r="G248" i="17"/>
  <c r="F248" i="17"/>
  <c r="E248" i="17"/>
  <c r="D248" i="17"/>
  <c r="B248" i="17"/>
  <c r="B247" i="17"/>
  <c r="J243" i="17"/>
  <c r="I243" i="17"/>
  <c r="H243" i="17"/>
  <c r="G243" i="17"/>
  <c r="F243" i="17"/>
  <c r="E243" i="17"/>
  <c r="D243" i="17"/>
  <c r="B243" i="17"/>
  <c r="Q242" i="17"/>
  <c r="R242" i="17" s="1"/>
  <c r="S242" i="17" s="1"/>
  <c r="T242" i="17" s="1"/>
  <c r="U242" i="17" s="1"/>
  <c r="V242" i="17" s="1"/>
  <c r="W242" i="17" s="1"/>
  <c r="X242" i="17" s="1"/>
  <c r="Y242" i="17" s="1"/>
  <c r="Z242" i="17" s="1"/>
  <c r="J242" i="17"/>
  <c r="I242" i="17"/>
  <c r="H242" i="17"/>
  <c r="G242" i="17"/>
  <c r="F242" i="17"/>
  <c r="E242" i="17"/>
  <c r="D242" i="17"/>
  <c r="B242" i="17"/>
  <c r="J240" i="17"/>
  <c r="I240" i="17"/>
  <c r="H240" i="17"/>
  <c r="G240" i="17"/>
  <c r="F240" i="17"/>
  <c r="E240" i="17"/>
  <c r="D240" i="17"/>
  <c r="B240" i="17"/>
  <c r="J239" i="17"/>
  <c r="I239" i="17"/>
  <c r="H239" i="17"/>
  <c r="G239" i="17"/>
  <c r="F239" i="17"/>
  <c r="E239" i="17"/>
  <c r="D239" i="17"/>
  <c r="B239" i="17"/>
  <c r="J238" i="17"/>
  <c r="J290" i="17" s="1"/>
  <c r="I238" i="17"/>
  <c r="H238" i="17"/>
  <c r="H290" i="17" s="1"/>
  <c r="G238" i="17"/>
  <c r="G290" i="17" s="1"/>
  <c r="F238" i="17"/>
  <c r="F290" i="17" s="1"/>
  <c r="E238" i="17"/>
  <c r="E290" i="17" s="1"/>
  <c r="D238" i="17"/>
  <c r="D290" i="17" s="1"/>
  <c r="B238" i="17"/>
  <c r="J233" i="17"/>
  <c r="I233" i="17"/>
  <c r="H233" i="17"/>
  <c r="G233" i="17"/>
  <c r="F233" i="17"/>
  <c r="E233" i="17"/>
  <c r="D233" i="17"/>
  <c r="B233" i="17"/>
  <c r="J232" i="17"/>
  <c r="I232" i="17"/>
  <c r="H232" i="17"/>
  <c r="G232" i="17"/>
  <c r="F232" i="17"/>
  <c r="E232" i="17"/>
  <c r="D232" i="17"/>
  <c r="B232" i="17"/>
  <c r="J231" i="17"/>
  <c r="I231" i="17"/>
  <c r="H231" i="17"/>
  <c r="G231" i="17"/>
  <c r="F231" i="17"/>
  <c r="E231" i="17"/>
  <c r="D231" i="17"/>
  <c r="B231" i="17"/>
  <c r="J230" i="17"/>
  <c r="I230" i="17"/>
  <c r="H230" i="17"/>
  <c r="G230" i="17"/>
  <c r="F230" i="17"/>
  <c r="E230" i="17"/>
  <c r="D230" i="17"/>
  <c r="D234" i="17" s="1"/>
  <c r="B230" i="17"/>
  <c r="J226" i="17"/>
  <c r="I226" i="17"/>
  <c r="H226" i="17"/>
  <c r="G226" i="17"/>
  <c r="F226" i="17"/>
  <c r="E226" i="17"/>
  <c r="D226" i="17"/>
  <c r="B226" i="17"/>
  <c r="J225" i="17"/>
  <c r="I225" i="17"/>
  <c r="H225" i="17"/>
  <c r="G225" i="17"/>
  <c r="F225" i="17"/>
  <c r="E225" i="17"/>
  <c r="D225" i="17"/>
  <c r="B225" i="17"/>
  <c r="J224" i="17"/>
  <c r="I224" i="17"/>
  <c r="H224" i="17"/>
  <c r="G224" i="17"/>
  <c r="F224" i="17"/>
  <c r="E224" i="17"/>
  <c r="D224" i="17"/>
  <c r="B224" i="17"/>
  <c r="J223" i="17"/>
  <c r="I223" i="17"/>
  <c r="H223" i="17"/>
  <c r="G223" i="17"/>
  <c r="F223" i="17"/>
  <c r="E223" i="17"/>
  <c r="D223" i="17"/>
  <c r="B223" i="17"/>
  <c r="J220" i="17"/>
  <c r="I220" i="17"/>
  <c r="H220" i="17"/>
  <c r="G220" i="17"/>
  <c r="F220" i="17"/>
  <c r="E220" i="17"/>
  <c r="D220" i="17"/>
  <c r="B220" i="17"/>
  <c r="J219" i="17"/>
  <c r="I219" i="17"/>
  <c r="H219" i="17"/>
  <c r="G219" i="17"/>
  <c r="F219" i="17"/>
  <c r="E219" i="17"/>
  <c r="D219" i="17"/>
  <c r="B219" i="17"/>
  <c r="J217" i="17"/>
  <c r="I217" i="17"/>
  <c r="H217" i="17"/>
  <c r="G217" i="17"/>
  <c r="F217" i="17"/>
  <c r="E217" i="17"/>
  <c r="D217" i="17"/>
  <c r="B217" i="17"/>
  <c r="J216" i="17"/>
  <c r="I216" i="17"/>
  <c r="H216" i="17"/>
  <c r="G216" i="17"/>
  <c r="F216" i="17"/>
  <c r="E216" i="17"/>
  <c r="D216" i="17"/>
  <c r="B216" i="17"/>
  <c r="J215" i="17"/>
  <c r="I215" i="17"/>
  <c r="H215" i="17"/>
  <c r="G215" i="17"/>
  <c r="F215" i="17"/>
  <c r="F218" i="17" s="1"/>
  <c r="F114" i="17" s="1"/>
  <c r="E215" i="17"/>
  <c r="D215" i="17"/>
  <c r="B215" i="17"/>
  <c r="J211" i="17"/>
  <c r="I211" i="17"/>
  <c r="H211" i="17"/>
  <c r="G211" i="17"/>
  <c r="F211" i="17"/>
  <c r="E211" i="17"/>
  <c r="D211" i="17"/>
  <c r="B211" i="17"/>
  <c r="J210" i="17"/>
  <c r="I210" i="17"/>
  <c r="H210" i="17"/>
  <c r="G210" i="17"/>
  <c r="F210" i="17"/>
  <c r="E210" i="17"/>
  <c r="D210" i="17"/>
  <c r="B210" i="17"/>
  <c r="J209" i="17"/>
  <c r="I209" i="17"/>
  <c r="H209" i="17"/>
  <c r="G209" i="17"/>
  <c r="F209" i="17"/>
  <c r="E209" i="17"/>
  <c r="D209" i="17"/>
  <c r="B209" i="17"/>
  <c r="J208" i="17"/>
  <c r="I208" i="17"/>
  <c r="H208" i="17"/>
  <c r="G208" i="17"/>
  <c r="F208" i="17"/>
  <c r="E208" i="17"/>
  <c r="D208" i="17"/>
  <c r="D212" i="17" s="1"/>
  <c r="B208" i="17"/>
  <c r="J205" i="17"/>
  <c r="I205" i="17"/>
  <c r="H205" i="17"/>
  <c r="G205" i="17"/>
  <c r="F205" i="17"/>
  <c r="E205" i="17"/>
  <c r="D205" i="17"/>
  <c r="J204" i="17"/>
  <c r="I204" i="17"/>
  <c r="H204" i="17"/>
  <c r="G204" i="17"/>
  <c r="F204" i="17"/>
  <c r="E204" i="17"/>
  <c r="D204" i="17"/>
  <c r="J203" i="17"/>
  <c r="I203" i="17"/>
  <c r="H203" i="17"/>
  <c r="G203" i="17"/>
  <c r="F203" i="17"/>
  <c r="E203" i="17"/>
  <c r="D203" i="17"/>
  <c r="J202" i="17"/>
  <c r="I202" i="17"/>
  <c r="H202" i="17"/>
  <c r="G202" i="17"/>
  <c r="F202" i="17"/>
  <c r="E202" i="17"/>
  <c r="D202" i="17"/>
  <c r="B199" i="17"/>
  <c r="Q198" i="17"/>
  <c r="R198" i="17" s="1"/>
  <c r="S198" i="17" s="1"/>
  <c r="T198" i="17" s="1"/>
  <c r="U198" i="17" s="1"/>
  <c r="V198" i="17" s="1"/>
  <c r="W198" i="17" s="1"/>
  <c r="X198" i="17" s="1"/>
  <c r="Y198" i="17" s="1"/>
  <c r="Z198" i="17" s="1"/>
  <c r="J198" i="17"/>
  <c r="I198" i="17"/>
  <c r="H198" i="17"/>
  <c r="G198" i="17"/>
  <c r="F198" i="17"/>
  <c r="E198" i="17"/>
  <c r="D198" i="17"/>
  <c r="B198" i="17"/>
  <c r="B196" i="17"/>
  <c r="J195" i="17"/>
  <c r="I195" i="17"/>
  <c r="H195" i="17"/>
  <c r="G195" i="17"/>
  <c r="F195" i="17"/>
  <c r="E195" i="17"/>
  <c r="D195" i="17"/>
  <c r="B195" i="17"/>
  <c r="J193" i="17"/>
  <c r="J272" i="17" s="1"/>
  <c r="I193" i="17"/>
  <c r="I272" i="17" s="1"/>
  <c r="H193" i="17"/>
  <c r="H272" i="17" s="1"/>
  <c r="G193" i="17"/>
  <c r="G272" i="17" s="1"/>
  <c r="F193" i="17"/>
  <c r="F272" i="17" s="1"/>
  <c r="E193" i="17"/>
  <c r="E272" i="17" s="1"/>
  <c r="D193" i="17"/>
  <c r="D272" i="17" s="1"/>
  <c r="B193" i="17"/>
  <c r="Q192" i="17"/>
  <c r="Q291" i="17" s="1"/>
  <c r="J192" i="17"/>
  <c r="J291" i="17" s="1"/>
  <c r="I192" i="17"/>
  <c r="I291" i="17" s="1"/>
  <c r="H192" i="17"/>
  <c r="H291" i="17" s="1"/>
  <c r="G192" i="17"/>
  <c r="G291" i="17" s="1"/>
  <c r="F192" i="17"/>
  <c r="F291" i="17" s="1"/>
  <c r="E192" i="17"/>
  <c r="E291" i="17" s="1"/>
  <c r="D192" i="17"/>
  <c r="D291" i="17" s="1"/>
  <c r="B192" i="17"/>
  <c r="J190" i="17"/>
  <c r="J262" i="17" s="1"/>
  <c r="I190" i="17"/>
  <c r="I262" i="17" s="1"/>
  <c r="H190" i="17"/>
  <c r="H262" i="17" s="1"/>
  <c r="G190" i="17"/>
  <c r="G262" i="17" s="1"/>
  <c r="F190" i="17"/>
  <c r="F262" i="17" s="1"/>
  <c r="E190" i="17"/>
  <c r="E262" i="17" s="1"/>
  <c r="D190" i="17"/>
  <c r="D262" i="17" s="1"/>
  <c r="B190" i="17"/>
  <c r="J188" i="17"/>
  <c r="I188" i="17"/>
  <c r="H188" i="17"/>
  <c r="G188" i="17"/>
  <c r="F188" i="17"/>
  <c r="E188" i="17"/>
  <c r="D188" i="17"/>
  <c r="B188" i="17"/>
  <c r="J187" i="17"/>
  <c r="I187" i="17"/>
  <c r="H187" i="17"/>
  <c r="G187" i="17"/>
  <c r="F187" i="17"/>
  <c r="E187" i="17"/>
  <c r="D187" i="17"/>
  <c r="B187" i="17"/>
  <c r="J186" i="17"/>
  <c r="I186" i="17"/>
  <c r="H186" i="17"/>
  <c r="G186" i="17"/>
  <c r="F186" i="17"/>
  <c r="E186" i="17"/>
  <c r="D186" i="17"/>
  <c r="B186" i="17"/>
  <c r="J185" i="17"/>
  <c r="I185" i="17"/>
  <c r="H185" i="17"/>
  <c r="G185" i="17"/>
  <c r="F185" i="17"/>
  <c r="E185" i="17"/>
  <c r="D185" i="17"/>
  <c r="B185" i="17"/>
  <c r="J184" i="17"/>
  <c r="I184" i="17"/>
  <c r="H184" i="17"/>
  <c r="G184" i="17"/>
  <c r="F184" i="17"/>
  <c r="E184" i="17"/>
  <c r="D184" i="17"/>
  <c r="B184" i="17"/>
  <c r="J183" i="17"/>
  <c r="I183" i="17"/>
  <c r="H183" i="17"/>
  <c r="G183" i="17"/>
  <c r="F183" i="17"/>
  <c r="E183" i="17"/>
  <c r="D183" i="17"/>
  <c r="B183" i="17"/>
  <c r="J182" i="17"/>
  <c r="J189" i="17" s="1"/>
  <c r="I182" i="17"/>
  <c r="I189" i="17" s="1"/>
  <c r="H182" i="17"/>
  <c r="H189" i="17" s="1"/>
  <c r="G182" i="17"/>
  <c r="F182" i="17"/>
  <c r="E182" i="17"/>
  <c r="E189" i="17" s="1"/>
  <c r="D182" i="17"/>
  <c r="B182" i="17"/>
  <c r="B179" i="17"/>
  <c r="B177" i="17"/>
  <c r="J172" i="17"/>
  <c r="I172" i="17"/>
  <c r="H172" i="17"/>
  <c r="G172" i="17"/>
  <c r="F172" i="17"/>
  <c r="E172" i="17"/>
  <c r="D172" i="17"/>
  <c r="J171" i="17"/>
  <c r="I171" i="17"/>
  <c r="H171" i="17"/>
  <c r="G171" i="17"/>
  <c r="F171" i="17"/>
  <c r="E171" i="17"/>
  <c r="D171" i="17"/>
  <c r="B169" i="17"/>
  <c r="J164" i="17"/>
  <c r="I164" i="17"/>
  <c r="H164" i="17"/>
  <c r="G164" i="17"/>
  <c r="F164" i="17"/>
  <c r="E164" i="17"/>
  <c r="D164" i="17"/>
  <c r="B164" i="17"/>
  <c r="J163" i="17"/>
  <c r="I163" i="17"/>
  <c r="H163" i="17"/>
  <c r="G163" i="17"/>
  <c r="F163" i="17"/>
  <c r="E163" i="17"/>
  <c r="D163" i="17"/>
  <c r="B163" i="17"/>
  <c r="J162" i="17"/>
  <c r="I162" i="17"/>
  <c r="H162" i="17"/>
  <c r="G162" i="17"/>
  <c r="F162" i="17"/>
  <c r="E162" i="17"/>
  <c r="D162" i="17"/>
  <c r="B162" i="17"/>
  <c r="B160" i="17"/>
  <c r="W159" i="17"/>
  <c r="U159" i="17"/>
  <c r="T159" i="17"/>
  <c r="S159" i="17"/>
  <c r="R159" i="17"/>
  <c r="J159" i="17"/>
  <c r="I159" i="17"/>
  <c r="H159" i="17"/>
  <c r="J155" i="17"/>
  <c r="I155" i="17"/>
  <c r="H155" i="17"/>
  <c r="G155" i="17"/>
  <c r="F155" i="17"/>
  <c r="E155" i="17"/>
  <c r="D155" i="17"/>
  <c r="B155" i="17"/>
  <c r="J154" i="17"/>
  <c r="I154" i="17"/>
  <c r="H154" i="17"/>
  <c r="G154" i="17"/>
  <c r="F154" i="17"/>
  <c r="E154" i="17"/>
  <c r="D154" i="17"/>
  <c r="B154" i="17"/>
  <c r="Q151" i="17"/>
  <c r="R151" i="17" s="1"/>
  <c r="S151" i="17" s="1"/>
  <c r="T151" i="17" s="1"/>
  <c r="U151" i="17" s="1"/>
  <c r="V151" i="17" s="1"/>
  <c r="W151" i="17" s="1"/>
  <c r="X151" i="17" s="1"/>
  <c r="Y151" i="17" s="1"/>
  <c r="Z151" i="17" s="1"/>
  <c r="J151" i="17"/>
  <c r="I151" i="17"/>
  <c r="H151" i="17"/>
  <c r="G151" i="17"/>
  <c r="F151" i="17"/>
  <c r="E151" i="17"/>
  <c r="D151" i="17"/>
  <c r="B151" i="17"/>
  <c r="B149" i="17"/>
  <c r="Q148" i="17"/>
  <c r="R148" i="17" s="1"/>
  <c r="S148" i="17" s="1"/>
  <c r="T148" i="17" s="1"/>
  <c r="U148" i="17" s="1"/>
  <c r="V148" i="17" s="1"/>
  <c r="W148" i="17" s="1"/>
  <c r="X148" i="17" s="1"/>
  <c r="Y148" i="17" s="1"/>
  <c r="Z148" i="17" s="1"/>
  <c r="J148" i="17"/>
  <c r="I148" i="17"/>
  <c r="H148" i="17"/>
  <c r="G148" i="17"/>
  <c r="F148" i="17"/>
  <c r="E148" i="17"/>
  <c r="D148" i="17"/>
  <c r="B148" i="17"/>
  <c r="B146" i="17"/>
  <c r="J145" i="17"/>
  <c r="J146" i="17" s="1"/>
  <c r="I145" i="17"/>
  <c r="I146" i="17" s="1"/>
  <c r="H145" i="17"/>
  <c r="G145" i="17"/>
  <c r="G146" i="17" s="1"/>
  <c r="F145" i="17"/>
  <c r="F146" i="17" s="1"/>
  <c r="E145" i="17"/>
  <c r="E146" i="17" s="1"/>
  <c r="E147" i="17" s="1"/>
  <c r="D145" i="17"/>
  <c r="B145" i="17"/>
  <c r="B141" i="17"/>
  <c r="J139" i="17"/>
  <c r="I139" i="17"/>
  <c r="H139" i="17"/>
  <c r="G139" i="17"/>
  <c r="F139" i="17"/>
  <c r="E139" i="17"/>
  <c r="D139" i="17"/>
  <c r="B139" i="17"/>
  <c r="J138" i="17"/>
  <c r="I138" i="17"/>
  <c r="H138" i="17"/>
  <c r="G138" i="17"/>
  <c r="F138" i="17"/>
  <c r="E138" i="17"/>
  <c r="D138" i="17"/>
  <c r="B138" i="17"/>
  <c r="J137" i="17"/>
  <c r="I137" i="17"/>
  <c r="H137" i="17"/>
  <c r="G137" i="17"/>
  <c r="F137" i="17"/>
  <c r="E137" i="17"/>
  <c r="D137" i="17"/>
  <c r="B137" i="17"/>
  <c r="J136" i="17"/>
  <c r="I136" i="17"/>
  <c r="H136" i="17"/>
  <c r="G136" i="17"/>
  <c r="F136" i="17"/>
  <c r="E136" i="17"/>
  <c r="D136" i="17"/>
  <c r="B136" i="17"/>
  <c r="J135" i="17"/>
  <c r="I135" i="17"/>
  <c r="H135" i="17"/>
  <c r="G135" i="17"/>
  <c r="F135" i="17"/>
  <c r="E135" i="17"/>
  <c r="D135" i="17"/>
  <c r="B135" i="17"/>
  <c r="J134" i="17"/>
  <c r="I134" i="17"/>
  <c r="H134" i="17"/>
  <c r="H140" i="17" s="1"/>
  <c r="G134" i="17"/>
  <c r="F134" i="17"/>
  <c r="E134" i="17"/>
  <c r="D134" i="17"/>
  <c r="B134" i="17"/>
  <c r="J127" i="17"/>
  <c r="I127" i="17"/>
  <c r="H127" i="17"/>
  <c r="G127" i="17"/>
  <c r="F127" i="17"/>
  <c r="E127" i="17"/>
  <c r="D127" i="17"/>
  <c r="B127" i="17"/>
  <c r="J126" i="17"/>
  <c r="I126" i="17"/>
  <c r="H126" i="17"/>
  <c r="G126" i="17"/>
  <c r="F126" i="17"/>
  <c r="E126" i="17"/>
  <c r="D126" i="17"/>
  <c r="B126" i="17"/>
  <c r="J125" i="17"/>
  <c r="I125" i="17"/>
  <c r="H125" i="17"/>
  <c r="G125" i="17"/>
  <c r="F125" i="17"/>
  <c r="E125" i="17"/>
  <c r="D125" i="17"/>
  <c r="B125" i="17"/>
  <c r="J124" i="17"/>
  <c r="I124" i="17"/>
  <c r="H124" i="17"/>
  <c r="G124" i="17"/>
  <c r="F124" i="17"/>
  <c r="E124" i="17"/>
  <c r="D124" i="17"/>
  <c r="B124" i="17"/>
  <c r="J123" i="17"/>
  <c r="I123" i="17"/>
  <c r="H123" i="17"/>
  <c r="G123" i="17"/>
  <c r="F123" i="17"/>
  <c r="E123" i="17"/>
  <c r="D123" i="17"/>
  <c r="B123" i="17"/>
  <c r="J122" i="17"/>
  <c r="I122" i="17"/>
  <c r="H122" i="17"/>
  <c r="H128" i="17" s="1"/>
  <c r="G122" i="17"/>
  <c r="F122" i="17"/>
  <c r="E122" i="17"/>
  <c r="D122" i="17"/>
  <c r="B122" i="17"/>
  <c r="J120" i="17"/>
  <c r="I120" i="17"/>
  <c r="H120" i="17"/>
  <c r="G120" i="17"/>
  <c r="F120" i="17"/>
  <c r="E120" i="17"/>
  <c r="D120" i="17"/>
  <c r="B120" i="17"/>
  <c r="J119" i="17"/>
  <c r="I119" i="17"/>
  <c r="H119" i="17"/>
  <c r="G119" i="17"/>
  <c r="F119" i="17"/>
  <c r="E119" i="17"/>
  <c r="D119" i="17"/>
  <c r="B119" i="17"/>
  <c r="J118" i="17"/>
  <c r="I118" i="17"/>
  <c r="H118" i="17"/>
  <c r="G118" i="17"/>
  <c r="F118" i="17"/>
  <c r="E118" i="17"/>
  <c r="D118" i="17"/>
  <c r="B118" i="17"/>
  <c r="J117" i="17"/>
  <c r="I117" i="17"/>
  <c r="H117" i="17"/>
  <c r="G117" i="17"/>
  <c r="F117" i="17"/>
  <c r="E117" i="17"/>
  <c r="D117" i="17"/>
  <c r="B117" i="17"/>
  <c r="Y116" i="17"/>
  <c r="X116" i="17"/>
  <c r="U116" i="17"/>
  <c r="R116" i="17"/>
  <c r="Q116" i="17"/>
  <c r="J116" i="17"/>
  <c r="I116" i="17"/>
  <c r="H116" i="17"/>
  <c r="G116" i="17"/>
  <c r="F116" i="17"/>
  <c r="E116" i="17"/>
  <c r="D116" i="17"/>
  <c r="B116" i="17"/>
  <c r="J115" i="17"/>
  <c r="I115" i="17"/>
  <c r="H115" i="17"/>
  <c r="G115" i="17"/>
  <c r="F115" i="17"/>
  <c r="E115" i="17"/>
  <c r="D115" i="17"/>
  <c r="B115" i="17"/>
  <c r="J109" i="17"/>
  <c r="I109" i="17"/>
  <c r="H109" i="17"/>
  <c r="G109" i="17"/>
  <c r="F109" i="17"/>
  <c r="E109" i="17"/>
  <c r="D109" i="17"/>
  <c r="B109" i="17"/>
  <c r="J108" i="17"/>
  <c r="I108" i="17"/>
  <c r="H108" i="17"/>
  <c r="G108" i="17"/>
  <c r="F108" i="17"/>
  <c r="E108" i="17"/>
  <c r="D108" i="17"/>
  <c r="B108" i="17"/>
  <c r="J107" i="17"/>
  <c r="I107" i="17"/>
  <c r="I494" i="17" s="1"/>
  <c r="H107" i="17"/>
  <c r="H494" i="17" s="1"/>
  <c r="H496" i="17" s="1"/>
  <c r="G107" i="17"/>
  <c r="G494" i="17" s="1"/>
  <c r="F107" i="17"/>
  <c r="F494" i="17" s="1"/>
  <c r="E107" i="17"/>
  <c r="E494" i="17" s="1"/>
  <c r="D107" i="17"/>
  <c r="D494" i="17" s="1"/>
  <c r="B107" i="17"/>
  <c r="J104" i="17"/>
  <c r="I104" i="17"/>
  <c r="H104" i="17"/>
  <c r="G104" i="17"/>
  <c r="F104" i="17"/>
  <c r="E104" i="17"/>
  <c r="D104" i="17"/>
  <c r="B104" i="17"/>
  <c r="J103" i="17"/>
  <c r="I103" i="17"/>
  <c r="H103" i="17"/>
  <c r="G103" i="17"/>
  <c r="F103" i="17"/>
  <c r="E103" i="17"/>
  <c r="D103" i="17"/>
  <c r="B103" i="17"/>
  <c r="J102" i="17"/>
  <c r="I102" i="17"/>
  <c r="H102" i="17"/>
  <c r="G102" i="17"/>
  <c r="F102" i="17"/>
  <c r="E102" i="17"/>
  <c r="D102" i="17"/>
  <c r="B102" i="17"/>
  <c r="J101" i="17"/>
  <c r="I101" i="17"/>
  <c r="H101" i="17"/>
  <c r="G101" i="17"/>
  <c r="F101" i="17"/>
  <c r="E101" i="17"/>
  <c r="D101" i="17"/>
  <c r="B101" i="17"/>
  <c r="J100" i="17"/>
  <c r="I100" i="17"/>
  <c r="H100" i="17"/>
  <c r="G100" i="17"/>
  <c r="F100" i="17"/>
  <c r="E100" i="17"/>
  <c r="D100" i="17"/>
  <c r="B100" i="17"/>
  <c r="J96" i="17"/>
  <c r="I96" i="17"/>
  <c r="H96" i="17"/>
  <c r="G96" i="17"/>
  <c r="F96" i="17"/>
  <c r="E96" i="17"/>
  <c r="D96" i="17"/>
  <c r="B96" i="17"/>
  <c r="J95" i="17"/>
  <c r="I95" i="17"/>
  <c r="H95" i="17"/>
  <c r="G95" i="17"/>
  <c r="F95" i="17"/>
  <c r="E95" i="17"/>
  <c r="D95" i="17"/>
  <c r="B95" i="17"/>
  <c r="J94" i="17"/>
  <c r="I94" i="17"/>
  <c r="H94" i="17"/>
  <c r="G94" i="17"/>
  <c r="F94" i="17"/>
  <c r="E94" i="17"/>
  <c r="D94" i="17"/>
  <c r="B94" i="17"/>
  <c r="J92" i="17"/>
  <c r="I92" i="17"/>
  <c r="H92" i="17"/>
  <c r="G92" i="17"/>
  <c r="F92" i="17"/>
  <c r="E92" i="17"/>
  <c r="D92" i="17"/>
  <c r="B92" i="17"/>
  <c r="J91" i="17"/>
  <c r="I91" i="17"/>
  <c r="H91" i="17"/>
  <c r="G91" i="17"/>
  <c r="F91" i="17"/>
  <c r="E91" i="17"/>
  <c r="D91" i="17"/>
  <c r="B91" i="17"/>
  <c r="J90" i="17"/>
  <c r="I90" i="17"/>
  <c r="H90" i="17"/>
  <c r="G90" i="17"/>
  <c r="F90" i="17"/>
  <c r="E90" i="17"/>
  <c r="D90" i="17"/>
  <c r="B90" i="17"/>
  <c r="J89" i="17"/>
  <c r="I89" i="17"/>
  <c r="H89" i="17"/>
  <c r="G89" i="17"/>
  <c r="F89" i="17"/>
  <c r="E89" i="17"/>
  <c r="D89" i="17"/>
  <c r="B89" i="17"/>
  <c r="J88" i="17"/>
  <c r="I88" i="17"/>
  <c r="I93" i="17" s="1"/>
  <c r="H88" i="17"/>
  <c r="G88" i="17"/>
  <c r="F88" i="17"/>
  <c r="E88" i="17"/>
  <c r="D88" i="17"/>
  <c r="B88" i="17"/>
  <c r="J84" i="17"/>
  <c r="I84" i="17"/>
  <c r="H84" i="17"/>
  <c r="G84" i="17"/>
  <c r="F84" i="17"/>
  <c r="E84" i="17"/>
  <c r="D84" i="17"/>
  <c r="B84" i="17"/>
  <c r="B83" i="17"/>
  <c r="J80" i="17"/>
  <c r="I80" i="17"/>
  <c r="H80" i="17"/>
  <c r="G80" i="17"/>
  <c r="F80" i="17"/>
  <c r="E80" i="17"/>
  <c r="D80" i="17"/>
  <c r="B80" i="17"/>
  <c r="J79" i="17"/>
  <c r="I79" i="17"/>
  <c r="H79" i="17"/>
  <c r="G79" i="17"/>
  <c r="F79" i="17"/>
  <c r="E79" i="17"/>
  <c r="D79" i="17"/>
  <c r="B79" i="17"/>
  <c r="J77" i="17"/>
  <c r="I77" i="17"/>
  <c r="H77" i="17"/>
  <c r="G77" i="17"/>
  <c r="F77" i="17"/>
  <c r="E77" i="17"/>
  <c r="D77" i="17"/>
  <c r="B77" i="17"/>
  <c r="J76" i="17"/>
  <c r="I76" i="17"/>
  <c r="H76" i="17"/>
  <c r="G76" i="17"/>
  <c r="F76" i="17"/>
  <c r="E76" i="17"/>
  <c r="D76" i="17"/>
  <c r="B76" i="17"/>
  <c r="J75" i="17"/>
  <c r="I75" i="17"/>
  <c r="H75" i="17"/>
  <c r="G75" i="17"/>
  <c r="F75" i="17"/>
  <c r="E75" i="17"/>
  <c r="D75" i="17"/>
  <c r="B75" i="17"/>
  <c r="J74" i="17"/>
  <c r="I74" i="17"/>
  <c r="H74" i="17"/>
  <c r="G74" i="17"/>
  <c r="F74" i="17"/>
  <c r="E74" i="17"/>
  <c r="D74" i="17"/>
  <c r="B74" i="17"/>
  <c r="J73" i="17"/>
  <c r="I73" i="17"/>
  <c r="H73" i="17"/>
  <c r="G73" i="17"/>
  <c r="F73" i="17"/>
  <c r="E73" i="17"/>
  <c r="D73" i="17"/>
  <c r="B73" i="17"/>
  <c r="J72" i="17"/>
  <c r="I72" i="17"/>
  <c r="H72" i="17"/>
  <c r="G72" i="17"/>
  <c r="F72" i="17"/>
  <c r="E72" i="17"/>
  <c r="D72" i="17"/>
  <c r="B72" i="17"/>
  <c r="J71" i="17"/>
  <c r="I71" i="17"/>
  <c r="H71" i="17"/>
  <c r="G71" i="17"/>
  <c r="F71" i="17"/>
  <c r="E71" i="17"/>
  <c r="D71" i="17"/>
  <c r="B71" i="17"/>
  <c r="J70" i="17"/>
  <c r="I70" i="17"/>
  <c r="H70" i="17"/>
  <c r="G70" i="17"/>
  <c r="F70" i="17"/>
  <c r="E70" i="17"/>
  <c r="D70" i="17"/>
  <c r="B70" i="17"/>
  <c r="B67" i="17"/>
  <c r="B66" i="17"/>
  <c r="B61" i="17"/>
  <c r="J59" i="17"/>
  <c r="I59" i="17"/>
  <c r="H59" i="17"/>
  <c r="G59" i="17"/>
  <c r="F59" i="17"/>
  <c r="E59" i="17"/>
  <c r="D59" i="17"/>
  <c r="B59" i="17"/>
  <c r="B52" i="17"/>
  <c r="J44" i="17"/>
  <c r="I44" i="17"/>
  <c r="H44" i="17"/>
  <c r="G44" i="17"/>
  <c r="F44" i="17"/>
  <c r="E44" i="17"/>
  <c r="D44" i="17"/>
  <c r="B44" i="17"/>
  <c r="J43" i="17"/>
  <c r="I43" i="17"/>
  <c r="H43" i="17"/>
  <c r="G43" i="17"/>
  <c r="F43" i="17"/>
  <c r="E43" i="17"/>
  <c r="D43" i="17"/>
  <c r="B43" i="17"/>
  <c r="J40" i="17"/>
  <c r="I40" i="17"/>
  <c r="H40" i="17"/>
  <c r="G40" i="17"/>
  <c r="F40" i="17"/>
  <c r="E40" i="17"/>
  <c r="D40" i="17"/>
  <c r="B40" i="17"/>
  <c r="J38" i="17"/>
  <c r="I38" i="17"/>
  <c r="H38" i="17"/>
  <c r="G38" i="17"/>
  <c r="F38" i="17"/>
  <c r="E38" i="17"/>
  <c r="D38" i="17"/>
  <c r="J37" i="17"/>
  <c r="I37" i="17"/>
  <c r="H37" i="17"/>
  <c r="G37" i="17"/>
  <c r="J30" i="17"/>
  <c r="I30" i="17"/>
  <c r="H30" i="17"/>
  <c r="G30" i="17"/>
  <c r="F30" i="17"/>
  <c r="E30" i="17"/>
  <c r="D30" i="17"/>
  <c r="A29" i="17"/>
  <c r="J28" i="17"/>
  <c r="I28" i="17"/>
  <c r="H28" i="17"/>
  <c r="G28" i="17"/>
  <c r="F28" i="17"/>
  <c r="E28" i="17"/>
  <c r="D28" i="17"/>
  <c r="J26" i="17"/>
  <c r="I26" i="17"/>
  <c r="H26" i="17"/>
  <c r="G26" i="17"/>
  <c r="F26" i="17"/>
  <c r="E26" i="17"/>
  <c r="D26" i="17"/>
  <c r="J25" i="17"/>
  <c r="I25" i="17"/>
  <c r="H25" i="17"/>
  <c r="G25" i="17"/>
  <c r="F25" i="17"/>
  <c r="E25" i="17"/>
  <c r="D25" i="17"/>
  <c r="J24" i="17"/>
  <c r="I24" i="17"/>
  <c r="H24" i="17"/>
  <c r="G24" i="17"/>
  <c r="F24" i="17"/>
  <c r="E24" i="17"/>
  <c r="D24" i="17"/>
  <c r="J23" i="17"/>
  <c r="I23" i="17"/>
  <c r="H23" i="17"/>
  <c r="G23" i="17"/>
  <c r="F23" i="17"/>
  <c r="E23" i="17"/>
  <c r="D23" i="17"/>
  <c r="A22" i="17"/>
  <c r="L22" i="17"/>
  <c r="J21" i="17"/>
  <c r="I21" i="17"/>
  <c r="H21" i="17"/>
  <c r="G21" i="17"/>
  <c r="F21" i="17"/>
  <c r="F22" i="17" s="1"/>
  <c r="E21" i="17"/>
  <c r="D21" i="17"/>
  <c r="A19" i="17"/>
  <c r="L19" i="17"/>
  <c r="J18" i="17"/>
  <c r="I18" i="17"/>
  <c r="H18" i="17"/>
  <c r="G18" i="17"/>
  <c r="F18" i="17"/>
  <c r="E18" i="17"/>
  <c r="D18" i="17"/>
  <c r="A17" i="17"/>
  <c r="J16" i="17"/>
  <c r="I16" i="17"/>
  <c r="I17" i="17" s="1"/>
  <c r="H16" i="17"/>
  <c r="G16" i="17"/>
  <c r="F16" i="17"/>
  <c r="F20" i="17" s="1"/>
  <c r="E16" i="17"/>
  <c r="D16" i="17"/>
  <c r="A14" i="17"/>
  <c r="L14" i="17"/>
  <c r="J13" i="17"/>
  <c r="I13" i="17"/>
  <c r="H13" i="17"/>
  <c r="H14" i="17" s="1"/>
  <c r="G13" i="17"/>
  <c r="F13" i="17"/>
  <c r="E13" i="17"/>
  <c r="D13" i="17"/>
  <c r="J11" i="17"/>
  <c r="I11" i="17"/>
  <c r="H11" i="17"/>
  <c r="H12" i="17" s="1"/>
  <c r="G11" i="17"/>
  <c r="F11" i="17"/>
  <c r="E11" i="17"/>
  <c r="D11" i="17"/>
  <c r="C1" i="17"/>
  <c r="C1" i="16"/>
  <c r="J539" i="16"/>
  <c r="I539" i="16"/>
  <c r="H539" i="16"/>
  <c r="G539" i="16"/>
  <c r="F539" i="16"/>
  <c r="E539" i="16"/>
  <c r="D539" i="16"/>
  <c r="L538" i="16"/>
  <c r="J538" i="16"/>
  <c r="I538" i="16"/>
  <c r="H538" i="16"/>
  <c r="G538" i="16"/>
  <c r="F538" i="16"/>
  <c r="E538" i="16"/>
  <c r="D538" i="16"/>
  <c r="L537" i="16"/>
  <c r="J537" i="16"/>
  <c r="I537" i="16"/>
  <c r="H537" i="16"/>
  <c r="G537" i="16"/>
  <c r="F537" i="16"/>
  <c r="E537" i="16"/>
  <c r="D537" i="16"/>
  <c r="J536" i="16"/>
  <c r="I536" i="16"/>
  <c r="H536" i="16"/>
  <c r="G536" i="16"/>
  <c r="F536" i="16"/>
  <c r="E536" i="16"/>
  <c r="D536" i="16"/>
  <c r="J535" i="16"/>
  <c r="I535" i="16"/>
  <c r="H535" i="16"/>
  <c r="G535" i="16"/>
  <c r="F535" i="16"/>
  <c r="E535" i="16"/>
  <c r="D535" i="16"/>
  <c r="J534" i="16"/>
  <c r="I534" i="16"/>
  <c r="H534" i="16"/>
  <c r="G534" i="16"/>
  <c r="F534" i="16"/>
  <c r="E534" i="16"/>
  <c r="D534" i="16"/>
  <c r="J533" i="16"/>
  <c r="I533" i="16"/>
  <c r="H533" i="16"/>
  <c r="G533" i="16"/>
  <c r="F533" i="16"/>
  <c r="E533" i="16"/>
  <c r="D533" i="16"/>
  <c r="J529" i="16"/>
  <c r="I529" i="16"/>
  <c r="H529" i="16"/>
  <c r="G529" i="16"/>
  <c r="F529" i="16"/>
  <c r="E529" i="16"/>
  <c r="D529" i="16"/>
  <c r="J528" i="16"/>
  <c r="I528" i="16"/>
  <c r="H528" i="16"/>
  <c r="G528" i="16"/>
  <c r="F528" i="16"/>
  <c r="E528" i="16"/>
  <c r="D528" i="16"/>
  <c r="J527" i="16"/>
  <c r="I527" i="16"/>
  <c r="H527" i="16"/>
  <c r="G527" i="16"/>
  <c r="F527" i="16"/>
  <c r="E527" i="16"/>
  <c r="D527" i="16"/>
  <c r="J526" i="16"/>
  <c r="I526" i="16"/>
  <c r="H526" i="16"/>
  <c r="G526" i="16"/>
  <c r="F526" i="16"/>
  <c r="E526" i="16"/>
  <c r="D526" i="16"/>
  <c r="J525" i="16"/>
  <c r="I525" i="16"/>
  <c r="H525" i="16"/>
  <c r="G525" i="16"/>
  <c r="F525" i="16"/>
  <c r="E525" i="16"/>
  <c r="D525" i="16"/>
  <c r="O495" i="16"/>
  <c r="N495" i="16"/>
  <c r="M495" i="16"/>
  <c r="L495" i="16"/>
  <c r="J495" i="16"/>
  <c r="I495" i="16"/>
  <c r="H495" i="16"/>
  <c r="G495" i="16"/>
  <c r="F495" i="16"/>
  <c r="E495" i="16"/>
  <c r="D495" i="16"/>
  <c r="O493" i="16"/>
  <c r="N493" i="16"/>
  <c r="M493" i="16"/>
  <c r="L493" i="16"/>
  <c r="J493" i="16"/>
  <c r="I493" i="16"/>
  <c r="H493" i="16"/>
  <c r="G493" i="16"/>
  <c r="F493" i="16"/>
  <c r="E493" i="16"/>
  <c r="D493" i="16"/>
  <c r="O492" i="16"/>
  <c r="N492" i="16"/>
  <c r="M492" i="16"/>
  <c r="L492" i="16"/>
  <c r="J492" i="16"/>
  <c r="I492" i="16"/>
  <c r="H492" i="16"/>
  <c r="G492" i="16"/>
  <c r="F492" i="16"/>
  <c r="E492" i="16"/>
  <c r="D492" i="16"/>
  <c r="O485" i="16"/>
  <c r="N485" i="16"/>
  <c r="M485" i="16"/>
  <c r="L485" i="16"/>
  <c r="J485" i="16"/>
  <c r="I485" i="16"/>
  <c r="H485" i="16"/>
  <c r="G485" i="16"/>
  <c r="F485" i="16"/>
  <c r="E485" i="16"/>
  <c r="D485" i="16"/>
  <c r="O484" i="16"/>
  <c r="N484" i="16"/>
  <c r="M484" i="16"/>
  <c r="L484" i="16"/>
  <c r="J484" i="16"/>
  <c r="I484" i="16"/>
  <c r="H484" i="16"/>
  <c r="G484" i="16"/>
  <c r="F484" i="16"/>
  <c r="E484" i="16"/>
  <c r="D484" i="16"/>
  <c r="O483" i="16"/>
  <c r="N483" i="16"/>
  <c r="M483" i="16"/>
  <c r="L483" i="16"/>
  <c r="J483" i="16"/>
  <c r="I483" i="16"/>
  <c r="H483" i="16"/>
  <c r="G483" i="16"/>
  <c r="F483" i="16"/>
  <c r="E483" i="16"/>
  <c r="D483" i="16"/>
  <c r="O480" i="16"/>
  <c r="N480" i="16"/>
  <c r="M480" i="16"/>
  <c r="L480" i="16"/>
  <c r="J480" i="16"/>
  <c r="I480" i="16"/>
  <c r="H480" i="16"/>
  <c r="G480" i="16"/>
  <c r="F480" i="16"/>
  <c r="E480" i="16"/>
  <c r="D480" i="16"/>
  <c r="J479" i="16"/>
  <c r="I479" i="16"/>
  <c r="H479" i="16"/>
  <c r="G479" i="16"/>
  <c r="F479" i="16"/>
  <c r="E479" i="16"/>
  <c r="D479" i="16"/>
  <c r="O478" i="16"/>
  <c r="N478" i="16"/>
  <c r="M478" i="16"/>
  <c r="L478" i="16"/>
  <c r="J478" i="16"/>
  <c r="I478" i="16"/>
  <c r="H478" i="16"/>
  <c r="G478" i="16"/>
  <c r="F478" i="16"/>
  <c r="E478" i="16"/>
  <c r="D478" i="16"/>
  <c r="O477" i="16"/>
  <c r="N477" i="16"/>
  <c r="M477" i="16"/>
  <c r="L477" i="16"/>
  <c r="J477" i="16"/>
  <c r="I477" i="16"/>
  <c r="H477" i="16"/>
  <c r="G477" i="16"/>
  <c r="F477" i="16"/>
  <c r="E477" i="16"/>
  <c r="D477" i="16"/>
  <c r="O476" i="16"/>
  <c r="N476" i="16"/>
  <c r="M476" i="16"/>
  <c r="L476" i="16"/>
  <c r="J476" i="16"/>
  <c r="I476" i="16"/>
  <c r="H476" i="16"/>
  <c r="G476" i="16"/>
  <c r="F476" i="16"/>
  <c r="E476" i="16"/>
  <c r="D476" i="16"/>
  <c r="O475" i="16"/>
  <c r="N475" i="16"/>
  <c r="M475" i="16"/>
  <c r="L475" i="16"/>
  <c r="J475" i="16"/>
  <c r="I475" i="16"/>
  <c r="H475" i="16"/>
  <c r="G475" i="16"/>
  <c r="F475" i="16"/>
  <c r="E475" i="16"/>
  <c r="D475" i="16"/>
  <c r="O474" i="16"/>
  <c r="N474" i="16"/>
  <c r="M474" i="16"/>
  <c r="L474" i="16"/>
  <c r="J474" i="16"/>
  <c r="I474" i="16"/>
  <c r="H474" i="16"/>
  <c r="G474" i="16"/>
  <c r="F474" i="16"/>
  <c r="E474" i="16"/>
  <c r="D474" i="16"/>
  <c r="O471" i="16"/>
  <c r="N471" i="16"/>
  <c r="M471" i="16"/>
  <c r="L471" i="16"/>
  <c r="J471" i="16"/>
  <c r="I471" i="16"/>
  <c r="H471" i="16"/>
  <c r="G471" i="16"/>
  <c r="F471" i="16"/>
  <c r="E471" i="16"/>
  <c r="D471" i="16"/>
  <c r="O463" i="16"/>
  <c r="O464" i="16" s="1"/>
  <c r="N463" i="16"/>
  <c r="N464" i="16" s="1"/>
  <c r="M463" i="16"/>
  <c r="M464" i="16" s="1"/>
  <c r="M465" i="16" s="1"/>
  <c r="L463" i="16"/>
  <c r="L464" i="16" s="1"/>
  <c r="L465" i="16" s="1"/>
  <c r="J463" i="16"/>
  <c r="J464" i="16" s="1"/>
  <c r="I463" i="16"/>
  <c r="I464" i="16" s="1"/>
  <c r="I465" i="16" s="1"/>
  <c r="H463" i="16"/>
  <c r="H464" i="16" s="1"/>
  <c r="G463" i="16"/>
  <c r="G464" i="16" s="1"/>
  <c r="F463" i="16"/>
  <c r="F464" i="16" s="1"/>
  <c r="F465" i="16" s="1"/>
  <c r="E463" i="16"/>
  <c r="E464" i="16" s="1"/>
  <c r="E465" i="16" s="1"/>
  <c r="D463" i="16"/>
  <c r="D464" i="16" s="1"/>
  <c r="D465" i="16" s="1"/>
  <c r="O458" i="16"/>
  <c r="N458" i="16"/>
  <c r="M458" i="16"/>
  <c r="L458" i="16"/>
  <c r="J458" i="16"/>
  <c r="I458" i="16"/>
  <c r="H458" i="16"/>
  <c r="G458" i="16"/>
  <c r="F458" i="16"/>
  <c r="E458" i="16"/>
  <c r="D458" i="16"/>
  <c r="O457" i="16"/>
  <c r="O459" i="16" s="1"/>
  <c r="N457" i="16"/>
  <c r="N459" i="16" s="1"/>
  <c r="M457" i="16"/>
  <c r="M459" i="16" s="1"/>
  <c r="L457" i="16"/>
  <c r="L459" i="16" s="1"/>
  <c r="J457" i="16"/>
  <c r="J459" i="16" s="1"/>
  <c r="I457" i="16"/>
  <c r="I459" i="16" s="1"/>
  <c r="H457" i="16"/>
  <c r="H459" i="16" s="1"/>
  <c r="G457" i="16"/>
  <c r="G459" i="16" s="1"/>
  <c r="G460" i="16" s="1"/>
  <c r="F457" i="16"/>
  <c r="F459" i="16" s="1"/>
  <c r="F460" i="16" s="1"/>
  <c r="E457" i="16"/>
  <c r="E459" i="16" s="1"/>
  <c r="D457" i="16"/>
  <c r="O454" i="16"/>
  <c r="N454" i="16"/>
  <c r="M454" i="16"/>
  <c r="L454" i="16"/>
  <c r="J454" i="16"/>
  <c r="I454" i="16"/>
  <c r="H454" i="16"/>
  <c r="G454" i="16"/>
  <c r="F454" i="16"/>
  <c r="E454" i="16"/>
  <c r="D454" i="16"/>
  <c r="O453" i="16"/>
  <c r="N453" i="16"/>
  <c r="M453" i="16"/>
  <c r="L453" i="16"/>
  <c r="J453" i="16"/>
  <c r="I453" i="16"/>
  <c r="H453" i="16"/>
  <c r="G453" i="16"/>
  <c r="F453" i="16"/>
  <c r="E453" i="16"/>
  <c r="D453" i="16"/>
  <c r="O450" i="16"/>
  <c r="N450" i="16"/>
  <c r="M450" i="16"/>
  <c r="L450" i="16"/>
  <c r="J450" i="16"/>
  <c r="I450" i="16"/>
  <c r="H450" i="16"/>
  <c r="G450" i="16"/>
  <c r="F450" i="16"/>
  <c r="E450" i="16"/>
  <c r="D450" i="16"/>
  <c r="O449" i="16"/>
  <c r="N449" i="16"/>
  <c r="M449" i="16"/>
  <c r="L449" i="16"/>
  <c r="J449" i="16"/>
  <c r="I449" i="16"/>
  <c r="H449" i="16"/>
  <c r="G449" i="16"/>
  <c r="F449" i="16"/>
  <c r="E449" i="16"/>
  <c r="D449" i="16"/>
  <c r="O446" i="16"/>
  <c r="N446" i="16"/>
  <c r="M446" i="16"/>
  <c r="L446" i="16"/>
  <c r="J446" i="16"/>
  <c r="I446" i="16"/>
  <c r="H446" i="16"/>
  <c r="G446" i="16"/>
  <c r="F446" i="16"/>
  <c r="E446" i="16"/>
  <c r="D446" i="16"/>
  <c r="O443" i="16"/>
  <c r="N443" i="16"/>
  <c r="M443" i="16"/>
  <c r="L443" i="16"/>
  <c r="J443" i="16"/>
  <c r="I443" i="16"/>
  <c r="H443" i="16"/>
  <c r="G443" i="16"/>
  <c r="F443" i="16"/>
  <c r="E443" i="16"/>
  <c r="D443" i="16"/>
  <c r="O439" i="16"/>
  <c r="N439" i="16"/>
  <c r="M439" i="16"/>
  <c r="L439" i="16"/>
  <c r="J439" i="16"/>
  <c r="I439" i="16"/>
  <c r="H439" i="16"/>
  <c r="G439" i="16"/>
  <c r="F439" i="16"/>
  <c r="E439" i="16"/>
  <c r="D439" i="16"/>
  <c r="O435" i="16"/>
  <c r="N435" i="16"/>
  <c r="M435" i="16"/>
  <c r="L435" i="16"/>
  <c r="J435" i="16"/>
  <c r="I435" i="16"/>
  <c r="H435" i="16"/>
  <c r="G435" i="16"/>
  <c r="F435" i="16"/>
  <c r="E435" i="16"/>
  <c r="D435" i="16"/>
  <c r="O434" i="16"/>
  <c r="N434" i="16"/>
  <c r="M434" i="16"/>
  <c r="L434" i="16"/>
  <c r="J434" i="16"/>
  <c r="I434" i="16"/>
  <c r="H434" i="16"/>
  <c r="G434" i="16"/>
  <c r="F434" i="16"/>
  <c r="E434" i="16"/>
  <c r="D434" i="16"/>
  <c r="O433" i="16"/>
  <c r="N433" i="16"/>
  <c r="M433" i="16"/>
  <c r="L433" i="16"/>
  <c r="J433" i="16"/>
  <c r="I433" i="16"/>
  <c r="H433" i="16"/>
  <c r="G433" i="16"/>
  <c r="F433" i="16"/>
  <c r="E433" i="16"/>
  <c r="D433" i="16"/>
  <c r="O428" i="16"/>
  <c r="O429" i="16" s="1"/>
  <c r="N428" i="16"/>
  <c r="M428" i="16"/>
  <c r="L428" i="16"/>
  <c r="J428" i="16"/>
  <c r="I428" i="16"/>
  <c r="H428" i="16"/>
  <c r="G428" i="16"/>
  <c r="F428" i="16"/>
  <c r="F429" i="16" s="1"/>
  <c r="E428" i="16"/>
  <c r="D428" i="16"/>
  <c r="O427" i="16"/>
  <c r="N427" i="16"/>
  <c r="M427" i="16"/>
  <c r="L427" i="16"/>
  <c r="J427" i="16"/>
  <c r="J429" i="16" s="1"/>
  <c r="I427" i="16"/>
  <c r="I429" i="16" s="1"/>
  <c r="H427" i="16"/>
  <c r="G427" i="16"/>
  <c r="F427" i="16"/>
  <c r="E427" i="16"/>
  <c r="D427" i="16"/>
  <c r="O424" i="16"/>
  <c r="N424" i="16"/>
  <c r="M424" i="16"/>
  <c r="L424" i="16"/>
  <c r="J424" i="16"/>
  <c r="I424" i="16"/>
  <c r="H424" i="16"/>
  <c r="G424" i="16"/>
  <c r="F424" i="16"/>
  <c r="E424" i="16"/>
  <c r="D424" i="16"/>
  <c r="O423" i="16"/>
  <c r="N423" i="16"/>
  <c r="M423" i="16"/>
  <c r="L423" i="16"/>
  <c r="J423" i="16"/>
  <c r="I423" i="16"/>
  <c r="H423" i="16"/>
  <c r="G423" i="16"/>
  <c r="F423" i="16"/>
  <c r="E423" i="16"/>
  <c r="D423" i="16"/>
  <c r="O419" i="16"/>
  <c r="N419" i="16"/>
  <c r="M419" i="16"/>
  <c r="L419" i="16"/>
  <c r="J419" i="16"/>
  <c r="J420" i="16" s="1"/>
  <c r="I419" i="16"/>
  <c r="H419" i="16"/>
  <c r="G419" i="16"/>
  <c r="F419" i="16"/>
  <c r="E419" i="16"/>
  <c r="D419" i="16"/>
  <c r="O418" i="16"/>
  <c r="N418" i="16"/>
  <c r="N420" i="16" s="1"/>
  <c r="M418" i="16"/>
  <c r="L418" i="16"/>
  <c r="J418" i="16"/>
  <c r="I418" i="16"/>
  <c r="H418" i="16"/>
  <c r="G418" i="16"/>
  <c r="F418" i="16"/>
  <c r="E418" i="16"/>
  <c r="D418" i="16"/>
  <c r="O417" i="16"/>
  <c r="N417" i="16"/>
  <c r="M417" i="16"/>
  <c r="C215" i="16" s="1" a="1"/>
  <c r="C215" i="16" s="1"/>
  <c r="L417" i="16"/>
  <c r="J417" i="16"/>
  <c r="I417" i="16"/>
  <c r="H417" i="16"/>
  <c r="G417" i="16"/>
  <c r="F417" i="16"/>
  <c r="E417" i="16"/>
  <c r="D417" i="16"/>
  <c r="O414" i="16"/>
  <c r="N414" i="16"/>
  <c r="M414" i="16"/>
  <c r="L414" i="16"/>
  <c r="J414" i="16"/>
  <c r="I414" i="16"/>
  <c r="H414" i="16"/>
  <c r="G414" i="16"/>
  <c r="F414" i="16"/>
  <c r="E414" i="16"/>
  <c r="D414" i="16"/>
  <c r="O410" i="16"/>
  <c r="N410" i="16"/>
  <c r="M410" i="16"/>
  <c r="L410" i="16"/>
  <c r="J410" i="16"/>
  <c r="I410" i="16"/>
  <c r="H410" i="16"/>
  <c r="G410" i="16"/>
  <c r="F410" i="16"/>
  <c r="E410" i="16"/>
  <c r="D410" i="16"/>
  <c r="C406" i="16"/>
  <c r="O405" i="16"/>
  <c r="N405" i="16"/>
  <c r="M405" i="16"/>
  <c r="L405" i="16"/>
  <c r="J405" i="16"/>
  <c r="I405" i="16"/>
  <c r="H405" i="16"/>
  <c r="G405" i="16"/>
  <c r="F405" i="16"/>
  <c r="E405" i="16"/>
  <c r="D405" i="16"/>
  <c r="O404" i="16"/>
  <c r="O159" i="16" s="1"/>
  <c r="N404" i="16"/>
  <c r="N159" i="16" s="1"/>
  <c r="M404" i="16"/>
  <c r="M159" i="16" s="1"/>
  <c r="L404" i="16"/>
  <c r="L159" i="16" s="1"/>
  <c r="J404" i="16"/>
  <c r="I404" i="16"/>
  <c r="H404" i="16"/>
  <c r="G404" i="16"/>
  <c r="F404" i="16"/>
  <c r="F159" i="16" s="1"/>
  <c r="E404" i="16"/>
  <c r="E159" i="16" s="1"/>
  <c r="D404" i="16"/>
  <c r="D159" i="16" s="1"/>
  <c r="O403" i="16"/>
  <c r="N403" i="16"/>
  <c r="M403" i="16"/>
  <c r="L403" i="16"/>
  <c r="J403" i="16"/>
  <c r="I403" i="16"/>
  <c r="H403" i="16"/>
  <c r="G403" i="16"/>
  <c r="F403" i="16"/>
  <c r="E403" i="16"/>
  <c r="D403" i="16"/>
  <c r="O402" i="16"/>
  <c r="N402" i="16"/>
  <c r="M402" i="16"/>
  <c r="M263" i="16" s="1"/>
  <c r="L402" i="16"/>
  <c r="L263" i="16" s="1"/>
  <c r="J402" i="16"/>
  <c r="J263" i="16" s="1"/>
  <c r="I402" i="16"/>
  <c r="H402" i="16"/>
  <c r="G402" i="16"/>
  <c r="F402" i="16"/>
  <c r="E402" i="16"/>
  <c r="E263" i="16" s="1"/>
  <c r="D402" i="16"/>
  <c r="D263" i="16" s="1"/>
  <c r="O401" i="16"/>
  <c r="N401" i="16"/>
  <c r="M401" i="16"/>
  <c r="L401" i="16"/>
  <c r="J401" i="16"/>
  <c r="I401" i="16"/>
  <c r="H401" i="16"/>
  <c r="G401" i="16"/>
  <c r="F401" i="16"/>
  <c r="E401" i="16"/>
  <c r="D401" i="16"/>
  <c r="O400" i="16"/>
  <c r="N400" i="16"/>
  <c r="M400" i="16"/>
  <c r="L400" i="16"/>
  <c r="J400" i="16"/>
  <c r="I400" i="16"/>
  <c r="H400" i="16"/>
  <c r="G400" i="16"/>
  <c r="F400" i="16"/>
  <c r="E400" i="16"/>
  <c r="D400" i="16"/>
  <c r="O395" i="16"/>
  <c r="N395" i="16"/>
  <c r="M395" i="16"/>
  <c r="L395" i="16"/>
  <c r="J395" i="16"/>
  <c r="I395" i="16"/>
  <c r="H395" i="16"/>
  <c r="G395" i="16"/>
  <c r="F395" i="16"/>
  <c r="E395" i="16"/>
  <c r="D395" i="16"/>
  <c r="O388" i="16"/>
  <c r="N388" i="16"/>
  <c r="M388" i="16"/>
  <c r="L388" i="16"/>
  <c r="J388" i="16"/>
  <c r="I388" i="16"/>
  <c r="H388" i="16"/>
  <c r="G388" i="16"/>
  <c r="F388" i="16"/>
  <c r="E388" i="16"/>
  <c r="D388" i="16"/>
  <c r="O386" i="16"/>
  <c r="O468" i="16" s="1"/>
  <c r="O469" i="16" s="1"/>
  <c r="N386" i="16"/>
  <c r="M386" i="16"/>
  <c r="L386" i="16"/>
  <c r="J386" i="16"/>
  <c r="J468" i="16" s="1"/>
  <c r="J469" i="16" s="1"/>
  <c r="I386" i="16"/>
  <c r="I468" i="16" s="1"/>
  <c r="I469" i="16" s="1"/>
  <c r="H386" i="16"/>
  <c r="H468" i="16" s="1"/>
  <c r="H469" i="16" s="1"/>
  <c r="G386" i="16"/>
  <c r="F386" i="16"/>
  <c r="E386" i="16"/>
  <c r="D386" i="16"/>
  <c r="O385" i="16"/>
  <c r="N385" i="16"/>
  <c r="M385" i="16"/>
  <c r="L385" i="16"/>
  <c r="J385" i="16"/>
  <c r="I385" i="16"/>
  <c r="H385" i="16"/>
  <c r="G385" i="16"/>
  <c r="F385" i="16"/>
  <c r="E385" i="16"/>
  <c r="D385" i="16"/>
  <c r="O384" i="16"/>
  <c r="N384" i="16"/>
  <c r="M384" i="16"/>
  <c r="L384" i="16"/>
  <c r="J384" i="16"/>
  <c r="I384" i="16"/>
  <c r="H384" i="16"/>
  <c r="G384" i="16"/>
  <c r="F384" i="16"/>
  <c r="E384" i="16"/>
  <c r="D384" i="16"/>
  <c r="C382" i="16"/>
  <c r="O381" i="16"/>
  <c r="N381" i="16"/>
  <c r="M381" i="16"/>
  <c r="L381" i="16"/>
  <c r="J381" i="16"/>
  <c r="I381" i="16"/>
  <c r="H381" i="16"/>
  <c r="G381" i="16"/>
  <c r="F381" i="16"/>
  <c r="E381" i="16"/>
  <c r="D381" i="16"/>
  <c r="O380" i="16"/>
  <c r="O486" i="16" s="1"/>
  <c r="N380" i="16"/>
  <c r="M380" i="16"/>
  <c r="L380" i="16"/>
  <c r="J380" i="16"/>
  <c r="I380" i="16"/>
  <c r="I486" i="16" s="1"/>
  <c r="H380" i="16"/>
  <c r="H486" i="16" s="1"/>
  <c r="G380" i="16"/>
  <c r="G486" i="16" s="1"/>
  <c r="F380" i="16"/>
  <c r="E380" i="16"/>
  <c r="D380" i="16"/>
  <c r="O378" i="16"/>
  <c r="O331" i="16" s="1"/>
  <c r="O332" i="16" s="1"/>
  <c r="N378" i="16"/>
  <c r="N331" i="16" s="1"/>
  <c r="N332" i="16" s="1"/>
  <c r="M378" i="16"/>
  <c r="M331" i="16" s="1"/>
  <c r="M332" i="16" s="1"/>
  <c r="L378" i="16"/>
  <c r="L331" i="16" s="1"/>
  <c r="L332" i="16" s="1"/>
  <c r="J378" i="16"/>
  <c r="J331" i="16" s="1"/>
  <c r="J332" i="16" s="1"/>
  <c r="I378" i="16"/>
  <c r="H378" i="16"/>
  <c r="G378" i="16"/>
  <c r="F378" i="16"/>
  <c r="F331" i="16" s="1"/>
  <c r="F332" i="16" s="1"/>
  <c r="E378" i="16"/>
  <c r="E331" i="16" s="1"/>
  <c r="E332" i="16" s="1"/>
  <c r="D378" i="16"/>
  <c r="D331" i="16" s="1"/>
  <c r="D332" i="16" s="1"/>
  <c r="O377" i="16"/>
  <c r="O271" i="16" s="1"/>
  <c r="N377" i="16"/>
  <c r="N271" i="16" s="1"/>
  <c r="M377" i="16"/>
  <c r="M271" i="16" s="1"/>
  <c r="L377" i="16"/>
  <c r="J377" i="16"/>
  <c r="J271" i="16" s="1"/>
  <c r="I377" i="16"/>
  <c r="I271" i="16" s="1"/>
  <c r="H377" i="16"/>
  <c r="H271" i="16" s="1"/>
  <c r="G377" i="16"/>
  <c r="F377" i="16"/>
  <c r="F271" i="16" s="1"/>
  <c r="E377" i="16"/>
  <c r="E271" i="16" s="1"/>
  <c r="E274" i="16" s="1"/>
  <c r="D377" i="16"/>
  <c r="D271" i="16" s="1"/>
  <c r="O376" i="16"/>
  <c r="N376" i="16"/>
  <c r="M376" i="16"/>
  <c r="L376" i="16"/>
  <c r="J376" i="16"/>
  <c r="I376" i="16"/>
  <c r="H376" i="16"/>
  <c r="G376" i="16"/>
  <c r="F376" i="16"/>
  <c r="E376" i="16"/>
  <c r="D376" i="16"/>
  <c r="O375" i="16"/>
  <c r="N375" i="16"/>
  <c r="M375" i="16"/>
  <c r="L375" i="16"/>
  <c r="J375" i="16"/>
  <c r="I375" i="16"/>
  <c r="H375" i="16"/>
  <c r="G375" i="16"/>
  <c r="F375" i="16"/>
  <c r="E375" i="16"/>
  <c r="D375" i="16"/>
  <c r="O370" i="16"/>
  <c r="N370" i="16"/>
  <c r="M370" i="16"/>
  <c r="L370" i="16"/>
  <c r="J370" i="16"/>
  <c r="I370" i="16"/>
  <c r="H370" i="16"/>
  <c r="G370" i="16"/>
  <c r="F370" i="16"/>
  <c r="E370" i="16"/>
  <c r="D370" i="16"/>
  <c r="O369" i="16"/>
  <c r="N369" i="16"/>
  <c r="M369" i="16"/>
  <c r="L369" i="16"/>
  <c r="J369" i="16"/>
  <c r="I369" i="16"/>
  <c r="H369" i="16"/>
  <c r="G369" i="16"/>
  <c r="F369" i="16"/>
  <c r="E369" i="16"/>
  <c r="D369" i="16"/>
  <c r="O361" i="16"/>
  <c r="N361" i="16"/>
  <c r="M361" i="16"/>
  <c r="L361" i="16"/>
  <c r="J361" i="16"/>
  <c r="I361" i="16"/>
  <c r="H361" i="16"/>
  <c r="G361" i="16"/>
  <c r="F361" i="16"/>
  <c r="E361" i="16"/>
  <c r="D361" i="16"/>
  <c r="O360" i="16"/>
  <c r="N360" i="16"/>
  <c r="M360" i="16"/>
  <c r="L360" i="16"/>
  <c r="J360" i="16"/>
  <c r="I360" i="16"/>
  <c r="H360" i="16"/>
  <c r="G360" i="16"/>
  <c r="F360" i="16"/>
  <c r="E360" i="16"/>
  <c r="D360" i="16"/>
  <c r="O354" i="16"/>
  <c r="N354" i="16"/>
  <c r="M354" i="16"/>
  <c r="L354" i="16"/>
  <c r="J354" i="16"/>
  <c r="I354" i="16"/>
  <c r="H354" i="16"/>
  <c r="G354" i="16"/>
  <c r="F354" i="16"/>
  <c r="E354" i="16"/>
  <c r="D354" i="16"/>
  <c r="O351" i="16"/>
  <c r="N351" i="16"/>
  <c r="M351" i="16"/>
  <c r="L351" i="16"/>
  <c r="J351" i="16"/>
  <c r="I351" i="16"/>
  <c r="H351" i="16"/>
  <c r="G351" i="16"/>
  <c r="F351" i="16"/>
  <c r="E351" i="16"/>
  <c r="D351" i="16"/>
  <c r="O347" i="16"/>
  <c r="N347" i="16"/>
  <c r="M347" i="16"/>
  <c r="L347" i="16"/>
  <c r="J347" i="16"/>
  <c r="I347" i="16"/>
  <c r="H347" i="16"/>
  <c r="G347" i="16"/>
  <c r="F347" i="16"/>
  <c r="E347" i="16"/>
  <c r="D347" i="16"/>
  <c r="O341" i="16"/>
  <c r="N341" i="16"/>
  <c r="N37" i="16" s="1"/>
  <c r="M341" i="16"/>
  <c r="M37" i="16" s="1"/>
  <c r="L341" i="16"/>
  <c r="J341" i="16"/>
  <c r="J37" i="16" s="1"/>
  <c r="I341" i="16"/>
  <c r="I37" i="16" s="1"/>
  <c r="H341" i="16"/>
  <c r="H37" i="16" s="1"/>
  <c r="G341" i="16"/>
  <c r="F341" i="16"/>
  <c r="E341" i="16"/>
  <c r="D341" i="16"/>
  <c r="D37" i="16" s="1"/>
  <c r="O340" i="16"/>
  <c r="N340" i="16"/>
  <c r="M340" i="16"/>
  <c r="L340" i="16"/>
  <c r="J340" i="16"/>
  <c r="I340" i="16"/>
  <c r="H340" i="16"/>
  <c r="G340" i="16"/>
  <c r="F340" i="16"/>
  <c r="E340" i="16"/>
  <c r="D340" i="16"/>
  <c r="O335" i="16"/>
  <c r="N335" i="16"/>
  <c r="M335" i="16"/>
  <c r="L335" i="16"/>
  <c r="J335" i="16"/>
  <c r="I335" i="16"/>
  <c r="H335" i="16"/>
  <c r="G335" i="16"/>
  <c r="F335" i="16"/>
  <c r="E335" i="16"/>
  <c r="D335" i="16"/>
  <c r="O334" i="16"/>
  <c r="N334" i="16"/>
  <c r="M334" i="16"/>
  <c r="L334" i="16"/>
  <c r="J334" i="16"/>
  <c r="I334" i="16"/>
  <c r="H334" i="16"/>
  <c r="G334" i="16"/>
  <c r="F334" i="16"/>
  <c r="E334" i="16"/>
  <c r="D334" i="16"/>
  <c r="O328" i="16"/>
  <c r="N328" i="16"/>
  <c r="M328" i="16"/>
  <c r="L328" i="16"/>
  <c r="J328" i="16"/>
  <c r="I328" i="16"/>
  <c r="H328" i="16"/>
  <c r="G328" i="16"/>
  <c r="F328" i="16"/>
  <c r="E328" i="16"/>
  <c r="D328" i="16"/>
  <c r="O327" i="16"/>
  <c r="N327" i="16"/>
  <c r="M327" i="16"/>
  <c r="L327" i="16"/>
  <c r="J327" i="16"/>
  <c r="I327" i="16"/>
  <c r="H327" i="16"/>
  <c r="G327" i="16"/>
  <c r="F327" i="16"/>
  <c r="E327" i="16"/>
  <c r="D327" i="16"/>
  <c r="O326" i="16"/>
  <c r="N326" i="16"/>
  <c r="M326" i="16"/>
  <c r="L326" i="16"/>
  <c r="J326" i="16"/>
  <c r="I326" i="16"/>
  <c r="H326" i="16"/>
  <c r="G326" i="16"/>
  <c r="F326" i="16"/>
  <c r="E326" i="16"/>
  <c r="D326" i="16"/>
  <c r="O320" i="16"/>
  <c r="N320" i="16"/>
  <c r="M320" i="16"/>
  <c r="L320" i="16"/>
  <c r="J320" i="16"/>
  <c r="I320" i="16"/>
  <c r="H320" i="16"/>
  <c r="G320" i="16"/>
  <c r="F320" i="16"/>
  <c r="E320" i="16"/>
  <c r="D320" i="16"/>
  <c r="O319" i="16"/>
  <c r="N319" i="16"/>
  <c r="M319" i="16"/>
  <c r="L319" i="16"/>
  <c r="J319" i="16"/>
  <c r="I319" i="16"/>
  <c r="H319" i="16"/>
  <c r="G319" i="16"/>
  <c r="F319" i="16"/>
  <c r="E319" i="16"/>
  <c r="D319" i="16"/>
  <c r="J316" i="16"/>
  <c r="I316" i="16"/>
  <c r="H316" i="16"/>
  <c r="G316" i="16"/>
  <c r="F316" i="16"/>
  <c r="E316" i="16"/>
  <c r="D316" i="16"/>
  <c r="L313" i="16"/>
  <c r="L314" i="16" s="1"/>
  <c r="J313" i="16"/>
  <c r="J314" i="16" s="1"/>
  <c r="J315" i="16" s="1"/>
  <c r="I313" i="16"/>
  <c r="I314" i="16" s="1"/>
  <c r="I315" i="16" s="1"/>
  <c r="H313" i="16"/>
  <c r="H314" i="16" s="1"/>
  <c r="G313" i="16"/>
  <c r="G314" i="16" s="1"/>
  <c r="G315" i="16" s="1"/>
  <c r="F313" i="16"/>
  <c r="E313" i="16"/>
  <c r="E314" i="16" s="1"/>
  <c r="D313" i="16"/>
  <c r="D314" i="16" s="1"/>
  <c r="D315" i="16" s="1"/>
  <c r="J310" i="16"/>
  <c r="I310" i="16"/>
  <c r="H310" i="16"/>
  <c r="G310" i="16"/>
  <c r="F310" i="16"/>
  <c r="E310" i="16"/>
  <c r="D310" i="16"/>
  <c r="J309" i="16"/>
  <c r="I309" i="16"/>
  <c r="H309" i="16"/>
  <c r="G309" i="16"/>
  <c r="F309" i="16"/>
  <c r="E309" i="16"/>
  <c r="D309" i="16"/>
  <c r="J306" i="16"/>
  <c r="I306" i="16"/>
  <c r="H306" i="16"/>
  <c r="G306" i="16"/>
  <c r="F306" i="16"/>
  <c r="E306" i="16"/>
  <c r="D306" i="16"/>
  <c r="J305" i="16"/>
  <c r="I305" i="16"/>
  <c r="H305" i="16"/>
  <c r="G305" i="16"/>
  <c r="F305" i="16"/>
  <c r="E305" i="16"/>
  <c r="D305" i="16"/>
  <c r="J302" i="16"/>
  <c r="I302" i="16"/>
  <c r="H302" i="16"/>
  <c r="G302" i="16"/>
  <c r="F302" i="16"/>
  <c r="E302" i="16"/>
  <c r="D302" i="16"/>
  <c r="J301" i="16"/>
  <c r="I301" i="16"/>
  <c r="H301" i="16"/>
  <c r="G301" i="16"/>
  <c r="F301" i="16"/>
  <c r="E301" i="16"/>
  <c r="D301" i="16"/>
  <c r="J298" i="16"/>
  <c r="I298" i="16"/>
  <c r="H298" i="16"/>
  <c r="G298" i="16"/>
  <c r="F298" i="16"/>
  <c r="E298" i="16"/>
  <c r="D298" i="16"/>
  <c r="J297" i="16"/>
  <c r="I297" i="16"/>
  <c r="H297" i="16"/>
  <c r="G297" i="16"/>
  <c r="F297" i="16"/>
  <c r="E297" i="16"/>
  <c r="D297" i="16"/>
  <c r="J294" i="16"/>
  <c r="I294" i="16"/>
  <c r="H294" i="16"/>
  <c r="G294" i="16"/>
  <c r="F294" i="16"/>
  <c r="E294" i="16"/>
  <c r="D294" i="16"/>
  <c r="O285" i="16"/>
  <c r="N285" i="16"/>
  <c r="M285" i="16"/>
  <c r="L285" i="16"/>
  <c r="J285" i="16"/>
  <c r="I285" i="16"/>
  <c r="H285" i="16"/>
  <c r="G285" i="16"/>
  <c r="F285" i="16"/>
  <c r="E285" i="16"/>
  <c r="D285" i="16"/>
  <c r="O284" i="16"/>
  <c r="N284" i="16"/>
  <c r="M284" i="16"/>
  <c r="L284" i="16"/>
  <c r="J284" i="16"/>
  <c r="I284" i="16"/>
  <c r="H284" i="16"/>
  <c r="G284" i="16"/>
  <c r="F284" i="16"/>
  <c r="E284" i="16"/>
  <c r="D284" i="16"/>
  <c r="O283" i="16"/>
  <c r="N283" i="16"/>
  <c r="M283" i="16"/>
  <c r="L283" i="16"/>
  <c r="J283" i="16"/>
  <c r="I283" i="16"/>
  <c r="H283" i="16"/>
  <c r="G283" i="16"/>
  <c r="F283" i="16"/>
  <c r="E283" i="16"/>
  <c r="D283" i="16"/>
  <c r="J280" i="16"/>
  <c r="I280" i="16"/>
  <c r="H280" i="16"/>
  <c r="G280" i="16"/>
  <c r="F280" i="16"/>
  <c r="E280" i="16"/>
  <c r="D280" i="16"/>
  <c r="J279" i="16"/>
  <c r="I279" i="16"/>
  <c r="H279" i="16"/>
  <c r="G279" i="16"/>
  <c r="F279" i="16"/>
  <c r="E279" i="16"/>
  <c r="D279" i="16"/>
  <c r="J276" i="16"/>
  <c r="I276" i="16"/>
  <c r="H276" i="16"/>
  <c r="G276" i="16"/>
  <c r="F276" i="16"/>
  <c r="E276" i="16"/>
  <c r="D276" i="16"/>
  <c r="O266" i="16"/>
  <c r="N266" i="16"/>
  <c r="M266" i="16"/>
  <c r="L266" i="16"/>
  <c r="J266" i="16"/>
  <c r="I266" i="16"/>
  <c r="H266" i="16"/>
  <c r="G266" i="16"/>
  <c r="F266" i="16"/>
  <c r="E266" i="16"/>
  <c r="D266" i="16"/>
  <c r="O257" i="16"/>
  <c r="N257" i="16"/>
  <c r="M257" i="16"/>
  <c r="L257" i="16"/>
  <c r="J257" i="16"/>
  <c r="I257" i="16"/>
  <c r="H257" i="16"/>
  <c r="G257" i="16"/>
  <c r="F257" i="16"/>
  <c r="E257" i="16"/>
  <c r="D257" i="16"/>
  <c r="J256" i="16"/>
  <c r="J258" i="16" s="1"/>
  <c r="I256" i="16"/>
  <c r="H256" i="16"/>
  <c r="G256" i="16"/>
  <c r="F256" i="16"/>
  <c r="E256" i="16"/>
  <c r="D256" i="16"/>
  <c r="O253" i="16"/>
  <c r="N253" i="16"/>
  <c r="M253" i="16"/>
  <c r="L253" i="16"/>
  <c r="J253" i="16"/>
  <c r="I253" i="16"/>
  <c r="H253" i="16"/>
  <c r="G253" i="16"/>
  <c r="F253" i="16"/>
  <c r="E253" i="16"/>
  <c r="D253" i="16"/>
  <c r="O252" i="16"/>
  <c r="N252" i="16"/>
  <c r="M252" i="16"/>
  <c r="L252" i="16"/>
  <c r="J252" i="16"/>
  <c r="I252" i="16"/>
  <c r="H252" i="16"/>
  <c r="G252" i="16"/>
  <c r="F252" i="16"/>
  <c r="E252" i="16"/>
  <c r="D252" i="16"/>
  <c r="J249" i="16"/>
  <c r="I249" i="16"/>
  <c r="H249" i="16"/>
  <c r="G249" i="16"/>
  <c r="F249" i="16"/>
  <c r="E249" i="16"/>
  <c r="D249" i="16"/>
  <c r="O248" i="16"/>
  <c r="Q248" i="16" s="1"/>
  <c r="R248" i="16" s="1"/>
  <c r="S248" i="16" s="1"/>
  <c r="T248" i="16" s="1"/>
  <c r="U248" i="16" s="1"/>
  <c r="V248" i="16" s="1"/>
  <c r="W248" i="16" s="1"/>
  <c r="X248" i="16" s="1"/>
  <c r="Y248" i="16" s="1"/>
  <c r="Z248" i="16" s="1"/>
  <c r="N248" i="16"/>
  <c r="M248" i="16"/>
  <c r="L248" i="16"/>
  <c r="J248" i="16"/>
  <c r="I248" i="16"/>
  <c r="H248" i="16"/>
  <c r="G248" i="16"/>
  <c r="F248" i="16"/>
  <c r="E248" i="16"/>
  <c r="D248" i="16"/>
  <c r="O243" i="16"/>
  <c r="N243" i="16"/>
  <c r="M243" i="16"/>
  <c r="L243" i="16"/>
  <c r="J243" i="16"/>
  <c r="I243" i="16"/>
  <c r="H243" i="16"/>
  <c r="G243" i="16"/>
  <c r="F243" i="16"/>
  <c r="E243" i="16"/>
  <c r="D243" i="16"/>
  <c r="O242" i="16"/>
  <c r="Q242" i="16" s="1"/>
  <c r="R242" i="16" s="1"/>
  <c r="S242" i="16" s="1"/>
  <c r="T242" i="16" s="1"/>
  <c r="U242" i="16" s="1"/>
  <c r="V242" i="16" s="1"/>
  <c r="W242" i="16" s="1"/>
  <c r="X242" i="16" s="1"/>
  <c r="Y242" i="16" s="1"/>
  <c r="Z242" i="16" s="1"/>
  <c r="N242" i="16"/>
  <c r="M242" i="16"/>
  <c r="L242" i="16"/>
  <c r="J242" i="16"/>
  <c r="I242" i="16"/>
  <c r="H242" i="16"/>
  <c r="G242" i="16"/>
  <c r="F242" i="16"/>
  <c r="E242" i="16"/>
  <c r="D242" i="16"/>
  <c r="O240" i="16"/>
  <c r="N240" i="16"/>
  <c r="M240" i="16"/>
  <c r="L240" i="16"/>
  <c r="J240" i="16"/>
  <c r="I240" i="16"/>
  <c r="H240" i="16"/>
  <c r="G240" i="16"/>
  <c r="F240" i="16"/>
  <c r="E240" i="16"/>
  <c r="D240" i="16"/>
  <c r="O239" i="16"/>
  <c r="N239" i="16"/>
  <c r="M239" i="16"/>
  <c r="L239" i="16"/>
  <c r="J239" i="16"/>
  <c r="I239" i="16"/>
  <c r="H239" i="16"/>
  <c r="G239" i="16"/>
  <c r="F239" i="16"/>
  <c r="E239" i="16"/>
  <c r="D239" i="16"/>
  <c r="O238" i="16"/>
  <c r="O290" i="16" s="1"/>
  <c r="N238" i="16"/>
  <c r="N290" i="16" s="1"/>
  <c r="M238" i="16"/>
  <c r="M290" i="16" s="1"/>
  <c r="L238" i="16"/>
  <c r="L290" i="16" s="1"/>
  <c r="J238" i="16"/>
  <c r="I238" i="16"/>
  <c r="H238" i="16"/>
  <c r="G238" i="16"/>
  <c r="F238" i="16"/>
  <c r="F290" i="16" s="1"/>
  <c r="E238" i="16"/>
  <c r="D238" i="16"/>
  <c r="D290" i="16" s="1"/>
  <c r="O233" i="16"/>
  <c r="N233" i="16"/>
  <c r="M233" i="16"/>
  <c r="L233" i="16"/>
  <c r="J233" i="16"/>
  <c r="I233" i="16"/>
  <c r="H233" i="16"/>
  <c r="G233" i="16"/>
  <c r="F233" i="16"/>
  <c r="E233" i="16"/>
  <c r="D233" i="16"/>
  <c r="O232" i="16"/>
  <c r="N232" i="16"/>
  <c r="M232" i="16"/>
  <c r="L232" i="16"/>
  <c r="J232" i="16"/>
  <c r="I232" i="16"/>
  <c r="H232" i="16"/>
  <c r="G232" i="16"/>
  <c r="F232" i="16"/>
  <c r="E232" i="16"/>
  <c r="D232" i="16"/>
  <c r="O231" i="16"/>
  <c r="N231" i="16"/>
  <c r="M231" i="16"/>
  <c r="L231" i="16"/>
  <c r="J231" i="16"/>
  <c r="I231" i="16"/>
  <c r="H231" i="16"/>
  <c r="G231" i="16"/>
  <c r="F231" i="16"/>
  <c r="E231" i="16"/>
  <c r="D231" i="16"/>
  <c r="O230" i="16"/>
  <c r="N230" i="16"/>
  <c r="M230" i="16"/>
  <c r="L230" i="16"/>
  <c r="J230" i="16"/>
  <c r="I230" i="16"/>
  <c r="H230" i="16"/>
  <c r="G230" i="16"/>
  <c r="F230" i="16"/>
  <c r="E230" i="16"/>
  <c r="D230" i="16"/>
  <c r="O226" i="16"/>
  <c r="N226" i="16"/>
  <c r="M226" i="16"/>
  <c r="L226" i="16"/>
  <c r="J226" i="16"/>
  <c r="I226" i="16"/>
  <c r="H226" i="16"/>
  <c r="G226" i="16"/>
  <c r="F226" i="16"/>
  <c r="E226" i="16"/>
  <c r="D226" i="16"/>
  <c r="O225" i="16"/>
  <c r="N225" i="16"/>
  <c r="M225" i="16"/>
  <c r="L225" i="16"/>
  <c r="J225" i="16"/>
  <c r="I225" i="16"/>
  <c r="H225" i="16"/>
  <c r="G225" i="16"/>
  <c r="F225" i="16"/>
  <c r="E225" i="16"/>
  <c r="D225" i="16"/>
  <c r="O224" i="16"/>
  <c r="N224" i="16"/>
  <c r="M224" i="16"/>
  <c r="L224" i="16"/>
  <c r="J224" i="16"/>
  <c r="I224" i="16"/>
  <c r="H224" i="16"/>
  <c r="G224" i="16"/>
  <c r="F224" i="16"/>
  <c r="E224" i="16"/>
  <c r="D224" i="16"/>
  <c r="J223" i="16"/>
  <c r="I223" i="16"/>
  <c r="H223" i="16"/>
  <c r="G223" i="16"/>
  <c r="F223" i="16"/>
  <c r="E223" i="16"/>
  <c r="D223" i="16"/>
  <c r="O220" i="16"/>
  <c r="N220" i="16"/>
  <c r="M220" i="16"/>
  <c r="L220" i="16"/>
  <c r="J220" i="16"/>
  <c r="I220" i="16"/>
  <c r="H220" i="16"/>
  <c r="G220" i="16"/>
  <c r="F220" i="16"/>
  <c r="E220" i="16"/>
  <c r="D220" i="16"/>
  <c r="O219" i="16"/>
  <c r="N219" i="16"/>
  <c r="M219" i="16"/>
  <c r="L219" i="16"/>
  <c r="J219" i="16"/>
  <c r="I219" i="16"/>
  <c r="H219" i="16"/>
  <c r="G219" i="16"/>
  <c r="F219" i="16"/>
  <c r="E219" i="16"/>
  <c r="D219" i="16"/>
  <c r="O217" i="16"/>
  <c r="N217" i="16"/>
  <c r="M217" i="16"/>
  <c r="L217" i="16"/>
  <c r="J217" i="16"/>
  <c r="I217" i="16"/>
  <c r="I218" i="16" s="1"/>
  <c r="I114" i="16" s="1"/>
  <c r="H217" i="16"/>
  <c r="H218" i="16" s="1"/>
  <c r="H114" i="16" s="1"/>
  <c r="G217" i="16"/>
  <c r="F217" i="16"/>
  <c r="E217" i="16"/>
  <c r="D217" i="16"/>
  <c r="O216" i="16"/>
  <c r="N216" i="16"/>
  <c r="M216" i="16"/>
  <c r="L216" i="16"/>
  <c r="J216" i="16"/>
  <c r="I216" i="16"/>
  <c r="H216" i="16"/>
  <c r="G216" i="16"/>
  <c r="F216" i="16"/>
  <c r="E216" i="16"/>
  <c r="D216" i="16"/>
  <c r="D218" i="16" s="1"/>
  <c r="D114" i="16" s="1"/>
  <c r="O215" i="16"/>
  <c r="N215" i="16"/>
  <c r="M215" i="16"/>
  <c r="L215" i="16"/>
  <c r="J215" i="16"/>
  <c r="I215" i="16"/>
  <c r="H215" i="16"/>
  <c r="G215" i="16"/>
  <c r="F215" i="16"/>
  <c r="E215" i="16"/>
  <c r="D215" i="16"/>
  <c r="O211" i="16"/>
  <c r="N211" i="16"/>
  <c r="M211" i="16"/>
  <c r="L211" i="16"/>
  <c r="J211" i="16"/>
  <c r="I211" i="16"/>
  <c r="H211" i="16"/>
  <c r="G211" i="16"/>
  <c r="F211" i="16"/>
  <c r="E211" i="16"/>
  <c r="D211" i="16"/>
  <c r="O210" i="16"/>
  <c r="N210" i="16"/>
  <c r="M210" i="16"/>
  <c r="L210" i="16"/>
  <c r="J210" i="16"/>
  <c r="I210" i="16"/>
  <c r="H210" i="16"/>
  <c r="G210" i="16"/>
  <c r="F210" i="16"/>
  <c r="E210" i="16"/>
  <c r="E212" i="16" s="1"/>
  <c r="D210" i="16"/>
  <c r="O209" i="16"/>
  <c r="N209" i="16"/>
  <c r="M209" i="16"/>
  <c r="L209" i="16"/>
  <c r="J209" i="16"/>
  <c r="I209" i="16"/>
  <c r="H209" i="16"/>
  <c r="G209" i="16"/>
  <c r="F209" i="16"/>
  <c r="E209" i="16"/>
  <c r="D209" i="16"/>
  <c r="O208" i="16"/>
  <c r="N208" i="16"/>
  <c r="M208" i="16"/>
  <c r="L208" i="16"/>
  <c r="J208" i="16"/>
  <c r="I208" i="16"/>
  <c r="H208" i="16"/>
  <c r="G208" i="16"/>
  <c r="F208" i="16"/>
  <c r="E208" i="16"/>
  <c r="O198" i="16"/>
  <c r="N198" i="16"/>
  <c r="M198" i="16"/>
  <c r="L198" i="16"/>
  <c r="J198" i="16"/>
  <c r="I198" i="16"/>
  <c r="H198" i="16"/>
  <c r="G198" i="16"/>
  <c r="F198" i="16"/>
  <c r="E198" i="16"/>
  <c r="D198" i="16"/>
  <c r="O195" i="16"/>
  <c r="N195" i="16"/>
  <c r="M195" i="16"/>
  <c r="L195" i="16"/>
  <c r="J195" i="16"/>
  <c r="I195" i="16"/>
  <c r="H195" i="16"/>
  <c r="G195" i="16"/>
  <c r="F195" i="16"/>
  <c r="E195" i="16"/>
  <c r="D195" i="16"/>
  <c r="O193" i="16"/>
  <c r="N193" i="16"/>
  <c r="M193" i="16"/>
  <c r="M272" i="16" s="1"/>
  <c r="L193" i="16"/>
  <c r="L272" i="16" s="1"/>
  <c r="J193" i="16"/>
  <c r="J272" i="16" s="1"/>
  <c r="I193" i="16"/>
  <c r="I272" i="16" s="1"/>
  <c r="H193" i="16"/>
  <c r="G193" i="16"/>
  <c r="G272" i="16" s="1"/>
  <c r="F193" i="16"/>
  <c r="E193" i="16"/>
  <c r="E272" i="16" s="1"/>
  <c r="D193" i="16"/>
  <c r="O192" i="16"/>
  <c r="O291" i="16" s="1"/>
  <c r="O292" i="16" s="1"/>
  <c r="O293" i="16" s="1"/>
  <c r="N192" i="16"/>
  <c r="N291" i="16" s="1"/>
  <c r="M192" i="16"/>
  <c r="M291" i="16" s="1"/>
  <c r="L192" i="16"/>
  <c r="J192" i="16"/>
  <c r="J291" i="16" s="1"/>
  <c r="I192" i="16"/>
  <c r="I291" i="16" s="1"/>
  <c r="H192" i="16"/>
  <c r="G192" i="16"/>
  <c r="F192" i="16"/>
  <c r="F291" i="16" s="1"/>
  <c r="E192" i="16"/>
  <c r="E291" i="16" s="1"/>
  <c r="D192" i="16"/>
  <c r="O190" i="16"/>
  <c r="N190" i="16"/>
  <c r="N262" i="16" s="1"/>
  <c r="M190" i="16"/>
  <c r="M262" i="16" s="1"/>
  <c r="L190" i="16"/>
  <c r="J190" i="16"/>
  <c r="J262" i="16" s="1"/>
  <c r="I190" i="16"/>
  <c r="I262" i="16" s="1"/>
  <c r="H190" i="16"/>
  <c r="H262" i="16" s="1"/>
  <c r="G190" i="16"/>
  <c r="F190" i="16"/>
  <c r="E190" i="16"/>
  <c r="E262" i="16" s="1"/>
  <c r="E264" i="16" s="1"/>
  <c r="D190" i="16"/>
  <c r="O188" i="16"/>
  <c r="N188" i="16"/>
  <c r="M188" i="16"/>
  <c r="L188" i="16"/>
  <c r="J188" i="16"/>
  <c r="I188" i="16"/>
  <c r="H188" i="16"/>
  <c r="G188" i="16"/>
  <c r="F188" i="16"/>
  <c r="E188" i="16"/>
  <c r="D188" i="16"/>
  <c r="O187" i="16"/>
  <c r="N187" i="16"/>
  <c r="M187" i="16"/>
  <c r="L187" i="16"/>
  <c r="J187" i="16"/>
  <c r="I187" i="16"/>
  <c r="H187" i="16"/>
  <c r="G187" i="16"/>
  <c r="F187" i="16"/>
  <c r="E187" i="16"/>
  <c r="D187" i="16"/>
  <c r="O186" i="16"/>
  <c r="N186" i="16"/>
  <c r="M186" i="16"/>
  <c r="L186" i="16"/>
  <c r="J186" i="16"/>
  <c r="I186" i="16"/>
  <c r="H186" i="16"/>
  <c r="G186" i="16"/>
  <c r="F186" i="16"/>
  <c r="E186" i="16"/>
  <c r="D186" i="16"/>
  <c r="O185" i="16"/>
  <c r="N185" i="16"/>
  <c r="M185" i="16"/>
  <c r="L185" i="16"/>
  <c r="J185" i="16"/>
  <c r="I185" i="16"/>
  <c r="H185" i="16"/>
  <c r="G185" i="16"/>
  <c r="F185" i="16"/>
  <c r="E185" i="16"/>
  <c r="D185" i="16"/>
  <c r="O184" i="16"/>
  <c r="N184" i="16"/>
  <c r="M184" i="16"/>
  <c r="L184" i="16"/>
  <c r="J184" i="16"/>
  <c r="I184" i="16"/>
  <c r="H184" i="16"/>
  <c r="G184" i="16"/>
  <c r="F184" i="16"/>
  <c r="E184" i="16"/>
  <c r="D184" i="16"/>
  <c r="O183" i="16"/>
  <c r="N183" i="16"/>
  <c r="M183" i="16"/>
  <c r="L183" i="16"/>
  <c r="J183" i="16"/>
  <c r="I183" i="16"/>
  <c r="H183" i="16"/>
  <c r="G183" i="16"/>
  <c r="F183" i="16"/>
  <c r="E183" i="16"/>
  <c r="D183" i="16"/>
  <c r="O182" i="16"/>
  <c r="N182" i="16"/>
  <c r="M182" i="16"/>
  <c r="L182" i="16"/>
  <c r="J182" i="16"/>
  <c r="I182" i="16"/>
  <c r="H182" i="16"/>
  <c r="G182" i="16"/>
  <c r="F182" i="16"/>
  <c r="E182" i="16"/>
  <c r="D182" i="16"/>
  <c r="O172" i="16"/>
  <c r="N172" i="16"/>
  <c r="M172" i="16"/>
  <c r="L172" i="16"/>
  <c r="J172" i="16"/>
  <c r="I172" i="16"/>
  <c r="H172" i="16"/>
  <c r="G172" i="16"/>
  <c r="F172" i="16"/>
  <c r="E172" i="16"/>
  <c r="D172" i="16"/>
  <c r="O171" i="16"/>
  <c r="N171" i="16"/>
  <c r="M171" i="16"/>
  <c r="L171" i="16"/>
  <c r="J171" i="16"/>
  <c r="I171" i="16"/>
  <c r="H171" i="16"/>
  <c r="G171" i="16"/>
  <c r="F171" i="16"/>
  <c r="E171" i="16"/>
  <c r="D171" i="16"/>
  <c r="O164" i="16"/>
  <c r="N164" i="16"/>
  <c r="M164" i="16"/>
  <c r="L164" i="16"/>
  <c r="J164" i="16"/>
  <c r="I164" i="16"/>
  <c r="H164" i="16"/>
  <c r="G164" i="16"/>
  <c r="F164" i="16"/>
  <c r="E164" i="16"/>
  <c r="D164" i="16"/>
  <c r="O163" i="16"/>
  <c r="N163" i="16"/>
  <c r="M163" i="16"/>
  <c r="L163" i="16"/>
  <c r="J163" i="16"/>
  <c r="I163" i="16"/>
  <c r="H163" i="16"/>
  <c r="G163" i="16"/>
  <c r="F163" i="16"/>
  <c r="E163" i="16"/>
  <c r="D163" i="16"/>
  <c r="O162" i="16"/>
  <c r="N162" i="16"/>
  <c r="M162" i="16"/>
  <c r="L162" i="16"/>
  <c r="J162" i="16"/>
  <c r="I162" i="16"/>
  <c r="H162" i="16"/>
  <c r="G162" i="16"/>
  <c r="F162" i="16"/>
  <c r="E162" i="16"/>
  <c r="D162" i="16"/>
  <c r="O155" i="16"/>
  <c r="N155" i="16"/>
  <c r="M155" i="16"/>
  <c r="L155" i="16"/>
  <c r="J155" i="16"/>
  <c r="I155" i="16"/>
  <c r="H155" i="16"/>
  <c r="G155" i="16"/>
  <c r="F155" i="16"/>
  <c r="E155" i="16"/>
  <c r="D155" i="16"/>
  <c r="O154" i="16"/>
  <c r="N154" i="16"/>
  <c r="M154" i="16"/>
  <c r="L154" i="16"/>
  <c r="J154" i="16"/>
  <c r="I154" i="16"/>
  <c r="H154" i="16"/>
  <c r="G154" i="16"/>
  <c r="F154" i="16"/>
  <c r="E154" i="16"/>
  <c r="D154" i="16"/>
  <c r="O151" i="16"/>
  <c r="Q151" i="16" s="1"/>
  <c r="R151" i="16" s="1"/>
  <c r="S151" i="16" s="1"/>
  <c r="T151" i="16" s="1"/>
  <c r="U151" i="16" s="1"/>
  <c r="V151" i="16" s="1"/>
  <c r="W151" i="16" s="1"/>
  <c r="X151" i="16" s="1"/>
  <c r="Y151" i="16" s="1"/>
  <c r="Z151" i="16" s="1"/>
  <c r="N151" i="16"/>
  <c r="M151" i="16"/>
  <c r="L151" i="16"/>
  <c r="J151" i="16"/>
  <c r="I151" i="16"/>
  <c r="H151" i="16"/>
  <c r="G151" i="16"/>
  <c r="F151" i="16"/>
  <c r="E151" i="16"/>
  <c r="D151" i="16"/>
  <c r="O148" i="16"/>
  <c r="N148" i="16"/>
  <c r="M148" i="16"/>
  <c r="L148" i="16"/>
  <c r="J148" i="16"/>
  <c r="I148" i="16"/>
  <c r="H148" i="16"/>
  <c r="G148" i="16"/>
  <c r="F148" i="16"/>
  <c r="E148" i="16"/>
  <c r="D148" i="16"/>
  <c r="O145" i="16"/>
  <c r="O146" i="16" s="1"/>
  <c r="O147" i="16" s="1"/>
  <c r="O149" i="16" s="1"/>
  <c r="N145" i="16"/>
  <c r="N146" i="16" s="1"/>
  <c r="M145" i="16"/>
  <c r="M146" i="16" s="1"/>
  <c r="M147" i="16" s="1"/>
  <c r="L145" i="16"/>
  <c r="L146" i="16" s="1"/>
  <c r="J145" i="16"/>
  <c r="J146" i="16" s="1"/>
  <c r="I145" i="16"/>
  <c r="I146" i="16" s="1"/>
  <c r="H145" i="16"/>
  <c r="H146" i="16" s="1"/>
  <c r="H147" i="16" s="1"/>
  <c r="G145" i="16"/>
  <c r="G146" i="16" s="1"/>
  <c r="G147" i="16" s="1"/>
  <c r="G149" i="16" s="1"/>
  <c r="F145" i="16"/>
  <c r="F146" i="16" s="1"/>
  <c r="E145" i="16"/>
  <c r="E146" i="16" s="1"/>
  <c r="E147" i="16" s="1"/>
  <c r="D145" i="16"/>
  <c r="D146" i="16" s="1"/>
  <c r="O139" i="16"/>
  <c r="N139" i="16"/>
  <c r="M139" i="16"/>
  <c r="L139" i="16"/>
  <c r="J139" i="16"/>
  <c r="I139" i="16"/>
  <c r="H139" i="16"/>
  <c r="G139" i="16"/>
  <c r="F139" i="16"/>
  <c r="E139" i="16"/>
  <c r="D139" i="16"/>
  <c r="O138" i="16"/>
  <c r="N138" i="16"/>
  <c r="M138" i="16"/>
  <c r="L138" i="16"/>
  <c r="J138" i="16"/>
  <c r="I138" i="16"/>
  <c r="H138" i="16"/>
  <c r="G138" i="16"/>
  <c r="F138" i="16"/>
  <c r="E138" i="16"/>
  <c r="D138" i="16"/>
  <c r="O137" i="16"/>
  <c r="N137" i="16"/>
  <c r="M137" i="16"/>
  <c r="L137" i="16"/>
  <c r="J137" i="16"/>
  <c r="I137" i="16"/>
  <c r="H137" i="16"/>
  <c r="G137" i="16"/>
  <c r="F137" i="16"/>
  <c r="E137" i="16"/>
  <c r="D137" i="16"/>
  <c r="O136" i="16"/>
  <c r="N136" i="16"/>
  <c r="M136" i="16"/>
  <c r="L136" i="16"/>
  <c r="J136" i="16"/>
  <c r="I136" i="16"/>
  <c r="H136" i="16"/>
  <c r="G136" i="16"/>
  <c r="F136" i="16"/>
  <c r="E136" i="16"/>
  <c r="D136" i="16"/>
  <c r="O135" i="16"/>
  <c r="N135" i="16"/>
  <c r="M135" i="16"/>
  <c r="L135" i="16"/>
  <c r="J135" i="16"/>
  <c r="I135" i="16"/>
  <c r="H135" i="16"/>
  <c r="G135" i="16"/>
  <c r="F135" i="16"/>
  <c r="E135" i="16"/>
  <c r="D135" i="16"/>
  <c r="O134" i="16"/>
  <c r="N134" i="16"/>
  <c r="M134" i="16"/>
  <c r="L134" i="16"/>
  <c r="J134" i="16"/>
  <c r="I134" i="16"/>
  <c r="H134" i="16"/>
  <c r="G134" i="16"/>
  <c r="F134" i="16"/>
  <c r="E134" i="16"/>
  <c r="D134" i="16"/>
  <c r="O127" i="16"/>
  <c r="N127" i="16"/>
  <c r="M127" i="16"/>
  <c r="L127" i="16"/>
  <c r="J127" i="16"/>
  <c r="I127" i="16"/>
  <c r="H127" i="16"/>
  <c r="G127" i="16"/>
  <c r="F127" i="16"/>
  <c r="E127" i="16"/>
  <c r="D127" i="16"/>
  <c r="O126" i="16"/>
  <c r="N126" i="16"/>
  <c r="M126" i="16"/>
  <c r="L126" i="16"/>
  <c r="J126" i="16"/>
  <c r="I126" i="16"/>
  <c r="H126" i="16"/>
  <c r="G126" i="16"/>
  <c r="F126" i="16"/>
  <c r="E126" i="16"/>
  <c r="D126" i="16"/>
  <c r="O125" i="16"/>
  <c r="N125" i="16"/>
  <c r="M125" i="16"/>
  <c r="L125" i="16"/>
  <c r="J125" i="16"/>
  <c r="I125" i="16"/>
  <c r="H125" i="16"/>
  <c r="G125" i="16"/>
  <c r="F125" i="16"/>
  <c r="E125" i="16"/>
  <c r="D125" i="16"/>
  <c r="O124" i="16"/>
  <c r="N124" i="16"/>
  <c r="M124" i="16"/>
  <c r="L124" i="16"/>
  <c r="J124" i="16"/>
  <c r="I124" i="16"/>
  <c r="H124" i="16"/>
  <c r="G124" i="16"/>
  <c r="F124" i="16"/>
  <c r="E124" i="16"/>
  <c r="D124" i="16"/>
  <c r="O123" i="16"/>
  <c r="N123" i="16"/>
  <c r="M123" i="16"/>
  <c r="L123" i="16"/>
  <c r="J123" i="16"/>
  <c r="I123" i="16"/>
  <c r="H123" i="16"/>
  <c r="G123" i="16"/>
  <c r="F123" i="16"/>
  <c r="E123" i="16"/>
  <c r="D123" i="16"/>
  <c r="O122" i="16"/>
  <c r="N122" i="16"/>
  <c r="M122" i="16"/>
  <c r="L122" i="16"/>
  <c r="J122" i="16"/>
  <c r="I122" i="16"/>
  <c r="H122" i="16"/>
  <c r="G122" i="16"/>
  <c r="F122" i="16"/>
  <c r="E122" i="16"/>
  <c r="D122" i="16"/>
  <c r="O120" i="16"/>
  <c r="N120" i="16"/>
  <c r="M120" i="16"/>
  <c r="L120" i="16"/>
  <c r="J120" i="16"/>
  <c r="I120" i="16"/>
  <c r="H120" i="16"/>
  <c r="G120" i="16"/>
  <c r="F120" i="16"/>
  <c r="E120" i="16"/>
  <c r="D120" i="16"/>
  <c r="O119" i="16"/>
  <c r="N119" i="16"/>
  <c r="M119" i="16"/>
  <c r="L119" i="16"/>
  <c r="J119" i="16"/>
  <c r="I119" i="16"/>
  <c r="H119" i="16"/>
  <c r="G119" i="16"/>
  <c r="F119" i="16"/>
  <c r="E119" i="16"/>
  <c r="D119" i="16"/>
  <c r="O118" i="16"/>
  <c r="N118" i="16"/>
  <c r="M118" i="16"/>
  <c r="L118" i="16"/>
  <c r="J118" i="16"/>
  <c r="I118" i="16"/>
  <c r="H118" i="16"/>
  <c r="G118" i="16"/>
  <c r="F118" i="16"/>
  <c r="E118" i="16"/>
  <c r="D118" i="16"/>
  <c r="O117" i="16"/>
  <c r="N117" i="16"/>
  <c r="M117" i="16"/>
  <c r="L117" i="16"/>
  <c r="J117" i="16"/>
  <c r="I117" i="16"/>
  <c r="H117" i="16"/>
  <c r="G117" i="16"/>
  <c r="F117" i="16"/>
  <c r="E117" i="16"/>
  <c r="D117" i="16"/>
  <c r="O116" i="16"/>
  <c r="N116" i="16"/>
  <c r="M116" i="16"/>
  <c r="L116" i="16"/>
  <c r="J116" i="16"/>
  <c r="I116" i="16"/>
  <c r="H116" i="16"/>
  <c r="G116" i="16"/>
  <c r="F116" i="16"/>
  <c r="E116" i="16"/>
  <c r="D116" i="16"/>
  <c r="O115" i="16"/>
  <c r="N115" i="16"/>
  <c r="M115" i="16"/>
  <c r="L115" i="16"/>
  <c r="J115" i="16"/>
  <c r="I115" i="16"/>
  <c r="H115" i="16"/>
  <c r="G115" i="16"/>
  <c r="F115" i="16"/>
  <c r="E115" i="16"/>
  <c r="D115" i="16"/>
  <c r="O109" i="16"/>
  <c r="N109" i="16"/>
  <c r="M109" i="16"/>
  <c r="L109" i="16"/>
  <c r="J109" i="16"/>
  <c r="I109" i="16"/>
  <c r="H109" i="16"/>
  <c r="G109" i="16"/>
  <c r="F109" i="16"/>
  <c r="E109" i="16"/>
  <c r="D109" i="16"/>
  <c r="O108" i="16"/>
  <c r="N108" i="16"/>
  <c r="M108" i="16"/>
  <c r="L108" i="16"/>
  <c r="J108" i="16"/>
  <c r="I108" i="16"/>
  <c r="H108" i="16"/>
  <c r="G108" i="16"/>
  <c r="F108" i="16"/>
  <c r="E108" i="16"/>
  <c r="D108" i="16"/>
  <c r="O107" i="16"/>
  <c r="O494" i="16" s="1"/>
  <c r="O496" i="16" s="1"/>
  <c r="N107" i="16"/>
  <c r="M107" i="16"/>
  <c r="L107" i="16"/>
  <c r="L494" i="16" s="1"/>
  <c r="J107" i="16"/>
  <c r="I107" i="16"/>
  <c r="H107" i="16"/>
  <c r="G107" i="16"/>
  <c r="F107" i="16"/>
  <c r="E107" i="16"/>
  <c r="D107" i="16"/>
  <c r="O104" i="16"/>
  <c r="N104" i="16"/>
  <c r="M104" i="16"/>
  <c r="L104" i="16"/>
  <c r="J104" i="16"/>
  <c r="I104" i="16"/>
  <c r="H104" i="16"/>
  <c r="G104" i="16"/>
  <c r="F104" i="16"/>
  <c r="E104" i="16"/>
  <c r="D104" i="16"/>
  <c r="O103" i="16"/>
  <c r="N103" i="16"/>
  <c r="M103" i="16"/>
  <c r="L103" i="16"/>
  <c r="J103" i="16"/>
  <c r="I103" i="16"/>
  <c r="H103" i="16"/>
  <c r="G103" i="16"/>
  <c r="F103" i="16"/>
  <c r="E103" i="16"/>
  <c r="D103" i="16"/>
  <c r="O102" i="16"/>
  <c r="N102" i="16"/>
  <c r="M102" i="16"/>
  <c r="L102" i="16"/>
  <c r="J102" i="16"/>
  <c r="I102" i="16"/>
  <c r="H102" i="16"/>
  <c r="G102" i="16"/>
  <c r="F102" i="16"/>
  <c r="E102" i="16"/>
  <c r="D102" i="16"/>
  <c r="O101" i="16"/>
  <c r="N101" i="16"/>
  <c r="M101" i="16"/>
  <c r="L101" i="16"/>
  <c r="J101" i="16"/>
  <c r="I101" i="16"/>
  <c r="H101" i="16"/>
  <c r="G101" i="16"/>
  <c r="F101" i="16"/>
  <c r="E101" i="16"/>
  <c r="D101" i="16"/>
  <c r="O100" i="16"/>
  <c r="N100" i="16"/>
  <c r="M100" i="16"/>
  <c r="L100" i="16"/>
  <c r="J100" i="16"/>
  <c r="I100" i="16"/>
  <c r="H100" i="16"/>
  <c r="G100" i="16"/>
  <c r="F100" i="16"/>
  <c r="E100" i="16"/>
  <c r="D100" i="16"/>
  <c r="O96" i="16"/>
  <c r="N96" i="16"/>
  <c r="M96" i="16"/>
  <c r="L96" i="16"/>
  <c r="J96" i="16"/>
  <c r="I96" i="16"/>
  <c r="H96" i="16"/>
  <c r="G96" i="16"/>
  <c r="F96" i="16"/>
  <c r="E96" i="16"/>
  <c r="D96" i="16"/>
  <c r="J95" i="16"/>
  <c r="I95" i="16"/>
  <c r="H95" i="16"/>
  <c r="G95" i="16"/>
  <c r="F95" i="16"/>
  <c r="E95" i="16"/>
  <c r="D95" i="16"/>
  <c r="O94" i="16"/>
  <c r="N94" i="16"/>
  <c r="M94" i="16"/>
  <c r="L94" i="16"/>
  <c r="J94" i="16"/>
  <c r="I94" i="16"/>
  <c r="H94" i="16"/>
  <c r="G94" i="16"/>
  <c r="F94" i="16"/>
  <c r="E94" i="16"/>
  <c r="D94" i="16"/>
  <c r="O92" i="16"/>
  <c r="N92" i="16"/>
  <c r="M92" i="16"/>
  <c r="L92" i="16"/>
  <c r="J92" i="16"/>
  <c r="I92" i="16"/>
  <c r="H92" i="16"/>
  <c r="G92" i="16"/>
  <c r="F92" i="16"/>
  <c r="E92" i="16"/>
  <c r="D92" i="16"/>
  <c r="O91" i="16"/>
  <c r="N91" i="16"/>
  <c r="M91" i="16"/>
  <c r="L91" i="16"/>
  <c r="J91" i="16"/>
  <c r="I91" i="16"/>
  <c r="H91" i="16"/>
  <c r="G91" i="16"/>
  <c r="F91" i="16"/>
  <c r="E91" i="16"/>
  <c r="D91" i="16"/>
  <c r="D93" i="16" s="1"/>
  <c r="O90" i="16"/>
  <c r="N90" i="16"/>
  <c r="M90" i="16"/>
  <c r="L90" i="16"/>
  <c r="J90" i="16"/>
  <c r="I90" i="16"/>
  <c r="H90" i="16"/>
  <c r="H93" i="16" s="1"/>
  <c r="G90" i="16"/>
  <c r="F90" i="16"/>
  <c r="E90" i="16"/>
  <c r="D90" i="16"/>
  <c r="O89" i="16"/>
  <c r="N89" i="16"/>
  <c r="M89" i="16"/>
  <c r="L89" i="16"/>
  <c r="J89" i="16"/>
  <c r="I89" i="16"/>
  <c r="H89" i="16"/>
  <c r="G89" i="16"/>
  <c r="F89" i="16"/>
  <c r="E89" i="16"/>
  <c r="D89" i="16"/>
  <c r="O88" i="16"/>
  <c r="N88" i="16"/>
  <c r="M88" i="16"/>
  <c r="L88" i="16"/>
  <c r="J88" i="16"/>
  <c r="I88" i="16"/>
  <c r="H88" i="16"/>
  <c r="G88" i="16"/>
  <c r="F88" i="16"/>
  <c r="E88" i="16"/>
  <c r="D88" i="16"/>
  <c r="O84" i="16"/>
  <c r="N84" i="16"/>
  <c r="M84" i="16"/>
  <c r="L84" i="16"/>
  <c r="J84" i="16"/>
  <c r="I84" i="16"/>
  <c r="H84" i="16"/>
  <c r="G84" i="16"/>
  <c r="F84" i="16"/>
  <c r="E84" i="16"/>
  <c r="D84" i="16"/>
  <c r="O80" i="16"/>
  <c r="N80" i="16"/>
  <c r="M80" i="16"/>
  <c r="L80" i="16"/>
  <c r="J80" i="16"/>
  <c r="I80" i="16"/>
  <c r="H80" i="16"/>
  <c r="G80" i="16"/>
  <c r="F80" i="16"/>
  <c r="E80" i="16"/>
  <c r="D80" i="16"/>
  <c r="O79" i="16"/>
  <c r="N79" i="16"/>
  <c r="M79" i="16"/>
  <c r="L79" i="16"/>
  <c r="J79" i="16"/>
  <c r="I79" i="16"/>
  <c r="H79" i="16"/>
  <c r="G79" i="16"/>
  <c r="F79" i="16"/>
  <c r="E79" i="16"/>
  <c r="D79" i="16"/>
  <c r="O77" i="16"/>
  <c r="O391" i="16" s="1"/>
  <c r="N77" i="16"/>
  <c r="N391" i="16" s="1"/>
  <c r="M77" i="16"/>
  <c r="M391" i="16" s="1"/>
  <c r="L77" i="16"/>
  <c r="L391" i="16" s="1"/>
  <c r="J77" i="16"/>
  <c r="J391" i="16" s="1"/>
  <c r="I77" i="16"/>
  <c r="I391" i="16" s="1"/>
  <c r="H77" i="16"/>
  <c r="H391" i="16" s="1"/>
  <c r="G77" i="16"/>
  <c r="G391" i="16" s="1"/>
  <c r="F77" i="16"/>
  <c r="F391" i="16" s="1"/>
  <c r="E77" i="16"/>
  <c r="E391" i="16" s="1"/>
  <c r="D77" i="16"/>
  <c r="D391" i="16" s="1"/>
  <c r="O76" i="16"/>
  <c r="N76" i="16"/>
  <c r="M76" i="16"/>
  <c r="L76" i="16"/>
  <c r="J76" i="16"/>
  <c r="I76" i="16"/>
  <c r="H76" i="16"/>
  <c r="G76" i="16"/>
  <c r="F76" i="16"/>
  <c r="E76" i="16"/>
  <c r="D76" i="16"/>
  <c r="O75" i="16"/>
  <c r="N75" i="16"/>
  <c r="M75" i="16"/>
  <c r="L75" i="16"/>
  <c r="J75" i="16"/>
  <c r="I75" i="16"/>
  <c r="H75" i="16"/>
  <c r="G75" i="16"/>
  <c r="F75" i="16"/>
  <c r="E75" i="16"/>
  <c r="D75" i="16"/>
  <c r="O74" i="16"/>
  <c r="N74" i="16"/>
  <c r="M74" i="16"/>
  <c r="L74" i="16"/>
  <c r="J74" i="16"/>
  <c r="I74" i="16"/>
  <c r="H74" i="16"/>
  <c r="G74" i="16"/>
  <c r="F74" i="16"/>
  <c r="E74" i="16"/>
  <c r="D74" i="16"/>
  <c r="O73" i="16"/>
  <c r="N73" i="16"/>
  <c r="M73" i="16"/>
  <c r="L73" i="16"/>
  <c r="J73" i="16"/>
  <c r="I73" i="16"/>
  <c r="H73" i="16"/>
  <c r="G73" i="16"/>
  <c r="F73" i="16"/>
  <c r="E73" i="16"/>
  <c r="D73" i="16"/>
  <c r="O72" i="16"/>
  <c r="N72" i="16"/>
  <c r="M72" i="16"/>
  <c r="L72" i="16"/>
  <c r="J72" i="16"/>
  <c r="I72" i="16"/>
  <c r="H72" i="16"/>
  <c r="G72" i="16"/>
  <c r="F72" i="16"/>
  <c r="E72" i="16"/>
  <c r="D72" i="16"/>
  <c r="O71" i="16"/>
  <c r="P235" i="16" s="1"/>
  <c r="N71" i="16"/>
  <c r="M71" i="16"/>
  <c r="L71" i="16"/>
  <c r="L78" i="16" s="1"/>
  <c r="J71" i="16"/>
  <c r="K235" i="16" s="1"/>
  <c r="I71" i="16"/>
  <c r="H71" i="16"/>
  <c r="G71" i="16"/>
  <c r="F71" i="16"/>
  <c r="E71" i="16"/>
  <c r="D71" i="16"/>
  <c r="O70" i="16"/>
  <c r="N70" i="16"/>
  <c r="M70" i="16"/>
  <c r="L70" i="16"/>
  <c r="J70" i="16"/>
  <c r="I70" i="16"/>
  <c r="H70" i="16"/>
  <c r="G70" i="16"/>
  <c r="F70" i="16"/>
  <c r="E70" i="16"/>
  <c r="D70" i="16"/>
  <c r="O59" i="16"/>
  <c r="N59" i="16"/>
  <c r="M59" i="16"/>
  <c r="L59" i="16"/>
  <c r="J59" i="16"/>
  <c r="I59" i="16"/>
  <c r="H59" i="16"/>
  <c r="G59" i="16"/>
  <c r="F59" i="16"/>
  <c r="E59" i="16"/>
  <c r="D59" i="16"/>
  <c r="O44" i="16"/>
  <c r="N44" i="16"/>
  <c r="M44" i="16"/>
  <c r="L44" i="16"/>
  <c r="J44" i="16"/>
  <c r="I44" i="16"/>
  <c r="H44" i="16"/>
  <c r="G44" i="16"/>
  <c r="F44" i="16"/>
  <c r="E44" i="16"/>
  <c r="D44" i="16"/>
  <c r="O43" i="16"/>
  <c r="N43" i="16"/>
  <c r="M43" i="16"/>
  <c r="L43" i="16"/>
  <c r="J43" i="16"/>
  <c r="I43" i="16"/>
  <c r="H43" i="16"/>
  <c r="G43" i="16"/>
  <c r="F43" i="16"/>
  <c r="E43" i="16"/>
  <c r="D43" i="16"/>
  <c r="O40" i="16"/>
  <c r="N40" i="16"/>
  <c r="M40" i="16"/>
  <c r="L40" i="16"/>
  <c r="J40" i="16"/>
  <c r="I40" i="16"/>
  <c r="H40" i="16"/>
  <c r="G40" i="16"/>
  <c r="F40" i="16"/>
  <c r="E40" i="16"/>
  <c r="D40" i="16"/>
  <c r="O38" i="16"/>
  <c r="N38" i="16"/>
  <c r="M38" i="16"/>
  <c r="L38" i="16"/>
  <c r="J38" i="16"/>
  <c r="I38" i="16"/>
  <c r="H38" i="16"/>
  <c r="G38" i="16"/>
  <c r="F38" i="16"/>
  <c r="E38" i="16"/>
  <c r="D38" i="16"/>
  <c r="D208" i="16"/>
  <c r="O205" i="16"/>
  <c r="N205" i="16"/>
  <c r="M205" i="16"/>
  <c r="L205" i="16"/>
  <c r="J205" i="16"/>
  <c r="I205" i="16"/>
  <c r="H205" i="16"/>
  <c r="G205" i="16"/>
  <c r="F205" i="16"/>
  <c r="E205" i="16"/>
  <c r="D205" i="16"/>
  <c r="O204" i="16"/>
  <c r="N204" i="16"/>
  <c r="M204" i="16"/>
  <c r="L204" i="16"/>
  <c r="J204" i="16"/>
  <c r="I204" i="16"/>
  <c r="H204" i="16"/>
  <c r="G204" i="16"/>
  <c r="F204" i="16"/>
  <c r="E204" i="16"/>
  <c r="D204" i="16"/>
  <c r="O203" i="16"/>
  <c r="N203" i="16"/>
  <c r="M203" i="16"/>
  <c r="L203" i="16"/>
  <c r="J203" i="16"/>
  <c r="I203" i="16"/>
  <c r="H203" i="16"/>
  <c r="G203" i="16"/>
  <c r="F203" i="16"/>
  <c r="E203" i="16"/>
  <c r="D203" i="16"/>
  <c r="O202" i="16"/>
  <c r="N202" i="16"/>
  <c r="M202" i="16"/>
  <c r="L202" i="16"/>
  <c r="J202" i="16"/>
  <c r="I202" i="16"/>
  <c r="H202" i="16"/>
  <c r="G202" i="16"/>
  <c r="F202" i="16"/>
  <c r="E202" i="16"/>
  <c r="O30" i="16"/>
  <c r="N30" i="16"/>
  <c r="M30" i="16"/>
  <c r="L30" i="16"/>
  <c r="K30" i="16"/>
  <c r="J30" i="16"/>
  <c r="I30" i="16"/>
  <c r="H30" i="16"/>
  <c r="G30" i="16"/>
  <c r="F30" i="16"/>
  <c r="E30" i="16"/>
  <c r="D30" i="16"/>
  <c r="O28" i="16"/>
  <c r="P29" i="16" s="1"/>
  <c r="N28" i="16"/>
  <c r="M28" i="16"/>
  <c r="L28" i="16"/>
  <c r="K28" i="16"/>
  <c r="J28" i="16"/>
  <c r="I28" i="16"/>
  <c r="H28" i="16"/>
  <c r="G28" i="16"/>
  <c r="F28" i="16"/>
  <c r="F29" i="16" s="1"/>
  <c r="E28" i="16"/>
  <c r="D28" i="16"/>
  <c r="O26" i="16"/>
  <c r="N26" i="16"/>
  <c r="M26" i="16"/>
  <c r="L26" i="16"/>
  <c r="K26" i="16"/>
  <c r="J26" i="16"/>
  <c r="I26" i="16"/>
  <c r="H26" i="16"/>
  <c r="G26" i="16"/>
  <c r="F26" i="16"/>
  <c r="E26" i="16"/>
  <c r="D26" i="16"/>
  <c r="O25" i="16"/>
  <c r="N25" i="16"/>
  <c r="M25" i="16"/>
  <c r="L25" i="16"/>
  <c r="K25" i="16"/>
  <c r="J25" i="16"/>
  <c r="I25" i="16"/>
  <c r="H25" i="16"/>
  <c r="G25" i="16"/>
  <c r="F25" i="16"/>
  <c r="E25" i="16"/>
  <c r="D25" i="16"/>
  <c r="O24" i="16"/>
  <c r="N24" i="16"/>
  <c r="M24" i="16"/>
  <c r="L24" i="16"/>
  <c r="K24" i="16"/>
  <c r="J24" i="16"/>
  <c r="I24" i="16"/>
  <c r="H24" i="16"/>
  <c r="G24" i="16"/>
  <c r="F24" i="16"/>
  <c r="E24" i="16"/>
  <c r="D24" i="16"/>
  <c r="O23" i="16"/>
  <c r="N23" i="16"/>
  <c r="M23" i="16"/>
  <c r="L23" i="16"/>
  <c r="K23" i="16"/>
  <c r="J23" i="16"/>
  <c r="I23" i="16"/>
  <c r="H23" i="16"/>
  <c r="G23" i="16"/>
  <c r="F23" i="16"/>
  <c r="E23" i="16"/>
  <c r="D23" i="16"/>
  <c r="O21" i="16"/>
  <c r="P22" i="16" s="1"/>
  <c r="N21" i="16"/>
  <c r="M21" i="16"/>
  <c r="L21" i="16"/>
  <c r="K21" i="16"/>
  <c r="J21" i="16"/>
  <c r="K22" i="16" s="1"/>
  <c r="I21" i="16"/>
  <c r="H21" i="16"/>
  <c r="I22" i="16" s="1"/>
  <c r="G21" i="16"/>
  <c r="F21" i="16"/>
  <c r="E21" i="16"/>
  <c r="D21" i="16"/>
  <c r="O18" i="16"/>
  <c r="P19" i="16" s="1"/>
  <c r="N18" i="16"/>
  <c r="N19" i="16" s="1"/>
  <c r="M18" i="16"/>
  <c r="L18" i="16"/>
  <c r="M19" i="16" s="1"/>
  <c r="K18" i="16"/>
  <c r="J18" i="16"/>
  <c r="I18" i="16"/>
  <c r="H18" i="16"/>
  <c r="G18" i="16"/>
  <c r="F18" i="16"/>
  <c r="G19" i="16" s="1"/>
  <c r="E18" i="16"/>
  <c r="D18" i="16"/>
  <c r="D20" i="16" s="1"/>
  <c r="O16" i="16"/>
  <c r="P17" i="16" s="1"/>
  <c r="N16" i="16"/>
  <c r="M16" i="16"/>
  <c r="L16" i="16"/>
  <c r="K16" i="16"/>
  <c r="J16" i="16"/>
  <c r="J20" i="16" s="1"/>
  <c r="I16" i="16"/>
  <c r="H16" i="16"/>
  <c r="H17" i="16" s="1"/>
  <c r="G16" i="16"/>
  <c r="F16" i="16"/>
  <c r="E16" i="16"/>
  <c r="D16" i="16"/>
  <c r="O13" i="16"/>
  <c r="P14" i="16" s="1"/>
  <c r="N13" i="16"/>
  <c r="O14" i="16" s="1"/>
  <c r="M13" i="16"/>
  <c r="L13" i="16"/>
  <c r="M14" i="16" s="1"/>
  <c r="K13" i="16"/>
  <c r="J13" i="16"/>
  <c r="I13" i="16"/>
  <c r="H13" i="16"/>
  <c r="G13" i="16"/>
  <c r="F13" i="16"/>
  <c r="G14" i="16" s="1"/>
  <c r="E13" i="16"/>
  <c r="D13" i="16"/>
  <c r="O11" i="16"/>
  <c r="P12" i="16" s="1"/>
  <c r="N11" i="16"/>
  <c r="M11" i="16"/>
  <c r="L11" i="16"/>
  <c r="K11" i="16"/>
  <c r="J11" i="16"/>
  <c r="J12" i="16" s="1"/>
  <c r="I11" i="16"/>
  <c r="H11" i="16"/>
  <c r="H12" i="16" s="1"/>
  <c r="G11" i="16"/>
  <c r="F11" i="16"/>
  <c r="E11" i="16"/>
  <c r="D11" i="16"/>
  <c r="D202" i="16"/>
  <c r="Q458" i="16"/>
  <c r="R458" i="16" s="1"/>
  <c r="S458" i="16" s="1"/>
  <c r="T458" i="16" s="1"/>
  <c r="U458" i="16" s="1"/>
  <c r="V458" i="16" s="1"/>
  <c r="W458" i="16" s="1"/>
  <c r="X458" i="16" s="1"/>
  <c r="Y458" i="16" s="1"/>
  <c r="Z458" i="16" s="1"/>
  <c r="Y405" i="16"/>
  <c r="X405" i="16"/>
  <c r="W405" i="16"/>
  <c r="V405" i="16"/>
  <c r="U405" i="16"/>
  <c r="T405" i="16"/>
  <c r="S405" i="16"/>
  <c r="R405" i="16"/>
  <c r="Q405" i="16"/>
  <c r="Y404" i="16"/>
  <c r="X404" i="16"/>
  <c r="X159" i="16" s="1"/>
  <c r="W404" i="16"/>
  <c r="V404" i="16"/>
  <c r="U404" i="16"/>
  <c r="U159" i="16" s="1"/>
  <c r="T404" i="16"/>
  <c r="T159" i="16" s="1"/>
  <c r="S404" i="16"/>
  <c r="S159" i="16" s="1"/>
  <c r="R404" i="16"/>
  <c r="R159" i="16" s="1"/>
  <c r="Q404" i="16"/>
  <c r="Y403" i="16"/>
  <c r="X403" i="16"/>
  <c r="W403" i="16"/>
  <c r="V403" i="16"/>
  <c r="U403" i="16"/>
  <c r="T403" i="16"/>
  <c r="S403" i="16"/>
  <c r="R403" i="16"/>
  <c r="Q403" i="16"/>
  <c r="Y402" i="16"/>
  <c r="Y263" i="16" s="1"/>
  <c r="X402" i="16"/>
  <c r="W402" i="16"/>
  <c r="W263" i="16" s="1"/>
  <c r="V402" i="16"/>
  <c r="V116" i="16" s="1"/>
  <c r="U402" i="16"/>
  <c r="T402" i="16"/>
  <c r="T263" i="16" s="1"/>
  <c r="S402" i="16"/>
  <c r="R402" i="16"/>
  <c r="Q402" i="16"/>
  <c r="Q116" i="16" s="1"/>
  <c r="Y401" i="16"/>
  <c r="X401" i="16"/>
  <c r="W401" i="16"/>
  <c r="V401" i="16"/>
  <c r="U401" i="16"/>
  <c r="T401" i="16"/>
  <c r="S401" i="16"/>
  <c r="R401" i="16"/>
  <c r="Q401" i="16"/>
  <c r="Y400" i="16"/>
  <c r="X400" i="16"/>
  <c r="W400" i="16"/>
  <c r="V400" i="16"/>
  <c r="U400" i="16"/>
  <c r="T400" i="16"/>
  <c r="S400" i="16"/>
  <c r="R400" i="16"/>
  <c r="Q400" i="16"/>
  <c r="Y381" i="16"/>
  <c r="X381" i="16"/>
  <c r="W381" i="16"/>
  <c r="V381" i="16"/>
  <c r="U381" i="16"/>
  <c r="T381" i="16"/>
  <c r="S381" i="16"/>
  <c r="R381" i="16"/>
  <c r="Q381" i="16"/>
  <c r="Y380" i="16"/>
  <c r="X380" i="16"/>
  <c r="W380" i="16"/>
  <c r="W486" i="16" s="1"/>
  <c r="V380" i="16"/>
  <c r="U380" i="16"/>
  <c r="T380" i="16"/>
  <c r="T486" i="16" s="1"/>
  <c r="S380" i="16"/>
  <c r="R380" i="16"/>
  <c r="Q380" i="16"/>
  <c r="Y378" i="16"/>
  <c r="Y331" i="16" s="1"/>
  <c r="X378" i="16"/>
  <c r="W378" i="16"/>
  <c r="V378" i="16"/>
  <c r="V331" i="16" s="1"/>
  <c r="U378" i="16"/>
  <c r="T378" i="16"/>
  <c r="S378" i="16"/>
  <c r="S331" i="16" s="1"/>
  <c r="R378" i="16"/>
  <c r="Q378" i="16"/>
  <c r="Q331" i="16" s="1"/>
  <c r="Y377" i="16"/>
  <c r="X377" i="16"/>
  <c r="X271" i="16" s="1"/>
  <c r="W377" i="16"/>
  <c r="V377" i="16"/>
  <c r="U377" i="16"/>
  <c r="T377" i="16"/>
  <c r="T271" i="16" s="1"/>
  <c r="S377" i="16"/>
  <c r="R377" i="16"/>
  <c r="Q377" i="16"/>
  <c r="Y376" i="16"/>
  <c r="X376" i="16"/>
  <c r="W376" i="16"/>
  <c r="V376" i="16"/>
  <c r="U376" i="16"/>
  <c r="T376" i="16"/>
  <c r="S376" i="16"/>
  <c r="R376" i="16"/>
  <c r="Q376" i="16"/>
  <c r="Y375" i="16"/>
  <c r="X375" i="16"/>
  <c r="W375" i="16"/>
  <c r="W379" i="16" s="1"/>
  <c r="V375" i="16"/>
  <c r="U375" i="16"/>
  <c r="T375" i="16"/>
  <c r="S375" i="16"/>
  <c r="R375" i="16"/>
  <c r="Q375" i="16"/>
  <c r="Q334" i="16"/>
  <c r="R334" i="16" s="1"/>
  <c r="S334" i="16" s="1"/>
  <c r="T334" i="16" s="1"/>
  <c r="U334" i="16" s="1"/>
  <c r="V334" i="16" s="1"/>
  <c r="W334" i="16" s="1"/>
  <c r="X334" i="16" s="1"/>
  <c r="Y334" i="16" s="1"/>
  <c r="Z334" i="16" s="1"/>
  <c r="O273" i="16"/>
  <c r="N273" i="16"/>
  <c r="M273" i="16"/>
  <c r="L273" i="16"/>
  <c r="J273" i="16"/>
  <c r="I273" i="16"/>
  <c r="H273" i="16"/>
  <c r="G273" i="16"/>
  <c r="F273" i="16"/>
  <c r="E273" i="16"/>
  <c r="D273" i="16"/>
  <c r="Q253" i="16"/>
  <c r="R253" i="16" s="1"/>
  <c r="S253" i="16" s="1"/>
  <c r="T253" i="16" s="1"/>
  <c r="U253" i="16" s="1"/>
  <c r="V253" i="16" s="1"/>
  <c r="W253" i="16" s="1"/>
  <c r="X253" i="16" s="1"/>
  <c r="Y253" i="16" s="1"/>
  <c r="Z253" i="16" s="1"/>
  <c r="Q252" i="16"/>
  <c r="R252" i="16" s="1"/>
  <c r="S252" i="16" s="1"/>
  <c r="T252" i="16" s="1"/>
  <c r="U252" i="16" s="1"/>
  <c r="V252" i="16" s="1"/>
  <c r="W252" i="16" s="1"/>
  <c r="X252" i="16" s="1"/>
  <c r="Y252" i="16" s="1"/>
  <c r="Z252" i="16" s="1"/>
  <c r="Q198" i="16"/>
  <c r="R198" i="16" s="1"/>
  <c r="S198" i="16" s="1"/>
  <c r="T198" i="16" s="1"/>
  <c r="U198" i="16" s="1"/>
  <c r="V198" i="16" s="1"/>
  <c r="W198" i="16" s="1"/>
  <c r="X198" i="16" s="1"/>
  <c r="Y198" i="16" s="1"/>
  <c r="Z198" i="16" s="1"/>
  <c r="Q192" i="16"/>
  <c r="Q291" i="16" s="1"/>
  <c r="Q148" i="16"/>
  <c r="B539" i="16"/>
  <c r="B538" i="16"/>
  <c r="B537" i="16"/>
  <c r="B536" i="16"/>
  <c r="B535" i="16"/>
  <c r="B534" i="16"/>
  <c r="B533" i="16"/>
  <c r="B529" i="16"/>
  <c r="B528" i="16"/>
  <c r="B527" i="16"/>
  <c r="B526" i="16"/>
  <c r="B525" i="16"/>
  <c r="B499" i="16"/>
  <c r="B495" i="16"/>
  <c r="B493" i="16"/>
  <c r="B492" i="16"/>
  <c r="B490" i="16"/>
  <c r="B485" i="16"/>
  <c r="B484" i="16"/>
  <c r="B483" i="16"/>
  <c r="B480" i="16"/>
  <c r="B479" i="16"/>
  <c r="B478" i="16"/>
  <c r="B477" i="16"/>
  <c r="B476" i="16"/>
  <c r="B475" i="16"/>
  <c r="B474" i="16"/>
  <c r="B471" i="16"/>
  <c r="B469" i="16"/>
  <c r="L468" i="16"/>
  <c r="L469" i="16" s="1"/>
  <c r="G468" i="16"/>
  <c r="G469" i="16" s="1"/>
  <c r="B464" i="16"/>
  <c r="B463" i="16"/>
  <c r="B459" i="16"/>
  <c r="B458" i="16"/>
  <c r="B457" i="16"/>
  <c r="B454" i="16"/>
  <c r="B453" i="16"/>
  <c r="B450" i="16"/>
  <c r="B449" i="16"/>
  <c r="B446" i="16"/>
  <c r="B444" i="16"/>
  <c r="B443" i="16"/>
  <c r="B439" i="16"/>
  <c r="Q435" i="16"/>
  <c r="R435" i="16" s="1"/>
  <c r="S435" i="16" s="1"/>
  <c r="T435" i="16" s="1"/>
  <c r="U435" i="16" s="1"/>
  <c r="V435" i="16" s="1"/>
  <c r="W435" i="16" s="1"/>
  <c r="X435" i="16" s="1"/>
  <c r="Y435" i="16" s="1"/>
  <c r="Z435" i="16" s="1"/>
  <c r="B435" i="16"/>
  <c r="B434" i="16"/>
  <c r="B433" i="16"/>
  <c r="B428" i="16"/>
  <c r="Q427" i="16"/>
  <c r="R427" i="16" s="1"/>
  <c r="S427" i="16" s="1"/>
  <c r="B427" i="16"/>
  <c r="B424" i="16"/>
  <c r="Q423" i="16"/>
  <c r="B423" i="16"/>
  <c r="G420" i="16"/>
  <c r="B419" i="16"/>
  <c r="B418" i="16"/>
  <c r="Q417" i="16"/>
  <c r="B417" i="16"/>
  <c r="B414" i="16"/>
  <c r="B413" i="16"/>
  <c r="B410" i="16"/>
  <c r="B409" i="16"/>
  <c r="B405" i="16"/>
  <c r="B404" i="16"/>
  <c r="B403" i="16"/>
  <c r="B402" i="16"/>
  <c r="B401" i="16"/>
  <c r="B400" i="16"/>
  <c r="B396" i="16"/>
  <c r="B395" i="16"/>
  <c r="B391" i="16"/>
  <c r="B388" i="16"/>
  <c r="N468" i="16"/>
  <c r="N469" i="16" s="1"/>
  <c r="M468" i="16"/>
  <c r="M469" i="16" s="1"/>
  <c r="F468" i="16"/>
  <c r="F469" i="16" s="1"/>
  <c r="E468" i="16"/>
  <c r="E469" i="16" s="1"/>
  <c r="D468" i="16"/>
  <c r="D469" i="16" s="1"/>
  <c r="B386" i="16"/>
  <c r="B385" i="16"/>
  <c r="B384" i="16"/>
  <c r="B381" i="16"/>
  <c r="Y486" i="16"/>
  <c r="X486" i="16"/>
  <c r="V486" i="16"/>
  <c r="U486" i="16"/>
  <c r="S486" i="16"/>
  <c r="R486" i="16"/>
  <c r="Q486" i="16"/>
  <c r="N486" i="16"/>
  <c r="M486" i="16"/>
  <c r="L486" i="16"/>
  <c r="J486" i="16"/>
  <c r="F486" i="16"/>
  <c r="E486" i="16"/>
  <c r="D486" i="16"/>
  <c r="B380" i="16"/>
  <c r="X379" i="16"/>
  <c r="B378" i="16"/>
  <c r="U271" i="16"/>
  <c r="B377" i="16"/>
  <c r="R379" i="16"/>
  <c r="B376" i="16"/>
  <c r="B375" i="16"/>
  <c r="B371" i="16"/>
  <c r="B370" i="16"/>
  <c r="B369" i="16"/>
  <c r="B367" i="16"/>
  <c r="B362" i="16"/>
  <c r="B361" i="16"/>
  <c r="B360" i="16"/>
  <c r="B358" i="16"/>
  <c r="B354" i="16"/>
  <c r="B352" i="16"/>
  <c r="B351" i="16"/>
  <c r="B347" i="16"/>
  <c r="B345" i="16"/>
  <c r="B341" i="16"/>
  <c r="B340" i="16"/>
  <c r="B336" i="16"/>
  <c r="B335" i="16"/>
  <c r="B334" i="16"/>
  <c r="B332" i="16"/>
  <c r="X331" i="16"/>
  <c r="W331" i="16"/>
  <c r="U331" i="16"/>
  <c r="T331" i="16"/>
  <c r="R331" i="16"/>
  <c r="I331" i="16"/>
  <c r="H331" i="16"/>
  <c r="G331" i="16"/>
  <c r="B328" i="16"/>
  <c r="B327" i="16"/>
  <c r="B326" i="16"/>
  <c r="B320" i="16"/>
  <c r="B319" i="16"/>
  <c r="B316" i="16"/>
  <c r="B314" i="16"/>
  <c r="B313" i="16"/>
  <c r="B310" i="16"/>
  <c r="B309" i="16"/>
  <c r="B306" i="16"/>
  <c r="B305" i="16"/>
  <c r="B302" i="16"/>
  <c r="B301" i="16"/>
  <c r="B298" i="16"/>
  <c r="B297" i="16"/>
  <c r="B294" i="16"/>
  <c r="B292" i="16"/>
  <c r="D291" i="16"/>
  <c r="J290" i="16"/>
  <c r="B286" i="16"/>
  <c r="B285" i="16"/>
  <c r="B284" i="16"/>
  <c r="B283" i="16"/>
  <c r="B280" i="16"/>
  <c r="B279" i="16"/>
  <c r="B276" i="16"/>
  <c r="B274" i="16"/>
  <c r="Y271" i="16"/>
  <c r="W271" i="16"/>
  <c r="V271" i="16"/>
  <c r="R271" i="16"/>
  <c r="Q271" i="16"/>
  <c r="L271" i="16"/>
  <c r="G271" i="16"/>
  <c r="B267" i="16"/>
  <c r="B266" i="16"/>
  <c r="B264" i="16"/>
  <c r="X263" i="16"/>
  <c r="U263" i="16"/>
  <c r="S263" i="16"/>
  <c r="R263" i="16"/>
  <c r="Q263" i="16"/>
  <c r="O263" i="16"/>
  <c r="N263" i="16"/>
  <c r="I263" i="16"/>
  <c r="H263" i="16"/>
  <c r="G263" i="16"/>
  <c r="F263" i="16"/>
  <c r="B258" i="16"/>
  <c r="B257" i="16"/>
  <c r="B256" i="16"/>
  <c r="B253" i="16"/>
  <c r="B252" i="16"/>
  <c r="B249" i="16"/>
  <c r="B248" i="16"/>
  <c r="B247" i="16"/>
  <c r="B243" i="16"/>
  <c r="B242" i="16"/>
  <c r="B240" i="16"/>
  <c r="B239" i="16"/>
  <c r="I290" i="16"/>
  <c r="I292" i="16" s="1"/>
  <c r="E290" i="16"/>
  <c r="B238" i="16"/>
  <c r="B233" i="16"/>
  <c r="B232" i="16"/>
  <c r="B231" i="16"/>
  <c r="B230" i="16"/>
  <c r="B226" i="16"/>
  <c r="B225" i="16"/>
  <c r="B224" i="16"/>
  <c r="B223" i="16"/>
  <c r="B220" i="16"/>
  <c r="B219" i="16"/>
  <c r="B217" i="16"/>
  <c r="B216" i="16"/>
  <c r="B215" i="16"/>
  <c r="B211" i="16"/>
  <c r="B210" i="16"/>
  <c r="B209" i="16"/>
  <c r="M212" i="16"/>
  <c r="B208" i="16"/>
  <c r="B199" i="16"/>
  <c r="B198" i="16"/>
  <c r="B196" i="16"/>
  <c r="B195" i="16"/>
  <c r="O272" i="16"/>
  <c r="N272" i="16"/>
  <c r="H272" i="16"/>
  <c r="F272" i="16"/>
  <c r="D272" i="16"/>
  <c r="B193" i="16"/>
  <c r="L291" i="16"/>
  <c r="H291" i="16"/>
  <c r="G291" i="16"/>
  <c r="B192" i="16"/>
  <c r="O262" i="16"/>
  <c r="O264" i="16" s="1"/>
  <c r="L262" i="16"/>
  <c r="G262" i="16"/>
  <c r="F262" i="16"/>
  <c r="D262" i="16"/>
  <c r="B190" i="16"/>
  <c r="B188" i="16"/>
  <c r="B187" i="16"/>
  <c r="B186" i="16"/>
  <c r="B185" i="16"/>
  <c r="B184" i="16"/>
  <c r="B183" i="16"/>
  <c r="B182" i="16"/>
  <c r="B179" i="16"/>
  <c r="B177" i="16"/>
  <c r="B169" i="16"/>
  <c r="B164" i="16"/>
  <c r="B163" i="16"/>
  <c r="B162" i="16"/>
  <c r="B160" i="16"/>
  <c r="Y159" i="16"/>
  <c r="W159" i="16"/>
  <c r="V159" i="16"/>
  <c r="Q159" i="16"/>
  <c r="J159" i="16"/>
  <c r="I159" i="16"/>
  <c r="H159" i="16"/>
  <c r="G159" i="16"/>
  <c r="B155" i="16"/>
  <c r="B154" i="16"/>
  <c r="B151" i="16"/>
  <c r="B149" i="16"/>
  <c r="B148" i="16"/>
  <c r="B146" i="16"/>
  <c r="B145" i="16"/>
  <c r="B141" i="16"/>
  <c r="B139" i="16"/>
  <c r="B138" i="16"/>
  <c r="B137" i="16"/>
  <c r="B136" i="16"/>
  <c r="B135" i="16"/>
  <c r="B134" i="16"/>
  <c r="B127" i="16"/>
  <c r="B126" i="16"/>
  <c r="B125" i="16"/>
  <c r="B124" i="16"/>
  <c r="B123" i="16"/>
  <c r="B122" i="16"/>
  <c r="B120" i="16"/>
  <c r="B119" i="16"/>
  <c r="B118" i="16"/>
  <c r="B117" i="16"/>
  <c r="Y116" i="16"/>
  <c r="X116" i="16"/>
  <c r="U116" i="16"/>
  <c r="S116" i="16"/>
  <c r="R116" i="16"/>
  <c r="B116" i="16"/>
  <c r="B115" i="16"/>
  <c r="B109" i="16"/>
  <c r="B108" i="16"/>
  <c r="M494" i="16"/>
  <c r="E494" i="16"/>
  <c r="D494" i="16"/>
  <c r="B107" i="16"/>
  <c r="B104" i="16"/>
  <c r="B103" i="16"/>
  <c r="B102" i="16"/>
  <c r="B101" i="16"/>
  <c r="B100" i="16"/>
  <c r="B96" i="16"/>
  <c r="B95" i="16"/>
  <c r="B94" i="16"/>
  <c r="B92" i="16"/>
  <c r="B91" i="16"/>
  <c r="B90" i="16"/>
  <c r="B89" i="16"/>
  <c r="B88" i="16"/>
  <c r="B84" i="16"/>
  <c r="B83" i="16"/>
  <c r="B80" i="16"/>
  <c r="B79" i="16"/>
  <c r="B77" i="16"/>
  <c r="B76" i="16"/>
  <c r="B75" i="16"/>
  <c r="B74" i="16"/>
  <c r="B73" i="16"/>
  <c r="B72" i="16"/>
  <c r="G85" i="16"/>
  <c r="B71" i="16"/>
  <c r="B70" i="16"/>
  <c r="B67" i="16"/>
  <c r="B66" i="16"/>
  <c r="B61" i="16"/>
  <c r="B59" i="16"/>
  <c r="B52" i="16"/>
  <c r="B44" i="16"/>
  <c r="B43" i="16"/>
  <c r="B40" i="16"/>
  <c r="O37" i="16"/>
  <c r="L37" i="16"/>
  <c r="G37" i="16"/>
  <c r="F37" i="16"/>
  <c r="E37" i="16"/>
  <c r="J29" i="16"/>
  <c r="A29" i="16"/>
  <c r="N29" i="16"/>
  <c r="K29" i="16"/>
  <c r="I29" i="16"/>
  <c r="A22" i="16"/>
  <c r="O22" i="16"/>
  <c r="N22" i="16"/>
  <c r="M22" i="16"/>
  <c r="L22" i="16"/>
  <c r="G22" i="16"/>
  <c r="F22" i="16"/>
  <c r="E22" i="16"/>
  <c r="L19" i="16"/>
  <c r="A19" i="16"/>
  <c r="O19" i="16"/>
  <c r="K19" i="16"/>
  <c r="I19" i="16"/>
  <c r="H19" i="16"/>
  <c r="A17" i="16"/>
  <c r="O17" i="16"/>
  <c r="M20" i="16"/>
  <c r="K20" i="16"/>
  <c r="I20" i="16"/>
  <c r="G20" i="16"/>
  <c r="G17" i="16"/>
  <c r="E20" i="16"/>
  <c r="L14" i="16"/>
  <c r="A14" i="16"/>
  <c r="K14" i="16"/>
  <c r="I14" i="16"/>
  <c r="H14" i="16"/>
  <c r="F14" i="16"/>
  <c r="E14" i="16"/>
  <c r="O12" i="16"/>
  <c r="G12" i="16"/>
  <c r="N12" i="16"/>
  <c r="L12" i="16"/>
  <c r="F12" i="16"/>
  <c r="Z433" i="16" l="1"/>
  <c r="N297" i="16"/>
  <c r="N301" i="16"/>
  <c r="N305" i="16"/>
  <c r="N309" i="16"/>
  <c r="L309" i="16"/>
  <c r="N294" i="16"/>
  <c r="M280" i="16"/>
  <c r="O276" i="16"/>
  <c r="M479" i="16"/>
  <c r="O297" i="16"/>
  <c r="O301" i="16"/>
  <c r="O305" i="16"/>
  <c r="O309" i="16"/>
  <c r="L306" i="16"/>
  <c r="O294" i="16"/>
  <c r="N280" i="16"/>
  <c r="P276" i="16"/>
  <c r="C138" i="16" a="1"/>
  <c r="C138" i="16" s="1"/>
  <c r="O298" i="16"/>
  <c r="L298" i="16"/>
  <c r="N479" i="16"/>
  <c r="M316" i="16"/>
  <c r="P297" i="16"/>
  <c r="P301" i="16"/>
  <c r="P305" i="16"/>
  <c r="P309" i="16"/>
  <c r="L305" i="16"/>
  <c r="P294" i="16"/>
  <c r="O280" i="16"/>
  <c r="L276" i="16"/>
  <c r="P316" i="16"/>
  <c r="O306" i="16"/>
  <c r="L279" i="16"/>
  <c r="M276" i="16"/>
  <c r="C217" i="16" a="1"/>
  <c r="C217" i="16" s="1"/>
  <c r="O479" i="16"/>
  <c r="N316" i="16"/>
  <c r="M298" i="16"/>
  <c r="M302" i="16"/>
  <c r="M306" i="16"/>
  <c r="M310" i="16"/>
  <c r="L302" i="16"/>
  <c r="L294" i="16"/>
  <c r="P280" i="16"/>
  <c r="M256" i="16"/>
  <c r="M258" i="16" s="1"/>
  <c r="O302" i="16"/>
  <c r="O310" i="16"/>
  <c r="N279" i="16"/>
  <c r="C137" i="16" a="1"/>
  <c r="C137" i="16" s="1"/>
  <c r="L316" i="16"/>
  <c r="P306" i="16"/>
  <c r="L297" i="16"/>
  <c r="C216" i="16" a="1"/>
  <c r="C216" i="16" s="1"/>
  <c r="P479" i="16"/>
  <c r="O316" i="16"/>
  <c r="N298" i="16"/>
  <c r="N302" i="16"/>
  <c r="N306" i="16"/>
  <c r="N310" i="16"/>
  <c r="L301" i="16"/>
  <c r="M279" i="16"/>
  <c r="L280" i="16"/>
  <c r="N256" i="16"/>
  <c r="N258" i="16" s="1"/>
  <c r="L479" i="16"/>
  <c r="O256" i="16"/>
  <c r="O258" i="16" s="1"/>
  <c r="P302" i="16"/>
  <c r="P256" i="16"/>
  <c r="P258" i="16" s="1"/>
  <c r="C136" i="16" a="1"/>
  <c r="C136" i="16" s="1"/>
  <c r="M297" i="16"/>
  <c r="M301" i="16"/>
  <c r="M305" i="16"/>
  <c r="M309" i="16"/>
  <c r="L310" i="16"/>
  <c r="M294" i="16"/>
  <c r="P279" i="16"/>
  <c r="N276" i="16"/>
  <c r="L256" i="16"/>
  <c r="L258" i="16" s="1"/>
  <c r="P298" i="16"/>
  <c r="P310" i="16"/>
  <c r="O279" i="16"/>
  <c r="N314" i="16"/>
  <c r="N315" i="16" s="1"/>
  <c r="O314" i="16"/>
  <c r="O315" i="16" s="1"/>
  <c r="Z168" i="16"/>
  <c r="M314" i="16"/>
  <c r="M315" i="16" s="1"/>
  <c r="Z158" i="16"/>
  <c r="P314" i="16"/>
  <c r="P315" i="16" s="1"/>
  <c r="P264" i="16"/>
  <c r="P265" i="16" s="1"/>
  <c r="P274" i="16"/>
  <c r="P292" i="16"/>
  <c r="P293" i="16" s="1"/>
  <c r="O249" i="17"/>
  <c r="P279" i="17"/>
  <c r="O297" i="17"/>
  <c r="O301" i="17"/>
  <c r="O305" i="17"/>
  <c r="O309" i="17"/>
  <c r="L305" i="17"/>
  <c r="L256" i="17"/>
  <c r="L258" i="17" s="1"/>
  <c r="C136" i="17" a="1"/>
  <c r="C136" i="17" s="1"/>
  <c r="M279" i="17"/>
  <c r="P302" i="17"/>
  <c r="O316" i="17"/>
  <c r="L294" i="17"/>
  <c r="C217" i="17" a="1"/>
  <c r="C217" i="17" s="1"/>
  <c r="P249" i="17"/>
  <c r="M280" i="17"/>
  <c r="P297" i="17"/>
  <c r="P301" i="17"/>
  <c r="P305" i="17"/>
  <c r="P309" i="17"/>
  <c r="L302" i="17"/>
  <c r="M297" i="17"/>
  <c r="M305" i="17"/>
  <c r="L280" i="17"/>
  <c r="C216" i="17" a="1"/>
  <c r="C216" i="17" s="1"/>
  <c r="M256" i="17"/>
  <c r="N280" i="17"/>
  <c r="M294" i="17"/>
  <c r="M298" i="17"/>
  <c r="M302" i="17"/>
  <c r="M306" i="17"/>
  <c r="M310" i="17"/>
  <c r="N314" i="17"/>
  <c r="N315" i="17" s="1"/>
  <c r="M479" i="17"/>
  <c r="L301" i="17"/>
  <c r="P298" i="17"/>
  <c r="C138" i="17" a="1"/>
  <c r="C138" i="17" s="1"/>
  <c r="N256" i="17"/>
  <c r="O280" i="17"/>
  <c r="N294" i="17"/>
  <c r="N298" i="17"/>
  <c r="N302" i="17"/>
  <c r="N306" i="17"/>
  <c r="N310" i="17"/>
  <c r="M316" i="17"/>
  <c r="N479" i="17"/>
  <c r="L479" i="17"/>
  <c r="L298" i="17"/>
  <c r="P294" i="17"/>
  <c r="P310" i="17"/>
  <c r="L310" i="17"/>
  <c r="N279" i="17"/>
  <c r="M301" i="17"/>
  <c r="M309" i="17"/>
  <c r="P316" i="17"/>
  <c r="L309" i="17"/>
  <c r="C137" i="17" a="1"/>
  <c r="C137" i="17" s="1"/>
  <c r="O256" i="17"/>
  <c r="P280" i="17"/>
  <c r="O294" i="17"/>
  <c r="O298" i="17"/>
  <c r="O302" i="17"/>
  <c r="O306" i="17"/>
  <c r="O310" i="17"/>
  <c r="N316" i="17"/>
  <c r="O479" i="17"/>
  <c r="L316" i="17"/>
  <c r="L297" i="17"/>
  <c r="M249" i="17"/>
  <c r="N249" i="17"/>
  <c r="O279" i="17"/>
  <c r="N297" i="17"/>
  <c r="N301" i="17"/>
  <c r="N305" i="17"/>
  <c r="N309" i="17"/>
  <c r="L306" i="17"/>
  <c r="L279" i="17"/>
  <c r="Z433" i="17"/>
  <c r="P256" i="17"/>
  <c r="P306" i="17"/>
  <c r="P479" i="17"/>
  <c r="O264" i="17"/>
  <c r="O265" i="17" s="1"/>
  <c r="O267" i="17" s="1"/>
  <c r="O268" i="17" s="1"/>
  <c r="C215" i="17" a="1"/>
  <c r="C215" i="17" s="1"/>
  <c r="O314" i="17"/>
  <c r="O315" i="17" s="1"/>
  <c r="K168" i="17"/>
  <c r="K169" i="17" s="1"/>
  <c r="K170" i="17" s="1"/>
  <c r="M314" i="17"/>
  <c r="M315" i="17" s="1"/>
  <c r="M292" i="17"/>
  <c r="M293" i="17" s="1"/>
  <c r="N264" i="17"/>
  <c r="N265" i="17" s="1"/>
  <c r="N267" i="17" s="1"/>
  <c r="N268" i="17" s="1"/>
  <c r="K344" i="17"/>
  <c r="K345" i="17" s="1"/>
  <c r="K346" i="17" s="1"/>
  <c r="K158" i="17"/>
  <c r="K366" i="17"/>
  <c r="K367" i="17" s="1"/>
  <c r="K368" i="17" s="1"/>
  <c r="K371" i="17" s="1"/>
  <c r="K372" i="17" s="1"/>
  <c r="P292" i="17"/>
  <c r="P293" i="17" s="1"/>
  <c r="P314" i="17"/>
  <c r="P315" i="17" s="1"/>
  <c r="N292" i="17"/>
  <c r="N293" i="17" s="1"/>
  <c r="M264" i="17"/>
  <c r="M265" i="17" s="1"/>
  <c r="M267" i="17" s="1"/>
  <c r="M268" i="17" s="1"/>
  <c r="K357" i="17"/>
  <c r="K358" i="17" s="1"/>
  <c r="K359" i="17" s="1"/>
  <c r="K362" i="17" s="1"/>
  <c r="K363" i="17" s="1"/>
  <c r="P264" i="17"/>
  <c r="P265" i="17" s="1"/>
  <c r="P267" i="17" s="1"/>
  <c r="P268" i="17" s="1"/>
  <c r="M196" i="17"/>
  <c r="O196" i="17"/>
  <c r="O292" i="17"/>
  <c r="O293" i="17" s="1"/>
  <c r="N196" i="17"/>
  <c r="P196" i="17"/>
  <c r="O223" i="17"/>
  <c r="O227" i="17" s="1"/>
  <c r="P347" i="17"/>
  <c r="M91" i="17"/>
  <c r="O92" i="17"/>
  <c r="M92" i="17"/>
  <c r="O91" i="17"/>
  <c r="N276" i="17"/>
  <c r="P91" i="17"/>
  <c r="P223" i="17"/>
  <c r="P227" i="17" s="1"/>
  <c r="N92" i="17"/>
  <c r="M223" i="17"/>
  <c r="M227" i="17" s="1"/>
  <c r="Z168" i="17"/>
  <c r="N223" i="17"/>
  <c r="N227" i="17" s="1"/>
  <c r="N91" i="17"/>
  <c r="Z158" i="17"/>
  <c r="P92" i="17"/>
  <c r="P95" i="17"/>
  <c r="L276" i="17"/>
  <c r="M95" i="17"/>
  <c r="N95" i="17"/>
  <c r="P276" i="17"/>
  <c r="L223" i="17"/>
  <c r="L227" i="17" s="1"/>
  <c r="M276" i="17"/>
  <c r="O95" i="17"/>
  <c r="M347" i="17"/>
  <c r="L95" i="17"/>
  <c r="N347" i="17"/>
  <c r="O276" i="17"/>
  <c r="O347" i="17"/>
  <c r="M274" i="17"/>
  <c r="M275" i="17" s="1"/>
  <c r="M158" i="17"/>
  <c r="N158" i="17"/>
  <c r="M168" i="17"/>
  <c r="M169" i="17" s="1"/>
  <c r="M170" i="17" s="1"/>
  <c r="P158" i="17"/>
  <c r="N168" i="17"/>
  <c r="N169" i="17" s="1"/>
  <c r="N170" i="17" s="1"/>
  <c r="M366" i="17"/>
  <c r="M367" i="17" s="1"/>
  <c r="M368" i="17" s="1"/>
  <c r="M371" i="17" s="1"/>
  <c r="M372" i="17" s="1"/>
  <c r="P168" i="17"/>
  <c r="P169" i="17" s="1"/>
  <c r="P170" i="17" s="1"/>
  <c r="P173" i="17" s="1"/>
  <c r="P179" i="17" s="1"/>
  <c r="M357" i="17"/>
  <c r="M358" i="17" s="1"/>
  <c r="M359" i="17" s="1"/>
  <c r="M362" i="17" s="1"/>
  <c r="M363" i="17" s="1"/>
  <c r="O344" i="17"/>
  <c r="O345" i="17" s="1"/>
  <c r="O346" i="17" s="1"/>
  <c r="O158" i="17"/>
  <c r="N274" i="17"/>
  <c r="N275" i="17" s="1"/>
  <c r="O168" i="17"/>
  <c r="O169" i="17" s="1"/>
  <c r="O170" i="17" s="1"/>
  <c r="O173" i="17" s="1"/>
  <c r="O179" i="17" s="1"/>
  <c r="O274" i="17"/>
  <c r="O275" i="17" s="1"/>
  <c r="P274" i="17"/>
  <c r="P275" i="17" s="1"/>
  <c r="P366" i="17"/>
  <c r="P367" i="17" s="1"/>
  <c r="P368" i="17" s="1"/>
  <c r="P371" i="17" s="1"/>
  <c r="P372" i="17" s="1"/>
  <c r="O357" i="17"/>
  <c r="O358" i="17" s="1"/>
  <c r="O359" i="17" s="1"/>
  <c r="O362" i="17" s="1"/>
  <c r="O363" i="17" s="1"/>
  <c r="N366" i="17"/>
  <c r="N367" i="17" s="1"/>
  <c r="N368" i="17" s="1"/>
  <c r="N371" i="17" s="1"/>
  <c r="N372" i="17" s="1"/>
  <c r="O366" i="17"/>
  <c r="O367" i="17" s="1"/>
  <c r="O368" i="17" s="1"/>
  <c r="O371" i="17" s="1"/>
  <c r="O372" i="17" s="1"/>
  <c r="N344" i="17"/>
  <c r="N345" i="17" s="1"/>
  <c r="N346" i="17" s="1"/>
  <c r="M344" i="17"/>
  <c r="M345" i="17" s="1"/>
  <c r="M346" i="17" s="1"/>
  <c r="P344" i="17"/>
  <c r="P345" i="17" s="1"/>
  <c r="P346" i="17" s="1"/>
  <c r="N357" i="17"/>
  <c r="N358" i="17" s="1"/>
  <c r="N359" i="17" s="1"/>
  <c r="N362" i="17" s="1"/>
  <c r="N363" i="17" s="1"/>
  <c r="P357" i="17"/>
  <c r="P358" i="17" s="1"/>
  <c r="P359" i="17" s="1"/>
  <c r="P362" i="17" s="1"/>
  <c r="P363" i="17" s="1"/>
  <c r="Q248" i="17"/>
  <c r="R248" i="17" s="1"/>
  <c r="S248" i="17" s="1"/>
  <c r="T248" i="17" s="1"/>
  <c r="U248" i="17" s="1"/>
  <c r="V248" i="17" s="1"/>
  <c r="W248" i="17" s="1"/>
  <c r="X248" i="17" s="1"/>
  <c r="Y248" i="17" s="1"/>
  <c r="Z248" i="17" s="1"/>
  <c r="L91" i="17"/>
  <c r="L92" i="17"/>
  <c r="L347" i="17"/>
  <c r="L292" i="17"/>
  <c r="L293" i="17" s="1"/>
  <c r="L314" i="17"/>
  <c r="L315" i="17" s="1"/>
  <c r="L264" i="17"/>
  <c r="L265" i="17" s="1"/>
  <c r="L267" i="17" s="1"/>
  <c r="L274" i="17"/>
  <c r="L275" i="17" s="1"/>
  <c r="L196" i="17"/>
  <c r="H140" i="16"/>
  <c r="H141" i="16" s="1"/>
  <c r="E140" i="16"/>
  <c r="E141" i="16" s="1"/>
  <c r="D121" i="16"/>
  <c r="I121" i="16"/>
  <c r="I227" i="16"/>
  <c r="H234" i="16"/>
  <c r="D292" i="16"/>
  <c r="I241" i="16"/>
  <c r="J530" i="16"/>
  <c r="N292" i="16"/>
  <c r="N293" i="16" s="1"/>
  <c r="E409" i="17"/>
  <c r="E413" i="17" s="1"/>
  <c r="F409" i="16"/>
  <c r="F413" i="16" s="1"/>
  <c r="F264" i="16"/>
  <c r="H149" i="16"/>
  <c r="L409" i="16"/>
  <c r="L413" i="16" s="1"/>
  <c r="L264" i="16"/>
  <c r="L265" i="16" s="1"/>
  <c r="L267" i="16" s="1"/>
  <c r="J379" i="16"/>
  <c r="J540" i="17"/>
  <c r="N110" i="16"/>
  <c r="N286" i="16"/>
  <c r="J286" i="16"/>
  <c r="L379" i="16"/>
  <c r="M264" i="16"/>
  <c r="M265" i="16" s="1"/>
  <c r="M267" i="16" s="1"/>
  <c r="J409" i="16"/>
  <c r="J413" i="16" s="1"/>
  <c r="N429" i="16"/>
  <c r="I460" i="16"/>
  <c r="D128" i="16"/>
  <c r="M128" i="16"/>
  <c r="J140" i="16"/>
  <c r="J141" i="16" s="1"/>
  <c r="L110" i="16"/>
  <c r="D409" i="16"/>
  <c r="D413" i="16" s="1"/>
  <c r="M409" i="16"/>
  <c r="M413" i="16" s="1"/>
  <c r="F420" i="16"/>
  <c r="O420" i="16"/>
  <c r="G429" i="16"/>
  <c r="H409" i="17"/>
  <c r="H413" i="17" s="1"/>
  <c r="M292" i="16"/>
  <c r="M293" i="16" s="1"/>
  <c r="E93" i="16"/>
  <c r="N85" i="16"/>
  <c r="D78" i="16"/>
  <c r="D81" i="16" s="1"/>
  <c r="D82" i="16" s="1"/>
  <c r="D83" i="16" s="1"/>
  <c r="G93" i="16"/>
  <c r="F93" i="16"/>
  <c r="O93" i="16"/>
  <c r="D110" i="16"/>
  <c r="L128" i="16"/>
  <c r="E128" i="16"/>
  <c r="D140" i="16"/>
  <c r="D141" i="16" s="1"/>
  <c r="L140" i="16"/>
  <c r="L141" i="16" s="1"/>
  <c r="G189" i="16"/>
  <c r="G196" i="16" s="1"/>
  <c r="D189" i="16"/>
  <c r="D196" i="16" s="1"/>
  <c r="L189" i="16"/>
  <c r="L196" i="16" s="1"/>
  <c r="H189" i="16"/>
  <c r="H196" i="16" s="1"/>
  <c r="N264" i="16"/>
  <c r="N265" i="16" s="1"/>
  <c r="N267" i="16" s="1"/>
  <c r="D212" i="16"/>
  <c r="L218" i="16"/>
  <c r="L114" i="16" s="1"/>
  <c r="L121" i="16" s="1"/>
  <c r="E218" i="16"/>
  <c r="E114" i="16" s="1"/>
  <c r="E121" i="16" s="1"/>
  <c r="E227" i="16"/>
  <c r="I234" i="16"/>
  <c r="F234" i="16"/>
  <c r="H241" i="16"/>
  <c r="I258" i="16"/>
  <c r="G286" i="16"/>
  <c r="D420" i="16"/>
  <c r="M420" i="16"/>
  <c r="O246" i="17"/>
  <c r="P246" i="17"/>
  <c r="N246" i="17"/>
  <c r="K246" i="17"/>
  <c r="M246" i="17"/>
  <c r="L274" i="16"/>
  <c r="N234" i="16"/>
  <c r="E420" i="16"/>
  <c r="N274" i="16"/>
  <c r="N275" i="16" s="1"/>
  <c r="M274" i="16"/>
  <c r="M275" i="16" s="1"/>
  <c r="D429" i="16"/>
  <c r="I540" i="16"/>
  <c r="L292" i="16"/>
  <c r="O274" i="16"/>
  <c r="O218" i="16"/>
  <c r="O114" i="16" s="1"/>
  <c r="G234" i="16"/>
  <c r="D258" i="16"/>
  <c r="D259" i="16" s="1"/>
  <c r="E409" i="16"/>
  <c r="E413" i="16" s="1"/>
  <c r="H429" i="16"/>
  <c r="D409" i="17"/>
  <c r="D413" i="17" s="1"/>
  <c r="X392" i="24"/>
  <c r="Y406" i="24"/>
  <c r="L212" i="16"/>
  <c r="G218" i="16"/>
  <c r="G114" i="16" s="1"/>
  <c r="N460" i="16"/>
  <c r="K432" i="17"/>
  <c r="P432" i="17"/>
  <c r="M432" i="17"/>
  <c r="N432" i="17"/>
  <c r="O432" i="17"/>
  <c r="W484" i="24"/>
  <c r="W77" i="24"/>
  <c r="W394" i="24"/>
  <c r="I85" i="17"/>
  <c r="J274" i="17"/>
  <c r="J128" i="16"/>
  <c r="J78" i="17"/>
  <c r="K235" i="17"/>
  <c r="F110" i="16"/>
  <c r="H258" i="16"/>
  <c r="H259" i="16" s="1"/>
  <c r="Y392" i="25"/>
  <c r="Z406" i="25"/>
  <c r="Z392" i="25" s="1"/>
  <c r="X484" i="25"/>
  <c r="X77" i="25"/>
  <c r="X394" i="25"/>
  <c r="Z484" i="23"/>
  <c r="Z77" i="23"/>
  <c r="Z394" i="23"/>
  <c r="Y484" i="23"/>
  <c r="Y77" i="23"/>
  <c r="Y394" i="23"/>
  <c r="F19" i="16"/>
  <c r="M140" i="16"/>
  <c r="M141" i="16" s="1"/>
  <c r="O234" i="16"/>
  <c r="F286" i="16"/>
  <c r="O286" i="16"/>
  <c r="O287" i="16" s="1"/>
  <c r="K246" i="16"/>
  <c r="K432" i="16"/>
  <c r="P432" i="16"/>
  <c r="J22" i="16"/>
  <c r="M223" i="16"/>
  <c r="N223" i="16"/>
  <c r="O223" i="16"/>
  <c r="M95" i="16"/>
  <c r="P223" i="16"/>
  <c r="N95" i="16"/>
  <c r="L223" i="16"/>
  <c r="O95" i="16"/>
  <c r="P95" i="16"/>
  <c r="L95" i="16"/>
  <c r="K357" i="16"/>
  <c r="K358" i="16" s="1"/>
  <c r="K359" i="16" s="1"/>
  <c r="K362" i="16" s="1"/>
  <c r="K363" i="16" s="1"/>
  <c r="K366" i="16"/>
  <c r="K367" i="16" s="1"/>
  <c r="K368" i="16" s="1"/>
  <c r="K371" i="16" s="1"/>
  <c r="K372" i="16" s="1"/>
  <c r="K344" i="16"/>
  <c r="K345" i="16" s="1"/>
  <c r="K346" i="16" s="1"/>
  <c r="K158" i="16"/>
  <c r="K168" i="16"/>
  <c r="K169" i="16" s="1"/>
  <c r="K170" i="16" s="1"/>
  <c r="P246" i="16"/>
  <c r="P249" i="16"/>
  <c r="P168" i="16"/>
  <c r="P169" i="16" s="1"/>
  <c r="P170" i="16" s="1"/>
  <c r="P366" i="16"/>
  <c r="P367" i="16" s="1"/>
  <c r="P368" i="16" s="1"/>
  <c r="P371" i="16" s="1"/>
  <c r="P372" i="16" s="1"/>
  <c r="P344" i="16"/>
  <c r="P345" i="16" s="1"/>
  <c r="P346" i="16" s="1"/>
  <c r="P275" i="16"/>
  <c r="P357" i="16"/>
  <c r="P358" i="16" s="1"/>
  <c r="P359" i="16" s="1"/>
  <c r="P362" i="16" s="1"/>
  <c r="P363" i="16" s="1"/>
  <c r="P158" i="16"/>
  <c r="P196" i="16"/>
  <c r="N14" i="16"/>
  <c r="E149" i="16"/>
  <c r="G227" i="16"/>
  <c r="D379" i="16"/>
  <c r="D382" i="16" s="1"/>
  <c r="H420" i="16"/>
  <c r="L81" i="16"/>
  <c r="L82" i="16" s="1"/>
  <c r="L83" i="16" s="1"/>
  <c r="F78" i="16"/>
  <c r="F81" i="16" s="1"/>
  <c r="F82" i="16" s="1"/>
  <c r="F83" i="16" s="1"/>
  <c r="T379" i="16"/>
  <c r="G432" i="16"/>
  <c r="G264" i="16"/>
  <c r="H290" i="16"/>
  <c r="H292" i="16" s="1"/>
  <c r="H293" i="16" s="1"/>
  <c r="S379" i="16"/>
  <c r="D227" i="16"/>
  <c r="O379" i="16"/>
  <c r="E110" i="16"/>
  <c r="G258" i="16"/>
  <c r="G259" i="16" s="1"/>
  <c r="E429" i="16"/>
  <c r="G530" i="16"/>
  <c r="J540" i="16"/>
  <c r="F540" i="16"/>
  <c r="J429" i="17"/>
  <c r="L420" i="16"/>
  <c r="I78" i="17"/>
  <c r="L93" i="16"/>
  <c r="M110" i="16"/>
  <c r="I128" i="16"/>
  <c r="F530" i="16"/>
  <c r="J241" i="16"/>
  <c r="N409" i="16"/>
  <c r="N413" i="16" s="1"/>
  <c r="E530" i="16"/>
  <c r="I264" i="16"/>
  <c r="G227" i="17"/>
  <c r="D246" i="17"/>
  <c r="D481" i="17" s="1"/>
  <c r="D482" i="17" s="1"/>
  <c r="J189" i="16"/>
  <c r="J196" i="16" s="1"/>
  <c r="H227" i="16"/>
  <c r="D234" i="16"/>
  <c r="M429" i="16"/>
  <c r="I93" i="16"/>
  <c r="H540" i="17"/>
  <c r="D274" i="16"/>
  <c r="F85" i="16"/>
  <c r="J85" i="16"/>
  <c r="N93" i="16"/>
  <c r="J93" i="16"/>
  <c r="G128" i="16"/>
  <c r="O128" i="16"/>
  <c r="G140" i="16"/>
  <c r="G141" i="16" s="1"/>
  <c r="I274" i="16"/>
  <c r="F494" i="16"/>
  <c r="F496" i="16" s="1"/>
  <c r="F274" i="16"/>
  <c r="F275" i="16" s="1"/>
  <c r="F292" i="16"/>
  <c r="F246" i="16"/>
  <c r="F274" i="17"/>
  <c r="I212" i="17"/>
  <c r="F286" i="17"/>
  <c r="F287" i="17" s="1"/>
  <c r="G420" i="17"/>
  <c r="H429" i="17"/>
  <c r="G432" i="17"/>
  <c r="D264" i="16"/>
  <c r="N494" i="16"/>
  <c r="F258" i="16"/>
  <c r="I350" i="16"/>
  <c r="I352" i="16" s="1"/>
  <c r="D540" i="16"/>
  <c r="H85" i="17"/>
  <c r="D140" i="17"/>
  <c r="I540" i="17"/>
  <c r="E258" i="16"/>
  <c r="E259" i="16" s="1"/>
  <c r="M218" i="16"/>
  <c r="M114" i="16" s="1"/>
  <c r="G409" i="16"/>
  <c r="G413" i="16" s="1"/>
  <c r="O409" i="16"/>
  <c r="O413" i="16" s="1"/>
  <c r="I57" i="16"/>
  <c r="H264" i="16"/>
  <c r="I85" i="16"/>
  <c r="E78" i="16"/>
  <c r="E81" i="16" s="1"/>
  <c r="E82" i="16" s="1"/>
  <c r="E83" i="16" s="1"/>
  <c r="M85" i="16"/>
  <c r="I189" i="16"/>
  <c r="I196" i="16" s="1"/>
  <c r="F212" i="16"/>
  <c r="J218" i="16"/>
  <c r="J114" i="16" s="1"/>
  <c r="J121" i="16" s="1"/>
  <c r="F218" i="16"/>
  <c r="F114" i="16" s="1"/>
  <c r="N218" i="16"/>
  <c r="N114" i="16" s="1"/>
  <c r="F227" i="16"/>
  <c r="D286" i="16"/>
  <c r="D287" i="16" s="1"/>
  <c r="L286" i="16"/>
  <c r="H286" i="16"/>
  <c r="H287" i="16" s="1"/>
  <c r="H409" i="16"/>
  <c r="H413" i="16" s="1"/>
  <c r="I218" i="17"/>
  <c r="I114" i="17" s="1"/>
  <c r="I121" i="17" s="1"/>
  <c r="E286" i="16"/>
  <c r="M286" i="16"/>
  <c r="M287" i="16" s="1"/>
  <c r="I286" i="16"/>
  <c r="I409" i="16"/>
  <c r="I413" i="16" s="1"/>
  <c r="E128" i="17"/>
  <c r="G212" i="17"/>
  <c r="J218" i="17"/>
  <c r="J114" i="17" s="1"/>
  <c r="J121" i="17" s="1"/>
  <c r="E227" i="17"/>
  <c r="F429" i="17"/>
  <c r="G274" i="16"/>
  <c r="F57" i="16"/>
  <c r="E149" i="17"/>
  <c r="E150" i="17" s="1"/>
  <c r="G147" i="17"/>
  <c r="G149" i="17" s="1"/>
  <c r="H212" i="17"/>
  <c r="J234" i="17"/>
  <c r="I409" i="17"/>
  <c r="I413" i="17" s="1"/>
  <c r="F420" i="17"/>
  <c r="D420" i="17"/>
  <c r="G429" i="17"/>
  <c r="J234" i="16"/>
  <c r="J227" i="16"/>
  <c r="J212" i="16"/>
  <c r="N212" i="16"/>
  <c r="J212" i="17"/>
  <c r="J292" i="16"/>
  <c r="J293" i="16" s="1"/>
  <c r="J264" i="16"/>
  <c r="M149" i="16"/>
  <c r="M150" i="16" s="1"/>
  <c r="N465" i="16"/>
  <c r="L429" i="16"/>
  <c r="J128" i="17"/>
  <c r="M93" i="16"/>
  <c r="S263" i="17"/>
  <c r="T116" i="16"/>
  <c r="V263" i="16"/>
  <c r="W116" i="17"/>
  <c r="J29" i="17"/>
  <c r="G20" i="17"/>
  <c r="H22" i="17"/>
  <c r="G29" i="17"/>
  <c r="E29" i="16"/>
  <c r="J17" i="17"/>
  <c r="E19" i="17"/>
  <c r="I12" i="17"/>
  <c r="M29" i="16"/>
  <c r="E14" i="17"/>
  <c r="G19" i="17"/>
  <c r="H19" i="17"/>
  <c r="F12" i="17"/>
  <c r="D20" i="17"/>
  <c r="E20" i="17"/>
  <c r="J530" i="17"/>
  <c r="D530" i="17"/>
  <c r="W116" i="16"/>
  <c r="J274" i="16"/>
  <c r="Q43" i="17"/>
  <c r="R43" i="17" s="1"/>
  <c r="S43" i="17" s="1"/>
  <c r="T43" i="17" s="1"/>
  <c r="U43" i="17" s="1"/>
  <c r="V43" i="17" s="1"/>
  <c r="W43" i="17" s="1"/>
  <c r="X43" i="17" s="1"/>
  <c r="Y43" i="17" s="1"/>
  <c r="Z43" i="17" s="1"/>
  <c r="T116" i="17"/>
  <c r="E530" i="17"/>
  <c r="H274" i="16"/>
  <c r="H275" i="16" s="1"/>
  <c r="S271" i="16"/>
  <c r="D530" i="16"/>
  <c r="H530" i="16"/>
  <c r="Q463" i="16"/>
  <c r="R463" i="16" s="1"/>
  <c r="S463" i="16" s="1"/>
  <c r="T463" i="16" s="1"/>
  <c r="U463" i="16" s="1"/>
  <c r="V463" i="16" s="1"/>
  <c r="W463" i="16" s="1"/>
  <c r="X463" i="16" s="1"/>
  <c r="Y463" i="16" s="1"/>
  <c r="Z463" i="16" s="1"/>
  <c r="Z519" i="16" s="1"/>
  <c r="G12" i="17"/>
  <c r="F14" i="17"/>
  <c r="L17" i="17"/>
  <c r="I19" i="17"/>
  <c r="J20" i="17"/>
  <c r="F78" i="17"/>
  <c r="F81" i="17" s="1"/>
  <c r="F82" i="17" s="1"/>
  <c r="F83" i="17" s="1"/>
  <c r="I81" i="17"/>
  <c r="I82" i="17" s="1"/>
  <c r="I83" i="17" s="1"/>
  <c r="E212" i="17"/>
  <c r="I234" i="17"/>
  <c r="E241" i="17"/>
  <c r="I379" i="17"/>
  <c r="D460" i="17"/>
  <c r="G464" i="17"/>
  <c r="G465" i="17" s="1"/>
  <c r="G57" i="17" s="1"/>
  <c r="G14" i="17"/>
  <c r="J19" i="17"/>
  <c r="H29" i="17"/>
  <c r="D93" i="17"/>
  <c r="F110" i="17"/>
  <c r="H286" i="17"/>
  <c r="H287" i="17" s="1"/>
  <c r="J379" i="17"/>
  <c r="E432" i="17"/>
  <c r="I57" i="17"/>
  <c r="G93" i="17"/>
  <c r="E110" i="17"/>
  <c r="G110" i="17"/>
  <c r="G128" i="17"/>
  <c r="F140" i="17"/>
  <c r="F227" i="17"/>
  <c r="I286" i="17"/>
  <c r="I287" i="17" s="1"/>
  <c r="E420" i="17"/>
  <c r="H379" i="17"/>
  <c r="I14" i="17"/>
  <c r="J81" i="17"/>
  <c r="J82" i="17" s="1"/>
  <c r="J83" i="17" s="1"/>
  <c r="G350" i="17"/>
  <c r="G352" i="17" s="1"/>
  <c r="G353" i="17" s="1"/>
  <c r="D189" i="17"/>
  <c r="D196" i="17" s="1"/>
  <c r="D197" i="17" s="1"/>
  <c r="D258" i="17"/>
  <c r="D259" i="17" s="1"/>
  <c r="J409" i="17"/>
  <c r="J413" i="17" s="1"/>
  <c r="Q23" i="17"/>
  <c r="R23" i="17" s="1"/>
  <c r="S23" i="17" s="1"/>
  <c r="T23" i="17" s="1"/>
  <c r="U23" i="17" s="1"/>
  <c r="V23" i="17" s="1"/>
  <c r="W23" i="17" s="1"/>
  <c r="X23" i="17" s="1"/>
  <c r="Y23" i="17" s="1"/>
  <c r="Z23" i="17" s="1"/>
  <c r="L246" i="17"/>
  <c r="L249" i="17"/>
  <c r="Q249" i="17"/>
  <c r="R249" i="17" s="1"/>
  <c r="S249" i="17" s="1"/>
  <c r="T249" i="17" s="1"/>
  <c r="U249" i="17" s="1"/>
  <c r="V249" i="17" s="1"/>
  <c r="W249" i="17" s="1"/>
  <c r="X249" i="17" s="1"/>
  <c r="Y249" i="17" s="1"/>
  <c r="Z249" i="17" s="1"/>
  <c r="L158" i="17"/>
  <c r="L160" i="17" s="1"/>
  <c r="L161" i="17" s="1"/>
  <c r="L165" i="17" s="1"/>
  <c r="L168" i="17"/>
  <c r="L344" i="17"/>
  <c r="L345" i="17" s="1"/>
  <c r="L346" i="17" s="1"/>
  <c r="L366" i="17"/>
  <c r="L367" i="17" s="1"/>
  <c r="L368" i="17" s="1"/>
  <c r="L371" i="17" s="1"/>
  <c r="L372" i="17" s="1"/>
  <c r="L357" i="17"/>
  <c r="L358" i="17" s="1"/>
  <c r="L359" i="17" s="1"/>
  <c r="L362" i="17" s="1"/>
  <c r="L363" i="17" s="1"/>
  <c r="L12" i="17"/>
  <c r="J14" i="17"/>
  <c r="G22" i="17"/>
  <c r="L29" i="17"/>
  <c r="H93" i="17"/>
  <c r="I274" i="17"/>
  <c r="I275" i="17" s="1"/>
  <c r="E332" i="17"/>
  <c r="E333" i="17" s="1"/>
  <c r="E336" i="17" s="1"/>
  <c r="E337" i="17" s="1"/>
  <c r="F409" i="17"/>
  <c r="F413" i="17" s="1"/>
  <c r="L432" i="17"/>
  <c r="F530" i="17"/>
  <c r="D540" i="17"/>
  <c r="H20" i="17"/>
  <c r="F19" i="17"/>
  <c r="D78" i="17"/>
  <c r="D81" i="17" s="1"/>
  <c r="D82" i="17" s="1"/>
  <c r="D83" i="17" s="1"/>
  <c r="G218" i="17"/>
  <c r="G114" i="17" s="1"/>
  <c r="G121" i="17" s="1"/>
  <c r="J227" i="17"/>
  <c r="V263" i="17"/>
  <c r="I429" i="17"/>
  <c r="D465" i="17"/>
  <c r="E540" i="17"/>
  <c r="I259" i="17"/>
  <c r="E12" i="17"/>
  <c r="I20" i="17"/>
  <c r="F212" i="17"/>
  <c r="H218" i="17"/>
  <c r="H114" i="17" s="1"/>
  <c r="I246" i="17"/>
  <c r="W263" i="17"/>
  <c r="G333" i="17"/>
  <c r="G336" i="17" s="1"/>
  <c r="G337" i="17" s="1"/>
  <c r="G36" i="17" s="1"/>
  <c r="J420" i="17"/>
  <c r="D429" i="17"/>
  <c r="G530" i="17"/>
  <c r="F540" i="17"/>
  <c r="Q24" i="17"/>
  <c r="R24" i="17" s="1"/>
  <c r="S24" i="17" s="1"/>
  <c r="T24" i="17" s="1"/>
  <c r="U24" i="17" s="1"/>
  <c r="V24" i="17" s="1"/>
  <c r="W24" i="17" s="1"/>
  <c r="X24" i="17" s="1"/>
  <c r="Y24" i="17" s="1"/>
  <c r="Z24" i="17" s="1"/>
  <c r="E158" i="16"/>
  <c r="E160" i="16" s="1"/>
  <c r="M158" i="16"/>
  <c r="M160" i="16" s="1"/>
  <c r="U158" i="16"/>
  <c r="G168" i="16"/>
  <c r="G169" i="16" s="1"/>
  <c r="O168" i="16"/>
  <c r="O169" i="16" s="1"/>
  <c r="W168" i="16"/>
  <c r="E22" i="17"/>
  <c r="F29" i="17"/>
  <c r="E29" i="17"/>
  <c r="H17" i="17"/>
  <c r="G17" i="17"/>
  <c r="J12" i="17"/>
  <c r="J22" i="17"/>
  <c r="I22" i="17"/>
  <c r="I29" i="17"/>
  <c r="E78" i="17"/>
  <c r="E81" i="17" s="1"/>
  <c r="E82" i="17" s="1"/>
  <c r="E83" i="17" s="1"/>
  <c r="E85" i="17"/>
  <c r="H350" i="17"/>
  <c r="J494" i="17"/>
  <c r="J496" i="17" s="1"/>
  <c r="J110" i="17"/>
  <c r="V433" i="17"/>
  <c r="U433" i="17"/>
  <c r="Q386" i="17"/>
  <c r="R386" i="17" s="1"/>
  <c r="S386" i="17" s="1"/>
  <c r="T386" i="17" s="1"/>
  <c r="U386" i="17" s="1"/>
  <c r="V386" i="17" s="1"/>
  <c r="W386" i="17" s="1"/>
  <c r="X386" i="17" s="1"/>
  <c r="Y386" i="17" s="1"/>
  <c r="Z386" i="17" s="1"/>
  <c r="T433" i="17"/>
  <c r="S433" i="17"/>
  <c r="R433" i="17"/>
  <c r="Q468" i="17"/>
  <c r="R468" i="17" s="1"/>
  <c r="Y433" i="17"/>
  <c r="Q433" i="17"/>
  <c r="W433" i="17"/>
  <c r="X433" i="17"/>
  <c r="Q320" i="17"/>
  <c r="R320" i="17" s="1"/>
  <c r="S320" i="17" s="1"/>
  <c r="T320" i="17" s="1"/>
  <c r="U320" i="17" s="1"/>
  <c r="V320" i="17" s="1"/>
  <c r="W320" i="17" s="1"/>
  <c r="X320" i="17" s="1"/>
  <c r="Y320" i="17" s="1"/>
  <c r="Z320" i="17" s="1"/>
  <c r="Q319" i="17"/>
  <c r="R319" i="17" s="1"/>
  <c r="S319" i="17" s="1"/>
  <c r="T319" i="17" s="1"/>
  <c r="U319" i="17" s="1"/>
  <c r="V319" i="17" s="1"/>
  <c r="W319" i="17" s="1"/>
  <c r="X319" i="17" s="1"/>
  <c r="Y319" i="17" s="1"/>
  <c r="Z319" i="17" s="1"/>
  <c r="J168" i="17"/>
  <c r="F158" i="17"/>
  <c r="H168" i="17"/>
  <c r="D158" i="17"/>
  <c r="G168" i="17"/>
  <c r="F168" i="17"/>
  <c r="J158" i="17"/>
  <c r="E168" i="17"/>
  <c r="I158" i="17"/>
  <c r="G158" i="17"/>
  <c r="Q219" i="17"/>
  <c r="I168" i="17"/>
  <c r="D168" i="17"/>
  <c r="H158" i="17"/>
  <c r="E158" i="17"/>
  <c r="F85" i="17"/>
  <c r="I350" i="17"/>
  <c r="D391" i="17"/>
  <c r="J93" i="17"/>
  <c r="F141" i="17"/>
  <c r="F142" i="17" s="1"/>
  <c r="D146" i="17"/>
  <c r="D147" i="17" s="1"/>
  <c r="G78" i="17"/>
  <c r="G81" i="17" s="1"/>
  <c r="G82" i="17" s="1"/>
  <c r="G83" i="17" s="1"/>
  <c r="J350" i="17"/>
  <c r="Q117" i="17"/>
  <c r="R117" i="17" s="1"/>
  <c r="S117" i="17" s="1"/>
  <c r="T117" i="17" s="1"/>
  <c r="U117" i="17" s="1"/>
  <c r="V117" i="17" s="1"/>
  <c r="W117" i="17" s="1"/>
  <c r="X117" i="17" s="1"/>
  <c r="Y117" i="17" s="1"/>
  <c r="Z117" i="17" s="1"/>
  <c r="D141" i="17"/>
  <c r="D142" i="17" s="1"/>
  <c r="F121" i="17"/>
  <c r="I196" i="17"/>
  <c r="I197" i="17" s="1"/>
  <c r="I191" i="17"/>
  <c r="I194" i="17" s="1"/>
  <c r="E17" i="17"/>
  <c r="G391" i="17"/>
  <c r="H141" i="17"/>
  <c r="H142" i="17"/>
  <c r="H121" i="17"/>
  <c r="H78" i="17"/>
  <c r="H81" i="17" s="1"/>
  <c r="H82" i="17" s="1"/>
  <c r="H83" i="17" s="1"/>
  <c r="F17" i="17"/>
  <c r="J85" i="17"/>
  <c r="H391" i="17"/>
  <c r="F93" i="17"/>
  <c r="E93" i="17"/>
  <c r="G85" i="17"/>
  <c r="F350" i="17"/>
  <c r="I391" i="17"/>
  <c r="F128" i="17"/>
  <c r="E140" i="17"/>
  <c r="Q30" i="17"/>
  <c r="R30" i="17" s="1"/>
  <c r="S30" i="17" s="1"/>
  <c r="T30" i="17" s="1"/>
  <c r="U30" i="17" s="1"/>
  <c r="V30" i="17" s="1"/>
  <c r="W30" i="17" s="1"/>
  <c r="X30" i="17" s="1"/>
  <c r="Y30" i="17" s="1"/>
  <c r="D85" i="17"/>
  <c r="J391" i="17"/>
  <c r="D191" i="17"/>
  <c r="D194" i="17" s="1"/>
  <c r="H191" i="17"/>
  <c r="H194" i="17" s="1"/>
  <c r="H235" i="17"/>
  <c r="H110" i="17"/>
  <c r="G140" i="17"/>
  <c r="J191" i="17"/>
  <c r="J194" i="17" s="1"/>
  <c r="J196" i="17"/>
  <c r="H196" i="17"/>
  <c r="H197" i="17" s="1"/>
  <c r="D350" i="17"/>
  <c r="E391" i="17"/>
  <c r="I110" i="17"/>
  <c r="E234" i="17"/>
  <c r="E350" i="17"/>
  <c r="F391" i="17"/>
  <c r="I128" i="17"/>
  <c r="I140" i="17"/>
  <c r="J264" i="17"/>
  <c r="J265" i="17" s="1"/>
  <c r="J140" i="17"/>
  <c r="H146" i="17"/>
  <c r="H147" i="17" s="1"/>
  <c r="E191" i="17"/>
  <c r="E194" i="17" s="1"/>
  <c r="E196" i="17"/>
  <c r="E197" i="17" s="1"/>
  <c r="I241" i="17"/>
  <c r="I290" i="17"/>
  <c r="D110" i="17"/>
  <c r="I147" i="17"/>
  <c r="F189" i="17"/>
  <c r="D264" i="17"/>
  <c r="D324" i="17" s="1"/>
  <c r="D218" i="17"/>
  <c r="D114" i="17" s="1"/>
  <c r="D121" i="17" s="1"/>
  <c r="D128" i="17"/>
  <c r="J147" i="17"/>
  <c r="G189" i="17"/>
  <c r="E264" i="17"/>
  <c r="E324" i="17" s="1"/>
  <c r="E218" i="17"/>
  <c r="E114" i="17" s="1"/>
  <c r="E121" i="17" s="1"/>
  <c r="G235" i="17"/>
  <c r="F147" i="17"/>
  <c r="H234" i="17"/>
  <c r="H292" i="17"/>
  <c r="H293" i="17" s="1"/>
  <c r="H241" i="17"/>
  <c r="F264" i="17"/>
  <c r="F324" i="17" s="1"/>
  <c r="H227" i="17"/>
  <c r="E235" i="17"/>
  <c r="H246" i="17"/>
  <c r="G264" i="17"/>
  <c r="G324" i="17" s="1"/>
  <c r="I227" i="17"/>
  <c r="F235" i="17"/>
  <c r="F234" i="17"/>
  <c r="F246" i="17"/>
  <c r="H264" i="17"/>
  <c r="H265" i="17" s="1"/>
  <c r="D274" i="17"/>
  <c r="D275" i="17" s="1"/>
  <c r="G234" i="17"/>
  <c r="D292" i="17"/>
  <c r="D293" i="17" s="1"/>
  <c r="G246" i="17"/>
  <c r="E246" i="17"/>
  <c r="R253" i="17"/>
  <c r="I264" i="17"/>
  <c r="I324" i="17" s="1"/>
  <c r="F336" i="17"/>
  <c r="F337" i="17" s="1"/>
  <c r="F36" i="17" s="1"/>
  <c r="I336" i="17"/>
  <c r="I337" i="17" s="1"/>
  <c r="I36" i="17" s="1"/>
  <c r="D227" i="17"/>
  <c r="I235" i="17"/>
  <c r="D241" i="17"/>
  <c r="F241" i="17"/>
  <c r="J246" i="17"/>
  <c r="J48" i="17" s="1"/>
  <c r="E258" i="17"/>
  <c r="E259" i="17" s="1"/>
  <c r="E274" i="17"/>
  <c r="E275" i="17" s="1"/>
  <c r="F314" i="17"/>
  <c r="J336" i="17"/>
  <c r="J337" i="17" s="1"/>
  <c r="J36" i="17" s="1"/>
  <c r="R509" i="17"/>
  <c r="R538" i="17"/>
  <c r="J235" i="17"/>
  <c r="G241" i="17"/>
  <c r="F258" i="17"/>
  <c r="F259" i="17" s="1"/>
  <c r="F275" i="17"/>
  <c r="J286" i="17"/>
  <c r="J287" i="17" s="1"/>
  <c r="G274" i="17"/>
  <c r="G275" i="17" s="1"/>
  <c r="E469" i="17"/>
  <c r="E470" i="17" s="1"/>
  <c r="E292" i="17"/>
  <c r="E293" i="17" s="1"/>
  <c r="H259" i="17"/>
  <c r="H274" i="17"/>
  <c r="H275" i="17" s="1"/>
  <c r="D286" i="17"/>
  <c r="D287" i="17" s="1"/>
  <c r="F292" i="17"/>
  <c r="F293" i="17" s="1"/>
  <c r="J241" i="17"/>
  <c r="E287" i="17"/>
  <c r="G287" i="17"/>
  <c r="D336" i="17"/>
  <c r="D337" i="17" s="1"/>
  <c r="G292" i="17"/>
  <c r="G293" i="17" s="1"/>
  <c r="G258" i="17"/>
  <c r="G259" i="17" s="1"/>
  <c r="J259" i="17"/>
  <c r="J275" i="17"/>
  <c r="J292" i="17"/>
  <c r="J293" i="17" s="1"/>
  <c r="J442" i="17"/>
  <c r="D469" i="17"/>
  <c r="D470" i="17" s="1"/>
  <c r="E459" i="17"/>
  <c r="E460" i="17" s="1"/>
  <c r="E57" i="17" s="1"/>
  <c r="E382" i="17"/>
  <c r="F382" i="17" s="1"/>
  <c r="G382" i="17" s="1"/>
  <c r="D442" i="17"/>
  <c r="F469" i="17"/>
  <c r="F470" i="17" s="1"/>
  <c r="J464" i="17"/>
  <c r="J465" i="17" s="1"/>
  <c r="I315" i="17"/>
  <c r="H333" i="17"/>
  <c r="E442" i="17"/>
  <c r="F496" i="17"/>
  <c r="F442" i="17"/>
  <c r="H470" i="17"/>
  <c r="Q423" i="17"/>
  <c r="J470" i="17"/>
  <c r="G442" i="17"/>
  <c r="I469" i="17"/>
  <c r="I470" i="17" s="1"/>
  <c r="D406" i="17"/>
  <c r="D392" i="17" s="1"/>
  <c r="G469" i="17"/>
  <c r="G470" i="17" s="1"/>
  <c r="H442" i="17"/>
  <c r="Q417" i="17"/>
  <c r="Q459" i="17"/>
  <c r="R459" i="17" s="1"/>
  <c r="S459" i="17" s="1"/>
  <c r="T459" i="17" s="1"/>
  <c r="U459" i="17" s="1"/>
  <c r="V459" i="17" s="1"/>
  <c r="W459" i="17" s="1"/>
  <c r="X459" i="17" s="1"/>
  <c r="Y459" i="17" s="1"/>
  <c r="Z459" i="17" s="1"/>
  <c r="I442" i="17"/>
  <c r="F460" i="17"/>
  <c r="Q509" i="17"/>
  <c r="Q538" i="17"/>
  <c r="Y509" i="17"/>
  <c r="Y538" i="17"/>
  <c r="Q427" i="17"/>
  <c r="F432" i="17"/>
  <c r="H460" i="17"/>
  <c r="Q463" i="17"/>
  <c r="E496" i="17"/>
  <c r="S509" i="17"/>
  <c r="S538" i="17"/>
  <c r="H432" i="17"/>
  <c r="J460" i="17"/>
  <c r="F465" i="17"/>
  <c r="G496" i="17"/>
  <c r="T509" i="17"/>
  <c r="T538" i="17"/>
  <c r="I432" i="17"/>
  <c r="H530" i="17"/>
  <c r="U509" i="17"/>
  <c r="U538" i="17"/>
  <c r="J432" i="17"/>
  <c r="H465" i="17"/>
  <c r="I496" i="17"/>
  <c r="V538" i="17"/>
  <c r="V509" i="17"/>
  <c r="W509" i="17"/>
  <c r="G540" i="17"/>
  <c r="D432" i="17"/>
  <c r="X538" i="17"/>
  <c r="X509" i="17"/>
  <c r="D496" i="17"/>
  <c r="Q23" i="16"/>
  <c r="R23" i="16" s="1"/>
  <c r="S23" i="16" s="1"/>
  <c r="T23" i="16" s="1"/>
  <c r="U23" i="16" s="1"/>
  <c r="V23" i="16" s="1"/>
  <c r="W23" i="16" s="1"/>
  <c r="X23" i="16" s="1"/>
  <c r="Y23" i="16" s="1"/>
  <c r="Z23" i="16" s="1"/>
  <c r="F158" i="16"/>
  <c r="F160" i="16" s="1"/>
  <c r="N158" i="16"/>
  <c r="N160" i="16" s="1"/>
  <c r="V158" i="16"/>
  <c r="H168" i="16"/>
  <c r="H169" i="16" s="1"/>
  <c r="X168" i="16"/>
  <c r="Q457" i="16"/>
  <c r="R457" i="16" s="1"/>
  <c r="S457" i="16" s="1"/>
  <c r="T457" i="16" s="1"/>
  <c r="U457" i="16" s="1"/>
  <c r="V457" i="16" s="1"/>
  <c r="W457" i="16" s="1"/>
  <c r="X457" i="16" s="1"/>
  <c r="Y457" i="16" s="1"/>
  <c r="Z457" i="16" s="1"/>
  <c r="V433" i="16"/>
  <c r="Q319" i="16"/>
  <c r="R319" i="16" s="1"/>
  <c r="S319" i="16" s="1"/>
  <c r="T319" i="16" s="1"/>
  <c r="U319" i="16" s="1"/>
  <c r="V319" i="16" s="1"/>
  <c r="W319" i="16" s="1"/>
  <c r="X319" i="16" s="1"/>
  <c r="Y319" i="16" s="1"/>
  <c r="Z319" i="16" s="1"/>
  <c r="L249" i="16"/>
  <c r="O246" i="16"/>
  <c r="Q238" i="16"/>
  <c r="R238" i="16" s="1"/>
  <c r="S238" i="16" s="1"/>
  <c r="T238" i="16" s="1"/>
  <c r="U238" i="16" s="1"/>
  <c r="V238" i="16" s="1"/>
  <c r="W238" i="16" s="1"/>
  <c r="X238" i="16" s="1"/>
  <c r="Y238" i="16" s="1"/>
  <c r="Z238" i="16" s="1"/>
  <c r="U433" i="16"/>
  <c r="Q436" i="16"/>
  <c r="T433" i="16"/>
  <c r="M246" i="16"/>
  <c r="S433" i="16"/>
  <c r="L315" i="16"/>
  <c r="Q468" i="16"/>
  <c r="R468" i="16" s="1"/>
  <c r="S468" i="16" s="1"/>
  <c r="T468" i="16" s="1"/>
  <c r="U468" i="16" s="1"/>
  <c r="V468" i="16" s="1"/>
  <c r="W468" i="16" s="1"/>
  <c r="X468" i="16" s="1"/>
  <c r="Y468" i="16" s="1"/>
  <c r="Z468" i="16" s="1"/>
  <c r="R433" i="16"/>
  <c r="Q386" i="16"/>
  <c r="R386" i="16" s="1"/>
  <c r="S386" i="16" s="1"/>
  <c r="T386" i="16" s="1"/>
  <c r="U386" i="16" s="1"/>
  <c r="V386" i="16" s="1"/>
  <c r="W386" i="16" s="1"/>
  <c r="X386" i="16" s="1"/>
  <c r="Y386" i="16" s="1"/>
  <c r="Z386" i="16" s="1"/>
  <c r="Y433" i="16"/>
  <c r="Q433" i="16"/>
  <c r="Q464" i="16"/>
  <c r="R464" i="16" s="1"/>
  <c r="S464" i="16" s="1"/>
  <c r="T464" i="16" s="1"/>
  <c r="U464" i="16" s="1"/>
  <c r="V464" i="16" s="1"/>
  <c r="W464" i="16" s="1"/>
  <c r="X464" i="16" s="1"/>
  <c r="Y464" i="16" s="1"/>
  <c r="Z464" i="16" s="1"/>
  <c r="Z465" i="16" s="1"/>
  <c r="X433" i="16"/>
  <c r="Q320" i="16"/>
  <c r="R320" i="16" s="1"/>
  <c r="S320" i="16" s="1"/>
  <c r="T320" i="16" s="1"/>
  <c r="U320" i="16" s="1"/>
  <c r="V320" i="16" s="1"/>
  <c r="W320" i="16" s="1"/>
  <c r="X320" i="16" s="1"/>
  <c r="Y320" i="16" s="1"/>
  <c r="Z320" i="16" s="1"/>
  <c r="N249" i="16"/>
  <c r="Q30" i="16"/>
  <c r="R30" i="16" s="1"/>
  <c r="S30" i="16" s="1"/>
  <c r="T30" i="16" s="1"/>
  <c r="U30" i="16" s="1"/>
  <c r="V30" i="16" s="1"/>
  <c r="W30" i="16" s="1"/>
  <c r="X30" i="16" s="1"/>
  <c r="Y30" i="16" s="1"/>
  <c r="Z30" i="16" s="1"/>
  <c r="Z235" i="16" s="1"/>
  <c r="G158" i="16"/>
  <c r="G160" i="16" s="1"/>
  <c r="O158" i="16"/>
  <c r="O160" i="16" s="1"/>
  <c r="W158" i="16"/>
  <c r="I168" i="16"/>
  <c r="I169" i="16" s="1"/>
  <c r="Q168" i="16"/>
  <c r="Y168" i="16"/>
  <c r="Q117" i="16"/>
  <c r="R117" i="16" s="1"/>
  <c r="S117" i="16" s="1"/>
  <c r="T117" i="16" s="1"/>
  <c r="U117" i="16" s="1"/>
  <c r="V117" i="16" s="1"/>
  <c r="W117" i="16" s="1"/>
  <c r="X117" i="16" s="1"/>
  <c r="Y117" i="16" s="1"/>
  <c r="Z117" i="16" s="1"/>
  <c r="H158" i="16"/>
  <c r="H160" i="16" s="1"/>
  <c r="X158" i="16"/>
  <c r="J168" i="16"/>
  <c r="J169" i="16" s="1"/>
  <c r="R168" i="16"/>
  <c r="L246" i="16"/>
  <c r="Q24" i="16"/>
  <c r="R24" i="16" s="1"/>
  <c r="S24" i="16" s="1"/>
  <c r="T24" i="16" s="1"/>
  <c r="U24" i="16" s="1"/>
  <c r="V24" i="16" s="1"/>
  <c r="W24" i="16" s="1"/>
  <c r="X24" i="16" s="1"/>
  <c r="Y24" i="16" s="1"/>
  <c r="Z24" i="16" s="1"/>
  <c r="I158" i="16"/>
  <c r="I160" i="16" s="1"/>
  <c r="Q158" i="16"/>
  <c r="Y158" i="16"/>
  <c r="S168" i="16"/>
  <c r="N246" i="16"/>
  <c r="W433" i="16"/>
  <c r="J158" i="16"/>
  <c r="J160" i="16" s="1"/>
  <c r="R158" i="16"/>
  <c r="D168" i="16"/>
  <c r="D169" i="16" s="1"/>
  <c r="L168" i="16"/>
  <c r="L169" i="16" s="1"/>
  <c r="T168" i="16"/>
  <c r="Q219" i="16"/>
  <c r="R219" i="16" s="1"/>
  <c r="S219" i="16" s="1"/>
  <c r="T219" i="16" s="1"/>
  <c r="M249" i="16"/>
  <c r="S158" i="16"/>
  <c r="E168" i="16"/>
  <c r="E169" i="16" s="1"/>
  <c r="M168" i="16"/>
  <c r="M169" i="16" s="1"/>
  <c r="U168" i="16"/>
  <c r="O249" i="16"/>
  <c r="Q249" i="16" s="1"/>
  <c r="R249" i="16" s="1"/>
  <c r="S249" i="16" s="1"/>
  <c r="T249" i="16" s="1"/>
  <c r="U249" i="16" s="1"/>
  <c r="V249" i="16" s="1"/>
  <c r="W249" i="16" s="1"/>
  <c r="X249" i="16" s="1"/>
  <c r="Y249" i="16" s="1"/>
  <c r="Z249" i="16" s="1"/>
  <c r="D158" i="16"/>
  <c r="D160" i="16" s="1"/>
  <c r="L158" i="16"/>
  <c r="L160" i="16" s="1"/>
  <c r="T158" i="16"/>
  <c r="F168" i="16"/>
  <c r="F169" i="16" s="1"/>
  <c r="N168" i="16"/>
  <c r="N169" i="16" s="1"/>
  <c r="V168" i="16"/>
  <c r="F481" i="16"/>
  <c r="F482" i="16" s="1"/>
  <c r="F97" i="16"/>
  <c r="F98" i="16" s="1"/>
  <c r="F99" i="16" s="1"/>
  <c r="D459" i="16"/>
  <c r="D460" i="16" s="1"/>
  <c r="D57" i="16" s="1"/>
  <c r="E432" i="16"/>
  <c r="G332" i="16"/>
  <c r="G333" i="16" s="1"/>
  <c r="G336" i="16" s="1"/>
  <c r="H332" i="16"/>
  <c r="H333" i="16" s="1"/>
  <c r="I332" i="16"/>
  <c r="I333" i="16" s="1"/>
  <c r="F48" i="16"/>
  <c r="I147" i="16"/>
  <c r="I149" i="16" s="1"/>
  <c r="F314" i="16"/>
  <c r="F315" i="16" s="1"/>
  <c r="G246" i="16"/>
  <c r="E292" i="16"/>
  <c r="E293" i="16" s="1"/>
  <c r="E19" i="16"/>
  <c r="I12" i="16"/>
  <c r="L20" i="16"/>
  <c r="H20" i="16"/>
  <c r="R148" i="16"/>
  <c r="Q43" i="16"/>
  <c r="I17" i="16"/>
  <c r="O20" i="16"/>
  <c r="H85" i="16"/>
  <c r="N78" i="16"/>
  <c r="N81" i="16" s="1"/>
  <c r="N82" i="16" s="1"/>
  <c r="N83" i="16" s="1"/>
  <c r="I140" i="16"/>
  <c r="I141" i="16" s="1"/>
  <c r="J17" i="16"/>
  <c r="H29" i="16"/>
  <c r="G150" i="16"/>
  <c r="K12" i="16"/>
  <c r="K17" i="16"/>
  <c r="J78" i="16"/>
  <c r="J81" i="16" s="1"/>
  <c r="J82" i="16" s="1"/>
  <c r="J83" i="16" s="1"/>
  <c r="I197" i="16"/>
  <c r="I199" i="16" s="1"/>
  <c r="I191" i="16"/>
  <c r="I194" i="16" s="1"/>
  <c r="L17" i="16"/>
  <c r="E12" i="16"/>
  <c r="M12" i="16"/>
  <c r="E17" i="16"/>
  <c r="M17" i="16"/>
  <c r="L29" i="16"/>
  <c r="F20" i="16"/>
  <c r="J14" i="16"/>
  <c r="J19" i="16"/>
  <c r="H22" i="16"/>
  <c r="H142" i="16"/>
  <c r="N20" i="16"/>
  <c r="F17" i="16"/>
  <c r="N17" i="16"/>
  <c r="G29" i="16"/>
  <c r="O29" i="16"/>
  <c r="Q29" i="16" s="1"/>
  <c r="R29" i="16" s="1"/>
  <c r="S29" i="16" s="1"/>
  <c r="T29" i="16" s="1"/>
  <c r="U29" i="16" s="1"/>
  <c r="V29" i="16" s="1"/>
  <c r="W29" i="16" s="1"/>
  <c r="X29" i="16" s="1"/>
  <c r="Y29" i="16" s="1"/>
  <c r="Z29" i="16" s="1"/>
  <c r="D323" i="16"/>
  <c r="D191" i="16"/>
  <c r="D194" i="16" s="1"/>
  <c r="L191" i="16"/>
  <c r="L194" i="16" s="1"/>
  <c r="D350" i="16"/>
  <c r="D357" i="16" s="1"/>
  <c r="L350" i="16"/>
  <c r="L357" i="16" s="1"/>
  <c r="G78" i="16"/>
  <c r="G81" i="16" s="1"/>
  <c r="G82" i="16" s="1"/>
  <c r="G83" i="16" s="1"/>
  <c r="O78" i="16"/>
  <c r="O81" i="16" s="1"/>
  <c r="O82" i="16" s="1"/>
  <c r="O83" i="16" s="1"/>
  <c r="G494" i="16"/>
  <c r="G496" i="16" s="1"/>
  <c r="G110" i="16"/>
  <c r="F121" i="16"/>
  <c r="H128" i="16"/>
  <c r="M121" i="16"/>
  <c r="E350" i="16"/>
  <c r="E352" i="16" s="1"/>
  <c r="M350" i="16"/>
  <c r="M352" i="16" s="1"/>
  <c r="H78" i="16"/>
  <c r="H81" i="16" s="1"/>
  <c r="H82" i="16" s="1"/>
  <c r="H83" i="16" s="1"/>
  <c r="D85" i="16"/>
  <c r="L85" i="16"/>
  <c r="H494" i="16"/>
  <c r="H496" i="16" s="1"/>
  <c r="H110" i="16"/>
  <c r="H121" i="16"/>
  <c r="J142" i="16"/>
  <c r="D147" i="16"/>
  <c r="D149" i="16" s="1"/>
  <c r="L147" i="16"/>
  <c r="L149" i="16" s="1"/>
  <c r="F189" i="16"/>
  <c r="F196" i="16" s="1"/>
  <c r="N189" i="16"/>
  <c r="N196" i="16" s="1"/>
  <c r="G197" i="16"/>
  <c r="G199" i="16" s="1"/>
  <c r="H191" i="16"/>
  <c r="H194" i="16" s="1"/>
  <c r="H197" i="16"/>
  <c r="H199" i="16" s="1"/>
  <c r="H324" i="16"/>
  <c r="H265" i="16"/>
  <c r="H267" i="16" s="1"/>
  <c r="I78" i="16"/>
  <c r="I81" i="16" s="1"/>
  <c r="I82" i="16" s="1"/>
  <c r="I83" i="16" s="1"/>
  <c r="E85" i="16"/>
  <c r="I494" i="16"/>
  <c r="I496" i="16" s="1"/>
  <c r="I110" i="16"/>
  <c r="D142" i="16"/>
  <c r="E150" i="16"/>
  <c r="J494" i="16"/>
  <c r="J496" i="16" s="1"/>
  <c r="J110" i="16"/>
  <c r="E142" i="16"/>
  <c r="F147" i="16"/>
  <c r="F149" i="16" s="1"/>
  <c r="N147" i="16"/>
  <c r="N149" i="16" s="1"/>
  <c r="J265" i="16"/>
  <c r="J267" i="16" s="1"/>
  <c r="H350" i="16"/>
  <c r="H366" i="16" s="1"/>
  <c r="O85" i="16"/>
  <c r="F140" i="16"/>
  <c r="F141" i="16" s="1"/>
  <c r="N140" i="16"/>
  <c r="N141" i="16" s="1"/>
  <c r="G142" i="16"/>
  <c r="O140" i="16"/>
  <c r="O141" i="16" s="1"/>
  <c r="M142" i="16"/>
  <c r="H150" i="16"/>
  <c r="G121" i="16"/>
  <c r="O121" i="16"/>
  <c r="E235" i="16"/>
  <c r="M235" i="16"/>
  <c r="N235" i="16"/>
  <c r="J350" i="16"/>
  <c r="J352" i="16" s="1"/>
  <c r="M78" i="16"/>
  <c r="M81" i="16" s="1"/>
  <c r="M82" i="16" s="1"/>
  <c r="M83" i="16" s="1"/>
  <c r="N121" i="16"/>
  <c r="F128" i="16"/>
  <c r="N128" i="16"/>
  <c r="O110" i="16"/>
  <c r="J147" i="16"/>
  <c r="J149" i="16" s="1"/>
  <c r="O189" i="16"/>
  <c r="O196" i="16" s="1"/>
  <c r="G290" i="16"/>
  <c r="G292" i="16" s="1"/>
  <c r="G241" i="16"/>
  <c r="O241" i="16"/>
  <c r="F287" i="16"/>
  <c r="N287" i="16"/>
  <c r="D265" i="16"/>
  <c r="D267" i="16" s="1"/>
  <c r="G235" i="16"/>
  <c r="O235" i="16"/>
  <c r="F235" i="16"/>
  <c r="E324" i="16"/>
  <c r="E265" i="16"/>
  <c r="E267" i="16" s="1"/>
  <c r="H235" i="16"/>
  <c r="F265" i="16"/>
  <c r="F267" i="16" s="1"/>
  <c r="G212" i="16"/>
  <c r="O212" i="16"/>
  <c r="I235" i="16"/>
  <c r="G265" i="16"/>
  <c r="G267" i="16" s="1"/>
  <c r="G275" i="16"/>
  <c r="H212" i="16"/>
  <c r="F259" i="16"/>
  <c r="I212" i="16"/>
  <c r="D293" i="16"/>
  <c r="I324" i="16"/>
  <c r="I287" i="16"/>
  <c r="E275" i="16"/>
  <c r="F333" i="16"/>
  <c r="F336" i="16" s="1"/>
  <c r="N333" i="16"/>
  <c r="N336" i="16" s="1"/>
  <c r="E189" i="16"/>
  <c r="E196" i="16" s="1"/>
  <c r="M189" i="16"/>
  <c r="M196" i="16" s="1"/>
  <c r="I265" i="16"/>
  <c r="I267" i="16" s="1"/>
  <c r="I275" i="16"/>
  <c r="L235" i="16"/>
  <c r="L234" i="16"/>
  <c r="D241" i="16"/>
  <c r="L241" i="16"/>
  <c r="H246" i="16"/>
  <c r="F324" i="16"/>
  <c r="J259" i="16"/>
  <c r="J275" i="16"/>
  <c r="D275" i="16"/>
  <c r="J287" i="16"/>
  <c r="E333" i="16"/>
  <c r="E336" i="16" s="1"/>
  <c r="M333" i="16"/>
  <c r="M336" i="16" s="1"/>
  <c r="Q459" i="16"/>
  <c r="R459" i="16" s="1"/>
  <c r="S459" i="16" s="1"/>
  <c r="T459" i="16" s="1"/>
  <c r="U459" i="16" s="1"/>
  <c r="V459" i="16" s="1"/>
  <c r="W459" i="16" s="1"/>
  <c r="X459" i="16" s="1"/>
  <c r="Y459" i="16" s="1"/>
  <c r="Z459" i="16" s="1"/>
  <c r="O460" i="16"/>
  <c r="E234" i="16"/>
  <c r="M234" i="16"/>
  <c r="I293" i="16"/>
  <c r="E241" i="16"/>
  <c r="M241" i="16"/>
  <c r="I246" i="16"/>
  <c r="G324" i="16"/>
  <c r="I259" i="16"/>
  <c r="J470" i="16"/>
  <c r="F241" i="16"/>
  <c r="N241" i="16"/>
  <c r="J246" i="16"/>
  <c r="L287" i="16"/>
  <c r="J235" i="16"/>
  <c r="E287" i="16"/>
  <c r="O333" i="16"/>
  <c r="O336" i="16" s="1"/>
  <c r="D246" i="16"/>
  <c r="E246" i="16"/>
  <c r="G287" i="16"/>
  <c r="D442" i="16"/>
  <c r="D444" i="16" s="1"/>
  <c r="L442" i="16"/>
  <c r="L444" i="16" s="1"/>
  <c r="D324" i="16"/>
  <c r="J333" i="16"/>
  <c r="J336" i="16" s="1"/>
  <c r="E442" i="16"/>
  <c r="E444" i="16" s="1"/>
  <c r="M442" i="16"/>
  <c r="M444" i="16" s="1"/>
  <c r="O432" i="16"/>
  <c r="M432" i="16"/>
  <c r="L432" i="16"/>
  <c r="E379" i="16"/>
  <c r="M379" i="16"/>
  <c r="U379" i="16"/>
  <c r="E315" i="16"/>
  <c r="D333" i="16"/>
  <c r="D336" i="16" s="1"/>
  <c r="L333" i="16"/>
  <c r="L336" i="16" s="1"/>
  <c r="F379" i="16"/>
  <c r="N379" i="16"/>
  <c r="V379" i="16"/>
  <c r="G379" i="16"/>
  <c r="H379" i="16"/>
  <c r="F350" i="16"/>
  <c r="F366" i="16" s="1"/>
  <c r="N350" i="16"/>
  <c r="N344" i="16" s="1"/>
  <c r="G350" i="16"/>
  <c r="G366" i="16" s="1"/>
  <c r="O350" i="16"/>
  <c r="O352" i="16" s="1"/>
  <c r="O470" i="16"/>
  <c r="T427" i="16"/>
  <c r="I442" i="16"/>
  <c r="I444" i="16" s="1"/>
  <c r="H470" i="16"/>
  <c r="D406" i="16"/>
  <c r="D392" i="16" s="1"/>
  <c r="I470" i="16"/>
  <c r="U509" i="16"/>
  <c r="U538" i="16"/>
  <c r="G442" i="16"/>
  <c r="G444" i="16" s="1"/>
  <c r="O442" i="16"/>
  <c r="O444" i="16" s="1"/>
  <c r="W538" i="16"/>
  <c r="W509" i="16"/>
  <c r="H432" i="16"/>
  <c r="H442" i="16"/>
  <c r="H444" i="16" s="1"/>
  <c r="D470" i="16"/>
  <c r="X538" i="16"/>
  <c r="X509" i="16"/>
  <c r="I420" i="16"/>
  <c r="G470" i="16"/>
  <c r="I379" i="16"/>
  <c r="Q379" i="16"/>
  <c r="Y379" i="16"/>
  <c r="E470" i="16"/>
  <c r="M470" i="16"/>
  <c r="Q509" i="16"/>
  <c r="Q538" i="16"/>
  <c r="Y509" i="16"/>
  <c r="Y538" i="16"/>
  <c r="R417" i="16"/>
  <c r="L470" i="16"/>
  <c r="F470" i="16"/>
  <c r="N470" i="16"/>
  <c r="T509" i="16"/>
  <c r="T538" i="16"/>
  <c r="J442" i="16"/>
  <c r="J444" i="16" s="1"/>
  <c r="R509" i="16"/>
  <c r="R538" i="16"/>
  <c r="D432" i="16"/>
  <c r="J460" i="16"/>
  <c r="G465" i="16"/>
  <c r="G57" i="16" s="1"/>
  <c r="O465" i="16"/>
  <c r="S509" i="16"/>
  <c r="S538" i="16"/>
  <c r="R423" i="16"/>
  <c r="H465" i="16"/>
  <c r="J465" i="16"/>
  <c r="L460" i="16"/>
  <c r="L57" i="16" s="1"/>
  <c r="E460" i="16"/>
  <c r="E57" i="16" s="1"/>
  <c r="M460" i="16"/>
  <c r="M57" i="16" s="1"/>
  <c r="F442" i="16"/>
  <c r="F444" i="16" s="1"/>
  <c r="N442" i="16"/>
  <c r="N444" i="16" s="1"/>
  <c r="V538" i="16"/>
  <c r="V509" i="16"/>
  <c r="J432" i="16"/>
  <c r="N496" i="16"/>
  <c r="E496" i="16"/>
  <c r="M496" i="16"/>
  <c r="F432" i="16"/>
  <c r="N432" i="16"/>
  <c r="H460" i="16"/>
  <c r="E540" i="16"/>
  <c r="I432" i="16"/>
  <c r="I530" i="16"/>
  <c r="G540" i="16"/>
  <c r="H540" i="16"/>
  <c r="D496" i="16"/>
  <c r="L496" i="16"/>
  <c r="C301" i="16" l="1" a="1"/>
  <c r="C301" i="16" s="1"/>
  <c r="N93" i="17"/>
  <c r="O93" i="17"/>
  <c r="C196" i="17" a="1"/>
  <c r="C196" i="17" s="1"/>
  <c r="C297" i="16" a="1"/>
  <c r="C297" i="16" s="1"/>
  <c r="C309" i="16" a="1"/>
  <c r="C309" i="16" s="1"/>
  <c r="C305" i="17" a="1"/>
  <c r="C305" i="17" s="1"/>
  <c r="C297" i="17" a="1"/>
  <c r="C297" i="17" s="1"/>
  <c r="C314" i="17" a="1"/>
  <c r="C314" i="17" s="1"/>
  <c r="C309" i="17" a="1"/>
  <c r="C309" i="17" s="1"/>
  <c r="C305" i="16" a="1"/>
  <c r="C305" i="16" s="1"/>
  <c r="C292" i="17" a="1"/>
  <c r="C292" i="17" s="1"/>
  <c r="C279" i="16" a="1"/>
  <c r="C279" i="16" s="1"/>
  <c r="C274" i="17" a="1"/>
  <c r="C274" i="17" s="1"/>
  <c r="C279" i="17" a="1"/>
  <c r="C279" i="17" s="1"/>
  <c r="C301" i="17" a="1"/>
  <c r="C301" i="17" s="1"/>
  <c r="P160" i="17"/>
  <c r="P161" i="17" s="1"/>
  <c r="P165" i="17" s="1"/>
  <c r="P34" i="17" s="1"/>
  <c r="P176" i="17"/>
  <c r="P177" i="17" s="1"/>
  <c r="P178" i="17" s="1"/>
  <c r="M173" i="17"/>
  <c r="M179" i="17" s="1"/>
  <c r="O160" i="17"/>
  <c r="O161" i="17" s="1"/>
  <c r="O165" i="17" s="1"/>
  <c r="O34" i="17" s="1"/>
  <c r="O176" i="17"/>
  <c r="O177" i="17" s="1"/>
  <c r="O178" i="17" s="1"/>
  <c r="N160" i="17"/>
  <c r="N161" i="17" s="1"/>
  <c r="N165" i="17" s="1"/>
  <c r="N176" i="17"/>
  <c r="N177" i="17" s="1"/>
  <c r="N178" i="17" s="1"/>
  <c r="P93" i="17"/>
  <c r="P197" i="17"/>
  <c r="P199" i="17" s="1"/>
  <c r="P200" i="17" s="1"/>
  <c r="P323" i="17"/>
  <c r="L93" i="17"/>
  <c r="M160" i="17"/>
  <c r="M161" i="17" s="1"/>
  <c r="M165" i="17" s="1"/>
  <c r="M176" i="17"/>
  <c r="M177" i="17" s="1"/>
  <c r="M178" i="17" s="1"/>
  <c r="Z176" i="17"/>
  <c r="N197" i="17"/>
  <c r="N199" i="17" s="1"/>
  <c r="N200" i="17" s="1"/>
  <c r="N323" i="17"/>
  <c r="O258" i="17"/>
  <c r="O259" i="17" s="1"/>
  <c r="O324" i="17"/>
  <c r="M258" i="17"/>
  <c r="M259" i="17" s="1"/>
  <c r="M324" i="17"/>
  <c r="Z176" i="16"/>
  <c r="C314" i="16" a="1"/>
  <c r="C314" i="16" s="1"/>
  <c r="O197" i="17"/>
  <c r="O199" i="17" s="1"/>
  <c r="O200" i="17" s="1"/>
  <c r="O323" i="17"/>
  <c r="K173" i="17"/>
  <c r="K179" i="17" s="1"/>
  <c r="M197" i="17"/>
  <c r="M199" i="17" s="1"/>
  <c r="M200" i="17" s="1"/>
  <c r="M323" i="17"/>
  <c r="P258" i="17"/>
  <c r="P259" i="17" s="1"/>
  <c r="P324" i="17"/>
  <c r="N173" i="17"/>
  <c r="N179" i="17" s="1"/>
  <c r="M93" i="17"/>
  <c r="K160" i="17"/>
  <c r="K161" i="17" s="1"/>
  <c r="K165" i="17" s="1"/>
  <c r="K176" i="17"/>
  <c r="K177" i="17" s="1"/>
  <c r="K178" i="17" s="1"/>
  <c r="N258" i="17"/>
  <c r="N259" i="17" s="1"/>
  <c r="N324" i="17"/>
  <c r="C292" i="16" a="1"/>
  <c r="C292" i="16" s="1"/>
  <c r="L293" i="16"/>
  <c r="L275" i="16"/>
  <c r="C274" i="16" a="1"/>
  <c r="C274" i="16" s="1"/>
  <c r="C196" i="16" a="1"/>
  <c r="C196" i="16" s="1"/>
  <c r="L142" i="16"/>
  <c r="G487" i="17"/>
  <c r="G488" i="17" s="1"/>
  <c r="J191" i="16"/>
  <c r="J194" i="16" s="1"/>
  <c r="N57" i="16"/>
  <c r="I150" i="16"/>
  <c r="H382" i="17"/>
  <c r="I382" i="17" s="1"/>
  <c r="J382" i="17" s="1"/>
  <c r="K382" i="17" s="1"/>
  <c r="G191" i="16"/>
  <c r="G194" i="16" s="1"/>
  <c r="H324" i="17"/>
  <c r="G150" i="17"/>
  <c r="D48" i="17"/>
  <c r="D97" i="17"/>
  <c r="D98" i="17" s="1"/>
  <c r="D99" i="17" s="1"/>
  <c r="O487" i="17"/>
  <c r="O488" i="17" s="1"/>
  <c r="O105" i="17"/>
  <c r="O106" i="17" s="1"/>
  <c r="Y392" i="24"/>
  <c r="Z406" i="24"/>
  <c r="Z392" i="24" s="1"/>
  <c r="N487" i="17"/>
  <c r="N488" i="17" s="1"/>
  <c r="N105" i="17"/>
  <c r="N106" i="17" s="1"/>
  <c r="X484" i="24"/>
  <c r="X77" i="24"/>
  <c r="X394" i="24"/>
  <c r="M481" i="17"/>
  <c r="M97" i="17"/>
  <c r="K48" i="17"/>
  <c r="K481" i="17"/>
  <c r="K482" i="17" s="1"/>
  <c r="K97" i="17"/>
  <c r="K98" i="17" s="1"/>
  <c r="K99" i="17" s="1"/>
  <c r="K35" i="17"/>
  <c r="P487" i="17"/>
  <c r="P488" i="17" s="1"/>
  <c r="P105" i="17"/>
  <c r="P106" i="17" s="1"/>
  <c r="N481" i="17"/>
  <c r="N97" i="17"/>
  <c r="E382" i="16"/>
  <c r="K105" i="17"/>
  <c r="K106" i="17" s="1"/>
  <c r="K487" i="17"/>
  <c r="K488" i="17" s="1"/>
  <c r="P97" i="17"/>
  <c r="P481" i="17"/>
  <c r="O481" i="17"/>
  <c r="O97" i="17"/>
  <c r="M487" i="17"/>
  <c r="M488" i="17" s="1"/>
  <c r="M105" i="17"/>
  <c r="M106" i="17" s="1"/>
  <c r="Q238" i="17"/>
  <c r="Q290" i="17" s="1"/>
  <c r="Q247" i="17"/>
  <c r="Q246" i="17" s="1"/>
  <c r="Q481" i="17" s="1"/>
  <c r="Z484" i="25"/>
  <c r="Z77" i="25"/>
  <c r="Z394" i="25"/>
  <c r="Y484" i="25"/>
  <c r="Y77" i="25"/>
  <c r="Y394" i="25"/>
  <c r="Q434" i="16"/>
  <c r="Z460" i="16"/>
  <c r="Z510" i="16"/>
  <c r="Z290" i="16"/>
  <c r="P267" i="16"/>
  <c r="P268" i="16" s="1"/>
  <c r="E406" i="16"/>
  <c r="E392" i="16" s="1"/>
  <c r="K173" i="16"/>
  <c r="K179" i="16" s="1"/>
  <c r="K176" i="16"/>
  <c r="K177" i="16" s="1"/>
  <c r="K178" i="16" s="1"/>
  <c r="K160" i="16"/>
  <c r="K161" i="16" s="1"/>
  <c r="K165" i="16" s="1"/>
  <c r="P227" i="16"/>
  <c r="P35" i="16" s="1"/>
  <c r="P48" i="16"/>
  <c r="K481" i="16"/>
  <c r="K482" i="16" s="1"/>
  <c r="K97" i="16"/>
  <c r="K98" i="16" s="1"/>
  <c r="K99" i="16" s="1"/>
  <c r="K48" i="16"/>
  <c r="K35" i="16"/>
  <c r="K46" i="16" s="1"/>
  <c r="P173" i="16"/>
  <c r="P179" i="16" s="1"/>
  <c r="P481" i="16"/>
  <c r="P482" i="16" s="1"/>
  <c r="P97" i="16"/>
  <c r="P98" i="16" s="1"/>
  <c r="P99" i="16" s="1"/>
  <c r="P129" i="16" s="1"/>
  <c r="P197" i="16"/>
  <c r="P323" i="16"/>
  <c r="P160" i="16"/>
  <c r="P161" i="16" s="1"/>
  <c r="P165" i="16" s="1"/>
  <c r="P176" i="16"/>
  <c r="P177" i="16" s="1"/>
  <c r="P178" i="16" s="1"/>
  <c r="K105" i="16"/>
  <c r="K106" i="16" s="1"/>
  <c r="K487" i="16"/>
  <c r="K488" i="16" s="1"/>
  <c r="P324" i="16"/>
  <c r="P259" i="16"/>
  <c r="P487" i="16"/>
  <c r="P488" i="16" s="1"/>
  <c r="P105" i="16"/>
  <c r="P106" i="16" s="1"/>
  <c r="G357" i="16"/>
  <c r="G358" i="16" s="1"/>
  <c r="F265" i="17"/>
  <c r="H344" i="16"/>
  <c r="H345" i="16" s="1"/>
  <c r="D57" i="17"/>
  <c r="F344" i="16"/>
  <c r="F345" i="16" s="1"/>
  <c r="D366" i="16"/>
  <c r="D367" i="16" s="1"/>
  <c r="D344" i="16"/>
  <c r="D345" i="16" s="1"/>
  <c r="J57" i="16"/>
  <c r="H357" i="16"/>
  <c r="H358" i="16" s="1"/>
  <c r="G344" i="16"/>
  <c r="G345" i="16" s="1"/>
  <c r="F357" i="16"/>
  <c r="F358" i="16" s="1"/>
  <c r="G265" i="17"/>
  <c r="G267" i="17" s="1"/>
  <c r="G268" i="17" s="1"/>
  <c r="E344" i="16"/>
  <c r="E345" i="16" s="1"/>
  <c r="I357" i="16"/>
  <c r="I358" i="16" s="1"/>
  <c r="N357" i="16"/>
  <c r="N358" i="16" s="1"/>
  <c r="N359" i="16" s="1"/>
  <c r="N362" i="16" s="1"/>
  <c r="E487" i="17"/>
  <c r="E488" i="17" s="1"/>
  <c r="E357" i="16"/>
  <c r="E358" i="16" s="1"/>
  <c r="I353" i="16"/>
  <c r="I366" i="16"/>
  <c r="I367" i="16" s="1"/>
  <c r="I344" i="16"/>
  <c r="I345" i="16" s="1"/>
  <c r="E366" i="16"/>
  <c r="E367" i="16" s="1"/>
  <c r="F357" i="17"/>
  <c r="F358" i="17" s="1"/>
  <c r="F359" i="17" s="1"/>
  <c r="E265" i="17"/>
  <c r="E267" i="17" s="1"/>
  <c r="E268" i="17" s="1"/>
  <c r="U219" i="16"/>
  <c r="J344" i="17"/>
  <c r="J345" i="17" s="1"/>
  <c r="J346" i="17" s="1"/>
  <c r="M344" i="16"/>
  <c r="M345" i="16" s="1"/>
  <c r="J366" i="16"/>
  <c r="J367" i="16" s="1"/>
  <c r="J366" i="17"/>
  <c r="J367" i="17" s="1"/>
  <c r="J368" i="17" s="1"/>
  <c r="O344" i="16"/>
  <c r="O345" i="16" s="1"/>
  <c r="J357" i="16"/>
  <c r="J358" i="16" s="1"/>
  <c r="M366" i="16"/>
  <c r="M367" i="16" s="1"/>
  <c r="J344" i="16"/>
  <c r="J345" i="16" s="1"/>
  <c r="O357" i="16"/>
  <c r="O358" i="16" s="1"/>
  <c r="L344" i="16"/>
  <c r="L345" i="16" s="1"/>
  <c r="L366" i="16"/>
  <c r="L367" i="16" s="1"/>
  <c r="M357" i="16"/>
  <c r="M358" i="16" s="1"/>
  <c r="N366" i="16"/>
  <c r="N367" i="16" s="1"/>
  <c r="O366" i="16"/>
  <c r="O367" i="16" s="1"/>
  <c r="J324" i="17"/>
  <c r="Y235" i="17"/>
  <c r="Z30" i="17"/>
  <c r="Z235" i="17" s="1"/>
  <c r="Y235" i="16"/>
  <c r="L268" i="17"/>
  <c r="E36" i="17"/>
  <c r="E113" i="17"/>
  <c r="F344" i="17"/>
  <c r="F345" i="17" s="1"/>
  <c r="F346" i="17" s="1"/>
  <c r="F366" i="17"/>
  <c r="F367" i="17" s="1"/>
  <c r="F368" i="17" s="1"/>
  <c r="I265" i="17"/>
  <c r="I267" i="17" s="1"/>
  <c r="I268" i="17" s="1"/>
  <c r="I357" i="17"/>
  <c r="I358" i="17" s="1"/>
  <c r="I359" i="17" s="1"/>
  <c r="L176" i="17"/>
  <c r="L169" i="17"/>
  <c r="L170" i="17" s="1"/>
  <c r="L481" i="17"/>
  <c r="L97" i="17"/>
  <c r="J57" i="17"/>
  <c r="H35" i="17"/>
  <c r="I344" i="17"/>
  <c r="I345" i="17" s="1"/>
  <c r="I346" i="17" s="1"/>
  <c r="L197" i="17"/>
  <c r="L323" i="17"/>
  <c r="D366" i="17"/>
  <c r="D367" i="17" s="1"/>
  <c r="D368" i="17" s="1"/>
  <c r="D344" i="17"/>
  <c r="D345" i="17" s="1"/>
  <c r="D346" i="17" s="1"/>
  <c r="I481" i="17"/>
  <c r="I482" i="17" s="1"/>
  <c r="I97" i="17"/>
  <c r="I98" i="17" s="1"/>
  <c r="I99" i="17" s="1"/>
  <c r="L259" i="17"/>
  <c r="L324" i="17"/>
  <c r="D265" i="17"/>
  <c r="D323" i="17"/>
  <c r="I48" i="17"/>
  <c r="L105" i="17"/>
  <c r="L106" i="17" s="1"/>
  <c r="L487" i="17"/>
  <c r="L488" i="17" s="1"/>
  <c r="Q436" i="17"/>
  <c r="Q434" i="17" s="1"/>
  <c r="Q29" i="17"/>
  <c r="R29" i="17" s="1"/>
  <c r="S29" i="17" s="1"/>
  <c r="T29" i="17" s="1"/>
  <c r="U29" i="17" s="1"/>
  <c r="V29" i="17" s="1"/>
  <c r="W29" i="17" s="1"/>
  <c r="X29" i="17" s="1"/>
  <c r="Y29" i="17" s="1"/>
  <c r="Z29" i="17" s="1"/>
  <c r="R219" i="17"/>
  <c r="D36" i="17"/>
  <c r="D113" i="17"/>
  <c r="S468" i="17"/>
  <c r="J323" i="17"/>
  <c r="J197" i="17"/>
  <c r="J53" i="17" s="1"/>
  <c r="D149" i="17"/>
  <c r="D150" i="17" s="1"/>
  <c r="H352" i="17"/>
  <c r="H353" i="17" s="1"/>
  <c r="Q519" i="17"/>
  <c r="R463" i="17"/>
  <c r="I444" i="17"/>
  <c r="I445" i="17" s="1"/>
  <c r="I64" i="17" s="1"/>
  <c r="E444" i="17"/>
  <c r="E445" i="17" s="1"/>
  <c r="E64" i="17" s="1"/>
  <c r="G196" i="17"/>
  <c r="G323" i="17" s="1"/>
  <c r="G191" i="17"/>
  <c r="G194" i="17" s="1"/>
  <c r="G35" i="17" s="1"/>
  <c r="J141" i="17"/>
  <c r="J142" i="17" s="1"/>
  <c r="E352" i="17"/>
  <c r="E353" i="17" s="1"/>
  <c r="H199" i="17"/>
  <c r="H200" i="17" s="1"/>
  <c r="D487" i="17"/>
  <c r="D488" i="17" s="1"/>
  <c r="D489" i="17" s="1"/>
  <c r="E105" i="17"/>
  <c r="E106" i="17" s="1"/>
  <c r="D105" i="17"/>
  <c r="D106" i="17" s="1"/>
  <c r="H57" i="17"/>
  <c r="G444" i="17"/>
  <c r="G445" i="17" s="1"/>
  <c r="G64" i="17" s="1"/>
  <c r="E406" i="17"/>
  <c r="H336" i="17"/>
  <c r="H337" i="17" s="1"/>
  <c r="F315" i="17"/>
  <c r="E481" i="17"/>
  <c r="E482" i="17" s="1"/>
  <c r="E48" i="17"/>
  <c r="E97" i="17"/>
  <c r="E98" i="17" s="1"/>
  <c r="E99" i="17" s="1"/>
  <c r="H481" i="17"/>
  <c r="H482" i="17" s="1"/>
  <c r="H97" i="17"/>
  <c r="H98" i="17" s="1"/>
  <c r="H99" i="17" s="1"/>
  <c r="H48" i="17"/>
  <c r="I149" i="17"/>
  <c r="I150" i="17" s="1"/>
  <c r="I141" i="17"/>
  <c r="I142" i="17" s="1"/>
  <c r="D35" i="17"/>
  <c r="W235" i="17"/>
  <c r="X235" i="17"/>
  <c r="F169" i="17"/>
  <c r="F170" i="17" s="1"/>
  <c r="H169" i="17"/>
  <c r="H170" i="17" s="1"/>
  <c r="J357" i="17"/>
  <c r="H444" i="17"/>
  <c r="H445" i="17" s="1"/>
  <c r="H64" i="17" s="1"/>
  <c r="F267" i="17"/>
  <c r="F268" i="17" s="1"/>
  <c r="F196" i="17"/>
  <c r="F197" i="17" s="1"/>
  <c r="F191" i="17"/>
  <c r="F194" i="17" s="1"/>
  <c r="F35" i="17" s="1"/>
  <c r="E169" i="17"/>
  <c r="E170" i="17" s="1"/>
  <c r="R417" i="17"/>
  <c r="S215" i="17" s="1"/>
  <c r="S253" i="17"/>
  <c r="H267" i="17"/>
  <c r="H268" i="17" s="1"/>
  <c r="E199" i="17"/>
  <c r="E200" i="17" s="1"/>
  <c r="J149" i="17"/>
  <c r="J150" i="17" s="1"/>
  <c r="E323" i="17"/>
  <c r="J267" i="17"/>
  <c r="J268" i="17" s="1"/>
  <c r="G141" i="17"/>
  <c r="G142" i="17" s="1"/>
  <c r="I199" i="17"/>
  <c r="I200" i="17" s="1"/>
  <c r="D169" i="17"/>
  <c r="D170" i="17" s="1"/>
  <c r="G169" i="17"/>
  <c r="G170" i="17" s="1"/>
  <c r="G366" i="17"/>
  <c r="E344" i="17"/>
  <c r="H366" i="17"/>
  <c r="G357" i="17"/>
  <c r="D444" i="17"/>
  <c r="D445" i="17" s="1"/>
  <c r="D64" i="17" s="1"/>
  <c r="G481" i="17"/>
  <c r="G482" i="17" s="1"/>
  <c r="G489" i="17" s="1"/>
  <c r="G97" i="17"/>
  <c r="G98" i="17" s="1"/>
  <c r="G99" i="17" s="1"/>
  <c r="G48" i="17"/>
  <c r="E141" i="17"/>
  <c r="E142" i="17" s="1"/>
  <c r="I35" i="17"/>
  <c r="F160" i="17"/>
  <c r="F161" i="17" s="1"/>
  <c r="F176" i="17"/>
  <c r="F487" i="17"/>
  <c r="F488" i="17" s="1"/>
  <c r="F105" i="17"/>
  <c r="F106" i="17" s="1"/>
  <c r="G105" i="17"/>
  <c r="G106" i="17" s="1"/>
  <c r="F57" i="17"/>
  <c r="F444" i="17"/>
  <c r="F445" i="17" s="1"/>
  <c r="F64" i="17" s="1"/>
  <c r="E35" i="17"/>
  <c r="D352" i="17"/>
  <c r="D353" i="17" s="1"/>
  <c r="Q25" i="17"/>
  <c r="E176" i="17"/>
  <c r="E160" i="17"/>
  <c r="E161" i="17" s="1"/>
  <c r="E165" i="17" s="1"/>
  <c r="H176" i="17"/>
  <c r="H160" i="17"/>
  <c r="H161" i="17" s="1"/>
  <c r="H357" i="17"/>
  <c r="Q464" i="17"/>
  <c r="R464" i="17" s="1"/>
  <c r="S464" i="17" s="1"/>
  <c r="T464" i="17" s="1"/>
  <c r="U464" i="17" s="1"/>
  <c r="V464" i="17" s="1"/>
  <c r="W464" i="17" s="1"/>
  <c r="X464" i="17" s="1"/>
  <c r="Y464" i="17" s="1"/>
  <c r="Z464" i="17" s="1"/>
  <c r="F113" i="17"/>
  <c r="F149" i="17"/>
  <c r="F150" i="17" s="1"/>
  <c r="I160" i="17"/>
  <c r="I161" i="17" s="1"/>
  <c r="I165" i="17" s="1"/>
  <c r="I176" i="17"/>
  <c r="J176" i="17"/>
  <c r="J160" i="17"/>
  <c r="J161" i="17" s="1"/>
  <c r="J165" i="17" s="1"/>
  <c r="J487" i="17"/>
  <c r="J488" i="17" s="1"/>
  <c r="J105" i="17"/>
  <c r="J106" i="17" s="1"/>
  <c r="D199" i="17"/>
  <c r="D200" i="17" s="1"/>
  <c r="R427" i="17"/>
  <c r="R423" i="17"/>
  <c r="H149" i="17"/>
  <c r="H150" i="17" s="1"/>
  <c r="I113" i="17"/>
  <c r="J352" i="17"/>
  <c r="J353" i="17" s="1"/>
  <c r="I169" i="17"/>
  <c r="I170" i="17" s="1"/>
  <c r="G160" i="17"/>
  <c r="G161" i="17" s="1"/>
  <c r="G165" i="17" s="1"/>
  <c r="G176" i="17"/>
  <c r="G344" i="17"/>
  <c r="R215" i="17"/>
  <c r="Q215" i="17"/>
  <c r="J169" i="17"/>
  <c r="J170" i="17" s="1"/>
  <c r="V235" i="17"/>
  <c r="H344" i="17"/>
  <c r="E366" i="17"/>
  <c r="D357" i="17"/>
  <c r="J113" i="17"/>
  <c r="Q217" i="17"/>
  <c r="J481" i="17"/>
  <c r="J482" i="17" s="1"/>
  <c r="J97" i="17"/>
  <c r="J98" i="17" s="1"/>
  <c r="J99" i="17" s="1"/>
  <c r="J35" i="17"/>
  <c r="I352" i="17"/>
  <c r="I353" i="17" s="1"/>
  <c r="I487" i="17"/>
  <c r="I488" i="17" s="1"/>
  <c r="I105" i="17"/>
  <c r="I106" i="17" s="1"/>
  <c r="H487" i="17"/>
  <c r="H488" i="17" s="1"/>
  <c r="H105" i="17"/>
  <c r="H106" i="17" s="1"/>
  <c r="J444" i="17"/>
  <c r="J445" i="17" s="1"/>
  <c r="J64" i="17" s="1"/>
  <c r="F481" i="17"/>
  <c r="F482" i="17" s="1"/>
  <c r="F97" i="17"/>
  <c r="F98" i="17" s="1"/>
  <c r="F99" i="17" s="1"/>
  <c r="F48" i="17"/>
  <c r="I292" i="17"/>
  <c r="I323" i="17" s="1"/>
  <c r="H323" i="17"/>
  <c r="F352" i="17"/>
  <c r="F353" i="17" s="1"/>
  <c r="G113" i="17"/>
  <c r="D393" i="17"/>
  <c r="D394" i="17" s="1"/>
  <c r="D160" i="17"/>
  <c r="D161" i="17" s="1"/>
  <c r="D165" i="17" s="1"/>
  <c r="D176" i="17"/>
  <c r="E357" i="17"/>
  <c r="I366" i="17"/>
  <c r="Q457" i="17"/>
  <c r="O259" i="16"/>
  <c r="O275" i="16"/>
  <c r="W235" i="16"/>
  <c r="R436" i="16"/>
  <c r="Q25" i="16"/>
  <c r="R25" i="16" s="1"/>
  <c r="S25" i="16" s="1"/>
  <c r="T25" i="16" s="1"/>
  <c r="U25" i="16" s="1"/>
  <c r="V25" i="16" s="1"/>
  <c r="W25" i="16" s="1"/>
  <c r="X25" i="16" s="1"/>
  <c r="Y25" i="16" s="1"/>
  <c r="Z25" i="16" s="1"/>
  <c r="Z26" i="16" s="1"/>
  <c r="Q235" i="16"/>
  <c r="R235" i="16" s="1"/>
  <c r="S235" i="16" s="1"/>
  <c r="T235" i="16" s="1"/>
  <c r="U235" i="16" s="1"/>
  <c r="X235" i="16"/>
  <c r="Q247" i="16"/>
  <c r="V235" i="16"/>
  <c r="I336" i="16"/>
  <c r="I337" i="16" s="1"/>
  <c r="H336" i="16"/>
  <c r="H337" i="16" s="1"/>
  <c r="D358" i="16"/>
  <c r="D359" i="16" s="1"/>
  <c r="D362" i="16" s="1"/>
  <c r="D352" i="16"/>
  <c r="D353" i="16" s="1"/>
  <c r="N352" i="16"/>
  <c r="N353" i="16" s="1"/>
  <c r="O57" i="16"/>
  <c r="F352" i="16"/>
  <c r="F353" i="16" s="1"/>
  <c r="F406" i="16"/>
  <c r="F392" i="16" s="1"/>
  <c r="G337" i="16"/>
  <c r="G113" i="16" s="1"/>
  <c r="L358" i="16"/>
  <c r="L359" i="16" s="1"/>
  <c r="L362" i="16" s="1"/>
  <c r="L352" i="16"/>
  <c r="L353" i="16" s="1"/>
  <c r="H352" i="16"/>
  <c r="H353" i="16" s="1"/>
  <c r="G481" i="16"/>
  <c r="G482" i="16" s="1"/>
  <c r="G97" i="16"/>
  <c r="G98" i="16" s="1"/>
  <c r="G99" i="16" s="1"/>
  <c r="G48" i="16"/>
  <c r="H57" i="16"/>
  <c r="G367" i="16"/>
  <c r="G368" i="16" s="1"/>
  <c r="G371" i="16" s="1"/>
  <c r="G352" i="16"/>
  <c r="G353" i="16" s="1"/>
  <c r="R43" i="16"/>
  <c r="S148" i="16"/>
  <c r="Q217" i="16"/>
  <c r="S176" i="16"/>
  <c r="Q216" i="16"/>
  <c r="L323" i="16"/>
  <c r="M337" i="16"/>
  <c r="F337" i="16"/>
  <c r="I200" i="16"/>
  <c r="N337" i="16"/>
  <c r="L150" i="16"/>
  <c r="G268" i="16"/>
  <c r="J268" i="16"/>
  <c r="G200" i="16"/>
  <c r="Q510" i="16"/>
  <c r="Q460" i="16"/>
  <c r="E337" i="16"/>
  <c r="N445" i="16"/>
  <c r="N64" i="16" s="1"/>
  <c r="S423" i="16"/>
  <c r="S417" i="16"/>
  <c r="T215" i="16" s="1"/>
  <c r="G445" i="16"/>
  <c r="G64" i="16" s="1"/>
  <c r="M487" i="16"/>
  <c r="M488" i="16" s="1"/>
  <c r="M105" i="16"/>
  <c r="M106" i="16" s="1"/>
  <c r="E445" i="16"/>
  <c r="E64" i="16" s="1"/>
  <c r="D445" i="16"/>
  <c r="D64" i="16" s="1"/>
  <c r="D268" i="16"/>
  <c r="F293" i="16"/>
  <c r="H268" i="16"/>
  <c r="D150" i="16"/>
  <c r="M353" i="16"/>
  <c r="I35" i="16"/>
  <c r="X176" i="16"/>
  <c r="G170" i="16"/>
  <c r="D161" i="16"/>
  <c r="D165" i="16" s="1"/>
  <c r="D176" i="16"/>
  <c r="N176" i="16"/>
  <c r="N161" i="16"/>
  <c r="N165" i="16" s="1"/>
  <c r="E170" i="16"/>
  <c r="L445" i="16"/>
  <c r="L64" i="16" s="1"/>
  <c r="E323" i="16"/>
  <c r="E191" i="16"/>
  <c r="E194" i="16" s="1"/>
  <c r="E35" i="16" s="1"/>
  <c r="J150" i="16"/>
  <c r="W176" i="16"/>
  <c r="N487" i="16"/>
  <c r="N488" i="16" s="1"/>
  <c r="N105" i="16"/>
  <c r="N106" i="16" s="1"/>
  <c r="J487" i="16"/>
  <c r="J488" i="16" s="1"/>
  <c r="J105" i="16"/>
  <c r="J106" i="16" s="1"/>
  <c r="F445" i="16"/>
  <c r="F64" i="16" s="1"/>
  <c r="Q519" i="16"/>
  <c r="Q465" i="16"/>
  <c r="O353" i="16"/>
  <c r="O487" i="16"/>
  <c r="O488" i="16" s="1"/>
  <c r="O105" i="16"/>
  <c r="O106" i="16" s="1"/>
  <c r="J337" i="16"/>
  <c r="J324" i="16"/>
  <c r="H315" i="16"/>
  <c r="J35" i="16"/>
  <c r="F150" i="16"/>
  <c r="G35" i="16"/>
  <c r="E353" i="16"/>
  <c r="D393" i="16"/>
  <c r="D394" i="16" s="1"/>
  <c r="D396" i="16" s="1"/>
  <c r="D170" i="16"/>
  <c r="L170" i="16"/>
  <c r="L161" i="16"/>
  <c r="L165" i="16" s="1"/>
  <c r="L176" i="16"/>
  <c r="E176" i="16"/>
  <c r="E161" i="16"/>
  <c r="V176" i="16"/>
  <c r="M170" i="16"/>
  <c r="S215" i="16"/>
  <c r="R215" i="16"/>
  <c r="Q215" i="16"/>
  <c r="I142" i="16"/>
  <c r="L487" i="16"/>
  <c r="L488" i="16" s="1"/>
  <c r="L105" i="16"/>
  <c r="L106" i="16" s="1"/>
  <c r="H35" i="16"/>
  <c r="J161" i="16"/>
  <c r="J176" i="16"/>
  <c r="F487" i="16"/>
  <c r="F488" i="16" s="1"/>
  <c r="F105" i="16"/>
  <c r="F106" i="16" s="1"/>
  <c r="F111" i="16" s="1"/>
  <c r="G105" i="16"/>
  <c r="G106" i="16" s="1"/>
  <c r="H445" i="16"/>
  <c r="H64" i="16" s="1"/>
  <c r="J353" i="16"/>
  <c r="L197" i="16"/>
  <c r="L199" i="16" s="1"/>
  <c r="O150" i="16"/>
  <c r="I323" i="16"/>
  <c r="H176" i="16"/>
  <c r="H161" i="16"/>
  <c r="T176" i="16"/>
  <c r="O481" i="16"/>
  <c r="O482" i="16" s="1"/>
  <c r="O97" i="16"/>
  <c r="O98" i="16" s="1"/>
  <c r="O99" i="16" s="1"/>
  <c r="M176" i="16"/>
  <c r="M161" i="16"/>
  <c r="M165" i="16" s="1"/>
  <c r="J170" i="16"/>
  <c r="O227" i="16"/>
  <c r="O48" i="16"/>
  <c r="L324" i="16"/>
  <c r="L259" i="16"/>
  <c r="D487" i="16"/>
  <c r="D488" i="16" s="1"/>
  <c r="E105" i="16"/>
  <c r="E106" i="16" s="1"/>
  <c r="D105" i="16"/>
  <c r="D106" i="16" s="1"/>
  <c r="H481" i="16"/>
  <c r="H482" i="16" s="1"/>
  <c r="H48" i="16"/>
  <c r="H97" i="16"/>
  <c r="H98" i="16" s="1"/>
  <c r="H99" i="16" s="1"/>
  <c r="N150" i="16"/>
  <c r="N170" i="16"/>
  <c r="D481" i="16"/>
  <c r="D482" i="16" s="1"/>
  <c r="D97" i="16"/>
  <c r="D98" i="16" s="1"/>
  <c r="D99" i="16" s="1"/>
  <c r="D48" i="16"/>
  <c r="O265" i="16"/>
  <c r="O267" i="16" s="1"/>
  <c r="E268" i="16"/>
  <c r="R176" i="16"/>
  <c r="H170" i="16"/>
  <c r="U176" i="16"/>
  <c r="N227" i="16"/>
  <c r="N48" i="16"/>
  <c r="N481" i="16"/>
  <c r="N482" i="16" s="1"/>
  <c r="N97" i="16"/>
  <c r="N98" i="16" s="1"/>
  <c r="N99" i="16" s="1"/>
  <c r="N345" i="16"/>
  <c r="Y176" i="16"/>
  <c r="F382" i="16"/>
  <c r="G382" i="16" s="1"/>
  <c r="H382" i="16" s="1"/>
  <c r="I382" i="16" s="1"/>
  <c r="J382" i="16" s="1"/>
  <c r="H487" i="16"/>
  <c r="H488" i="16" s="1"/>
  <c r="H105" i="16"/>
  <c r="H106" i="16" s="1"/>
  <c r="I445" i="16"/>
  <c r="I64" i="16" s="1"/>
  <c r="L337" i="16"/>
  <c r="E481" i="16"/>
  <c r="E482" i="16" s="1"/>
  <c r="E97" i="16"/>
  <c r="E98" i="16" s="1"/>
  <c r="E99" i="16" s="1"/>
  <c r="E48" i="16"/>
  <c r="I481" i="16"/>
  <c r="I482" i="16" s="1"/>
  <c r="I97" i="16"/>
  <c r="I98" i="16" s="1"/>
  <c r="I99" i="16" s="1"/>
  <c r="I48" i="16"/>
  <c r="I268" i="16"/>
  <c r="N142" i="16"/>
  <c r="J323" i="16"/>
  <c r="N191" i="16"/>
  <c r="N194" i="16" s="1"/>
  <c r="N323" i="16"/>
  <c r="E393" i="16"/>
  <c r="E394" i="16" s="1"/>
  <c r="E396" i="16" s="1"/>
  <c r="M324" i="16"/>
  <c r="M259" i="16"/>
  <c r="I170" i="16"/>
  <c r="O324" i="16"/>
  <c r="M268" i="16"/>
  <c r="M227" i="16"/>
  <c r="M48" i="16"/>
  <c r="M481" i="16"/>
  <c r="M482" i="16" s="1"/>
  <c r="M97" i="16"/>
  <c r="M98" i="16" s="1"/>
  <c r="M99" i="16" s="1"/>
  <c r="G487" i="16"/>
  <c r="G488" i="16" s="1"/>
  <c r="D337" i="16"/>
  <c r="F268" i="16"/>
  <c r="G293" i="16"/>
  <c r="O142" i="16"/>
  <c r="F142" i="16"/>
  <c r="J197" i="16"/>
  <c r="J199" i="16" s="1"/>
  <c r="H323" i="16"/>
  <c r="F197" i="16"/>
  <c r="F199" i="16" s="1"/>
  <c r="F191" i="16"/>
  <c r="F194" i="16" s="1"/>
  <c r="F35" i="16" s="1"/>
  <c r="D35" i="16"/>
  <c r="F170" i="16"/>
  <c r="G161" i="16"/>
  <c r="G165" i="16" s="1"/>
  <c r="G176" i="16"/>
  <c r="I161" i="16"/>
  <c r="I165" i="16" s="1"/>
  <c r="I176" i="16"/>
  <c r="L268" i="16"/>
  <c r="N268" i="16"/>
  <c r="L481" i="16"/>
  <c r="L482" i="16" s="1"/>
  <c r="L97" i="16"/>
  <c r="L98" i="16" s="1"/>
  <c r="L99" i="16" s="1"/>
  <c r="H367" i="16"/>
  <c r="M445" i="16"/>
  <c r="M64" i="16" s="1"/>
  <c r="O337" i="16"/>
  <c r="F176" i="16"/>
  <c r="F161" i="16"/>
  <c r="F165" i="16" s="1"/>
  <c r="I487" i="16"/>
  <c r="I488" i="16" s="1"/>
  <c r="I105" i="16"/>
  <c r="I106" i="16" s="1"/>
  <c r="F489" i="16"/>
  <c r="J445" i="16"/>
  <c r="J64" i="16" s="1"/>
  <c r="U427" i="16"/>
  <c r="E487" i="16"/>
  <c r="E488" i="16" s="1"/>
  <c r="J481" i="16"/>
  <c r="J482" i="16" s="1"/>
  <c r="J97" i="16"/>
  <c r="J98" i="16" s="1"/>
  <c r="J99" i="16" s="1"/>
  <c r="J48" i="16"/>
  <c r="M191" i="16"/>
  <c r="M194" i="16" s="1"/>
  <c r="M323" i="16"/>
  <c r="O197" i="16"/>
  <c r="O199" i="16" s="1"/>
  <c r="O191" i="16"/>
  <c r="O194" i="16" s="1"/>
  <c r="H200" i="16"/>
  <c r="D197" i="16"/>
  <c r="D199" i="16" s="1"/>
  <c r="O176" i="16"/>
  <c r="Q176" i="16"/>
  <c r="N324" i="16"/>
  <c r="N259" i="16"/>
  <c r="L227" i="16"/>
  <c r="L35" i="16" s="1"/>
  <c r="L48" i="16"/>
  <c r="F367" i="16"/>
  <c r="M47" i="17" l="1"/>
  <c r="K34" i="17"/>
  <c r="K41" i="17" s="1"/>
  <c r="O47" i="17"/>
  <c r="P47" i="17"/>
  <c r="K47" i="17"/>
  <c r="K50" i="17" s="1"/>
  <c r="M34" i="17"/>
  <c r="N34" i="17"/>
  <c r="N47" i="17"/>
  <c r="D111" i="17"/>
  <c r="G36" i="16"/>
  <c r="I489" i="17"/>
  <c r="K489" i="17"/>
  <c r="K53" i="17"/>
  <c r="Z484" i="24"/>
  <c r="Z77" i="24"/>
  <c r="Z394" i="24"/>
  <c r="D53" i="17"/>
  <c r="Y484" i="24"/>
  <c r="Y77" i="24"/>
  <c r="Y394" i="24"/>
  <c r="K46" i="17"/>
  <c r="K111" i="17"/>
  <c r="K129" i="17"/>
  <c r="D129" i="17"/>
  <c r="R238" i="17"/>
  <c r="S238" i="17" s="1"/>
  <c r="R247" i="17"/>
  <c r="S247" i="17" s="1"/>
  <c r="T247" i="17" s="1"/>
  <c r="U247" i="17" s="1"/>
  <c r="V247" i="17" s="1"/>
  <c r="W247" i="17" s="1"/>
  <c r="X247" i="17" s="1"/>
  <c r="Y247" i="17" s="1"/>
  <c r="Z247" i="17" s="1"/>
  <c r="L199" i="17"/>
  <c r="L200" i="17" s="1"/>
  <c r="V219" i="16"/>
  <c r="R434" i="16"/>
  <c r="G489" i="16"/>
  <c r="K34" i="16"/>
  <c r="K39" i="16" s="1"/>
  <c r="K47" i="16"/>
  <c r="K50" i="16" s="1"/>
  <c r="P489" i="16"/>
  <c r="P51" i="16" s="1"/>
  <c r="P34" i="16"/>
  <c r="P39" i="16" s="1"/>
  <c r="P130" i="16" s="1"/>
  <c r="P111" i="16"/>
  <c r="P47" i="16"/>
  <c r="P50" i="16" s="1"/>
  <c r="K382" i="16"/>
  <c r="L382" i="16" s="1"/>
  <c r="M382" i="16" s="1"/>
  <c r="N382" i="16" s="1"/>
  <c r="O382" i="16" s="1"/>
  <c r="P382" i="16" s="1"/>
  <c r="Q382" i="16" s="1"/>
  <c r="Q384" i="16" s="1"/>
  <c r="G111" i="16"/>
  <c r="P53" i="16"/>
  <c r="J489" i="16"/>
  <c r="J497" i="16" s="1"/>
  <c r="K53" i="16"/>
  <c r="P199" i="16"/>
  <c r="P200" i="16" s="1"/>
  <c r="P46" i="16" s="1"/>
  <c r="K111" i="16"/>
  <c r="K129" i="16"/>
  <c r="K489" i="16"/>
  <c r="G129" i="16"/>
  <c r="D489" i="16"/>
  <c r="I346" i="16"/>
  <c r="J368" i="16"/>
  <c r="J371" i="16" s="1"/>
  <c r="F393" i="16"/>
  <c r="F394" i="16" s="1"/>
  <c r="F396" i="16" s="1"/>
  <c r="H489" i="16"/>
  <c r="G53" i="16"/>
  <c r="I111" i="17"/>
  <c r="E489" i="17"/>
  <c r="E497" i="17" s="1"/>
  <c r="I293" i="17"/>
  <c r="I53" i="17" s="1"/>
  <c r="I129" i="17"/>
  <c r="G406" i="16"/>
  <c r="G392" i="16" s="1"/>
  <c r="M359" i="16"/>
  <c r="M362" i="16" s="1"/>
  <c r="J489" i="17"/>
  <c r="J51" i="17" s="1"/>
  <c r="L489" i="16"/>
  <c r="L51" i="16" s="1"/>
  <c r="M489" i="16"/>
  <c r="M497" i="16" s="1"/>
  <c r="O489" i="16"/>
  <c r="O497" i="16" s="1"/>
  <c r="E46" i="17"/>
  <c r="D267" i="17"/>
  <c r="D268" i="17" s="1"/>
  <c r="L173" i="17"/>
  <c r="L179" i="17" s="1"/>
  <c r="L34" i="17" s="1"/>
  <c r="L177" i="17"/>
  <c r="L178" i="17" s="1"/>
  <c r="L47" i="17" s="1"/>
  <c r="H46" i="17"/>
  <c r="R436" i="17"/>
  <c r="R434" i="17" s="1"/>
  <c r="Q97" i="17"/>
  <c r="Q413" i="17"/>
  <c r="Q439" i="17"/>
  <c r="R439" i="17" s="1"/>
  <c r="Q171" i="17"/>
  <c r="R171" i="17" s="1"/>
  <c r="S171" i="17" s="1"/>
  <c r="T171" i="17" s="1"/>
  <c r="U171" i="17" s="1"/>
  <c r="V171" i="17" s="1"/>
  <c r="W171" i="17" s="1"/>
  <c r="X171" i="17" s="1"/>
  <c r="Y171" i="17" s="1"/>
  <c r="Z171" i="17" s="1"/>
  <c r="Q469" i="17"/>
  <c r="R469" i="17" s="1"/>
  <c r="S469" i="17" s="1"/>
  <c r="T469" i="17" s="1"/>
  <c r="U469" i="17" s="1"/>
  <c r="V469" i="17" s="1"/>
  <c r="W469" i="17" s="1"/>
  <c r="X469" i="17" s="1"/>
  <c r="Y469" i="17" s="1"/>
  <c r="Z469" i="17" s="1"/>
  <c r="Q313" i="17"/>
  <c r="R313" i="17" s="1"/>
  <c r="Q424" i="17"/>
  <c r="R424" i="17" s="1"/>
  <c r="Q72" i="17"/>
  <c r="R72" i="17" s="1"/>
  <c r="S72" i="17" s="1"/>
  <c r="T72" i="17" s="1"/>
  <c r="U72" i="17" s="1"/>
  <c r="V72" i="17" s="1"/>
  <c r="W72" i="17" s="1"/>
  <c r="X72" i="17" s="1"/>
  <c r="Y72" i="17" s="1"/>
  <c r="Z72" i="17" s="1"/>
  <c r="Q149" i="17"/>
  <c r="R149" i="17" s="1"/>
  <c r="S149" i="17" s="1"/>
  <c r="T149" i="17" s="1"/>
  <c r="U149" i="17" s="1"/>
  <c r="V149" i="17" s="1"/>
  <c r="W149" i="17" s="1"/>
  <c r="X149" i="17" s="1"/>
  <c r="Y149" i="17" s="1"/>
  <c r="Z149" i="17" s="1"/>
  <c r="Q84" i="17"/>
  <c r="R84" i="17" s="1"/>
  <c r="S84" i="17" s="1"/>
  <c r="T84" i="17" s="1"/>
  <c r="U84" i="17" s="1"/>
  <c r="V84" i="17" s="1"/>
  <c r="W84" i="17" s="1"/>
  <c r="X84" i="17" s="1"/>
  <c r="Y84" i="17" s="1"/>
  <c r="Z84" i="17" s="1"/>
  <c r="Q419" i="17"/>
  <c r="R419" i="17" s="1"/>
  <c r="S419" i="17" s="1"/>
  <c r="T419" i="17" s="1"/>
  <c r="U419" i="17" s="1"/>
  <c r="V419" i="17" s="1"/>
  <c r="W419" i="17" s="1"/>
  <c r="X419" i="17" s="1"/>
  <c r="Y419" i="17" s="1"/>
  <c r="Q193" i="17"/>
  <c r="Q272" i="17" s="1"/>
  <c r="Q162" i="17"/>
  <c r="R162" i="17" s="1"/>
  <c r="S162" i="17" s="1"/>
  <c r="T162" i="17" s="1"/>
  <c r="U162" i="17" s="1"/>
  <c r="V162" i="17" s="1"/>
  <c r="W162" i="17" s="1"/>
  <c r="X162" i="17" s="1"/>
  <c r="Y162" i="17" s="1"/>
  <c r="Z162" i="17" s="1"/>
  <c r="Q163" i="17"/>
  <c r="R163" i="17" s="1"/>
  <c r="S163" i="17" s="1"/>
  <c r="T163" i="17" s="1"/>
  <c r="U163" i="17" s="1"/>
  <c r="V163" i="17" s="1"/>
  <c r="W163" i="17" s="1"/>
  <c r="X163" i="17" s="1"/>
  <c r="Y163" i="17" s="1"/>
  <c r="Z163" i="17" s="1"/>
  <c r="Q409" i="17"/>
  <c r="R409" i="17" s="1"/>
  <c r="Q28" i="17"/>
  <c r="R28" i="17" s="1"/>
  <c r="S28" i="17" s="1"/>
  <c r="T28" i="17" s="1"/>
  <c r="U28" i="17" s="1"/>
  <c r="V28" i="17" s="1"/>
  <c r="W28" i="17" s="1"/>
  <c r="X28" i="17" s="1"/>
  <c r="Y28" i="17" s="1"/>
  <c r="Z28" i="17" s="1"/>
  <c r="Q75" i="17"/>
  <c r="R75" i="17" s="1"/>
  <c r="Q216" i="17"/>
  <c r="Q218" i="17" s="1"/>
  <c r="Q114" i="17" s="1"/>
  <c r="Q418" i="17"/>
  <c r="R216" i="17" s="1"/>
  <c r="Q432" i="17"/>
  <c r="Q465" i="17"/>
  <c r="Q120" i="17" s="1"/>
  <c r="E173" i="17"/>
  <c r="E179" i="17" s="1"/>
  <c r="E177" i="17"/>
  <c r="E178" i="17" s="1"/>
  <c r="E47" i="17" s="1"/>
  <c r="F362" i="17"/>
  <c r="F363" i="17" s="1"/>
  <c r="J129" i="17"/>
  <c r="J111" i="17"/>
  <c r="H165" i="17"/>
  <c r="F371" i="17"/>
  <c r="F372" i="17" s="1"/>
  <c r="J371" i="17"/>
  <c r="J372" i="17" s="1"/>
  <c r="H36" i="17"/>
  <c r="H113" i="17"/>
  <c r="H129" i="17" s="1"/>
  <c r="F129" i="17"/>
  <c r="F111" i="17"/>
  <c r="F165" i="17"/>
  <c r="D371" i="17"/>
  <c r="D372" i="17" s="1"/>
  <c r="I497" i="17"/>
  <c r="I51" i="17"/>
  <c r="H173" i="17"/>
  <c r="H179" i="17" s="1"/>
  <c r="H177" i="17"/>
  <c r="H178" i="17" s="1"/>
  <c r="H47" i="17" s="1"/>
  <c r="G367" i="17"/>
  <c r="G368" i="17" s="1"/>
  <c r="E392" i="17"/>
  <c r="F406" i="17"/>
  <c r="E393" i="17"/>
  <c r="Q508" i="17"/>
  <c r="F323" i="17"/>
  <c r="F53" i="17"/>
  <c r="H345" i="17"/>
  <c r="H346" i="17" s="1"/>
  <c r="Q26" i="17"/>
  <c r="R25" i="17"/>
  <c r="G111" i="17"/>
  <c r="G129" i="17"/>
  <c r="Q510" i="17"/>
  <c r="Q460" i="17"/>
  <c r="R457" i="17"/>
  <c r="D177" i="17"/>
  <c r="D178" i="17" s="1"/>
  <c r="D47" i="17" s="1"/>
  <c r="D173" i="17"/>
  <c r="D179" i="17" s="1"/>
  <c r="I367" i="17"/>
  <c r="I368" i="17" s="1"/>
  <c r="R508" i="17"/>
  <c r="T253" i="17"/>
  <c r="H53" i="17"/>
  <c r="E358" i="17"/>
  <c r="E359" i="17" s="1"/>
  <c r="F489" i="17"/>
  <c r="I46" i="17"/>
  <c r="G358" i="17"/>
  <c r="G359" i="17" s="1"/>
  <c r="R483" i="17"/>
  <c r="S417" i="17"/>
  <c r="F177" i="17"/>
  <c r="F178" i="17" s="1"/>
  <c r="F47" i="17" s="1"/>
  <c r="F173" i="17"/>
  <c r="F179" i="17" s="1"/>
  <c r="H111" i="17"/>
  <c r="Q444" i="17"/>
  <c r="D396" i="17"/>
  <c r="D397" i="17" s="1"/>
  <c r="E367" i="17"/>
  <c r="E368" i="17" s="1"/>
  <c r="G345" i="17"/>
  <c r="G346" i="17" s="1"/>
  <c r="D497" i="17"/>
  <c r="D51" i="17"/>
  <c r="I173" i="17"/>
  <c r="I179" i="17" s="1"/>
  <c r="I177" i="17"/>
  <c r="I178" i="17" s="1"/>
  <c r="I47" i="17" s="1"/>
  <c r="S423" i="17"/>
  <c r="H367" i="17"/>
  <c r="H368" i="17" s="1"/>
  <c r="D46" i="17"/>
  <c r="H489" i="17"/>
  <c r="I362" i="17"/>
  <c r="I363" i="17" s="1"/>
  <c r="J177" i="17"/>
  <c r="J178" i="17" s="1"/>
  <c r="J47" i="17" s="1"/>
  <c r="J173" i="17"/>
  <c r="J179" i="17" s="1"/>
  <c r="S427" i="17"/>
  <c r="S219" i="17"/>
  <c r="G497" i="17"/>
  <c r="G51" i="17"/>
  <c r="G173" i="17"/>
  <c r="G179" i="17" s="1"/>
  <c r="G177" i="17"/>
  <c r="G178" i="17" s="1"/>
  <c r="G47" i="17" s="1"/>
  <c r="H358" i="17"/>
  <c r="H359" i="17" s="1"/>
  <c r="Q483" i="17"/>
  <c r="J358" i="17"/>
  <c r="J359" i="17" s="1"/>
  <c r="J199" i="17"/>
  <c r="J200" i="17" s="1"/>
  <c r="J46" i="17" s="1"/>
  <c r="D358" i="17"/>
  <c r="D359" i="17" s="1"/>
  <c r="F199" i="17"/>
  <c r="F200" i="17" s="1"/>
  <c r="F46" i="17" s="1"/>
  <c r="E129" i="17"/>
  <c r="E111" i="17"/>
  <c r="E345" i="17"/>
  <c r="E346" i="17" s="1"/>
  <c r="E53" i="17"/>
  <c r="G197" i="17"/>
  <c r="G53" i="17" s="1"/>
  <c r="R519" i="17"/>
  <c r="R465" i="17"/>
  <c r="S463" i="17"/>
  <c r="T468" i="17"/>
  <c r="R247" i="16"/>
  <c r="R246" i="16" s="1"/>
  <c r="Q246" i="16"/>
  <c r="S436" i="16"/>
  <c r="I177" i="16"/>
  <c r="I178" i="16" s="1"/>
  <c r="I47" i="16" s="1"/>
  <c r="I50" i="16" s="1"/>
  <c r="L177" i="16"/>
  <c r="L178" i="16" s="1"/>
  <c r="L47" i="16" s="1"/>
  <c r="F359" i="16"/>
  <c r="F362" i="16" s="1"/>
  <c r="Q163" i="16"/>
  <c r="R163" i="16" s="1"/>
  <c r="N368" i="16"/>
  <c r="N371" i="16" s="1"/>
  <c r="H177" i="16"/>
  <c r="H178" i="16" s="1"/>
  <c r="H47" i="16" s="1"/>
  <c r="J346" i="16"/>
  <c r="D177" i="16"/>
  <c r="D178" i="16" s="1"/>
  <c r="D47" i="16" s="1"/>
  <c r="D50" i="16" s="1"/>
  <c r="H359" i="16"/>
  <c r="H362" i="16" s="1"/>
  <c r="I36" i="16"/>
  <c r="I113" i="16"/>
  <c r="H36" i="16"/>
  <c r="H113" i="16"/>
  <c r="M177" i="16"/>
  <c r="M178" i="16" s="1"/>
  <c r="M47" i="16" s="1"/>
  <c r="F177" i="16"/>
  <c r="F178" i="16" s="1"/>
  <c r="F47" i="16" s="1"/>
  <c r="E177" i="16"/>
  <c r="E178" i="16" s="1"/>
  <c r="E47" i="16" s="1"/>
  <c r="E50" i="16" s="1"/>
  <c r="G177" i="16"/>
  <c r="G178" i="16" s="1"/>
  <c r="G47" i="16" s="1"/>
  <c r="J177" i="16"/>
  <c r="J178" i="16" s="1"/>
  <c r="J47" i="16" s="1"/>
  <c r="N489" i="16"/>
  <c r="N497" i="16" s="1"/>
  <c r="N177" i="16"/>
  <c r="N178" i="16" s="1"/>
  <c r="N47" i="16" s="1"/>
  <c r="Q72" i="16"/>
  <c r="R72" i="16" s="1"/>
  <c r="Q171" i="16"/>
  <c r="R171" i="16" s="1"/>
  <c r="Q120" i="16"/>
  <c r="Q162" i="16"/>
  <c r="R162" i="16" s="1"/>
  <c r="S43" i="16"/>
  <c r="T148" i="16"/>
  <c r="O35" i="16"/>
  <c r="Q26" i="16"/>
  <c r="Q419" i="16"/>
  <c r="R419" i="16" s="1"/>
  <c r="Q413" i="16"/>
  <c r="Q516" i="16" s="1"/>
  <c r="Q149" i="16"/>
  <c r="R149" i="16" s="1"/>
  <c r="Q469" i="16"/>
  <c r="Q470" i="16" s="1"/>
  <c r="Q418" i="16"/>
  <c r="R216" i="16" s="1"/>
  <c r="N35" i="16"/>
  <c r="Q424" i="16"/>
  <c r="R424" i="16" s="1"/>
  <c r="M197" i="16"/>
  <c r="M199" i="16" s="1"/>
  <c r="Q332" i="16"/>
  <c r="R332" i="16" s="1"/>
  <c r="Q28" i="16"/>
  <c r="R28" i="16" s="1"/>
  <c r="Q439" i="16"/>
  <c r="Q409" i="16"/>
  <c r="Q515" i="16" s="1"/>
  <c r="R483" i="16"/>
  <c r="O170" i="16"/>
  <c r="M35" i="16"/>
  <c r="N197" i="16"/>
  <c r="N199" i="16" s="1"/>
  <c r="D363" i="16"/>
  <c r="F397" i="16"/>
  <c r="N173" i="16"/>
  <c r="N179" i="16" s="1"/>
  <c r="J36" i="16"/>
  <c r="J113" i="16"/>
  <c r="J129" i="16" s="1"/>
  <c r="E397" i="16"/>
  <c r="G173" i="16"/>
  <c r="G179" i="16" s="1"/>
  <c r="F173" i="16"/>
  <c r="F179" i="16" s="1"/>
  <c r="J165" i="16"/>
  <c r="O36" i="16"/>
  <c r="O113" i="16"/>
  <c r="O129" i="16" s="1"/>
  <c r="D36" i="16"/>
  <c r="D113" i="16"/>
  <c r="D129" i="16" s="1"/>
  <c r="G497" i="16"/>
  <c r="G51" i="16"/>
  <c r="E165" i="16"/>
  <c r="E173" i="16"/>
  <c r="E179" i="16" s="1"/>
  <c r="N363" i="16"/>
  <c r="L111" i="16"/>
  <c r="H165" i="16"/>
  <c r="G372" i="16"/>
  <c r="L53" i="16"/>
  <c r="V427" i="16"/>
  <c r="M368" i="16"/>
  <c r="M371" i="16" s="1"/>
  <c r="I173" i="16"/>
  <c r="I179" i="16" s="1"/>
  <c r="I53" i="16"/>
  <c r="N111" i="16"/>
  <c r="F368" i="16"/>
  <c r="F371" i="16" s="1"/>
  <c r="M111" i="16"/>
  <c r="L368" i="16"/>
  <c r="L371" i="16" s="1"/>
  <c r="I129" i="16"/>
  <c r="I111" i="16"/>
  <c r="E359" i="16"/>
  <c r="E362" i="16" s="1"/>
  <c r="J111" i="16"/>
  <c r="O161" i="16"/>
  <c r="O165" i="16" s="1"/>
  <c r="M346" i="16"/>
  <c r="I489" i="16"/>
  <c r="G323" i="16"/>
  <c r="L200" i="16"/>
  <c r="L46" i="16" s="1"/>
  <c r="M173" i="16"/>
  <c r="M179" i="16" s="1"/>
  <c r="D173" i="16"/>
  <c r="D179" i="16" s="1"/>
  <c r="Q193" i="16"/>
  <c r="N36" i="16"/>
  <c r="N113" i="16"/>
  <c r="N129" i="16" s="1"/>
  <c r="F497" i="16"/>
  <c r="F51" i="16"/>
  <c r="L36" i="16"/>
  <c r="L113" i="16"/>
  <c r="L129" i="16" s="1"/>
  <c r="J173" i="16"/>
  <c r="J179" i="16" s="1"/>
  <c r="L173" i="16"/>
  <c r="L179" i="16" s="1"/>
  <c r="O323" i="16"/>
  <c r="F323" i="16"/>
  <c r="I359" i="16"/>
  <c r="I362" i="16" s="1"/>
  <c r="S508" i="16"/>
  <c r="O445" i="16"/>
  <c r="O64" i="16" s="1"/>
  <c r="O368" i="16"/>
  <c r="O371" i="16" s="1"/>
  <c r="H46" i="16"/>
  <c r="Q508" i="16"/>
  <c r="Q218" i="16"/>
  <c r="Q114" i="16" s="1"/>
  <c r="Q483" i="16"/>
  <c r="G46" i="16"/>
  <c r="E197" i="16"/>
  <c r="E199" i="16" s="1"/>
  <c r="Q84" i="16"/>
  <c r="R84" i="16" s="1"/>
  <c r="Q313" i="16"/>
  <c r="T417" i="16"/>
  <c r="Q160" i="16"/>
  <c r="H368" i="16"/>
  <c r="H371" i="16" s="1"/>
  <c r="E111" i="16"/>
  <c r="E368" i="16"/>
  <c r="E371" i="16" s="1"/>
  <c r="D53" i="16"/>
  <c r="Q444" i="16"/>
  <c r="F346" i="16"/>
  <c r="H346" i="16"/>
  <c r="G359" i="16"/>
  <c r="G362" i="16" s="1"/>
  <c r="E36" i="16"/>
  <c r="E113" i="16"/>
  <c r="E129" i="16" s="1"/>
  <c r="R510" i="16"/>
  <c r="R460" i="16"/>
  <c r="F36" i="16"/>
  <c r="F113" i="16"/>
  <c r="F129" i="16" s="1"/>
  <c r="I368" i="16"/>
  <c r="I371" i="16" s="1"/>
  <c r="D368" i="16"/>
  <c r="D371" i="16" s="1"/>
  <c r="D200" i="16"/>
  <c r="D46" i="16" s="1"/>
  <c r="J359" i="16"/>
  <c r="J362" i="16" s="1"/>
  <c r="F200" i="16"/>
  <c r="F46" i="16" s="1"/>
  <c r="F53" i="16"/>
  <c r="E489" i="16"/>
  <c r="N346" i="16"/>
  <c r="D111" i="16"/>
  <c r="H129" i="16"/>
  <c r="H111" i="16"/>
  <c r="D346" i="16"/>
  <c r="O111" i="16"/>
  <c r="O346" i="16"/>
  <c r="R508" i="16"/>
  <c r="R519" i="16"/>
  <c r="R465" i="16"/>
  <c r="R120" i="16" s="1"/>
  <c r="T423" i="16"/>
  <c r="Q118" i="16"/>
  <c r="E346" i="16"/>
  <c r="Q290" i="16"/>
  <c r="H173" i="16"/>
  <c r="H179" i="16" s="1"/>
  <c r="D497" i="16"/>
  <c r="D51" i="16"/>
  <c r="H53" i="16"/>
  <c r="D397" i="16"/>
  <c r="L363" i="16"/>
  <c r="M36" i="16"/>
  <c r="M113" i="16"/>
  <c r="M129" i="16" s="1"/>
  <c r="R26" i="16"/>
  <c r="J53" i="16"/>
  <c r="J200" i="16"/>
  <c r="J46" i="16" s="1"/>
  <c r="L346" i="16"/>
  <c r="O53" i="16"/>
  <c r="H497" i="16"/>
  <c r="H51" i="16"/>
  <c r="G346" i="16"/>
  <c r="I46" i="16"/>
  <c r="Q75" i="16"/>
  <c r="K39" i="17" l="1"/>
  <c r="K130" i="17" s="1"/>
  <c r="K49" i="17"/>
  <c r="K52" i="17" s="1"/>
  <c r="R439" i="16"/>
  <c r="R543" i="16" s="1"/>
  <c r="Q543" i="16"/>
  <c r="K42" i="17"/>
  <c r="K45" i="17"/>
  <c r="K51" i="17"/>
  <c r="K497" i="17"/>
  <c r="Y246" i="17"/>
  <c r="Y97" i="17" s="1"/>
  <c r="R290" i="17"/>
  <c r="R246" i="17"/>
  <c r="R481" i="17" s="1"/>
  <c r="W246" i="17"/>
  <c r="W481" i="17" s="1"/>
  <c r="U246" i="17"/>
  <c r="U97" i="17" s="1"/>
  <c r="X246" i="17"/>
  <c r="X481" i="17" s="1"/>
  <c r="V246" i="17"/>
  <c r="V97" i="17" s="1"/>
  <c r="S246" i="17"/>
  <c r="S97" i="17" s="1"/>
  <c r="Z246" i="17"/>
  <c r="Z481" i="17" s="1"/>
  <c r="T246" i="17"/>
  <c r="T481" i="17" s="1"/>
  <c r="Z419" i="17"/>
  <c r="Z217" i="17"/>
  <c r="W219" i="16"/>
  <c r="S434" i="16"/>
  <c r="J51" i="16"/>
  <c r="P41" i="16"/>
  <c r="P42" i="16" s="1"/>
  <c r="P497" i="16"/>
  <c r="K41" i="16"/>
  <c r="K42" i="16" s="1"/>
  <c r="K49" i="16"/>
  <c r="K52" i="16" s="1"/>
  <c r="P49" i="16"/>
  <c r="K130" i="16"/>
  <c r="G393" i="16"/>
  <c r="H406" i="16"/>
  <c r="H393" i="16" s="1"/>
  <c r="K51" i="16"/>
  <c r="K497" i="16"/>
  <c r="J372" i="16"/>
  <c r="M363" i="16"/>
  <c r="J497" i="17"/>
  <c r="L497" i="16"/>
  <c r="E51" i="17"/>
  <c r="O51" i="16"/>
  <c r="M51" i="16"/>
  <c r="Q391" i="16"/>
  <c r="E394" i="17"/>
  <c r="E63" i="17" s="1"/>
  <c r="E65" i="17" s="1"/>
  <c r="S436" i="17"/>
  <c r="S434" i="17" s="1"/>
  <c r="Q515" i="17"/>
  <c r="Q410" i="17"/>
  <c r="Q124" i="17" s="1"/>
  <c r="U217" i="17"/>
  <c r="Y217" i="17"/>
  <c r="T217" i="17"/>
  <c r="R217" i="17"/>
  <c r="R218" i="17" s="1"/>
  <c r="R114" i="17" s="1"/>
  <c r="S217" i="17"/>
  <c r="W217" i="17"/>
  <c r="X217" i="17"/>
  <c r="Q449" i="17"/>
  <c r="Q517" i="17" s="1"/>
  <c r="Q107" i="17"/>
  <c r="Q494" i="17" s="1"/>
  <c r="Q502" i="17" s="1"/>
  <c r="Q414" i="17"/>
  <c r="Q125" i="17" s="1"/>
  <c r="R413" i="17"/>
  <c r="S413" i="17" s="1"/>
  <c r="Q516" i="17"/>
  <c r="Q172" i="17"/>
  <c r="R172" i="17" s="1"/>
  <c r="S172" i="17" s="1"/>
  <c r="T172" i="17" s="1"/>
  <c r="U172" i="17" s="1"/>
  <c r="V172" i="17" s="1"/>
  <c r="W172" i="17" s="1"/>
  <c r="X172" i="17" s="1"/>
  <c r="Y172" i="17" s="1"/>
  <c r="Z172" i="17" s="1"/>
  <c r="Q145" i="17"/>
  <c r="R145" i="17" s="1"/>
  <c r="R418" i="17"/>
  <c r="S418" i="17" s="1"/>
  <c r="S420" i="17" s="1"/>
  <c r="S470" i="17"/>
  <c r="R470" i="17"/>
  <c r="Q470" i="17"/>
  <c r="Q471" i="17" s="1"/>
  <c r="Q420" i="17"/>
  <c r="Q100" i="17" s="1"/>
  <c r="Q164" i="17"/>
  <c r="R164" i="17" s="1"/>
  <c r="S164" i="17" s="1"/>
  <c r="T164" i="17" s="1"/>
  <c r="U164" i="17" s="1"/>
  <c r="V164" i="17" s="1"/>
  <c r="W164" i="17" s="1"/>
  <c r="X164" i="17" s="1"/>
  <c r="Y164" i="17" s="1"/>
  <c r="Z164" i="17" s="1"/>
  <c r="R193" i="17"/>
  <c r="R272" i="17" s="1"/>
  <c r="V217" i="17"/>
  <c r="Q202" i="17"/>
  <c r="E34" i="17"/>
  <c r="E39" i="17" s="1"/>
  <c r="E130" i="17" s="1"/>
  <c r="R120" i="17"/>
  <c r="F34" i="17"/>
  <c r="F39" i="17" s="1"/>
  <c r="F130" i="17" s="1"/>
  <c r="E50" i="17"/>
  <c r="E49" i="17"/>
  <c r="E52" i="17" s="1"/>
  <c r="G371" i="17"/>
  <c r="G372" i="17" s="1"/>
  <c r="H50" i="17"/>
  <c r="H49" i="17"/>
  <c r="H52" i="17" s="1"/>
  <c r="D362" i="17"/>
  <c r="D363" i="17" s="1"/>
  <c r="D56" i="17" s="1"/>
  <c r="D58" i="17" s="1"/>
  <c r="D63" i="17"/>
  <c r="D65" i="17" s="1"/>
  <c r="E371" i="17"/>
  <c r="E372" i="17" s="1"/>
  <c r="H371" i="17"/>
  <c r="H372" i="17" s="1"/>
  <c r="I50" i="17"/>
  <c r="I49" i="17"/>
  <c r="I52" i="17" s="1"/>
  <c r="G50" i="17"/>
  <c r="G49" i="17"/>
  <c r="G52" i="17" s="1"/>
  <c r="F50" i="17"/>
  <c r="F49" i="17"/>
  <c r="F52" i="17" s="1"/>
  <c r="J50" i="17"/>
  <c r="J49" i="17"/>
  <c r="J52" i="17" s="1"/>
  <c r="Q203" i="17"/>
  <c r="T423" i="17"/>
  <c r="F392" i="17"/>
  <c r="F393" i="17"/>
  <c r="G406" i="17"/>
  <c r="H497" i="17"/>
  <c r="H51" i="17"/>
  <c r="S483" i="17"/>
  <c r="T417" i="17"/>
  <c r="T215" i="17"/>
  <c r="G362" i="17"/>
  <c r="G363" i="17" s="1"/>
  <c r="F497" i="17"/>
  <c r="F51" i="17"/>
  <c r="I371" i="17"/>
  <c r="I372" i="17" s="1"/>
  <c r="U253" i="17"/>
  <c r="I34" i="17"/>
  <c r="S465" i="17"/>
  <c r="S120" i="17" s="1"/>
  <c r="T463" i="17"/>
  <c r="S519" i="17"/>
  <c r="S75" i="17"/>
  <c r="G199" i="17"/>
  <c r="G200" i="17" s="1"/>
  <c r="G46" i="17" s="1"/>
  <c r="D34" i="17"/>
  <c r="S290" i="17"/>
  <c r="T238" i="17"/>
  <c r="R510" i="17"/>
  <c r="R460" i="17"/>
  <c r="S457" i="17"/>
  <c r="G34" i="17"/>
  <c r="J34" i="17"/>
  <c r="S424" i="17"/>
  <c r="T427" i="17"/>
  <c r="T219" i="17"/>
  <c r="Q118" i="17"/>
  <c r="D50" i="17"/>
  <c r="D49" i="17"/>
  <c r="D52" i="17" s="1"/>
  <c r="S313" i="17"/>
  <c r="T470" i="17"/>
  <c r="U468" i="17"/>
  <c r="J362" i="17"/>
  <c r="J363" i="17" s="1"/>
  <c r="H362" i="17"/>
  <c r="H363" i="17" s="1"/>
  <c r="R432" i="17"/>
  <c r="Q105" i="17"/>
  <c r="E362" i="17"/>
  <c r="E363" i="17" s="1"/>
  <c r="R26" i="17"/>
  <c r="S25" i="17"/>
  <c r="H34" i="17"/>
  <c r="S439" i="17"/>
  <c r="R107" i="17"/>
  <c r="Q487" i="17"/>
  <c r="R444" i="17"/>
  <c r="S508" i="17"/>
  <c r="R515" i="17"/>
  <c r="S409" i="17"/>
  <c r="N372" i="16"/>
  <c r="F363" i="16"/>
  <c r="Q203" i="16"/>
  <c r="R203" i="16" s="1"/>
  <c r="S247" i="16"/>
  <c r="Q199" i="16"/>
  <c r="R199" i="16" s="1"/>
  <c r="S199" i="16" s="1"/>
  <c r="T199" i="16" s="1"/>
  <c r="U199" i="16" s="1"/>
  <c r="V199" i="16" s="1"/>
  <c r="W199" i="16" s="1"/>
  <c r="X199" i="16" s="1"/>
  <c r="Y199" i="16" s="1"/>
  <c r="Z199" i="16" s="1"/>
  <c r="T436" i="16"/>
  <c r="N51" i="16"/>
  <c r="H363" i="16"/>
  <c r="R418" i="16"/>
  <c r="R420" i="16" s="1"/>
  <c r="O177" i="16"/>
  <c r="E53" i="16"/>
  <c r="S419" i="16"/>
  <c r="T419" i="16" s="1"/>
  <c r="U419" i="16" s="1"/>
  <c r="V419" i="16" s="1"/>
  <c r="W419" i="16" s="1"/>
  <c r="X419" i="16" s="1"/>
  <c r="Y419" i="16" s="1"/>
  <c r="S84" i="16"/>
  <c r="T84" i="16" s="1"/>
  <c r="U84" i="16" s="1"/>
  <c r="V84" i="16" s="1"/>
  <c r="W84" i="16" s="1"/>
  <c r="X84" i="16" s="1"/>
  <c r="Y84" i="16" s="1"/>
  <c r="Z84" i="16" s="1"/>
  <c r="Q414" i="16"/>
  <c r="Q125" i="16" s="1"/>
  <c r="R413" i="16"/>
  <c r="S413" i="16" s="1"/>
  <c r="N53" i="16"/>
  <c r="N200" i="16"/>
  <c r="N46" i="16" s="1"/>
  <c r="Q471" i="16"/>
  <c r="M200" i="16"/>
  <c r="M46" i="16" s="1"/>
  <c r="Q420" i="16"/>
  <c r="Q100" i="16" s="1"/>
  <c r="S28" i="16"/>
  <c r="T28" i="16" s="1"/>
  <c r="U28" i="16" s="1"/>
  <c r="V28" i="16" s="1"/>
  <c r="W28" i="16" s="1"/>
  <c r="X28" i="16" s="1"/>
  <c r="Y28" i="16" s="1"/>
  <c r="Z28" i="16" s="1"/>
  <c r="R217" i="16"/>
  <c r="S162" i="16"/>
  <c r="T162" i="16" s="1"/>
  <c r="U162" i="16" s="1"/>
  <c r="V162" i="16" s="1"/>
  <c r="W162" i="16" s="1"/>
  <c r="X162" i="16" s="1"/>
  <c r="Y162" i="16" s="1"/>
  <c r="Z162" i="16" s="1"/>
  <c r="S163" i="16"/>
  <c r="T163" i="16" s="1"/>
  <c r="U163" i="16" s="1"/>
  <c r="V163" i="16" s="1"/>
  <c r="W163" i="16" s="1"/>
  <c r="X163" i="16" s="1"/>
  <c r="Y163" i="16" s="1"/>
  <c r="Z163" i="16" s="1"/>
  <c r="O173" i="16"/>
  <c r="O179" i="16" s="1"/>
  <c r="Q333" i="16"/>
  <c r="Q507" i="16" s="1"/>
  <c r="R469" i="16"/>
  <c r="S469" i="16" s="1"/>
  <c r="T469" i="16" s="1"/>
  <c r="U469" i="16" s="1"/>
  <c r="V469" i="16" s="1"/>
  <c r="W469" i="16" s="1"/>
  <c r="X469" i="16" s="1"/>
  <c r="Y469" i="16" s="1"/>
  <c r="Z469" i="16" s="1"/>
  <c r="Z470" i="16" s="1"/>
  <c r="S149" i="16"/>
  <c r="T149" i="16" s="1"/>
  <c r="U149" i="16" s="1"/>
  <c r="V149" i="16" s="1"/>
  <c r="W149" i="16" s="1"/>
  <c r="X149" i="16" s="1"/>
  <c r="Y149" i="16" s="1"/>
  <c r="Z149" i="16" s="1"/>
  <c r="S171" i="16"/>
  <c r="T171" i="16" s="1"/>
  <c r="U171" i="16" s="1"/>
  <c r="V171" i="16" s="1"/>
  <c r="W171" i="16" s="1"/>
  <c r="X171" i="16" s="1"/>
  <c r="Y171" i="16" s="1"/>
  <c r="Z171" i="16" s="1"/>
  <c r="U148" i="16"/>
  <c r="T43" i="16"/>
  <c r="S72" i="16"/>
  <c r="T72" i="16" s="1"/>
  <c r="U72" i="16" s="1"/>
  <c r="V72" i="16" s="1"/>
  <c r="W72" i="16" s="1"/>
  <c r="X72" i="16" s="1"/>
  <c r="Y72" i="16" s="1"/>
  <c r="Z72" i="16" s="1"/>
  <c r="Q107" i="16"/>
  <c r="Q494" i="16" s="1"/>
  <c r="Q502" i="16" s="1"/>
  <c r="S217" i="16"/>
  <c r="M53" i="16"/>
  <c r="F63" i="16"/>
  <c r="F65" i="16" s="1"/>
  <c r="Q202" i="16"/>
  <c r="R202" i="16" s="1"/>
  <c r="Q514" i="16"/>
  <c r="Q123" i="16"/>
  <c r="Q164" i="16"/>
  <c r="R164" i="16" s="1"/>
  <c r="G34" i="16"/>
  <c r="G41" i="16" s="1"/>
  <c r="G42" i="16" s="1"/>
  <c r="D63" i="16"/>
  <c r="D65" i="16" s="1"/>
  <c r="Q410" i="16"/>
  <c r="Q449" i="16"/>
  <c r="Q517" i="16" s="1"/>
  <c r="R409" i="16"/>
  <c r="R515" i="16" s="1"/>
  <c r="Q172" i="16"/>
  <c r="R172" i="16" s="1"/>
  <c r="J34" i="16"/>
  <c r="J41" i="16" s="1"/>
  <c r="J42" i="16" s="1"/>
  <c r="E63" i="16"/>
  <c r="E65" i="16" s="1"/>
  <c r="E49" i="16"/>
  <c r="E52" i="16" s="1"/>
  <c r="G49" i="16"/>
  <c r="G52" i="16" s="1"/>
  <c r="G50" i="16"/>
  <c r="N50" i="16"/>
  <c r="N49" i="16"/>
  <c r="H50" i="16"/>
  <c r="H49" i="16"/>
  <c r="H52" i="16" s="1"/>
  <c r="I372" i="16"/>
  <c r="F372" i="16"/>
  <c r="F49" i="16"/>
  <c r="F52" i="16" s="1"/>
  <c r="F50" i="16"/>
  <c r="L50" i="16"/>
  <c r="L49" i="16"/>
  <c r="L52" i="16" s="1"/>
  <c r="G363" i="16"/>
  <c r="M50" i="16"/>
  <c r="M49" i="16"/>
  <c r="I363" i="16"/>
  <c r="L372" i="16"/>
  <c r="J50" i="16"/>
  <c r="J49" i="16"/>
  <c r="J52" i="16" s="1"/>
  <c r="J363" i="16"/>
  <c r="S510" i="16"/>
  <c r="S460" i="16"/>
  <c r="R290" i="16"/>
  <c r="R118" i="16"/>
  <c r="R313" i="16"/>
  <c r="O372" i="16"/>
  <c r="S424" i="16"/>
  <c r="M34" i="16"/>
  <c r="L34" i="16"/>
  <c r="E372" i="16"/>
  <c r="M372" i="16"/>
  <c r="U423" i="16"/>
  <c r="R193" i="16"/>
  <c r="Q272" i="16"/>
  <c r="F34" i="16"/>
  <c r="N34" i="16"/>
  <c r="O200" i="16"/>
  <c r="S519" i="16"/>
  <c r="S465" i="16"/>
  <c r="S120" i="16" s="1"/>
  <c r="S332" i="16"/>
  <c r="R123" i="16"/>
  <c r="R514" i="16"/>
  <c r="R333" i="16"/>
  <c r="Q352" i="16"/>
  <c r="R444" i="16"/>
  <c r="E200" i="16"/>
  <c r="E46" i="16" s="1"/>
  <c r="O268" i="16"/>
  <c r="E34" i="16"/>
  <c r="D372" i="16"/>
  <c r="D56" i="16" s="1"/>
  <c r="D58" i="16" s="1"/>
  <c r="D61" i="16" s="1"/>
  <c r="Q477" i="16"/>
  <c r="R160" i="16"/>
  <c r="Q161" i="16"/>
  <c r="E363" i="16"/>
  <c r="I49" i="16"/>
  <c r="I52" i="16" s="1"/>
  <c r="R382" i="16"/>
  <c r="R384" i="16" s="1"/>
  <c r="Q481" i="16"/>
  <c r="Q97" i="16"/>
  <c r="U417" i="16"/>
  <c r="U215" i="16"/>
  <c r="H392" i="16"/>
  <c r="I406" i="16"/>
  <c r="I497" i="16"/>
  <c r="I51" i="16"/>
  <c r="H372" i="16"/>
  <c r="W427" i="16"/>
  <c r="S26" i="16"/>
  <c r="E497" i="16"/>
  <c r="E51" i="16"/>
  <c r="D49" i="16"/>
  <c r="D52" i="16" s="1"/>
  <c r="R481" i="16"/>
  <c r="R97" i="16"/>
  <c r="S483" i="16"/>
  <c r="G394" i="16"/>
  <c r="G396" i="16" s="1"/>
  <c r="Q432" i="16"/>
  <c r="H34" i="16"/>
  <c r="R75" i="16"/>
  <c r="Q145" i="16"/>
  <c r="O359" i="16"/>
  <c r="O362" i="16" s="1"/>
  <c r="D34" i="16"/>
  <c r="I34" i="16"/>
  <c r="R107" i="16" l="1"/>
  <c r="R494" i="16" s="1"/>
  <c r="R502" i="16" s="1"/>
  <c r="S439" i="16"/>
  <c r="S543" i="16" s="1"/>
  <c r="E396" i="17"/>
  <c r="E397" i="17" s="1"/>
  <c r="V481" i="17"/>
  <c r="R97" i="17"/>
  <c r="Y481" i="17"/>
  <c r="S481" i="17"/>
  <c r="W97" i="17"/>
  <c r="U481" i="17"/>
  <c r="X97" i="17"/>
  <c r="T97" i="17"/>
  <c r="X219" i="16"/>
  <c r="Z97" i="17"/>
  <c r="T434" i="16"/>
  <c r="K45" i="16"/>
  <c r="P45" i="16"/>
  <c r="Z419" i="16"/>
  <c r="Z217" i="16"/>
  <c r="N52" i="16"/>
  <c r="P52" i="16"/>
  <c r="M52" i="16"/>
  <c r="F394" i="17"/>
  <c r="F396" i="17" s="1"/>
  <c r="F397" i="17" s="1"/>
  <c r="F56" i="17" s="1"/>
  <c r="F58" i="17" s="1"/>
  <c r="R391" i="16"/>
  <c r="T436" i="17"/>
  <c r="T434" i="17" s="1"/>
  <c r="R410" i="17"/>
  <c r="R124" i="17" s="1"/>
  <c r="R414" i="17"/>
  <c r="R125" i="17" s="1"/>
  <c r="R516" i="17"/>
  <c r="R449" i="17"/>
  <c r="R517" i="17" s="1"/>
  <c r="Q450" i="17"/>
  <c r="Q126" i="17" s="1"/>
  <c r="S216" i="17"/>
  <c r="S218" i="17" s="1"/>
  <c r="S114" i="17" s="1"/>
  <c r="R420" i="17"/>
  <c r="R100" i="17" s="1"/>
  <c r="Q453" i="17"/>
  <c r="R453" i="17" s="1"/>
  <c r="R471" i="17"/>
  <c r="S471" i="17" s="1"/>
  <c r="T471" i="17" s="1"/>
  <c r="Q454" i="17"/>
  <c r="Q119" i="17" s="1"/>
  <c r="S193" i="17"/>
  <c r="S272" i="17" s="1"/>
  <c r="R202" i="17"/>
  <c r="R516" i="16"/>
  <c r="E41" i="17"/>
  <c r="E45" i="17" s="1"/>
  <c r="F41" i="17"/>
  <c r="F45" i="17" s="1"/>
  <c r="I39" i="17"/>
  <c r="I130" i="17" s="1"/>
  <c r="I41" i="17"/>
  <c r="T483" i="17"/>
  <c r="U417" i="17"/>
  <c r="U215" i="17"/>
  <c r="H39" i="17"/>
  <c r="H130" i="17" s="1"/>
  <c r="H41" i="17"/>
  <c r="U427" i="17"/>
  <c r="U219" i="17"/>
  <c r="S510" i="17"/>
  <c r="S460" i="17"/>
  <c r="T457" i="17"/>
  <c r="T290" i="17"/>
  <c r="U238" i="17"/>
  <c r="V253" i="17"/>
  <c r="D61" i="17"/>
  <c r="D60" i="17"/>
  <c r="S145" i="17"/>
  <c r="T519" i="17"/>
  <c r="U463" i="17"/>
  <c r="T465" i="17"/>
  <c r="T120" i="17" s="1"/>
  <c r="R203" i="17"/>
  <c r="T508" i="17"/>
  <c r="R494" i="17"/>
  <c r="R502" i="17" s="1"/>
  <c r="R487" i="17"/>
  <c r="R105" i="17"/>
  <c r="D39" i="17"/>
  <c r="D130" i="17" s="1"/>
  <c r="D41" i="17"/>
  <c r="S516" i="17"/>
  <c r="T413" i="17"/>
  <c r="S432" i="17"/>
  <c r="T439" i="17"/>
  <c r="S107" i="17"/>
  <c r="E56" i="17"/>
  <c r="E58" i="17" s="1"/>
  <c r="J39" i="17"/>
  <c r="J130" i="17" s="1"/>
  <c r="J41" i="17"/>
  <c r="T75" i="17"/>
  <c r="T418" i="17"/>
  <c r="T216" i="17"/>
  <c r="T218" i="17" s="1"/>
  <c r="T114" i="17" s="1"/>
  <c r="G392" i="17"/>
  <c r="H406" i="17"/>
  <c r="G393" i="17"/>
  <c r="R118" i="17"/>
  <c r="Q205" i="17"/>
  <c r="T409" i="17"/>
  <c r="S515" i="17"/>
  <c r="S444" i="17"/>
  <c r="S26" i="17"/>
  <c r="T25" i="17"/>
  <c r="U470" i="17"/>
  <c r="V468" i="17"/>
  <c r="T313" i="17"/>
  <c r="T424" i="17"/>
  <c r="G41" i="17"/>
  <c r="G39" i="17"/>
  <c r="G130" i="17" s="1"/>
  <c r="U423" i="17"/>
  <c r="S216" i="16"/>
  <c r="S218" i="16" s="1"/>
  <c r="S114" i="16" s="1"/>
  <c r="S418" i="16"/>
  <c r="T216" i="16" s="1"/>
  <c r="F56" i="16"/>
  <c r="F58" i="16" s="1"/>
  <c r="F61" i="16" s="1"/>
  <c r="Y217" i="16"/>
  <c r="O34" i="16"/>
  <c r="O39" i="16" s="1"/>
  <c r="O130" i="16" s="1"/>
  <c r="U436" i="16"/>
  <c r="T247" i="16"/>
  <c r="U247" i="16" s="1"/>
  <c r="V247" i="16" s="1"/>
  <c r="W247" i="16" s="1"/>
  <c r="X247" i="16" s="1"/>
  <c r="Y247" i="16" s="1"/>
  <c r="Z247" i="16" s="1"/>
  <c r="Z246" i="16" s="1"/>
  <c r="S246" i="16"/>
  <c r="R218" i="16"/>
  <c r="R114" i="16" s="1"/>
  <c r="S203" i="16"/>
  <c r="Q205" i="16"/>
  <c r="R205" i="16" s="1"/>
  <c r="R414" i="16"/>
  <c r="R125" i="16" s="1"/>
  <c r="O178" i="16"/>
  <c r="O47" i="16" s="1"/>
  <c r="O49" i="16" s="1"/>
  <c r="S164" i="16"/>
  <c r="T164" i="16" s="1"/>
  <c r="U164" i="16" s="1"/>
  <c r="V164" i="16" s="1"/>
  <c r="W164" i="16" s="1"/>
  <c r="X164" i="16" s="1"/>
  <c r="Y164" i="16" s="1"/>
  <c r="Z164" i="16" s="1"/>
  <c r="U217" i="16"/>
  <c r="W217" i="16"/>
  <c r="V217" i="16"/>
  <c r="X217" i="16"/>
  <c r="T217" i="16"/>
  <c r="R470" i="16"/>
  <c r="R471" i="16" s="1"/>
  <c r="Q165" i="16"/>
  <c r="S172" i="16"/>
  <c r="T172" i="16" s="1"/>
  <c r="U172" i="16" s="1"/>
  <c r="V172" i="16" s="1"/>
  <c r="W172" i="16" s="1"/>
  <c r="X172" i="16" s="1"/>
  <c r="Y172" i="16" s="1"/>
  <c r="Z172" i="16" s="1"/>
  <c r="G39" i="16"/>
  <c r="G130" i="16" s="1"/>
  <c r="Q450" i="16"/>
  <c r="Q126" i="16" s="1"/>
  <c r="V148" i="16"/>
  <c r="U43" i="16"/>
  <c r="Q124" i="16"/>
  <c r="Q91" i="16"/>
  <c r="R410" i="16"/>
  <c r="S409" i="16"/>
  <c r="S515" i="16" s="1"/>
  <c r="R449" i="16"/>
  <c r="R517" i="16" s="1"/>
  <c r="O46" i="16"/>
  <c r="E56" i="16"/>
  <c r="E58" i="16" s="1"/>
  <c r="E61" i="16" s="1"/>
  <c r="J39" i="16"/>
  <c r="J130" i="16" s="1"/>
  <c r="M39" i="16"/>
  <c r="M130" i="16" s="1"/>
  <c r="M41" i="16"/>
  <c r="D60" i="16"/>
  <c r="I39" i="16"/>
  <c r="I130" i="16" s="1"/>
  <c r="I41" i="16"/>
  <c r="I42" i="16" s="1"/>
  <c r="S75" i="16"/>
  <c r="G45" i="16"/>
  <c r="S432" i="16"/>
  <c r="Q385" i="16"/>
  <c r="Q73" i="16" s="1"/>
  <c r="S444" i="16"/>
  <c r="R352" i="16"/>
  <c r="Q454" i="16"/>
  <c r="Q119" i="16" s="1"/>
  <c r="Q453" i="16"/>
  <c r="R145" i="16"/>
  <c r="R432" i="16"/>
  <c r="G397" i="16"/>
  <c r="G56" i="16" s="1"/>
  <c r="G58" i="16" s="1"/>
  <c r="G61" i="16" s="1"/>
  <c r="I392" i="16"/>
  <c r="J406" i="16"/>
  <c r="K406" i="16" s="1"/>
  <c r="I393" i="16"/>
  <c r="S382" i="16"/>
  <c r="S384" i="16" s="1"/>
  <c r="S193" i="16"/>
  <c r="R272" i="16"/>
  <c r="V423" i="16"/>
  <c r="S313" i="16"/>
  <c r="H41" i="16"/>
  <c r="H42" i="16" s="1"/>
  <c r="H39" i="16"/>
  <c r="H130" i="16" s="1"/>
  <c r="R507" i="16"/>
  <c r="T519" i="16"/>
  <c r="T465" i="16"/>
  <c r="T120" i="16" s="1"/>
  <c r="S516" i="16"/>
  <c r="T413" i="16"/>
  <c r="N41" i="16"/>
  <c r="N39" i="16"/>
  <c r="N130" i="16" s="1"/>
  <c r="T510" i="16"/>
  <c r="T460" i="16"/>
  <c r="U508" i="16"/>
  <c r="T508" i="16"/>
  <c r="H394" i="16"/>
  <c r="H396" i="16" s="1"/>
  <c r="S470" i="16"/>
  <c r="X427" i="16"/>
  <c r="V417" i="16"/>
  <c r="V215" i="16"/>
  <c r="E39" i="16"/>
  <c r="E130" i="16" s="1"/>
  <c r="E41" i="16"/>
  <c r="E42" i="16" s="1"/>
  <c r="F41" i="16"/>
  <c r="F42" i="16" s="1"/>
  <c r="F39" i="16"/>
  <c r="F130" i="16" s="1"/>
  <c r="T424" i="16"/>
  <c r="S118" i="16"/>
  <c r="T26" i="16"/>
  <c r="S202" i="16"/>
  <c r="G63" i="16"/>
  <c r="G65" i="16" s="1"/>
  <c r="R477" i="16"/>
  <c r="S160" i="16"/>
  <c r="R161" i="16"/>
  <c r="R165" i="16" s="1"/>
  <c r="R91" i="16"/>
  <c r="T332" i="16"/>
  <c r="S333" i="16"/>
  <c r="S123" i="16"/>
  <c r="S514" i="16"/>
  <c r="L41" i="16"/>
  <c r="L42" i="16" s="1"/>
  <c r="L39" i="16"/>
  <c r="L130" i="16" s="1"/>
  <c r="J45" i="16"/>
  <c r="Q487" i="16"/>
  <c r="Q105" i="16"/>
  <c r="D41" i="16"/>
  <c r="D42" i="16" s="1"/>
  <c r="D39" i="16"/>
  <c r="D130" i="16" s="1"/>
  <c r="T483" i="16"/>
  <c r="S290" i="16"/>
  <c r="S107" i="16" l="1"/>
  <c r="T439" i="16"/>
  <c r="U439" i="16" s="1"/>
  <c r="F63" i="17"/>
  <c r="F65" i="17" s="1"/>
  <c r="Y219" i="16"/>
  <c r="U434" i="16"/>
  <c r="Z481" i="16"/>
  <c r="Z97" i="16"/>
  <c r="N42" i="16"/>
  <c r="M42" i="16"/>
  <c r="O52" i="16"/>
  <c r="K392" i="16"/>
  <c r="K393" i="16"/>
  <c r="K394" i="16" s="1"/>
  <c r="S391" i="16"/>
  <c r="T432" i="17"/>
  <c r="U436" i="17"/>
  <c r="U434" i="17" s="1"/>
  <c r="S410" i="17"/>
  <c r="S124" i="17" s="1"/>
  <c r="S414" i="17"/>
  <c r="S125" i="17" s="1"/>
  <c r="S449" i="17"/>
  <c r="S517" i="17" s="1"/>
  <c r="R450" i="17"/>
  <c r="R126" i="17" s="1"/>
  <c r="T193" i="17"/>
  <c r="T272" i="17" s="1"/>
  <c r="S202" i="17"/>
  <c r="R454" i="17"/>
  <c r="R119" i="17" s="1"/>
  <c r="U471" i="17"/>
  <c r="S420" i="16"/>
  <c r="S100" i="16" s="1"/>
  <c r="T418" i="16"/>
  <c r="U418" i="16" s="1"/>
  <c r="F42" i="17"/>
  <c r="E42" i="17"/>
  <c r="O41" i="16"/>
  <c r="O50" i="16"/>
  <c r="R205" i="17"/>
  <c r="U290" i="17"/>
  <c r="V238" i="17"/>
  <c r="V423" i="17"/>
  <c r="V470" i="17"/>
  <c r="W468" i="17"/>
  <c r="S453" i="17"/>
  <c r="T145" i="17"/>
  <c r="W253" i="17"/>
  <c r="U313" i="17"/>
  <c r="T515" i="17"/>
  <c r="U409" i="17"/>
  <c r="H392" i="17"/>
  <c r="I406" i="17"/>
  <c r="H393" i="17"/>
  <c r="E61" i="17"/>
  <c r="E60" i="17"/>
  <c r="T516" i="17"/>
  <c r="U413" i="17"/>
  <c r="G45" i="17"/>
  <c r="G42" i="17"/>
  <c r="U25" i="17"/>
  <c r="T26" i="17"/>
  <c r="Q204" i="17"/>
  <c r="G394" i="17"/>
  <c r="U75" i="17"/>
  <c r="U519" i="17"/>
  <c r="V463" i="17"/>
  <c r="U465" i="17"/>
  <c r="U120" i="17" s="1"/>
  <c r="S487" i="17"/>
  <c r="S105" i="17"/>
  <c r="D45" i="17"/>
  <c r="D42" i="17"/>
  <c r="T510" i="17"/>
  <c r="T460" i="17"/>
  <c r="U457" i="17"/>
  <c r="H42" i="17"/>
  <c r="H45" i="17"/>
  <c r="U508" i="17"/>
  <c r="F60" i="17"/>
  <c r="F61" i="17"/>
  <c r="U424" i="17"/>
  <c r="U418" i="17"/>
  <c r="U420" i="17" s="1"/>
  <c r="U216" i="17"/>
  <c r="U218" i="17" s="1"/>
  <c r="U114" i="17" s="1"/>
  <c r="S494" i="17"/>
  <c r="S502" i="17" s="1"/>
  <c r="S203" i="17"/>
  <c r="V427" i="17"/>
  <c r="V219" i="17"/>
  <c r="U483" i="17"/>
  <c r="V417" i="17"/>
  <c r="V215" i="17"/>
  <c r="Q204" i="16"/>
  <c r="R204" i="16" s="1"/>
  <c r="T444" i="17"/>
  <c r="J45" i="17"/>
  <c r="J42" i="17"/>
  <c r="U439" i="17"/>
  <c r="T107" i="17"/>
  <c r="S100" i="17"/>
  <c r="S118" i="17"/>
  <c r="T420" i="17"/>
  <c r="T100" i="17" s="1"/>
  <c r="I42" i="17"/>
  <c r="I45" i="17"/>
  <c r="F60" i="16"/>
  <c r="S205" i="16"/>
  <c r="S471" i="16"/>
  <c r="T246" i="16"/>
  <c r="W246" i="16"/>
  <c r="R100" i="16"/>
  <c r="T203" i="16"/>
  <c r="V436" i="16"/>
  <c r="U246" i="16"/>
  <c r="S481" i="16"/>
  <c r="S97" i="16"/>
  <c r="V246" i="16"/>
  <c r="Y246" i="16"/>
  <c r="X246" i="16"/>
  <c r="S414" i="16"/>
  <c r="S125" i="16" s="1"/>
  <c r="I394" i="16"/>
  <c r="I396" i="16" s="1"/>
  <c r="R450" i="16"/>
  <c r="R126" i="16" s="1"/>
  <c r="W148" i="16"/>
  <c r="V43" i="16"/>
  <c r="S449" i="16"/>
  <c r="S517" i="16" s="1"/>
  <c r="R124" i="16"/>
  <c r="E60" i="16"/>
  <c r="T409" i="16"/>
  <c r="S410" i="16"/>
  <c r="G60" i="16"/>
  <c r="F45" i="16"/>
  <c r="N45" i="16"/>
  <c r="S272" i="16"/>
  <c r="T193" i="16"/>
  <c r="R453" i="16"/>
  <c r="R454" i="16"/>
  <c r="R119" i="16" s="1"/>
  <c r="S145" i="16"/>
  <c r="S477" i="16"/>
  <c r="T160" i="16"/>
  <c r="S161" i="16"/>
  <c r="S165" i="16" s="1"/>
  <c r="S91" i="16"/>
  <c r="O363" i="16"/>
  <c r="U424" i="16"/>
  <c r="E45" i="16"/>
  <c r="H45" i="16"/>
  <c r="R487" i="16"/>
  <c r="R105" i="16"/>
  <c r="R385" i="16"/>
  <c r="R73" i="16" s="1"/>
  <c r="D45" i="16"/>
  <c r="T290" i="16"/>
  <c r="S494" i="16"/>
  <c r="S502" i="16" s="1"/>
  <c r="T313" i="16"/>
  <c r="M45" i="16"/>
  <c r="L45" i="16"/>
  <c r="S507" i="16"/>
  <c r="U519" i="16"/>
  <c r="U465" i="16"/>
  <c r="U120" i="16" s="1"/>
  <c r="T382" i="16"/>
  <c r="T384" i="16" s="1"/>
  <c r="Y427" i="16"/>
  <c r="Z427" i="16" s="1"/>
  <c r="U332" i="16"/>
  <c r="T123" i="16"/>
  <c r="T333" i="16"/>
  <c r="T514" i="16"/>
  <c r="U26" i="16"/>
  <c r="W417" i="16"/>
  <c r="W215" i="16"/>
  <c r="U510" i="16"/>
  <c r="U460" i="16"/>
  <c r="T516" i="16"/>
  <c r="U413" i="16"/>
  <c r="W423" i="16"/>
  <c r="V483" i="16"/>
  <c r="I45" i="16"/>
  <c r="T202" i="16"/>
  <c r="T470" i="16"/>
  <c r="T218" i="16"/>
  <c r="T114" i="16" s="1"/>
  <c r="T118" i="16"/>
  <c r="J392" i="16"/>
  <c r="J393" i="16"/>
  <c r="T444" i="16"/>
  <c r="S352" i="16"/>
  <c r="Q442" i="16"/>
  <c r="H397" i="16"/>
  <c r="H56" i="16" s="1"/>
  <c r="H58" i="16" s="1"/>
  <c r="H61" i="16" s="1"/>
  <c r="H63" i="16"/>
  <c r="H65" i="16" s="1"/>
  <c r="S487" i="16"/>
  <c r="S105" i="16"/>
  <c r="U483" i="16"/>
  <c r="T75" i="16"/>
  <c r="T107" i="16" l="1"/>
  <c r="T494" i="16" s="1"/>
  <c r="T502" i="16" s="1"/>
  <c r="I397" i="16"/>
  <c r="I56" i="16" s="1"/>
  <c r="I58" i="16" s="1"/>
  <c r="I61" i="16" s="1"/>
  <c r="I63" i="16"/>
  <c r="I65" i="16" s="1"/>
  <c r="Z219" i="16"/>
  <c r="V434" i="16"/>
  <c r="O42" i="16"/>
  <c r="K396" i="16"/>
  <c r="K397" i="16" s="1"/>
  <c r="K56" i="16" s="1"/>
  <c r="K58" i="16" s="1"/>
  <c r="K63" i="16"/>
  <c r="K65" i="16" s="1"/>
  <c r="T391" i="16"/>
  <c r="T487" i="17"/>
  <c r="T105" i="17"/>
  <c r="V436" i="17"/>
  <c r="V434" i="17" s="1"/>
  <c r="T410" i="17"/>
  <c r="T124" i="17" s="1"/>
  <c r="T414" i="17"/>
  <c r="T125" i="17" s="1"/>
  <c r="T449" i="17"/>
  <c r="T517" i="17" s="1"/>
  <c r="V471" i="17"/>
  <c r="S450" i="17"/>
  <c r="S126" i="17" s="1"/>
  <c r="U193" i="17"/>
  <c r="V193" i="17" s="1"/>
  <c r="T202" i="17"/>
  <c r="S454" i="17"/>
  <c r="S119" i="17" s="1"/>
  <c r="U216" i="16"/>
  <c r="U218" i="16" s="1"/>
  <c r="U114" i="16" s="1"/>
  <c r="T420" i="16"/>
  <c r="T100" i="16" s="1"/>
  <c r="R204" i="17"/>
  <c r="O45" i="16"/>
  <c r="V508" i="17"/>
  <c r="V313" i="17"/>
  <c r="W423" i="17"/>
  <c r="U444" i="17"/>
  <c r="G396" i="17"/>
  <c r="G397" i="17" s="1"/>
  <c r="G56" i="17" s="1"/>
  <c r="G58" i="17" s="1"/>
  <c r="G63" i="17"/>
  <c r="G65" i="17" s="1"/>
  <c r="V483" i="17"/>
  <c r="W417" i="17"/>
  <c r="W215" i="17"/>
  <c r="U432" i="17"/>
  <c r="V519" i="17"/>
  <c r="W463" i="17"/>
  <c r="V465" i="17"/>
  <c r="V120" i="17" s="1"/>
  <c r="V290" i="17"/>
  <c r="W238" i="17"/>
  <c r="T494" i="17"/>
  <c r="T502" i="17" s="1"/>
  <c r="U515" i="17"/>
  <c r="V409" i="17"/>
  <c r="S204" i="16"/>
  <c r="V439" i="17"/>
  <c r="U107" i="17"/>
  <c r="T203" i="17"/>
  <c r="V418" i="17"/>
  <c r="V216" i="17"/>
  <c r="U510" i="17"/>
  <c r="U460" i="17"/>
  <c r="V457" i="17"/>
  <c r="V25" i="17"/>
  <c r="U26" i="17"/>
  <c r="I392" i="17"/>
  <c r="J406" i="17"/>
  <c r="K406" i="17" s="1"/>
  <c r="I393" i="17"/>
  <c r="U516" i="17"/>
  <c r="V413" i="17"/>
  <c r="H394" i="17"/>
  <c r="T118" i="17"/>
  <c r="S205" i="17"/>
  <c r="V75" i="17"/>
  <c r="T453" i="17"/>
  <c r="U145" i="17"/>
  <c r="U100" i="17"/>
  <c r="T471" i="16"/>
  <c r="W427" i="17"/>
  <c r="W219" i="17"/>
  <c r="V424" i="17"/>
  <c r="X253" i="17"/>
  <c r="W470" i="17"/>
  <c r="X468" i="17"/>
  <c r="W436" i="16"/>
  <c r="V97" i="16"/>
  <c r="V481" i="16"/>
  <c r="U203" i="16"/>
  <c r="W481" i="16"/>
  <c r="W97" i="16"/>
  <c r="U481" i="16"/>
  <c r="U97" i="16"/>
  <c r="T97" i="16"/>
  <c r="T481" i="16"/>
  <c r="X97" i="16"/>
  <c r="X481" i="16"/>
  <c r="T205" i="16"/>
  <c r="Y481" i="16"/>
  <c r="Y97" i="16"/>
  <c r="T414" i="16"/>
  <c r="T125" i="16" s="1"/>
  <c r="S450" i="16"/>
  <c r="S126" i="16" s="1"/>
  <c r="T449" i="16"/>
  <c r="T517" i="16" s="1"/>
  <c r="S124" i="16"/>
  <c r="T410" i="16"/>
  <c r="T124" i="16" s="1"/>
  <c r="X148" i="16"/>
  <c r="W43" i="16"/>
  <c r="U409" i="16"/>
  <c r="U515" i="16" s="1"/>
  <c r="T515" i="16"/>
  <c r="V508" i="16"/>
  <c r="U202" i="16"/>
  <c r="V510" i="16"/>
  <c r="V460" i="16"/>
  <c r="U75" i="16"/>
  <c r="J394" i="16"/>
  <c r="J396" i="16" s="1"/>
  <c r="U470" i="16"/>
  <c r="U118" i="16"/>
  <c r="U382" i="16"/>
  <c r="U384" i="16" s="1"/>
  <c r="H60" i="16"/>
  <c r="L406" i="16"/>
  <c r="V26" i="16"/>
  <c r="V424" i="16"/>
  <c r="X423" i="16"/>
  <c r="S454" i="16"/>
  <c r="S119" i="16" s="1"/>
  <c r="S453" i="16"/>
  <c r="T145" i="16"/>
  <c r="V418" i="16"/>
  <c r="V216" i="16"/>
  <c r="U420" i="16"/>
  <c r="W508" i="16"/>
  <c r="T507" i="16"/>
  <c r="T432" i="16"/>
  <c r="Q350" i="16"/>
  <c r="V519" i="16"/>
  <c r="V465" i="16"/>
  <c r="V120" i="16" s="1"/>
  <c r="U313" i="16"/>
  <c r="U432" i="16"/>
  <c r="U516" i="16"/>
  <c r="V413" i="16"/>
  <c r="X417" i="16"/>
  <c r="X215" i="16"/>
  <c r="V332" i="16"/>
  <c r="U123" i="16"/>
  <c r="U333" i="16"/>
  <c r="U514" i="16"/>
  <c r="U290" i="16"/>
  <c r="R442" i="16"/>
  <c r="V439" i="16"/>
  <c r="U107" i="16"/>
  <c r="U193" i="16"/>
  <c r="T272" i="16"/>
  <c r="U444" i="16"/>
  <c r="T352" i="16"/>
  <c r="S385" i="16"/>
  <c r="S73" i="16" s="1"/>
  <c r="T477" i="16"/>
  <c r="U160" i="16"/>
  <c r="T91" i="16"/>
  <c r="T161" i="16"/>
  <c r="T165" i="16" s="1"/>
  <c r="I60" i="16" l="1"/>
  <c r="K392" i="17"/>
  <c r="K393" i="17"/>
  <c r="W434" i="16"/>
  <c r="K60" i="16"/>
  <c r="K61" i="16"/>
  <c r="U391" i="16"/>
  <c r="U410" i="17"/>
  <c r="U124" i="17" s="1"/>
  <c r="W436" i="17"/>
  <c r="W434" i="17" s="1"/>
  <c r="U272" i="17"/>
  <c r="U449" i="17"/>
  <c r="U517" i="17" s="1"/>
  <c r="U414" i="17"/>
  <c r="U125" i="17" s="1"/>
  <c r="T450" i="17"/>
  <c r="T126" i="17" s="1"/>
  <c r="W471" i="17"/>
  <c r="T454" i="17"/>
  <c r="T119" i="17" s="1"/>
  <c r="U202" i="17"/>
  <c r="U471" i="16"/>
  <c r="T205" i="17"/>
  <c r="T204" i="16"/>
  <c r="X470" i="17"/>
  <c r="Y468" i="17"/>
  <c r="W424" i="17"/>
  <c r="S204" i="17"/>
  <c r="I394" i="17"/>
  <c r="V515" i="17"/>
  <c r="W409" i="17"/>
  <c r="W519" i="17"/>
  <c r="X463" i="17"/>
  <c r="W465" i="17"/>
  <c r="W120" i="17" s="1"/>
  <c r="V516" i="17"/>
  <c r="W413" i="17"/>
  <c r="J392" i="17"/>
  <c r="J393" i="17"/>
  <c r="L406" i="17"/>
  <c r="M406" i="17" s="1"/>
  <c r="X423" i="17"/>
  <c r="U453" i="17"/>
  <c r="V145" i="17"/>
  <c r="V272" i="17"/>
  <c r="W193" i="17"/>
  <c r="U494" i="17"/>
  <c r="U502" i="17" s="1"/>
  <c r="V432" i="17"/>
  <c r="W439" i="17"/>
  <c r="V107" i="17"/>
  <c r="W313" i="17"/>
  <c r="W25" i="17"/>
  <c r="V26" i="17"/>
  <c r="W418" i="17"/>
  <c r="W216" i="17"/>
  <c r="W218" i="17" s="1"/>
  <c r="W114" i="17" s="1"/>
  <c r="V510" i="17"/>
  <c r="V460" i="17"/>
  <c r="W457" i="17"/>
  <c r="X427" i="17"/>
  <c r="X219" i="17"/>
  <c r="Y253" i="17"/>
  <c r="Z253" i="17" s="1"/>
  <c r="U203" i="17"/>
  <c r="W290" i="17"/>
  <c r="X238" i="17"/>
  <c r="W508" i="17"/>
  <c r="G60" i="17"/>
  <c r="G61" i="17"/>
  <c r="H396" i="17"/>
  <c r="H397" i="17" s="1"/>
  <c r="H56" i="17" s="1"/>
  <c r="H58" i="17" s="1"/>
  <c r="H63" i="17"/>
  <c r="H65" i="17" s="1"/>
  <c r="U118" i="17"/>
  <c r="V420" i="17"/>
  <c r="V218" i="17"/>
  <c r="V114" i="17" s="1"/>
  <c r="W75" i="17"/>
  <c r="U487" i="17"/>
  <c r="U105" i="17"/>
  <c r="W483" i="17"/>
  <c r="X417" i="17"/>
  <c r="X215" i="17"/>
  <c r="V444" i="17"/>
  <c r="U414" i="16"/>
  <c r="U125" i="16" s="1"/>
  <c r="U205" i="16"/>
  <c r="V203" i="16"/>
  <c r="X436" i="16"/>
  <c r="X434" i="16" s="1"/>
  <c r="Q388" i="16"/>
  <c r="Q344" i="16"/>
  <c r="Q357" i="16"/>
  <c r="Q366" i="16"/>
  <c r="T450" i="16"/>
  <c r="T126" i="16" s="1"/>
  <c r="V409" i="16"/>
  <c r="V515" i="16" s="1"/>
  <c r="U100" i="16"/>
  <c r="U449" i="16"/>
  <c r="U517" i="16" s="1"/>
  <c r="U410" i="16"/>
  <c r="Y148" i="16"/>
  <c r="Z148" i="16" s="1"/>
  <c r="X43" i="16"/>
  <c r="V202" i="16"/>
  <c r="W483" i="16"/>
  <c r="R350" i="16"/>
  <c r="U487" i="16"/>
  <c r="U105" i="16"/>
  <c r="S442" i="16"/>
  <c r="W439" i="16"/>
  <c r="V107" i="16"/>
  <c r="W26" i="16"/>
  <c r="V382" i="16"/>
  <c r="V384" i="16" s="1"/>
  <c r="W418" i="16"/>
  <c r="W216" i="16"/>
  <c r="V420" i="16"/>
  <c r="Y423" i="16"/>
  <c r="Z423" i="16" s="1"/>
  <c r="V470" i="16"/>
  <c r="L392" i="16"/>
  <c r="M406" i="16"/>
  <c r="L393" i="16"/>
  <c r="V313" i="16"/>
  <c r="T453" i="16"/>
  <c r="T454" i="16"/>
  <c r="T119" i="16" s="1"/>
  <c r="U145" i="16"/>
  <c r="J397" i="16"/>
  <c r="J56" i="16" s="1"/>
  <c r="J58" i="16" s="1"/>
  <c r="J61" i="16" s="1"/>
  <c r="J63" i="16"/>
  <c r="J65" i="16" s="1"/>
  <c r="T487" i="16"/>
  <c r="T105" i="16"/>
  <c r="V218" i="16"/>
  <c r="V114" i="16" s="1"/>
  <c r="U272" i="16"/>
  <c r="V193" i="16"/>
  <c r="V432" i="16"/>
  <c r="X508" i="16"/>
  <c r="W424" i="16"/>
  <c r="V75" i="16"/>
  <c r="W332" i="16"/>
  <c r="V123" i="16"/>
  <c r="V333" i="16"/>
  <c r="V514" i="16"/>
  <c r="Y417" i="16"/>
  <c r="Y215" i="16"/>
  <c r="W519" i="16"/>
  <c r="W465" i="16"/>
  <c r="W120" i="16" s="1"/>
  <c r="V290" i="16"/>
  <c r="U507" i="16"/>
  <c r="W510" i="16"/>
  <c r="W460" i="16"/>
  <c r="V444" i="16"/>
  <c r="U352" i="16"/>
  <c r="V516" i="16"/>
  <c r="W413" i="16"/>
  <c r="U477" i="16"/>
  <c r="V160" i="16"/>
  <c r="U91" i="16"/>
  <c r="U161" i="16"/>
  <c r="U165" i="16" s="1"/>
  <c r="U494" i="16"/>
  <c r="U502" i="16" s="1"/>
  <c r="T385" i="16"/>
  <c r="T73" i="16" s="1"/>
  <c r="V118" i="16"/>
  <c r="Z417" i="16" l="1"/>
  <c r="Z215" i="16"/>
  <c r="Z508" i="16" s="1"/>
  <c r="M392" i="17"/>
  <c r="N406" i="17"/>
  <c r="M393" i="17"/>
  <c r="K394" i="17"/>
  <c r="Y470" i="17"/>
  <c r="Z468" i="17"/>
  <c r="Z470" i="17" s="1"/>
  <c r="V391" i="16"/>
  <c r="J394" i="17"/>
  <c r="J396" i="17" s="1"/>
  <c r="J397" i="17" s="1"/>
  <c r="J56" i="17" s="1"/>
  <c r="J58" i="17" s="1"/>
  <c r="L392" i="17"/>
  <c r="L393" i="17"/>
  <c r="W432" i="17"/>
  <c r="V410" i="17"/>
  <c r="V124" i="17" s="1"/>
  <c r="X436" i="17"/>
  <c r="X434" i="17" s="1"/>
  <c r="V414" i="17"/>
  <c r="V125" i="17" s="1"/>
  <c r="V449" i="17"/>
  <c r="V517" i="17" s="1"/>
  <c r="X471" i="17"/>
  <c r="U454" i="17"/>
  <c r="U119" i="17" s="1"/>
  <c r="U450" i="17"/>
  <c r="U126" i="17" s="1"/>
  <c r="V202" i="17"/>
  <c r="U204" i="16"/>
  <c r="V471" i="16"/>
  <c r="T204" i="17"/>
  <c r="V203" i="17"/>
  <c r="V487" i="17"/>
  <c r="V105" i="17"/>
  <c r="I396" i="17"/>
  <c r="I397" i="17" s="1"/>
  <c r="I56" i="17" s="1"/>
  <c r="I58" i="17" s="1"/>
  <c r="I63" i="17"/>
  <c r="I65" i="17" s="1"/>
  <c r="Y423" i="17"/>
  <c r="Z423" i="17" s="1"/>
  <c r="W444" i="17"/>
  <c r="X25" i="17"/>
  <c r="W26" i="17"/>
  <c r="U205" i="17"/>
  <c r="W516" i="17"/>
  <c r="X413" i="17"/>
  <c r="X418" i="17"/>
  <c r="X420" i="17" s="1"/>
  <c r="X216" i="17"/>
  <c r="X313" i="17"/>
  <c r="X508" i="17"/>
  <c r="W515" i="17"/>
  <c r="X409" i="17"/>
  <c r="H61" i="17"/>
  <c r="H60" i="17"/>
  <c r="X290" i="17"/>
  <c r="Y238" i="17"/>
  <c r="Z238" i="17" s="1"/>
  <c r="V453" i="17"/>
  <c r="W145" i="17"/>
  <c r="W420" i="17"/>
  <c r="W100" i="17" s="1"/>
  <c r="X483" i="17"/>
  <c r="Y417" i="17"/>
  <c r="Y215" i="17"/>
  <c r="X75" i="17"/>
  <c r="V100" i="17"/>
  <c r="Y427" i="17"/>
  <c r="Z427" i="17" s="1"/>
  <c r="Y219" i="17"/>
  <c r="W510" i="17"/>
  <c r="W460" i="17"/>
  <c r="X457" i="17"/>
  <c r="V494" i="17"/>
  <c r="V502" i="17" s="1"/>
  <c r="W272" i="17"/>
  <c r="X193" i="17"/>
  <c r="X519" i="17"/>
  <c r="X465" i="17"/>
  <c r="X120" i="17" s="1"/>
  <c r="Y463" i="17"/>
  <c r="Z463" i="17" s="1"/>
  <c r="X424" i="17"/>
  <c r="V414" i="16"/>
  <c r="V125" i="16" s="1"/>
  <c r="V118" i="17"/>
  <c r="X439" i="17"/>
  <c r="W107" i="17"/>
  <c r="V205" i="16"/>
  <c r="Y436" i="16"/>
  <c r="W203" i="16"/>
  <c r="R357" i="16"/>
  <c r="R388" i="16"/>
  <c r="R366" i="16"/>
  <c r="R344" i="16"/>
  <c r="U450" i="16"/>
  <c r="U126" i="16" s="1"/>
  <c r="W409" i="16"/>
  <c r="W515" i="16" s="1"/>
  <c r="V449" i="16"/>
  <c r="V517" i="16" s="1"/>
  <c r="V410" i="16"/>
  <c r="U124" i="16"/>
  <c r="Y43" i="16"/>
  <c r="Z43" i="16" s="1"/>
  <c r="W202" i="16"/>
  <c r="X483" i="16"/>
  <c r="V100" i="16"/>
  <c r="J60" i="16"/>
  <c r="X510" i="16"/>
  <c r="X460" i="16"/>
  <c r="W118" i="16"/>
  <c r="M392" i="16"/>
  <c r="N406" i="16"/>
  <c r="M393" i="16"/>
  <c r="W218" i="16"/>
  <c r="W114" i="16" s="1"/>
  <c r="L394" i="16"/>
  <c r="L396" i="16" s="1"/>
  <c r="W470" i="16"/>
  <c r="S350" i="16"/>
  <c r="W444" i="16"/>
  <c r="V352" i="16"/>
  <c r="V507" i="16"/>
  <c r="X418" i="16"/>
  <c r="X216" i="16"/>
  <c r="W420" i="16"/>
  <c r="V477" i="16"/>
  <c r="W160" i="16"/>
  <c r="V161" i="16"/>
  <c r="V165" i="16" s="1"/>
  <c r="V91" i="16"/>
  <c r="W290" i="16"/>
  <c r="X424" i="16"/>
  <c r="T442" i="16"/>
  <c r="W333" i="16"/>
  <c r="X332" i="16"/>
  <c r="W123" i="16"/>
  <c r="W514" i="16"/>
  <c r="U385" i="16"/>
  <c r="U73" i="16" s="1"/>
  <c r="Q76" i="16"/>
  <c r="V487" i="16"/>
  <c r="V105" i="16"/>
  <c r="W313" i="16"/>
  <c r="W382" i="16"/>
  <c r="W384" i="16" s="1"/>
  <c r="V494" i="16"/>
  <c r="V502" i="16" s="1"/>
  <c r="W516" i="16"/>
  <c r="X413" i="16"/>
  <c r="X519" i="16"/>
  <c r="X465" i="16"/>
  <c r="X120" i="16" s="1"/>
  <c r="W75" i="16"/>
  <c r="W432" i="16"/>
  <c r="U453" i="16"/>
  <c r="U454" i="16"/>
  <c r="U119" i="16" s="1"/>
  <c r="V145" i="16"/>
  <c r="Y26" i="16"/>
  <c r="X26" i="16"/>
  <c r="X439" i="16"/>
  <c r="W107" i="16"/>
  <c r="W193" i="16"/>
  <c r="V272" i="16"/>
  <c r="J63" i="17" l="1"/>
  <c r="J65" i="17" s="1"/>
  <c r="Z483" i="16"/>
  <c r="K396" i="17"/>
  <c r="K397" i="17" s="1"/>
  <c r="K56" i="17" s="1"/>
  <c r="K58" i="17" s="1"/>
  <c r="K63" i="17"/>
  <c r="K65" i="17" s="1"/>
  <c r="M394" i="17"/>
  <c r="N393" i="17"/>
  <c r="O406" i="17"/>
  <c r="N392" i="17"/>
  <c r="Z519" i="17"/>
  <c r="Z465" i="17"/>
  <c r="Z219" i="17"/>
  <c r="Z417" i="17"/>
  <c r="Z215" i="17"/>
  <c r="Z290" i="17"/>
  <c r="Y471" i="17"/>
  <c r="Z471" i="17" s="1"/>
  <c r="Z436" i="16"/>
  <c r="Z434" i="16" s="1"/>
  <c r="Y434" i="16"/>
  <c r="L394" i="17"/>
  <c r="L63" i="17" s="1"/>
  <c r="W391" i="16"/>
  <c r="W410" i="17"/>
  <c r="X410" i="17" s="1"/>
  <c r="W487" i="17"/>
  <c r="W105" i="17"/>
  <c r="X432" i="17"/>
  <c r="Y436" i="17"/>
  <c r="Y434" i="17" s="1"/>
  <c r="W414" i="17"/>
  <c r="W125" i="17" s="1"/>
  <c r="V450" i="17"/>
  <c r="V126" i="17" s="1"/>
  <c r="V454" i="17"/>
  <c r="V119" i="17" s="1"/>
  <c r="W449" i="17"/>
  <c r="W517" i="17" s="1"/>
  <c r="V204" i="16"/>
  <c r="V205" i="17"/>
  <c r="W203" i="17"/>
  <c r="W471" i="16"/>
  <c r="U204" i="17"/>
  <c r="I60" i="17"/>
  <c r="I61" i="17"/>
  <c r="J61" i="17"/>
  <c r="J60" i="17"/>
  <c r="Y313" i="17"/>
  <c r="Z313" i="17" s="1"/>
  <c r="Y424" i="17"/>
  <c r="Z424" i="17" s="1"/>
  <c r="X516" i="17"/>
  <c r="Y413" i="17"/>
  <c r="Z413" i="17" s="1"/>
  <c r="X444" i="17"/>
  <c r="Y439" i="17"/>
  <c r="X107" i="17"/>
  <c r="X26" i="17"/>
  <c r="Y25" i="17"/>
  <c r="W202" i="17"/>
  <c r="X510" i="17"/>
  <c r="X460" i="17"/>
  <c r="Y457" i="17"/>
  <c r="Z457" i="17" s="1"/>
  <c r="W414" i="16"/>
  <c r="W125" i="16" s="1"/>
  <c r="W205" i="16"/>
  <c r="Y519" i="17"/>
  <c r="Y465" i="17"/>
  <c r="X272" i="17"/>
  <c r="Y193" i="17"/>
  <c r="W118" i="17"/>
  <c r="W453" i="17"/>
  <c r="X145" i="17"/>
  <c r="Y508" i="17"/>
  <c r="Y290" i="17"/>
  <c r="Y75" i="17"/>
  <c r="Z75" i="17" s="1"/>
  <c r="X218" i="17"/>
  <c r="X114" i="17" s="1"/>
  <c r="Y418" i="17"/>
  <c r="Y216" i="17"/>
  <c r="W494" i="17"/>
  <c r="W502" i="17" s="1"/>
  <c r="Y483" i="17"/>
  <c r="X515" i="17"/>
  <c r="Y409" i="17"/>
  <c r="Z409" i="17" s="1"/>
  <c r="X409" i="16"/>
  <c r="X515" i="16" s="1"/>
  <c r="S344" i="16"/>
  <c r="S388" i="16"/>
  <c r="S366" i="16"/>
  <c r="S357" i="16"/>
  <c r="X203" i="16"/>
  <c r="Y203" i="16" s="1"/>
  <c r="Z203" i="16" s="1"/>
  <c r="W410" i="16"/>
  <c r="W124" i="16" s="1"/>
  <c r="V124" i="16"/>
  <c r="V450" i="16"/>
  <c r="V126" i="16" s="1"/>
  <c r="W449" i="16"/>
  <c r="W517" i="16" s="1"/>
  <c r="X202" i="16"/>
  <c r="Y202" i="16" s="1"/>
  <c r="Z202" i="16" s="1"/>
  <c r="W100" i="16"/>
  <c r="T350" i="16"/>
  <c r="X290" i="16"/>
  <c r="W494" i="16"/>
  <c r="W502" i="16" s="1"/>
  <c r="Y418" i="16"/>
  <c r="Y216" i="16"/>
  <c r="X420" i="16"/>
  <c r="N392" i="16"/>
  <c r="O406" i="16"/>
  <c r="P406" i="16" s="1"/>
  <c r="N393" i="16"/>
  <c r="Y439" i="16"/>
  <c r="Z439" i="16" s="1"/>
  <c r="Z107" i="16" s="1"/>
  <c r="X107" i="16"/>
  <c r="X432" i="16"/>
  <c r="M394" i="16"/>
  <c r="M396" i="16" s="1"/>
  <c r="U442" i="16"/>
  <c r="Y519" i="16"/>
  <c r="Y465" i="16"/>
  <c r="Z120" i="16" s="1"/>
  <c r="Y332" i="16"/>
  <c r="Z332" i="16" s="1"/>
  <c r="X333" i="16"/>
  <c r="X123" i="16"/>
  <c r="X514" i="16"/>
  <c r="Y510" i="16"/>
  <c r="Y460" i="16"/>
  <c r="X218" i="16"/>
  <c r="X114" i="16" s="1"/>
  <c r="W487" i="16"/>
  <c r="W105" i="16"/>
  <c r="X516" i="16"/>
  <c r="Y413" i="16"/>
  <c r="Z413" i="16" s="1"/>
  <c r="W272" i="16"/>
  <c r="X193" i="16"/>
  <c r="X75" i="16"/>
  <c r="V385" i="16"/>
  <c r="V73" i="16" s="1"/>
  <c r="X313" i="16"/>
  <c r="W507" i="16"/>
  <c r="W477" i="16"/>
  <c r="X160" i="16"/>
  <c r="W161" i="16"/>
  <c r="W165" i="16" s="1"/>
  <c r="W91" i="16"/>
  <c r="X118" i="16"/>
  <c r="V453" i="16"/>
  <c r="V454" i="16"/>
  <c r="V119" i="16" s="1"/>
  <c r="W145" i="16"/>
  <c r="X382" i="16"/>
  <c r="X384" i="16" s="1"/>
  <c r="Y424" i="16"/>
  <c r="Z424" i="16" s="1"/>
  <c r="Y483" i="16"/>
  <c r="X444" i="16"/>
  <c r="W352" i="16"/>
  <c r="X470" i="16"/>
  <c r="Y470" i="16"/>
  <c r="L397" i="16"/>
  <c r="L56" i="16" s="1"/>
  <c r="L58" i="16" s="1"/>
  <c r="L61" i="16" s="1"/>
  <c r="L63" i="16"/>
  <c r="L65" i="16" s="1"/>
  <c r="Y508" i="16"/>
  <c r="R76" i="16"/>
  <c r="L396" i="17" l="1"/>
  <c r="L397" i="17" s="1"/>
  <c r="L56" i="17" s="1"/>
  <c r="N394" i="17"/>
  <c r="P406" i="17"/>
  <c r="O392" i="17"/>
  <c r="O393" i="17"/>
  <c r="M396" i="17"/>
  <c r="M397" i="17" s="1"/>
  <c r="M56" i="17" s="1"/>
  <c r="M63" i="17"/>
  <c r="K61" i="17"/>
  <c r="K60" i="17"/>
  <c r="Z508" i="17"/>
  <c r="Z483" i="17"/>
  <c r="Z516" i="17"/>
  <c r="Y272" i="17"/>
  <c r="Z193" i="17"/>
  <c r="Z272" i="17" s="1"/>
  <c r="Y432" i="17"/>
  <c r="Z436" i="17"/>
  <c r="Z434" i="17" s="1"/>
  <c r="Y120" i="17"/>
  <c r="Z120" i="17"/>
  <c r="Z460" i="17"/>
  <c r="Z510" i="17"/>
  <c r="Y420" i="17"/>
  <c r="Z418" i="17"/>
  <c r="Z420" i="17" s="1"/>
  <c r="Z216" i="17"/>
  <c r="Z515" i="17"/>
  <c r="Y107" i="17"/>
  <c r="Y494" i="17" s="1"/>
  <c r="Y502" i="17" s="1"/>
  <c r="Z439" i="17"/>
  <c r="Z107" i="17" s="1"/>
  <c r="Z432" i="16"/>
  <c r="Z514" i="16"/>
  <c r="Z123" i="16"/>
  <c r="Z333" i="16"/>
  <c r="Z118" i="16"/>
  <c r="Z418" i="16"/>
  <c r="Z420" i="16" s="1"/>
  <c r="Z216" i="16"/>
  <c r="Z516" i="16"/>
  <c r="Z494" i="16"/>
  <c r="Z502" i="16" s="1"/>
  <c r="P392" i="16"/>
  <c r="P393" i="16"/>
  <c r="Y26" i="17"/>
  <c r="Z25" i="17"/>
  <c r="Z26" i="17" s="1"/>
  <c r="X391" i="16"/>
  <c r="Y120" i="16"/>
  <c r="Y107" i="16"/>
  <c r="Y420" i="16"/>
  <c r="W124" i="17"/>
  <c r="X414" i="17"/>
  <c r="X125" i="17" s="1"/>
  <c r="X487" i="17"/>
  <c r="X105" i="17"/>
  <c r="W454" i="17"/>
  <c r="W119" i="17" s="1"/>
  <c r="W450" i="17"/>
  <c r="W126" i="17" s="1"/>
  <c r="X449" i="17"/>
  <c r="X517" i="17" s="1"/>
  <c r="W204" i="16"/>
  <c r="W205" i="17"/>
  <c r="X203" i="17"/>
  <c r="V204" i="17"/>
  <c r="X471" i="16"/>
  <c r="Y471" i="16" s="1"/>
  <c r="Z471" i="16" s="1"/>
  <c r="X414" i="16"/>
  <c r="X125" i="16" s="1"/>
  <c r="X202" i="17"/>
  <c r="X124" i="17"/>
  <c r="X100" i="17"/>
  <c r="Y444" i="17"/>
  <c r="Z444" i="17" s="1"/>
  <c r="X494" i="17"/>
  <c r="X502" i="17" s="1"/>
  <c r="Y516" i="17"/>
  <c r="Y515" i="17"/>
  <c r="Y410" i="17"/>
  <c r="Z410" i="17" s="1"/>
  <c r="X453" i="17"/>
  <c r="Y145" i="17"/>
  <c r="Z145" i="17" s="1"/>
  <c r="Y218" i="17"/>
  <c r="Y114" i="17" s="1"/>
  <c r="Y510" i="17"/>
  <c r="Y460" i="17"/>
  <c r="X118" i="17"/>
  <c r="Y409" i="16"/>
  <c r="Z409" i="16" s="1"/>
  <c r="T344" i="16"/>
  <c r="T357" i="16"/>
  <c r="T366" i="16"/>
  <c r="T388" i="16"/>
  <c r="X205" i="16"/>
  <c r="Y205" i="16" s="1"/>
  <c r="Z205" i="16" s="1"/>
  <c r="W450" i="16"/>
  <c r="W126" i="16" s="1"/>
  <c r="X410" i="16"/>
  <c r="X449" i="16"/>
  <c r="X517" i="16" s="1"/>
  <c r="Y432" i="16"/>
  <c r="Y382" i="16"/>
  <c r="W453" i="16"/>
  <c r="W454" i="16"/>
  <c r="W119" i="16" s="1"/>
  <c r="X145" i="16"/>
  <c r="X494" i="16"/>
  <c r="X502" i="16" s="1"/>
  <c r="X477" i="16"/>
  <c r="Y160" i="16"/>
  <c r="Z160" i="16" s="1"/>
  <c r="X161" i="16"/>
  <c r="X165" i="16" s="1"/>
  <c r="X91" i="16"/>
  <c r="Y75" i="16"/>
  <c r="Z75" i="16" s="1"/>
  <c r="Y218" i="16"/>
  <c r="O392" i="16"/>
  <c r="O393" i="16"/>
  <c r="Q393" i="16" s="1"/>
  <c r="R393" i="16" s="1"/>
  <c r="S393" i="16" s="1"/>
  <c r="T393" i="16" s="1"/>
  <c r="U393" i="16" s="1"/>
  <c r="V393" i="16" s="1"/>
  <c r="W393" i="16" s="1"/>
  <c r="X393" i="16" s="1"/>
  <c r="Y393" i="16" s="1"/>
  <c r="Z393" i="16" s="1"/>
  <c r="W385" i="16"/>
  <c r="W73" i="16" s="1"/>
  <c r="Y118" i="16"/>
  <c r="L60" i="16"/>
  <c r="X507" i="16"/>
  <c r="N394" i="16"/>
  <c r="N396" i="16" s="1"/>
  <c r="Y444" i="16"/>
  <c r="Z444" i="16" s="1"/>
  <c r="X352" i="16"/>
  <c r="Y193" i="16"/>
  <c r="Z193" i="16" s="1"/>
  <c r="Z272" i="16" s="1"/>
  <c r="X272" i="16"/>
  <c r="Y333" i="16"/>
  <c r="Y123" i="16"/>
  <c r="Y514" i="16"/>
  <c r="U350" i="16"/>
  <c r="Y290" i="16"/>
  <c r="Y313" i="16"/>
  <c r="Z313" i="16" s="1"/>
  <c r="V442" i="16"/>
  <c r="M397" i="16"/>
  <c r="M56" i="16" s="1"/>
  <c r="M58" i="16" s="1"/>
  <c r="M61" i="16" s="1"/>
  <c r="M63" i="16"/>
  <c r="M65" i="16" s="1"/>
  <c r="X487" i="16"/>
  <c r="X105" i="16"/>
  <c r="S76" i="16"/>
  <c r="Y516" i="16"/>
  <c r="X100" i="16"/>
  <c r="O394" i="17" l="1"/>
  <c r="N396" i="17"/>
  <c r="N397" i="17" s="1"/>
  <c r="N56" i="17" s="1"/>
  <c r="N63" i="17"/>
  <c r="O396" i="17"/>
  <c r="O397" i="17" s="1"/>
  <c r="O56" i="17" s="1"/>
  <c r="O63" i="17"/>
  <c r="Y384" i="16"/>
  <c r="Z384" i="16" s="1"/>
  <c r="Z385" i="16" s="1"/>
  <c r="Z382" i="16"/>
  <c r="P393" i="17"/>
  <c r="P392" i="17"/>
  <c r="Z432" i="17"/>
  <c r="Z487" i="17" s="1"/>
  <c r="Z124" i="17"/>
  <c r="Z118" i="17"/>
  <c r="Z218" i="17"/>
  <c r="Z114" i="17" s="1"/>
  <c r="Z494" i="17"/>
  <c r="Z502" i="17" s="1"/>
  <c r="Z487" i="16"/>
  <c r="Z477" i="16"/>
  <c r="Z161" i="16"/>
  <c r="Z165" i="16" s="1"/>
  <c r="Z91" i="16"/>
  <c r="Z515" i="16"/>
  <c r="Z507" i="16"/>
  <c r="Z105" i="16"/>
  <c r="Z218" i="16"/>
  <c r="Z114" i="16" s="1"/>
  <c r="P394" i="16"/>
  <c r="Y203" i="17"/>
  <c r="Z203" i="17" s="1"/>
  <c r="Y202" i="17"/>
  <c r="Z202" i="17" s="1"/>
  <c r="Y494" i="16"/>
  <c r="Y114" i="16"/>
  <c r="Y272" i="16"/>
  <c r="Y487" i="16"/>
  <c r="Y515" i="16"/>
  <c r="Y414" i="17"/>
  <c r="Y105" i="17"/>
  <c r="Y487" i="17"/>
  <c r="X454" i="17"/>
  <c r="X119" i="17" s="1"/>
  <c r="Y449" i="17"/>
  <c r="X450" i="17"/>
  <c r="X126" i="17" s="1"/>
  <c r="W204" i="17"/>
  <c r="X205" i="17"/>
  <c r="Y414" i="16"/>
  <c r="Z414" i="16" s="1"/>
  <c r="Z125" i="16" s="1"/>
  <c r="Y453" i="17"/>
  <c r="Z453" i="17" s="1"/>
  <c r="Y124" i="17"/>
  <c r="Y100" i="17"/>
  <c r="Y118" i="17"/>
  <c r="X450" i="16"/>
  <c r="X126" i="16" s="1"/>
  <c r="U344" i="16"/>
  <c r="U388" i="16"/>
  <c r="U366" i="16"/>
  <c r="U357" i="16"/>
  <c r="X204" i="16"/>
  <c r="Y204" i="16" s="1"/>
  <c r="Z204" i="16" s="1"/>
  <c r="Y449" i="16"/>
  <c r="Z449" i="16" s="1"/>
  <c r="Z517" i="16" s="1"/>
  <c r="Y410" i="16"/>
  <c r="Z410" i="16" s="1"/>
  <c r="X124" i="16"/>
  <c r="Y105" i="16"/>
  <c r="Y352" i="16"/>
  <c r="Z352" i="16" s="1"/>
  <c r="Y507" i="16"/>
  <c r="Q406" i="16"/>
  <c r="Y100" i="16"/>
  <c r="X385" i="16"/>
  <c r="X73" i="16" s="1"/>
  <c r="O394" i="16"/>
  <c r="O396" i="16" s="1"/>
  <c r="M60" i="16"/>
  <c r="Y477" i="16"/>
  <c r="Y161" i="16"/>
  <c r="Y91" i="16"/>
  <c r="V350" i="16"/>
  <c r="T76" i="16"/>
  <c r="N397" i="16"/>
  <c r="N56" i="16" s="1"/>
  <c r="N58" i="16" s="1"/>
  <c r="N61" i="16" s="1"/>
  <c r="N63" i="16"/>
  <c r="N65" i="16" s="1"/>
  <c r="W442" i="16"/>
  <c r="X454" i="16"/>
  <c r="X119" i="16" s="1"/>
  <c r="X453" i="16"/>
  <c r="Y145" i="16"/>
  <c r="Z145" i="16" s="1"/>
  <c r="P394" i="17" l="1"/>
  <c r="P396" i="17"/>
  <c r="P397" i="17" s="1"/>
  <c r="P56" i="17" s="1"/>
  <c r="P63" i="17"/>
  <c r="Y391" i="16"/>
  <c r="Z391" i="16" s="1"/>
  <c r="Z100" i="17"/>
  <c r="Z105" i="17"/>
  <c r="Y125" i="17"/>
  <c r="Z414" i="17"/>
  <c r="Y517" i="17"/>
  <c r="Z449" i="17"/>
  <c r="Z517" i="17" s="1"/>
  <c r="Z124" i="16"/>
  <c r="Z73" i="16"/>
  <c r="Z442" i="16" s="1"/>
  <c r="Z100" i="16"/>
  <c r="P396" i="16"/>
  <c r="P397" i="16" s="1"/>
  <c r="P56" i="16" s="1"/>
  <c r="P58" i="16" s="1"/>
  <c r="P63" i="16"/>
  <c r="P65" i="16" s="1"/>
  <c r="P66" i="16" s="1"/>
  <c r="Y205" i="17"/>
  <c r="Z205" i="17" s="1"/>
  <c r="Y502" i="16"/>
  <c r="Y517" i="16"/>
  <c r="Y124" i="16"/>
  <c r="Y165" i="16"/>
  <c r="Y125" i="16"/>
  <c r="Y454" i="17"/>
  <c r="Y450" i="17"/>
  <c r="Y126" i="17" s="1"/>
  <c r="X204" i="17"/>
  <c r="Q393" i="17"/>
  <c r="R393" i="17" s="1"/>
  <c r="S393" i="17" s="1"/>
  <c r="T393" i="17" s="1"/>
  <c r="U393" i="17" s="1"/>
  <c r="V393" i="17" s="1"/>
  <c r="W393" i="17" s="1"/>
  <c r="X393" i="17" s="1"/>
  <c r="Y393" i="17" s="1"/>
  <c r="Z393" i="17" s="1"/>
  <c r="Y450" i="16"/>
  <c r="Z450" i="16" s="1"/>
  <c r="Z126" i="16" s="1"/>
  <c r="V357" i="16"/>
  <c r="V388" i="16"/>
  <c r="V366" i="16"/>
  <c r="V344" i="16"/>
  <c r="W350" i="16"/>
  <c r="Y454" i="16"/>
  <c r="Z454" i="16" s="1"/>
  <c r="Z119" i="16" s="1"/>
  <c r="Y453" i="16"/>
  <c r="Z453" i="16" s="1"/>
  <c r="Y385" i="16"/>
  <c r="O397" i="16"/>
  <c r="O56" i="16" s="1"/>
  <c r="O58" i="16" s="1"/>
  <c r="O61" i="16" s="1"/>
  <c r="O63" i="16"/>
  <c r="O65" i="16" s="1"/>
  <c r="U76" i="16"/>
  <c r="X442" i="16"/>
  <c r="N60" i="16"/>
  <c r="Q392" i="16"/>
  <c r="R406" i="16"/>
  <c r="Q396" i="16" l="1"/>
  <c r="R396" i="16" s="1"/>
  <c r="S396" i="16" s="1"/>
  <c r="T396" i="16" s="1"/>
  <c r="U396" i="16" s="1"/>
  <c r="V396" i="16" s="1"/>
  <c r="W396" i="16" s="1"/>
  <c r="X396" i="16" s="1"/>
  <c r="Y396" i="16" s="1"/>
  <c r="Z396" i="16" s="1"/>
  <c r="Y119" i="17"/>
  <c r="Z454" i="17"/>
  <c r="Z119" i="17" s="1"/>
  <c r="Z125" i="17"/>
  <c r="Z450" i="17"/>
  <c r="Z126" i="17" s="1"/>
  <c r="P60" i="16"/>
  <c r="P61" i="16"/>
  <c r="Y204" i="17"/>
  <c r="Z204" i="17" s="1"/>
  <c r="Y73" i="16"/>
  <c r="Y126" i="16"/>
  <c r="Y119" i="16"/>
  <c r="Q406" i="17"/>
  <c r="W344" i="16"/>
  <c r="W357" i="16"/>
  <c r="W366" i="16"/>
  <c r="W388" i="16"/>
  <c r="Q484" i="16"/>
  <c r="Q77" i="16"/>
  <c r="Q394" i="16"/>
  <c r="X350" i="16"/>
  <c r="O60" i="16"/>
  <c r="S406" i="16"/>
  <c r="R392" i="16"/>
  <c r="V76" i="16"/>
  <c r="Y442" i="16" l="1"/>
  <c r="Q396" i="17"/>
  <c r="R396" i="17" s="1"/>
  <c r="S396" i="17" s="1"/>
  <c r="T396" i="17" s="1"/>
  <c r="U396" i="17" s="1"/>
  <c r="V396" i="17" s="1"/>
  <c r="W396" i="17" s="1"/>
  <c r="X396" i="17" s="1"/>
  <c r="Y396" i="17" s="1"/>
  <c r="Z396" i="17" s="1"/>
  <c r="Q392" i="17"/>
  <c r="R406" i="17"/>
  <c r="X388" i="16"/>
  <c r="X357" i="16"/>
  <c r="X366" i="16"/>
  <c r="X344" i="16"/>
  <c r="R484" i="16"/>
  <c r="R77" i="16"/>
  <c r="R394" i="16"/>
  <c r="W76" i="16"/>
  <c r="S392" i="16"/>
  <c r="T406" i="16"/>
  <c r="Y350" i="16" l="1"/>
  <c r="Z350" i="16" s="1"/>
  <c r="Q484" i="17"/>
  <c r="Q77" i="17"/>
  <c r="R392" i="17"/>
  <c r="S406" i="17"/>
  <c r="X76" i="16"/>
  <c r="T392" i="16"/>
  <c r="U406" i="16"/>
  <c r="S484" i="16"/>
  <c r="S77" i="16"/>
  <c r="S394" i="16"/>
  <c r="Z344" i="16" l="1"/>
  <c r="Z366" i="16"/>
  <c r="Z357" i="16"/>
  <c r="Z388" i="16"/>
  <c r="Y366" i="16"/>
  <c r="Y388" i="16"/>
  <c r="Y357" i="16"/>
  <c r="Y344" i="16"/>
  <c r="R484" i="17"/>
  <c r="R77" i="17"/>
  <c r="T406" i="17"/>
  <c r="S392" i="17"/>
  <c r="U392" i="16"/>
  <c r="V406" i="16"/>
  <c r="T484" i="16"/>
  <c r="T77" i="16"/>
  <c r="T394" i="16"/>
  <c r="Z76" i="16" l="1"/>
  <c r="Y76" i="16"/>
  <c r="S484" i="17"/>
  <c r="S77" i="17"/>
  <c r="T392" i="17"/>
  <c r="U406" i="17"/>
  <c r="U484" i="16"/>
  <c r="U77" i="16"/>
  <c r="U394" i="16"/>
  <c r="V392" i="16"/>
  <c r="W406" i="16"/>
  <c r="U392" i="17" l="1"/>
  <c r="V406" i="17"/>
  <c r="T484" i="17"/>
  <c r="T77" i="17"/>
  <c r="V484" i="16"/>
  <c r="V77" i="16"/>
  <c r="V394" i="16"/>
  <c r="W392" i="16"/>
  <c r="X406" i="16"/>
  <c r="V392" i="17" l="1"/>
  <c r="W406" i="17"/>
  <c r="U484" i="17"/>
  <c r="U77" i="17"/>
  <c r="X392" i="16"/>
  <c r="Y406" i="16"/>
  <c r="W484" i="16"/>
  <c r="W77" i="16"/>
  <c r="W394" i="16"/>
  <c r="Y392" i="16" l="1"/>
  <c r="Y77" i="16" s="1"/>
  <c r="Z406" i="16"/>
  <c r="Z392" i="16" s="1"/>
  <c r="W392" i="17"/>
  <c r="X406" i="17"/>
  <c r="V484" i="17"/>
  <c r="V77" i="17"/>
  <c r="X484" i="16"/>
  <c r="X77" i="16"/>
  <c r="X394" i="16"/>
  <c r="Y394" i="16" l="1"/>
  <c r="Y484" i="16"/>
  <c r="Z77" i="16"/>
  <c r="Z484" i="16"/>
  <c r="Z394" i="16"/>
  <c r="X392" i="17"/>
  <c r="Y406" i="17"/>
  <c r="W484" i="17"/>
  <c r="W77" i="17"/>
  <c r="Q380" i="17"/>
  <c r="Q486" i="17" s="1"/>
  <c r="R380" i="17"/>
  <c r="R486" i="17" s="1"/>
  <c r="S380" i="17"/>
  <c r="S486" i="17" s="1"/>
  <c r="T380" i="17"/>
  <c r="T486" i="17" s="1"/>
  <c r="U380" i="17"/>
  <c r="U486" i="17" s="1"/>
  <c r="V380" i="17"/>
  <c r="V486" i="17" s="1"/>
  <c r="W380" i="17"/>
  <c r="W486" i="17" s="1"/>
  <c r="X380" i="17"/>
  <c r="X486" i="17" s="1"/>
  <c r="Y380" i="17"/>
  <c r="Y486" i="17" s="1"/>
  <c r="Y392" i="17" l="1"/>
  <c r="Y484" i="17" s="1"/>
  <c r="Z406" i="17"/>
  <c r="Z392" i="17" s="1"/>
  <c r="X484" i="17"/>
  <c r="X77" i="17"/>
  <c r="U30" i="8"/>
  <c r="Y77" i="17" l="1"/>
  <c r="Z77" i="17"/>
  <c r="Z484" i="17"/>
  <c r="Y375" i="17"/>
  <c r="Y376" i="17"/>
  <c r="Y377" i="17"/>
  <c r="Y271" i="17" s="1"/>
  <c r="Y378" i="17"/>
  <c r="Y331" i="17" s="1"/>
  <c r="Y381" i="17"/>
  <c r="X381" i="17"/>
  <c r="W381" i="17"/>
  <c r="V381" i="17"/>
  <c r="U381" i="17"/>
  <c r="T381" i="17"/>
  <c r="S381" i="17"/>
  <c r="R381" i="17"/>
  <c r="Q381" i="17"/>
  <c r="X378" i="17"/>
  <c r="X331" i="17" s="1"/>
  <c r="W378" i="17"/>
  <c r="W331" i="17" s="1"/>
  <c r="V378" i="17"/>
  <c r="V331" i="17" s="1"/>
  <c r="U378" i="17"/>
  <c r="U331" i="17" s="1"/>
  <c r="T378" i="17"/>
  <c r="T331" i="17" s="1"/>
  <c r="S378" i="17"/>
  <c r="S331" i="17" s="1"/>
  <c r="R378" i="17"/>
  <c r="R331" i="17" s="1"/>
  <c r="Q378" i="17"/>
  <c r="Q331" i="17" s="1"/>
  <c r="X377" i="17"/>
  <c r="X271" i="17" s="1"/>
  <c r="W377" i="17"/>
  <c r="W271" i="17" s="1"/>
  <c r="V377" i="17"/>
  <c r="V271" i="17" s="1"/>
  <c r="U377" i="17"/>
  <c r="U271" i="17" s="1"/>
  <c r="T377" i="17"/>
  <c r="T271" i="17" s="1"/>
  <c r="S377" i="17"/>
  <c r="S271" i="17" s="1"/>
  <c r="R377" i="17"/>
  <c r="R271" i="17" s="1"/>
  <c r="Q377" i="17"/>
  <c r="Q271" i="17" s="1"/>
  <c r="X376" i="17"/>
  <c r="W376" i="17"/>
  <c r="V376" i="17"/>
  <c r="U376" i="17"/>
  <c r="T376" i="17"/>
  <c r="S376" i="17"/>
  <c r="R376" i="17"/>
  <c r="Q376" i="17"/>
  <c r="X375" i="17"/>
  <c r="W375" i="17"/>
  <c r="V375" i="17"/>
  <c r="U375" i="17"/>
  <c r="T375" i="17"/>
  <c r="S375" i="17"/>
  <c r="R375" i="17"/>
  <c r="Q375" i="17"/>
  <c r="Z6" i="8"/>
  <c r="W6" i="8"/>
  <c r="X6" i="8"/>
  <c r="Y6" i="8"/>
  <c r="D6" i="9"/>
  <c r="E6" i="9"/>
  <c r="F6" i="9"/>
  <c r="C6" i="9"/>
  <c r="Z7" i="8" l="1"/>
  <c r="Y7" i="8"/>
  <c r="X7" i="8"/>
  <c r="W7" i="8"/>
  <c r="U379" i="17"/>
  <c r="U168" i="17"/>
  <c r="U158" i="17"/>
  <c r="V379" i="17"/>
  <c r="V168" i="17"/>
  <c r="V158" i="17"/>
  <c r="X379" i="17"/>
  <c r="W379" i="17"/>
  <c r="W158" i="17"/>
  <c r="W168" i="17"/>
  <c r="Q379" i="17"/>
  <c r="Q158" i="17"/>
  <c r="Q168" i="17"/>
  <c r="R379" i="17"/>
  <c r="R168" i="17"/>
  <c r="R158" i="17"/>
  <c r="X158" i="17"/>
  <c r="X168" i="17"/>
  <c r="S379" i="17"/>
  <c r="S158" i="17"/>
  <c r="S168" i="17"/>
  <c r="T379" i="17"/>
  <c r="T168" i="17"/>
  <c r="T158" i="17"/>
  <c r="Y379" i="17"/>
  <c r="Y158" i="17"/>
  <c r="Y168" i="17"/>
  <c r="AJ30" i="8"/>
  <c r="C70" i="11"/>
  <c r="C71" i="11" s="1"/>
  <c r="D70" i="11"/>
  <c r="D71" i="11" s="1"/>
  <c r="E70" i="11"/>
  <c r="F70" i="11"/>
  <c r="G70" i="11"/>
  <c r="G71" i="11" s="1"/>
  <c r="H70" i="11"/>
  <c r="I70" i="11"/>
  <c r="I71" i="11" s="1"/>
  <c r="J70" i="11"/>
  <c r="J71" i="11" s="1"/>
  <c r="K70" i="11"/>
  <c r="K71" i="11" s="1"/>
  <c r="L70" i="11"/>
  <c r="L71" i="11" s="1"/>
  <c r="M70" i="11"/>
  <c r="N70" i="11"/>
  <c r="O70" i="11"/>
  <c r="O71" i="11" s="1"/>
  <c r="P70" i="11"/>
  <c r="Q70" i="11"/>
  <c r="Q71" i="11" s="1"/>
  <c r="B70" i="11"/>
  <c r="Q52" i="11"/>
  <c r="Q50" i="11"/>
  <c r="Q46" i="11"/>
  <c r="Q48" i="11"/>
  <c r="Q44" i="11"/>
  <c r="Q42" i="11"/>
  <c r="Q40" i="11"/>
  <c r="Q38" i="11"/>
  <c r="Q36" i="11"/>
  <c r="Q34" i="11"/>
  <c r="Q32" i="11"/>
  <c r="Q30" i="11"/>
  <c r="Q28" i="11"/>
  <c r="Q26" i="11"/>
  <c r="Q24" i="11"/>
  <c r="Q20" i="11"/>
  <c r="Q22" i="11"/>
  <c r="Q16" i="11"/>
  <c r="Q18" i="11"/>
  <c r="B404" i="15"/>
  <c r="B403" i="15"/>
  <c r="B402" i="15"/>
  <c r="B401" i="15"/>
  <c r="B399" i="15"/>
  <c r="B398" i="15"/>
  <c r="B397" i="15"/>
  <c r="B396" i="15"/>
  <c r="B395" i="15"/>
  <c r="B394" i="15"/>
  <c r="B393" i="15"/>
  <c r="B392" i="15"/>
  <c r="B391" i="15"/>
  <c r="B390" i="15"/>
  <c r="B389" i="15"/>
  <c r="B388" i="15"/>
  <c r="B387" i="15"/>
  <c r="B383" i="15"/>
  <c r="B382" i="15"/>
  <c r="B381" i="15"/>
  <c r="B378" i="15"/>
  <c r="B377" i="15"/>
  <c r="B376" i="15"/>
  <c r="B375" i="15"/>
  <c r="B374" i="15"/>
  <c r="B371" i="15"/>
  <c r="B370" i="15"/>
  <c r="B367" i="15"/>
  <c r="B366" i="15"/>
  <c r="B365" i="15"/>
  <c r="B364" i="15"/>
  <c r="B363" i="15"/>
  <c r="B362" i="15"/>
  <c r="B361" i="15"/>
  <c r="B360" i="15"/>
  <c r="B359" i="15"/>
  <c r="B358" i="15"/>
  <c r="B355" i="15"/>
  <c r="B354" i="15"/>
  <c r="B353" i="15"/>
  <c r="B350" i="15"/>
  <c r="B349" i="15"/>
  <c r="B348" i="15"/>
  <c r="B347" i="15"/>
  <c r="B346" i="15"/>
  <c r="B345" i="15"/>
  <c r="B344" i="15"/>
  <c r="B343" i="15"/>
  <c r="B342" i="15"/>
  <c r="B341" i="15"/>
  <c r="B340" i="15"/>
  <c r="B337" i="15"/>
  <c r="B336" i="15"/>
  <c r="B335" i="15"/>
  <c r="B332" i="15"/>
  <c r="B331" i="15"/>
  <c r="B330" i="15"/>
  <c r="B329" i="15"/>
  <c r="B328" i="15"/>
  <c r="B327" i="15"/>
  <c r="B326" i="15"/>
  <c r="B324" i="15"/>
  <c r="B323" i="15"/>
  <c r="B320" i="15"/>
  <c r="B319" i="15"/>
  <c r="B316" i="15"/>
  <c r="B315" i="15"/>
  <c r="B314" i="15"/>
  <c r="B313" i="15"/>
  <c r="B310" i="15"/>
  <c r="B309" i="15"/>
  <c r="B308" i="15"/>
  <c r="B307" i="15"/>
  <c r="B304" i="15"/>
  <c r="B303" i="15"/>
  <c r="B302" i="15"/>
  <c r="B301" i="15"/>
  <c r="B294" i="15"/>
  <c r="B291" i="15"/>
  <c r="B290" i="15"/>
  <c r="B289" i="15"/>
  <c r="B288" i="15"/>
  <c r="B286" i="15"/>
  <c r="B283" i="15"/>
  <c r="B282" i="15"/>
  <c r="B281" i="15"/>
  <c r="B278" i="15"/>
  <c r="B277" i="15"/>
  <c r="B276" i="15"/>
  <c r="B273" i="15"/>
  <c r="B272" i="15"/>
  <c r="B271" i="15"/>
  <c r="B270" i="15"/>
  <c r="B267" i="15"/>
  <c r="B266" i="15"/>
  <c r="B265" i="15"/>
  <c r="B262" i="15"/>
  <c r="B261" i="15"/>
  <c r="B260" i="15"/>
  <c r="B257" i="15"/>
  <c r="B256" i="15"/>
  <c r="B255" i="15"/>
  <c r="B252" i="15"/>
  <c r="B251" i="15"/>
  <c r="B250" i="15"/>
  <c r="B249" i="15"/>
  <c r="B248" i="15"/>
  <c r="B247" i="15"/>
  <c r="B246" i="15"/>
  <c r="B245" i="15"/>
  <c r="B244" i="15"/>
  <c r="B243" i="15"/>
  <c r="B240" i="15"/>
  <c r="B239" i="15"/>
  <c r="B238" i="15"/>
  <c r="B237" i="15"/>
  <c r="B235" i="15"/>
  <c r="B234" i="15"/>
  <c r="B233" i="15"/>
  <c r="B230" i="15"/>
  <c r="B229" i="15"/>
  <c r="B228" i="15"/>
  <c r="B225" i="15"/>
  <c r="B224" i="15"/>
  <c r="B223" i="15"/>
  <c r="B222" i="15"/>
  <c r="B221" i="15"/>
  <c r="B220" i="15"/>
  <c r="B217" i="15"/>
  <c r="B216" i="15"/>
  <c r="B215" i="15"/>
  <c r="B214" i="15"/>
  <c r="B213" i="15"/>
  <c r="B212" i="15"/>
  <c r="B211" i="15"/>
  <c r="B210" i="15"/>
  <c r="B209" i="15"/>
  <c r="B208" i="15"/>
  <c r="B207" i="15"/>
  <c r="B206" i="15"/>
  <c r="B204" i="15"/>
  <c r="B203" i="15"/>
  <c r="B200" i="15"/>
  <c r="B198" i="15"/>
  <c r="B197" i="15"/>
  <c r="B196" i="15"/>
  <c r="B195" i="15"/>
  <c r="B194" i="15"/>
  <c r="B193" i="15"/>
  <c r="B192" i="15"/>
  <c r="B190" i="15"/>
  <c r="B189" i="15"/>
  <c r="B188" i="15"/>
  <c r="B187" i="15"/>
  <c r="B186" i="15"/>
  <c r="B185" i="15"/>
  <c r="B184" i="15"/>
  <c r="B183" i="15"/>
  <c r="B182" i="15"/>
  <c r="B181" i="15"/>
  <c r="B180" i="15"/>
  <c r="B178" i="15"/>
  <c r="B177" i="15"/>
  <c r="B175" i="15"/>
  <c r="B174" i="15"/>
  <c r="B173" i="15"/>
  <c r="B172" i="15"/>
  <c r="B171" i="15"/>
  <c r="B170" i="15"/>
  <c r="B168" i="15"/>
  <c r="B167" i="15"/>
  <c r="B166" i="15"/>
  <c r="B165" i="15"/>
  <c r="B164" i="15"/>
  <c r="B163" i="15"/>
  <c r="B160" i="15"/>
  <c r="B158" i="15"/>
  <c r="B157" i="15"/>
  <c r="B156" i="15"/>
  <c r="B155" i="15"/>
  <c r="B154" i="15"/>
  <c r="B153" i="15"/>
  <c r="B152" i="15"/>
  <c r="B151" i="15"/>
  <c r="B150" i="15"/>
  <c r="B149" i="15"/>
  <c r="B148" i="15"/>
  <c r="B147" i="15"/>
  <c r="B145" i="15"/>
  <c r="B143" i="15"/>
  <c r="B142" i="15"/>
  <c r="B141" i="15"/>
  <c r="B140" i="15"/>
  <c r="B139" i="15"/>
  <c r="B138" i="15"/>
  <c r="B137" i="15"/>
  <c r="B136" i="15"/>
  <c r="B135" i="15"/>
  <c r="B134" i="15"/>
  <c r="B133" i="15"/>
  <c r="B132" i="15"/>
  <c r="B131" i="15"/>
  <c r="B130" i="15"/>
  <c r="B129" i="15"/>
  <c r="B128" i="15"/>
  <c r="B127" i="15"/>
  <c r="B126" i="15"/>
  <c r="B125" i="15"/>
  <c r="B124" i="15"/>
  <c r="B123" i="15"/>
  <c r="B122" i="15"/>
  <c r="B121" i="15"/>
  <c r="B120" i="15"/>
  <c r="B117" i="15"/>
  <c r="B116" i="15"/>
  <c r="B115" i="15"/>
  <c r="B114" i="15"/>
  <c r="B113" i="15"/>
  <c r="B112" i="15"/>
  <c r="B111" i="15"/>
  <c r="B110" i="15"/>
  <c r="B109" i="15"/>
  <c r="B108" i="15"/>
  <c r="B107" i="15"/>
  <c r="B106" i="15"/>
  <c r="B105" i="15"/>
  <c r="B104" i="15"/>
  <c r="B103" i="15"/>
  <c r="B100" i="15"/>
  <c r="B99" i="15"/>
  <c r="B98" i="15"/>
  <c r="B97" i="15"/>
  <c r="B96" i="15"/>
  <c r="B95" i="15"/>
  <c r="B94" i="15"/>
  <c r="B93" i="15"/>
  <c r="B92" i="15"/>
  <c r="B91" i="15"/>
  <c r="B90" i="15"/>
  <c r="B89" i="15"/>
  <c r="B88" i="15"/>
  <c r="B87" i="15"/>
  <c r="B86" i="15"/>
  <c r="B85" i="15"/>
  <c r="B84" i="15"/>
  <c r="B83" i="15"/>
  <c r="B82" i="15"/>
  <c r="B81" i="15"/>
  <c r="B80" i="15"/>
  <c r="B79" i="15"/>
  <c r="B78" i="15"/>
  <c r="B77" i="15"/>
  <c r="B76" i="15"/>
  <c r="B75" i="15"/>
  <c r="B74" i="15"/>
  <c r="B71" i="15"/>
  <c r="B70" i="15"/>
  <c r="B69" i="15"/>
  <c r="B68" i="15"/>
  <c r="B67" i="15"/>
  <c r="B66" i="15"/>
  <c r="B65" i="15"/>
  <c r="B64" i="15"/>
  <c r="B63" i="15"/>
  <c r="B62" i="15"/>
  <c r="B61" i="15"/>
  <c r="B60" i="15"/>
  <c r="B59" i="15"/>
  <c r="B58" i="15"/>
  <c r="B57" i="15"/>
  <c r="B54" i="15"/>
  <c r="B53" i="15"/>
  <c r="B52" i="15"/>
  <c r="B51" i="15"/>
  <c r="B50" i="15"/>
  <c r="B49" i="15"/>
  <c r="B48" i="15"/>
  <c r="B47" i="15"/>
  <c r="B46" i="15"/>
  <c r="B45" i="15"/>
  <c r="B44" i="15"/>
  <c r="B43" i="15"/>
  <c r="B42" i="15"/>
  <c r="B41" i="15"/>
  <c r="B40" i="15"/>
  <c r="B37" i="15"/>
  <c r="B36" i="15"/>
  <c r="B35" i="15"/>
  <c r="B33" i="15"/>
  <c r="B32" i="15"/>
  <c r="B29" i="15"/>
  <c r="B28" i="15"/>
  <c r="B27" i="15"/>
  <c r="B26" i="15"/>
  <c r="B25" i="15"/>
  <c r="B24" i="15"/>
  <c r="B23" i="15"/>
  <c r="B22" i="15"/>
  <c r="B21" i="15"/>
  <c r="B20" i="15"/>
  <c r="B19" i="15"/>
  <c r="B18" i="15"/>
  <c r="B17" i="15"/>
  <c r="B16" i="15"/>
  <c r="B15" i="15"/>
  <c r="B14" i="15"/>
  <c r="B13" i="15"/>
  <c r="B12" i="15"/>
  <c r="B11" i="15"/>
  <c r="O14" i="15"/>
  <c r="O23" i="15"/>
  <c r="O26" i="15"/>
  <c r="O34" i="15" s="1"/>
  <c r="O38" i="15"/>
  <c r="O55" i="15"/>
  <c r="O72" i="15"/>
  <c r="O79" i="15"/>
  <c r="O83" i="15"/>
  <c r="O90" i="15"/>
  <c r="O98" i="15"/>
  <c r="O110" i="15"/>
  <c r="O117" i="15"/>
  <c r="O133" i="15"/>
  <c r="O142" i="15"/>
  <c r="O154" i="15"/>
  <c r="O157" i="15" s="1"/>
  <c r="O159" i="15" s="1"/>
  <c r="O161" i="15"/>
  <c r="O169" i="15"/>
  <c r="O176" i="15"/>
  <c r="O179" i="15"/>
  <c r="O191" i="15"/>
  <c r="O199" i="15"/>
  <c r="O200" i="15"/>
  <c r="O205" i="15"/>
  <c r="O226" i="15"/>
  <c r="O231" i="15"/>
  <c r="O236" i="15"/>
  <c r="O241" i="15"/>
  <c r="O253" i="15"/>
  <c r="O258" i="15"/>
  <c r="O263" i="15"/>
  <c r="O268" i="15"/>
  <c r="O274" i="15"/>
  <c r="O279" i="15"/>
  <c r="O284" i="15"/>
  <c r="O292" i="15"/>
  <c r="O299" i="15"/>
  <c r="O305" i="15"/>
  <c r="O311" i="15"/>
  <c r="O317" i="15"/>
  <c r="O321" i="15"/>
  <c r="O338" i="15"/>
  <c r="O356" i="15"/>
  <c r="O372" i="15"/>
  <c r="O379" i="15"/>
  <c r="O384" i="15"/>
  <c r="O394" i="15"/>
  <c r="O398" i="15"/>
  <c r="O404" i="15"/>
  <c r="O405" i="15" s="1"/>
  <c r="O415" i="15"/>
  <c r="E415" i="15"/>
  <c r="I415" i="15"/>
  <c r="H415" i="15"/>
  <c r="G415" i="15"/>
  <c r="N415" i="15"/>
  <c r="N404" i="15"/>
  <c r="N405" i="15" s="1"/>
  <c r="M404" i="15"/>
  <c r="M405" i="15" s="1"/>
  <c r="L404" i="15"/>
  <c r="L405" i="15" s="1"/>
  <c r="K404" i="15"/>
  <c r="K405" i="15" s="1"/>
  <c r="J404" i="15"/>
  <c r="J405" i="15" s="1"/>
  <c r="I404" i="15"/>
  <c r="I405" i="15" s="1"/>
  <c r="H404" i="15"/>
  <c r="H405" i="15" s="1"/>
  <c r="G404" i="15"/>
  <c r="G405" i="15" s="1"/>
  <c r="F404" i="15"/>
  <c r="F405" i="15" s="1"/>
  <c r="E404" i="15"/>
  <c r="E405" i="15" s="1"/>
  <c r="D404" i="15"/>
  <c r="D405" i="15" s="1"/>
  <c r="N398" i="15"/>
  <c r="M398" i="15"/>
  <c r="L398" i="15"/>
  <c r="K398" i="15"/>
  <c r="J398" i="15"/>
  <c r="I398" i="15"/>
  <c r="H398" i="15"/>
  <c r="G398" i="15"/>
  <c r="F398" i="15"/>
  <c r="E398" i="15"/>
  <c r="D398" i="15"/>
  <c r="N394" i="15"/>
  <c r="M394" i="15"/>
  <c r="L394" i="15"/>
  <c r="K394" i="15"/>
  <c r="J394" i="15"/>
  <c r="I394" i="15"/>
  <c r="H394" i="15"/>
  <c r="G394" i="15"/>
  <c r="F394" i="15"/>
  <c r="E394" i="15"/>
  <c r="D394" i="15"/>
  <c r="N384" i="15"/>
  <c r="M384" i="15"/>
  <c r="L384" i="15"/>
  <c r="K384" i="15"/>
  <c r="J384" i="15"/>
  <c r="I384" i="15"/>
  <c r="H384" i="15"/>
  <c r="G384" i="15"/>
  <c r="F384" i="15"/>
  <c r="E384" i="15"/>
  <c r="D384" i="15"/>
  <c r="N379" i="15"/>
  <c r="M379" i="15"/>
  <c r="L379" i="15"/>
  <c r="K379" i="15"/>
  <c r="J379" i="15"/>
  <c r="I379" i="15"/>
  <c r="H379" i="15"/>
  <c r="G379" i="15"/>
  <c r="F379" i="15"/>
  <c r="E379" i="15"/>
  <c r="D379" i="15"/>
  <c r="N372" i="15"/>
  <c r="M372" i="15"/>
  <c r="L372" i="15"/>
  <c r="K372" i="15"/>
  <c r="J372" i="15"/>
  <c r="I372" i="15"/>
  <c r="H372" i="15"/>
  <c r="G372" i="15"/>
  <c r="F372" i="15"/>
  <c r="E372" i="15"/>
  <c r="D372" i="15"/>
  <c r="D364" i="15"/>
  <c r="E364" i="15" s="1"/>
  <c r="N356" i="15"/>
  <c r="M356" i="15"/>
  <c r="L356" i="15"/>
  <c r="K356" i="15"/>
  <c r="J356" i="15"/>
  <c r="I356" i="15"/>
  <c r="H356" i="15"/>
  <c r="G356" i="15"/>
  <c r="F356" i="15"/>
  <c r="E356" i="15"/>
  <c r="D356" i="15"/>
  <c r="D350" i="15"/>
  <c r="E350" i="15" s="1"/>
  <c r="F350" i="15" s="1"/>
  <c r="G350" i="15" s="1"/>
  <c r="H350" i="15" s="1"/>
  <c r="I350" i="15" s="1"/>
  <c r="J350" i="15" s="1"/>
  <c r="K350" i="15" s="1"/>
  <c r="L350" i="15" s="1"/>
  <c r="M350" i="15" s="1"/>
  <c r="N350" i="15" s="1"/>
  <c r="O350" i="15" s="1"/>
  <c r="P350" i="15" s="1"/>
  <c r="D344" i="15"/>
  <c r="E344" i="15" s="1"/>
  <c r="N338" i="15"/>
  <c r="M338" i="15"/>
  <c r="L338" i="15"/>
  <c r="K338" i="15"/>
  <c r="J338" i="15"/>
  <c r="I338" i="15"/>
  <c r="H338" i="15"/>
  <c r="G338" i="15"/>
  <c r="F338" i="15"/>
  <c r="E338" i="15"/>
  <c r="D338" i="15"/>
  <c r="N321" i="15"/>
  <c r="M321" i="15"/>
  <c r="L321" i="15"/>
  <c r="K321" i="15"/>
  <c r="J321" i="15"/>
  <c r="I321" i="15"/>
  <c r="H321" i="15"/>
  <c r="G321" i="15"/>
  <c r="F321" i="15"/>
  <c r="E321" i="15"/>
  <c r="D321" i="15"/>
  <c r="N317" i="15"/>
  <c r="M317" i="15"/>
  <c r="L317" i="15"/>
  <c r="K317" i="15"/>
  <c r="J317" i="15"/>
  <c r="I317" i="15"/>
  <c r="H317" i="15"/>
  <c r="G317" i="15"/>
  <c r="F317" i="15"/>
  <c r="E317" i="15"/>
  <c r="D317" i="15"/>
  <c r="N311" i="15"/>
  <c r="M311" i="15"/>
  <c r="L311" i="15"/>
  <c r="K311" i="15"/>
  <c r="J311" i="15"/>
  <c r="I311" i="15"/>
  <c r="H311" i="15"/>
  <c r="G311" i="15"/>
  <c r="F311" i="15"/>
  <c r="E311" i="15"/>
  <c r="D311" i="15"/>
  <c r="N305" i="15"/>
  <c r="M305" i="15"/>
  <c r="L305" i="15"/>
  <c r="K305" i="15"/>
  <c r="J305" i="15"/>
  <c r="I305" i="15"/>
  <c r="H305" i="15"/>
  <c r="G305" i="15"/>
  <c r="F305" i="15"/>
  <c r="E305" i="15"/>
  <c r="D305" i="15"/>
  <c r="N299" i="15"/>
  <c r="M299" i="15"/>
  <c r="L299" i="15"/>
  <c r="K299" i="15"/>
  <c r="J299" i="15"/>
  <c r="I299" i="15"/>
  <c r="H299" i="15"/>
  <c r="G299" i="15"/>
  <c r="F299" i="15"/>
  <c r="E299" i="15"/>
  <c r="D299" i="15"/>
  <c r="N292" i="15"/>
  <c r="M292" i="15"/>
  <c r="L292" i="15"/>
  <c r="K292" i="15"/>
  <c r="J292" i="15"/>
  <c r="I292" i="15"/>
  <c r="H292" i="15"/>
  <c r="G292" i="15"/>
  <c r="F292" i="15"/>
  <c r="E292" i="15"/>
  <c r="D292" i="15"/>
  <c r="N284" i="15"/>
  <c r="M284" i="15"/>
  <c r="L284" i="15"/>
  <c r="K284" i="15"/>
  <c r="J284" i="15"/>
  <c r="I284" i="15"/>
  <c r="H284" i="15"/>
  <c r="G284" i="15"/>
  <c r="F284" i="15"/>
  <c r="E284" i="15"/>
  <c r="D284" i="15"/>
  <c r="N279" i="15"/>
  <c r="M279" i="15"/>
  <c r="L279" i="15"/>
  <c r="K279" i="15"/>
  <c r="J279" i="15"/>
  <c r="I279" i="15"/>
  <c r="H279" i="15"/>
  <c r="G279" i="15"/>
  <c r="F279" i="15"/>
  <c r="E279" i="15"/>
  <c r="D279" i="15"/>
  <c r="N274" i="15"/>
  <c r="M274" i="15"/>
  <c r="L274" i="15"/>
  <c r="K274" i="15"/>
  <c r="J274" i="15"/>
  <c r="I274" i="15"/>
  <c r="H274" i="15"/>
  <c r="G274" i="15"/>
  <c r="F274" i="15"/>
  <c r="E274" i="15"/>
  <c r="D274" i="15"/>
  <c r="N268" i="15"/>
  <c r="M268" i="15"/>
  <c r="L268" i="15"/>
  <c r="K268" i="15"/>
  <c r="J268" i="15"/>
  <c r="I268" i="15"/>
  <c r="H268" i="15"/>
  <c r="G268" i="15"/>
  <c r="F268" i="15"/>
  <c r="E268" i="15"/>
  <c r="D268" i="15"/>
  <c r="N263" i="15"/>
  <c r="M263" i="15"/>
  <c r="L263" i="15"/>
  <c r="K263" i="15"/>
  <c r="J263" i="15"/>
  <c r="I263" i="15"/>
  <c r="H263" i="15"/>
  <c r="G263" i="15"/>
  <c r="F263" i="15"/>
  <c r="E263" i="15"/>
  <c r="D263" i="15"/>
  <c r="N258" i="15"/>
  <c r="M258" i="15"/>
  <c r="L258" i="15"/>
  <c r="K258" i="15"/>
  <c r="J258" i="15"/>
  <c r="I258" i="15"/>
  <c r="H258" i="15"/>
  <c r="G258" i="15"/>
  <c r="F258" i="15"/>
  <c r="E258" i="15"/>
  <c r="D258" i="15"/>
  <c r="N253" i="15"/>
  <c r="M253" i="15"/>
  <c r="L253" i="15"/>
  <c r="K253" i="15"/>
  <c r="J253" i="15"/>
  <c r="I253" i="15"/>
  <c r="H253" i="15"/>
  <c r="G253" i="15"/>
  <c r="F253" i="15"/>
  <c r="E253" i="15"/>
  <c r="D253" i="15"/>
  <c r="N241" i="15"/>
  <c r="M241" i="15"/>
  <c r="L241" i="15"/>
  <c r="K241" i="15"/>
  <c r="J241" i="15"/>
  <c r="I241" i="15"/>
  <c r="H241" i="15"/>
  <c r="G241" i="15"/>
  <c r="F241" i="15"/>
  <c r="E241" i="15"/>
  <c r="D241" i="15"/>
  <c r="N236" i="15"/>
  <c r="M236" i="15"/>
  <c r="L236" i="15"/>
  <c r="K236" i="15"/>
  <c r="J236" i="15"/>
  <c r="I236" i="15"/>
  <c r="H236" i="15"/>
  <c r="G236" i="15"/>
  <c r="F236" i="15"/>
  <c r="E236" i="15"/>
  <c r="D236" i="15"/>
  <c r="N231" i="15"/>
  <c r="M231" i="15"/>
  <c r="L231" i="15"/>
  <c r="K231" i="15"/>
  <c r="J231" i="15"/>
  <c r="I231" i="15"/>
  <c r="H231" i="15"/>
  <c r="G231" i="15"/>
  <c r="F231" i="15"/>
  <c r="E231" i="15"/>
  <c r="D231" i="15"/>
  <c r="N226" i="15"/>
  <c r="M226" i="15"/>
  <c r="L226" i="15"/>
  <c r="K226" i="15"/>
  <c r="J226" i="15"/>
  <c r="I226" i="15"/>
  <c r="H226" i="15"/>
  <c r="G226" i="15"/>
  <c r="F226" i="15"/>
  <c r="E226" i="15"/>
  <c r="D226" i="15"/>
  <c r="N205" i="15"/>
  <c r="M205" i="15"/>
  <c r="L205" i="15"/>
  <c r="K205" i="15"/>
  <c r="J205" i="15"/>
  <c r="I205" i="15"/>
  <c r="H205" i="15"/>
  <c r="G205" i="15"/>
  <c r="F205" i="15"/>
  <c r="E205" i="15"/>
  <c r="D205" i="15"/>
  <c r="N200" i="15"/>
  <c r="M200" i="15"/>
  <c r="L200" i="15"/>
  <c r="K200" i="15"/>
  <c r="J200" i="15"/>
  <c r="I200" i="15"/>
  <c r="H200" i="15"/>
  <c r="G200" i="15"/>
  <c r="F200" i="15"/>
  <c r="E200" i="15"/>
  <c r="D200" i="15"/>
  <c r="N199" i="15"/>
  <c r="M199" i="15"/>
  <c r="L199" i="15"/>
  <c r="K199" i="15"/>
  <c r="J199" i="15"/>
  <c r="I199" i="15"/>
  <c r="H199" i="15"/>
  <c r="G199" i="15"/>
  <c r="F199" i="15"/>
  <c r="E199" i="15"/>
  <c r="D199" i="15"/>
  <c r="N191" i="15"/>
  <c r="M191" i="15"/>
  <c r="L191" i="15"/>
  <c r="K191" i="15"/>
  <c r="J191" i="15"/>
  <c r="I191" i="15"/>
  <c r="H191" i="15"/>
  <c r="G191" i="15"/>
  <c r="F191" i="15"/>
  <c r="E191" i="15"/>
  <c r="D191" i="15"/>
  <c r="N179" i="15"/>
  <c r="M179" i="15"/>
  <c r="L179" i="15"/>
  <c r="K179" i="15"/>
  <c r="J179" i="15"/>
  <c r="I179" i="15"/>
  <c r="H179" i="15"/>
  <c r="G179" i="15"/>
  <c r="F179" i="15"/>
  <c r="E179" i="15"/>
  <c r="D179" i="15"/>
  <c r="N176" i="15"/>
  <c r="M176" i="15"/>
  <c r="L176" i="15"/>
  <c r="K176" i="15"/>
  <c r="J176" i="15"/>
  <c r="I176" i="15"/>
  <c r="H176" i="15"/>
  <c r="G176" i="15"/>
  <c r="F176" i="15"/>
  <c r="E176" i="15"/>
  <c r="D176" i="15"/>
  <c r="N169" i="15"/>
  <c r="M169" i="15"/>
  <c r="L169" i="15"/>
  <c r="K169" i="15"/>
  <c r="J169" i="15"/>
  <c r="I169" i="15"/>
  <c r="H169" i="15"/>
  <c r="G169" i="15"/>
  <c r="F169" i="15"/>
  <c r="E169" i="15"/>
  <c r="D169" i="15"/>
  <c r="N161" i="15"/>
  <c r="M161" i="15"/>
  <c r="L161" i="15"/>
  <c r="K161" i="15"/>
  <c r="J161" i="15"/>
  <c r="I161" i="15"/>
  <c r="H161" i="15"/>
  <c r="G161" i="15"/>
  <c r="F161" i="15"/>
  <c r="E161" i="15"/>
  <c r="D161" i="15"/>
  <c r="N154" i="15"/>
  <c r="N157" i="15" s="1"/>
  <c r="N159" i="15" s="1"/>
  <c r="M154" i="15"/>
  <c r="M157" i="15" s="1"/>
  <c r="M159" i="15" s="1"/>
  <c r="L154" i="15"/>
  <c r="L157" i="15" s="1"/>
  <c r="L159" i="15" s="1"/>
  <c r="K154" i="15"/>
  <c r="K157" i="15" s="1"/>
  <c r="K159" i="15" s="1"/>
  <c r="J154" i="15"/>
  <c r="J157" i="15" s="1"/>
  <c r="J159" i="15" s="1"/>
  <c r="I154" i="15"/>
  <c r="I157" i="15" s="1"/>
  <c r="I159" i="15" s="1"/>
  <c r="H154" i="15"/>
  <c r="H157" i="15" s="1"/>
  <c r="H159" i="15" s="1"/>
  <c r="G154" i="15"/>
  <c r="G157" i="15" s="1"/>
  <c r="G159" i="15" s="1"/>
  <c r="F154" i="15"/>
  <c r="F157" i="15" s="1"/>
  <c r="F159" i="15" s="1"/>
  <c r="E154" i="15"/>
  <c r="E157" i="15" s="1"/>
  <c r="E159" i="15" s="1"/>
  <c r="D154" i="15"/>
  <c r="D157" i="15" s="1"/>
  <c r="D159" i="15" s="1"/>
  <c r="N142" i="15"/>
  <c r="M142" i="15"/>
  <c r="L142" i="15"/>
  <c r="K142" i="15"/>
  <c r="J142" i="15"/>
  <c r="I142" i="15"/>
  <c r="H142" i="15"/>
  <c r="G142" i="15"/>
  <c r="F142" i="15"/>
  <c r="E142" i="15"/>
  <c r="D142" i="15"/>
  <c r="N133" i="15"/>
  <c r="M133" i="15"/>
  <c r="L133" i="15"/>
  <c r="K133" i="15"/>
  <c r="J133" i="15"/>
  <c r="I133" i="15"/>
  <c r="H133" i="15"/>
  <c r="G133" i="15"/>
  <c r="F133" i="15"/>
  <c r="E133" i="15"/>
  <c r="D133" i="15"/>
  <c r="D144" i="15" s="1"/>
  <c r="N117" i="15"/>
  <c r="M117" i="15"/>
  <c r="L117" i="15"/>
  <c r="K117" i="15"/>
  <c r="J117" i="15"/>
  <c r="I117" i="15"/>
  <c r="H117" i="15"/>
  <c r="G117" i="15"/>
  <c r="F117" i="15"/>
  <c r="E117" i="15"/>
  <c r="D117" i="15"/>
  <c r="N110" i="15"/>
  <c r="M110" i="15"/>
  <c r="L110" i="15"/>
  <c r="K110" i="15"/>
  <c r="J110" i="15"/>
  <c r="I110" i="15"/>
  <c r="H110" i="15"/>
  <c r="G110" i="15"/>
  <c r="F110" i="15"/>
  <c r="E110" i="15"/>
  <c r="D110" i="15"/>
  <c r="N98" i="15"/>
  <c r="M98" i="15"/>
  <c r="L98" i="15"/>
  <c r="K98" i="15"/>
  <c r="J98" i="15"/>
  <c r="I98" i="15"/>
  <c r="H98" i="15"/>
  <c r="G98" i="15"/>
  <c r="F98" i="15"/>
  <c r="E98" i="15"/>
  <c r="D98" i="15"/>
  <c r="N90" i="15"/>
  <c r="M90" i="15"/>
  <c r="L90" i="15"/>
  <c r="K90" i="15"/>
  <c r="J90" i="15"/>
  <c r="I90" i="15"/>
  <c r="H90" i="15"/>
  <c r="G90" i="15"/>
  <c r="F90" i="15"/>
  <c r="E90" i="15"/>
  <c r="D90" i="15"/>
  <c r="N83" i="15"/>
  <c r="M83" i="15"/>
  <c r="L83" i="15"/>
  <c r="K83" i="15"/>
  <c r="J83" i="15"/>
  <c r="I83" i="15"/>
  <c r="H83" i="15"/>
  <c r="G83" i="15"/>
  <c r="F83" i="15"/>
  <c r="E83" i="15"/>
  <c r="D83" i="15"/>
  <c r="N79" i="15"/>
  <c r="M79" i="15"/>
  <c r="L79" i="15"/>
  <c r="K79" i="15"/>
  <c r="J79" i="15"/>
  <c r="I79" i="15"/>
  <c r="H79" i="15"/>
  <c r="G79" i="15"/>
  <c r="F79" i="15"/>
  <c r="E79" i="15"/>
  <c r="D79" i="15"/>
  <c r="N72" i="15"/>
  <c r="M72" i="15"/>
  <c r="L72" i="15"/>
  <c r="K72" i="15"/>
  <c r="J72" i="15"/>
  <c r="I72" i="15"/>
  <c r="H72" i="15"/>
  <c r="G72" i="15"/>
  <c r="F72" i="15"/>
  <c r="E72" i="15"/>
  <c r="D72" i="15"/>
  <c r="N55" i="15"/>
  <c r="M55" i="15"/>
  <c r="L55" i="15"/>
  <c r="K55" i="15"/>
  <c r="J55" i="15"/>
  <c r="I55" i="15"/>
  <c r="H55" i="15"/>
  <c r="G55" i="15"/>
  <c r="F55" i="15"/>
  <c r="E55" i="15"/>
  <c r="D55" i="15"/>
  <c r="N38" i="15"/>
  <c r="M38" i="15"/>
  <c r="L38" i="15"/>
  <c r="K38" i="15"/>
  <c r="J38" i="15"/>
  <c r="I38" i="15"/>
  <c r="H38" i="15"/>
  <c r="G38" i="15"/>
  <c r="F38" i="15"/>
  <c r="E38" i="15"/>
  <c r="D38" i="15"/>
  <c r="N26" i="15"/>
  <c r="N34" i="15" s="1"/>
  <c r="M26" i="15"/>
  <c r="M34" i="15" s="1"/>
  <c r="L26" i="15"/>
  <c r="L34" i="15" s="1"/>
  <c r="K26" i="15"/>
  <c r="K34" i="15" s="1"/>
  <c r="J26" i="15"/>
  <c r="J34" i="15" s="1"/>
  <c r="I26" i="15"/>
  <c r="I34" i="15" s="1"/>
  <c r="H26" i="15"/>
  <c r="H34" i="15" s="1"/>
  <c r="G26" i="15"/>
  <c r="G34" i="15" s="1"/>
  <c r="F26" i="15"/>
  <c r="F34" i="15" s="1"/>
  <c r="E26" i="15"/>
  <c r="E34" i="15" s="1"/>
  <c r="D26" i="15"/>
  <c r="D34" i="15" s="1"/>
  <c r="N23" i="15"/>
  <c r="M23" i="15"/>
  <c r="L23" i="15"/>
  <c r="K23" i="15"/>
  <c r="J23" i="15"/>
  <c r="I23" i="15"/>
  <c r="H23" i="15"/>
  <c r="G23" i="15"/>
  <c r="F23" i="15"/>
  <c r="E23" i="15"/>
  <c r="D23" i="15"/>
  <c r="N14" i="15"/>
  <c r="M14" i="15"/>
  <c r="L14" i="15"/>
  <c r="K14" i="15"/>
  <c r="J14" i="15"/>
  <c r="I14" i="15"/>
  <c r="H14" i="15"/>
  <c r="G14" i="15"/>
  <c r="F14" i="15"/>
  <c r="E14" i="15"/>
  <c r="D14" i="15"/>
  <c r="C1" i="14"/>
  <c r="T210" i="5"/>
  <c r="S210" i="5"/>
  <c r="R210" i="5"/>
  <c r="Q210" i="5"/>
  <c r="P210" i="5"/>
  <c r="O210" i="5"/>
  <c r="N210" i="5"/>
  <c r="M210" i="5"/>
  <c r="L210" i="5"/>
  <c r="K210" i="5"/>
  <c r="J210" i="5"/>
  <c r="I210" i="5"/>
  <c r="H210" i="5"/>
  <c r="G210" i="5"/>
  <c r="F210" i="5"/>
  <c r="E210" i="5"/>
  <c r="D210" i="5"/>
  <c r="C210" i="5"/>
  <c r="B210" i="5"/>
  <c r="T209" i="5"/>
  <c r="S209" i="5"/>
  <c r="R209" i="5"/>
  <c r="Q209" i="5"/>
  <c r="P209" i="5"/>
  <c r="O209" i="5"/>
  <c r="N209" i="5"/>
  <c r="M209" i="5"/>
  <c r="L209" i="5"/>
  <c r="K209" i="5"/>
  <c r="J209" i="5"/>
  <c r="I209" i="5"/>
  <c r="H209" i="5"/>
  <c r="G209" i="5"/>
  <c r="F209" i="5"/>
  <c r="E209" i="5"/>
  <c r="D209" i="5"/>
  <c r="C209" i="5"/>
  <c r="B209" i="5"/>
  <c r="T208" i="5"/>
  <c r="S208" i="5"/>
  <c r="R208" i="5"/>
  <c r="Q208" i="5"/>
  <c r="P208" i="5"/>
  <c r="O208" i="5"/>
  <c r="N208" i="5"/>
  <c r="M208" i="5"/>
  <c r="L208" i="5"/>
  <c r="K208" i="5"/>
  <c r="J208" i="5"/>
  <c r="I208" i="5"/>
  <c r="H208" i="5"/>
  <c r="G208" i="5"/>
  <c r="F208" i="5"/>
  <c r="E208" i="5"/>
  <c r="D208" i="5"/>
  <c r="C208" i="5"/>
  <c r="B208" i="5"/>
  <c r="T207" i="5"/>
  <c r="S207" i="5"/>
  <c r="R207" i="5"/>
  <c r="Q207" i="5"/>
  <c r="P207" i="5"/>
  <c r="O207" i="5"/>
  <c r="N207" i="5"/>
  <c r="M207" i="5"/>
  <c r="L207" i="5"/>
  <c r="K207" i="5"/>
  <c r="J207" i="5"/>
  <c r="I207" i="5"/>
  <c r="H207" i="5"/>
  <c r="G207" i="5"/>
  <c r="F207" i="5"/>
  <c r="E207" i="5"/>
  <c r="D207" i="5"/>
  <c r="C207" i="5"/>
  <c r="B207" i="5"/>
  <c r="T206" i="5"/>
  <c r="S206" i="5"/>
  <c r="R206" i="5"/>
  <c r="Q206" i="5"/>
  <c r="P206" i="5"/>
  <c r="O206" i="5"/>
  <c r="N206" i="5"/>
  <c r="M206" i="5"/>
  <c r="L206" i="5"/>
  <c r="K206" i="5"/>
  <c r="J206" i="5"/>
  <c r="I206" i="5"/>
  <c r="H206" i="5"/>
  <c r="G206" i="5"/>
  <c r="F206" i="5"/>
  <c r="E206" i="5"/>
  <c r="D206" i="5"/>
  <c r="C206" i="5"/>
  <c r="B206" i="5"/>
  <c r="T205" i="5"/>
  <c r="S205" i="5"/>
  <c r="R205" i="5"/>
  <c r="Q205" i="5"/>
  <c r="P205" i="5"/>
  <c r="O205" i="5"/>
  <c r="N205" i="5"/>
  <c r="M205" i="5"/>
  <c r="L205" i="5"/>
  <c r="K205" i="5"/>
  <c r="J205" i="5"/>
  <c r="I205" i="5"/>
  <c r="H205" i="5"/>
  <c r="G205" i="5"/>
  <c r="F205" i="5"/>
  <c r="E205" i="5"/>
  <c r="D205" i="5"/>
  <c r="C205" i="5"/>
  <c r="B205" i="5"/>
  <c r="T204" i="5"/>
  <c r="S204" i="5"/>
  <c r="R204" i="5"/>
  <c r="Q204" i="5"/>
  <c r="P204" i="5"/>
  <c r="O204" i="5"/>
  <c r="N204" i="5"/>
  <c r="M204" i="5"/>
  <c r="L204" i="5"/>
  <c r="K204" i="5"/>
  <c r="J204" i="5"/>
  <c r="I204" i="5"/>
  <c r="H204" i="5"/>
  <c r="G204" i="5"/>
  <c r="F204" i="5"/>
  <c r="E204" i="5"/>
  <c r="D204" i="5"/>
  <c r="C204" i="5"/>
  <c r="B204" i="5"/>
  <c r="T203" i="5"/>
  <c r="S203" i="5"/>
  <c r="R203" i="5"/>
  <c r="Q203" i="5"/>
  <c r="P203" i="5"/>
  <c r="O203" i="5"/>
  <c r="N203" i="5"/>
  <c r="M203" i="5"/>
  <c r="L203" i="5"/>
  <c r="K203" i="5"/>
  <c r="J203" i="5"/>
  <c r="I203" i="5"/>
  <c r="H203" i="5"/>
  <c r="G203" i="5"/>
  <c r="F203" i="5"/>
  <c r="E203" i="5"/>
  <c r="D203" i="5"/>
  <c r="C203" i="5"/>
  <c r="B203" i="5"/>
  <c r="T202" i="5"/>
  <c r="S202" i="5"/>
  <c r="R202" i="5"/>
  <c r="Q202" i="5"/>
  <c r="P202" i="5"/>
  <c r="O202" i="5"/>
  <c r="N202" i="5"/>
  <c r="M202" i="5"/>
  <c r="L202" i="5"/>
  <c r="K202" i="5"/>
  <c r="J202" i="5"/>
  <c r="I202" i="5"/>
  <c r="H202" i="5"/>
  <c r="G202" i="5"/>
  <c r="F202" i="5"/>
  <c r="E202" i="5"/>
  <c r="D202" i="5"/>
  <c r="C202" i="5"/>
  <c r="B202" i="5"/>
  <c r="T201" i="5"/>
  <c r="S201" i="5"/>
  <c r="R201" i="5"/>
  <c r="Q201" i="5"/>
  <c r="P201" i="5"/>
  <c r="O201" i="5"/>
  <c r="N201" i="5"/>
  <c r="M201" i="5"/>
  <c r="L201" i="5"/>
  <c r="K201" i="5"/>
  <c r="J201" i="5"/>
  <c r="I201" i="5"/>
  <c r="H201" i="5"/>
  <c r="G201" i="5"/>
  <c r="F201" i="5"/>
  <c r="E201" i="5"/>
  <c r="D201" i="5"/>
  <c r="C201" i="5"/>
  <c r="B201" i="5"/>
  <c r="T200" i="5"/>
  <c r="S200" i="5"/>
  <c r="R200" i="5"/>
  <c r="Q200" i="5"/>
  <c r="P200" i="5"/>
  <c r="O200" i="5"/>
  <c r="N200" i="5"/>
  <c r="M200" i="5"/>
  <c r="L200" i="5"/>
  <c r="K200" i="5"/>
  <c r="J200" i="5"/>
  <c r="I200" i="5"/>
  <c r="H200" i="5"/>
  <c r="G200" i="5"/>
  <c r="F200" i="5"/>
  <c r="E200" i="5"/>
  <c r="D200" i="5"/>
  <c r="C200" i="5"/>
  <c r="B200" i="5"/>
  <c r="T199" i="5"/>
  <c r="S199" i="5"/>
  <c r="R199" i="5"/>
  <c r="Q199" i="5"/>
  <c r="P199" i="5"/>
  <c r="O199" i="5"/>
  <c r="N199" i="5"/>
  <c r="M199" i="5"/>
  <c r="L199" i="5"/>
  <c r="K199" i="5"/>
  <c r="J199" i="5"/>
  <c r="I199" i="5"/>
  <c r="H199" i="5"/>
  <c r="G199" i="5"/>
  <c r="F199" i="5"/>
  <c r="E199" i="5"/>
  <c r="D199" i="5"/>
  <c r="C199" i="5"/>
  <c r="B199" i="5"/>
  <c r="T198" i="5"/>
  <c r="S198" i="5"/>
  <c r="R198" i="5"/>
  <c r="Q198" i="5"/>
  <c r="P198" i="5"/>
  <c r="O198" i="5"/>
  <c r="N198" i="5"/>
  <c r="M198" i="5"/>
  <c r="L198" i="5"/>
  <c r="K198" i="5"/>
  <c r="J198" i="5"/>
  <c r="I198" i="5"/>
  <c r="H198" i="5"/>
  <c r="G198" i="5"/>
  <c r="F198" i="5"/>
  <c r="E198" i="5"/>
  <c r="D198" i="5"/>
  <c r="C198" i="5"/>
  <c r="B198" i="5"/>
  <c r="T197" i="5"/>
  <c r="S197" i="5"/>
  <c r="R197" i="5"/>
  <c r="Q197" i="5"/>
  <c r="P197" i="5"/>
  <c r="O197" i="5"/>
  <c r="N197" i="5"/>
  <c r="M197" i="5"/>
  <c r="L197" i="5"/>
  <c r="K197" i="5"/>
  <c r="J197" i="5"/>
  <c r="I197" i="5"/>
  <c r="H197" i="5"/>
  <c r="G197" i="5"/>
  <c r="F197" i="5"/>
  <c r="E197" i="5"/>
  <c r="D197" i="5"/>
  <c r="C197" i="5"/>
  <c r="B197" i="5"/>
  <c r="T196" i="5"/>
  <c r="S196" i="5"/>
  <c r="R196" i="5"/>
  <c r="Q196" i="5"/>
  <c r="P196" i="5"/>
  <c r="O196" i="5"/>
  <c r="N196" i="5"/>
  <c r="M196" i="5"/>
  <c r="L196" i="5"/>
  <c r="K196" i="5"/>
  <c r="J196" i="5"/>
  <c r="I196" i="5"/>
  <c r="H196" i="5"/>
  <c r="G196" i="5"/>
  <c r="F196" i="5"/>
  <c r="E196" i="5"/>
  <c r="D196" i="5"/>
  <c r="C196" i="5"/>
  <c r="B196" i="5"/>
  <c r="T195" i="5"/>
  <c r="S195" i="5"/>
  <c r="R195" i="5"/>
  <c r="Q195" i="5"/>
  <c r="P195" i="5"/>
  <c r="O195" i="5"/>
  <c r="N195" i="5"/>
  <c r="M195" i="5"/>
  <c r="L195" i="5"/>
  <c r="K195" i="5"/>
  <c r="J195" i="5"/>
  <c r="I195" i="5"/>
  <c r="H195" i="5"/>
  <c r="G195" i="5"/>
  <c r="F195" i="5"/>
  <c r="E195" i="5"/>
  <c r="D195" i="5"/>
  <c r="C195" i="5"/>
  <c r="B195" i="5"/>
  <c r="T194" i="5"/>
  <c r="S194" i="5"/>
  <c r="R194" i="5"/>
  <c r="Q194" i="5"/>
  <c r="P194" i="5"/>
  <c r="O194" i="5"/>
  <c r="N194" i="5"/>
  <c r="M194" i="5"/>
  <c r="L194" i="5"/>
  <c r="K194" i="5"/>
  <c r="J194" i="5"/>
  <c r="I194" i="5"/>
  <c r="H194" i="5"/>
  <c r="G194" i="5"/>
  <c r="F194" i="5"/>
  <c r="E194" i="5"/>
  <c r="D194" i="5"/>
  <c r="C194" i="5"/>
  <c r="B194" i="5"/>
  <c r="T193" i="5"/>
  <c r="S193" i="5"/>
  <c r="R193" i="5"/>
  <c r="Q193" i="5"/>
  <c r="P193" i="5"/>
  <c r="O193" i="5"/>
  <c r="N193" i="5"/>
  <c r="M193" i="5"/>
  <c r="L193" i="5"/>
  <c r="K193" i="5"/>
  <c r="J193" i="5"/>
  <c r="I193" i="5"/>
  <c r="H193" i="5"/>
  <c r="G193" i="5"/>
  <c r="F193" i="5"/>
  <c r="E193" i="5"/>
  <c r="D193" i="5"/>
  <c r="C193" i="5"/>
  <c r="B193" i="5"/>
  <c r="T192" i="5"/>
  <c r="S192" i="5"/>
  <c r="R192" i="5"/>
  <c r="Q192" i="5"/>
  <c r="P192" i="5"/>
  <c r="O192" i="5"/>
  <c r="N192" i="5"/>
  <c r="M192" i="5"/>
  <c r="L192" i="5"/>
  <c r="K192" i="5"/>
  <c r="J192" i="5"/>
  <c r="I192" i="5"/>
  <c r="H192" i="5"/>
  <c r="G192" i="5"/>
  <c r="F192" i="5"/>
  <c r="E192" i="5"/>
  <c r="D192" i="5"/>
  <c r="C192" i="5"/>
  <c r="B192" i="5"/>
  <c r="T191" i="5"/>
  <c r="S191" i="5"/>
  <c r="R191" i="5"/>
  <c r="Q191" i="5"/>
  <c r="P191" i="5"/>
  <c r="O191" i="5"/>
  <c r="N191" i="5"/>
  <c r="M191" i="5"/>
  <c r="L191" i="5"/>
  <c r="K191" i="5"/>
  <c r="J191" i="5"/>
  <c r="I191" i="5"/>
  <c r="H191" i="5"/>
  <c r="G191" i="5"/>
  <c r="F191" i="5"/>
  <c r="E191" i="5"/>
  <c r="D191" i="5"/>
  <c r="C191" i="5"/>
  <c r="B191" i="5"/>
  <c r="T190" i="5"/>
  <c r="S190" i="5"/>
  <c r="R190" i="5"/>
  <c r="Q190" i="5"/>
  <c r="P190" i="5"/>
  <c r="O190" i="5"/>
  <c r="N190" i="5"/>
  <c r="M190" i="5"/>
  <c r="L190" i="5"/>
  <c r="K190" i="5"/>
  <c r="J190" i="5"/>
  <c r="I190" i="5"/>
  <c r="H190" i="5"/>
  <c r="G190" i="5"/>
  <c r="F190" i="5"/>
  <c r="E190" i="5"/>
  <c r="D190" i="5"/>
  <c r="C190" i="5"/>
  <c r="B190" i="5"/>
  <c r="T189" i="5"/>
  <c r="S189" i="5"/>
  <c r="R189" i="5"/>
  <c r="Q189" i="5"/>
  <c r="P189" i="5"/>
  <c r="O189" i="5"/>
  <c r="N189" i="5"/>
  <c r="M189" i="5"/>
  <c r="L189" i="5"/>
  <c r="K189" i="5"/>
  <c r="J189" i="5"/>
  <c r="I189" i="5"/>
  <c r="H189" i="5"/>
  <c r="G189" i="5"/>
  <c r="F189" i="5"/>
  <c r="E189" i="5"/>
  <c r="D189" i="5"/>
  <c r="C189" i="5"/>
  <c r="B189" i="5"/>
  <c r="T188" i="5"/>
  <c r="S188" i="5"/>
  <c r="R188" i="5"/>
  <c r="Q188" i="5"/>
  <c r="P188" i="5"/>
  <c r="O188" i="5"/>
  <c r="N188" i="5"/>
  <c r="M188" i="5"/>
  <c r="L188" i="5"/>
  <c r="K188" i="5"/>
  <c r="J188" i="5"/>
  <c r="I188" i="5"/>
  <c r="H188" i="5"/>
  <c r="G188" i="5"/>
  <c r="F188" i="5"/>
  <c r="E188" i="5"/>
  <c r="D188" i="5"/>
  <c r="C188" i="5"/>
  <c r="B188" i="5"/>
  <c r="T187" i="5"/>
  <c r="S187" i="5"/>
  <c r="R187" i="5"/>
  <c r="Q187" i="5"/>
  <c r="P187" i="5"/>
  <c r="O187" i="5"/>
  <c r="N187" i="5"/>
  <c r="M187" i="5"/>
  <c r="L187" i="5"/>
  <c r="K187" i="5"/>
  <c r="J187" i="5"/>
  <c r="I187" i="5"/>
  <c r="H187" i="5"/>
  <c r="G187" i="5"/>
  <c r="F187" i="5"/>
  <c r="E187" i="5"/>
  <c r="D187" i="5"/>
  <c r="C187" i="5"/>
  <c r="B187" i="5"/>
  <c r="T186" i="5"/>
  <c r="S186" i="5"/>
  <c r="R186" i="5"/>
  <c r="Q186" i="5"/>
  <c r="P186" i="5"/>
  <c r="O186" i="5"/>
  <c r="N186" i="5"/>
  <c r="M186" i="5"/>
  <c r="L186" i="5"/>
  <c r="K186" i="5"/>
  <c r="J186" i="5"/>
  <c r="I186" i="5"/>
  <c r="H186" i="5"/>
  <c r="G186" i="5"/>
  <c r="F186" i="5"/>
  <c r="E186" i="5"/>
  <c r="D186" i="5"/>
  <c r="C186" i="5"/>
  <c r="B186" i="5"/>
  <c r="T185" i="5"/>
  <c r="S185" i="5"/>
  <c r="R185" i="5"/>
  <c r="Q185" i="5"/>
  <c r="P185" i="5"/>
  <c r="O185" i="5"/>
  <c r="N185" i="5"/>
  <c r="M185" i="5"/>
  <c r="L185" i="5"/>
  <c r="K185" i="5"/>
  <c r="J185" i="5"/>
  <c r="I185" i="5"/>
  <c r="H185" i="5"/>
  <c r="G185" i="5"/>
  <c r="F185" i="5"/>
  <c r="E185" i="5"/>
  <c r="D185" i="5"/>
  <c r="C185" i="5"/>
  <c r="B185" i="5"/>
  <c r="T184" i="5"/>
  <c r="S184" i="5"/>
  <c r="R184" i="5"/>
  <c r="Q184" i="5"/>
  <c r="P184" i="5"/>
  <c r="O184" i="5"/>
  <c r="N184" i="5"/>
  <c r="M184" i="5"/>
  <c r="L184" i="5"/>
  <c r="K184" i="5"/>
  <c r="J184" i="5"/>
  <c r="I184" i="5"/>
  <c r="H184" i="5"/>
  <c r="G184" i="5"/>
  <c r="F184" i="5"/>
  <c r="E184" i="5"/>
  <c r="D184" i="5"/>
  <c r="C184" i="5"/>
  <c r="B184" i="5"/>
  <c r="T183" i="5"/>
  <c r="S183" i="5"/>
  <c r="R183" i="5"/>
  <c r="Q183" i="5"/>
  <c r="P183" i="5"/>
  <c r="O183" i="5"/>
  <c r="N183" i="5"/>
  <c r="M183" i="5"/>
  <c r="L183" i="5"/>
  <c r="K183" i="5"/>
  <c r="J183" i="5"/>
  <c r="I183" i="5"/>
  <c r="H183" i="5"/>
  <c r="G183" i="5"/>
  <c r="F183" i="5"/>
  <c r="E183" i="5"/>
  <c r="D183" i="5"/>
  <c r="C183" i="5"/>
  <c r="B183" i="5"/>
  <c r="T182" i="5"/>
  <c r="S182" i="5"/>
  <c r="R182" i="5"/>
  <c r="Q182" i="5"/>
  <c r="P182" i="5"/>
  <c r="O182" i="5"/>
  <c r="N182" i="5"/>
  <c r="M182" i="5"/>
  <c r="L182" i="5"/>
  <c r="K182" i="5"/>
  <c r="J182" i="5"/>
  <c r="I182" i="5"/>
  <c r="H182" i="5"/>
  <c r="G182" i="5"/>
  <c r="F182" i="5"/>
  <c r="E182" i="5"/>
  <c r="D182" i="5"/>
  <c r="C182" i="5"/>
  <c r="B182" i="5"/>
  <c r="T181" i="5"/>
  <c r="S181" i="5"/>
  <c r="R181" i="5"/>
  <c r="Q181" i="5"/>
  <c r="P181" i="5"/>
  <c r="O181" i="5"/>
  <c r="N181" i="5"/>
  <c r="M181" i="5"/>
  <c r="L181" i="5"/>
  <c r="K181" i="5"/>
  <c r="J181" i="5"/>
  <c r="I181" i="5"/>
  <c r="H181" i="5"/>
  <c r="G181" i="5"/>
  <c r="F181" i="5"/>
  <c r="E181" i="5"/>
  <c r="D181" i="5"/>
  <c r="C181" i="5"/>
  <c r="B181" i="5"/>
  <c r="T180" i="5"/>
  <c r="S180" i="5"/>
  <c r="R180" i="5"/>
  <c r="Q180" i="5"/>
  <c r="P180" i="5"/>
  <c r="O180" i="5"/>
  <c r="N180" i="5"/>
  <c r="M180" i="5"/>
  <c r="L180" i="5"/>
  <c r="K180" i="5"/>
  <c r="J180" i="5"/>
  <c r="I180" i="5"/>
  <c r="H180" i="5"/>
  <c r="G180" i="5"/>
  <c r="F180" i="5"/>
  <c r="E180" i="5"/>
  <c r="D180" i="5"/>
  <c r="C180" i="5"/>
  <c r="B180" i="5"/>
  <c r="T179" i="5"/>
  <c r="S179" i="5"/>
  <c r="R179" i="5"/>
  <c r="Q179" i="5"/>
  <c r="P179" i="5"/>
  <c r="O179" i="5"/>
  <c r="N179" i="5"/>
  <c r="M179" i="5"/>
  <c r="L179" i="5"/>
  <c r="K179" i="5"/>
  <c r="J179" i="5"/>
  <c r="I179" i="5"/>
  <c r="H179" i="5"/>
  <c r="G179" i="5"/>
  <c r="F179" i="5"/>
  <c r="E179" i="5"/>
  <c r="D179" i="5"/>
  <c r="C179" i="5"/>
  <c r="B179" i="5"/>
  <c r="T178" i="5"/>
  <c r="S178" i="5"/>
  <c r="R178" i="5"/>
  <c r="Q178" i="5"/>
  <c r="P178" i="5"/>
  <c r="O178" i="5"/>
  <c r="N178" i="5"/>
  <c r="M178" i="5"/>
  <c r="L178" i="5"/>
  <c r="K178" i="5"/>
  <c r="J178" i="5"/>
  <c r="I178" i="5"/>
  <c r="H178" i="5"/>
  <c r="G178" i="5"/>
  <c r="F178" i="5"/>
  <c r="E178" i="5"/>
  <c r="D178" i="5"/>
  <c r="C178" i="5"/>
  <c r="B178" i="5"/>
  <c r="T177" i="5"/>
  <c r="S177" i="5"/>
  <c r="R177" i="5"/>
  <c r="Q177" i="5"/>
  <c r="P177" i="5"/>
  <c r="O177" i="5"/>
  <c r="N177" i="5"/>
  <c r="M177" i="5"/>
  <c r="L177" i="5"/>
  <c r="K177" i="5"/>
  <c r="J177" i="5"/>
  <c r="I177" i="5"/>
  <c r="H177" i="5"/>
  <c r="G177" i="5"/>
  <c r="F177" i="5"/>
  <c r="E177" i="5"/>
  <c r="D177" i="5"/>
  <c r="C177" i="5"/>
  <c r="B177" i="5"/>
  <c r="T176" i="5"/>
  <c r="S176" i="5"/>
  <c r="R176" i="5"/>
  <c r="Q176" i="5"/>
  <c r="P176" i="5"/>
  <c r="O176" i="5"/>
  <c r="N176" i="5"/>
  <c r="M176" i="5"/>
  <c r="L176" i="5"/>
  <c r="K176" i="5"/>
  <c r="J176" i="5"/>
  <c r="I176" i="5"/>
  <c r="H176" i="5"/>
  <c r="G176" i="5"/>
  <c r="F176" i="5"/>
  <c r="E176" i="5"/>
  <c r="D176" i="5"/>
  <c r="C176" i="5"/>
  <c r="B176" i="5"/>
  <c r="T175" i="5"/>
  <c r="S175" i="5"/>
  <c r="R175" i="5"/>
  <c r="Q175" i="5"/>
  <c r="P175" i="5"/>
  <c r="O175" i="5"/>
  <c r="N175" i="5"/>
  <c r="M175" i="5"/>
  <c r="L175" i="5"/>
  <c r="K175" i="5"/>
  <c r="J175" i="5"/>
  <c r="I175" i="5"/>
  <c r="H175" i="5"/>
  <c r="G175" i="5"/>
  <c r="F175" i="5"/>
  <c r="E175" i="5"/>
  <c r="D175" i="5"/>
  <c r="C175" i="5"/>
  <c r="B175" i="5"/>
  <c r="T174" i="5"/>
  <c r="S174" i="5"/>
  <c r="R174" i="5"/>
  <c r="Q174" i="5"/>
  <c r="P174" i="5"/>
  <c r="O174" i="5"/>
  <c r="N174" i="5"/>
  <c r="M174" i="5"/>
  <c r="L174" i="5"/>
  <c r="K174" i="5"/>
  <c r="J174" i="5"/>
  <c r="I174" i="5"/>
  <c r="H174" i="5"/>
  <c r="G174" i="5"/>
  <c r="F174" i="5"/>
  <c r="E174" i="5"/>
  <c r="D174" i="5"/>
  <c r="C174" i="5"/>
  <c r="B174" i="5"/>
  <c r="T173" i="5"/>
  <c r="S173" i="5"/>
  <c r="R173" i="5"/>
  <c r="Q173" i="5"/>
  <c r="P173" i="5"/>
  <c r="O173" i="5"/>
  <c r="N173" i="5"/>
  <c r="M173" i="5"/>
  <c r="L173" i="5"/>
  <c r="K173" i="5"/>
  <c r="J173" i="5"/>
  <c r="I173" i="5"/>
  <c r="H173" i="5"/>
  <c r="G173" i="5"/>
  <c r="F173" i="5"/>
  <c r="E173" i="5"/>
  <c r="D173" i="5"/>
  <c r="C173" i="5"/>
  <c r="B173" i="5"/>
  <c r="T172" i="5"/>
  <c r="S172" i="5"/>
  <c r="R172" i="5"/>
  <c r="Q172" i="5"/>
  <c r="P172" i="5"/>
  <c r="O172" i="5"/>
  <c r="N172" i="5"/>
  <c r="M172" i="5"/>
  <c r="L172" i="5"/>
  <c r="K172" i="5"/>
  <c r="J172" i="5"/>
  <c r="I172" i="5"/>
  <c r="H172" i="5"/>
  <c r="G172" i="5"/>
  <c r="F172" i="5"/>
  <c r="E172" i="5"/>
  <c r="D172" i="5"/>
  <c r="C172" i="5"/>
  <c r="B172" i="5"/>
  <c r="T171" i="5"/>
  <c r="S171" i="5"/>
  <c r="R171" i="5"/>
  <c r="Q171" i="5"/>
  <c r="P171" i="5"/>
  <c r="O171" i="5"/>
  <c r="N171" i="5"/>
  <c r="M171" i="5"/>
  <c r="L171" i="5"/>
  <c r="K171" i="5"/>
  <c r="J171" i="5"/>
  <c r="I171" i="5"/>
  <c r="H171" i="5"/>
  <c r="G171" i="5"/>
  <c r="F171" i="5"/>
  <c r="E171" i="5"/>
  <c r="D171" i="5"/>
  <c r="C171" i="5"/>
  <c r="B171" i="5"/>
  <c r="T170" i="5"/>
  <c r="S170" i="5"/>
  <c r="R170" i="5"/>
  <c r="Q170" i="5"/>
  <c r="P170" i="5"/>
  <c r="O170" i="5"/>
  <c r="N170" i="5"/>
  <c r="M170" i="5"/>
  <c r="L170" i="5"/>
  <c r="K170" i="5"/>
  <c r="J170" i="5"/>
  <c r="I170" i="5"/>
  <c r="H170" i="5"/>
  <c r="G170" i="5"/>
  <c r="F170" i="5"/>
  <c r="E170" i="5"/>
  <c r="D170" i="5"/>
  <c r="C170" i="5"/>
  <c r="B170" i="5"/>
  <c r="T169" i="5"/>
  <c r="S169" i="5"/>
  <c r="R169" i="5"/>
  <c r="Q169" i="5"/>
  <c r="P169" i="5"/>
  <c r="O169" i="5"/>
  <c r="N169" i="5"/>
  <c r="M169" i="5"/>
  <c r="L169" i="5"/>
  <c r="K169" i="5"/>
  <c r="J169" i="5"/>
  <c r="I169" i="5"/>
  <c r="H169" i="5"/>
  <c r="G169" i="5"/>
  <c r="F169" i="5"/>
  <c r="E169" i="5"/>
  <c r="D169" i="5"/>
  <c r="C169" i="5"/>
  <c r="B169" i="5"/>
  <c r="T168" i="5"/>
  <c r="S168" i="5"/>
  <c r="R168" i="5"/>
  <c r="Q168" i="5"/>
  <c r="P168" i="5"/>
  <c r="O168" i="5"/>
  <c r="N168" i="5"/>
  <c r="M168" i="5"/>
  <c r="L168" i="5"/>
  <c r="K168" i="5"/>
  <c r="J168" i="5"/>
  <c r="I168" i="5"/>
  <c r="H168" i="5"/>
  <c r="G168" i="5"/>
  <c r="F168" i="5"/>
  <c r="E168" i="5"/>
  <c r="D168" i="5"/>
  <c r="C168" i="5"/>
  <c r="B168" i="5"/>
  <c r="T167" i="5"/>
  <c r="S167" i="5"/>
  <c r="R167" i="5"/>
  <c r="Q167" i="5"/>
  <c r="P167" i="5"/>
  <c r="O167" i="5"/>
  <c r="N167" i="5"/>
  <c r="M167" i="5"/>
  <c r="L167" i="5"/>
  <c r="K167" i="5"/>
  <c r="J167" i="5"/>
  <c r="I167" i="5"/>
  <c r="H167" i="5"/>
  <c r="G167" i="5"/>
  <c r="F167" i="5"/>
  <c r="E167" i="5"/>
  <c r="D167" i="5"/>
  <c r="C167" i="5"/>
  <c r="B167" i="5"/>
  <c r="T166" i="5"/>
  <c r="S166" i="5"/>
  <c r="R166" i="5"/>
  <c r="Q166" i="5"/>
  <c r="P166" i="5"/>
  <c r="O166" i="5"/>
  <c r="N166" i="5"/>
  <c r="M166" i="5"/>
  <c r="L166" i="5"/>
  <c r="K166" i="5"/>
  <c r="J166" i="5"/>
  <c r="I166" i="5"/>
  <c r="H166" i="5"/>
  <c r="G166" i="5"/>
  <c r="F166" i="5"/>
  <c r="E166" i="5"/>
  <c r="D166" i="5"/>
  <c r="C166" i="5"/>
  <c r="B166" i="5"/>
  <c r="T165" i="5"/>
  <c r="S165" i="5"/>
  <c r="R165" i="5"/>
  <c r="Q165" i="5"/>
  <c r="P165" i="5"/>
  <c r="O165" i="5"/>
  <c r="N165" i="5"/>
  <c r="M165" i="5"/>
  <c r="L165" i="5"/>
  <c r="K165" i="5"/>
  <c r="J165" i="5"/>
  <c r="I165" i="5"/>
  <c r="H165" i="5"/>
  <c r="G165" i="5"/>
  <c r="F165" i="5"/>
  <c r="E165" i="5"/>
  <c r="D165" i="5"/>
  <c r="C165" i="5"/>
  <c r="B165" i="5"/>
  <c r="T164" i="5"/>
  <c r="S164" i="5"/>
  <c r="R164" i="5"/>
  <c r="Q164" i="5"/>
  <c r="P164" i="5"/>
  <c r="O164" i="5"/>
  <c r="N164" i="5"/>
  <c r="M164" i="5"/>
  <c r="L164" i="5"/>
  <c r="K164" i="5"/>
  <c r="J164" i="5"/>
  <c r="I164" i="5"/>
  <c r="H164" i="5"/>
  <c r="G164" i="5"/>
  <c r="F164" i="5"/>
  <c r="E164" i="5"/>
  <c r="D164" i="5"/>
  <c r="C164" i="5"/>
  <c r="B164" i="5"/>
  <c r="T163" i="5"/>
  <c r="S163" i="5"/>
  <c r="R163" i="5"/>
  <c r="Q163" i="5"/>
  <c r="P163" i="5"/>
  <c r="O163" i="5"/>
  <c r="N163" i="5"/>
  <c r="M163" i="5"/>
  <c r="L163" i="5"/>
  <c r="K163" i="5"/>
  <c r="J163" i="5"/>
  <c r="I163" i="5"/>
  <c r="H163" i="5"/>
  <c r="G163" i="5"/>
  <c r="F163" i="5"/>
  <c r="E163" i="5"/>
  <c r="D163" i="5"/>
  <c r="C163" i="5"/>
  <c r="B163" i="5"/>
  <c r="T162" i="5"/>
  <c r="S162" i="5"/>
  <c r="R162" i="5"/>
  <c r="Q162" i="5"/>
  <c r="P162" i="5"/>
  <c r="O162" i="5"/>
  <c r="N162" i="5"/>
  <c r="M162" i="5"/>
  <c r="L162" i="5"/>
  <c r="K162" i="5"/>
  <c r="J162" i="5"/>
  <c r="I162" i="5"/>
  <c r="H162" i="5"/>
  <c r="G162" i="5"/>
  <c r="F162" i="5"/>
  <c r="E162" i="5"/>
  <c r="D162" i="5"/>
  <c r="C162" i="5"/>
  <c r="B162" i="5"/>
  <c r="T161" i="5"/>
  <c r="S161" i="5"/>
  <c r="R161" i="5"/>
  <c r="Q161" i="5"/>
  <c r="P161" i="5"/>
  <c r="O161" i="5"/>
  <c r="N161" i="5"/>
  <c r="M161" i="5"/>
  <c r="L161" i="5"/>
  <c r="K161" i="5"/>
  <c r="J161" i="5"/>
  <c r="I161" i="5"/>
  <c r="H161" i="5"/>
  <c r="G161" i="5"/>
  <c r="F161" i="5"/>
  <c r="E161" i="5"/>
  <c r="D161" i="5"/>
  <c r="C161" i="5"/>
  <c r="B161" i="5"/>
  <c r="T160" i="5"/>
  <c r="S160" i="5"/>
  <c r="R160" i="5"/>
  <c r="Q160" i="5"/>
  <c r="P160" i="5"/>
  <c r="O160" i="5"/>
  <c r="N160" i="5"/>
  <c r="M160" i="5"/>
  <c r="L160" i="5"/>
  <c r="K160" i="5"/>
  <c r="J160" i="5"/>
  <c r="I160" i="5"/>
  <c r="H160" i="5"/>
  <c r="G160" i="5"/>
  <c r="F160" i="5"/>
  <c r="E160" i="5"/>
  <c r="D160" i="5"/>
  <c r="C160" i="5"/>
  <c r="B160" i="5"/>
  <c r="T159" i="5"/>
  <c r="S159" i="5"/>
  <c r="R159" i="5"/>
  <c r="Q159" i="5"/>
  <c r="P159" i="5"/>
  <c r="O159" i="5"/>
  <c r="N159" i="5"/>
  <c r="M159" i="5"/>
  <c r="L159" i="5"/>
  <c r="K159" i="5"/>
  <c r="J159" i="5"/>
  <c r="I159" i="5"/>
  <c r="H159" i="5"/>
  <c r="G159" i="5"/>
  <c r="F159" i="5"/>
  <c r="E159" i="5"/>
  <c r="D159" i="5"/>
  <c r="C159" i="5"/>
  <c r="B159" i="5"/>
  <c r="T158" i="5"/>
  <c r="S158" i="5"/>
  <c r="R158" i="5"/>
  <c r="Q158" i="5"/>
  <c r="P158" i="5"/>
  <c r="O158" i="5"/>
  <c r="N158" i="5"/>
  <c r="M158" i="5"/>
  <c r="L158" i="5"/>
  <c r="K158" i="5"/>
  <c r="J158" i="5"/>
  <c r="I158" i="5"/>
  <c r="H158" i="5"/>
  <c r="G158" i="5"/>
  <c r="F158" i="5"/>
  <c r="E158" i="5"/>
  <c r="D158" i="5"/>
  <c r="C158" i="5"/>
  <c r="B158" i="5"/>
  <c r="T157" i="5"/>
  <c r="S157" i="5"/>
  <c r="R157" i="5"/>
  <c r="Q157" i="5"/>
  <c r="P157" i="5"/>
  <c r="O157" i="5"/>
  <c r="N157" i="5"/>
  <c r="M157" i="5"/>
  <c r="L157" i="5"/>
  <c r="K157" i="5"/>
  <c r="J157" i="5"/>
  <c r="I157" i="5"/>
  <c r="H157" i="5"/>
  <c r="G157" i="5"/>
  <c r="F157" i="5"/>
  <c r="E157" i="5"/>
  <c r="D157" i="5"/>
  <c r="C157" i="5"/>
  <c r="B157" i="5"/>
  <c r="T156" i="5"/>
  <c r="S156" i="5"/>
  <c r="R156" i="5"/>
  <c r="Q156" i="5"/>
  <c r="P156" i="5"/>
  <c r="O156" i="5"/>
  <c r="N156" i="5"/>
  <c r="M156" i="5"/>
  <c r="L156" i="5"/>
  <c r="K156" i="5"/>
  <c r="J156" i="5"/>
  <c r="I156" i="5"/>
  <c r="H156" i="5"/>
  <c r="G156" i="5"/>
  <c r="F156" i="5"/>
  <c r="E156" i="5"/>
  <c r="D156" i="5"/>
  <c r="C156" i="5"/>
  <c r="B156" i="5"/>
  <c r="T155" i="5"/>
  <c r="S155" i="5"/>
  <c r="R155" i="5"/>
  <c r="Q155" i="5"/>
  <c r="P155" i="5"/>
  <c r="O155" i="5"/>
  <c r="N155" i="5"/>
  <c r="M155" i="5"/>
  <c r="L155" i="5"/>
  <c r="K155" i="5"/>
  <c r="J155" i="5"/>
  <c r="I155" i="5"/>
  <c r="H155" i="5"/>
  <c r="G155" i="5"/>
  <c r="F155" i="5"/>
  <c r="E155" i="5"/>
  <c r="D155" i="5"/>
  <c r="C155" i="5"/>
  <c r="B155" i="5"/>
  <c r="T154" i="5"/>
  <c r="S154" i="5"/>
  <c r="R154" i="5"/>
  <c r="Q154" i="5"/>
  <c r="P154" i="5"/>
  <c r="O154" i="5"/>
  <c r="N154" i="5"/>
  <c r="M154" i="5"/>
  <c r="L154" i="5"/>
  <c r="K154" i="5"/>
  <c r="J154" i="5"/>
  <c r="I154" i="5"/>
  <c r="H154" i="5"/>
  <c r="G154" i="5"/>
  <c r="F154" i="5"/>
  <c r="E154" i="5"/>
  <c r="D154" i="5"/>
  <c r="C154" i="5"/>
  <c r="B154" i="5"/>
  <c r="T153" i="5"/>
  <c r="S153" i="5"/>
  <c r="R153" i="5"/>
  <c r="Q153" i="5"/>
  <c r="P153" i="5"/>
  <c r="O153" i="5"/>
  <c r="N153" i="5"/>
  <c r="M153" i="5"/>
  <c r="L153" i="5"/>
  <c r="K153" i="5"/>
  <c r="J153" i="5"/>
  <c r="I153" i="5"/>
  <c r="H153" i="5"/>
  <c r="G153" i="5"/>
  <c r="F153" i="5"/>
  <c r="E153" i="5"/>
  <c r="D153" i="5"/>
  <c r="C153" i="5"/>
  <c r="B153" i="5"/>
  <c r="T152" i="5"/>
  <c r="S152" i="5"/>
  <c r="R152" i="5"/>
  <c r="Q152" i="5"/>
  <c r="P152" i="5"/>
  <c r="O152" i="5"/>
  <c r="N152" i="5"/>
  <c r="M152" i="5"/>
  <c r="L152" i="5"/>
  <c r="K152" i="5"/>
  <c r="J152" i="5"/>
  <c r="I152" i="5"/>
  <c r="H152" i="5"/>
  <c r="G152" i="5"/>
  <c r="F152" i="5"/>
  <c r="E152" i="5"/>
  <c r="D152" i="5"/>
  <c r="C152" i="5"/>
  <c r="B152" i="5"/>
  <c r="T151" i="5"/>
  <c r="S151" i="5"/>
  <c r="R151" i="5"/>
  <c r="Q151" i="5"/>
  <c r="P151" i="5"/>
  <c r="O151" i="5"/>
  <c r="N151" i="5"/>
  <c r="M151" i="5"/>
  <c r="L151" i="5"/>
  <c r="K151" i="5"/>
  <c r="J151" i="5"/>
  <c r="I151" i="5"/>
  <c r="H151" i="5"/>
  <c r="G151" i="5"/>
  <c r="F151" i="5"/>
  <c r="E151" i="5"/>
  <c r="D151" i="5"/>
  <c r="C151" i="5"/>
  <c r="B151" i="5"/>
  <c r="T150" i="5"/>
  <c r="S150" i="5"/>
  <c r="R150" i="5"/>
  <c r="Q150" i="5"/>
  <c r="P150" i="5"/>
  <c r="O150" i="5"/>
  <c r="N150" i="5"/>
  <c r="M150" i="5"/>
  <c r="L150" i="5"/>
  <c r="K150" i="5"/>
  <c r="J150" i="5"/>
  <c r="I150" i="5"/>
  <c r="H150" i="5"/>
  <c r="G150" i="5"/>
  <c r="F150" i="5"/>
  <c r="E150" i="5"/>
  <c r="D150" i="5"/>
  <c r="C150" i="5"/>
  <c r="B150" i="5"/>
  <c r="T149" i="5"/>
  <c r="S149" i="5"/>
  <c r="R149" i="5"/>
  <c r="Q149" i="5"/>
  <c r="P149" i="5"/>
  <c r="O149" i="5"/>
  <c r="N149" i="5"/>
  <c r="M149" i="5"/>
  <c r="L149" i="5"/>
  <c r="K149" i="5"/>
  <c r="J149" i="5"/>
  <c r="I149" i="5"/>
  <c r="H149" i="5"/>
  <c r="G149" i="5"/>
  <c r="F149" i="5"/>
  <c r="E149" i="5"/>
  <c r="D149" i="5"/>
  <c r="C149" i="5"/>
  <c r="B149" i="5"/>
  <c r="T148" i="5"/>
  <c r="S148" i="5"/>
  <c r="R148" i="5"/>
  <c r="Q148" i="5"/>
  <c r="P148" i="5"/>
  <c r="O148" i="5"/>
  <c r="N148" i="5"/>
  <c r="M148" i="5"/>
  <c r="L148" i="5"/>
  <c r="K148" i="5"/>
  <c r="J148" i="5"/>
  <c r="I148" i="5"/>
  <c r="H148" i="5"/>
  <c r="G148" i="5"/>
  <c r="F148" i="5"/>
  <c r="E148" i="5"/>
  <c r="D148" i="5"/>
  <c r="C148" i="5"/>
  <c r="B148" i="5"/>
  <c r="T147" i="5"/>
  <c r="S147" i="5"/>
  <c r="R147" i="5"/>
  <c r="Q147" i="5"/>
  <c r="P147" i="5"/>
  <c r="O147" i="5"/>
  <c r="N147" i="5"/>
  <c r="M147" i="5"/>
  <c r="L147" i="5"/>
  <c r="K147" i="5"/>
  <c r="J147" i="5"/>
  <c r="I147" i="5"/>
  <c r="H147" i="5"/>
  <c r="G147" i="5"/>
  <c r="F147" i="5"/>
  <c r="E147" i="5"/>
  <c r="D147" i="5"/>
  <c r="C147" i="5"/>
  <c r="B147" i="5"/>
  <c r="T146" i="5"/>
  <c r="S146" i="5"/>
  <c r="R146" i="5"/>
  <c r="Q146" i="5"/>
  <c r="P146" i="5"/>
  <c r="O146" i="5"/>
  <c r="N146" i="5"/>
  <c r="M146" i="5"/>
  <c r="L146" i="5"/>
  <c r="K146" i="5"/>
  <c r="J146" i="5"/>
  <c r="I146" i="5"/>
  <c r="H146" i="5"/>
  <c r="G146" i="5"/>
  <c r="F146" i="5"/>
  <c r="E146" i="5"/>
  <c r="D146" i="5"/>
  <c r="C146" i="5"/>
  <c r="B146" i="5"/>
  <c r="T145" i="5"/>
  <c r="S145" i="5"/>
  <c r="R145" i="5"/>
  <c r="Q145" i="5"/>
  <c r="P145" i="5"/>
  <c r="O145" i="5"/>
  <c r="N145" i="5"/>
  <c r="M145" i="5"/>
  <c r="L145" i="5"/>
  <c r="K145" i="5"/>
  <c r="J145" i="5"/>
  <c r="I145" i="5"/>
  <c r="H145" i="5"/>
  <c r="G145" i="5"/>
  <c r="F145" i="5"/>
  <c r="E145" i="5"/>
  <c r="D145" i="5"/>
  <c r="C145" i="5"/>
  <c r="B145" i="5"/>
  <c r="T144" i="5"/>
  <c r="S144" i="5"/>
  <c r="R144" i="5"/>
  <c r="Q144" i="5"/>
  <c r="P144" i="5"/>
  <c r="O144" i="5"/>
  <c r="N144" i="5"/>
  <c r="M144" i="5"/>
  <c r="L144" i="5"/>
  <c r="K144" i="5"/>
  <c r="J144" i="5"/>
  <c r="I144" i="5"/>
  <c r="H144" i="5"/>
  <c r="G144" i="5"/>
  <c r="F144" i="5"/>
  <c r="E144" i="5"/>
  <c r="D144" i="5"/>
  <c r="C144" i="5"/>
  <c r="B144" i="5"/>
  <c r="T143" i="5"/>
  <c r="S143" i="5"/>
  <c r="R143" i="5"/>
  <c r="Q143" i="5"/>
  <c r="P143" i="5"/>
  <c r="O143" i="5"/>
  <c r="N143" i="5"/>
  <c r="M143" i="5"/>
  <c r="L143" i="5"/>
  <c r="K143" i="5"/>
  <c r="J143" i="5"/>
  <c r="I143" i="5"/>
  <c r="H143" i="5"/>
  <c r="G143" i="5"/>
  <c r="F143" i="5"/>
  <c r="E143" i="5"/>
  <c r="D143" i="5"/>
  <c r="C143" i="5"/>
  <c r="B143" i="5"/>
  <c r="T142" i="5"/>
  <c r="S142" i="5"/>
  <c r="R142" i="5"/>
  <c r="Q142" i="5"/>
  <c r="P142" i="5"/>
  <c r="O142" i="5"/>
  <c r="N142" i="5"/>
  <c r="M142" i="5"/>
  <c r="L142" i="5"/>
  <c r="K142" i="5"/>
  <c r="J142" i="5"/>
  <c r="I142" i="5"/>
  <c r="H142" i="5"/>
  <c r="G142" i="5"/>
  <c r="F142" i="5"/>
  <c r="E142" i="5"/>
  <c r="D142" i="5"/>
  <c r="C142" i="5"/>
  <c r="B142" i="5"/>
  <c r="T141" i="5"/>
  <c r="S141" i="5"/>
  <c r="R141" i="5"/>
  <c r="Q141" i="5"/>
  <c r="P141" i="5"/>
  <c r="O141" i="5"/>
  <c r="N141" i="5"/>
  <c r="M141" i="5"/>
  <c r="L141" i="5"/>
  <c r="K141" i="5"/>
  <c r="J141" i="5"/>
  <c r="I141" i="5"/>
  <c r="H141" i="5"/>
  <c r="G141" i="5"/>
  <c r="F141" i="5"/>
  <c r="E141" i="5"/>
  <c r="D141" i="5"/>
  <c r="C141" i="5"/>
  <c r="B141" i="5"/>
  <c r="T140" i="5"/>
  <c r="S140" i="5"/>
  <c r="R140" i="5"/>
  <c r="Q140" i="5"/>
  <c r="P140" i="5"/>
  <c r="O140" i="5"/>
  <c r="N140" i="5"/>
  <c r="M140" i="5"/>
  <c r="L140" i="5"/>
  <c r="K140" i="5"/>
  <c r="J140" i="5"/>
  <c r="I140" i="5"/>
  <c r="H140" i="5"/>
  <c r="G140" i="5"/>
  <c r="F140" i="5"/>
  <c r="E140" i="5"/>
  <c r="D140" i="5"/>
  <c r="C140" i="5"/>
  <c r="B140" i="5"/>
  <c r="T139" i="5"/>
  <c r="S139" i="5"/>
  <c r="R139" i="5"/>
  <c r="Q139" i="5"/>
  <c r="P139" i="5"/>
  <c r="O139" i="5"/>
  <c r="N139" i="5"/>
  <c r="M139" i="5"/>
  <c r="L139" i="5"/>
  <c r="K139" i="5"/>
  <c r="J139" i="5"/>
  <c r="I139" i="5"/>
  <c r="H139" i="5"/>
  <c r="G139" i="5"/>
  <c r="F139" i="5"/>
  <c r="E139" i="5"/>
  <c r="D139" i="5"/>
  <c r="C139" i="5"/>
  <c r="B139" i="5"/>
  <c r="T138" i="5"/>
  <c r="S138" i="5"/>
  <c r="R138" i="5"/>
  <c r="Q138" i="5"/>
  <c r="P138" i="5"/>
  <c r="O138" i="5"/>
  <c r="N138" i="5"/>
  <c r="M138" i="5"/>
  <c r="L138" i="5"/>
  <c r="K138" i="5"/>
  <c r="J138" i="5"/>
  <c r="I138" i="5"/>
  <c r="H138" i="5"/>
  <c r="G138" i="5"/>
  <c r="F138" i="5"/>
  <c r="E138" i="5"/>
  <c r="D138" i="5"/>
  <c r="C138" i="5"/>
  <c r="B138" i="5"/>
  <c r="T137" i="5"/>
  <c r="S137" i="5"/>
  <c r="R137" i="5"/>
  <c r="Q137" i="5"/>
  <c r="P137" i="5"/>
  <c r="O137" i="5"/>
  <c r="N137" i="5"/>
  <c r="M137" i="5"/>
  <c r="L137" i="5"/>
  <c r="K137" i="5"/>
  <c r="J137" i="5"/>
  <c r="I137" i="5"/>
  <c r="H137" i="5"/>
  <c r="G137" i="5"/>
  <c r="F137" i="5"/>
  <c r="E137" i="5"/>
  <c r="D137" i="5"/>
  <c r="C137" i="5"/>
  <c r="B137" i="5"/>
  <c r="T136" i="5"/>
  <c r="S136" i="5"/>
  <c r="R136" i="5"/>
  <c r="Q136" i="5"/>
  <c r="P136" i="5"/>
  <c r="O136" i="5"/>
  <c r="N136" i="5"/>
  <c r="M136" i="5"/>
  <c r="L136" i="5"/>
  <c r="K136" i="5"/>
  <c r="J136" i="5"/>
  <c r="I136" i="5"/>
  <c r="H136" i="5"/>
  <c r="G136" i="5"/>
  <c r="F136" i="5"/>
  <c r="E136" i="5"/>
  <c r="D136" i="5"/>
  <c r="C136" i="5"/>
  <c r="B136" i="5"/>
  <c r="T135" i="5"/>
  <c r="S135" i="5"/>
  <c r="R135" i="5"/>
  <c r="Q135" i="5"/>
  <c r="P135" i="5"/>
  <c r="O135" i="5"/>
  <c r="N135" i="5"/>
  <c r="M135" i="5"/>
  <c r="L135" i="5"/>
  <c r="K135" i="5"/>
  <c r="J135" i="5"/>
  <c r="I135" i="5"/>
  <c r="H135" i="5"/>
  <c r="G135" i="5"/>
  <c r="F135" i="5"/>
  <c r="E135" i="5"/>
  <c r="D135" i="5"/>
  <c r="C135" i="5"/>
  <c r="B135" i="5"/>
  <c r="T134" i="5"/>
  <c r="S134" i="5"/>
  <c r="R134" i="5"/>
  <c r="Q134" i="5"/>
  <c r="P134" i="5"/>
  <c r="O134" i="5"/>
  <c r="N134" i="5"/>
  <c r="M134" i="5"/>
  <c r="L134" i="5"/>
  <c r="K134" i="5"/>
  <c r="J134" i="5"/>
  <c r="I134" i="5"/>
  <c r="H134" i="5"/>
  <c r="G134" i="5"/>
  <c r="F134" i="5"/>
  <c r="E134" i="5"/>
  <c r="D134" i="5"/>
  <c r="C134" i="5"/>
  <c r="B134" i="5"/>
  <c r="T133" i="5"/>
  <c r="S133" i="5"/>
  <c r="R133" i="5"/>
  <c r="Q133" i="5"/>
  <c r="P133" i="5"/>
  <c r="O133" i="5"/>
  <c r="N133" i="5"/>
  <c r="M133" i="5"/>
  <c r="L133" i="5"/>
  <c r="K133" i="5"/>
  <c r="J133" i="5"/>
  <c r="I133" i="5"/>
  <c r="H133" i="5"/>
  <c r="G133" i="5"/>
  <c r="F133" i="5"/>
  <c r="E133" i="5"/>
  <c r="D133" i="5"/>
  <c r="C133" i="5"/>
  <c r="B133" i="5"/>
  <c r="T132" i="5"/>
  <c r="S132" i="5"/>
  <c r="R132" i="5"/>
  <c r="Q132" i="5"/>
  <c r="P132" i="5"/>
  <c r="O132" i="5"/>
  <c r="N132" i="5"/>
  <c r="M132" i="5"/>
  <c r="L132" i="5"/>
  <c r="K132" i="5"/>
  <c r="J132" i="5"/>
  <c r="I132" i="5"/>
  <c r="H132" i="5"/>
  <c r="G132" i="5"/>
  <c r="F132" i="5"/>
  <c r="E132" i="5"/>
  <c r="D132" i="5"/>
  <c r="C132" i="5"/>
  <c r="B132" i="5"/>
  <c r="T131" i="5"/>
  <c r="S131" i="5"/>
  <c r="R131" i="5"/>
  <c r="Q131" i="5"/>
  <c r="P131" i="5"/>
  <c r="O131" i="5"/>
  <c r="N131" i="5"/>
  <c r="M131" i="5"/>
  <c r="L131" i="5"/>
  <c r="K131" i="5"/>
  <c r="J131" i="5"/>
  <c r="I131" i="5"/>
  <c r="H131" i="5"/>
  <c r="G131" i="5"/>
  <c r="F131" i="5"/>
  <c r="E131" i="5"/>
  <c r="D131" i="5"/>
  <c r="C131" i="5"/>
  <c r="B131" i="5"/>
  <c r="T130" i="5"/>
  <c r="S130" i="5"/>
  <c r="R130" i="5"/>
  <c r="Q130" i="5"/>
  <c r="P130" i="5"/>
  <c r="O130" i="5"/>
  <c r="N130" i="5"/>
  <c r="M130" i="5"/>
  <c r="L130" i="5"/>
  <c r="K130" i="5"/>
  <c r="J130" i="5"/>
  <c r="I130" i="5"/>
  <c r="H130" i="5"/>
  <c r="G130" i="5"/>
  <c r="F130" i="5"/>
  <c r="E130" i="5"/>
  <c r="D130" i="5"/>
  <c r="C130" i="5"/>
  <c r="B130" i="5"/>
  <c r="T129" i="5"/>
  <c r="S129" i="5"/>
  <c r="R129" i="5"/>
  <c r="Q129" i="5"/>
  <c r="P129" i="5"/>
  <c r="O129" i="5"/>
  <c r="N129" i="5"/>
  <c r="M129" i="5"/>
  <c r="L129" i="5"/>
  <c r="K129" i="5"/>
  <c r="J129" i="5"/>
  <c r="I129" i="5"/>
  <c r="H129" i="5"/>
  <c r="G129" i="5"/>
  <c r="F129" i="5"/>
  <c r="E129" i="5"/>
  <c r="D129" i="5"/>
  <c r="C129" i="5"/>
  <c r="B129" i="5"/>
  <c r="T128" i="5"/>
  <c r="S128" i="5"/>
  <c r="R128" i="5"/>
  <c r="Q128" i="5"/>
  <c r="P128" i="5"/>
  <c r="O128" i="5"/>
  <c r="N128" i="5"/>
  <c r="M128" i="5"/>
  <c r="L128" i="5"/>
  <c r="K128" i="5"/>
  <c r="J128" i="5"/>
  <c r="I128" i="5"/>
  <c r="H128" i="5"/>
  <c r="G128" i="5"/>
  <c r="F128" i="5"/>
  <c r="E128" i="5"/>
  <c r="D128" i="5"/>
  <c r="C128" i="5"/>
  <c r="B128" i="5"/>
  <c r="T127" i="5"/>
  <c r="S127" i="5"/>
  <c r="R127" i="5"/>
  <c r="Q127" i="5"/>
  <c r="P127" i="5"/>
  <c r="O127" i="5"/>
  <c r="N127" i="5"/>
  <c r="M127" i="5"/>
  <c r="L127" i="5"/>
  <c r="K127" i="5"/>
  <c r="J127" i="5"/>
  <c r="I127" i="5"/>
  <c r="H127" i="5"/>
  <c r="G127" i="5"/>
  <c r="F127" i="5"/>
  <c r="E127" i="5"/>
  <c r="D127" i="5"/>
  <c r="C127" i="5"/>
  <c r="B127" i="5"/>
  <c r="T126" i="5"/>
  <c r="S126" i="5"/>
  <c r="R126" i="5"/>
  <c r="Q126" i="5"/>
  <c r="P126" i="5"/>
  <c r="O126" i="5"/>
  <c r="N126" i="5"/>
  <c r="M126" i="5"/>
  <c r="L126" i="5"/>
  <c r="K126" i="5"/>
  <c r="J126" i="5"/>
  <c r="I126" i="5"/>
  <c r="H126" i="5"/>
  <c r="G126" i="5"/>
  <c r="F126" i="5"/>
  <c r="E126" i="5"/>
  <c r="D126" i="5"/>
  <c r="C126" i="5"/>
  <c r="B126" i="5"/>
  <c r="T125" i="5"/>
  <c r="S125" i="5"/>
  <c r="R125" i="5"/>
  <c r="Q125" i="5"/>
  <c r="P125" i="5"/>
  <c r="O125" i="5"/>
  <c r="N125" i="5"/>
  <c r="M125" i="5"/>
  <c r="L125" i="5"/>
  <c r="K125" i="5"/>
  <c r="J125" i="5"/>
  <c r="I125" i="5"/>
  <c r="H125" i="5"/>
  <c r="G125" i="5"/>
  <c r="F125" i="5"/>
  <c r="E125" i="5"/>
  <c r="D125" i="5"/>
  <c r="C125" i="5"/>
  <c r="B125" i="5"/>
  <c r="T124" i="5"/>
  <c r="S124" i="5"/>
  <c r="R124" i="5"/>
  <c r="Q124" i="5"/>
  <c r="P124" i="5"/>
  <c r="O124" i="5"/>
  <c r="N124" i="5"/>
  <c r="M124" i="5"/>
  <c r="L124" i="5"/>
  <c r="K124" i="5"/>
  <c r="J124" i="5"/>
  <c r="K313" i="5" s="1"/>
  <c r="I124" i="5"/>
  <c r="H124" i="5"/>
  <c r="G124" i="5"/>
  <c r="F124" i="5"/>
  <c r="E124" i="5"/>
  <c r="D124" i="5"/>
  <c r="C124" i="5"/>
  <c r="B124" i="5"/>
  <c r="C313" i="5" s="1"/>
  <c r="T123" i="5"/>
  <c r="S123" i="5"/>
  <c r="T312" i="5" s="1"/>
  <c r="R123" i="5"/>
  <c r="Q123" i="5"/>
  <c r="P123" i="5"/>
  <c r="O123" i="5"/>
  <c r="N123" i="5"/>
  <c r="M123" i="5"/>
  <c r="L123" i="5"/>
  <c r="K123" i="5"/>
  <c r="J123" i="5"/>
  <c r="I123" i="5"/>
  <c r="H123" i="5"/>
  <c r="G123" i="5"/>
  <c r="F123" i="5"/>
  <c r="E123" i="5"/>
  <c r="D123" i="5"/>
  <c r="C123" i="5"/>
  <c r="D312" i="5" s="1"/>
  <c r="B123" i="5"/>
  <c r="T122" i="5"/>
  <c r="S122" i="5"/>
  <c r="R122" i="5"/>
  <c r="Q122" i="5"/>
  <c r="P122" i="5"/>
  <c r="O122" i="5"/>
  <c r="N122" i="5"/>
  <c r="M122" i="5"/>
  <c r="L122" i="5"/>
  <c r="K122" i="5"/>
  <c r="J122" i="5"/>
  <c r="I122" i="5"/>
  <c r="H122" i="5"/>
  <c r="G122" i="5"/>
  <c r="F122" i="5"/>
  <c r="E122" i="5"/>
  <c r="D122" i="5"/>
  <c r="C122" i="5"/>
  <c r="B122" i="5"/>
  <c r="T121" i="5"/>
  <c r="S121" i="5"/>
  <c r="R121" i="5"/>
  <c r="Q121" i="5"/>
  <c r="P121" i="5"/>
  <c r="O121" i="5"/>
  <c r="N121" i="5"/>
  <c r="M121" i="5"/>
  <c r="L121" i="5"/>
  <c r="K121" i="5"/>
  <c r="J121" i="5"/>
  <c r="I121" i="5"/>
  <c r="H121" i="5"/>
  <c r="G121" i="5"/>
  <c r="F121" i="5"/>
  <c r="E121" i="5"/>
  <c r="D121" i="5"/>
  <c r="C121" i="5"/>
  <c r="B121" i="5"/>
  <c r="T120" i="5"/>
  <c r="S120" i="5"/>
  <c r="R120" i="5"/>
  <c r="Q120" i="5"/>
  <c r="P120" i="5"/>
  <c r="O120" i="5"/>
  <c r="N120" i="5"/>
  <c r="M120" i="5"/>
  <c r="L120" i="5"/>
  <c r="K120" i="5"/>
  <c r="J120" i="5"/>
  <c r="I120" i="5"/>
  <c r="H120" i="5"/>
  <c r="G120" i="5"/>
  <c r="F120" i="5"/>
  <c r="E120" i="5"/>
  <c r="D120" i="5"/>
  <c r="C120" i="5"/>
  <c r="B120" i="5"/>
  <c r="T119" i="5"/>
  <c r="S119" i="5"/>
  <c r="R119" i="5"/>
  <c r="Q119" i="5"/>
  <c r="P119" i="5"/>
  <c r="O119" i="5"/>
  <c r="N119" i="5"/>
  <c r="M119" i="5"/>
  <c r="L119" i="5"/>
  <c r="K119" i="5"/>
  <c r="J119" i="5"/>
  <c r="I119" i="5"/>
  <c r="H119" i="5"/>
  <c r="G119" i="5"/>
  <c r="F119" i="5"/>
  <c r="E119" i="5"/>
  <c r="D119" i="5"/>
  <c r="C119" i="5"/>
  <c r="B119" i="5"/>
  <c r="T118" i="5"/>
  <c r="S118" i="5"/>
  <c r="R118" i="5"/>
  <c r="Q118" i="5"/>
  <c r="P118" i="5"/>
  <c r="O118" i="5"/>
  <c r="N118" i="5"/>
  <c r="M118" i="5"/>
  <c r="L118" i="5"/>
  <c r="K118" i="5"/>
  <c r="J118" i="5"/>
  <c r="I118" i="5"/>
  <c r="H118" i="5"/>
  <c r="G118" i="5"/>
  <c r="F118" i="5"/>
  <c r="E118" i="5"/>
  <c r="D118" i="5"/>
  <c r="C118" i="5"/>
  <c r="B118" i="5"/>
  <c r="T117" i="5"/>
  <c r="S117" i="5"/>
  <c r="R117" i="5"/>
  <c r="Q117" i="5"/>
  <c r="P117" i="5"/>
  <c r="O117" i="5"/>
  <c r="N117" i="5"/>
  <c r="M117" i="5"/>
  <c r="L117" i="5"/>
  <c r="K117" i="5"/>
  <c r="J117" i="5"/>
  <c r="I117" i="5"/>
  <c r="H117" i="5"/>
  <c r="G117" i="5"/>
  <c r="F117" i="5"/>
  <c r="E117" i="5"/>
  <c r="D117" i="5"/>
  <c r="C117" i="5"/>
  <c r="B117" i="5"/>
  <c r="T116" i="5"/>
  <c r="S116" i="5"/>
  <c r="R116" i="5"/>
  <c r="S305" i="5" s="1"/>
  <c r="Q116" i="5"/>
  <c r="P116" i="5"/>
  <c r="O116" i="5"/>
  <c r="N116" i="5"/>
  <c r="M116" i="5"/>
  <c r="L116" i="5"/>
  <c r="K116" i="5"/>
  <c r="J116" i="5"/>
  <c r="K305" i="5" s="1"/>
  <c r="I116" i="5"/>
  <c r="H116" i="5"/>
  <c r="G116" i="5"/>
  <c r="F116" i="5"/>
  <c r="E116" i="5"/>
  <c r="D116" i="5"/>
  <c r="C116" i="5"/>
  <c r="B116" i="5"/>
  <c r="T115" i="5"/>
  <c r="S115" i="5"/>
  <c r="R115" i="5"/>
  <c r="Q115" i="5"/>
  <c r="P115" i="5"/>
  <c r="O115" i="5"/>
  <c r="N115" i="5"/>
  <c r="M115" i="5"/>
  <c r="L115" i="5"/>
  <c r="K115" i="5"/>
  <c r="J115" i="5"/>
  <c r="I115" i="5"/>
  <c r="H115" i="5"/>
  <c r="G115" i="5"/>
  <c r="F115" i="5"/>
  <c r="E115" i="5"/>
  <c r="D115" i="5"/>
  <c r="C115" i="5"/>
  <c r="B115" i="5"/>
  <c r="T110" i="5"/>
  <c r="S110" i="5"/>
  <c r="R110" i="5"/>
  <c r="Q110" i="5"/>
  <c r="P110" i="5"/>
  <c r="O110" i="5"/>
  <c r="N110" i="5"/>
  <c r="M110" i="5"/>
  <c r="L110" i="5"/>
  <c r="K110" i="5"/>
  <c r="J110" i="5"/>
  <c r="I110" i="5"/>
  <c r="H110" i="5"/>
  <c r="G110" i="5"/>
  <c r="F110" i="5"/>
  <c r="E110" i="5"/>
  <c r="D110" i="5"/>
  <c r="C110" i="5"/>
  <c r="B110" i="5"/>
  <c r="T109" i="5"/>
  <c r="S109" i="5"/>
  <c r="R109" i="5"/>
  <c r="Q109" i="5"/>
  <c r="P109" i="5"/>
  <c r="O109" i="5"/>
  <c r="N109" i="5"/>
  <c r="M109" i="5"/>
  <c r="L109" i="5"/>
  <c r="K109" i="5"/>
  <c r="J109" i="5"/>
  <c r="I109" i="5"/>
  <c r="H109" i="5"/>
  <c r="G109" i="5"/>
  <c r="F109" i="5"/>
  <c r="E109" i="5"/>
  <c r="D109" i="5"/>
  <c r="C109" i="5"/>
  <c r="B109" i="5"/>
  <c r="T108" i="5"/>
  <c r="S108" i="5"/>
  <c r="R108" i="5"/>
  <c r="Q108" i="5"/>
  <c r="P108" i="5"/>
  <c r="O108" i="5"/>
  <c r="N108" i="5"/>
  <c r="M108" i="5"/>
  <c r="L108" i="5"/>
  <c r="K108" i="5"/>
  <c r="J108" i="5"/>
  <c r="I108" i="5"/>
  <c r="H108" i="5"/>
  <c r="G108" i="5"/>
  <c r="F108" i="5"/>
  <c r="E108" i="5"/>
  <c r="D108" i="5"/>
  <c r="C108" i="5"/>
  <c r="B108" i="5"/>
  <c r="T107" i="5"/>
  <c r="S107" i="5"/>
  <c r="R107" i="5"/>
  <c r="Q107" i="5"/>
  <c r="P107" i="5"/>
  <c r="O107" i="5"/>
  <c r="N107" i="5"/>
  <c r="M107" i="5"/>
  <c r="L107" i="5"/>
  <c r="K107" i="5"/>
  <c r="J107" i="5"/>
  <c r="I107" i="5"/>
  <c r="H107" i="5"/>
  <c r="G107" i="5"/>
  <c r="F107" i="5"/>
  <c r="E107" i="5"/>
  <c r="D107" i="5"/>
  <c r="C107" i="5"/>
  <c r="B107" i="5"/>
  <c r="T106" i="5"/>
  <c r="S106" i="5"/>
  <c r="R106" i="5"/>
  <c r="Q106" i="5"/>
  <c r="P106" i="5"/>
  <c r="O106" i="5"/>
  <c r="N106" i="5"/>
  <c r="M106" i="5"/>
  <c r="L106" i="5"/>
  <c r="K106" i="5"/>
  <c r="J106" i="5"/>
  <c r="I106" i="5"/>
  <c r="H106" i="5"/>
  <c r="G106" i="5"/>
  <c r="F106" i="5"/>
  <c r="E106" i="5"/>
  <c r="D106" i="5"/>
  <c r="C106" i="5"/>
  <c r="B106" i="5"/>
  <c r="T105" i="5"/>
  <c r="S105" i="5"/>
  <c r="R105" i="5"/>
  <c r="Q105" i="5"/>
  <c r="P105" i="5"/>
  <c r="O105" i="5"/>
  <c r="N105" i="5"/>
  <c r="M105" i="5"/>
  <c r="L105" i="5"/>
  <c r="K105" i="5"/>
  <c r="J105" i="5"/>
  <c r="I105" i="5"/>
  <c r="H105" i="5"/>
  <c r="G105" i="5"/>
  <c r="F105" i="5"/>
  <c r="E105" i="5"/>
  <c r="D105" i="5"/>
  <c r="C105" i="5"/>
  <c r="B105" i="5"/>
  <c r="T104" i="5"/>
  <c r="S104" i="5"/>
  <c r="R104" i="5"/>
  <c r="Q104" i="5"/>
  <c r="P104" i="5"/>
  <c r="O104" i="5"/>
  <c r="N104" i="5"/>
  <c r="M104" i="5"/>
  <c r="L104" i="5"/>
  <c r="K104" i="5"/>
  <c r="J104" i="5"/>
  <c r="I104" i="5"/>
  <c r="H104" i="5"/>
  <c r="G104" i="5"/>
  <c r="F104" i="5"/>
  <c r="E104" i="5"/>
  <c r="D104" i="5"/>
  <c r="C104" i="5"/>
  <c r="B104" i="5"/>
  <c r="T103" i="5"/>
  <c r="S103" i="5"/>
  <c r="R103" i="5"/>
  <c r="Q103" i="5"/>
  <c r="P103" i="5"/>
  <c r="O103" i="5"/>
  <c r="N103" i="5"/>
  <c r="M103" i="5"/>
  <c r="L103" i="5"/>
  <c r="K103" i="5"/>
  <c r="J103" i="5"/>
  <c r="I103" i="5"/>
  <c r="H103" i="5"/>
  <c r="G103" i="5"/>
  <c r="F103" i="5"/>
  <c r="E103" i="5"/>
  <c r="D103" i="5"/>
  <c r="C103" i="5"/>
  <c r="B103" i="5"/>
  <c r="T102" i="5"/>
  <c r="S102" i="5"/>
  <c r="R102" i="5"/>
  <c r="Q102" i="5"/>
  <c r="P102" i="5"/>
  <c r="O102" i="5"/>
  <c r="N102" i="5"/>
  <c r="M102" i="5"/>
  <c r="L102" i="5"/>
  <c r="K102" i="5"/>
  <c r="J102" i="5"/>
  <c r="I102" i="5"/>
  <c r="H102" i="5"/>
  <c r="G102" i="5"/>
  <c r="F102" i="5"/>
  <c r="E102" i="5"/>
  <c r="D102" i="5"/>
  <c r="C102" i="5"/>
  <c r="B102" i="5"/>
  <c r="T101" i="5"/>
  <c r="S101" i="5"/>
  <c r="R101" i="5"/>
  <c r="Q101" i="5"/>
  <c r="P101" i="5"/>
  <c r="O101" i="5"/>
  <c r="N101" i="5"/>
  <c r="M101" i="5"/>
  <c r="L101" i="5"/>
  <c r="K101" i="5"/>
  <c r="J101" i="5"/>
  <c r="I101" i="5"/>
  <c r="H101" i="5"/>
  <c r="G101" i="5"/>
  <c r="F101" i="5"/>
  <c r="E101" i="5"/>
  <c r="D101" i="5"/>
  <c r="C101" i="5"/>
  <c r="B101" i="5"/>
  <c r="T100" i="5"/>
  <c r="S100" i="5"/>
  <c r="R100" i="5"/>
  <c r="Q100" i="5"/>
  <c r="P100" i="5"/>
  <c r="O100" i="5"/>
  <c r="N100" i="5"/>
  <c r="M100" i="5"/>
  <c r="L100" i="5"/>
  <c r="K100" i="5"/>
  <c r="J100" i="5"/>
  <c r="I100" i="5"/>
  <c r="H100" i="5"/>
  <c r="G100" i="5"/>
  <c r="F100" i="5"/>
  <c r="E100" i="5"/>
  <c r="D100" i="5"/>
  <c r="C100" i="5"/>
  <c r="B100" i="5"/>
  <c r="T99" i="5"/>
  <c r="S99" i="5"/>
  <c r="R99" i="5"/>
  <c r="Q99" i="5"/>
  <c r="P99" i="5"/>
  <c r="O99" i="5"/>
  <c r="N99" i="5"/>
  <c r="M99" i="5"/>
  <c r="L99" i="5"/>
  <c r="K99" i="5"/>
  <c r="J99" i="5"/>
  <c r="I99" i="5"/>
  <c r="H99" i="5"/>
  <c r="G99" i="5"/>
  <c r="F99" i="5"/>
  <c r="E99" i="5"/>
  <c r="D99" i="5"/>
  <c r="C99" i="5"/>
  <c r="B99" i="5"/>
  <c r="T98" i="5"/>
  <c r="S98" i="5"/>
  <c r="R98" i="5"/>
  <c r="Q98" i="5"/>
  <c r="P98" i="5"/>
  <c r="O98" i="5"/>
  <c r="N98" i="5"/>
  <c r="M98" i="5"/>
  <c r="L98" i="5"/>
  <c r="K98" i="5"/>
  <c r="J98" i="5"/>
  <c r="I98" i="5"/>
  <c r="H98" i="5"/>
  <c r="G98" i="5"/>
  <c r="F98" i="5"/>
  <c r="E98" i="5"/>
  <c r="D98" i="5"/>
  <c r="C98" i="5"/>
  <c r="B98" i="5"/>
  <c r="T97" i="5"/>
  <c r="S97" i="5"/>
  <c r="R97" i="5"/>
  <c r="Q97" i="5"/>
  <c r="P97" i="5"/>
  <c r="O97" i="5"/>
  <c r="N97" i="5"/>
  <c r="M97" i="5"/>
  <c r="L97" i="5"/>
  <c r="K97" i="5"/>
  <c r="J97" i="5"/>
  <c r="I97" i="5"/>
  <c r="H97" i="5"/>
  <c r="G97" i="5"/>
  <c r="F97" i="5"/>
  <c r="E97" i="5"/>
  <c r="D97" i="5"/>
  <c r="C97" i="5"/>
  <c r="B97" i="5"/>
  <c r="T96" i="5"/>
  <c r="S96" i="5"/>
  <c r="R96" i="5"/>
  <c r="Q96" i="5"/>
  <c r="P96" i="5"/>
  <c r="O96" i="5"/>
  <c r="N96" i="5"/>
  <c r="M96" i="5"/>
  <c r="L96" i="5"/>
  <c r="K96" i="5"/>
  <c r="J96" i="5"/>
  <c r="I96" i="5"/>
  <c r="H96" i="5"/>
  <c r="G96" i="5"/>
  <c r="F96" i="5"/>
  <c r="E96" i="5"/>
  <c r="D96" i="5"/>
  <c r="C96" i="5"/>
  <c r="B96" i="5"/>
  <c r="T95" i="5"/>
  <c r="S95" i="5"/>
  <c r="R95" i="5"/>
  <c r="Q95" i="5"/>
  <c r="P95" i="5"/>
  <c r="O95" i="5"/>
  <c r="N95" i="5"/>
  <c r="M95" i="5"/>
  <c r="L95" i="5"/>
  <c r="K95" i="5"/>
  <c r="J95" i="5"/>
  <c r="I95" i="5"/>
  <c r="H95" i="5"/>
  <c r="G95" i="5"/>
  <c r="F95" i="5"/>
  <c r="E95" i="5"/>
  <c r="D95" i="5"/>
  <c r="C95" i="5"/>
  <c r="B95" i="5"/>
  <c r="T94" i="5"/>
  <c r="S94" i="5"/>
  <c r="R94" i="5"/>
  <c r="Q94" i="5"/>
  <c r="P94" i="5"/>
  <c r="O94" i="5"/>
  <c r="N94" i="5"/>
  <c r="M94" i="5"/>
  <c r="L94" i="5"/>
  <c r="K94" i="5"/>
  <c r="J94" i="5"/>
  <c r="I94" i="5"/>
  <c r="H94" i="5"/>
  <c r="G94" i="5"/>
  <c r="F94" i="5"/>
  <c r="E94" i="5"/>
  <c r="D94" i="5"/>
  <c r="C94" i="5"/>
  <c r="B94" i="5"/>
  <c r="T93" i="5"/>
  <c r="S93" i="5"/>
  <c r="R93" i="5"/>
  <c r="Q93" i="5"/>
  <c r="P93" i="5"/>
  <c r="O93" i="5"/>
  <c r="N93" i="5"/>
  <c r="M93" i="5"/>
  <c r="L93" i="5"/>
  <c r="K93" i="5"/>
  <c r="J93" i="5"/>
  <c r="I93" i="5"/>
  <c r="H93" i="5"/>
  <c r="G93" i="5"/>
  <c r="F93" i="5"/>
  <c r="E93" i="5"/>
  <c r="D93" i="5"/>
  <c r="C93" i="5"/>
  <c r="B93" i="5"/>
  <c r="T92" i="5"/>
  <c r="S92" i="5"/>
  <c r="R92" i="5"/>
  <c r="Q92" i="5"/>
  <c r="P92" i="5"/>
  <c r="O92" i="5"/>
  <c r="N92" i="5"/>
  <c r="M92" i="5"/>
  <c r="L92" i="5"/>
  <c r="K92" i="5"/>
  <c r="J92" i="5"/>
  <c r="I92" i="5"/>
  <c r="H92" i="5"/>
  <c r="G92" i="5"/>
  <c r="F92" i="5"/>
  <c r="E92" i="5"/>
  <c r="D92" i="5"/>
  <c r="C92" i="5"/>
  <c r="B92" i="5"/>
  <c r="T91" i="5"/>
  <c r="S91" i="5"/>
  <c r="R91" i="5"/>
  <c r="Q91" i="5"/>
  <c r="P91" i="5"/>
  <c r="O91" i="5"/>
  <c r="N91" i="5"/>
  <c r="M91" i="5"/>
  <c r="L91" i="5"/>
  <c r="K91" i="5"/>
  <c r="J91" i="5"/>
  <c r="I91" i="5"/>
  <c r="H91" i="5"/>
  <c r="G91" i="5"/>
  <c r="F91" i="5"/>
  <c r="E91" i="5"/>
  <c r="D91" i="5"/>
  <c r="C91" i="5"/>
  <c r="B91" i="5"/>
  <c r="T90" i="5"/>
  <c r="S90" i="5"/>
  <c r="R90" i="5"/>
  <c r="Q90" i="5"/>
  <c r="P90" i="5"/>
  <c r="O90" i="5"/>
  <c r="N90" i="5"/>
  <c r="M90" i="5"/>
  <c r="L90" i="5"/>
  <c r="K90" i="5"/>
  <c r="J90" i="5"/>
  <c r="I90" i="5"/>
  <c r="H90" i="5"/>
  <c r="G90" i="5"/>
  <c r="F90" i="5"/>
  <c r="E90" i="5"/>
  <c r="D90" i="5"/>
  <c r="C90" i="5"/>
  <c r="B90" i="5"/>
  <c r="T89" i="5"/>
  <c r="S89" i="5"/>
  <c r="R89" i="5"/>
  <c r="Q89" i="5"/>
  <c r="P89" i="5"/>
  <c r="O89" i="5"/>
  <c r="N89" i="5"/>
  <c r="M89" i="5"/>
  <c r="L89" i="5"/>
  <c r="K89" i="5"/>
  <c r="J89" i="5"/>
  <c r="I89" i="5"/>
  <c r="H89" i="5"/>
  <c r="G89" i="5"/>
  <c r="F89" i="5"/>
  <c r="E89" i="5"/>
  <c r="D89" i="5"/>
  <c r="C89" i="5"/>
  <c r="B89" i="5"/>
  <c r="T88" i="5"/>
  <c r="S88" i="5"/>
  <c r="R88" i="5"/>
  <c r="Q88" i="5"/>
  <c r="P88" i="5"/>
  <c r="O88" i="5"/>
  <c r="N88" i="5"/>
  <c r="M88" i="5"/>
  <c r="L88" i="5"/>
  <c r="K88" i="5"/>
  <c r="J88" i="5"/>
  <c r="I88" i="5"/>
  <c r="H88" i="5"/>
  <c r="G88" i="5"/>
  <c r="F88" i="5"/>
  <c r="E88" i="5"/>
  <c r="D88" i="5"/>
  <c r="C88" i="5"/>
  <c r="B88" i="5"/>
  <c r="T87" i="5"/>
  <c r="S87" i="5"/>
  <c r="R87" i="5"/>
  <c r="Q87" i="5"/>
  <c r="P87" i="5"/>
  <c r="O87" i="5"/>
  <c r="N87" i="5"/>
  <c r="M87" i="5"/>
  <c r="L87" i="5"/>
  <c r="K87" i="5"/>
  <c r="J87" i="5"/>
  <c r="I87" i="5"/>
  <c r="H87" i="5"/>
  <c r="G87" i="5"/>
  <c r="F87" i="5"/>
  <c r="E87" i="5"/>
  <c r="D87" i="5"/>
  <c r="C87" i="5"/>
  <c r="B87" i="5"/>
  <c r="T86" i="5"/>
  <c r="S86" i="5"/>
  <c r="R86" i="5"/>
  <c r="Q86" i="5"/>
  <c r="P86" i="5"/>
  <c r="O86" i="5"/>
  <c r="N86" i="5"/>
  <c r="M86" i="5"/>
  <c r="L86" i="5"/>
  <c r="K86" i="5"/>
  <c r="J86" i="5"/>
  <c r="I86" i="5"/>
  <c r="H86" i="5"/>
  <c r="G86" i="5"/>
  <c r="F86" i="5"/>
  <c r="E86" i="5"/>
  <c r="D86" i="5"/>
  <c r="C86" i="5"/>
  <c r="B86" i="5"/>
  <c r="T85" i="5"/>
  <c r="S85" i="5"/>
  <c r="R85" i="5"/>
  <c r="Q85" i="5"/>
  <c r="P85" i="5"/>
  <c r="O85" i="5"/>
  <c r="N85" i="5"/>
  <c r="M85" i="5"/>
  <c r="L85" i="5"/>
  <c r="K85" i="5"/>
  <c r="J85" i="5"/>
  <c r="I85" i="5"/>
  <c r="H85" i="5"/>
  <c r="G85" i="5"/>
  <c r="F85" i="5"/>
  <c r="E85" i="5"/>
  <c r="D85" i="5"/>
  <c r="C85" i="5"/>
  <c r="B85" i="5"/>
  <c r="T84" i="5"/>
  <c r="S84" i="5"/>
  <c r="R84" i="5"/>
  <c r="Q84" i="5"/>
  <c r="P84" i="5"/>
  <c r="O84" i="5"/>
  <c r="N84" i="5"/>
  <c r="M84" i="5"/>
  <c r="L84" i="5"/>
  <c r="K84" i="5"/>
  <c r="J84" i="5"/>
  <c r="I84" i="5"/>
  <c r="H84" i="5"/>
  <c r="G84" i="5"/>
  <c r="F84" i="5"/>
  <c r="E84" i="5"/>
  <c r="D84" i="5"/>
  <c r="C84" i="5"/>
  <c r="B84" i="5"/>
  <c r="T83" i="5"/>
  <c r="S83" i="5"/>
  <c r="R83" i="5"/>
  <c r="Q83" i="5"/>
  <c r="P83" i="5"/>
  <c r="O83" i="5"/>
  <c r="N83" i="5"/>
  <c r="M83" i="5"/>
  <c r="L83" i="5"/>
  <c r="K83" i="5"/>
  <c r="J83" i="5"/>
  <c r="I83" i="5"/>
  <c r="H83" i="5"/>
  <c r="G83" i="5"/>
  <c r="F83" i="5"/>
  <c r="E83" i="5"/>
  <c r="D83" i="5"/>
  <c r="C83" i="5"/>
  <c r="B83" i="5"/>
  <c r="T82" i="5"/>
  <c r="S82" i="5"/>
  <c r="R82" i="5"/>
  <c r="Q82" i="5"/>
  <c r="P82" i="5"/>
  <c r="O82" i="5"/>
  <c r="N82" i="5"/>
  <c r="M82" i="5"/>
  <c r="L82" i="5"/>
  <c r="K82" i="5"/>
  <c r="J82" i="5"/>
  <c r="I82" i="5"/>
  <c r="H82" i="5"/>
  <c r="G82" i="5"/>
  <c r="F82" i="5"/>
  <c r="E82" i="5"/>
  <c r="D82" i="5"/>
  <c r="C82" i="5"/>
  <c r="B82" i="5"/>
  <c r="T81" i="5"/>
  <c r="S81" i="5"/>
  <c r="R81" i="5"/>
  <c r="Q81" i="5"/>
  <c r="P81" i="5"/>
  <c r="O81" i="5"/>
  <c r="N81" i="5"/>
  <c r="M81" i="5"/>
  <c r="L81" i="5"/>
  <c r="K81" i="5"/>
  <c r="J81" i="5"/>
  <c r="I81" i="5"/>
  <c r="H81" i="5"/>
  <c r="G81" i="5"/>
  <c r="F81" i="5"/>
  <c r="E81" i="5"/>
  <c r="D81" i="5"/>
  <c r="C81" i="5"/>
  <c r="B81" i="5"/>
  <c r="T80" i="5"/>
  <c r="S80" i="5"/>
  <c r="R80" i="5"/>
  <c r="Q80" i="5"/>
  <c r="P80" i="5"/>
  <c r="O80" i="5"/>
  <c r="N80" i="5"/>
  <c r="M80" i="5"/>
  <c r="L80" i="5"/>
  <c r="K80" i="5"/>
  <c r="J80" i="5"/>
  <c r="I80" i="5"/>
  <c r="H80" i="5"/>
  <c r="G80" i="5"/>
  <c r="F80" i="5"/>
  <c r="E80" i="5"/>
  <c r="D80" i="5"/>
  <c r="C80" i="5"/>
  <c r="B80" i="5"/>
  <c r="T79" i="5"/>
  <c r="S79" i="5"/>
  <c r="R79" i="5"/>
  <c r="Q79" i="5"/>
  <c r="P79" i="5"/>
  <c r="O79" i="5"/>
  <c r="N79" i="5"/>
  <c r="M79" i="5"/>
  <c r="L79" i="5"/>
  <c r="K79" i="5"/>
  <c r="J79" i="5"/>
  <c r="I79" i="5"/>
  <c r="H79" i="5"/>
  <c r="G79" i="5"/>
  <c r="F79" i="5"/>
  <c r="E79" i="5"/>
  <c r="D79" i="5"/>
  <c r="C79" i="5"/>
  <c r="B79" i="5"/>
  <c r="T78" i="5"/>
  <c r="S78" i="5"/>
  <c r="R78" i="5"/>
  <c r="Q78" i="5"/>
  <c r="P78" i="5"/>
  <c r="O78" i="5"/>
  <c r="N78" i="5"/>
  <c r="M78" i="5"/>
  <c r="L78" i="5"/>
  <c r="K78" i="5"/>
  <c r="J78" i="5"/>
  <c r="I78" i="5"/>
  <c r="H78" i="5"/>
  <c r="G78" i="5"/>
  <c r="F78" i="5"/>
  <c r="E78" i="5"/>
  <c r="D78" i="5"/>
  <c r="C78" i="5"/>
  <c r="B78" i="5"/>
  <c r="T77" i="5"/>
  <c r="S77" i="5"/>
  <c r="R77" i="5"/>
  <c r="Q77" i="5"/>
  <c r="P77" i="5"/>
  <c r="O77" i="5"/>
  <c r="N77" i="5"/>
  <c r="M77" i="5"/>
  <c r="L77" i="5"/>
  <c r="K77" i="5"/>
  <c r="J77" i="5"/>
  <c r="I77" i="5"/>
  <c r="H77" i="5"/>
  <c r="G77" i="5"/>
  <c r="F77" i="5"/>
  <c r="E77" i="5"/>
  <c r="D77" i="5"/>
  <c r="C77" i="5"/>
  <c r="B77" i="5"/>
  <c r="T76" i="5"/>
  <c r="S76" i="5"/>
  <c r="R76" i="5"/>
  <c r="Q76" i="5"/>
  <c r="P76" i="5"/>
  <c r="O76" i="5"/>
  <c r="N76" i="5"/>
  <c r="M76" i="5"/>
  <c r="L76" i="5"/>
  <c r="K76" i="5"/>
  <c r="J76" i="5"/>
  <c r="I76" i="5"/>
  <c r="H76" i="5"/>
  <c r="G76" i="5"/>
  <c r="F76" i="5"/>
  <c r="E76" i="5"/>
  <c r="D76" i="5"/>
  <c r="C76" i="5"/>
  <c r="B76" i="5"/>
  <c r="T75" i="5"/>
  <c r="S75" i="5"/>
  <c r="R75" i="5"/>
  <c r="Q75" i="5"/>
  <c r="P75" i="5"/>
  <c r="O75" i="5"/>
  <c r="N75" i="5"/>
  <c r="M75" i="5"/>
  <c r="L75" i="5"/>
  <c r="K75" i="5"/>
  <c r="J75" i="5"/>
  <c r="I75" i="5"/>
  <c r="H75" i="5"/>
  <c r="G75" i="5"/>
  <c r="F75" i="5"/>
  <c r="E75" i="5"/>
  <c r="D75" i="5"/>
  <c r="C75" i="5"/>
  <c r="B75" i="5"/>
  <c r="T74" i="5"/>
  <c r="S74" i="5"/>
  <c r="R74" i="5"/>
  <c r="Q74" i="5"/>
  <c r="P74" i="5"/>
  <c r="O74" i="5"/>
  <c r="N74" i="5"/>
  <c r="M74" i="5"/>
  <c r="L74" i="5"/>
  <c r="K74" i="5"/>
  <c r="J74" i="5"/>
  <c r="I74" i="5"/>
  <c r="H74" i="5"/>
  <c r="G74" i="5"/>
  <c r="F74" i="5"/>
  <c r="E74" i="5"/>
  <c r="D74" i="5"/>
  <c r="C74" i="5"/>
  <c r="B74" i="5"/>
  <c r="T73" i="5"/>
  <c r="S73" i="5"/>
  <c r="R73" i="5"/>
  <c r="Q73" i="5"/>
  <c r="P73" i="5"/>
  <c r="O73" i="5"/>
  <c r="N73" i="5"/>
  <c r="M73" i="5"/>
  <c r="L73" i="5"/>
  <c r="K73" i="5"/>
  <c r="J73" i="5"/>
  <c r="I73" i="5"/>
  <c r="H73" i="5"/>
  <c r="G73" i="5"/>
  <c r="F73" i="5"/>
  <c r="E73" i="5"/>
  <c r="D73" i="5"/>
  <c r="C73" i="5"/>
  <c r="B73" i="5"/>
  <c r="T72" i="5"/>
  <c r="S72" i="5"/>
  <c r="R72" i="5"/>
  <c r="Q72" i="5"/>
  <c r="P72" i="5"/>
  <c r="O72" i="5"/>
  <c r="N72" i="5"/>
  <c r="M72" i="5"/>
  <c r="L72" i="5"/>
  <c r="K72" i="5"/>
  <c r="J72" i="5"/>
  <c r="I72" i="5"/>
  <c r="H72" i="5"/>
  <c r="G72" i="5"/>
  <c r="F72" i="5"/>
  <c r="E72" i="5"/>
  <c r="D72" i="5"/>
  <c r="C72" i="5"/>
  <c r="B72" i="5"/>
  <c r="T71" i="5"/>
  <c r="S71" i="5"/>
  <c r="R71" i="5"/>
  <c r="Q71" i="5"/>
  <c r="P71" i="5"/>
  <c r="O71" i="5"/>
  <c r="N71" i="5"/>
  <c r="M71" i="5"/>
  <c r="L71" i="5"/>
  <c r="K71" i="5"/>
  <c r="J71" i="5"/>
  <c r="I71" i="5"/>
  <c r="H71" i="5"/>
  <c r="G71" i="5"/>
  <c r="F71" i="5"/>
  <c r="E71" i="5"/>
  <c r="D71" i="5"/>
  <c r="C71" i="5"/>
  <c r="B71" i="5"/>
  <c r="T70" i="5"/>
  <c r="S70" i="5"/>
  <c r="R70" i="5"/>
  <c r="Q70" i="5"/>
  <c r="P70" i="5"/>
  <c r="O70" i="5"/>
  <c r="N70" i="5"/>
  <c r="M70" i="5"/>
  <c r="L70" i="5"/>
  <c r="K70" i="5"/>
  <c r="J70" i="5"/>
  <c r="I70" i="5"/>
  <c r="H70" i="5"/>
  <c r="G70" i="5"/>
  <c r="F70" i="5"/>
  <c r="E70" i="5"/>
  <c r="D70" i="5"/>
  <c r="C70" i="5"/>
  <c r="B70" i="5"/>
  <c r="T69" i="5"/>
  <c r="S69" i="5"/>
  <c r="R69" i="5"/>
  <c r="Q69" i="5"/>
  <c r="P69" i="5"/>
  <c r="O69" i="5"/>
  <c r="N69" i="5"/>
  <c r="M69" i="5"/>
  <c r="L69" i="5"/>
  <c r="K69" i="5"/>
  <c r="J69" i="5"/>
  <c r="I69" i="5"/>
  <c r="H69" i="5"/>
  <c r="G69" i="5"/>
  <c r="F69" i="5"/>
  <c r="E69" i="5"/>
  <c r="D69" i="5"/>
  <c r="C69" i="5"/>
  <c r="B69" i="5"/>
  <c r="T68" i="5"/>
  <c r="S68" i="5"/>
  <c r="R68" i="5"/>
  <c r="Q68" i="5"/>
  <c r="P68" i="5"/>
  <c r="O68" i="5"/>
  <c r="N68" i="5"/>
  <c r="M68" i="5"/>
  <c r="L68" i="5"/>
  <c r="K68" i="5"/>
  <c r="J68" i="5"/>
  <c r="I68" i="5"/>
  <c r="H68" i="5"/>
  <c r="G68" i="5"/>
  <c r="F68" i="5"/>
  <c r="E68" i="5"/>
  <c r="D68" i="5"/>
  <c r="C68" i="5"/>
  <c r="B68" i="5"/>
  <c r="T67" i="5"/>
  <c r="S67" i="5"/>
  <c r="R67" i="5"/>
  <c r="Q67" i="5"/>
  <c r="P67" i="5"/>
  <c r="O67" i="5"/>
  <c r="N67" i="5"/>
  <c r="M67" i="5"/>
  <c r="L67" i="5"/>
  <c r="K67" i="5"/>
  <c r="J67" i="5"/>
  <c r="I67" i="5"/>
  <c r="H67" i="5"/>
  <c r="G67" i="5"/>
  <c r="F67" i="5"/>
  <c r="E67" i="5"/>
  <c r="D67" i="5"/>
  <c r="C67" i="5"/>
  <c r="B67" i="5"/>
  <c r="T66" i="5"/>
  <c r="S66" i="5"/>
  <c r="R66" i="5"/>
  <c r="Q66" i="5"/>
  <c r="P66" i="5"/>
  <c r="O66" i="5"/>
  <c r="N66" i="5"/>
  <c r="M66" i="5"/>
  <c r="L66" i="5"/>
  <c r="K66" i="5"/>
  <c r="J66" i="5"/>
  <c r="I66" i="5"/>
  <c r="H66" i="5"/>
  <c r="G66" i="5"/>
  <c r="F66" i="5"/>
  <c r="E66" i="5"/>
  <c r="D66" i="5"/>
  <c r="C66" i="5"/>
  <c r="B66" i="5"/>
  <c r="T65" i="5"/>
  <c r="S65" i="5"/>
  <c r="R65" i="5"/>
  <c r="Q65" i="5"/>
  <c r="P65" i="5"/>
  <c r="O65" i="5"/>
  <c r="N65" i="5"/>
  <c r="M65" i="5"/>
  <c r="L65" i="5"/>
  <c r="K65" i="5"/>
  <c r="J65" i="5"/>
  <c r="I65" i="5"/>
  <c r="H65" i="5"/>
  <c r="G65" i="5"/>
  <c r="F65" i="5"/>
  <c r="E65" i="5"/>
  <c r="D65" i="5"/>
  <c r="C65" i="5"/>
  <c r="B65" i="5"/>
  <c r="T64" i="5"/>
  <c r="S64" i="5"/>
  <c r="R64" i="5"/>
  <c r="Q64" i="5"/>
  <c r="P64" i="5"/>
  <c r="O64" i="5"/>
  <c r="N64" i="5"/>
  <c r="M64" i="5"/>
  <c r="L64" i="5"/>
  <c r="K64" i="5"/>
  <c r="J64" i="5"/>
  <c r="I64" i="5"/>
  <c r="H64" i="5"/>
  <c r="G64" i="5"/>
  <c r="F64" i="5"/>
  <c r="E64" i="5"/>
  <c r="D64" i="5"/>
  <c r="C64" i="5"/>
  <c r="B64" i="5"/>
  <c r="T63" i="5"/>
  <c r="S63" i="5"/>
  <c r="R63" i="5"/>
  <c r="Q63" i="5"/>
  <c r="P63" i="5"/>
  <c r="O63" i="5"/>
  <c r="N63" i="5"/>
  <c r="M63" i="5"/>
  <c r="L63" i="5"/>
  <c r="K63" i="5"/>
  <c r="J63" i="5"/>
  <c r="I63" i="5"/>
  <c r="H63" i="5"/>
  <c r="G63" i="5"/>
  <c r="F63" i="5"/>
  <c r="E63" i="5"/>
  <c r="D63" i="5"/>
  <c r="C63" i="5"/>
  <c r="B63" i="5"/>
  <c r="T62" i="5"/>
  <c r="S62" i="5"/>
  <c r="R62" i="5"/>
  <c r="Q62" i="5"/>
  <c r="P62" i="5"/>
  <c r="O62" i="5"/>
  <c r="N62" i="5"/>
  <c r="M62" i="5"/>
  <c r="L62" i="5"/>
  <c r="K62" i="5"/>
  <c r="J62" i="5"/>
  <c r="I62" i="5"/>
  <c r="H62" i="5"/>
  <c r="G62" i="5"/>
  <c r="F62" i="5"/>
  <c r="E62" i="5"/>
  <c r="D62" i="5"/>
  <c r="C62" i="5"/>
  <c r="B62" i="5"/>
  <c r="T61" i="5"/>
  <c r="S61" i="5"/>
  <c r="R61" i="5"/>
  <c r="Q61" i="5"/>
  <c r="P61" i="5"/>
  <c r="O61" i="5"/>
  <c r="N61" i="5"/>
  <c r="M61" i="5"/>
  <c r="L61" i="5"/>
  <c r="K61" i="5"/>
  <c r="J61" i="5"/>
  <c r="I61" i="5"/>
  <c r="H61" i="5"/>
  <c r="G61" i="5"/>
  <c r="F61" i="5"/>
  <c r="E61" i="5"/>
  <c r="D61" i="5"/>
  <c r="C61" i="5"/>
  <c r="B61" i="5"/>
  <c r="T60" i="5"/>
  <c r="S60" i="5"/>
  <c r="R60" i="5"/>
  <c r="Q60" i="5"/>
  <c r="P60" i="5"/>
  <c r="O60" i="5"/>
  <c r="N60" i="5"/>
  <c r="M60" i="5"/>
  <c r="L60" i="5"/>
  <c r="K60" i="5"/>
  <c r="J60" i="5"/>
  <c r="I60" i="5"/>
  <c r="H60" i="5"/>
  <c r="G60" i="5"/>
  <c r="F60" i="5"/>
  <c r="E60" i="5"/>
  <c r="D60" i="5"/>
  <c r="C60" i="5"/>
  <c r="B60" i="5"/>
  <c r="T59" i="5"/>
  <c r="S59" i="5"/>
  <c r="R59" i="5"/>
  <c r="Q59" i="5"/>
  <c r="P59" i="5"/>
  <c r="O59" i="5"/>
  <c r="N59" i="5"/>
  <c r="M59" i="5"/>
  <c r="L59" i="5"/>
  <c r="K59" i="5"/>
  <c r="J59" i="5"/>
  <c r="I59" i="5"/>
  <c r="H59" i="5"/>
  <c r="G59" i="5"/>
  <c r="F59" i="5"/>
  <c r="E59" i="5"/>
  <c r="D59" i="5"/>
  <c r="C59" i="5"/>
  <c r="B59" i="5"/>
  <c r="T58" i="5"/>
  <c r="S58" i="5"/>
  <c r="R58" i="5"/>
  <c r="Q58" i="5"/>
  <c r="P58" i="5"/>
  <c r="O58" i="5"/>
  <c r="N58" i="5"/>
  <c r="M58" i="5"/>
  <c r="L58" i="5"/>
  <c r="K58" i="5"/>
  <c r="J58" i="5"/>
  <c r="I58" i="5"/>
  <c r="H58" i="5"/>
  <c r="G58" i="5"/>
  <c r="F58" i="5"/>
  <c r="E58" i="5"/>
  <c r="D58" i="5"/>
  <c r="C58" i="5"/>
  <c r="B58" i="5"/>
  <c r="T57" i="5"/>
  <c r="S57" i="5"/>
  <c r="R57" i="5"/>
  <c r="Q57" i="5"/>
  <c r="P57" i="5"/>
  <c r="O57" i="5"/>
  <c r="N57" i="5"/>
  <c r="M57" i="5"/>
  <c r="L57" i="5"/>
  <c r="K57" i="5"/>
  <c r="J57" i="5"/>
  <c r="I57" i="5"/>
  <c r="H57" i="5"/>
  <c r="G57" i="5"/>
  <c r="F57" i="5"/>
  <c r="E57" i="5"/>
  <c r="D57" i="5"/>
  <c r="C57" i="5"/>
  <c r="B57" i="5"/>
  <c r="T56" i="5"/>
  <c r="S56" i="5"/>
  <c r="R56" i="5"/>
  <c r="Q56" i="5"/>
  <c r="P56" i="5"/>
  <c r="O56" i="5"/>
  <c r="N56" i="5"/>
  <c r="M56" i="5"/>
  <c r="L56" i="5"/>
  <c r="K56" i="5"/>
  <c r="J56" i="5"/>
  <c r="I56" i="5"/>
  <c r="H56" i="5"/>
  <c r="G56" i="5"/>
  <c r="F56" i="5"/>
  <c r="E56" i="5"/>
  <c r="D56" i="5"/>
  <c r="C56" i="5"/>
  <c r="B56" i="5"/>
  <c r="T55" i="5"/>
  <c r="S55" i="5"/>
  <c r="R55" i="5"/>
  <c r="Q55" i="5"/>
  <c r="P55" i="5"/>
  <c r="O55" i="5"/>
  <c r="N55" i="5"/>
  <c r="M55" i="5"/>
  <c r="L55" i="5"/>
  <c r="K55" i="5"/>
  <c r="J55" i="5"/>
  <c r="I55" i="5"/>
  <c r="H55" i="5"/>
  <c r="G55" i="5"/>
  <c r="F55" i="5"/>
  <c r="E55" i="5"/>
  <c r="D55" i="5"/>
  <c r="C55" i="5"/>
  <c r="B55" i="5"/>
  <c r="T54" i="5"/>
  <c r="S54" i="5"/>
  <c r="R54" i="5"/>
  <c r="Q54" i="5"/>
  <c r="P54" i="5"/>
  <c r="O54" i="5"/>
  <c r="N54" i="5"/>
  <c r="M54" i="5"/>
  <c r="L54" i="5"/>
  <c r="K54" i="5"/>
  <c r="J54" i="5"/>
  <c r="I54" i="5"/>
  <c r="H54" i="5"/>
  <c r="G54" i="5"/>
  <c r="F54" i="5"/>
  <c r="E54" i="5"/>
  <c r="D54" i="5"/>
  <c r="C54" i="5"/>
  <c r="B54" i="5"/>
  <c r="T53" i="5"/>
  <c r="S53" i="5"/>
  <c r="R53" i="5"/>
  <c r="Q53" i="5"/>
  <c r="P53" i="5"/>
  <c r="O53" i="5"/>
  <c r="N53" i="5"/>
  <c r="M53" i="5"/>
  <c r="L53" i="5"/>
  <c r="K53" i="5"/>
  <c r="J53" i="5"/>
  <c r="I53" i="5"/>
  <c r="H53" i="5"/>
  <c r="G53" i="5"/>
  <c r="F53" i="5"/>
  <c r="E53" i="5"/>
  <c r="D53" i="5"/>
  <c r="C53" i="5"/>
  <c r="B53" i="5"/>
  <c r="T52" i="5"/>
  <c r="S52" i="5"/>
  <c r="R52" i="5"/>
  <c r="Q52" i="5"/>
  <c r="P52" i="5"/>
  <c r="O52" i="5"/>
  <c r="N52" i="5"/>
  <c r="M52" i="5"/>
  <c r="L52" i="5"/>
  <c r="K52" i="5"/>
  <c r="J52" i="5"/>
  <c r="I52" i="5"/>
  <c r="H52" i="5"/>
  <c r="G52" i="5"/>
  <c r="F52" i="5"/>
  <c r="E52" i="5"/>
  <c r="D52" i="5"/>
  <c r="C52" i="5"/>
  <c r="B52" i="5"/>
  <c r="T51" i="5"/>
  <c r="S51" i="5"/>
  <c r="R51" i="5"/>
  <c r="Q51" i="5"/>
  <c r="P51" i="5"/>
  <c r="O51" i="5"/>
  <c r="N51" i="5"/>
  <c r="M51" i="5"/>
  <c r="L51" i="5"/>
  <c r="K51" i="5"/>
  <c r="J51" i="5"/>
  <c r="I51" i="5"/>
  <c r="H51" i="5"/>
  <c r="G51" i="5"/>
  <c r="F51" i="5"/>
  <c r="E51" i="5"/>
  <c r="D51" i="5"/>
  <c r="C51" i="5"/>
  <c r="B51" i="5"/>
  <c r="T50" i="5"/>
  <c r="S50" i="5"/>
  <c r="R50" i="5"/>
  <c r="Q50" i="5"/>
  <c r="P50" i="5"/>
  <c r="O50" i="5"/>
  <c r="N50" i="5"/>
  <c r="M50" i="5"/>
  <c r="L50" i="5"/>
  <c r="K50" i="5"/>
  <c r="J50" i="5"/>
  <c r="I50" i="5"/>
  <c r="H50" i="5"/>
  <c r="G50" i="5"/>
  <c r="F50" i="5"/>
  <c r="E50" i="5"/>
  <c r="D50" i="5"/>
  <c r="C50" i="5"/>
  <c r="B50" i="5"/>
  <c r="T49" i="5"/>
  <c r="S49" i="5"/>
  <c r="R49" i="5"/>
  <c r="Q49" i="5"/>
  <c r="P49" i="5"/>
  <c r="O49" i="5"/>
  <c r="N49" i="5"/>
  <c r="M49" i="5"/>
  <c r="L49" i="5"/>
  <c r="K49" i="5"/>
  <c r="J49" i="5"/>
  <c r="I49" i="5"/>
  <c r="H49" i="5"/>
  <c r="G49" i="5"/>
  <c r="F49" i="5"/>
  <c r="E49" i="5"/>
  <c r="D49" i="5"/>
  <c r="C49" i="5"/>
  <c r="B49" i="5"/>
  <c r="T48" i="5"/>
  <c r="S48" i="5"/>
  <c r="R48" i="5"/>
  <c r="Q48" i="5"/>
  <c r="P48" i="5"/>
  <c r="O48" i="5"/>
  <c r="N48" i="5"/>
  <c r="M48" i="5"/>
  <c r="L48" i="5"/>
  <c r="K48" i="5"/>
  <c r="J48" i="5"/>
  <c r="I48" i="5"/>
  <c r="H48" i="5"/>
  <c r="G48" i="5"/>
  <c r="F48" i="5"/>
  <c r="E48" i="5"/>
  <c r="D48" i="5"/>
  <c r="C48" i="5"/>
  <c r="B48" i="5"/>
  <c r="T47" i="5"/>
  <c r="S47" i="5"/>
  <c r="R47" i="5"/>
  <c r="Q47" i="5"/>
  <c r="P47" i="5"/>
  <c r="O47" i="5"/>
  <c r="N47" i="5"/>
  <c r="M47" i="5"/>
  <c r="L47" i="5"/>
  <c r="K47" i="5"/>
  <c r="J47" i="5"/>
  <c r="I47" i="5"/>
  <c r="H47" i="5"/>
  <c r="G47" i="5"/>
  <c r="F47" i="5"/>
  <c r="E47" i="5"/>
  <c r="D47" i="5"/>
  <c r="C47" i="5"/>
  <c r="B47" i="5"/>
  <c r="T46" i="5"/>
  <c r="S46" i="5"/>
  <c r="R46" i="5"/>
  <c r="Q46" i="5"/>
  <c r="P46" i="5"/>
  <c r="O46" i="5"/>
  <c r="N46" i="5"/>
  <c r="M46" i="5"/>
  <c r="L46" i="5"/>
  <c r="K46" i="5"/>
  <c r="J46" i="5"/>
  <c r="I46" i="5"/>
  <c r="H46" i="5"/>
  <c r="G46" i="5"/>
  <c r="F46" i="5"/>
  <c r="E46" i="5"/>
  <c r="D46" i="5"/>
  <c r="C46" i="5"/>
  <c r="B46" i="5"/>
  <c r="T45" i="5"/>
  <c r="S45" i="5"/>
  <c r="R45" i="5"/>
  <c r="Q45" i="5"/>
  <c r="P45" i="5"/>
  <c r="O45" i="5"/>
  <c r="N45" i="5"/>
  <c r="M45" i="5"/>
  <c r="L45" i="5"/>
  <c r="K45" i="5"/>
  <c r="J45" i="5"/>
  <c r="I45" i="5"/>
  <c r="H45" i="5"/>
  <c r="G45" i="5"/>
  <c r="F45" i="5"/>
  <c r="E45" i="5"/>
  <c r="D45" i="5"/>
  <c r="C45" i="5"/>
  <c r="B45" i="5"/>
  <c r="T44" i="5"/>
  <c r="S44" i="5"/>
  <c r="R44" i="5"/>
  <c r="Q44" i="5"/>
  <c r="P44" i="5"/>
  <c r="O44" i="5"/>
  <c r="N44" i="5"/>
  <c r="M44" i="5"/>
  <c r="L44" i="5"/>
  <c r="K44" i="5"/>
  <c r="J44" i="5"/>
  <c r="I44" i="5"/>
  <c r="H44" i="5"/>
  <c r="G44" i="5"/>
  <c r="F44" i="5"/>
  <c r="E44" i="5"/>
  <c r="D44" i="5"/>
  <c r="C44" i="5"/>
  <c r="B44" i="5"/>
  <c r="T43" i="5"/>
  <c r="S43" i="5"/>
  <c r="R43" i="5"/>
  <c r="Q43" i="5"/>
  <c r="P43" i="5"/>
  <c r="O43" i="5"/>
  <c r="N43" i="5"/>
  <c r="M43" i="5"/>
  <c r="L43" i="5"/>
  <c r="K43" i="5"/>
  <c r="J43" i="5"/>
  <c r="I43" i="5"/>
  <c r="H43" i="5"/>
  <c r="G43" i="5"/>
  <c r="F43" i="5"/>
  <c r="E43" i="5"/>
  <c r="D43" i="5"/>
  <c r="C43" i="5"/>
  <c r="B43" i="5"/>
  <c r="T42" i="5"/>
  <c r="S42" i="5"/>
  <c r="R42" i="5"/>
  <c r="Q42" i="5"/>
  <c r="P42" i="5"/>
  <c r="O42" i="5"/>
  <c r="N42" i="5"/>
  <c r="M42" i="5"/>
  <c r="L42" i="5"/>
  <c r="K42" i="5"/>
  <c r="J42" i="5"/>
  <c r="I42" i="5"/>
  <c r="H42" i="5"/>
  <c r="G42" i="5"/>
  <c r="F42" i="5"/>
  <c r="E42" i="5"/>
  <c r="D42" i="5"/>
  <c r="C42" i="5"/>
  <c r="B42" i="5"/>
  <c r="T41" i="5"/>
  <c r="S41" i="5"/>
  <c r="R41" i="5"/>
  <c r="Q41" i="5"/>
  <c r="P41" i="5"/>
  <c r="O41" i="5"/>
  <c r="N41" i="5"/>
  <c r="M41" i="5"/>
  <c r="L41" i="5"/>
  <c r="K41" i="5"/>
  <c r="J41" i="5"/>
  <c r="I41" i="5"/>
  <c r="H41" i="5"/>
  <c r="G41" i="5"/>
  <c r="F41" i="5"/>
  <c r="E41" i="5"/>
  <c r="D41" i="5"/>
  <c r="C41" i="5"/>
  <c r="B41" i="5"/>
  <c r="T40" i="5"/>
  <c r="S40" i="5"/>
  <c r="R40" i="5"/>
  <c r="Q40" i="5"/>
  <c r="P40" i="5"/>
  <c r="O40" i="5"/>
  <c r="N40" i="5"/>
  <c r="M40" i="5"/>
  <c r="L40" i="5"/>
  <c r="K40" i="5"/>
  <c r="J40" i="5"/>
  <c r="I40" i="5"/>
  <c r="H40" i="5"/>
  <c r="G40" i="5"/>
  <c r="F40" i="5"/>
  <c r="E40" i="5"/>
  <c r="D40" i="5"/>
  <c r="C40" i="5"/>
  <c r="B40" i="5"/>
  <c r="T39" i="5"/>
  <c r="S39" i="5"/>
  <c r="R39" i="5"/>
  <c r="Q39" i="5"/>
  <c r="P39" i="5"/>
  <c r="O39" i="5"/>
  <c r="N39" i="5"/>
  <c r="M39" i="5"/>
  <c r="L39" i="5"/>
  <c r="K39" i="5"/>
  <c r="J39" i="5"/>
  <c r="I39" i="5"/>
  <c r="H39" i="5"/>
  <c r="G39" i="5"/>
  <c r="F39" i="5"/>
  <c r="E39" i="5"/>
  <c r="D39" i="5"/>
  <c r="C39" i="5"/>
  <c r="B39" i="5"/>
  <c r="T38" i="5"/>
  <c r="S38" i="5"/>
  <c r="R38" i="5"/>
  <c r="Q38" i="5"/>
  <c r="P38" i="5"/>
  <c r="O38" i="5"/>
  <c r="N38" i="5"/>
  <c r="M38" i="5"/>
  <c r="L38" i="5"/>
  <c r="K38" i="5"/>
  <c r="J38" i="5"/>
  <c r="I38" i="5"/>
  <c r="H38" i="5"/>
  <c r="G38" i="5"/>
  <c r="F38" i="5"/>
  <c r="E38" i="5"/>
  <c r="D38" i="5"/>
  <c r="C38" i="5"/>
  <c r="B38" i="5"/>
  <c r="T37" i="5"/>
  <c r="S37" i="5"/>
  <c r="R37" i="5"/>
  <c r="Q37" i="5"/>
  <c r="P37" i="5"/>
  <c r="O37" i="5"/>
  <c r="N37" i="5"/>
  <c r="M37" i="5"/>
  <c r="L37" i="5"/>
  <c r="K37" i="5"/>
  <c r="J37" i="5"/>
  <c r="I37" i="5"/>
  <c r="H37" i="5"/>
  <c r="G37" i="5"/>
  <c r="F37" i="5"/>
  <c r="E37" i="5"/>
  <c r="D37" i="5"/>
  <c r="C37" i="5"/>
  <c r="B37" i="5"/>
  <c r="T36" i="5"/>
  <c r="S36" i="5"/>
  <c r="R36" i="5"/>
  <c r="Q36" i="5"/>
  <c r="P36" i="5"/>
  <c r="O36" i="5"/>
  <c r="N36" i="5"/>
  <c r="M36" i="5"/>
  <c r="L36" i="5"/>
  <c r="K36" i="5"/>
  <c r="J36" i="5"/>
  <c r="I36" i="5"/>
  <c r="H36" i="5"/>
  <c r="G36" i="5"/>
  <c r="F36" i="5"/>
  <c r="E36" i="5"/>
  <c r="D36" i="5"/>
  <c r="C36" i="5"/>
  <c r="B36" i="5"/>
  <c r="T35" i="5"/>
  <c r="S35" i="5"/>
  <c r="R35" i="5"/>
  <c r="Q35" i="5"/>
  <c r="P35" i="5"/>
  <c r="O35" i="5"/>
  <c r="N35" i="5"/>
  <c r="M35" i="5"/>
  <c r="L35" i="5"/>
  <c r="K35" i="5"/>
  <c r="J35" i="5"/>
  <c r="I35" i="5"/>
  <c r="H35" i="5"/>
  <c r="G35" i="5"/>
  <c r="F35" i="5"/>
  <c r="E35" i="5"/>
  <c r="D35" i="5"/>
  <c r="C35" i="5"/>
  <c r="B35" i="5"/>
  <c r="T34" i="5"/>
  <c r="S34" i="5"/>
  <c r="R34" i="5"/>
  <c r="Q34" i="5"/>
  <c r="R299" i="5" s="1"/>
  <c r="P34" i="5"/>
  <c r="O34" i="5"/>
  <c r="N34" i="5"/>
  <c r="M34" i="5"/>
  <c r="L34" i="5"/>
  <c r="K34" i="5"/>
  <c r="J34" i="5"/>
  <c r="I34" i="5"/>
  <c r="H34" i="5"/>
  <c r="G34" i="5"/>
  <c r="F34" i="5"/>
  <c r="E34" i="5"/>
  <c r="D34" i="5"/>
  <c r="C34" i="5"/>
  <c r="B34" i="5"/>
  <c r="T33" i="5"/>
  <c r="S33" i="5"/>
  <c r="R33" i="5"/>
  <c r="Q33" i="5"/>
  <c r="P33" i="5"/>
  <c r="O33" i="5"/>
  <c r="N33" i="5"/>
  <c r="M33" i="5"/>
  <c r="L33" i="5"/>
  <c r="K33" i="5"/>
  <c r="J33" i="5"/>
  <c r="I33" i="5"/>
  <c r="H33" i="5"/>
  <c r="G33" i="5"/>
  <c r="F33" i="5"/>
  <c r="E33" i="5"/>
  <c r="D33" i="5"/>
  <c r="C33" i="5"/>
  <c r="B33" i="5"/>
  <c r="T32" i="5"/>
  <c r="S32" i="5"/>
  <c r="R32" i="5"/>
  <c r="Q32" i="5"/>
  <c r="P32" i="5"/>
  <c r="O32" i="5"/>
  <c r="N32" i="5"/>
  <c r="M32" i="5"/>
  <c r="L32" i="5"/>
  <c r="K32" i="5"/>
  <c r="J32" i="5"/>
  <c r="I32" i="5"/>
  <c r="I297" i="5" s="1"/>
  <c r="H32" i="5"/>
  <c r="G32" i="5"/>
  <c r="F32" i="5"/>
  <c r="E32" i="5"/>
  <c r="D32" i="5"/>
  <c r="C32" i="5"/>
  <c r="B32" i="5"/>
  <c r="T31" i="5"/>
  <c r="S31" i="5"/>
  <c r="R31" i="5"/>
  <c r="Q31" i="5"/>
  <c r="P31" i="5"/>
  <c r="O31" i="5"/>
  <c r="N31" i="5"/>
  <c r="M31" i="5"/>
  <c r="L31" i="5"/>
  <c r="K31" i="5"/>
  <c r="J31" i="5"/>
  <c r="I31" i="5"/>
  <c r="H31" i="5"/>
  <c r="G31" i="5"/>
  <c r="F31" i="5"/>
  <c r="E31" i="5"/>
  <c r="D31" i="5"/>
  <c r="C31" i="5"/>
  <c r="B31" i="5"/>
  <c r="T30" i="5"/>
  <c r="S30" i="5"/>
  <c r="R30" i="5"/>
  <c r="Q30" i="5"/>
  <c r="P30" i="5"/>
  <c r="O30" i="5"/>
  <c r="N30" i="5"/>
  <c r="M30" i="5"/>
  <c r="L30" i="5"/>
  <c r="K30" i="5"/>
  <c r="J30" i="5"/>
  <c r="I30" i="5"/>
  <c r="H30" i="5"/>
  <c r="G30" i="5"/>
  <c r="F30" i="5"/>
  <c r="E30" i="5"/>
  <c r="D30" i="5"/>
  <c r="C30" i="5"/>
  <c r="B30" i="5"/>
  <c r="T29" i="5"/>
  <c r="S29" i="5"/>
  <c r="R29" i="5"/>
  <c r="Q29" i="5"/>
  <c r="P29" i="5"/>
  <c r="O29" i="5"/>
  <c r="N29" i="5"/>
  <c r="M29" i="5"/>
  <c r="L29" i="5"/>
  <c r="K29" i="5"/>
  <c r="J29" i="5"/>
  <c r="I29" i="5"/>
  <c r="H29" i="5"/>
  <c r="G29" i="5"/>
  <c r="F29" i="5"/>
  <c r="E29" i="5"/>
  <c r="D29" i="5"/>
  <c r="C29" i="5"/>
  <c r="B29" i="5"/>
  <c r="T28" i="5"/>
  <c r="S28" i="5"/>
  <c r="R28" i="5"/>
  <c r="Q28" i="5"/>
  <c r="P28" i="5"/>
  <c r="O28" i="5"/>
  <c r="N28" i="5"/>
  <c r="M28" i="5"/>
  <c r="L28" i="5"/>
  <c r="K28" i="5"/>
  <c r="J28" i="5"/>
  <c r="I28" i="5"/>
  <c r="H28" i="5"/>
  <c r="G28" i="5"/>
  <c r="F28" i="5"/>
  <c r="E28" i="5"/>
  <c r="D28" i="5"/>
  <c r="C28" i="5"/>
  <c r="B28" i="5"/>
  <c r="T27" i="5"/>
  <c r="S27" i="5"/>
  <c r="R27" i="5"/>
  <c r="Q27" i="5"/>
  <c r="P27" i="5"/>
  <c r="O27" i="5"/>
  <c r="N27" i="5"/>
  <c r="N292" i="5" s="1"/>
  <c r="M27" i="5"/>
  <c r="L27" i="5"/>
  <c r="K27" i="5"/>
  <c r="J27" i="5"/>
  <c r="I27" i="5"/>
  <c r="H27" i="5"/>
  <c r="G27" i="5"/>
  <c r="F27" i="5"/>
  <c r="F292" i="5" s="1"/>
  <c r="E27" i="5"/>
  <c r="D27" i="5"/>
  <c r="C27" i="5"/>
  <c r="B27" i="5"/>
  <c r="T26" i="5"/>
  <c r="S26" i="5"/>
  <c r="R26" i="5"/>
  <c r="Q26" i="5"/>
  <c r="P26" i="5"/>
  <c r="O26" i="5"/>
  <c r="N26" i="5"/>
  <c r="M26" i="5"/>
  <c r="L26" i="5"/>
  <c r="K26" i="5"/>
  <c r="J26" i="5"/>
  <c r="I26" i="5"/>
  <c r="H26" i="5"/>
  <c r="G26" i="5"/>
  <c r="F26" i="5"/>
  <c r="E26" i="5"/>
  <c r="D26" i="5"/>
  <c r="C26" i="5"/>
  <c r="B26" i="5"/>
  <c r="T25" i="5"/>
  <c r="S25" i="5"/>
  <c r="R25" i="5"/>
  <c r="Q25" i="5"/>
  <c r="P25" i="5"/>
  <c r="O25" i="5"/>
  <c r="N25" i="5"/>
  <c r="M25" i="5"/>
  <c r="L25" i="5"/>
  <c r="K25" i="5"/>
  <c r="J25" i="5"/>
  <c r="I25" i="5"/>
  <c r="H25" i="5"/>
  <c r="G25" i="5"/>
  <c r="F25" i="5"/>
  <c r="E25" i="5"/>
  <c r="D25" i="5"/>
  <c r="C25" i="5"/>
  <c r="B25" i="5"/>
  <c r="T24" i="5"/>
  <c r="S24" i="5"/>
  <c r="R24" i="5"/>
  <c r="Q24" i="5"/>
  <c r="Q289" i="5" s="1"/>
  <c r="P24" i="5"/>
  <c r="O24" i="5"/>
  <c r="N24" i="5"/>
  <c r="M24" i="5"/>
  <c r="L24" i="5"/>
  <c r="K24" i="5"/>
  <c r="J24" i="5"/>
  <c r="I24" i="5"/>
  <c r="I289" i="5" s="1"/>
  <c r="H24" i="5"/>
  <c r="G24" i="5"/>
  <c r="G289" i="5" s="1"/>
  <c r="F24" i="5"/>
  <c r="E24" i="5"/>
  <c r="D24" i="5"/>
  <c r="C24" i="5"/>
  <c r="B24" i="5"/>
  <c r="T23" i="5"/>
  <c r="S23" i="5"/>
  <c r="R23" i="5"/>
  <c r="Q23" i="5"/>
  <c r="P23" i="5"/>
  <c r="O23" i="5"/>
  <c r="N23" i="5"/>
  <c r="M23" i="5"/>
  <c r="L23" i="5"/>
  <c r="K23" i="5"/>
  <c r="J23" i="5"/>
  <c r="I23" i="5"/>
  <c r="H23" i="5"/>
  <c r="G23" i="5"/>
  <c r="F23" i="5"/>
  <c r="E23" i="5"/>
  <c r="D23" i="5"/>
  <c r="D288" i="5" s="1"/>
  <c r="C23" i="5"/>
  <c r="B23" i="5"/>
  <c r="T22" i="5"/>
  <c r="S22" i="5"/>
  <c r="R22" i="5"/>
  <c r="Q22" i="5"/>
  <c r="P22" i="5"/>
  <c r="O22" i="5"/>
  <c r="N22" i="5"/>
  <c r="M22" i="5"/>
  <c r="L22" i="5"/>
  <c r="K22" i="5"/>
  <c r="J22" i="5"/>
  <c r="I22" i="5"/>
  <c r="H22" i="5"/>
  <c r="G22" i="5"/>
  <c r="F22" i="5"/>
  <c r="E22" i="5"/>
  <c r="D22" i="5"/>
  <c r="C22" i="5"/>
  <c r="B22" i="5"/>
  <c r="T21" i="5"/>
  <c r="S21" i="5"/>
  <c r="R21" i="5"/>
  <c r="Q21" i="5"/>
  <c r="P21" i="5"/>
  <c r="O21" i="5"/>
  <c r="N21" i="5"/>
  <c r="M21" i="5"/>
  <c r="L21" i="5"/>
  <c r="K21" i="5"/>
  <c r="J21" i="5"/>
  <c r="I21" i="5"/>
  <c r="H21" i="5"/>
  <c r="G21" i="5"/>
  <c r="F21" i="5"/>
  <c r="E21" i="5"/>
  <c r="D21" i="5"/>
  <c r="C21" i="5"/>
  <c r="B21" i="5"/>
  <c r="T20" i="5"/>
  <c r="S20" i="5"/>
  <c r="R20" i="5"/>
  <c r="Q20" i="5"/>
  <c r="P20" i="5"/>
  <c r="O20" i="5"/>
  <c r="N20" i="5"/>
  <c r="M20" i="5"/>
  <c r="L20" i="5"/>
  <c r="K20" i="5"/>
  <c r="J20" i="5"/>
  <c r="I20" i="5"/>
  <c r="H20" i="5"/>
  <c r="G20" i="5"/>
  <c r="F20" i="5"/>
  <c r="E20" i="5"/>
  <c r="D20" i="5"/>
  <c r="C20" i="5"/>
  <c r="B20" i="5"/>
  <c r="T19" i="5"/>
  <c r="S19" i="5"/>
  <c r="R19" i="5"/>
  <c r="Q19" i="5"/>
  <c r="P19" i="5"/>
  <c r="O19" i="5"/>
  <c r="N19" i="5"/>
  <c r="N284" i="5" s="1"/>
  <c r="M19" i="5"/>
  <c r="L19" i="5"/>
  <c r="K19" i="5"/>
  <c r="J19" i="5"/>
  <c r="I19" i="5"/>
  <c r="H19" i="5"/>
  <c r="G19" i="5"/>
  <c r="F19" i="5"/>
  <c r="F284" i="5" s="1"/>
  <c r="E19" i="5"/>
  <c r="D19" i="5"/>
  <c r="C19" i="5"/>
  <c r="B19" i="5"/>
  <c r="T18" i="5"/>
  <c r="S18" i="5"/>
  <c r="S283" i="5" s="1"/>
  <c r="R18" i="5"/>
  <c r="Q18" i="5"/>
  <c r="P18" i="5"/>
  <c r="O18" i="5"/>
  <c r="N18" i="5"/>
  <c r="M18" i="5"/>
  <c r="L18" i="5"/>
  <c r="K18" i="5"/>
  <c r="K283" i="5" s="1"/>
  <c r="J18" i="5"/>
  <c r="I18" i="5"/>
  <c r="H18" i="5"/>
  <c r="G18" i="5"/>
  <c r="F18" i="5"/>
  <c r="E18" i="5"/>
  <c r="D18" i="5"/>
  <c r="C18" i="5"/>
  <c r="C283" i="5" s="1"/>
  <c r="B18" i="5"/>
  <c r="T17" i="5"/>
  <c r="S17" i="5"/>
  <c r="R17" i="5"/>
  <c r="Q17" i="5"/>
  <c r="P17" i="5"/>
  <c r="O17" i="5"/>
  <c r="N17" i="5"/>
  <c r="M17" i="5"/>
  <c r="L17" i="5"/>
  <c r="K17" i="5"/>
  <c r="J17" i="5"/>
  <c r="I17" i="5"/>
  <c r="H17" i="5"/>
  <c r="G17" i="5"/>
  <c r="F17" i="5"/>
  <c r="E17" i="5"/>
  <c r="D17" i="5"/>
  <c r="C17" i="5"/>
  <c r="B17" i="5"/>
  <c r="T16" i="5"/>
  <c r="S16" i="5"/>
  <c r="R16" i="5"/>
  <c r="Q16" i="5"/>
  <c r="P16" i="5"/>
  <c r="O16" i="5"/>
  <c r="N16" i="5"/>
  <c r="M16" i="5"/>
  <c r="L16" i="5"/>
  <c r="K16" i="5"/>
  <c r="J16" i="5"/>
  <c r="I16" i="5"/>
  <c r="H16" i="5"/>
  <c r="G16" i="5"/>
  <c r="F16" i="5"/>
  <c r="E16" i="5"/>
  <c r="D16" i="5"/>
  <c r="C16" i="5"/>
  <c r="C281" i="5" s="1"/>
  <c r="B16" i="5"/>
  <c r="T15" i="5"/>
  <c r="S15" i="5"/>
  <c r="R15" i="5"/>
  <c r="Q15" i="5"/>
  <c r="P15" i="5"/>
  <c r="O15" i="5"/>
  <c r="N15" i="5"/>
  <c r="M15" i="5"/>
  <c r="L15" i="5"/>
  <c r="K15" i="5"/>
  <c r="J15" i="5"/>
  <c r="I15" i="5"/>
  <c r="H15" i="5"/>
  <c r="G15" i="5"/>
  <c r="F15" i="5"/>
  <c r="E15" i="5"/>
  <c r="D15" i="5"/>
  <c r="C15" i="5"/>
  <c r="B15" i="5"/>
  <c r="V8" i="5"/>
  <c r="V89" i="5" s="1"/>
  <c r="W8" i="5"/>
  <c r="W87" i="5" s="1"/>
  <c r="X8" i="5"/>
  <c r="X85" i="5" s="1"/>
  <c r="Y8" i="5"/>
  <c r="Y16" i="5" s="1"/>
  <c r="Z8" i="5"/>
  <c r="Z89" i="5" s="1"/>
  <c r="U8" i="5"/>
  <c r="U85" i="5" s="1"/>
  <c r="P71" i="11"/>
  <c r="N71" i="11"/>
  <c r="M71" i="11"/>
  <c r="H71" i="11"/>
  <c r="F71" i="11"/>
  <c r="E71" i="11"/>
  <c r="B71" i="11"/>
  <c r="A71" i="11"/>
  <c r="P52" i="11"/>
  <c r="O52" i="11"/>
  <c r="N52" i="11"/>
  <c r="M52" i="11"/>
  <c r="L52" i="11"/>
  <c r="K52" i="11"/>
  <c r="J52" i="11"/>
  <c r="I52" i="11"/>
  <c r="H52" i="11"/>
  <c r="G52" i="11"/>
  <c r="F52" i="11"/>
  <c r="E52" i="11"/>
  <c r="D52" i="11"/>
  <c r="C52" i="11"/>
  <c r="B52" i="11"/>
  <c r="A52" i="11"/>
  <c r="P50" i="11"/>
  <c r="O50" i="11"/>
  <c r="N50" i="11"/>
  <c r="M50" i="11"/>
  <c r="L50" i="11"/>
  <c r="K50" i="11"/>
  <c r="J50" i="11"/>
  <c r="I50" i="11"/>
  <c r="H50" i="11"/>
  <c r="G50" i="11"/>
  <c r="F50" i="11"/>
  <c r="E50" i="11"/>
  <c r="D50" i="11"/>
  <c r="C50" i="11"/>
  <c r="B50" i="11"/>
  <c r="A50" i="11"/>
  <c r="P48" i="11"/>
  <c r="O48" i="11"/>
  <c r="N48" i="11"/>
  <c r="M48" i="11"/>
  <c r="L48" i="11"/>
  <c r="K48" i="11"/>
  <c r="J48" i="11"/>
  <c r="I48" i="11"/>
  <c r="H48" i="11"/>
  <c r="G48" i="11"/>
  <c r="F48" i="11"/>
  <c r="E48" i="11"/>
  <c r="D48" i="11"/>
  <c r="C48" i="11"/>
  <c r="B48" i="11"/>
  <c r="A48" i="11"/>
  <c r="P46" i="11"/>
  <c r="O46" i="11"/>
  <c r="N46" i="11"/>
  <c r="M46" i="11"/>
  <c r="L46" i="11"/>
  <c r="K46" i="11"/>
  <c r="J46" i="11"/>
  <c r="I46" i="11"/>
  <c r="H46" i="11"/>
  <c r="G46" i="11"/>
  <c r="F46" i="11"/>
  <c r="E46" i="11"/>
  <c r="D46" i="11"/>
  <c r="C46" i="11"/>
  <c r="B46" i="11"/>
  <c r="A46" i="11"/>
  <c r="P44" i="11"/>
  <c r="O44" i="11"/>
  <c r="N44" i="11"/>
  <c r="M44" i="11"/>
  <c r="L44" i="11"/>
  <c r="K44" i="11"/>
  <c r="J44" i="11"/>
  <c r="I44" i="11"/>
  <c r="H44" i="11"/>
  <c r="G44" i="11"/>
  <c r="F44" i="11"/>
  <c r="E44" i="11"/>
  <c r="D44" i="11"/>
  <c r="C44" i="11"/>
  <c r="B44" i="11"/>
  <c r="A44" i="11"/>
  <c r="P42" i="11"/>
  <c r="O42" i="11"/>
  <c r="N42" i="11"/>
  <c r="M42" i="11"/>
  <c r="L42" i="11"/>
  <c r="K42" i="11"/>
  <c r="J42" i="11"/>
  <c r="I42" i="11"/>
  <c r="H42" i="11"/>
  <c r="G42" i="11"/>
  <c r="F42" i="11"/>
  <c r="E42" i="11"/>
  <c r="D42" i="11"/>
  <c r="C42" i="11"/>
  <c r="B42" i="11"/>
  <c r="A42" i="11"/>
  <c r="P40" i="11"/>
  <c r="O40" i="11"/>
  <c r="N40" i="11"/>
  <c r="M40" i="11"/>
  <c r="L40" i="11"/>
  <c r="K40" i="11"/>
  <c r="J40" i="11"/>
  <c r="I40" i="11"/>
  <c r="H40" i="11"/>
  <c r="G40" i="11"/>
  <c r="F40" i="11"/>
  <c r="E40" i="11"/>
  <c r="D40" i="11"/>
  <c r="C40" i="11"/>
  <c r="B40" i="11"/>
  <c r="A40" i="11"/>
  <c r="P38" i="11"/>
  <c r="O38" i="11"/>
  <c r="N38" i="11"/>
  <c r="M38" i="11"/>
  <c r="L38" i="11"/>
  <c r="K38" i="11"/>
  <c r="J38" i="11"/>
  <c r="I38" i="11"/>
  <c r="H38" i="11"/>
  <c r="G38" i="11"/>
  <c r="F38" i="11"/>
  <c r="E38" i="11"/>
  <c r="D38" i="11"/>
  <c r="C38" i="11"/>
  <c r="B38" i="11"/>
  <c r="A38" i="11"/>
  <c r="P36" i="11"/>
  <c r="O36" i="11"/>
  <c r="N36" i="11"/>
  <c r="M36" i="11"/>
  <c r="L36" i="11"/>
  <c r="K36" i="11"/>
  <c r="J36" i="11"/>
  <c r="I36" i="11"/>
  <c r="H36" i="11"/>
  <c r="G36" i="11"/>
  <c r="F36" i="11"/>
  <c r="E36" i="11"/>
  <c r="D36" i="11"/>
  <c r="C36" i="11"/>
  <c r="B36" i="11"/>
  <c r="A36" i="11"/>
  <c r="P34" i="11"/>
  <c r="O34" i="11"/>
  <c r="N34" i="11"/>
  <c r="M34" i="11"/>
  <c r="L34" i="11"/>
  <c r="K34" i="11"/>
  <c r="J34" i="11"/>
  <c r="I34" i="11"/>
  <c r="H34" i="11"/>
  <c r="G34" i="11"/>
  <c r="F34" i="11"/>
  <c r="E34" i="11"/>
  <c r="D34" i="11"/>
  <c r="C34" i="11"/>
  <c r="B34" i="11"/>
  <c r="A34" i="11"/>
  <c r="P32" i="11"/>
  <c r="O32" i="11"/>
  <c r="N32" i="11"/>
  <c r="M32" i="11"/>
  <c r="L32" i="11"/>
  <c r="K32" i="11"/>
  <c r="J32" i="11"/>
  <c r="I32" i="11"/>
  <c r="H32" i="11"/>
  <c r="G32" i="11"/>
  <c r="F32" i="11"/>
  <c r="E32" i="11"/>
  <c r="D32" i="11"/>
  <c r="C32" i="11"/>
  <c r="B32" i="11"/>
  <c r="A32" i="11"/>
  <c r="P30" i="11"/>
  <c r="O30" i="11"/>
  <c r="N30" i="11"/>
  <c r="M30" i="11"/>
  <c r="L30" i="11"/>
  <c r="K30" i="11"/>
  <c r="J30" i="11"/>
  <c r="I30" i="11"/>
  <c r="H30" i="11"/>
  <c r="G30" i="11"/>
  <c r="F30" i="11"/>
  <c r="E30" i="11"/>
  <c r="D30" i="11"/>
  <c r="C30" i="11"/>
  <c r="B30" i="11"/>
  <c r="A30" i="11"/>
  <c r="P28" i="11"/>
  <c r="O28" i="11"/>
  <c r="N28" i="11"/>
  <c r="M28" i="11"/>
  <c r="L28" i="11"/>
  <c r="K28" i="11"/>
  <c r="J28" i="11"/>
  <c r="I28" i="11"/>
  <c r="H28" i="11"/>
  <c r="G28" i="11"/>
  <c r="F28" i="11"/>
  <c r="E28" i="11"/>
  <c r="D28" i="11"/>
  <c r="C28" i="11"/>
  <c r="B28" i="11"/>
  <c r="A28" i="11"/>
  <c r="P26" i="11"/>
  <c r="O26" i="11"/>
  <c r="N26" i="11"/>
  <c r="M26" i="11"/>
  <c r="L26" i="11"/>
  <c r="K26" i="11"/>
  <c r="J26" i="11"/>
  <c r="I26" i="11"/>
  <c r="H26" i="11"/>
  <c r="G26" i="11"/>
  <c r="F26" i="11"/>
  <c r="E26" i="11"/>
  <c r="D26" i="11"/>
  <c r="C26" i="11"/>
  <c r="B26" i="11"/>
  <c r="A26" i="11"/>
  <c r="P24" i="11"/>
  <c r="O24" i="11"/>
  <c r="N24" i="11"/>
  <c r="M24" i="11"/>
  <c r="L24" i="11"/>
  <c r="K24" i="11"/>
  <c r="J24" i="11"/>
  <c r="I24" i="11"/>
  <c r="H24" i="11"/>
  <c r="G24" i="11"/>
  <c r="F24" i="11"/>
  <c r="E24" i="11"/>
  <c r="D24" i="11"/>
  <c r="C24" i="11"/>
  <c r="B24" i="11"/>
  <c r="A24" i="11"/>
  <c r="P22" i="11"/>
  <c r="O22" i="11"/>
  <c r="N22" i="11"/>
  <c r="M22" i="11"/>
  <c r="L22" i="11"/>
  <c r="K22" i="11"/>
  <c r="J22" i="11"/>
  <c r="I22" i="11"/>
  <c r="H22" i="11"/>
  <c r="G22" i="11"/>
  <c r="F22" i="11"/>
  <c r="E22" i="11"/>
  <c r="D22" i="11"/>
  <c r="C22" i="11"/>
  <c r="B22" i="11"/>
  <c r="A22" i="11"/>
  <c r="P20" i="11"/>
  <c r="O20" i="11"/>
  <c r="N20" i="11"/>
  <c r="M20" i="11"/>
  <c r="L20" i="11"/>
  <c r="K20" i="11"/>
  <c r="J20" i="11"/>
  <c r="I20" i="11"/>
  <c r="H20" i="11"/>
  <c r="G20" i="11"/>
  <c r="F20" i="11"/>
  <c r="E20" i="11"/>
  <c r="D20" i="11"/>
  <c r="C20" i="11"/>
  <c r="B20" i="11"/>
  <c r="A20" i="11"/>
  <c r="P18" i="11"/>
  <c r="O18" i="11"/>
  <c r="N18" i="11"/>
  <c r="M18" i="11"/>
  <c r="L18" i="11"/>
  <c r="K18" i="11"/>
  <c r="J18" i="11"/>
  <c r="I18" i="11"/>
  <c r="H18" i="11"/>
  <c r="G18" i="11"/>
  <c r="F18" i="11"/>
  <c r="A18" i="11"/>
  <c r="P16" i="11"/>
  <c r="O16" i="11"/>
  <c r="N16" i="11"/>
  <c r="M16" i="11"/>
  <c r="L16" i="11"/>
  <c r="K16" i="11"/>
  <c r="J16" i="11"/>
  <c r="I16" i="11"/>
  <c r="H16" i="11"/>
  <c r="G16" i="11"/>
  <c r="F16" i="11"/>
  <c r="E16" i="11"/>
  <c r="D16" i="11"/>
  <c r="C16" i="11"/>
  <c r="B16" i="11"/>
  <c r="B29" i="10"/>
  <c r="B21" i="10"/>
  <c r="G7" i="10"/>
  <c r="F7" i="10"/>
  <c r="E7" i="10"/>
  <c r="D7" i="10"/>
  <c r="C7" i="10"/>
  <c r="G32" i="9"/>
  <c r="F32" i="9"/>
  <c r="E32" i="9"/>
  <c r="D32" i="9"/>
  <c r="C32" i="9"/>
  <c r="G29" i="9"/>
  <c r="F29" i="9"/>
  <c r="E29" i="9"/>
  <c r="D29" i="9"/>
  <c r="C29" i="9"/>
  <c r="G26" i="9"/>
  <c r="F26" i="9"/>
  <c r="E26" i="9"/>
  <c r="D26" i="9"/>
  <c r="C26" i="9"/>
  <c r="G25" i="9"/>
  <c r="F25" i="9"/>
  <c r="E25" i="9"/>
  <c r="D25" i="9"/>
  <c r="C25" i="9"/>
  <c r="G14" i="9"/>
  <c r="F14" i="9"/>
  <c r="E14" i="9"/>
  <c r="D14" i="9"/>
  <c r="C14" i="9"/>
  <c r="C37" i="9"/>
  <c r="T30" i="8"/>
  <c r="S30" i="8"/>
  <c r="R30" i="8"/>
  <c r="Q30" i="8"/>
  <c r="P30" i="8"/>
  <c r="O30" i="8"/>
  <c r="N30" i="8"/>
  <c r="M30" i="8"/>
  <c r="L30" i="8"/>
  <c r="K30" i="8"/>
  <c r="J30" i="8"/>
  <c r="I30" i="8"/>
  <c r="H30" i="8"/>
  <c r="G30" i="8"/>
  <c r="F30" i="8"/>
  <c r="E30" i="8"/>
  <c r="D30" i="8"/>
  <c r="C30" i="8"/>
  <c r="AI30" i="8"/>
  <c r="AH30" i="8"/>
  <c r="AF30" i="8"/>
  <c r="AE30" i="8"/>
  <c r="AC30" i="8"/>
  <c r="AB30" i="8"/>
  <c r="Z30" i="8"/>
  <c r="X30" i="8"/>
  <c r="W30" i="8"/>
  <c r="AD30" i="8"/>
  <c r="AG30" i="8"/>
  <c r="Y30" i="8"/>
  <c r="O102" i="7"/>
  <c r="L102" i="7"/>
  <c r="I102" i="7"/>
  <c r="F102" i="7"/>
  <c r="C102" i="7"/>
  <c r="H76" i="7"/>
  <c r="M74" i="7"/>
  <c r="C73" i="7"/>
  <c r="R72" i="7"/>
  <c r="D61" i="7"/>
  <c r="E61" i="7" s="1"/>
  <c r="D60" i="7"/>
  <c r="E60" i="7" s="1"/>
  <c r="D59" i="7"/>
  <c r="E59" i="7" s="1"/>
  <c r="E58" i="7"/>
  <c r="D58" i="7"/>
  <c r="Q55" i="7"/>
  <c r="J55" i="7"/>
  <c r="C55" i="7"/>
  <c r="AJ31" i="7"/>
  <c r="AI31" i="7"/>
  <c r="AH31" i="7"/>
  <c r="AG31" i="7"/>
  <c r="AF31" i="7"/>
  <c r="AE31" i="7"/>
  <c r="AD31" i="7"/>
  <c r="AC31" i="7"/>
  <c r="AB31" i="7"/>
  <c r="AA31" i="7"/>
  <c r="Z31" i="7"/>
  <c r="Y31" i="7"/>
  <c r="X31" i="7"/>
  <c r="A145" i="6"/>
  <c r="A144" i="6"/>
  <c r="A143" i="6"/>
  <c r="A142" i="6"/>
  <c r="A141" i="6"/>
  <c r="A140" i="6"/>
  <c r="A139" i="6"/>
  <c r="A138" i="6"/>
  <c r="A137" i="6"/>
  <c r="A136" i="6"/>
  <c r="A135" i="6"/>
  <c r="A134" i="6"/>
  <c r="A133" i="6"/>
  <c r="A132" i="6"/>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8" i="6"/>
  <c r="A97" i="6"/>
  <c r="A96" i="6"/>
  <c r="A95" i="6"/>
  <c r="A94" i="6"/>
  <c r="A93" i="6"/>
  <c r="A92" i="6"/>
  <c r="A91" i="6"/>
  <c r="A90" i="6"/>
  <c r="A89" i="6"/>
  <c r="A88" i="6"/>
  <c r="A87" i="6"/>
  <c r="A86" i="6"/>
  <c r="A85" i="6"/>
  <c r="A84" i="6"/>
  <c r="A83" i="6"/>
  <c r="A82" i="6"/>
  <c r="A81" i="6"/>
  <c r="A80" i="6"/>
  <c r="A210" i="5"/>
  <c r="A209" i="5"/>
  <c r="A208" i="5"/>
  <c r="A207" i="5"/>
  <c r="A206" i="5"/>
  <c r="A205" i="5"/>
  <c r="A204" i="5"/>
  <c r="A203" i="5"/>
  <c r="A202" i="5"/>
  <c r="A201" i="5"/>
  <c r="A200" i="5"/>
  <c r="A199" i="5"/>
  <c r="A198" i="5"/>
  <c r="A197" i="5"/>
  <c r="A196" i="5"/>
  <c r="A195" i="5"/>
  <c r="A194" i="5"/>
  <c r="A193" i="5"/>
  <c r="A192" i="5"/>
  <c r="A191" i="5"/>
  <c r="A190" i="5"/>
  <c r="A189" i="5"/>
  <c r="A188" i="5"/>
  <c r="A187" i="5"/>
  <c r="A186" i="5"/>
  <c r="A185" i="5"/>
  <c r="A184" i="5"/>
  <c r="A183" i="5"/>
  <c r="A182" i="5"/>
  <c r="A181" i="5"/>
  <c r="G270" i="5"/>
  <c r="A180" i="5"/>
  <c r="A179" i="5"/>
  <c r="A178" i="5"/>
  <c r="A177" i="5"/>
  <c r="A176" i="5"/>
  <c r="A175" i="5"/>
  <c r="A174" i="5"/>
  <c r="A173" i="5"/>
  <c r="A172" i="5"/>
  <c r="A171" i="5"/>
  <c r="Q234" i="5"/>
  <c r="A170" i="5"/>
  <c r="A169" i="5"/>
  <c r="A168" i="5"/>
  <c r="A167" i="5"/>
  <c r="A166" i="5"/>
  <c r="A165" i="5"/>
  <c r="A164" i="5"/>
  <c r="A163" i="5"/>
  <c r="A162" i="5"/>
  <c r="A161" i="5"/>
  <c r="A160" i="5"/>
  <c r="A159" i="5"/>
  <c r="A158" i="5"/>
  <c r="A157" i="5"/>
  <c r="A156" i="5"/>
  <c r="A155" i="5"/>
  <c r="A154" i="5"/>
  <c r="A153" i="5"/>
  <c r="A152" i="5"/>
  <c r="A151" i="5"/>
  <c r="A150" i="5"/>
  <c r="A149" i="5"/>
  <c r="A148" i="5"/>
  <c r="A147" i="5"/>
  <c r="A146" i="5"/>
  <c r="A145" i="5"/>
  <c r="A144" i="5"/>
  <c r="A143" i="5"/>
  <c r="A142" i="5"/>
  <c r="A141" i="5"/>
  <c r="A140" i="5"/>
  <c r="A139" i="5"/>
  <c r="A138" i="5"/>
  <c r="A137" i="5"/>
  <c r="A136" i="5"/>
  <c r="A135" i="5"/>
  <c r="Q323" i="5"/>
  <c r="P323" i="5"/>
  <c r="I323" i="5"/>
  <c r="H323" i="5"/>
  <c r="A134" i="5"/>
  <c r="A133" i="5"/>
  <c r="A132" i="5"/>
  <c r="A131" i="5"/>
  <c r="A130" i="5"/>
  <c r="M318" i="5"/>
  <c r="E318" i="5"/>
  <c r="A129" i="5"/>
  <c r="A128" i="5"/>
  <c r="A127" i="5"/>
  <c r="A126" i="5"/>
  <c r="A125" i="5"/>
  <c r="S313" i="5"/>
  <c r="P313" i="5"/>
  <c r="H313" i="5"/>
  <c r="A124" i="5"/>
  <c r="O312" i="5"/>
  <c r="L312" i="5"/>
  <c r="G312" i="5"/>
  <c r="A123" i="5"/>
  <c r="S311" i="5"/>
  <c r="P311" i="5"/>
  <c r="K311" i="5"/>
  <c r="H311" i="5"/>
  <c r="C311" i="5"/>
  <c r="A122" i="5"/>
  <c r="T310" i="5"/>
  <c r="O310" i="5"/>
  <c r="L310" i="5"/>
  <c r="G310" i="5"/>
  <c r="D310" i="5"/>
  <c r="A121" i="5"/>
  <c r="A120" i="5"/>
  <c r="O308" i="5"/>
  <c r="A119" i="5"/>
  <c r="S307" i="5"/>
  <c r="K307" i="5"/>
  <c r="H307" i="5"/>
  <c r="C307" i="5"/>
  <c r="A118" i="5"/>
  <c r="O306" i="5"/>
  <c r="G306" i="5"/>
  <c r="A117" i="5"/>
  <c r="C305" i="5"/>
  <c r="A116" i="5"/>
  <c r="A115" i="5"/>
  <c r="S299" i="5"/>
  <c r="K299" i="5"/>
  <c r="J299" i="5"/>
  <c r="C299" i="5"/>
  <c r="T294" i="5"/>
  <c r="Q293" i="5"/>
  <c r="I293" i="5"/>
  <c r="C293" i="5"/>
  <c r="T292" i="5"/>
  <c r="L292" i="5"/>
  <c r="I291" i="5"/>
  <c r="G291" i="5"/>
  <c r="O289" i="5"/>
  <c r="L288" i="5"/>
  <c r="O287" i="5"/>
  <c r="G287" i="5"/>
  <c r="S286" i="5"/>
  <c r="N286" i="5"/>
  <c r="H284" i="5"/>
  <c r="T282" i="5"/>
  <c r="O282" i="5"/>
  <c r="M281" i="5"/>
  <c r="E281" i="5"/>
  <c r="U13" i="5"/>
  <c r="U12" i="5"/>
  <c r="AA9" i="5"/>
  <c r="AJ491" i="4"/>
  <c r="AI491" i="4"/>
  <c r="AH491" i="4"/>
  <c r="AG491" i="4"/>
  <c r="AF491" i="4"/>
  <c r="AE491" i="4"/>
  <c r="AD491" i="4"/>
  <c r="AC491" i="4"/>
  <c r="AB491" i="4"/>
  <c r="AA491" i="4"/>
  <c r="Z491" i="4"/>
  <c r="Y491" i="4"/>
  <c r="X491" i="4"/>
  <c r="W491" i="4"/>
  <c r="V491" i="4"/>
  <c r="U491" i="4"/>
  <c r="T491" i="4"/>
  <c r="A491" i="4"/>
  <c r="AJ490" i="4"/>
  <c r="AI490" i="4"/>
  <c r="AH490" i="4"/>
  <c r="AG490" i="4"/>
  <c r="AF490" i="4"/>
  <c r="AE490" i="4"/>
  <c r="AD490" i="4"/>
  <c r="AC490" i="4"/>
  <c r="AB490" i="4"/>
  <c r="AA490" i="4"/>
  <c r="Z490" i="4"/>
  <c r="Y490" i="4"/>
  <c r="X490" i="4"/>
  <c r="W490" i="4"/>
  <c r="V490" i="4"/>
  <c r="U490" i="4"/>
  <c r="T490" i="4"/>
  <c r="A490" i="4"/>
  <c r="AJ489" i="4"/>
  <c r="AI489" i="4"/>
  <c r="AH489" i="4"/>
  <c r="AG489" i="4"/>
  <c r="AF489" i="4"/>
  <c r="AE489" i="4"/>
  <c r="AD489" i="4"/>
  <c r="AC489" i="4"/>
  <c r="AB489" i="4"/>
  <c r="AA489" i="4"/>
  <c r="Z489" i="4"/>
  <c r="Y489" i="4"/>
  <c r="X489" i="4"/>
  <c r="W489" i="4"/>
  <c r="V489" i="4"/>
  <c r="U489" i="4"/>
  <c r="T489" i="4"/>
  <c r="A489" i="4"/>
  <c r="AJ488" i="4"/>
  <c r="AI488" i="4"/>
  <c r="AH488" i="4"/>
  <c r="AG488" i="4"/>
  <c r="AF488" i="4"/>
  <c r="AE488" i="4"/>
  <c r="AD488" i="4"/>
  <c r="AC488" i="4"/>
  <c r="AB488" i="4"/>
  <c r="AA488" i="4"/>
  <c r="Z488" i="4"/>
  <c r="Y488" i="4"/>
  <c r="X488" i="4"/>
  <c r="W488" i="4"/>
  <c r="V488" i="4"/>
  <c r="U488" i="4"/>
  <c r="T488" i="4"/>
  <c r="A488" i="4"/>
  <c r="AJ487" i="4"/>
  <c r="AI487" i="4"/>
  <c r="AH487" i="4"/>
  <c r="AG487" i="4"/>
  <c r="AF487" i="4"/>
  <c r="AE487" i="4"/>
  <c r="AD487" i="4"/>
  <c r="AC487" i="4"/>
  <c r="AB487" i="4"/>
  <c r="AA487" i="4"/>
  <c r="Z487" i="4"/>
  <c r="Y487" i="4"/>
  <c r="X487" i="4"/>
  <c r="W487" i="4"/>
  <c r="V487" i="4"/>
  <c r="U487" i="4"/>
  <c r="T487" i="4"/>
  <c r="A487" i="4"/>
  <c r="AJ486" i="4"/>
  <c r="AI486" i="4"/>
  <c r="AH486" i="4"/>
  <c r="AG486" i="4"/>
  <c r="AF486" i="4"/>
  <c r="AE486" i="4"/>
  <c r="AD486" i="4"/>
  <c r="AC486" i="4"/>
  <c r="AB486" i="4"/>
  <c r="AA486" i="4"/>
  <c r="Z486" i="4"/>
  <c r="Y486" i="4"/>
  <c r="X486" i="4"/>
  <c r="W486" i="4"/>
  <c r="V486" i="4"/>
  <c r="U486" i="4"/>
  <c r="T486" i="4"/>
  <c r="A486" i="4"/>
  <c r="AJ485" i="4"/>
  <c r="AI485" i="4"/>
  <c r="AH485" i="4"/>
  <c r="AG485" i="4"/>
  <c r="AF485" i="4"/>
  <c r="AE485" i="4"/>
  <c r="AD485" i="4"/>
  <c r="AC485" i="4"/>
  <c r="AB485" i="4"/>
  <c r="AA485" i="4"/>
  <c r="Z485" i="4"/>
  <c r="Y485" i="4"/>
  <c r="X485" i="4"/>
  <c r="W485" i="4"/>
  <c r="V485" i="4"/>
  <c r="U485" i="4"/>
  <c r="T485" i="4"/>
  <c r="A485" i="4"/>
  <c r="AJ484" i="4"/>
  <c r="AI484" i="4"/>
  <c r="AH484" i="4"/>
  <c r="AG484" i="4"/>
  <c r="AF484" i="4"/>
  <c r="AE484" i="4"/>
  <c r="AD484" i="4"/>
  <c r="AC484" i="4"/>
  <c r="AB484" i="4"/>
  <c r="AA484" i="4"/>
  <c r="Z484" i="4"/>
  <c r="Y484" i="4"/>
  <c r="X484" i="4"/>
  <c r="W484" i="4"/>
  <c r="V484" i="4"/>
  <c r="U484" i="4"/>
  <c r="T484" i="4"/>
  <c r="A484" i="4"/>
  <c r="AJ483" i="4"/>
  <c r="AI483" i="4"/>
  <c r="AH483" i="4"/>
  <c r="AG483" i="4"/>
  <c r="AF483" i="4"/>
  <c r="AE483" i="4"/>
  <c r="AD483" i="4"/>
  <c r="AC483" i="4"/>
  <c r="AB483" i="4"/>
  <c r="AA483" i="4"/>
  <c r="Z483" i="4"/>
  <c r="Y483" i="4"/>
  <c r="X483" i="4"/>
  <c r="W483" i="4"/>
  <c r="V483" i="4"/>
  <c r="U483" i="4"/>
  <c r="T483" i="4"/>
  <c r="A483" i="4"/>
  <c r="AJ482" i="4"/>
  <c r="AI482" i="4"/>
  <c r="AH482" i="4"/>
  <c r="AG482" i="4"/>
  <c r="AF482" i="4"/>
  <c r="AE482" i="4"/>
  <c r="AD482" i="4"/>
  <c r="AC482" i="4"/>
  <c r="AB482" i="4"/>
  <c r="AA482" i="4"/>
  <c r="Z482" i="4"/>
  <c r="Y482" i="4"/>
  <c r="X482" i="4"/>
  <c r="W482" i="4"/>
  <c r="V482" i="4"/>
  <c r="U482" i="4"/>
  <c r="T482" i="4"/>
  <c r="A482" i="4"/>
  <c r="AJ481" i="4"/>
  <c r="AI481" i="4"/>
  <c r="AH481" i="4"/>
  <c r="AG481" i="4"/>
  <c r="AF481" i="4"/>
  <c r="AE481" i="4"/>
  <c r="AD481" i="4"/>
  <c r="AC481" i="4"/>
  <c r="AB481" i="4"/>
  <c r="AA481" i="4"/>
  <c r="Z481" i="4"/>
  <c r="Y481" i="4"/>
  <c r="X481" i="4"/>
  <c r="W481" i="4"/>
  <c r="V481" i="4"/>
  <c r="U481" i="4"/>
  <c r="T481" i="4"/>
  <c r="A481" i="4"/>
  <c r="AJ480" i="4"/>
  <c r="AI480" i="4"/>
  <c r="AH480" i="4"/>
  <c r="AG480" i="4"/>
  <c r="AF480" i="4"/>
  <c r="AE480" i="4"/>
  <c r="AD480" i="4"/>
  <c r="AC480" i="4"/>
  <c r="AB480" i="4"/>
  <c r="AA480" i="4"/>
  <c r="Z480" i="4"/>
  <c r="Y480" i="4"/>
  <c r="X480" i="4"/>
  <c r="W480" i="4"/>
  <c r="V480" i="4"/>
  <c r="U480" i="4"/>
  <c r="T480" i="4"/>
  <c r="A480" i="4"/>
  <c r="AJ479" i="4"/>
  <c r="AI479" i="4"/>
  <c r="AH479" i="4"/>
  <c r="AG479" i="4"/>
  <c r="AF479" i="4"/>
  <c r="AE479" i="4"/>
  <c r="AD479" i="4"/>
  <c r="AC479" i="4"/>
  <c r="AB479" i="4"/>
  <c r="AA479" i="4"/>
  <c r="Z479" i="4"/>
  <c r="Y479" i="4"/>
  <c r="X479" i="4"/>
  <c r="W479" i="4"/>
  <c r="V479" i="4"/>
  <c r="U479" i="4"/>
  <c r="T479" i="4"/>
  <c r="A479" i="4"/>
  <c r="AJ478" i="4"/>
  <c r="AI478" i="4"/>
  <c r="AH478" i="4"/>
  <c r="AG478" i="4"/>
  <c r="AF478" i="4"/>
  <c r="AE478" i="4"/>
  <c r="AD478" i="4"/>
  <c r="AC478" i="4"/>
  <c r="AB478" i="4"/>
  <c r="AA478" i="4"/>
  <c r="Z478" i="4"/>
  <c r="Y478" i="4"/>
  <c r="X478" i="4"/>
  <c r="W478" i="4"/>
  <c r="V478" i="4"/>
  <c r="U478" i="4"/>
  <c r="T478" i="4"/>
  <c r="A478" i="4"/>
  <c r="AJ477" i="4"/>
  <c r="AI477" i="4"/>
  <c r="AH477" i="4"/>
  <c r="AG477" i="4"/>
  <c r="AF477" i="4"/>
  <c r="AE477" i="4"/>
  <c r="AD477" i="4"/>
  <c r="AC477" i="4"/>
  <c r="AB477" i="4"/>
  <c r="AA477" i="4"/>
  <c r="Z477" i="4"/>
  <c r="Y477" i="4"/>
  <c r="X477" i="4"/>
  <c r="W477" i="4"/>
  <c r="V477" i="4"/>
  <c r="U477" i="4"/>
  <c r="T477" i="4"/>
  <c r="A477" i="4"/>
  <c r="AJ476" i="4"/>
  <c r="AI476" i="4"/>
  <c r="AH476" i="4"/>
  <c r="AG476" i="4"/>
  <c r="AF476" i="4"/>
  <c r="AE476" i="4"/>
  <c r="AD476" i="4"/>
  <c r="AC476" i="4"/>
  <c r="AB476" i="4"/>
  <c r="AA476" i="4"/>
  <c r="Z476" i="4"/>
  <c r="Y476" i="4"/>
  <c r="X476" i="4"/>
  <c r="W476" i="4"/>
  <c r="V476" i="4"/>
  <c r="U476" i="4"/>
  <c r="T476" i="4"/>
  <c r="A476" i="4"/>
  <c r="AJ475" i="4"/>
  <c r="AI475" i="4"/>
  <c r="AH475" i="4"/>
  <c r="AG475" i="4"/>
  <c r="AF475" i="4"/>
  <c r="AE475" i="4"/>
  <c r="AD475" i="4"/>
  <c r="AC475" i="4"/>
  <c r="AB475" i="4"/>
  <c r="AA475" i="4"/>
  <c r="Z475" i="4"/>
  <c r="Y475" i="4"/>
  <c r="X475" i="4"/>
  <c r="W475" i="4"/>
  <c r="V475" i="4"/>
  <c r="U475" i="4"/>
  <c r="T475" i="4"/>
  <c r="A475" i="4"/>
  <c r="AJ474" i="4"/>
  <c r="AI474" i="4"/>
  <c r="AH474" i="4"/>
  <c r="AG474" i="4"/>
  <c r="AF474" i="4"/>
  <c r="AE474" i="4"/>
  <c r="AD474" i="4"/>
  <c r="AC474" i="4"/>
  <c r="AB474" i="4"/>
  <c r="AA474" i="4"/>
  <c r="Z474" i="4"/>
  <c r="Y474" i="4"/>
  <c r="X474" i="4"/>
  <c r="W474" i="4"/>
  <c r="V474" i="4"/>
  <c r="U474" i="4"/>
  <c r="T474" i="4"/>
  <c r="A474" i="4"/>
  <c r="AJ473" i="4"/>
  <c r="AI473" i="4"/>
  <c r="AH473" i="4"/>
  <c r="AG473" i="4"/>
  <c r="AF473" i="4"/>
  <c r="AE473" i="4"/>
  <c r="AD473" i="4"/>
  <c r="AC473" i="4"/>
  <c r="AB473" i="4"/>
  <c r="AA473" i="4"/>
  <c r="Z473" i="4"/>
  <c r="Y473" i="4"/>
  <c r="X473" i="4"/>
  <c r="W473" i="4"/>
  <c r="V473" i="4"/>
  <c r="U473" i="4"/>
  <c r="T473" i="4"/>
  <c r="A473" i="4"/>
  <c r="AJ472" i="4"/>
  <c r="AI472" i="4"/>
  <c r="AH472" i="4"/>
  <c r="AG472" i="4"/>
  <c r="AF472" i="4"/>
  <c r="AE472" i="4"/>
  <c r="AD472" i="4"/>
  <c r="AC472" i="4"/>
  <c r="AB472" i="4"/>
  <c r="AA472" i="4"/>
  <c r="Z472" i="4"/>
  <c r="Y472" i="4"/>
  <c r="X472" i="4"/>
  <c r="W472" i="4"/>
  <c r="V472" i="4"/>
  <c r="U472" i="4"/>
  <c r="T472" i="4"/>
  <c r="A472" i="4"/>
  <c r="AJ471" i="4"/>
  <c r="AI471" i="4"/>
  <c r="AH471" i="4"/>
  <c r="AG471" i="4"/>
  <c r="AF471" i="4"/>
  <c r="AE471" i="4"/>
  <c r="AD471" i="4"/>
  <c r="AC471" i="4"/>
  <c r="AB471" i="4"/>
  <c r="AA471" i="4"/>
  <c r="Z471" i="4"/>
  <c r="Y471" i="4"/>
  <c r="X471" i="4"/>
  <c r="W471" i="4"/>
  <c r="V471" i="4"/>
  <c r="U471" i="4"/>
  <c r="T471" i="4"/>
  <c r="A471" i="4"/>
  <c r="AJ470" i="4"/>
  <c r="AI470" i="4"/>
  <c r="AH470" i="4"/>
  <c r="AG470" i="4"/>
  <c r="AF470" i="4"/>
  <c r="AE470" i="4"/>
  <c r="AD470" i="4"/>
  <c r="AC470" i="4"/>
  <c r="AB470" i="4"/>
  <c r="AA470" i="4"/>
  <c r="Z470" i="4"/>
  <c r="Y470" i="4"/>
  <c r="X470" i="4"/>
  <c r="W470" i="4"/>
  <c r="V470" i="4"/>
  <c r="U470" i="4"/>
  <c r="T470" i="4"/>
  <c r="A470" i="4"/>
  <c r="AJ469" i="4"/>
  <c r="AI469" i="4"/>
  <c r="AH469" i="4"/>
  <c r="AG469" i="4"/>
  <c r="AF469" i="4"/>
  <c r="AE469" i="4"/>
  <c r="AD469" i="4"/>
  <c r="AC469" i="4"/>
  <c r="AB469" i="4"/>
  <c r="AA469" i="4"/>
  <c r="Z469" i="4"/>
  <c r="Y469" i="4"/>
  <c r="X469" i="4"/>
  <c r="W469" i="4"/>
  <c r="V469" i="4"/>
  <c r="U469" i="4"/>
  <c r="T469" i="4"/>
  <c r="A469" i="4"/>
  <c r="AJ468" i="4"/>
  <c r="AI468" i="4"/>
  <c r="AH468" i="4"/>
  <c r="AG468" i="4"/>
  <c r="AF468" i="4"/>
  <c r="AE468" i="4"/>
  <c r="AD468" i="4"/>
  <c r="AC468" i="4"/>
  <c r="AB468" i="4"/>
  <c r="AA468" i="4"/>
  <c r="Z468" i="4"/>
  <c r="Y468" i="4"/>
  <c r="X468" i="4"/>
  <c r="W468" i="4"/>
  <c r="V468" i="4"/>
  <c r="U468" i="4"/>
  <c r="T468" i="4"/>
  <c r="A468" i="4"/>
  <c r="AJ467" i="4"/>
  <c r="AI467" i="4"/>
  <c r="AH467" i="4"/>
  <c r="AG467" i="4"/>
  <c r="AF467" i="4"/>
  <c r="AE467" i="4"/>
  <c r="AD467" i="4"/>
  <c r="AC467" i="4"/>
  <c r="AB467" i="4"/>
  <c r="AA467" i="4"/>
  <c r="Z467" i="4"/>
  <c r="Y467" i="4"/>
  <c r="X467" i="4"/>
  <c r="W467" i="4"/>
  <c r="V467" i="4"/>
  <c r="U467" i="4"/>
  <c r="T467" i="4"/>
  <c r="A467" i="4"/>
  <c r="AJ466" i="4"/>
  <c r="AI466" i="4"/>
  <c r="AH466" i="4"/>
  <c r="AG466" i="4"/>
  <c r="AF466" i="4"/>
  <c r="AE466" i="4"/>
  <c r="AD466" i="4"/>
  <c r="AC466" i="4"/>
  <c r="AB466" i="4"/>
  <c r="AA466" i="4"/>
  <c r="Z466" i="4"/>
  <c r="Y466" i="4"/>
  <c r="X466" i="4"/>
  <c r="W466" i="4"/>
  <c r="V466" i="4"/>
  <c r="U466" i="4"/>
  <c r="T466" i="4"/>
  <c r="A466" i="4"/>
  <c r="AJ465" i="4"/>
  <c r="AI465" i="4"/>
  <c r="AH465" i="4"/>
  <c r="AG465" i="4"/>
  <c r="AF465" i="4"/>
  <c r="AE465" i="4"/>
  <c r="AD465" i="4"/>
  <c r="AC465" i="4"/>
  <c r="AB465" i="4"/>
  <c r="AA465" i="4"/>
  <c r="Z465" i="4"/>
  <c r="Y465" i="4"/>
  <c r="X465" i="4"/>
  <c r="W465" i="4"/>
  <c r="V465" i="4"/>
  <c r="U465" i="4"/>
  <c r="T465" i="4"/>
  <c r="A465" i="4"/>
  <c r="AJ464" i="4"/>
  <c r="AI464" i="4"/>
  <c r="AH464" i="4"/>
  <c r="AG464" i="4"/>
  <c r="AF464" i="4"/>
  <c r="AE464" i="4"/>
  <c r="AD464" i="4"/>
  <c r="AC464" i="4"/>
  <c r="AB464" i="4"/>
  <c r="AA464" i="4"/>
  <c r="Z464" i="4"/>
  <c r="Y464" i="4"/>
  <c r="X464" i="4"/>
  <c r="W464" i="4"/>
  <c r="V464" i="4"/>
  <c r="U464" i="4"/>
  <c r="T464" i="4"/>
  <c r="A464" i="4"/>
  <c r="AJ463" i="4"/>
  <c r="AI463" i="4"/>
  <c r="AH463" i="4"/>
  <c r="AG463" i="4"/>
  <c r="AF463" i="4"/>
  <c r="AE463" i="4"/>
  <c r="AD463" i="4"/>
  <c r="AC463" i="4"/>
  <c r="AB463" i="4"/>
  <c r="AA463" i="4"/>
  <c r="Z463" i="4"/>
  <c r="Y463" i="4"/>
  <c r="X463" i="4"/>
  <c r="W463" i="4"/>
  <c r="V463" i="4"/>
  <c r="U463" i="4"/>
  <c r="T463" i="4"/>
  <c r="A463" i="4"/>
  <c r="AJ462" i="4"/>
  <c r="AI462" i="4"/>
  <c r="AH462" i="4"/>
  <c r="AG462" i="4"/>
  <c r="AF462" i="4"/>
  <c r="AE462" i="4"/>
  <c r="AD462" i="4"/>
  <c r="AC462" i="4"/>
  <c r="AB462" i="4"/>
  <c r="AA462" i="4"/>
  <c r="Z462" i="4"/>
  <c r="Y462" i="4"/>
  <c r="X462" i="4"/>
  <c r="W462" i="4"/>
  <c r="V462" i="4"/>
  <c r="U462" i="4"/>
  <c r="T462" i="4"/>
  <c r="A462" i="4"/>
  <c r="AJ461" i="4"/>
  <c r="AI461" i="4"/>
  <c r="AH461" i="4"/>
  <c r="AG461" i="4"/>
  <c r="AF461" i="4"/>
  <c r="AE461" i="4"/>
  <c r="AD461" i="4"/>
  <c r="AC461" i="4"/>
  <c r="AB461" i="4"/>
  <c r="AA461" i="4"/>
  <c r="Z461" i="4"/>
  <c r="Y461" i="4"/>
  <c r="X461" i="4"/>
  <c r="W461" i="4"/>
  <c r="V461" i="4"/>
  <c r="U461" i="4"/>
  <c r="T461" i="4"/>
  <c r="A461" i="4"/>
  <c r="AJ460" i="4"/>
  <c r="AI460" i="4"/>
  <c r="AH460" i="4"/>
  <c r="AG460" i="4"/>
  <c r="AF460" i="4"/>
  <c r="AE460" i="4"/>
  <c r="AD460" i="4"/>
  <c r="AC460" i="4"/>
  <c r="AB460" i="4"/>
  <c r="AA460" i="4"/>
  <c r="Z460" i="4"/>
  <c r="Y460" i="4"/>
  <c r="X460" i="4"/>
  <c r="W460" i="4"/>
  <c r="V460" i="4"/>
  <c r="U460" i="4"/>
  <c r="T460" i="4"/>
  <c r="A460" i="4"/>
  <c r="AJ459" i="4"/>
  <c r="AI459" i="4"/>
  <c r="AH459" i="4"/>
  <c r="AG459" i="4"/>
  <c r="AF459" i="4"/>
  <c r="AE459" i="4"/>
  <c r="AD459" i="4"/>
  <c r="AC459" i="4"/>
  <c r="AB459" i="4"/>
  <c r="AA459" i="4"/>
  <c r="Z459" i="4"/>
  <c r="Y459" i="4"/>
  <c r="X459" i="4"/>
  <c r="W459" i="4"/>
  <c r="V459" i="4"/>
  <c r="U459" i="4"/>
  <c r="T459" i="4"/>
  <c r="A459" i="4"/>
  <c r="AJ458" i="4"/>
  <c r="AI458" i="4"/>
  <c r="AH458" i="4"/>
  <c r="AG458" i="4"/>
  <c r="AF458" i="4"/>
  <c r="AE458" i="4"/>
  <c r="AD458" i="4"/>
  <c r="AC458" i="4"/>
  <c r="AB458" i="4"/>
  <c r="AA458" i="4"/>
  <c r="Z458" i="4"/>
  <c r="Y458" i="4"/>
  <c r="X458" i="4"/>
  <c r="W458" i="4"/>
  <c r="V458" i="4"/>
  <c r="U458" i="4"/>
  <c r="T458" i="4"/>
  <c r="A458" i="4"/>
  <c r="AJ457" i="4"/>
  <c r="AI457" i="4"/>
  <c r="AH457" i="4"/>
  <c r="AG457" i="4"/>
  <c r="AF457" i="4"/>
  <c r="AE457" i="4"/>
  <c r="AD457" i="4"/>
  <c r="AC457" i="4"/>
  <c r="AB457" i="4"/>
  <c r="AA457" i="4"/>
  <c r="Z457" i="4"/>
  <c r="Y457" i="4"/>
  <c r="X457" i="4"/>
  <c r="W457" i="4"/>
  <c r="V457" i="4"/>
  <c r="U457" i="4"/>
  <c r="T457" i="4"/>
  <c r="A457" i="4"/>
  <c r="AJ456" i="4"/>
  <c r="AI456" i="4"/>
  <c r="AH456" i="4"/>
  <c r="AG456" i="4"/>
  <c r="AF456" i="4"/>
  <c r="AE456" i="4"/>
  <c r="AD456" i="4"/>
  <c r="AC456" i="4"/>
  <c r="AB456" i="4"/>
  <c r="AA456" i="4"/>
  <c r="Z456" i="4"/>
  <c r="Y456" i="4"/>
  <c r="X456" i="4"/>
  <c r="W456" i="4"/>
  <c r="V456" i="4"/>
  <c r="U456" i="4"/>
  <c r="T456" i="4"/>
  <c r="A456" i="4"/>
  <c r="AJ455" i="4"/>
  <c r="AI455" i="4"/>
  <c r="AH455" i="4"/>
  <c r="AG455" i="4"/>
  <c r="AF455" i="4"/>
  <c r="AE455" i="4"/>
  <c r="AD455" i="4"/>
  <c r="AC455" i="4"/>
  <c r="AB455" i="4"/>
  <c r="AA455" i="4"/>
  <c r="Z455" i="4"/>
  <c r="Y455" i="4"/>
  <c r="X455" i="4"/>
  <c r="W455" i="4"/>
  <c r="V455" i="4"/>
  <c r="U455" i="4"/>
  <c r="T455" i="4"/>
  <c r="A455" i="4"/>
  <c r="AJ454" i="4"/>
  <c r="AI454" i="4"/>
  <c r="AH454" i="4"/>
  <c r="AG454" i="4"/>
  <c r="AF454" i="4"/>
  <c r="AE454" i="4"/>
  <c r="AD454" i="4"/>
  <c r="AC454" i="4"/>
  <c r="AB454" i="4"/>
  <c r="AA454" i="4"/>
  <c r="Z454" i="4"/>
  <c r="Y454" i="4"/>
  <c r="X454" i="4"/>
  <c r="W454" i="4"/>
  <c r="V454" i="4"/>
  <c r="U454" i="4"/>
  <c r="T454" i="4"/>
  <c r="A454" i="4"/>
  <c r="AJ453" i="4"/>
  <c r="AI453" i="4"/>
  <c r="AH453" i="4"/>
  <c r="AG453" i="4"/>
  <c r="AF453" i="4"/>
  <c r="AE453" i="4"/>
  <c r="AD453" i="4"/>
  <c r="AC453" i="4"/>
  <c r="AB453" i="4"/>
  <c r="AA453" i="4"/>
  <c r="Z453" i="4"/>
  <c r="Y453" i="4"/>
  <c r="X453" i="4"/>
  <c r="W453" i="4"/>
  <c r="V453" i="4"/>
  <c r="U453" i="4"/>
  <c r="T453" i="4"/>
  <c r="A453" i="4"/>
  <c r="AJ452" i="4"/>
  <c r="AI452" i="4"/>
  <c r="AH452" i="4"/>
  <c r="AG452" i="4"/>
  <c r="AF452" i="4"/>
  <c r="AE452" i="4"/>
  <c r="AD452" i="4"/>
  <c r="AC452" i="4"/>
  <c r="AB452" i="4"/>
  <c r="AA452" i="4"/>
  <c r="Z452" i="4"/>
  <c r="Y452" i="4"/>
  <c r="X452" i="4"/>
  <c r="W452" i="4"/>
  <c r="V452" i="4"/>
  <c r="U452" i="4"/>
  <c r="T452" i="4"/>
  <c r="A452" i="4"/>
  <c r="AJ451" i="4"/>
  <c r="AI451" i="4"/>
  <c r="AH451" i="4"/>
  <c r="AG451" i="4"/>
  <c r="AF451" i="4"/>
  <c r="AE451" i="4"/>
  <c r="AD451" i="4"/>
  <c r="AC451" i="4"/>
  <c r="AB451" i="4"/>
  <c r="AA451" i="4"/>
  <c r="Z451" i="4"/>
  <c r="Y451" i="4"/>
  <c r="X451" i="4"/>
  <c r="W451" i="4"/>
  <c r="V451" i="4"/>
  <c r="U451" i="4"/>
  <c r="T451" i="4"/>
  <c r="A451" i="4"/>
  <c r="AJ450" i="4"/>
  <c r="AI450" i="4"/>
  <c r="AH450" i="4"/>
  <c r="AG450" i="4"/>
  <c r="AF450" i="4"/>
  <c r="AE450" i="4"/>
  <c r="AD450" i="4"/>
  <c r="AC450" i="4"/>
  <c r="AB450" i="4"/>
  <c r="AA450" i="4"/>
  <c r="Z450" i="4"/>
  <c r="Y450" i="4"/>
  <c r="X450" i="4"/>
  <c r="W450" i="4"/>
  <c r="V450" i="4"/>
  <c r="U450" i="4"/>
  <c r="T450" i="4"/>
  <c r="A450" i="4"/>
  <c r="AJ449" i="4"/>
  <c r="AI449" i="4"/>
  <c r="AH449" i="4"/>
  <c r="AG449" i="4"/>
  <c r="AF449" i="4"/>
  <c r="AE449" i="4"/>
  <c r="AD449" i="4"/>
  <c r="AC449" i="4"/>
  <c r="AB449" i="4"/>
  <c r="AA449" i="4"/>
  <c r="Z449" i="4"/>
  <c r="Y449" i="4"/>
  <c r="X449" i="4"/>
  <c r="W449" i="4"/>
  <c r="V449" i="4"/>
  <c r="U449" i="4"/>
  <c r="T449" i="4"/>
  <c r="A449" i="4"/>
  <c r="AJ448" i="4"/>
  <c r="AI448" i="4"/>
  <c r="AH448" i="4"/>
  <c r="AG448" i="4"/>
  <c r="AF448" i="4"/>
  <c r="AE448" i="4"/>
  <c r="AD448" i="4"/>
  <c r="AC448" i="4"/>
  <c r="AB448" i="4"/>
  <c r="AA448" i="4"/>
  <c r="Z448" i="4"/>
  <c r="Y448" i="4"/>
  <c r="X448" i="4"/>
  <c r="W448" i="4"/>
  <c r="V448" i="4"/>
  <c r="U448" i="4"/>
  <c r="T448" i="4"/>
  <c r="A448" i="4"/>
  <c r="AJ447" i="4"/>
  <c r="AI447" i="4"/>
  <c r="AH447" i="4"/>
  <c r="AG447" i="4"/>
  <c r="AF447" i="4"/>
  <c r="AE447" i="4"/>
  <c r="AD447" i="4"/>
  <c r="AC447" i="4"/>
  <c r="AB447" i="4"/>
  <c r="AA447" i="4"/>
  <c r="Z447" i="4"/>
  <c r="Y447" i="4"/>
  <c r="X447" i="4"/>
  <c r="W447" i="4"/>
  <c r="V447" i="4"/>
  <c r="U447" i="4"/>
  <c r="T447" i="4"/>
  <c r="A447" i="4"/>
  <c r="AJ446" i="4"/>
  <c r="AI446" i="4"/>
  <c r="AH446" i="4"/>
  <c r="AG446" i="4"/>
  <c r="AF446" i="4"/>
  <c r="AE446" i="4"/>
  <c r="AD446" i="4"/>
  <c r="AC446" i="4"/>
  <c r="AB446" i="4"/>
  <c r="AA446" i="4"/>
  <c r="Z446" i="4"/>
  <c r="Y446" i="4"/>
  <c r="X446" i="4"/>
  <c r="W446" i="4"/>
  <c r="V446" i="4"/>
  <c r="U446" i="4"/>
  <c r="T446" i="4"/>
  <c r="A446" i="4"/>
  <c r="AJ445" i="4"/>
  <c r="AI445" i="4"/>
  <c r="AH445" i="4"/>
  <c r="AG445" i="4"/>
  <c r="AF445" i="4"/>
  <c r="AE445" i="4"/>
  <c r="AD445" i="4"/>
  <c r="AC445" i="4"/>
  <c r="AB445" i="4"/>
  <c r="AA445" i="4"/>
  <c r="Z445" i="4"/>
  <c r="Y445" i="4"/>
  <c r="X445" i="4"/>
  <c r="W445" i="4"/>
  <c r="V445" i="4"/>
  <c r="U445" i="4"/>
  <c r="T445" i="4"/>
  <c r="A445" i="4"/>
  <c r="AJ444" i="4"/>
  <c r="AI444" i="4"/>
  <c r="AH444" i="4"/>
  <c r="AG444" i="4"/>
  <c r="AF444" i="4"/>
  <c r="AE444" i="4"/>
  <c r="AD444" i="4"/>
  <c r="AC444" i="4"/>
  <c r="AB444" i="4"/>
  <c r="AA444" i="4"/>
  <c r="Z444" i="4"/>
  <c r="Y444" i="4"/>
  <c r="X444" i="4"/>
  <c r="W444" i="4"/>
  <c r="V444" i="4"/>
  <c r="U444" i="4"/>
  <c r="T444" i="4"/>
  <c r="A444" i="4"/>
  <c r="AJ443" i="4"/>
  <c r="AI443" i="4"/>
  <c r="AH443" i="4"/>
  <c r="AG443" i="4"/>
  <c r="AF443" i="4"/>
  <c r="AE443" i="4"/>
  <c r="AD443" i="4"/>
  <c r="AC443" i="4"/>
  <c r="AB443" i="4"/>
  <c r="AA443" i="4"/>
  <c r="Z443" i="4"/>
  <c r="Y443" i="4"/>
  <c r="X443" i="4"/>
  <c r="W443" i="4"/>
  <c r="V443" i="4"/>
  <c r="U443" i="4"/>
  <c r="T443" i="4"/>
  <c r="A443" i="4"/>
  <c r="AJ442" i="4"/>
  <c r="AI442" i="4"/>
  <c r="AH442" i="4"/>
  <c r="AG442" i="4"/>
  <c r="AF442" i="4"/>
  <c r="AE442" i="4"/>
  <c r="AD442" i="4"/>
  <c r="AC442" i="4"/>
  <c r="AB442" i="4"/>
  <c r="AA442" i="4"/>
  <c r="Z442" i="4"/>
  <c r="Y442" i="4"/>
  <c r="X442" i="4"/>
  <c r="W442" i="4"/>
  <c r="V442" i="4"/>
  <c r="U442" i="4"/>
  <c r="T442" i="4"/>
  <c r="A442" i="4"/>
  <c r="AJ441" i="4"/>
  <c r="AI441" i="4"/>
  <c r="AH441" i="4"/>
  <c r="AG441" i="4"/>
  <c r="AF441" i="4"/>
  <c r="AE441" i="4"/>
  <c r="AD441" i="4"/>
  <c r="AC441" i="4"/>
  <c r="AB441" i="4"/>
  <c r="AA441" i="4"/>
  <c r="Z441" i="4"/>
  <c r="Y441" i="4"/>
  <c r="X441" i="4"/>
  <c r="W441" i="4"/>
  <c r="V441" i="4"/>
  <c r="U441" i="4"/>
  <c r="T441" i="4"/>
  <c r="A441" i="4"/>
  <c r="AJ440" i="4"/>
  <c r="AI440" i="4"/>
  <c r="AH440" i="4"/>
  <c r="AG440" i="4"/>
  <c r="AF440" i="4"/>
  <c r="AE440" i="4"/>
  <c r="AD440" i="4"/>
  <c r="AC440" i="4"/>
  <c r="AB440" i="4"/>
  <c r="AA440" i="4"/>
  <c r="Z440" i="4"/>
  <c r="Y440" i="4"/>
  <c r="X440" i="4"/>
  <c r="W440" i="4"/>
  <c r="V440" i="4"/>
  <c r="U440" i="4"/>
  <c r="T440" i="4"/>
  <c r="A440" i="4"/>
  <c r="AJ439" i="4"/>
  <c r="AI439" i="4"/>
  <c r="AH439" i="4"/>
  <c r="AG439" i="4"/>
  <c r="AF439" i="4"/>
  <c r="AE439" i="4"/>
  <c r="AD439" i="4"/>
  <c r="AC439" i="4"/>
  <c r="AB439" i="4"/>
  <c r="AA439" i="4"/>
  <c r="Z439" i="4"/>
  <c r="Y439" i="4"/>
  <c r="X439" i="4"/>
  <c r="W439" i="4"/>
  <c r="V439" i="4"/>
  <c r="U439" i="4"/>
  <c r="T439" i="4"/>
  <c r="A439" i="4"/>
  <c r="AJ438" i="4"/>
  <c r="AI438" i="4"/>
  <c r="AH438" i="4"/>
  <c r="AG438" i="4"/>
  <c r="AF438" i="4"/>
  <c r="AE438" i="4"/>
  <c r="AD438" i="4"/>
  <c r="AC438" i="4"/>
  <c r="AB438" i="4"/>
  <c r="AA438" i="4"/>
  <c r="Z438" i="4"/>
  <c r="Y438" i="4"/>
  <c r="X438" i="4"/>
  <c r="W438" i="4"/>
  <c r="V438" i="4"/>
  <c r="U438" i="4"/>
  <c r="T438" i="4"/>
  <c r="A438" i="4"/>
  <c r="AJ437" i="4"/>
  <c r="AI437" i="4"/>
  <c r="AH437" i="4"/>
  <c r="AG437" i="4"/>
  <c r="AF437" i="4"/>
  <c r="AE437" i="4"/>
  <c r="AD437" i="4"/>
  <c r="AC437" i="4"/>
  <c r="AB437" i="4"/>
  <c r="AA437" i="4"/>
  <c r="Z437" i="4"/>
  <c r="Y437" i="4"/>
  <c r="X437" i="4"/>
  <c r="W437" i="4"/>
  <c r="V437" i="4"/>
  <c r="U437" i="4"/>
  <c r="T437" i="4"/>
  <c r="A437" i="4"/>
  <c r="AJ436" i="4"/>
  <c r="AI436" i="4"/>
  <c r="AH436" i="4"/>
  <c r="AG436" i="4"/>
  <c r="AF436" i="4"/>
  <c r="AE436" i="4"/>
  <c r="AD436" i="4"/>
  <c r="AC436" i="4"/>
  <c r="AB436" i="4"/>
  <c r="AA436" i="4"/>
  <c r="Z436" i="4"/>
  <c r="Y436" i="4"/>
  <c r="X436" i="4"/>
  <c r="W436" i="4"/>
  <c r="V436" i="4"/>
  <c r="U436" i="4"/>
  <c r="T436" i="4"/>
  <c r="A436" i="4"/>
  <c r="AJ435" i="4"/>
  <c r="AI435" i="4"/>
  <c r="AH435" i="4"/>
  <c r="AG435" i="4"/>
  <c r="AF435" i="4"/>
  <c r="AE435" i="4"/>
  <c r="AD435" i="4"/>
  <c r="AC435" i="4"/>
  <c r="AB435" i="4"/>
  <c r="AA435" i="4"/>
  <c r="Z435" i="4"/>
  <c r="Y435" i="4"/>
  <c r="X435" i="4"/>
  <c r="W435" i="4"/>
  <c r="V435" i="4"/>
  <c r="U435" i="4"/>
  <c r="T435" i="4"/>
  <c r="A435" i="4"/>
  <c r="AJ434" i="4"/>
  <c r="AI434" i="4"/>
  <c r="AH434" i="4"/>
  <c r="AG434" i="4"/>
  <c r="AF434" i="4"/>
  <c r="AE434" i="4"/>
  <c r="AD434" i="4"/>
  <c r="AC434" i="4"/>
  <c r="AB434" i="4"/>
  <c r="AA434" i="4"/>
  <c r="Z434" i="4"/>
  <c r="Y434" i="4"/>
  <c r="X434" i="4"/>
  <c r="W434" i="4"/>
  <c r="V434" i="4"/>
  <c r="U434" i="4"/>
  <c r="T434" i="4"/>
  <c r="A434" i="4"/>
  <c r="AJ433" i="4"/>
  <c r="AI433" i="4"/>
  <c r="AH433" i="4"/>
  <c r="AG433" i="4"/>
  <c r="AF433" i="4"/>
  <c r="AE433" i="4"/>
  <c r="AD433" i="4"/>
  <c r="AC433" i="4"/>
  <c r="AB433" i="4"/>
  <c r="AA433" i="4"/>
  <c r="Z433" i="4"/>
  <c r="Y433" i="4"/>
  <c r="X433" i="4"/>
  <c r="W433" i="4"/>
  <c r="V433" i="4"/>
  <c r="U433" i="4"/>
  <c r="T433" i="4"/>
  <c r="A433" i="4"/>
  <c r="AJ432" i="4"/>
  <c r="AI432" i="4"/>
  <c r="AH432" i="4"/>
  <c r="AG432" i="4"/>
  <c r="AF432" i="4"/>
  <c r="AE432" i="4"/>
  <c r="AD432" i="4"/>
  <c r="AC432" i="4"/>
  <c r="AB432" i="4"/>
  <c r="AA432" i="4"/>
  <c r="Z432" i="4"/>
  <c r="Y432" i="4"/>
  <c r="X432" i="4"/>
  <c r="W432" i="4"/>
  <c r="V432" i="4"/>
  <c r="U432" i="4"/>
  <c r="T432" i="4"/>
  <c r="A432" i="4"/>
  <c r="AJ431" i="4"/>
  <c r="AI431" i="4"/>
  <c r="AH431" i="4"/>
  <c r="AG431" i="4"/>
  <c r="AF431" i="4"/>
  <c r="AE431" i="4"/>
  <c r="AD431" i="4"/>
  <c r="AC431" i="4"/>
  <c r="AB431" i="4"/>
  <c r="AA431" i="4"/>
  <c r="Z431" i="4"/>
  <c r="Y431" i="4"/>
  <c r="X431" i="4"/>
  <c r="W431" i="4"/>
  <c r="V431" i="4"/>
  <c r="U431" i="4"/>
  <c r="T431" i="4"/>
  <c r="A431" i="4"/>
  <c r="AJ430" i="4"/>
  <c r="AI430" i="4"/>
  <c r="AH430" i="4"/>
  <c r="AG430" i="4"/>
  <c r="AF430" i="4"/>
  <c r="AE430" i="4"/>
  <c r="AD430" i="4"/>
  <c r="AC430" i="4"/>
  <c r="AB430" i="4"/>
  <c r="AA430" i="4"/>
  <c r="Z430" i="4"/>
  <c r="Y430" i="4"/>
  <c r="X430" i="4"/>
  <c r="W430" i="4"/>
  <c r="V430" i="4"/>
  <c r="U430" i="4"/>
  <c r="T430" i="4"/>
  <c r="A430" i="4"/>
  <c r="AJ429" i="4"/>
  <c r="AI429" i="4"/>
  <c r="AH429" i="4"/>
  <c r="AG429" i="4"/>
  <c r="AF429" i="4"/>
  <c r="AE429" i="4"/>
  <c r="AD429" i="4"/>
  <c r="AC429" i="4"/>
  <c r="AB429" i="4"/>
  <c r="AA429" i="4"/>
  <c r="Z429" i="4"/>
  <c r="Y429" i="4"/>
  <c r="X429" i="4"/>
  <c r="W429" i="4"/>
  <c r="V429" i="4"/>
  <c r="U429" i="4"/>
  <c r="T429" i="4"/>
  <c r="A429" i="4"/>
  <c r="AJ428" i="4"/>
  <c r="AI428" i="4"/>
  <c r="AH428" i="4"/>
  <c r="AG428" i="4"/>
  <c r="AF428" i="4"/>
  <c r="AE428" i="4"/>
  <c r="AD428" i="4"/>
  <c r="AC428" i="4"/>
  <c r="AB428" i="4"/>
  <c r="AA428" i="4"/>
  <c r="Z428" i="4"/>
  <c r="Y428" i="4"/>
  <c r="X428" i="4"/>
  <c r="W428" i="4"/>
  <c r="V428" i="4"/>
  <c r="U428" i="4"/>
  <c r="T428" i="4"/>
  <c r="A428" i="4"/>
  <c r="AJ427" i="4"/>
  <c r="AI427" i="4"/>
  <c r="AH427" i="4"/>
  <c r="AG427" i="4"/>
  <c r="AF427" i="4"/>
  <c r="AE427" i="4"/>
  <c r="AD427" i="4"/>
  <c r="AC427" i="4"/>
  <c r="AB427" i="4"/>
  <c r="AA427" i="4"/>
  <c r="Z427" i="4"/>
  <c r="Y427" i="4"/>
  <c r="X427" i="4"/>
  <c r="W427" i="4"/>
  <c r="V427" i="4"/>
  <c r="U427" i="4"/>
  <c r="T427" i="4"/>
  <c r="A427" i="4"/>
  <c r="AJ426" i="4"/>
  <c r="AI426" i="4"/>
  <c r="AH426" i="4"/>
  <c r="AG426" i="4"/>
  <c r="AF426" i="4"/>
  <c r="AE426" i="4"/>
  <c r="AD426" i="4"/>
  <c r="AC426" i="4"/>
  <c r="AB426" i="4"/>
  <c r="AA426" i="4"/>
  <c r="Z426" i="4"/>
  <c r="Y426" i="4"/>
  <c r="X426" i="4"/>
  <c r="W426" i="4"/>
  <c r="V426" i="4"/>
  <c r="U426" i="4"/>
  <c r="T426" i="4"/>
  <c r="A426" i="4"/>
  <c r="AJ425" i="4"/>
  <c r="AI425" i="4"/>
  <c r="AH425" i="4"/>
  <c r="AG425" i="4"/>
  <c r="AF425" i="4"/>
  <c r="AE425" i="4"/>
  <c r="AD425" i="4"/>
  <c r="AC425" i="4"/>
  <c r="AB425" i="4"/>
  <c r="AA425" i="4"/>
  <c r="Z425" i="4"/>
  <c r="Y425" i="4"/>
  <c r="X425" i="4"/>
  <c r="W425" i="4"/>
  <c r="V425" i="4"/>
  <c r="U425" i="4"/>
  <c r="T425" i="4"/>
  <c r="A425" i="4"/>
  <c r="AJ421" i="4"/>
  <c r="AI421" i="4"/>
  <c r="AH421" i="4"/>
  <c r="AG421" i="4"/>
  <c r="AF421" i="4"/>
  <c r="AE421" i="4"/>
  <c r="AD421" i="4"/>
  <c r="AC421" i="4"/>
  <c r="AB421" i="4"/>
  <c r="AA421" i="4"/>
  <c r="Z421" i="4"/>
  <c r="Y421" i="4"/>
  <c r="X421" i="4"/>
  <c r="W421" i="4"/>
  <c r="V421" i="4"/>
  <c r="U421" i="4"/>
  <c r="T421" i="4"/>
  <c r="A421" i="4"/>
  <c r="AJ420" i="4"/>
  <c r="AI420" i="4"/>
  <c r="AH420" i="4"/>
  <c r="AG420" i="4"/>
  <c r="AF420" i="4"/>
  <c r="AE420" i="4"/>
  <c r="AD420" i="4"/>
  <c r="AC420" i="4"/>
  <c r="AB420" i="4"/>
  <c r="AA420" i="4"/>
  <c r="Z420" i="4"/>
  <c r="Y420" i="4"/>
  <c r="X420" i="4"/>
  <c r="W420" i="4"/>
  <c r="V420" i="4"/>
  <c r="U420" i="4"/>
  <c r="T420" i="4"/>
  <c r="AJ419" i="4"/>
  <c r="AI419" i="4"/>
  <c r="AH419" i="4"/>
  <c r="AG419" i="4"/>
  <c r="AF419" i="4"/>
  <c r="AE419" i="4"/>
  <c r="AD419" i="4"/>
  <c r="AC419" i="4"/>
  <c r="AB419" i="4"/>
  <c r="AA419" i="4"/>
  <c r="Z419" i="4"/>
  <c r="Y419" i="4"/>
  <c r="X419" i="4"/>
  <c r="W419" i="4"/>
  <c r="V419" i="4"/>
  <c r="U419" i="4"/>
  <c r="T419" i="4"/>
  <c r="A419" i="4"/>
  <c r="AJ418" i="4"/>
  <c r="AI418" i="4"/>
  <c r="AH418" i="4"/>
  <c r="AG418" i="4"/>
  <c r="AF418" i="4"/>
  <c r="AE418" i="4"/>
  <c r="AD418" i="4"/>
  <c r="AC418" i="4"/>
  <c r="AB418" i="4"/>
  <c r="AA418" i="4"/>
  <c r="Z418" i="4"/>
  <c r="Y418" i="4"/>
  <c r="X418" i="4"/>
  <c r="W418" i="4"/>
  <c r="V418" i="4"/>
  <c r="U418" i="4"/>
  <c r="T418" i="4"/>
  <c r="A418" i="4"/>
  <c r="AJ417" i="4"/>
  <c r="AI417" i="4"/>
  <c r="AH417" i="4"/>
  <c r="AG417" i="4"/>
  <c r="AF417" i="4"/>
  <c r="AE417" i="4"/>
  <c r="AD417" i="4"/>
  <c r="AC417" i="4"/>
  <c r="AB417" i="4"/>
  <c r="AA417" i="4"/>
  <c r="Z417" i="4"/>
  <c r="Y417" i="4"/>
  <c r="X417" i="4"/>
  <c r="W417" i="4"/>
  <c r="V417" i="4"/>
  <c r="U417" i="4"/>
  <c r="T417" i="4"/>
  <c r="A417" i="4"/>
  <c r="AJ416" i="4"/>
  <c r="AI416" i="4"/>
  <c r="AH416" i="4"/>
  <c r="AG416" i="4"/>
  <c r="AF416" i="4"/>
  <c r="AE416" i="4"/>
  <c r="AD416" i="4"/>
  <c r="AC416" i="4"/>
  <c r="AB416" i="4"/>
  <c r="AA416" i="4"/>
  <c r="Z416" i="4"/>
  <c r="Y416" i="4"/>
  <c r="X416" i="4"/>
  <c r="W416" i="4"/>
  <c r="V416" i="4"/>
  <c r="U416" i="4"/>
  <c r="T416" i="4"/>
  <c r="A416" i="4"/>
  <c r="AJ415" i="4"/>
  <c r="AI415" i="4"/>
  <c r="AH415" i="4"/>
  <c r="AG415" i="4"/>
  <c r="AF415" i="4"/>
  <c r="AE415" i="4"/>
  <c r="AD415" i="4"/>
  <c r="AC415" i="4"/>
  <c r="AB415" i="4"/>
  <c r="AA415" i="4"/>
  <c r="Z415" i="4"/>
  <c r="Y415" i="4"/>
  <c r="X415" i="4"/>
  <c r="W415" i="4"/>
  <c r="V415" i="4"/>
  <c r="U415" i="4"/>
  <c r="T415" i="4"/>
  <c r="A415" i="4"/>
  <c r="AJ414" i="4"/>
  <c r="AI414" i="4"/>
  <c r="AH414" i="4"/>
  <c r="AG414" i="4"/>
  <c r="AF414" i="4"/>
  <c r="AE414" i="4"/>
  <c r="AD414" i="4"/>
  <c r="AC414" i="4"/>
  <c r="AB414" i="4"/>
  <c r="AA414" i="4"/>
  <c r="Z414" i="4"/>
  <c r="Y414" i="4"/>
  <c r="X414" i="4"/>
  <c r="W414" i="4"/>
  <c r="V414" i="4"/>
  <c r="U414" i="4"/>
  <c r="T414" i="4"/>
  <c r="A414" i="4"/>
  <c r="AJ413" i="4"/>
  <c r="AI413" i="4"/>
  <c r="AH413" i="4"/>
  <c r="AG413" i="4"/>
  <c r="AF413" i="4"/>
  <c r="AE413" i="4"/>
  <c r="AD413" i="4"/>
  <c r="AC413" i="4"/>
  <c r="AB413" i="4"/>
  <c r="AA413" i="4"/>
  <c r="Z413" i="4"/>
  <c r="Y413" i="4"/>
  <c r="X413" i="4"/>
  <c r="W413" i="4"/>
  <c r="V413" i="4"/>
  <c r="U413" i="4"/>
  <c r="T413" i="4"/>
  <c r="A413" i="4"/>
  <c r="AJ412" i="4"/>
  <c r="AI412" i="4"/>
  <c r="AH412" i="4"/>
  <c r="AG412" i="4"/>
  <c r="AF412" i="4"/>
  <c r="AE412" i="4"/>
  <c r="AD412" i="4"/>
  <c r="AC412" i="4"/>
  <c r="AB412" i="4"/>
  <c r="AA412" i="4"/>
  <c r="Z412" i="4"/>
  <c r="Y412" i="4"/>
  <c r="X412" i="4"/>
  <c r="W412" i="4"/>
  <c r="V412" i="4"/>
  <c r="U412" i="4"/>
  <c r="T412" i="4"/>
  <c r="A412" i="4"/>
  <c r="AJ411" i="4"/>
  <c r="AI411" i="4"/>
  <c r="AH411" i="4"/>
  <c r="AG411" i="4"/>
  <c r="AF411" i="4"/>
  <c r="AE411" i="4"/>
  <c r="AD411" i="4"/>
  <c r="AC411" i="4"/>
  <c r="AB411" i="4"/>
  <c r="AA411" i="4"/>
  <c r="Z411" i="4"/>
  <c r="Y411" i="4"/>
  <c r="X411" i="4"/>
  <c r="W411" i="4"/>
  <c r="V411" i="4"/>
  <c r="U411" i="4"/>
  <c r="T411" i="4"/>
  <c r="A411" i="4"/>
  <c r="AJ410" i="4"/>
  <c r="AI410" i="4"/>
  <c r="AH410" i="4"/>
  <c r="AG410" i="4"/>
  <c r="AF410" i="4"/>
  <c r="AE410" i="4"/>
  <c r="AD410" i="4"/>
  <c r="AC410" i="4"/>
  <c r="AB410" i="4"/>
  <c r="AA410" i="4"/>
  <c r="Z410" i="4"/>
  <c r="Y410" i="4"/>
  <c r="X410" i="4"/>
  <c r="W410" i="4"/>
  <c r="V410" i="4"/>
  <c r="U410" i="4"/>
  <c r="T410" i="4"/>
  <c r="A410" i="4"/>
  <c r="AJ409" i="4"/>
  <c r="AI409" i="4"/>
  <c r="AH409" i="4"/>
  <c r="AG409" i="4"/>
  <c r="AF409" i="4"/>
  <c r="AE409" i="4"/>
  <c r="AD409" i="4"/>
  <c r="AC409" i="4"/>
  <c r="AB409" i="4"/>
  <c r="AA409" i="4"/>
  <c r="Z409" i="4"/>
  <c r="Y409" i="4"/>
  <c r="X409" i="4"/>
  <c r="W409" i="4"/>
  <c r="V409" i="4"/>
  <c r="U409" i="4"/>
  <c r="T409" i="4"/>
  <c r="A409" i="4"/>
  <c r="AJ408" i="4"/>
  <c r="AI408" i="4"/>
  <c r="AH408" i="4"/>
  <c r="AG408" i="4"/>
  <c r="AF408" i="4"/>
  <c r="AE408" i="4"/>
  <c r="AD408" i="4"/>
  <c r="AC408" i="4"/>
  <c r="AB408" i="4"/>
  <c r="AA408" i="4"/>
  <c r="Z408" i="4"/>
  <c r="Y408" i="4"/>
  <c r="X408" i="4"/>
  <c r="W408" i="4"/>
  <c r="V408" i="4"/>
  <c r="U408" i="4"/>
  <c r="T408" i="4"/>
  <c r="A408" i="4"/>
  <c r="AJ407" i="4"/>
  <c r="AI407" i="4"/>
  <c r="AH407" i="4"/>
  <c r="AG407" i="4"/>
  <c r="AF407" i="4"/>
  <c r="AE407" i="4"/>
  <c r="AD407" i="4"/>
  <c r="AC407" i="4"/>
  <c r="AB407" i="4"/>
  <c r="AA407" i="4"/>
  <c r="Z407" i="4"/>
  <c r="Y407" i="4"/>
  <c r="X407" i="4"/>
  <c r="W407" i="4"/>
  <c r="V407" i="4"/>
  <c r="U407" i="4"/>
  <c r="T407" i="4"/>
  <c r="A407" i="4"/>
  <c r="AJ406" i="4"/>
  <c r="AI406" i="4"/>
  <c r="AH406" i="4"/>
  <c r="AG406" i="4"/>
  <c r="AF406" i="4"/>
  <c r="AE406" i="4"/>
  <c r="AD406" i="4"/>
  <c r="AC406" i="4"/>
  <c r="AB406" i="4"/>
  <c r="AA406" i="4"/>
  <c r="Z406" i="4"/>
  <c r="Y406" i="4"/>
  <c r="X406" i="4"/>
  <c r="W406" i="4"/>
  <c r="V406" i="4"/>
  <c r="U406" i="4"/>
  <c r="T406" i="4"/>
  <c r="A406" i="4"/>
  <c r="AJ405" i="4"/>
  <c r="AI405" i="4"/>
  <c r="AH405" i="4"/>
  <c r="AG405" i="4"/>
  <c r="AF405" i="4"/>
  <c r="AE405" i="4"/>
  <c r="AD405" i="4"/>
  <c r="AC405" i="4"/>
  <c r="AB405" i="4"/>
  <c r="AA405" i="4"/>
  <c r="Z405" i="4"/>
  <c r="Y405" i="4"/>
  <c r="X405" i="4"/>
  <c r="W405" i="4"/>
  <c r="V405" i="4"/>
  <c r="U405" i="4"/>
  <c r="T405" i="4"/>
  <c r="A405" i="4"/>
  <c r="AJ404" i="4"/>
  <c r="AI404" i="4"/>
  <c r="AH404" i="4"/>
  <c r="AG404" i="4"/>
  <c r="AF404" i="4"/>
  <c r="AE404" i="4"/>
  <c r="AD404" i="4"/>
  <c r="AC404" i="4"/>
  <c r="AB404" i="4"/>
  <c r="AA404" i="4"/>
  <c r="Z404" i="4"/>
  <c r="Y404" i="4"/>
  <c r="X404" i="4"/>
  <c r="W404" i="4"/>
  <c r="V404" i="4"/>
  <c r="U404" i="4"/>
  <c r="T404" i="4"/>
  <c r="A404" i="4"/>
  <c r="AJ403" i="4"/>
  <c r="AI403" i="4"/>
  <c r="AH403" i="4"/>
  <c r="AG403" i="4"/>
  <c r="AF403" i="4"/>
  <c r="AE403" i="4"/>
  <c r="AD403" i="4"/>
  <c r="AC403" i="4"/>
  <c r="AB403" i="4"/>
  <c r="AA403" i="4"/>
  <c r="Z403" i="4"/>
  <c r="Y403" i="4"/>
  <c r="X403" i="4"/>
  <c r="W403" i="4"/>
  <c r="V403" i="4"/>
  <c r="U403" i="4"/>
  <c r="T403" i="4"/>
  <c r="A403" i="4"/>
  <c r="AJ402" i="4"/>
  <c r="AI402" i="4"/>
  <c r="AH402" i="4"/>
  <c r="AG402" i="4"/>
  <c r="AF402" i="4"/>
  <c r="AE402" i="4"/>
  <c r="AD402" i="4"/>
  <c r="AC402" i="4"/>
  <c r="AB402" i="4"/>
  <c r="AA402" i="4"/>
  <c r="Z402" i="4"/>
  <c r="Y402" i="4"/>
  <c r="X402" i="4"/>
  <c r="W402" i="4"/>
  <c r="V402" i="4"/>
  <c r="U402" i="4"/>
  <c r="T402" i="4"/>
  <c r="A402" i="4"/>
  <c r="AJ401" i="4"/>
  <c r="AI401" i="4"/>
  <c r="AH401" i="4"/>
  <c r="AG401" i="4"/>
  <c r="AF401" i="4"/>
  <c r="AE401" i="4"/>
  <c r="AD401" i="4"/>
  <c r="AC401" i="4"/>
  <c r="AB401" i="4"/>
  <c r="AA401" i="4"/>
  <c r="Z401" i="4"/>
  <c r="Y401" i="4"/>
  <c r="X401" i="4"/>
  <c r="W401" i="4"/>
  <c r="V401" i="4"/>
  <c r="U401" i="4"/>
  <c r="T401" i="4"/>
  <c r="A401" i="4"/>
  <c r="AJ400" i="4"/>
  <c r="AI400" i="4"/>
  <c r="AH400" i="4"/>
  <c r="AG400" i="4"/>
  <c r="AF400" i="4"/>
  <c r="AE400" i="4"/>
  <c r="AD400" i="4"/>
  <c r="AC400" i="4"/>
  <c r="AB400" i="4"/>
  <c r="AA400" i="4"/>
  <c r="Z400" i="4"/>
  <c r="Y400" i="4"/>
  <c r="X400" i="4"/>
  <c r="W400" i="4"/>
  <c r="V400" i="4"/>
  <c r="U400" i="4"/>
  <c r="T400" i="4"/>
  <c r="A400" i="4"/>
  <c r="AJ399" i="4"/>
  <c r="AI399" i="4"/>
  <c r="AH399" i="4"/>
  <c r="AG399" i="4"/>
  <c r="AF399" i="4"/>
  <c r="AE399" i="4"/>
  <c r="AD399" i="4"/>
  <c r="AC399" i="4"/>
  <c r="AB399" i="4"/>
  <c r="AA399" i="4"/>
  <c r="Z399" i="4"/>
  <c r="Y399" i="4"/>
  <c r="X399" i="4"/>
  <c r="W399" i="4"/>
  <c r="V399" i="4"/>
  <c r="U399" i="4"/>
  <c r="T399" i="4"/>
  <c r="A399" i="4"/>
  <c r="AJ398" i="4"/>
  <c r="AI398" i="4"/>
  <c r="AH398" i="4"/>
  <c r="AG398" i="4"/>
  <c r="AF398" i="4"/>
  <c r="AE398" i="4"/>
  <c r="AD398" i="4"/>
  <c r="AC398" i="4"/>
  <c r="AB398" i="4"/>
  <c r="AA398" i="4"/>
  <c r="Z398" i="4"/>
  <c r="Y398" i="4"/>
  <c r="X398" i="4"/>
  <c r="W398" i="4"/>
  <c r="V398" i="4"/>
  <c r="U398" i="4"/>
  <c r="T398" i="4"/>
  <c r="A398" i="4"/>
  <c r="AJ397" i="4"/>
  <c r="AI397" i="4"/>
  <c r="AH397" i="4"/>
  <c r="AG397" i="4"/>
  <c r="AF397" i="4"/>
  <c r="AE397" i="4"/>
  <c r="AD397" i="4"/>
  <c r="AC397" i="4"/>
  <c r="AB397" i="4"/>
  <c r="AA397" i="4"/>
  <c r="Z397" i="4"/>
  <c r="Y397" i="4"/>
  <c r="X397" i="4"/>
  <c r="W397" i="4"/>
  <c r="V397" i="4"/>
  <c r="U397" i="4"/>
  <c r="T397" i="4"/>
  <c r="A397" i="4"/>
  <c r="AJ396" i="4"/>
  <c r="AI396" i="4"/>
  <c r="AH396" i="4"/>
  <c r="AG396" i="4"/>
  <c r="AF396" i="4"/>
  <c r="AE396" i="4"/>
  <c r="AD396" i="4"/>
  <c r="AC396" i="4"/>
  <c r="AB396" i="4"/>
  <c r="AA396" i="4"/>
  <c r="Z396" i="4"/>
  <c r="Y396" i="4"/>
  <c r="X396" i="4"/>
  <c r="W396" i="4"/>
  <c r="V396" i="4"/>
  <c r="U396" i="4"/>
  <c r="T396" i="4"/>
  <c r="A396" i="4"/>
  <c r="AJ395" i="4"/>
  <c r="AI395" i="4"/>
  <c r="AH395" i="4"/>
  <c r="AG395" i="4"/>
  <c r="AF395" i="4"/>
  <c r="AE395" i="4"/>
  <c r="AD395" i="4"/>
  <c r="AC395" i="4"/>
  <c r="AB395" i="4"/>
  <c r="AA395" i="4"/>
  <c r="Z395" i="4"/>
  <c r="Y395" i="4"/>
  <c r="X395" i="4"/>
  <c r="W395" i="4"/>
  <c r="V395" i="4"/>
  <c r="U395" i="4"/>
  <c r="T395" i="4"/>
  <c r="A395" i="4"/>
  <c r="AJ394" i="4"/>
  <c r="AI394" i="4"/>
  <c r="AH394" i="4"/>
  <c r="AG394" i="4"/>
  <c r="AF394" i="4"/>
  <c r="AE394" i="4"/>
  <c r="AD394" i="4"/>
  <c r="AC394" i="4"/>
  <c r="AB394" i="4"/>
  <c r="AA394" i="4"/>
  <c r="Z394" i="4"/>
  <c r="Y394" i="4"/>
  <c r="X394" i="4"/>
  <c r="W394" i="4"/>
  <c r="V394" i="4"/>
  <c r="U394" i="4"/>
  <c r="T394" i="4"/>
  <c r="A394" i="4"/>
  <c r="AJ393" i="4"/>
  <c r="AI393" i="4"/>
  <c r="AH393" i="4"/>
  <c r="AG393" i="4"/>
  <c r="AF393" i="4"/>
  <c r="AE393" i="4"/>
  <c r="AD393" i="4"/>
  <c r="AC393" i="4"/>
  <c r="AB393" i="4"/>
  <c r="AA393" i="4"/>
  <c r="Z393" i="4"/>
  <c r="Y393" i="4"/>
  <c r="X393" i="4"/>
  <c r="W393" i="4"/>
  <c r="V393" i="4"/>
  <c r="U393" i="4"/>
  <c r="T393" i="4"/>
  <c r="A393" i="4"/>
  <c r="AJ392" i="4"/>
  <c r="AI392" i="4"/>
  <c r="AH392" i="4"/>
  <c r="AG392" i="4"/>
  <c r="AF392" i="4"/>
  <c r="AE392" i="4"/>
  <c r="AD392" i="4"/>
  <c r="AC392" i="4"/>
  <c r="AB392" i="4"/>
  <c r="AA392" i="4"/>
  <c r="Z392" i="4"/>
  <c r="Y392" i="4"/>
  <c r="X392" i="4"/>
  <c r="W392" i="4"/>
  <c r="V392" i="4"/>
  <c r="U392" i="4"/>
  <c r="T392" i="4"/>
  <c r="A392" i="4"/>
  <c r="AJ391" i="4"/>
  <c r="AI391" i="4"/>
  <c r="AH391" i="4"/>
  <c r="AG391" i="4"/>
  <c r="AF391" i="4"/>
  <c r="AE391" i="4"/>
  <c r="AD391" i="4"/>
  <c r="AC391" i="4"/>
  <c r="AB391" i="4"/>
  <c r="AA391" i="4"/>
  <c r="Z391" i="4"/>
  <c r="Y391" i="4"/>
  <c r="X391" i="4"/>
  <c r="W391" i="4"/>
  <c r="V391" i="4"/>
  <c r="U391" i="4"/>
  <c r="T391" i="4"/>
  <c r="A391" i="4"/>
  <c r="AJ390" i="4"/>
  <c r="AI390" i="4"/>
  <c r="AH390" i="4"/>
  <c r="AG390" i="4"/>
  <c r="AF390" i="4"/>
  <c r="AE390" i="4"/>
  <c r="AD390" i="4"/>
  <c r="AC390" i="4"/>
  <c r="AB390" i="4"/>
  <c r="AA390" i="4"/>
  <c r="Z390" i="4"/>
  <c r="Y390" i="4"/>
  <c r="X390" i="4"/>
  <c r="W390" i="4"/>
  <c r="V390" i="4"/>
  <c r="U390" i="4"/>
  <c r="T390" i="4"/>
  <c r="A390" i="4"/>
  <c r="AJ389" i="4"/>
  <c r="AI389" i="4"/>
  <c r="AH389" i="4"/>
  <c r="AG389" i="4"/>
  <c r="AF389" i="4"/>
  <c r="AE389" i="4"/>
  <c r="AD389" i="4"/>
  <c r="AC389" i="4"/>
  <c r="AB389" i="4"/>
  <c r="AA389" i="4"/>
  <c r="Z389" i="4"/>
  <c r="Y389" i="4"/>
  <c r="X389" i="4"/>
  <c r="W389" i="4"/>
  <c r="V389" i="4"/>
  <c r="U389" i="4"/>
  <c r="T389" i="4"/>
  <c r="A389" i="4"/>
  <c r="AJ388" i="4"/>
  <c r="AI388" i="4"/>
  <c r="AH388" i="4"/>
  <c r="AG388" i="4"/>
  <c r="AF388" i="4"/>
  <c r="AE388" i="4"/>
  <c r="AD388" i="4"/>
  <c r="AC388" i="4"/>
  <c r="AB388" i="4"/>
  <c r="AA388" i="4"/>
  <c r="Z388" i="4"/>
  <c r="Y388" i="4"/>
  <c r="X388" i="4"/>
  <c r="W388" i="4"/>
  <c r="V388" i="4"/>
  <c r="U388" i="4"/>
  <c r="T388" i="4"/>
  <c r="A388" i="4"/>
  <c r="AJ387" i="4"/>
  <c r="AI387" i="4"/>
  <c r="AH387" i="4"/>
  <c r="AG387" i="4"/>
  <c r="AF387" i="4"/>
  <c r="AE387" i="4"/>
  <c r="AD387" i="4"/>
  <c r="AC387" i="4"/>
  <c r="AB387" i="4"/>
  <c r="AA387" i="4"/>
  <c r="Z387" i="4"/>
  <c r="Y387" i="4"/>
  <c r="X387" i="4"/>
  <c r="W387" i="4"/>
  <c r="V387" i="4"/>
  <c r="U387" i="4"/>
  <c r="T387" i="4"/>
  <c r="A387" i="4"/>
  <c r="AJ386" i="4"/>
  <c r="AI386" i="4"/>
  <c r="AH386" i="4"/>
  <c r="AG386" i="4"/>
  <c r="AF386" i="4"/>
  <c r="AE386" i="4"/>
  <c r="AD386" i="4"/>
  <c r="AC386" i="4"/>
  <c r="AB386" i="4"/>
  <c r="AA386" i="4"/>
  <c r="Z386" i="4"/>
  <c r="Y386" i="4"/>
  <c r="X386" i="4"/>
  <c r="W386" i="4"/>
  <c r="V386" i="4"/>
  <c r="U386" i="4"/>
  <c r="T386" i="4"/>
  <c r="A386" i="4"/>
  <c r="AJ385" i="4"/>
  <c r="AI385" i="4"/>
  <c r="AH385" i="4"/>
  <c r="AG385" i="4"/>
  <c r="AF385" i="4"/>
  <c r="AE385" i="4"/>
  <c r="AD385" i="4"/>
  <c r="AC385" i="4"/>
  <c r="AB385" i="4"/>
  <c r="AA385" i="4"/>
  <c r="Z385" i="4"/>
  <c r="Y385" i="4"/>
  <c r="X385" i="4"/>
  <c r="W385" i="4"/>
  <c r="V385" i="4"/>
  <c r="U385" i="4"/>
  <c r="T385" i="4"/>
  <c r="A385" i="4"/>
  <c r="AJ384" i="4"/>
  <c r="AI384" i="4"/>
  <c r="AH384" i="4"/>
  <c r="AG384" i="4"/>
  <c r="AF384" i="4"/>
  <c r="AE384" i="4"/>
  <c r="AD384" i="4"/>
  <c r="AC384" i="4"/>
  <c r="AB384" i="4"/>
  <c r="AA384" i="4"/>
  <c r="Z384" i="4"/>
  <c r="Y384" i="4"/>
  <c r="X384" i="4"/>
  <c r="W384" i="4"/>
  <c r="V384" i="4"/>
  <c r="U384" i="4"/>
  <c r="T384" i="4"/>
  <c r="A384" i="4"/>
  <c r="AJ383" i="4"/>
  <c r="AI383" i="4"/>
  <c r="AH383" i="4"/>
  <c r="AG383" i="4"/>
  <c r="AF383" i="4"/>
  <c r="AE383" i="4"/>
  <c r="AD383" i="4"/>
  <c r="AC383" i="4"/>
  <c r="AB383" i="4"/>
  <c r="AA383" i="4"/>
  <c r="Z383" i="4"/>
  <c r="Y383" i="4"/>
  <c r="X383" i="4"/>
  <c r="W383" i="4"/>
  <c r="V383" i="4"/>
  <c r="U383" i="4"/>
  <c r="T383" i="4"/>
  <c r="A383" i="4"/>
  <c r="AJ382" i="4"/>
  <c r="AI382" i="4"/>
  <c r="AH382" i="4"/>
  <c r="AG382" i="4"/>
  <c r="AF382" i="4"/>
  <c r="AE382" i="4"/>
  <c r="AD382" i="4"/>
  <c r="AC382" i="4"/>
  <c r="AB382" i="4"/>
  <c r="AA382" i="4"/>
  <c r="Z382" i="4"/>
  <c r="Y382" i="4"/>
  <c r="X382" i="4"/>
  <c r="W382" i="4"/>
  <c r="V382" i="4"/>
  <c r="U382" i="4"/>
  <c r="T382" i="4"/>
  <c r="A382" i="4"/>
  <c r="AJ381" i="4"/>
  <c r="AI381" i="4"/>
  <c r="AH381" i="4"/>
  <c r="AG381" i="4"/>
  <c r="AF381" i="4"/>
  <c r="AE381" i="4"/>
  <c r="AD381" i="4"/>
  <c r="AC381" i="4"/>
  <c r="AB381" i="4"/>
  <c r="AA381" i="4"/>
  <c r="Z381" i="4"/>
  <c r="Y381" i="4"/>
  <c r="X381" i="4"/>
  <c r="W381" i="4"/>
  <c r="V381" i="4"/>
  <c r="U381" i="4"/>
  <c r="T381" i="4"/>
  <c r="A381" i="4"/>
  <c r="AJ380" i="4"/>
  <c r="AI380" i="4"/>
  <c r="AH380" i="4"/>
  <c r="AG380" i="4"/>
  <c r="AF380" i="4"/>
  <c r="AE380" i="4"/>
  <c r="AD380" i="4"/>
  <c r="AC380" i="4"/>
  <c r="AB380" i="4"/>
  <c r="AA380" i="4"/>
  <c r="Z380" i="4"/>
  <c r="Y380" i="4"/>
  <c r="X380" i="4"/>
  <c r="W380" i="4"/>
  <c r="V380" i="4"/>
  <c r="U380" i="4"/>
  <c r="T380" i="4"/>
  <c r="A380" i="4"/>
  <c r="AJ379" i="4"/>
  <c r="AI379" i="4"/>
  <c r="AH379" i="4"/>
  <c r="AG379" i="4"/>
  <c r="AF379" i="4"/>
  <c r="AE379" i="4"/>
  <c r="AD379" i="4"/>
  <c r="AC379" i="4"/>
  <c r="AB379" i="4"/>
  <c r="AA379" i="4"/>
  <c r="Z379" i="4"/>
  <c r="Y379" i="4"/>
  <c r="X379" i="4"/>
  <c r="W379" i="4"/>
  <c r="V379" i="4"/>
  <c r="U379" i="4"/>
  <c r="T379" i="4"/>
  <c r="A379" i="4"/>
  <c r="AJ378" i="4"/>
  <c r="AI378" i="4"/>
  <c r="AH378" i="4"/>
  <c r="AG378" i="4"/>
  <c r="AF378" i="4"/>
  <c r="AE378" i="4"/>
  <c r="AD378" i="4"/>
  <c r="AC378" i="4"/>
  <c r="AB378" i="4"/>
  <c r="AA378" i="4"/>
  <c r="Z378" i="4"/>
  <c r="Y378" i="4"/>
  <c r="X378" i="4"/>
  <c r="W378" i="4"/>
  <c r="V378" i="4"/>
  <c r="U378" i="4"/>
  <c r="T378" i="4"/>
  <c r="A378" i="4"/>
  <c r="AJ377" i="4"/>
  <c r="AI377" i="4"/>
  <c r="AH377" i="4"/>
  <c r="AG377" i="4"/>
  <c r="AF377" i="4"/>
  <c r="AE377" i="4"/>
  <c r="AD377" i="4"/>
  <c r="AC377" i="4"/>
  <c r="AB377" i="4"/>
  <c r="AA377" i="4"/>
  <c r="Z377" i="4"/>
  <c r="Y377" i="4"/>
  <c r="X377" i="4"/>
  <c r="W377" i="4"/>
  <c r="V377" i="4"/>
  <c r="U377" i="4"/>
  <c r="T377" i="4"/>
  <c r="A377" i="4"/>
  <c r="AJ376" i="4"/>
  <c r="AI376" i="4"/>
  <c r="AH376" i="4"/>
  <c r="AG376" i="4"/>
  <c r="AF376" i="4"/>
  <c r="AE376" i="4"/>
  <c r="AD376" i="4"/>
  <c r="AC376" i="4"/>
  <c r="AB376" i="4"/>
  <c r="AA376" i="4"/>
  <c r="Z376" i="4"/>
  <c r="Y376" i="4"/>
  <c r="X376" i="4"/>
  <c r="W376" i="4"/>
  <c r="V376" i="4"/>
  <c r="U376" i="4"/>
  <c r="T376" i="4"/>
  <c r="A376" i="4"/>
  <c r="AJ375" i="4"/>
  <c r="AI375" i="4"/>
  <c r="AH375" i="4"/>
  <c r="AG375" i="4"/>
  <c r="AF375" i="4"/>
  <c r="AE375" i="4"/>
  <c r="AD375" i="4"/>
  <c r="AC375" i="4"/>
  <c r="AB375" i="4"/>
  <c r="AA375" i="4"/>
  <c r="Z375" i="4"/>
  <c r="Y375" i="4"/>
  <c r="X375" i="4"/>
  <c r="W375" i="4"/>
  <c r="V375" i="4"/>
  <c r="U375" i="4"/>
  <c r="T375" i="4"/>
  <c r="A375" i="4"/>
  <c r="AJ374" i="4"/>
  <c r="AI374" i="4"/>
  <c r="AH374" i="4"/>
  <c r="AG374" i="4"/>
  <c r="AF374" i="4"/>
  <c r="AE374" i="4"/>
  <c r="AD374" i="4"/>
  <c r="AC374" i="4"/>
  <c r="AB374" i="4"/>
  <c r="AA374" i="4"/>
  <c r="Z374" i="4"/>
  <c r="Y374" i="4"/>
  <c r="X374" i="4"/>
  <c r="W374" i="4"/>
  <c r="V374" i="4"/>
  <c r="U374" i="4"/>
  <c r="T374" i="4"/>
  <c r="A374" i="4"/>
  <c r="AJ373" i="4"/>
  <c r="AI373" i="4"/>
  <c r="AH373" i="4"/>
  <c r="AG373" i="4"/>
  <c r="AF373" i="4"/>
  <c r="AE373" i="4"/>
  <c r="AD373" i="4"/>
  <c r="AC373" i="4"/>
  <c r="AB373" i="4"/>
  <c r="AA373" i="4"/>
  <c r="Z373" i="4"/>
  <c r="Y373" i="4"/>
  <c r="X373" i="4"/>
  <c r="W373" i="4"/>
  <c r="V373" i="4"/>
  <c r="U373" i="4"/>
  <c r="T373" i="4"/>
  <c r="A373" i="4"/>
  <c r="AJ372" i="4"/>
  <c r="AI372" i="4"/>
  <c r="AH372" i="4"/>
  <c r="AG372" i="4"/>
  <c r="AF372" i="4"/>
  <c r="AE372" i="4"/>
  <c r="AD372" i="4"/>
  <c r="AC372" i="4"/>
  <c r="AB372" i="4"/>
  <c r="AA372" i="4"/>
  <c r="Z372" i="4"/>
  <c r="Y372" i="4"/>
  <c r="X372" i="4"/>
  <c r="W372" i="4"/>
  <c r="V372" i="4"/>
  <c r="U372" i="4"/>
  <c r="T372" i="4"/>
  <c r="A372" i="4"/>
  <c r="AJ371" i="4"/>
  <c r="AI371" i="4"/>
  <c r="AH371" i="4"/>
  <c r="AG371" i="4"/>
  <c r="AF371" i="4"/>
  <c r="AE371" i="4"/>
  <c r="AD371" i="4"/>
  <c r="AC371" i="4"/>
  <c r="AB371" i="4"/>
  <c r="AA371" i="4"/>
  <c r="Z371" i="4"/>
  <c r="Y371" i="4"/>
  <c r="X371" i="4"/>
  <c r="W371" i="4"/>
  <c r="V371" i="4"/>
  <c r="U371" i="4"/>
  <c r="T371" i="4"/>
  <c r="A371" i="4"/>
  <c r="AJ370" i="4"/>
  <c r="AI370" i="4"/>
  <c r="AH370" i="4"/>
  <c r="AG370" i="4"/>
  <c r="AF370" i="4"/>
  <c r="AE370" i="4"/>
  <c r="AD370" i="4"/>
  <c r="AC370" i="4"/>
  <c r="AB370" i="4"/>
  <c r="AA370" i="4"/>
  <c r="Z370" i="4"/>
  <c r="Y370" i="4"/>
  <c r="X370" i="4"/>
  <c r="W370" i="4"/>
  <c r="V370" i="4"/>
  <c r="U370" i="4"/>
  <c r="T370" i="4"/>
  <c r="A370" i="4"/>
  <c r="AJ369" i="4"/>
  <c r="AI369" i="4"/>
  <c r="AH369" i="4"/>
  <c r="AG369" i="4"/>
  <c r="AF369" i="4"/>
  <c r="AE369" i="4"/>
  <c r="AD369" i="4"/>
  <c r="AC369" i="4"/>
  <c r="AB369" i="4"/>
  <c r="AA369" i="4"/>
  <c r="Z369" i="4"/>
  <c r="Y369" i="4"/>
  <c r="X369" i="4"/>
  <c r="W369" i="4"/>
  <c r="V369" i="4"/>
  <c r="U369" i="4"/>
  <c r="T369" i="4"/>
  <c r="A369" i="4"/>
  <c r="AJ368" i="4"/>
  <c r="AI368" i="4"/>
  <c r="AH368" i="4"/>
  <c r="AG368" i="4"/>
  <c r="AF368" i="4"/>
  <c r="AE368" i="4"/>
  <c r="AD368" i="4"/>
  <c r="AC368" i="4"/>
  <c r="AB368" i="4"/>
  <c r="AA368" i="4"/>
  <c r="Z368" i="4"/>
  <c r="Y368" i="4"/>
  <c r="X368" i="4"/>
  <c r="W368" i="4"/>
  <c r="V368" i="4"/>
  <c r="U368" i="4"/>
  <c r="T368" i="4"/>
  <c r="A368" i="4"/>
  <c r="AJ367" i="4"/>
  <c r="AI367" i="4"/>
  <c r="AH367" i="4"/>
  <c r="AG367" i="4"/>
  <c r="AF367" i="4"/>
  <c r="AE367" i="4"/>
  <c r="AD367" i="4"/>
  <c r="AC367" i="4"/>
  <c r="AB367" i="4"/>
  <c r="AA367" i="4"/>
  <c r="Z367" i="4"/>
  <c r="Y367" i="4"/>
  <c r="X367" i="4"/>
  <c r="W367" i="4"/>
  <c r="V367" i="4"/>
  <c r="U367" i="4"/>
  <c r="T367" i="4"/>
  <c r="A367" i="4"/>
  <c r="AJ366" i="4"/>
  <c r="AI366" i="4"/>
  <c r="AH366" i="4"/>
  <c r="AG366" i="4"/>
  <c r="AF366" i="4"/>
  <c r="AE366" i="4"/>
  <c r="AD366" i="4"/>
  <c r="AC366" i="4"/>
  <c r="AB366" i="4"/>
  <c r="AA366" i="4"/>
  <c r="Z366" i="4"/>
  <c r="Y366" i="4"/>
  <c r="X366" i="4"/>
  <c r="W366" i="4"/>
  <c r="V366" i="4"/>
  <c r="U366" i="4"/>
  <c r="T366" i="4"/>
  <c r="A366" i="4"/>
  <c r="AJ365" i="4"/>
  <c r="AI365" i="4"/>
  <c r="AH365" i="4"/>
  <c r="AG365" i="4"/>
  <c r="AF365" i="4"/>
  <c r="AE365" i="4"/>
  <c r="AD365" i="4"/>
  <c r="AC365" i="4"/>
  <c r="AB365" i="4"/>
  <c r="AA365" i="4"/>
  <c r="Z365" i="4"/>
  <c r="Y365" i="4"/>
  <c r="X365" i="4"/>
  <c r="W365" i="4"/>
  <c r="V365" i="4"/>
  <c r="U365" i="4"/>
  <c r="T365" i="4"/>
  <c r="A365" i="4"/>
  <c r="AJ364" i="4"/>
  <c r="AI364" i="4"/>
  <c r="AH364" i="4"/>
  <c r="AG364" i="4"/>
  <c r="AF364" i="4"/>
  <c r="AE364" i="4"/>
  <c r="AD364" i="4"/>
  <c r="AC364" i="4"/>
  <c r="AB364" i="4"/>
  <c r="AA364" i="4"/>
  <c r="Z364" i="4"/>
  <c r="Y364" i="4"/>
  <c r="X364" i="4"/>
  <c r="W364" i="4"/>
  <c r="V364" i="4"/>
  <c r="U364" i="4"/>
  <c r="T364" i="4"/>
  <c r="A364" i="4"/>
  <c r="AJ363" i="4"/>
  <c r="AI363" i="4"/>
  <c r="AH363" i="4"/>
  <c r="AG363" i="4"/>
  <c r="AF363" i="4"/>
  <c r="AE363" i="4"/>
  <c r="AD363" i="4"/>
  <c r="AC363" i="4"/>
  <c r="AB363" i="4"/>
  <c r="AA363" i="4"/>
  <c r="Z363" i="4"/>
  <c r="Y363" i="4"/>
  <c r="X363" i="4"/>
  <c r="W363" i="4"/>
  <c r="V363" i="4"/>
  <c r="U363" i="4"/>
  <c r="T363" i="4"/>
  <c r="A363" i="4"/>
  <c r="AJ362" i="4"/>
  <c r="AI362" i="4"/>
  <c r="AH362" i="4"/>
  <c r="AG362" i="4"/>
  <c r="AF362" i="4"/>
  <c r="AE362" i="4"/>
  <c r="AD362" i="4"/>
  <c r="AC362" i="4"/>
  <c r="AB362" i="4"/>
  <c r="AA362" i="4"/>
  <c r="Z362" i="4"/>
  <c r="Y362" i="4"/>
  <c r="X362" i="4"/>
  <c r="W362" i="4"/>
  <c r="V362" i="4"/>
  <c r="U362" i="4"/>
  <c r="T362" i="4"/>
  <c r="A362" i="4"/>
  <c r="AJ361" i="4"/>
  <c r="AI361" i="4"/>
  <c r="AH361" i="4"/>
  <c r="AG361" i="4"/>
  <c r="AF361" i="4"/>
  <c r="AE361" i="4"/>
  <c r="AD361" i="4"/>
  <c r="AC361" i="4"/>
  <c r="AB361" i="4"/>
  <c r="AA361" i="4"/>
  <c r="Z361" i="4"/>
  <c r="Y361" i="4"/>
  <c r="X361" i="4"/>
  <c r="W361" i="4"/>
  <c r="V361" i="4"/>
  <c r="U361" i="4"/>
  <c r="T361" i="4"/>
  <c r="A361" i="4"/>
  <c r="AJ360" i="4"/>
  <c r="AI360" i="4"/>
  <c r="AH360" i="4"/>
  <c r="AG360" i="4"/>
  <c r="AF360" i="4"/>
  <c r="AE360" i="4"/>
  <c r="AD360" i="4"/>
  <c r="AC360" i="4"/>
  <c r="AB360" i="4"/>
  <c r="AA360" i="4"/>
  <c r="Z360" i="4"/>
  <c r="Y360" i="4"/>
  <c r="X360" i="4"/>
  <c r="W360" i="4"/>
  <c r="V360" i="4"/>
  <c r="U360" i="4"/>
  <c r="T360" i="4"/>
  <c r="A360" i="4"/>
  <c r="AJ359" i="4"/>
  <c r="AI359" i="4"/>
  <c r="AH359" i="4"/>
  <c r="AG359" i="4"/>
  <c r="AF359" i="4"/>
  <c r="AE359" i="4"/>
  <c r="AD359" i="4"/>
  <c r="AC359" i="4"/>
  <c r="AB359" i="4"/>
  <c r="AA359" i="4"/>
  <c r="Z359" i="4"/>
  <c r="Y359" i="4"/>
  <c r="X359" i="4"/>
  <c r="W359" i="4"/>
  <c r="V359" i="4"/>
  <c r="U359" i="4"/>
  <c r="T359" i="4"/>
  <c r="A359" i="4"/>
  <c r="AJ358" i="4"/>
  <c r="AI358" i="4"/>
  <c r="AH358" i="4"/>
  <c r="AG358" i="4"/>
  <c r="AF358" i="4"/>
  <c r="AE358" i="4"/>
  <c r="AD358" i="4"/>
  <c r="AC358" i="4"/>
  <c r="AB358" i="4"/>
  <c r="AA358" i="4"/>
  <c r="Z358" i="4"/>
  <c r="Y358" i="4"/>
  <c r="X358" i="4"/>
  <c r="W358" i="4"/>
  <c r="V358" i="4"/>
  <c r="U358" i="4"/>
  <c r="T358" i="4"/>
  <c r="A358" i="4"/>
  <c r="AJ357" i="4"/>
  <c r="AI357" i="4"/>
  <c r="AH357" i="4"/>
  <c r="AG357" i="4"/>
  <c r="AF357" i="4"/>
  <c r="AE357" i="4"/>
  <c r="AD357" i="4"/>
  <c r="AC357" i="4"/>
  <c r="AB357" i="4"/>
  <c r="AA357" i="4"/>
  <c r="Z357" i="4"/>
  <c r="Y357" i="4"/>
  <c r="X357" i="4"/>
  <c r="W357" i="4"/>
  <c r="V357" i="4"/>
  <c r="U357" i="4"/>
  <c r="T357" i="4"/>
  <c r="A357" i="4"/>
  <c r="AJ356" i="4"/>
  <c r="AI356" i="4"/>
  <c r="AH356" i="4"/>
  <c r="AG356" i="4"/>
  <c r="AF356" i="4"/>
  <c r="AE356" i="4"/>
  <c r="AD356" i="4"/>
  <c r="AC356" i="4"/>
  <c r="AB356" i="4"/>
  <c r="AA356" i="4"/>
  <c r="Z356" i="4"/>
  <c r="Y356" i="4"/>
  <c r="X356" i="4"/>
  <c r="W356" i="4"/>
  <c r="V356" i="4"/>
  <c r="U356" i="4"/>
  <c r="T356" i="4"/>
  <c r="A356" i="4"/>
  <c r="AJ355" i="4"/>
  <c r="AI355" i="4"/>
  <c r="AH355" i="4"/>
  <c r="AG355" i="4"/>
  <c r="AF355" i="4"/>
  <c r="AE355" i="4"/>
  <c r="AD355" i="4"/>
  <c r="AC355" i="4"/>
  <c r="AB355" i="4"/>
  <c r="AA355" i="4"/>
  <c r="Z355" i="4"/>
  <c r="Y355" i="4"/>
  <c r="X355" i="4"/>
  <c r="W355" i="4"/>
  <c r="V355" i="4"/>
  <c r="U355" i="4"/>
  <c r="T355" i="4"/>
  <c r="A355" i="4"/>
  <c r="AJ351" i="4"/>
  <c r="AI351" i="4"/>
  <c r="AH351" i="4"/>
  <c r="AG351" i="4"/>
  <c r="AF351" i="4"/>
  <c r="AE351" i="4"/>
  <c r="AD351" i="4"/>
  <c r="AC351" i="4"/>
  <c r="AB351" i="4"/>
  <c r="AA351" i="4"/>
  <c r="Z351" i="4"/>
  <c r="Y351" i="4"/>
  <c r="X351" i="4"/>
  <c r="W351" i="4"/>
  <c r="V351" i="4"/>
  <c r="U351" i="4"/>
  <c r="T351"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J281" i="4"/>
  <c r="AI281" i="4"/>
  <c r="AH281" i="4"/>
  <c r="AG281" i="4"/>
  <c r="AF281" i="4"/>
  <c r="AE281" i="4"/>
  <c r="AD281" i="4"/>
  <c r="AC281" i="4"/>
  <c r="AB281" i="4"/>
  <c r="AA281" i="4"/>
  <c r="Z281" i="4"/>
  <c r="Y281" i="4"/>
  <c r="X281" i="4"/>
  <c r="W281" i="4"/>
  <c r="V281" i="4"/>
  <c r="U281" i="4"/>
  <c r="T281" i="4"/>
  <c r="A281"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J211" i="4"/>
  <c r="AI211" i="4"/>
  <c r="AH211" i="4"/>
  <c r="AG211" i="4"/>
  <c r="AF211" i="4"/>
  <c r="AE211" i="4"/>
  <c r="AD211" i="4"/>
  <c r="AC211" i="4"/>
  <c r="AB211" i="4"/>
  <c r="AA211" i="4"/>
  <c r="Z211" i="4"/>
  <c r="Y211" i="4"/>
  <c r="X211" i="4"/>
  <c r="W211" i="4"/>
  <c r="V211" i="4"/>
  <c r="U211" i="4"/>
  <c r="T211" i="4"/>
  <c r="S211" i="4"/>
  <c r="R211" i="4"/>
  <c r="Q211" i="4"/>
  <c r="P211" i="4"/>
  <c r="O211" i="4"/>
  <c r="N211" i="4"/>
  <c r="M211" i="4"/>
  <c r="L211" i="4"/>
  <c r="K211" i="4"/>
  <c r="J211" i="4"/>
  <c r="I211" i="4"/>
  <c r="H211" i="4"/>
  <c r="G211" i="4"/>
  <c r="F211" i="4"/>
  <c r="E211" i="4"/>
  <c r="D211" i="4"/>
  <c r="C211" i="4"/>
  <c r="B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J111" i="4"/>
  <c r="AI111" i="4"/>
  <c r="AH111" i="4"/>
  <c r="AG111" i="4"/>
  <c r="AF111" i="4"/>
  <c r="AE111" i="4"/>
  <c r="AD111" i="4"/>
  <c r="AC111" i="4"/>
  <c r="AB111" i="4"/>
  <c r="AA111" i="4"/>
  <c r="Z111" i="4"/>
  <c r="Y111" i="4"/>
  <c r="X111" i="4"/>
  <c r="W111" i="4"/>
  <c r="V111" i="4"/>
  <c r="U111" i="4"/>
  <c r="T111" i="4"/>
  <c r="S111" i="4"/>
  <c r="R111" i="4"/>
  <c r="Q111" i="4"/>
  <c r="P111" i="4"/>
  <c r="O111" i="4"/>
  <c r="N111" i="4"/>
  <c r="M111" i="4"/>
  <c r="L111" i="4"/>
  <c r="K111" i="4"/>
  <c r="J111" i="4"/>
  <c r="I111" i="4"/>
  <c r="H111" i="4"/>
  <c r="G111" i="4"/>
  <c r="F111" i="4"/>
  <c r="E111" i="4"/>
  <c r="D111" i="4"/>
  <c r="C111" i="4"/>
  <c r="B111" i="4"/>
  <c r="AI12" i="4"/>
  <c r="AH12" i="4"/>
  <c r="AG12" i="4"/>
  <c r="AF12" i="4"/>
  <c r="AE12" i="4"/>
  <c r="AA12" i="4"/>
  <c r="Z12" i="4"/>
  <c r="Y12" i="4"/>
  <c r="X12" i="4"/>
  <c r="W12" i="4"/>
  <c r="AG11" i="4"/>
  <c r="AF11" i="4"/>
  <c r="AE11" i="4"/>
  <c r="Y11" i="4"/>
  <c r="X11" i="4"/>
  <c r="W11" i="4"/>
  <c r="A11" i="4"/>
  <c r="AJ10" i="4"/>
  <c r="AI10" i="4"/>
  <c r="AI11" i="4" s="1"/>
  <c r="AH10" i="4"/>
  <c r="AH11" i="4" s="1"/>
  <c r="AG10" i="4"/>
  <c r="AF10" i="4"/>
  <c r="AE10" i="4"/>
  <c r="AD10" i="4"/>
  <c r="AD12" i="4" s="1"/>
  <c r="AC10" i="4"/>
  <c r="AC11" i="4" s="1"/>
  <c r="AB10" i="4"/>
  <c r="AB11" i="4" s="1"/>
  <c r="AA10" i="4"/>
  <c r="AA11" i="4" s="1"/>
  <c r="Z10" i="4"/>
  <c r="Z11" i="4" s="1"/>
  <c r="Y10" i="4"/>
  <c r="X10" i="4"/>
  <c r="W10" i="4"/>
  <c r="V10" i="4"/>
  <c r="V12" i="4" s="1"/>
  <c r="U10" i="4"/>
  <c r="U11" i="4" s="1"/>
  <c r="T10" i="4"/>
  <c r="AI9" i="4"/>
  <c r="AH9" i="4"/>
  <c r="AG9" i="4"/>
  <c r="AF9" i="4"/>
  <c r="AA9" i="4"/>
  <c r="Z9" i="4"/>
  <c r="Y9" i="4"/>
  <c r="X9" i="4"/>
  <c r="S9" i="4"/>
  <c r="R9" i="4"/>
  <c r="Q9" i="4"/>
  <c r="P9" i="4"/>
  <c r="K9" i="4"/>
  <c r="J9" i="4"/>
  <c r="I9" i="4"/>
  <c r="H9" i="4"/>
  <c r="C9" i="4"/>
  <c r="A9" i="4"/>
  <c r="AJ8" i="4"/>
  <c r="AI8" i="4"/>
  <c r="AH8" i="4"/>
  <c r="AG8" i="4"/>
  <c r="AF8" i="4"/>
  <c r="AE8" i="4"/>
  <c r="AD8" i="4"/>
  <c r="AE9" i="4" s="1"/>
  <c r="AC8" i="4"/>
  <c r="AC9" i="4" s="1"/>
  <c r="AB8" i="4"/>
  <c r="AB9" i="4" s="1"/>
  <c r="AA8" i="4"/>
  <c r="Z8" i="4"/>
  <c r="Y8" i="4"/>
  <c r="X8" i="4"/>
  <c r="W8" i="4"/>
  <c r="V8" i="4"/>
  <c r="W9" i="4" s="1"/>
  <c r="U8" i="4"/>
  <c r="U9" i="4" s="1"/>
  <c r="T8" i="4"/>
  <c r="T9" i="4" s="1"/>
  <c r="S8" i="4"/>
  <c r="R8" i="4"/>
  <c r="Q8" i="4"/>
  <c r="P8" i="4"/>
  <c r="O8" i="4"/>
  <c r="N8" i="4"/>
  <c r="O9" i="4" s="1"/>
  <c r="M8" i="4"/>
  <c r="M9" i="4" s="1"/>
  <c r="L8" i="4"/>
  <c r="L9" i="4" s="1"/>
  <c r="K8" i="4"/>
  <c r="J8" i="4"/>
  <c r="I8" i="4"/>
  <c r="H8" i="4"/>
  <c r="G8" i="4"/>
  <c r="F8" i="4"/>
  <c r="G9" i="4" s="1"/>
  <c r="E8" i="4"/>
  <c r="E9" i="4" s="1"/>
  <c r="D8" i="4"/>
  <c r="D9" i="4" s="1"/>
  <c r="C8" i="4"/>
  <c r="B8" i="4"/>
  <c r="AF7" i="4"/>
  <c r="AE7" i="4"/>
  <c r="AD7" i="4"/>
  <c r="AC7" i="4"/>
  <c r="X7" i="4"/>
  <c r="W7" i="4"/>
  <c r="V7" i="4"/>
  <c r="U7" i="4"/>
  <c r="P7" i="4"/>
  <c r="O7" i="4"/>
  <c r="N7" i="4"/>
  <c r="M7" i="4"/>
  <c r="H7" i="4"/>
  <c r="G7" i="4"/>
  <c r="F7" i="4"/>
  <c r="E7" i="4"/>
  <c r="AJ6" i="4"/>
  <c r="AK7" i="4" s="1"/>
  <c r="AI6" i="4"/>
  <c r="AJ7" i="4" s="1"/>
  <c r="AH6" i="4"/>
  <c r="AH7" i="4" s="1"/>
  <c r="AG6" i="4"/>
  <c r="AG7" i="4" s="1"/>
  <c r="AF6" i="4"/>
  <c r="AE6" i="4"/>
  <c r="AD6" i="4"/>
  <c r="AC6" i="4"/>
  <c r="AB6" i="4"/>
  <c r="AA6" i="4"/>
  <c r="AB7" i="4" s="1"/>
  <c r="Z6" i="4"/>
  <c r="Z7" i="4" s="1"/>
  <c r="Y6" i="4"/>
  <c r="Y7" i="4" s="1"/>
  <c r="X6" i="4"/>
  <c r="W6" i="4"/>
  <c r="V6" i="4"/>
  <c r="U6" i="4"/>
  <c r="T6" i="4"/>
  <c r="S6" i="4"/>
  <c r="T7" i="4" s="1"/>
  <c r="R6" i="4"/>
  <c r="R7" i="4" s="1"/>
  <c r="Q6" i="4"/>
  <c r="Q7" i="4" s="1"/>
  <c r="P6" i="4"/>
  <c r="O6" i="4"/>
  <c r="N6" i="4"/>
  <c r="M6" i="4"/>
  <c r="L6" i="4"/>
  <c r="K6" i="4"/>
  <c r="L7" i="4" s="1"/>
  <c r="J6" i="4"/>
  <c r="J7" i="4" s="1"/>
  <c r="I6" i="4"/>
  <c r="I7" i="4" s="1"/>
  <c r="H6" i="4"/>
  <c r="G6" i="4"/>
  <c r="F6" i="4"/>
  <c r="E6" i="4"/>
  <c r="D6" i="4"/>
  <c r="C6" i="4"/>
  <c r="D7" i="4" s="1"/>
  <c r="B6" i="4"/>
  <c r="E144" i="15" l="1"/>
  <c r="I400" i="15"/>
  <c r="G66" i="23"/>
  <c r="G66" i="25"/>
  <c r="G66" i="24"/>
  <c r="H66" i="23"/>
  <c r="H66" i="25"/>
  <c r="H66" i="24"/>
  <c r="I66" i="25"/>
  <c r="I66" i="23"/>
  <c r="I66" i="24"/>
  <c r="O66" i="23"/>
  <c r="O66" i="25"/>
  <c r="O66" i="24"/>
  <c r="J66" i="23"/>
  <c r="J66" i="25"/>
  <c r="J66" i="24"/>
  <c r="K66" i="23"/>
  <c r="K66" i="25"/>
  <c r="K66" i="24"/>
  <c r="K66" i="16"/>
  <c r="K66" i="17"/>
  <c r="D66" i="23"/>
  <c r="D66" i="24"/>
  <c r="D66" i="25"/>
  <c r="L66" i="23"/>
  <c r="L66" i="25"/>
  <c r="L66" i="24"/>
  <c r="I31" i="15"/>
  <c r="E66" i="23"/>
  <c r="E66" i="24"/>
  <c r="E66" i="25"/>
  <c r="M66" i="23"/>
  <c r="M66" i="24"/>
  <c r="M66" i="25"/>
  <c r="F66" i="24"/>
  <c r="F66" i="25"/>
  <c r="F66" i="23"/>
  <c r="N66" i="23"/>
  <c r="N66" i="25"/>
  <c r="N66" i="24"/>
  <c r="P7" i="25"/>
  <c r="P8" i="25" s="1"/>
  <c r="H7" i="25"/>
  <c r="H8" i="25" s="1"/>
  <c r="O7" i="25"/>
  <c r="O8" i="25" s="1"/>
  <c r="G7" i="25"/>
  <c r="G8" i="25" s="1"/>
  <c r="N7" i="25"/>
  <c r="N8" i="25" s="1"/>
  <c r="F7" i="25"/>
  <c r="F8" i="25" s="1"/>
  <c r="M7" i="25"/>
  <c r="M8" i="25" s="1"/>
  <c r="E7" i="25"/>
  <c r="E8" i="25" s="1"/>
  <c r="L7" i="25"/>
  <c r="L8" i="25" s="1"/>
  <c r="D7" i="25"/>
  <c r="D8" i="25" s="1"/>
  <c r="K7" i="25"/>
  <c r="K8" i="25" s="1"/>
  <c r="I7" i="25"/>
  <c r="I8" i="25" s="1"/>
  <c r="J7" i="25"/>
  <c r="J8" i="25" s="1"/>
  <c r="P7" i="24"/>
  <c r="P8" i="24" s="1"/>
  <c r="H7" i="24"/>
  <c r="H8" i="24" s="1"/>
  <c r="O7" i="24"/>
  <c r="O8" i="24" s="1"/>
  <c r="G7" i="24"/>
  <c r="G8" i="24" s="1"/>
  <c r="N7" i="24"/>
  <c r="N8" i="24" s="1"/>
  <c r="F7" i="24"/>
  <c r="F8" i="24" s="1"/>
  <c r="M7" i="24"/>
  <c r="M8" i="24" s="1"/>
  <c r="E7" i="24"/>
  <c r="E8" i="24" s="1"/>
  <c r="L7" i="24"/>
  <c r="L8" i="24" s="1"/>
  <c r="D7" i="24"/>
  <c r="D8" i="24" s="1"/>
  <c r="I7" i="24"/>
  <c r="I8" i="24" s="1"/>
  <c r="J7" i="24"/>
  <c r="J8" i="24" s="1"/>
  <c r="K7" i="24"/>
  <c r="K8" i="24" s="1"/>
  <c r="N7" i="23"/>
  <c r="N8" i="23" s="1"/>
  <c r="F7" i="23"/>
  <c r="F8" i="23" s="1"/>
  <c r="M7" i="23"/>
  <c r="M8" i="23" s="1"/>
  <c r="E7" i="23"/>
  <c r="E8" i="23" s="1"/>
  <c r="L7" i="23"/>
  <c r="L8" i="23" s="1"/>
  <c r="D7" i="23"/>
  <c r="D8" i="23" s="1"/>
  <c r="K7" i="23"/>
  <c r="K8" i="23" s="1"/>
  <c r="J7" i="23"/>
  <c r="J8" i="23" s="1"/>
  <c r="I7" i="23"/>
  <c r="I8" i="23" s="1"/>
  <c r="P7" i="23"/>
  <c r="P8" i="23" s="1"/>
  <c r="H7" i="23"/>
  <c r="H8" i="23" s="1"/>
  <c r="O7" i="23"/>
  <c r="O8" i="23" s="1"/>
  <c r="G7" i="23"/>
  <c r="G8" i="23" s="1"/>
  <c r="F30" i="15"/>
  <c r="G30" i="15"/>
  <c r="F144" i="15"/>
  <c r="H66" i="16"/>
  <c r="H66" i="17"/>
  <c r="I66" i="16"/>
  <c r="I66" i="17"/>
  <c r="M144" i="15"/>
  <c r="E84" i="15"/>
  <c r="F84" i="15"/>
  <c r="N84" i="15"/>
  <c r="G144" i="15"/>
  <c r="D66" i="17"/>
  <c r="D66" i="16"/>
  <c r="E66" i="17"/>
  <c r="E66" i="16"/>
  <c r="G66" i="16"/>
  <c r="G66" i="17"/>
  <c r="F66" i="16"/>
  <c r="F66" i="17"/>
  <c r="J66" i="16"/>
  <c r="J66" i="17"/>
  <c r="O66" i="16"/>
  <c r="L66" i="16"/>
  <c r="M66" i="16"/>
  <c r="N66" i="16"/>
  <c r="L144" i="15"/>
  <c r="M84" i="15"/>
  <c r="N30" i="15"/>
  <c r="K31" i="15"/>
  <c r="K281" i="5"/>
  <c r="F288" i="5"/>
  <c r="P307" i="5"/>
  <c r="Q297" i="5"/>
  <c r="K286" i="5"/>
  <c r="H287" i="5"/>
  <c r="J297" i="5"/>
  <c r="R297" i="5"/>
  <c r="S281" i="5"/>
  <c r="N288" i="5"/>
  <c r="E299" i="5"/>
  <c r="D282" i="5"/>
  <c r="L282" i="5"/>
  <c r="P284" i="5"/>
  <c r="G282" i="5"/>
  <c r="P287" i="5"/>
  <c r="C6" i="5"/>
  <c r="L286" i="5"/>
  <c r="L294" i="5"/>
  <c r="T286" i="5"/>
  <c r="D294" i="5"/>
  <c r="Z15" i="5"/>
  <c r="X17" i="5"/>
  <c r="O291" i="5"/>
  <c r="D292" i="5"/>
  <c r="K6" i="5"/>
  <c r="S6" i="5"/>
  <c r="I315" i="5"/>
  <c r="Q315" i="5"/>
  <c r="D286" i="5"/>
  <c r="B6" i="5"/>
  <c r="J6" i="5"/>
  <c r="U20" i="5"/>
  <c r="G308" i="5"/>
  <c r="W18" i="5"/>
  <c r="C286" i="5"/>
  <c r="V19" i="5"/>
  <c r="Y207" i="5"/>
  <c r="Y199" i="5"/>
  <c r="Y191" i="5"/>
  <c r="Y183" i="5"/>
  <c r="Y175" i="5"/>
  <c r="Y167" i="5"/>
  <c r="Y159" i="5"/>
  <c r="Y151" i="5"/>
  <c r="Y143" i="5"/>
  <c r="Y135" i="5"/>
  <c r="Y127" i="5"/>
  <c r="Y119" i="5"/>
  <c r="Y107" i="5"/>
  <c r="Y99" i="5"/>
  <c r="Y206" i="5"/>
  <c r="Y198" i="5"/>
  <c r="Y190" i="5"/>
  <c r="Y182" i="5"/>
  <c r="Y174" i="5"/>
  <c r="Y166" i="5"/>
  <c r="Y158" i="5"/>
  <c r="Y150" i="5"/>
  <c r="Y142" i="5"/>
  <c r="Y134" i="5"/>
  <c r="Y126" i="5"/>
  <c r="Y118" i="5"/>
  <c r="Y106" i="5"/>
  <c r="Y98" i="5"/>
  <c r="Y205" i="5"/>
  <c r="Y197" i="5"/>
  <c r="Y189" i="5"/>
  <c r="Y181" i="5"/>
  <c r="Y173" i="5"/>
  <c r="Y165" i="5"/>
  <c r="Y157" i="5"/>
  <c r="Y149" i="5"/>
  <c r="Y141" i="5"/>
  <c r="Y133" i="5"/>
  <c r="Y125" i="5"/>
  <c r="Y117" i="5"/>
  <c r="Y105" i="5"/>
  <c r="Y97" i="5"/>
  <c r="Y204" i="5"/>
  <c r="Y196" i="5"/>
  <c r="Y188" i="5"/>
  <c r="Y180" i="5"/>
  <c r="Y172" i="5"/>
  <c r="Y164" i="5"/>
  <c r="Y156" i="5"/>
  <c r="Y148" i="5"/>
  <c r="Y140" i="5"/>
  <c r="Y132" i="5"/>
  <c r="Y124" i="5"/>
  <c r="Y116" i="5"/>
  <c r="Y104" i="5"/>
  <c r="Y96" i="5"/>
  <c r="Y203" i="5"/>
  <c r="Y195" i="5"/>
  <c r="Y187" i="5"/>
  <c r="Y179" i="5"/>
  <c r="Y171" i="5"/>
  <c r="Y163" i="5"/>
  <c r="Y155" i="5"/>
  <c r="Y147" i="5"/>
  <c r="Y139" i="5"/>
  <c r="Y131" i="5"/>
  <c r="Y123" i="5"/>
  <c r="Y115" i="5"/>
  <c r="Y103" i="5"/>
  <c r="Y95" i="5"/>
  <c r="Y210" i="5"/>
  <c r="Y202" i="5"/>
  <c r="Y194" i="5"/>
  <c r="Y186" i="5"/>
  <c r="Y178" i="5"/>
  <c r="Y170" i="5"/>
  <c r="Y162" i="5"/>
  <c r="Y154" i="5"/>
  <c r="Y146" i="5"/>
  <c r="Y138" i="5"/>
  <c r="Y130" i="5"/>
  <c r="Y122" i="5"/>
  <c r="Y110" i="5"/>
  <c r="Y102" i="5"/>
  <c r="Y94" i="5"/>
  <c r="Y209" i="5"/>
  <c r="Y201" i="5"/>
  <c r="Y193" i="5"/>
  <c r="Y185" i="5"/>
  <c r="Y177" i="5"/>
  <c r="Y169" i="5"/>
  <c r="Y161" i="5"/>
  <c r="Y153" i="5"/>
  <c r="Y145" i="5"/>
  <c r="Y137" i="5"/>
  <c r="Y129" i="5"/>
  <c r="Y121" i="5"/>
  <c r="Y109" i="5"/>
  <c r="Y101" i="5"/>
  <c r="Y208" i="5"/>
  <c r="Y200" i="5"/>
  <c r="Y192" i="5"/>
  <c r="Y184" i="5"/>
  <c r="Y176" i="5"/>
  <c r="Y168" i="5"/>
  <c r="Y160" i="5"/>
  <c r="Y152" i="5"/>
  <c r="Y144" i="5"/>
  <c r="Y136" i="5"/>
  <c r="Y128" i="5"/>
  <c r="Y120" i="5"/>
  <c r="Y108" i="5"/>
  <c r="Y100" i="5"/>
  <c r="V15" i="5"/>
  <c r="U16" i="5"/>
  <c r="U281" i="5" s="1"/>
  <c r="Z19" i="5"/>
  <c r="Y20" i="5"/>
  <c r="X21" i="5"/>
  <c r="W22" i="5"/>
  <c r="V23" i="5"/>
  <c r="U24" i="5"/>
  <c r="Z27" i="5"/>
  <c r="Y28" i="5"/>
  <c r="X29" i="5"/>
  <c r="W30" i="5"/>
  <c r="V31" i="5"/>
  <c r="U32" i="5"/>
  <c r="Z35" i="5"/>
  <c r="Y36" i="5"/>
  <c r="X37" i="5"/>
  <c r="W38" i="5"/>
  <c r="V39" i="5"/>
  <c r="U40" i="5"/>
  <c r="Z43" i="5"/>
  <c r="Y44" i="5"/>
  <c r="X45" i="5"/>
  <c r="W46" i="5"/>
  <c r="V47" i="5"/>
  <c r="U48" i="5"/>
  <c r="Z51" i="5"/>
  <c r="Y52" i="5"/>
  <c r="X53" i="5"/>
  <c r="W54" i="5"/>
  <c r="V55" i="5"/>
  <c r="U56" i="5"/>
  <c r="Z59" i="5"/>
  <c r="Y60" i="5"/>
  <c r="X61" i="5"/>
  <c r="W62" i="5"/>
  <c r="V63" i="5"/>
  <c r="U64" i="5"/>
  <c r="Z67" i="5"/>
  <c r="Y68" i="5"/>
  <c r="X69" i="5"/>
  <c r="W70" i="5"/>
  <c r="V71" i="5"/>
  <c r="U72" i="5"/>
  <c r="Z75" i="5"/>
  <c r="Y76" i="5"/>
  <c r="X77" i="5"/>
  <c r="W78" i="5"/>
  <c r="V79" i="5"/>
  <c r="U80" i="5"/>
  <c r="Z83" i="5"/>
  <c r="Y84" i="5"/>
  <c r="W86" i="5"/>
  <c r="V87" i="5"/>
  <c r="U88" i="5"/>
  <c r="Z91" i="5"/>
  <c r="Z92" i="5"/>
  <c r="Z93" i="5"/>
  <c r="X208" i="5"/>
  <c r="X200" i="5"/>
  <c r="X192" i="5"/>
  <c r="X184" i="5"/>
  <c r="X176" i="5"/>
  <c r="X168" i="5"/>
  <c r="X160" i="5"/>
  <c r="X152" i="5"/>
  <c r="X144" i="5"/>
  <c r="X136" i="5"/>
  <c r="X128" i="5"/>
  <c r="X120" i="5"/>
  <c r="X108" i="5"/>
  <c r="X100" i="5"/>
  <c r="X207" i="5"/>
  <c r="X199" i="5"/>
  <c r="X191" i="5"/>
  <c r="X183" i="5"/>
  <c r="X175" i="5"/>
  <c r="X167" i="5"/>
  <c r="X159" i="5"/>
  <c r="X151" i="5"/>
  <c r="X143" i="5"/>
  <c r="X135" i="5"/>
  <c r="X127" i="5"/>
  <c r="X119" i="5"/>
  <c r="X107" i="5"/>
  <c r="X99" i="5"/>
  <c r="X206" i="5"/>
  <c r="X198" i="5"/>
  <c r="X190" i="5"/>
  <c r="X182" i="5"/>
  <c r="X174" i="5"/>
  <c r="X166" i="5"/>
  <c r="X158" i="5"/>
  <c r="X150" i="5"/>
  <c r="X142" i="5"/>
  <c r="X134" i="5"/>
  <c r="X126" i="5"/>
  <c r="X118" i="5"/>
  <c r="X106" i="5"/>
  <c r="X98" i="5"/>
  <c r="X205" i="5"/>
  <c r="X197" i="5"/>
  <c r="X189" i="5"/>
  <c r="X181" i="5"/>
  <c r="X173" i="5"/>
  <c r="X165" i="5"/>
  <c r="X157" i="5"/>
  <c r="X149" i="5"/>
  <c r="X141" i="5"/>
  <c r="X133" i="5"/>
  <c r="X125" i="5"/>
  <c r="X117" i="5"/>
  <c r="X105" i="5"/>
  <c r="X97" i="5"/>
  <c r="X204" i="5"/>
  <c r="X196" i="5"/>
  <c r="X188" i="5"/>
  <c r="X180" i="5"/>
  <c r="X172" i="5"/>
  <c r="X164" i="5"/>
  <c r="X156" i="5"/>
  <c r="X148" i="5"/>
  <c r="X140" i="5"/>
  <c r="X132" i="5"/>
  <c r="X124" i="5"/>
  <c r="X116" i="5"/>
  <c r="X104" i="5"/>
  <c r="X96" i="5"/>
  <c r="X203" i="5"/>
  <c r="X195" i="5"/>
  <c r="X187" i="5"/>
  <c r="X179" i="5"/>
  <c r="X171" i="5"/>
  <c r="X163" i="5"/>
  <c r="X155" i="5"/>
  <c r="X147" i="5"/>
  <c r="X139" i="5"/>
  <c r="X131" i="5"/>
  <c r="X123" i="5"/>
  <c r="X115" i="5"/>
  <c r="X103" i="5"/>
  <c r="X95" i="5"/>
  <c r="X210" i="5"/>
  <c r="X202" i="5"/>
  <c r="X194" i="5"/>
  <c r="X186" i="5"/>
  <c r="X178" i="5"/>
  <c r="X170" i="5"/>
  <c r="X162" i="5"/>
  <c r="X154" i="5"/>
  <c r="X146" i="5"/>
  <c r="X138" i="5"/>
  <c r="X130" i="5"/>
  <c r="X122" i="5"/>
  <c r="X110" i="5"/>
  <c r="X102" i="5"/>
  <c r="X94" i="5"/>
  <c r="X209" i="5"/>
  <c r="X201" i="5"/>
  <c r="X193" i="5"/>
  <c r="X185" i="5"/>
  <c r="X177" i="5"/>
  <c r="X169" i="5"/>
  <c r="X161" i="5"/>
  <c r="X153" i="5"/>
  <c r="X145" i="5"/>
  <c r="X137" i="5"/>
  <c r="X129" i="5"/>
  <c r="X121" i="5"/>
  <c r="X109" i="5"/>
  <c r="X101" i="5"/>
  <c r="W15" i="5"/>
  <c r="V16" i="5"/>
  <c r="U17" i="5"/>
  <c r="Z20" i="5"/>
  <c r="Y21" i="5"/>
  <c r="X22" i="5"/>
  <c r="W23" i="5"/>
  <c r="V24" i="5"/>
  <c r="U25" i="5"/>
  <c r="Z28" i="5"/>
  <c r="Y29" i="5"/>
  <c r="X30" i="5"/>
  <c r="W31" i="5"/>
  <c r="V32" i="5"/>
  <c r="U33" i="5"/>
  <c r="Z36" i="5"/>
  <c r="Y37" i="5"/>
  <c r="X38" i="5"/>
  <c r="W39" i="5"/>
  <c r="V40" i="5"/>
  <c r="U41" i="5"/>
  <c r="Z44" i="5"/>
  <c r="Y45" i="5"/>
  <c r="X46" i="5"/>
  <c r="W47" i="5"/>
  <c r="V48" i="5"/>
  <c r="U49" i="5"/>
  <c r="Z52" i="5"/>
  <c r="Y53" i="5"/>
  <c r="X54" i="5"/>
  <c r="W55" i="5"/>
  <c r="V56" i="5"/>
  <c r="U57" i="5"/>
  <c r="Z60" i="5"/>
  <c r="Y61" i="5"/>
  <c r="X62" i="5"/>
  <c r="W63" i="5"/>
  <c r="V64" i="5"/>
  <c r="U65" i="5"/>
  <c r="Z68" i="5"/>
  <c r="Y69" i="5"/>
  <c r="X70" i="5"/>
  <c r="W71" i="5"/>
  <c r="V72" i="5"/>
  <c r="U73" i="5"/>
  <c r="Z76" i="5"/>
  <c r="Y77" i="5"/>
  <c r="X78" i="5"/>
  <c r="W79" i="5"/>
  <c r="V80" i="5"/>
  <c r="U81" i="5"/>
  <c r="Z84" i="5"/>
  <c r="Y85" i="5"/>
  <c r="X86" i="5"/>
  <c r="V88" i="5"/>
  <c r="U89" i="5"/>
  <c r="W209" i="5"/>
  <c r="W201" i="5"/>
  <c r="W193" i="5"/>
  <c r="W185" i="5"/>
  <c r="W177" i="5"/>
  <c r="W169" i="5"/>
  <c r="W161" i="5"/>
  <c r="W153" i="5"/>
  <c r="W145" i="5"/>
  <c r="W137" i="5"/>
  <c r="W129" i="5"/>
  <c r="W121" i="5"/>
  <c r="W109" i="5"/>
  <c r="W101" i="5"/>
  <c r="W208" i="5"/>
  <c r="W200" i="5"/>
  <c r="W192" i="5"/>
  <c r="W184" i="5"/>
  <c r="W176" i="5"/>
  <c r="W168" i="5"/>
  <c r="W160" i="5"/>
  <c r="W152" i="5"/>
  <c r="W144" i="5"/>
  <c r="W136" i="5"/>
  <c r="W128" i="5"/>
  <c r="W120" i="5"/>
  <c r="W108" i="5"/>
  <c r="W100" i="5"/>
  <c r="W207" i="5"/>
  <c r="W199" i="5"/>
  <c r="W191" i="5"/>
  <c r="W183" i="5"/>
  <c r="W175" i="5"/>
  <c r="W167" i="5"/>
  <c r="W159" i="5"/>
  <c r="W151" i="5"/>
  <c r="W143" i="5"/>
  <c r="W135" i="5"/>
  <c r="W127" i="5"/>
  <c r="W119" i="5"/>
  <c r="W107" i="5"/>
  <c r="W99" i="5"/>
  <c r="W206" i="5"/>
  <c r="W198" i="5"/>
  <c r="W190" i="5"/>
  <c r="W182" i="5"/>
  <c r="W174" i="5"/>
  <c r="W166" i="5"/>
  <c r="W158" i="5"/>
  <c r="W150" i="5"/>
  <c r="W142" i="5"/>
  <c r="W134" i="5"/>
  <c r="W126" i="5"/>
  <c r="W118" i="5"/>
  <c r="W106" i="5"/>
  <c r="W98" i="5"/>
  <c r="W205" i="5"/>
  <c r="W197" i="5"/>
  <c r="W189" i="5"/>
  <c r="W181" i="5"/>
  <c r="W173" i="5"/>
  <c r="W165" i="5"/>
  <c r="W157" i="5"/>
  <c r="W149" i="5"/>
  <c r="W141" i="5"/>
  <c r="W133" i="5"/>
  <c r="W125" i="5"/>
  <c r="W117" i="5"/>
  <c r="W105" i="5"/>
  <c r="W97" i="5"/>
  <c r="W204" i="5"/>
  <c r="W196" i="5"/>
  <c r="W188" i="5"/>
  <c r="W180" i="5"/>
  <c r="W172" i="5"/>
  <c r="W164" i="5"/>
  <c r="W156" i="5"/>
  <c r="W148" i="5"/>
  <c r="W140" i="5"/>
  <c r="W132" i="5"/>
  <c r="W124" i="5"/>
  <c r="W116" i="5"/>
  <c r="W104" i="5"/>
  <c r="W96" i="5"/>
  <c r="W203" i="5"/>
  <c r="W195" i="5"/>
  <c r="W187" i="5"/>
  <c r="W179" i="5"/>
  <c r="W171" i="5"/>
  <c r="W163" i="5"/>
  <c r="W155" i="5"/>
  <c r="W147" i="5"/>
  <c r="W139" i="5"/>
  <c r="W131" i="5"/>
  <c r="W123" i="5"/>
  <c r="W115" i="5"/>
  <c r="W103" i="5"/>
  <c r="W95" i="5"/>
  <c r="W210" i="5"/>
  <c r="W202" i="5"/>
  <c r="W194" i="5"/>
  <c r="W186" i="5"/>
  <c r="W178" i="5"/>
  <c r="W170" i="5"/>
  <c r="W162" i="5"/>
  <c r="W154" i="5"/>
  <c r="W146" i="5"/>
  <c r="W138" i="5"/>
  <c r="W130" i="5"/>
  <c r="W122" i="5"/>
  <c r="W110" i="5"/>
  <c r="W102" i="5"/>
  <c r="W94" i="5"/>
  <c r="X15" i="5"/>
  <c r="W16" i="5"/>
  <c r="V17" i="5"/>
  <c r="U18" i="5"/>
  <c r="Z21" i="5"/>
  <c r="Y22" i="5"/>
  <c r="X23" i="5"/>
  <c r="W24" i="5"/>
  <c r="V25" i="5"/>
  <c r="U26" i="5"/>
  <c r="K293" i="5"/>
  <c r="S293" i="5"/>
  <c r="Z29" i="5"/>
  <c r="Y30" i="5"/>
  <c r="X31" i="5"/>
  <c r="W32" i="5"/>
  <c r="V33" i="5"/>
  <c r="M299" i="5"/>
  <c r="U34" i="5"/>
  <c r="Z37" i="5"/>
  <c r="Y38" i="5"/>
  <c r="X39" i="5"/>
  <c r="W40" i="5"/>
  <c r="V41" i="5"/>
  <c r="U42" i="5"/>
  <c r="Z45" i="5"/>
  <c r="Y46" i="5"/>
  <c r="X47" i="5"/>
  <c r="W48" i="5"/>
  <c r="V49" i="5"/>
  <c r="U50" i="5"/>
  <c r="Z53" i="5"/>
  <c r="Y54" i="5"/>
  <c r="X55" i="5"/>
  <c r="W56" i="5"/>
  <c r="V57" i="5"/>
  <c r="U58" i="5"/>
  <c r="Z61" i="5"/>
  <c r="Y62" i="5"/>
  <c r="X63" i="5"/>
  <c r="W64" i="5"/>
  <c r="V65" i="5"/>
  <c r="U66" i="5"/>
  <c r="Z69" i="5"/>
  <c r="Y70" i="5"/>
  <c r="X71" i="5"/>
  <c r="W72" i="5"/>
  <c r="V73" i="5"/>
  <c r="U74" i="5"/>
  <c r="Z77" i="5"/>
  <c r="Y78" i="5"/>
  <c r="X79" i="5"/>
  <c r="W80" i="5"/>
  <c r="V81" i="5"/>
  <c r="U82" i="5"/>
  <c r="Z85" i="5"/>
  <c r="Y86" i="5"/>
  <c r="X87" i="5"/>
  <c r="W88" i="5"/>
  <c r="U90" i="5"/>
  <c r="V210" i="5"/>
  <c r="V202" i="5"/>
  <c r="V194" i="5"/>
  <c r="V186" i="5"/>
  <c r="V178" i="5"/>
  <c r="V170" i="5"/>
  <c r="V162" i="5"/>
  <c r="V154" i="5"/>
  <c r="V146" i="5"/>
  <c r="V138" i="5"/>
  <c r="V130" i="5"/>
  <c r="V122" i="5"/>
  <c r="V110" i="5"/>
  <c r="V102" i="5"/>
  <c r="V94" i="5"/>
  <c r="V209" i="5"/>
  <c r="V201" i="5"/>
  <c r="V193" i="5"/>
  <c r="V185" i="5"/>
  <c r="V177" i="5"/>
  <c r="V169" i="5"/>
  <c r="V161" i="5"/>
  <c r="V153" i="5"/>
  <c r="V145" i="5"/>
  <c r="V137" i="5"/>
  <c r="V129" i="5"/>
  <c r="V121" i="5"/>
  <c r="V109" i="5"/>
  <c r="V101" i="5"/>
  <c r="V208" i="5"/>
  <c r="V200" i="5"/>
  <c r="V192" i="5"/>
  <c r="V184" i="5"/>
  <c r="V176" i="5"/>
  <c r="V168" i="5"/>
  <c r="V160" i="5"/>
  <c r="V152" i="5"/>
  <c r="V144" i="5"/>
  <c r="V136" i="5"/>
  <c r="V128" i="5"/>
  <c r="V120" i="5"/>
  <c r="V108" i="5"/>
  <c r="V100" i="5"/>
  <c r="V207" i="5"/>
  <c r="V199" i="5"/>
  <c r="V191" i="5"/>
  <c r="V183" i="5"/>
  <c r="V175" i="5"/>
  <c r="V167" i="5"/>
  <c r="V159" i="5"/>
  <c r="V151" i="5"/>
  <c r="V143" i="5"/>
  <c r="V135" i="5"/>
  <c r="V127" i="5"/>
  <c r="V119" i="5"/>
  <c r="V107" i="5"/>
  <c r="V99" i="5"/>
  <c r="V206" i="5"/>
  <c r="V198" i="5"/>
  <c r="V190" i="5"/>
  <c r="V182" i="5"/>
  <c r="V174" i="5"/>
  <c r="V166" i="5"/>
  <c r="V158" i="5"/>
  <c r="V150" i="5"/>
  <c r="V142" i="5"/>
  <c r="V134" i="5"/>
  <c r="V126" i="5"/>
  <c r="V118" i="5"/>
  <c r="V106" i="5"/>
  <c r="V98" i="5"/>
  <c r="V205" i="5"/>
  <c r="V197" i="5"/>
  <c r="V189" i="5"/>
  <c r="V181" i="5"/>
  <c r="V173" i="5"/>
  <c r="V165" i="5"/>
  <c r="V157" i="5"/>
  <c r="V149" i="5"/>
  <c r="V141" i="5"/>
  <c r="V133" i="5"/>
  <c r="V125" i="5"/>
  <c r="V117" i="5"/>
  <c r="V105" i="5"/>
  <c r="V97" i="5"/>
  <c r="V204" i="5"/>
  <c r="V196" i="5"/>
  <c r="V188" i="5"/>
  <c r="V180" i="5"/>
  <c r="V172" i="5"/>
  <c r="V164" i="5"/>
  <c r="V156" i="5"/>
  <c r="V148" i="5"/>
  <c r="V140" i="5"/>
  <c r="V132" i="5"/>
  <c r="V124" i="5"/>
  <c r="V116" i="5"/>
  <c r="V104" i="5"/>
  <c r="V96" i="5"/>
  <c r="V203" i="5"/>
  <c r="V195" i="5"/>
  <c r="V187" i="5"/>
  <c r="V179" i="5"/>
  <c r="V171" i="5"/>
  <c r="V163" i="5"/>
  <c r="V155" i="5"/>
  <c r="V147" i="5"/>
  <c r="V139" i="5"/>
  <c r="V131" i="5"/>
  <c r="V123" i="5"/>
  <c r="V115" i="5"/>
  <c r="V103" i="5"/>
  <c r="V95" i="5"/>
  <c r="Y15" i="5"/>
  <c r="X16" i="5"/>
  <c r="W17" i="5"/>
  <c r="V18" i="5"/>
  <c r="U19" i="5"/>
  <c r="Z22" i="5"/>
  <c r="Y23" i="5"/>
  <c r="X24" i="5"/>
  <c r="W25" i="5"/>
  <c r="V26" i="5"/>
  <c r="U27" i="5"/>
  <c r="Z30" i="5"/>
  <c r="Y31" i="5"/>
  <c r="X32" i="5"/>
  <c r="W33" i="5"/>
  <c r="V34" i="5"/>
  <c r="U35" i="5"/>
  <c r="Z38" i="5"/>
  <c r="Y39" i="5"/>
  <c r="X40" i="5"/>
  <c r="W41" i="5"/>
  <c r="V42" i="5"/>
  <c r="U43" i="5"/>
  <c r="Z46" i="5"/>
  <c r="Y47" i="5"/>
  <c r="X48" i="5"/>
  <c r="W49" i="5"/>
  <c r="V50" i="5"/>
  <c r="U51" i="5"/>
  <c r="Z54" i="5"/>
  <c r="Y55" i="5"/>
  <c r="X56" i="5"/>
  <c r="W57" i="5"/>
  <c r="V58" i="5"/>
  <c r="U59" i="5"/>
  <c r="Z62" i="5"/>
  <c r="Y63" i="5"/>
  <c r="X64" i="5"/>
  <c r="W65" i="5"/>
  <c r="V66" i="5"/>
  <c r="U67" i="5"/>
  <c r="Z70" i="5"/>
  <c r="Y71" i="5"/>
  <c r="X72" i="5"/>
  <c r="W73" i="5"/>
  <c r="V74" i="5"/>
  <c r="U75" i="5"/>
  <c r="Z78" i="5"/>
  <c r="Y79" i="5"/>
  <c r="X80" i="5"/>
  <c r="W81" i="5"/>
  <c r="V82" i="5"/>
  <c r="U83" i="5"/>
  <c r="Z86" i="5"/>
  <c r="Y87" i="5"/>
  <c r="X88" i="5"/>
  <c r="W89" i="5"/>
  <c r="V90" i="5"/>
  <c r="U91" i="5"/>
  <c r="Z23" i="5"/>
  <c r="Y24" i="5"/>
  <c r="X25" i="5"/>
  <c r="W26" i="5"/>
  <c r="V27" i="5"/>
  <c r="U28" i="5"/>
  <c r="Z31" i="5"/>
  <c r="Y32" i="5"/>
  <c r="X33" i="5"/>
  <c r="W34" i="5"/>
  <c r="V35" i="5"/>
  <c r="U36" i="5"/>
  <c r="Z39" i="5"/>
  <c r="Y40" i="5"/>
  <c r="X41" i="5"/>
  <c r="W42" i="5"/>
  <c r="V43" i="5"/>
  <c r="U44" i="5"/>
  <c r="Z47" i="5"/>
  <c r="Y48" i="5"/>
  <c r="X49" i="5"/>
  <c r="W50" i="5"/>
  <c r="V51" i="5"/>
  <c r="U52" i="5"/>
  <c r="Z55" i="5"/>
  <c r="Y56" i="5"/>
  <c r="X57" i="5"/>
  <c r="W58" i="5"/>
  <c r="V59" i="5"/>
  <c r="U60" i="5"/>
  <c r="Z63" i="5"/>
  <c r="Y64" i="5"/>
  <c r="X65" i="5"/>
  <c r="W66" i="5"/>
  <c r="V67" i="5"/>
  <c r="U68" i="5"/>
  <c r="Z71" i="5"/>
  <c r="Y72" i="5"/>
  <c r="X73" i="5"/>
  <c r="W74" i="5"/>
  <c r="V75" i="5"/>
  <c r="U76" i="5"/>
  <c r="Z79" i="5"/>
  <c r="Y80" i="5"/>
  <c r="X81" i="5"/>
  <c r="W82" i="5"/>
  <c r="V83" i="5"/>
  <c r="U84" i="5"/>
  <c r="Z87" i="5"/>
  <c r="Y88" i="5"/>
  <c r="X89" i="5"/>
  <c r="W90" i="5"/>
  <c r="V91" i="5"/>
  <c r="V92" i="5"/>
  <c r="V93" i="5"/>
  <c r="J281" i="5"/>
  <c r="R281" i="5"/>
  <c r="Z16" i="5"/>
  <c r="Y17" i="5"/>
  <c r="X18" i="5"/>
  <c r="W19" i="5"/>
  <c r="V20" i="5"/>
  <c r="U21" i="5"/>
  <c r="Z24" i="5"/>
  <c r="Y25" i="5"/>
  <c r="X26" i="5"/>
  <c r="W27" i="5"/>
  <c r="V28" i="5"/>
  <c r="U29" i="5"/>
  <c r="Z32" i="5"/>
  <c r="Y33" i="5"/>
  <c r="X34" i="5"/>
  <c r="W35" i="5"/>
  <c r="V36" i="5"/>
  <c r="U37" i="5"/>
  <c r="Z40" i="5"/>
  <c r="Y41" i="5"/>
  <c r="X42" i="5"/>
  <c r="W43" i="5"/>
  <c r="V44" i="5"/>
  <c r="U45" i="5"/>
  <c r="Z48" i="5"/>
  <c r="Y49" i="5"/>
  <c r="X50" i="5"/>
  <c r="W51" i="5"/>
  <c r="V52" i="5"/>
  <c r="U53" i="5"/>
  <c r="Z56" i="5"/>
  <c r="Y57" i="5"/>
  <c r="X58" i="5"/>
  <c r="W59" i="5"/>
  <c r="V60" i="5"/>
  <c r="U61" i="5"/>
  <c r="Z64" i="5"/>
  <c r="Y65" i="5"/>
  <c r="X66" i="5"/>
  <c r="W67" i="5"/>
  <c r="V68" i="5"/>
  <c r="U69" i="5"/>
  <c r="Z72" i="5"/>
  <c r="Y73" i="5"/>
  <c r="X74" i="5"/>
  <c r="W75" i="5"/>
  <c r="V76" i="5"/>
  <c r="U77" i="5"/>
  <c r="Z80" i="5"/>
  <c r="Y81" i="5"/>
  <c r="X82" i="5"/>
  <c r="W83" i="5"/>
  <c r="V84" i="5"/>
  <c r="Z88" i="5"/>
  <c r="Y89" i="5"/>
  <c r="X90" i="5"/>
  <c r="W91" i="5"/>
  <c r="W92" i="5"/>
  <c r="W93" i="5"/>
  <c r="U203" i="5"/>
  <c r="U195" i="5"/>
  <c r="U187" i="5"/>
  <c r="U179" i="5"/>
  <c r="U171" i="5"/>
  <c r="U163" i="5"/>
  <c r="U155" i="5"/>
  <c r="U147" i="5"/>
  <c r="U139" i="5"/>
  <c r="U131" i="5"/>
  <c r="U123" i="5"/>
  <c r="U115" i="5"/>
  <c r="U103" i="5"/>
  <c r="U95" i="5"/>
  <c r="U210" i="5"/>
  <c r="U202" i="5"/>
  <c r="U194" i="5"/>
  <c r="U186" i="5"/>
  <c r="U178" i="5"/>
  <c r="U170" i="5"/>
  <c r="U162" i="5"/>
  <c r="U154" i="5"/>
  <c r="U146" i="5"/>
  <c r="U138" i="5"/>
  <c r="U130" i="5"/>
  <c r="U122" i="5"/>
  <c r="U110" i="5"/>
  <c r="U102" i="5"/>
  <c r="U94" i="5"/>
  <c r="U209" i="5"/>
  <c r="U201" i="5"/>
  <c r="U193" i="5"/>
  <c r="U185" i="5"/>
  <c r="U177" i="5"/>
  <c r="U169" i="5"/>
  <c r="U161" i="5"/>
  <c r="U153" i="5"/>
  <c r="U145" i="5"/>
  <c r="U137" i="5"/>
  <c r="U129" i="5"/>
  <c r="U318" i="5" s="1"/>
  <c r="U121" i="5"/>
  <c r="U109" i="5"/>
  <c r="U101" i="5"/>
  <c r="U93" i="5"/>
  <c r="U208" i="5"/>
  <c r="U200" i="5"/>
  <c r="U192" i="5"/>
  <c r="U184" i="5"/>
  <c r="U176" i="5"/>
  <c r="U168" i="5"/>
  <c r="U160" i="5"/>
  <c r="U152" i="5"/>
  <c r="U144" i="5"/>
  <c r="U136" i="5"/>
  <c r="U128" i="5"/>
  <c r="U120" i="5"/>
  <c r="U108" i="5"/>
  <c r="U100" i="5"/>
  <c r="U92" i="5"/>
  <c r="U207" i="5"/>
  <c r="U199" i="5"/>
  <c r="U191" i="5"/>
  <c r="U183" i="5"/>
  <c r="U175" i="5"/>
  <c r="U167" i="5"/>
  <c r="U159" i="5"/>
  <c r="U151" i="5"/>
  <c r="U143" i="5"/>
  <c r="U135" i="5"/>
  <c r="U127" i="5"/>
  <c r="U119" i="5"/>
  <c r="U107" i="5"/>
  <c r="U99" i="5"/>
  <c r="U206" i="5"/>
  <c r="U198" i="5"/>
  <c r="U190" i="5"/>
  <c r="U182" i="5"/>
  <c r="U174" i="5"/>
  <c r="U166" i="5"/>
  <c r="U158" i="5"/>
  <c r="U150" i="5"/>
  <c r="U142" i="5"/>
  <c r="U134" i="5"/>
  <c r="U126" i="5"/>
  <c r="U118" i="5"/>
  <c r="U106" i="5"/>
  <c r="U98" i="5"/>
  <c r="U205" i="5"/>
  <c r="U197" i="5"/>
  <c r="U189" i="5"/>
  <c r="U181" i="5"/>
  <c r="U173" i="5"/>
  <c r="U165" i="5"/>
  <c r="U157" i="5"/>
  <c r="U149" i="5"/>
  <c r="U141" i="5"/>
  <c r="U133" i="5"/>
  <c r="U125" i="5"/>
  <c r="U117" i="5"/>
  <c r="U105" i="5"/>
  <c r="U97" i="5"/>
  <c r="U204" i="5"/>
  <c r="U196" i="5"/>
  <c r="U188" i="5"/>
  <c r="U180" i="5"/>
  <c r="U172" i="5"/>
  <c r="U164" i="5"/>
  <c r="U156" i="5"/>
  <c r="U148" i="5"/>
  <c r="U140" i="5"/>
  <c r="U132" i="5"/>
  <c r="U124" i="5"/>
  <c r="U313" i="5" s="1"/>
  <c r="U116" i="5"/>
  <c r="U104" i="5"/>
  <c r="U96" i="5"/>
  <c r="Z17" i="5"/>
  <c r="I283" i="5"/>
  <c r="Q283" i="5"/>
  <c r="Y18" i="5"/>
  <c r="X19" i="5"/>
  <c r="X284" i="5" s="1"/>
  <c r="W20" i="5"/>
  <c r="F286" i="5"/>
  <c r="V21" i="5"/>
  <c r="U22" i="5"/>
  <c r="T288" i="5"/>
  <c r="Z25" i="5"/>
  <c r="Q291" i="5"/>
  <c r="Y26" i="5"/>
  <c r="X27" i="5"/>
  <c r="W28" i="5"/>
  <c r="V29" i="5"/>
  <c r="U30" i="5"/>
  <c r="Z33" i="5"/>
  <c r="Y34" i="5"/>
  <c r="X35" i="5"/>
  <c r="W36" i="5"/>
  <c r="V37" i="5"/>
  <c r="U38" i="5"/>
  <c r="Z41" i="5"/>
  <c r="Y42" i="5"/>
  <c r="X43" i="5"/>
  <c r="W44" i="5"/>
  <c r="V45" i="5"/>
  <c r="U46" i="5"/>
  <c r="Z49" i="5"/>
  <c r="Y50" i="5"/>
  <c r="X51" i="5"/>
  <c r="W52" i="5"/>
  <c r="V53" i="5"/>
  <c r="U54" i="5"/>
  <c r="Z57" i="5"/>
  <c r="Y58" i="5"/>
  <c r="X59" i="5"/>
  <c r="W60" i="5"/>
  <c r="V61" i="5"/>
  <c r="U62" i="5"/>
  <c r="Z65" i="5"/>
  <c r="Y66" i="5"/>
  <c r="X67" i="5"/>
  <c r="W68" i="5"/>
  <c r="V69" i="5"/>
  <c r="U70" i="5"/>
  <c r="Z73" i="5"/>
  <c r="Y74" i="5"/>
  <c r="X75" i="5"/>
  <c r="W76" i="5"/>
  <c r="V77" i="5"/>
  <c r="U78" i="5"/>
  <c r="Z81" i="5"/>
  <c r="Y82" i="5"/>
  <c r="X83" i="5"/>
  <c r="W84" i="5"/>
  <c r="V85" i="5"/>
  <c r="U86" i="5"/>
  <c r="Y90" i="5"/>
  <c r="X91" i="5"/>
  <c r="X92" i="5"/>
  <c r="X93" i="5"/>
  <c r="Z206" i="5"/>
  <c r="Z198" i="5"/>
  <c r="Z190" i="5"/>
  <c r="Z182" i="5"/>
  <c r="Z174" i="5"/>
  <c r="Z166" i="5"/>
  <c r="Z158" i="5"/>
  <c r="Z150" i="5"/>
  <c r="Z142" i="5"/>
  <c r="Z134" i="5"/>
  <c r="Z126" i="5"/>
  <c r="Z118" i="5"/>
  <c r="Z106" i="5"/>
  <c r="Z98" i="5"/>
  <c r="Z205" i="5"/>
  <c r="Z197" i="5"/>
  <c r="Z189" i="5"/>
  <c r="Z181" i="5"/>
  <c r="Z173" i="5"/>
  <c r="Z165" i="5"/>
  <c r="Z157" i="5"/>
  <c r="Z149" i="5"/>
  <c r="Z141" i="5"/>
  <c r="Z133" i="5"/>
  <c r="Z125" i="5"/>
  <c r="Z117" i="5"/>
  <c r="Z105" i="5"/>
  <c r="Z97" i="5"/>
  <c r="Z204" i="5"/>
  <c r="Z196" i="5"/>
  <c r="Z188" i="5"/>
  <c r="Z180" i="5"/>
  <c r="Z172" i="5"/>
  <c r="Z164" i="5"/>
  <c r="Z156" i="5"/>
  <c r="Z148" i="5"/>
  <c r="Z140" i="5"/>
  <c r="Z132" i="5"/>
  <c r="Z124" i="5"/>
  <c r="Z116" i="5"/>
  <c r="Z104" i="5"/>
  <c r="Z96" i="5"/>
  <c r="Z203" i="5"/>
  <c r="Z195" i="5"/>
  <c r="Z187" i="5"/>
  <c r="Z179" i="5"/>
  <c r="Z171" i="5"/>
  <c r="Z163" i="5"/>
  <c r="Z155" i="5"/>
  <c r="Z147" i="5"/>
  <c r="Z139" i="5"/>
  <c r="Z131" i="5"/>
  <c r="Z123" i="5"/>
  <c r="Z115" i="5"/>
  <c r="Z103" i="5"/>
  <c r="Z95" i="5"/>
  <c r="Z210" i="5"/>
  <c r="Z202" i="5"/>
  <c r="Z194" i="5"/>
  <c r="Z186" i="5"/>
  <c r="Z178" i="5"/>
  <c r="Z170" i="5"/>
  <c r="Z162" i="5"/>
  <c r="Z154" i="5"/>
  <c r="Z146" i="5"/>
  <c r="Z138" i="5"/>
  <c r="Z130" i="5"/>
  <c r="Z122" i="5"/>
  <c r="Z110" i="5"/>
  <c r="Z102" i="5"/>
  <c r="Z94" i="5"/>
  <c r="Z209" i="5"/>
  <c r="Z201" i="5"/>
  <c r="Z193" i="5"/>
  <c r="Z185" i="5"/>
  <c r="Z177" i="5"/>
  <c r="Z169" i="5"/>
  <c r="Z161" i="5"/>
  <c r="Z153" i="5"/>
  <c r="Z145" i="5"/>
  <c r="Z137" i="5"/>
  <c r="Z129" i="5"/>
  <c r="Z121" i="5"/>
  <c r="Z109" i="5"/>
  <c r="Z101" i="5"/>
  <c r="Z208" i="5"/>
  <c r="Z200" i="5"/>
  <c r="Z192" i="5"/>
  <c r="Z184" i="5"/>
  <c r="Z176" i="5"/>
  <c r="Z168" i="5"/>
  <c r="Z160" i="5"/>
  <c r="Z152" i="5"/>
  <c r="Z144" i="5"/>
  <c r="Z136" i="5"/>
  <c r="Z128" i="5"/>
  <c r="Z120" i="5"/>
  <c r="Z108" i="5"/>
  <c r="Z100" i="5"/>
  <c r="Z207" i="5"/>
  <c r="Z199" i="5"/>
  <c r="Z191" i="5"/>
  <c r="Z183" i="5"/>
  <c r="Z175" i="5"/>
  <c r="Z167" i="5"/>
  <c r="Z159" i="5"/>
  <c r="Z151" i="5"/>
  <c r="Z143" i="5"/>
  <c r="Z135" i="5"/>
  <c r="Z127" i="5"/>
  <c r="Z316" i="5" s="1"/>
  <c r="Z119" i="5"/>
  <c r="Z107" i="5"/>
  <c r="Z99" i="5"/>
  <c r="U15" i="5"/>
  <c r="Z18" i="5"/>
  <c r="Y19" i="5"/>
  <c r="X20" i="5"/>
  <c r="W21" i="5"/>
  <c r="V22" i="5"/>
  <c r="U23" i="5"/>
  <c r="Z26" i="5"/>
  <c r="Y27" i="5"/>
  <c r="X28" i="5"/>
  <c r="W29" i="5"/>
  <c r="V30" i="5"/>
  <c r="U31" i="5"/>
  <c r="V296" i="5" s="1"/>
  <c r="Z34" i="5"/>
  <c r="Y35" i="5"/>
  <c r="X36" i="5"/>
  <c r="W37" i="5"/>
  <c r="V38" i="5"/>
  <c r="U39" i="5"/>
  <c r="Z42" i="5"/>
  <c r="Y43" i="5"/>
  <c r="X44" i="5"/>
  <c r="W45" i="5"/>
  <c r="V46" i="5"/>
  <c r="U47" i="5"/>
  <c r="Z50" i="5"/>
  <c r="Y51" i="5"/>
  <c r="X52" i="5"/>
  <c r="W53" i="5"/>
  <c r="V54" i="5"/>
  <c r="U55" i="5"/>
  <c r="Z58" i="5"/>
  <c r="Y59" i="5"/>
  <c r="X60" i="5"/>
  <c r="W61" i="5"/>
  <c r="V62" i="5"/>
  <c r="U63" i="5"/>
  <c r="U248" i="5" s="1"/>
  <c r="Z66" i="5"/>
  <c r="Y67" i="5"/>
  <c r="X68" i="5"/>
  <c r="W69" i="5"/>
  <c r="V70" i="5"/>
  <c r="U71" i="5"/>
  <c r="Z74" i="5"/>
  <c r="Y75" i="5"/>
  <c r="X76" i="5"/>
  <c r="W77" i="5"/>
  <c r="V78" i="5"/>
  <c r="U79" i="5"/>
  <c r="Z82" i="5"/>
  <c r="Y83" i="5"/>
  <c r="X84" i="5"/>
  <c r="W85" i="5"/>
  <c r="V86" i="5"/>
  <c r="U87" i="5"/>
  <c r="Z90" i="5"/>
  <c r="Y91" i="5"/>
  <c r="Y92" i="5"/>
  <c r="Y93" i="5"/>
  <c r="AJ9" i="4"/>
  <c r="AK9" i="4"/>
  <c r="AJ11" i="4"/>
  <c r="AK11" i="4"/>
  <c r="E46" i="9"/>
  <c r="E48" i="9"/>
  <c r="E50" i="9"/>
  <c r="E52" i="9"/>
  <c r="E54" i="9"/>
  <c r="E56" i="9"/>
  <c r="E47" i="9"/>
  <c r="E49" i="9"/>
  <c r="E51" i="9"/>
  <c r="E53" i="9"/>
  <c r="E55" i="9"/>
  <c r="F47" i="9"/>
  <c r="F49" i="9"/>
  <c r="F51" i="9"/>
  <c r="F53" i="9"/>
  <c r="F55" i="9"/>
  <c r="F46" i="9"/>
  <c r="F48" i="9"/>
  <c r="F50" i="9"/>
  <c r="F52" i="9"/>
  <c r="F54" i="9"/>
  <c r="F56" i="9"/>
  <c r="G47" i="9"/>
  <c r="G49" i="9"/>
  <c r="G51" i="9"/>
  <c r="G53" i="9"/>
  <c r="G55" i="9"/>
  <c r="G46" i="9"/>
  <c r="G48" i="9"/>
  <c r="G50" i="9"/>
  <c r="G52" i="9"/>
  <c r="G54" i="9"/>
  <c r="G56" i="9"/>
  <c r="C54" i="9"/>
  <c r="C46" i="9"/>
  <c r="C53" i="9"/>
  <c r="C52" i="9"/>
  <c r="C51" i="9"/>
  <c r="C50" i="9"/>
  <c r="C49" i="9"/>
  <c r="C48" i="9"/>
  <c r="C55" i="9"/>
  <c r="C47" i="9"/>
  <c r="C56" i="9"/>
  <c r="D49" i="9"/>
  <c r="D46" i="9"/>
  <c r="D48" i="9"/>
  <c r="D50" i="9"/>
  <c r="D52" i="9"/>
  <c r="D54" i="9"/>
  <c r="D56" i="9"/>
  <c r="D53" i="9"/>
  <c r="D51" i="9"/>
  <c r="D47" i="9"/>
  <c r="D55" i="9"/>
  <c r="Q176" i="17"/>
  <c r="W176" i="17"/>
  <c r="X176" i="17"/>
  <c r="L382" i="17"/>
  <c r="M382" i="17" s="1"/>
  <c r="N382" i="17" s="1"/>
  <c r="O382" i="17" s="1"/>
  <c r="P382" i="17" s="1"/>
  <c r="Q332" i="17"/>
  <c r="Y176" i="17"/>
  <c r="V176" i="17"/>
  <c r="T176" i="17"/>
  <c r="S176" i="17"/>
  <c r="R176" i="17"/>
  <c r="U176" i="17"/>
  <c r="E39" i="9"/>
  <c r="E35" i="9" s="1"/>
  <c r="E36" i="9" s="1"/>
  <c r="F39" i="9"/>
  <c r="F35" i="9" s="1"/>
  <c r="F36" i="9" s="1"/>
  <c r="G39" i="9"/>
  <c r="G35" i="9" s="1"/>
  <c r="G36" i="9" s="1"/>
  <c r="D39" i="9"/>
  <c r="D35" i="9" s="1"/>
  <c r="C39" i="9"/>
  <c r="C35" i="9" s="1"/>
  <c r="I7" i="17"/>
  <c r="I8" i="17" s="1"/>
  <c r="H7" i="17"/>
  <c r="H8" i="17" s="1"/>
  <c r="G7" i="17"/>
  <c r="G8" i="17" s="1"/>
  <c r="F7" i="17"/>
  <c r="F8" i="17" s="1"/>
  <c r="D7" i="17"/>
  <c r="D8" i="17" s="1"/>
  <c r="J7" i="17"/>
  <c r="J8" i="17" s="1"/>
  <c r="E7" i="17"/>
  <c r="E8" i="17" s="1"/>
  <c r="K7" i="16"/>
  <c r="K8" i="16" s="1"/>
  <c r="L7" i="16"/>
  <c r="L8" i="16" s="1"/>
  <c r="M7" i="16"/>
  <c r="M8" i="16" s="1"/>
  <c r="N7" i="16"/>
  <c r="N8" i="16" s="1"/>
  <c r="O7" i="16"/>
  <c r="O8" i="16" s="1"/>
  <c r="D7" i="16"/>
  <c r="D8" i="16" s="1"/>
  <c r="E7" i="16"/>
  <c r="E8" i="16" s="1"/>
  <c r="F7" i="16"/>
  <c r="F8" i="16" s="1"/>
  <c r="G7" i="16"/>
  <c r="G8" i="16" s="1"/>
  <c r="H7" i="16"/>
  <c r="H8" i="16" s="1"/>
  <c r="I7" i="16"/>
  <c r="I8" i="16" s="1"/>
  <c r="J7" i="16"/>
  <c r="J8" i="16" s="1"/>
  <c r="L400" i="15"/>
  <c r="D351" i="15"/>
  <c r="N144" i="15"/>
  <c r="O144" i="15"/>
  <c r="J400" i="15"/>
  <c r="O400" i="15"/>
  <c r="E400" i="15"/>
  <c r="M400" i="15"/>
  <c r="F400" i="15"/>
  <c r="N400" i="15"/>
  <c r="O84" i="15"/>
  <c r="O91" i="15" s="1"/>
  <c r="O99" i="15" s="1"/>
  <c r="O101" i="15" s="1"/>
  <c r="I84" i="15"/>
  <c r="I91" i="15" s="1"/>
  <c r="I99" i="15" s="1"/>
  <c r="I101" i="15" s="1"/>
  <c r="J84" i="15"/>
  <c r="J91" i="15" s="1"/>
  <c r="J99" i="15" s="1"/>
  <c r="J101" i="15" s="1"/>
  <c r="D333" i="15"/>
  <c r="L31" i="15"/>
  <c r="G84" i="15"/>
  <c r="H144" i="15"/>
  <c r="D368" i="15"/>
  <c r="H400" i="15"/>
  <c r="H84" i="15"/>
  <c r="H103" i="15" s="1"/>
  <c r="H118" i="15" s="1"/>
  <c r="I144" i="15"/>
  <c r="N31" i="15"/>
  <c r="K400" i="15"/>
  <c r="J415" i="15"/>
  <c r="K30" i="15"/>
  <c r="K144" i="15"/>
  <c r="K415" i="15"/>
  <c r="G400" i="15"/>
  <c r="K84" i="15"/>
  <c r="K103" i="15" s="1"/>
  <c r="K118" i="15" s="1"/>
  <c r="D400" i="15"/>
  <c r="L415" i="15"/>
  <c r="D415" i="15"/>
  <c r="E30" i="15"/>
  <c r="M30" i="15"/>
  <c r="D84" i="15"/>
  <c r="D103" i="15" s="1"/>
  <c r="D118" i="15" s="1"/>
  <c r="L84" i="15"/>
  <c r="L91" i="15" s="1"/>
  <c r="L99" i="15" s="1"/>
  <c r="L101" i="15" s="1"/>
  <c r="M415" i="15"/>
  <c r="F415" i="15"/>
  <c r="H31" i="15"/>
  <c r="I30" i="15"/>
  <c r="D30" i="15"/>
  <c r="L30" i="15"/>
  <c r="O30" i="15"/>
  <c r="F31" i="15"/>
  <c r="G31" i="15"/>
  <c r="D31" i="15"/>
  <c r="O31" i="15"/>
  <c r="J31" i="15"/>
  <c r="J144" i="15"/>
  <c r="J30" i="15"/>
  <c r="F91" i="15"/>
  <c r="F99" i="15" s="1"/>
  <c r="F101" i="15" s="1"/>
  <c r="F103" i="15"/>
  <c r="F118" i="15" s="1"/>
  <c r="N91" i="15"/>
  <c r="N99" i="15" s="1"/>
  <c r="N101" i="15" s="1"/>
  <c r="N103" i="15"/>
  <c r="N118" i="15" s="1"/>
  <c r="E333" i="15"/>
  <c r="G91" i="15"/>
  <c r="G99" i="15" s="1"/>
  <c r="G101" i="15" s="1"/>
  <c r="G103" i="15"/>
  <c r="G118" i="15" s="1"/>
  <c r="F364" i="15"/>
  <c r="E368" i="15"/>
  <c r="F344" i="15"/>
  <c r="E351" i="15"/>
  <c r="E91" i="15"/>
  <c r="E99" i="15" s="1"/>
  <c r="E101" i="15" s="1"/>
  <c r="E103" i="15"/>
  <c r="E118" i="15" s="1"/>
  <c r="M91" i="15"/>
  <c r="M99" i="15" s="1"/>
  <c r="M101" i="15" s="1"/>
  <c r="M103" i="15"/>
  <c r="M118" i="15" s="1"/>
  <c r="M31" i="15"/>
  <c r="H30" i="15"/>
  <c r="I103" i="15"/>
  <c r="I118" i="15" s="1"/>
  <c r="J103" i="15"/>
  <c r="J118" i="15" s="1"/>
  <c r="E31" i="15"/>
  <c r="C28" i="10"/>
  <c r="C27" i="10"/>
  <c r="C25" i="10"/>
  <c r="L283" i="5"/>
  <c r="J289" i="5"/>
  <c r="P294" i="5"/>
  <c r="E297" i="5"/>
  <c r="C255" i="5"/>
  <c r="K255" i="5"/>
  <c r="S255" i="5"/>
  <c r="D305" i="5"/>
  <c r="L305" i="5"/>
  <c r="T305" i="5"/>
  <c r="C315" i="5"/>
  <c r="K315" i="5"/>
  <c r="S315" i="5"/>
  <c r="G316" i="5"/>
  <c r="O316" i="5"/>
  <c r="C317" i="5"/>
  <c r="K317" i="5"/>
  <c r="S317" i="5"/>
  <c r="G318" i="5"/>
  <c r="O318" i="5"/>
  <c r="C321" i="5"/>
  <c r="K321" i="5"/>
  <c r="S321" i="5"/>
  <c r="F235" i="5"/>
  <c r="D283" i="5"/>
  <c r="C287" i="5"/>
  <c r="O281" i="5"/>
  <c r="P286" i="5"/>
  <c r="C289" i="5"/>
  <c r="K291" i="5"/>
  <c r="E293" i="5"/>
  <c r="G299" i="5"/>
  <c r="Q6" i="5"/>
  <c r="D256" i="5"/>
  <c r="L256" i="5"/>
  <c r="T256" i="5"/>
  <c r="I306" i="5"/>
  <c r="Q306" i="5"/>
  <c r="E307" i="5"/>
  <c r="M307" i="5"/>
  <c r="I308" i="5"/>
  <c r="Q308" i="5"/>
  <c r="I310" i="5"/>
  <c r="Q310" i="5"/>
  <c r="E311" i="5"/>
  <c r="M311" i="5"/>
  <c r="I312" i="5"/>
  <c r="Q312" i="5"/>
  <c r="E313" i="5"/>
  <c r="M313" i="5"/>
  <c r="C323" i="5"/>
  <c r="K323" i="5"/>
  <c r="S323" i="5"/>
  <c r="K232" i="5"/>
  <c r="G235" i="5"/>
  <c r="C270" i="5"/>
  <c r="K270" i="5"/>
  <c r="S270" i="5"/>
  <c r="G271" i="5"/>
  <c r="O271" i="5"/>
  <c r="C272" i="5"/>
  <c r="K272" i="5"/>
  <c r="S272" i="5"/>
  <c r="G273" i="5"/>
  <c r="O273" i="5"/>
  <c r="C274" i="5"/>
  <c r="K274" i="5"/>
  <c r="S274" i="5"/>
  <c r="Q284" i="5"/>
  <c r="K287" i="5"/>
  <c r="H294" i="5"/>
  <c r="M283" i="5"/>
  <c r="R284" i="5"/>
  <c r="H286" i="5"/>
  <c r="P288" i="5"/>
  <c r="S289" i="5"/>
  <c r="S291" i="5"/>
  <c r="M293" i="5"/>
  <c r="F7" i="5"/>
  <c r="R282" i="5"/>
  <c r="E287" i="5"/>
  <c r="M287" i="5"/>
  <c r="D291" i="5"/>
  <c r="L291" i="5"/>
  <c r="T291" i="5"/>
  <c r="I292" i="5"/>
  <c r="Q292" i="5"/>
  <c r="F293" i="5"/>
  <c r="N293" i="5"/>
  <c r="J294" i="5"/>
  <c r="R294" i="5"/>
  <c r="J306" i="5"/>
  <c r="R306" i="5"/>
  <c r="F313" i="5"/>
  <c r="N313" i="5"/>
  <c r="E315" i="5"/>
  <c r="M315" i="5"/>
  <c r="I316" i="5"/>
  <c r="Q316" i="5"/>
  <c r="E317" i="5"/>
  <c r="M317" i="5"/>
  <c r="I318" i="5"/>
  <c r="Q318" i="5"/>
  <c r="E321" i="5"/>
  <c r="M321" i="5"/>
  <c r="H231" i="5"/>
  <c r="P231" i="5"/>
  <c r="L232" i="5"/>
  <c r="L268" i="5"/>
  <c r="L236" i="5"/>
  <c r="T236" i="5"/>
  <c r="D272" i="5"/>
  <c r="I284" i="5"/>
  <c r="R289" i="5"/>
  <c r="G281" i="5"/>
  <c r="E283" i="5"/>
  <c r="J284" i="5"/>
  <c r="H288" i="5"/>
  <c r="K289" i="5"/>
  <c r="C291" i="5"/>
  <c r="H292" i="5"/>
  <c r="P292" i="5"/>
  <c r="O299" i="5"/>
  <c r="I6" i="5"/>
  <c r="N7" i="5"/>
  <c r="J282" i="5"/>
  <c r="G4" i="5"/>
  <c r="G7" i="5"/>
  <c r="I281" i="5"/>
  <c r="Q281" i="5"/>
  <c r="G283" i="5"/>
  <c r="O283" i="5"/>
  <c r="D284" i="5"/>
  <c r="L284" i="5"/>
  <c r="T284" i="5"/>
  <c r="J286" i="5"/>
  <c r="R286" i="5"/>
  <c r="J288" i="5"/>
  <c r="R288" i="5"/>
  <c r="E289" i="5"/>
  <c r="M289" i="5"/>
  <c r="U289" i="5"/>
  <c r="E291" i="5"/>
  <c r="M291" i="5"/>
  <c r="J292" i="5"/>
  <c r="R292" i="5"/>
  <c r="G293" i="5"/>
  <c r="O293" i="5"/>
  <c r="G6" i="5"/>
  <c r="L6" i="5"/>
  <c r="I299" i="5"/>
  <c r="Q299" i="5"/>
  <c r="G305" i="5"/>
  <c r="O305" i="5"/>
  <c r="G307" i="5"/>
  <c r="O307" i="5"/>
  <c r="C308" i="5"/>
  <c r="K308" i="5"/>
  <c r="S308" i="5"/>
  <c r="F317" i="5"/>
  <c r="N317" i="5"/>
  <c r="F321" i="5"/>
  <c r="N321" i="5"/>
  <c r="E323" i="5"/>
  <c r="M323" i="5"/>
  <c r="I234" i="5"/>
  <c r="I271" i="5"/>
  <c r="Q271" i="5"/>
  <c r="E272" i="5"/>
  <c r="M272" i="5"/>
  <c r="I273" i="5"/>
  <c r="Q273" i="5"/>
  <c r="E274" i="5"/>
  <c r="M274" i="5"/>
  <c r="H282" i="5"/>
  <c r="S287" i="5"/>
  <c r="M297" i="5"/>
  <c r="R6" i="5"/>
  <c r="O4" i="5"/>
  <c r="O7" i="5"/>
  <c r="P7" i="5"/>
  <c r="H6" i="5"/>
  <c r="P6" i="5"/>
  <c r="J273" i="5"/>
  <c r="P282" i="5"/>
  <c r="I7" i="5"/>
  <c r="I305" i="5"/>
  <c r="Q305" i="5"/>
  <c r="E306" i="5"/>
  <c r="M306" i="5"/>
  <c r="E308" i="5"/>
  <c r="M308" i="5"/>
  <c r="E310" i="5"/>
  <c r="M310" i="5"/>
  <c r="I311" i="5"/>
  <c r="Q311" i="5"/>
  <c r="I313" i="5"/>
  <c r="Q313" i="5"/>
  <c r="H315" i="5"/>
  <c r="P315" i="5"/>
  <c r="D316" i="5"/>
  <c r="L316" i="5"/>
  <c r="T316" i="5"/>
  <c r="H317" i="5"/>
  <c r="P317" i="5"/>
  <c r="D318" i="5"/>
  <c r="L318" i="5"/>
  <c r="T318" i="5"/>
  <c r="H321" i="5"/>
  <c r="P321" i="5"/>
  <c r="O234" i="5"/>
  <c r="G236" i="5"/>
  <c r="C271" i="5"/>
  <c r="K271" i="5"/>
  <c r="S271" i="5"/>
  <c r="G272" i="5"/>
  <c r="O272" i="5"/>
  <c r="C273" i="5"/>
  <c r="K273" i="5"/>
  <c r="S273" i="5"/>
  <c r="G274" i="5"/>
  <c r="O274" i="5"/>
  <c r="T283" i="5"/>
  <c r="Q7" i="5"/>
  <c r="F282" i="5"/>
  <c r="N282" i="5"/>
  <c r="I287" i="5"/>
  <c r="Q287" i="5"/>
  <c r="E288" i="5"/>
  <c r="M288" i="5"/>
  <c r="X288" i="5"/>
  <c r="F294" i="5"/>
  <c r="N294" i="5"/>
  <c r="C297" i="5"/>
  <c r="K297" i="5"/>
  <c r="S297" i="5"/>
  <c r="H264" i="5"/>
  <c r="P264" i="5"/>
  <c r="H265" i="5"/>
  <c r="P232" i="5"/>
  <c r="D232" i="5"/>
  <c r="T232" i="5"/>
  <c r="D233" i="5"/>
  <c r="H268" i="5"/>
  <c r="P268" i="5"/>
  <c r="H236" i="5"/>
  <c r="D271" i="5"/>
  <c r="L271" i="5"/>
  <c r="H272" i="5"/>
  <c r="P272" i="5"/>
  <c r="D273" i="5"/>
  <c r="L273" i="5"/>
  <c r="T273" i="5"/>
  <c r="P273" i="5"/>
  <c r="H274" i="5"/>
  <c r="P274" i="5"/>
  <c r="F296" i="5"/>
  <c r="F215" i="5"/>
  <c r="D298" i="5"/>
  <c r="D300" i="5"/>
  <c r="D328" i="5"/>
  <c r="N301" i="5"/>
  <c r="N243" i="5"/>
  <c r="N216" i="5"/>
  <c r="M248" i="5"/>
  <c r="M221" i="5"/>
  <c r="V11" i="4"/>
  <c r="AD11" i="4"/>
  <c r="F4" i="5"/>
  <c r="N4" i="5"/>
  <c r="AB9" i="5"/>
  <c r="AC9" i="5" s="1"/>
  <c r="AD9" i="5" s="1"/>
  <c r="AE9" i="5" s="1"/>
  <c r="AF9" i="5" s="1"/>
  <c r="AG9" i="5" s="1"/>
  <c r="AH9" i="5" s="1"/>
  <c r="AI9" i="5" s="1"/>
  <c r="AJ9" i="5" s="1"/>
  <c r="G280" i="5"/>
  <c r="G239" i="5"/>
  <c r="G111" i="5"/>
  <c r="O280" i="5"/>
  <c r="O239" i="5"/>
  <c r="D281" i="5"/>
  <c r="L281" i="5"/>
  <c r="T281" i="5"/>
  <c r="I282" i="5"/>
  <c r="Q282" i="5"/>
  <c r="F283" i="5"/>
  <c r="N283" i="5"/>
  <c r="C284" i="5"/>
  <c r="K284" i="5"/>
  <c r="S284" i="5"/>
  <c r="H285" i="5"/>
  <c r="H240" i="5"/>
  <c r="P285" i="5"/>
  <c r="P240" i="5"/>
  <c r="E286" i="5"/>
  <c r="M286" i="5"/>
  <c r="U286" i="5"/>
  <c r="J287" i="5"/>
  <c r="R287" i="5"/>
  <c r="G288" i="5"/>
  <c r="O288" i="5"/>
  <c r="D289" i="5"/>
  <c r="L289" i="5"/>
  <c r="T289" i="5"/>
  <c r="I290" i="5"/>
  <c r="I241" i="5"/>
  <c r="Q290" i="5"/>
  <c r="Q241" i="5"/>
  <c r="Z290" i="5"/>
  <c r="F291" i="5"/>
  <c r="N291" i="5"/>
  <c r="C292" i="5"/>
  <c r="K292" i="5"/>
  <c r="S292" i="5"/>
  <c r="H293" i="5"/>
  <c r="G294" i="5"/>
  <c r="O294" i="5"/>
  <c r="F295" i="5"/>
  <c r="F242" i="5"/>
  <c r="N295" i="5"/>
  <c r="N242" i="5"/>
  <c r="E296" i="5"/>
  <c r="E215" i="5"/>
  <c r="M296" i="5"/>
  <c r="M215" i="5"/>
  <c r="C328" i="5"/>
  <c r="C300" i="5"/>
  <c r="C298" i="5"/>
  <c r="D299" i="5"/>
  <c r="L299" i="5"/>
  <c r="T299" i="5"/>
  <c r="D248" i="5"/>
  <c r="D221" i="5"/>
  <c r="L248" i="5"/>
  <c r="L221" i="5"/>
  <c r="T248" i="5"/>
  <c r="T221" i="5"/>
  <c r="O111" i="5"/>
  <c r="F211" i="5"/>
  <c r="N211" i="5"/>
  <c r="F264" i="5"/>
  <c r="F230" i="5"/>
  <c r="N264" i="5"/>
  <c r="N230" i="5"/>
  <c r="H239" i="5"/>
  <c r="H280" i="5"/>
  <c r="H111" i="5"/>
  <c r="Z293" i="5"/>
  <c r="O295" i="5"/>
  <c r="O242" i="5"/>
  <c r="H4" i="5"/>
  <c r="H5" i="5" s="1"/>
  <c r="P4" i="5"/>
  <c r="P5" i="5" s="1"/>
  <c r="H7" i="5"/>
  <c r="I239" i="5"/>
  <c r="I280" i="5"/>
  <c r="I111" i="5"/>
  <c r="Q280" i="5"/>
  <c r="Q239" i="5"/>
  <c r="Q111" i="5"/>
  <c r="F281" i="5"/>
  <c r="N281" i="5"/>
  <c r="V281" i="5"/>
  <c r="C282" i="5"/>
  <c r="K282" i="5"/>
  <c r="S282" i="5"/>
  <c r="H283" i="5"/>
  <c r="P283" i="5"/>
  <c r="E284" i="5"/>
  <c r="M284" i="5"/>
  <c r="U284" i="5"/>
  <c r="J285" i="5"/>
  <c r="J240" i="5"/>
  <c r="R285" i="5"/>
  <c r="R240" i="5"/>
  <c r="Z285" i="5"/>
  <c r="G286" i="5"/>
  <c r="O286" i="5"/>
  <c r="D287" i="5"/>
  <c r="L287" i="5"/>
  <c r="T287" i="5"/>
  <c r="I288" i="5"/>
  <c r="Q288" i="5"/>
  <c r="F289" i="5"/>
  <c r="N289" i="5"/>
  <c r="V289" i="5"/>
  <c r="C290" i="5"/>
  <c r="C241" i="5"/>
  <c r="K290" i="5"/>
  <c r="K241" i="5"/>
  <c r="S290" i="5"/>
  <c r="S241" i="5"/>
  <c r="H291" i="5"/>
  <c r="P291" i="5"/>
  <c r="E292" i="5"/>
  <c r="M292" i="5"/>
  <c r="U292" i="5"/>
  <c r="J293" i="5"/>
  <c r="R293" i="5"/>
  <c r="I294" i="5"/>
  <c r="Q294" i="5"/>
  <c r="Z294" i="5"/>
  <c r="H295" i="5"/>
  <c r="H242" i="5"/>
  <c r="P295" i="5"/>
  <c r="P242" i="5"/>
  <c r="F297" i="5"/>
  <c r="N297" i="5"/>
  <c r="E298" i="5"/>
  <c r="E328" i="5"/>
  <c r="E300" i="5"/>
  <c r="M298" i="5"/>
  <c r="M328" i="5"/>
  <c r="M300" i="5"/>
  <c r="G301" i="5"/>
  <c r="G243" i="5"/>
  <c r="G216" i="5"/>
  <c r="O301" i="5"/>
  <c r="O243" i="5"/>
  <c r="O216" i="5"/>
  <c r="H302" i="5"/>
  <c r="H244" i="5"/>
  <c r="H217" i="5"/>
  <c r="P302" i="5"/>
  <c r="P244" i="5"/>
  <c r="P217" i="5"/>
  <c r="C303" i="5"/>
  <c r="C247" i="5"/>
  <c r="C220" i="5"/>
  <c r="K303" i="5"/>
  <c r="K247" i="5"/>
  <c r="K220" i="5"/>
  <c r="S303" i="5"/>
  <c r="S247" i="5"/>
  <c r="S220" i="5"/>
  <c r="G251" i="5"/>
  <c r="G224" i="5"/>
  <c r="O251" i="5"/>
  <c r="O224" i="5"/>
  <c r="D325" i="5"/>
  <c r="D261" i="5"/>
  <c r="D227" i="5"/>
  <c r="L325" i="5"/>
  <c r="L261" i="5"/>
  <c r="L227" i="5"/>
  <c r="T325" i="5"/>
  <c r="T261" i="5"/>
  <c r="T227" i="5"/>
  <c r="J267" i="5"/>
  <c r="J233" i="5"/>
  <c r="R267" i="5"/>
  <c r="R233" i="5"/>
  <c r="R290" i="5"/>
  <c r="R241" i="5"/>
  <c r="N296" i="5"/>
  <c r="N215" i="5"/>
  <c r="T328" i="5"/>
  <c r="T298" i="5"/>
  <c r="T300" i="5"/>
  <c r="J303" i="5"/>
  <c r="J247" i="5"/>
  <c r="J220" i="5"/>
  <c r="AB12" i="4"/>
  <c r="I4" i="5"/>
  <c r="Q4" i="5"/>
  <c r="D6" i="5"/>
  <c r="T6" i="5"/>
  <c r="Y315" i="5"/>
  <c r="Y311" i="5"/>
  <c r="Y306" i="5"/>
  <c r="Y305" i="5"/>
  <c r="Y316" i="5"/>
  <c r="Y312" i="5"/>
  <c r="Y317" i="5"/>
  <c r="Y308" i="5"/>
  <c r="Y307" i="5"/>
  <c r="Z322" i="5"/>
  <c r="B111" i="5"/>
  <c r="J239" i="5"/>
  <c r="J280" i="5"/>
  <c r="J111" i="5"/>
  <c r="R280" i="5"/>
  <c r="R239" i="5"/>
  <c r="R111" i="5"/>
  <c r="Z280" i="5"/>
  <c r="W281" i="5"/>
  <c r="Y283" i="5"/>
  <c r="C285" i="5"/>
  <c r="C240" i="5"/>
  <c r="K285" i="5"/>
  <c r="K240" i="5"/>
  <c r="S285" i="5"/>
  <c r="S240" i="5"/>
  <c r="U287" i="5"/>
  <c r="Z288" i="5"/>
  <c r="D290" i="5"/>
  <c r="D241" i="5"/>
  <c r="L290" i="5"/>
  <c r="L241" i="5"/>
  <c r="T290" i="5"/>
  <c r="T241" i="5"/>
  <c r="I295" i="5"/>
  <c r="I242" i="5"/>
  <c r="Q295" i="5"/>
  <c r="Q242" i="5"/>
  <c r="H296" i="5"/>
  <c r="H215" i="5"/>
  <c r="P296" i="5"/>
  <c r="P215" i="5"/>
  <c r="G297" i="5"/>
  <c r="O297" i="5"/>
  <c r="F328" i="5"/>
  <c r="F300" i="5"/>
  <c r="F298" i="5"/>
  <c r="N328" i="5"/>
  <c r="N300" i="5"/>
  <c r="N298" i="5"/>
  <c r="V215" i="5"/>
  <c r="H301" i="5"/>
  <c r="H243" i="5"/>
  <c r="H216" i="5"/>
  <c r="P301" i="5"/>
  <c r="P243" i="5"/>
  <c r="P216" i="5"/>
  <c r="I302" i="5"/>
  <c r="I244" i="5"/>
  <c r="I217" i="5"/>
  <c r="Q302" i="5"/>
  <c r="Q244" i="5"/>
  <c r="Q217" i="5"/>
  <c r="I246" i="5"/>
  <c r="I219" i="5"/>
  <c r="Q246" i="5"/>
  <c r="Q219" i="5"/>
  <c r="D303" i="5"/>
  <c r="D247" i="5"/>
  <c r="D220" i="5"/>
  <c r="L303" i="5"/>
  <c r="L247" i="5"/>
  <c r="L220" i="5"/>
  <c r="T303" i="5"/>
  <c r="T247" i="5"/>
  <c r="T220" i="5"/>
  <c r="H251" i="5"/>
  <c r="H224" i="5"/>
  <c r="P251" i="5"/>
  <c r="P224" i="5"/>
  <c r="W315" i="5"/>
  <c r="W313" i="5"/>
  <c r="W318" i="5"/>
  <c r="W305" i="5"/>
  <c r="W316" i="5"/>
  <c r="W312" i="5"/>
  <c r="W307" i="5"/>
  <c r="Z282" i="5"/>
  <c r="Y285" i="5"/>
  <c r="L298" i="5"/>
  <c r="L328" i="5"/>
  <c r="L300" i="5"/>
  <c r="R303" i="5"/>
  <c r="R247" i="5"/>
  <c r="R220" i="5"/>
  <c r="E248" i="5"/>
  <c r="E221" i="5"/>
  <c r="AJ12" i="4"/>
  <c r="U12" i="4"/>
  <c r="AC12" i="4"/>
  <c r="B4" i="5"/>
  <c r="J4" i="5"/>
  <c r="R4" i="5"/>
  <c r="E6" i="5"/>
  <c r="M6" i="5"/>
  <c r="B7" i="5"/>
  <c r="J7" i="5"/>
  <c r="R7" i="5"/>
  <c r="Z317" i="5"/>
  <c r="Z313" i="5"/>
  <c r="Z311" i="5"/>
  <c r="Z305" i="5"/>
  <c r="Z308" i="5"/>
  <c r="Z306" i="5"/>
  <c r="C280" i="5"/>
  <c r="C239" i="5"/>
  <c r="C111" i="5"/>
  <c r="K280" i="5"/>
  <c r="K239" i="5"/>
  <c r="K111" i="5"/>
  <c r="S280" i="5"/>
  <c r="S239" i="5"/>
  <c r="S111" i="5"/>
  <c r="H281" i="5"/>
  <c r="P281" i="5"/>
  <c r="E282" i="5"/>
  <c r="M282" i="5"/>
  <c r="U282" i="5"/>
  <c r="J283" i="5"/>
  <c r="R283" i="5"/>
  <c r="Z283" i="5"/>
  <c r="G284" i="5"/>
  <c r="O284" i="5"/>
  <c r="W284" i="5"/>
  <c r="D285" i="5"/>
  <c r="D240" i="5"/>
  <c r="L285" i="5"/>
  <c r="L240" i="5"/>
  <c r="T285" i="5"/>
  <c r="T240" i="5"/>
  <c r="I286" i="5"/>
  <c r="Q286" i="5"/>
  <c r="Y286" i="5"/>
  <c r="F287" i="5"/>
  <c r="N287" i="5"/>
  <c r="C288" i="5"/>
  <c r="K288" i="5"/>
  <c r="S288" i="5"/>
  <c r="H289" i="5"/>
  <c r="P289" i="5"/>
  <c r="X289" i="5"/>
  <c r="E290" i="5"/>
  <c r="E241" i="5"/>
  <c r="M290" i="5"/>
  <c r="M241" i="5"/>
  <c r="J291" i="5"/>
  <c r="R291" i="5"/>
  <c r="G292" i="5"/>
  <c r="O292" i="5"/>
  <c r="W292" i="5"/>
  <c r="D293" i="5"/>
  <c r="L293" i="5"/>
  <c r="T293" i="5"/>
  <c r="C294" i="5"/>
  <c r="K294" i="5"/>
  <c r="S294" i="5"/>
  <c r="I296" i="5"/>
  <c r="I215" i="5"/>
  <c r="Q296" i="5"/>
  <c r="Q215" i="5"/>
  <c r="H297" i="5"/>
  <c r="P297" i="5"/>
  <c r="G328" i="5"/>
  <c r="G300" i="5"/>
  <c r="G298" i="5"/>
  <c r="O328" i="5"/>
  <c r="O300" i="5"/>
  <c r="O298" i="5"/>
  <c r="I301" i="5"/>
  <c r="I243" i="5"/>
  <c r="I216" i="5"/>
  <c r="Q301" i="5"/>
  <c r="Q243" i="5"/>
  <c r="Q216" i="5"/>
  <c r="J302" i="5"/>
  <c r="J244" i="5"/>
  <c r="J217" i="5"/>
  <c r="R302" i="5"/>
  <c r="R244" i="5"/>
  <c r="R217" i="5"/>
  <c r="J246" i="5"/>
  <c r="J219" i="5"/>
  <c r="R219" i="5"/>
  <c r="R246" i="5"/>
  <c r="I253" i="5"/>
  <c r="Q253" i="5"/>
  <c r="J263" i="5"/>
  <c r="J229" i="5"/>
  <c r="R263" i="5"/>
  <c r="R229" i="5"/>
  <c r="I285" i="5"/>
  <c r="I240" i="5"/>
  <c r="U297" i="5"/>
  <c r="F301" i="5"/>
  <c r="F243" i="5"/>
  <c r="F216" i="5"/>
  <c r="C7" i="4"/>
  <c r="K7" i="4"/>
  <c r="S7" i="4"/>
  <c r="AA7" i="4"/>
  <c r="AI7" i="4"/>
  <c r="C4" i="5"/>
  <c r="K4" i="5"/>
  <c r="S4" i="5"/>
  <c r="F6" i="5"/>
  <c r="N6" i="5"/>
  <c r="C7" i="5"/>
  <c r="K7" i="5"/>
  <c r="S7" i="5"/>
  <c r="D280" i="5"/>
  <c r="D239" i="5"/>
  <c r="D111" i="5"/>
  <c r="L280" i="5"/>
  <c r="L239" i="5"/>
  <c r="L111" i="5"/>
  <c r="T280" i="5"/>
  <c r="T239" i="5"/>
  <c r="T111" i="5"/>
  <c r="Z281" i="5"/>
  <c r="E285" i="5"/>
  <c r="E240" i="5"/>
  <c r="M285" i="5"/>
  <c r="M240" i="5"/>
  <c r="Y289" i="5"/>
  <c r="F290" i="5"/>
  <c r="F241" i="5"/>
  <c r="N290" i="5"/>
  <c r="N241" i="5"/>
  <c r="U293" i="5"/>
  <c r="C295" i="5"/>
  <c r="C242" i="5"/>
  <c r="K295" i="5"/>
  <c r="K242" i="5"/>
  <c r="S295" i="5"/>
  <c r="S242" i="5"/>
  <c r="J296" i="5"/>
  <c r="J215" i="5"/>
  <c r="R296" i="5"/>
  <c r="R215" i="5"/>
  <c r="H328" i="5"/>
  <c r="H300" i="5"/>
  <c r="H298" i="5"/>
  <c r="P328" i="5"/>
  <c r="P300" i="5"/>
  <c r="P298" i="5"/>
  <c r="J301" i="5"/>
  <c r="J243" i="5"/>
  <c r="J216" i="5"/>
  <c r="R301" i="5"/>
  <c r="R243" i="5"/>
  <c r="R216" i="5"/>
  <c r="C302" i="5"/>
  <c r="C217" i="5"/>
  <c r="C244" i="5"/>
  <c r="K302" i="5"/>
  <c r="K244" i="5"/>
  <c r="K217" i="5"/>
  <c r="S302" i="5"/>
  <c r="S217" i="5"/>
  <c r="S244" i="5"/>
  <c r="H218" i="5"/>
  <c r="H245" i="5"/>
  <c r="P245" i="5"/>
  <c r="P218" i="5"/>
  <c r="C246" i="5"/>
  <c r="C219" i="5"/>
  <c r="K246" i="5"/>
  <c r="K219" i="5"/>
  <c r="S246" i="5"/>
  <c r="S219" i="5"/>
  <c r="D249" i="5"/>
  <c r="D222" i="5"/>
  <c r="L249" i="5"/>
  <c r="L222" i="5"/>
  <c r="T249" i="5"/>
  <c r="T222" i="5"/>
  <c r="F309" i="5"/>
  <c r="F258" i="5"/>
  <c r="N309" i="5"/>
  <c r="N258" i="5"/>
  <c r="D320" i="5"/>
  <c r="D226" i="5"/>
  <c r="L320" i="5"/>
  <c r="L226" i="5"/>
  <c r="T320" i="5"/>
  <c r="T226" i="5"/>
  <c r="X280" i="5"/>
  <c r="U299" i="5"/>
  <c r="O302" i="5"/>
  <c r="O244" i="5"/>
  <c r="O217" i="5"/>
  <c r="T12" i="4"/>
  <c r="F9" i="4"/>
  <c r="N9" i="4"/>
  <c r="V9" i="4"/>
  <c r="AD9" i="4"/>
  <c r="D4" i="5"/>
  <c r="L4" i="5"/>
  <c r="L5" i="5" s="1"/>
  <c r="T4" i="5"/>
  <c r="O6" i="5"/>
  <c r="D7" i="5"/>
  <c r="L7" i="5"/>
  <c r="T7" i="5"/>
  <c r="E280" i="5"/>
  <c r="E239" i="5"/>
  <c r="E111" i="5"/>
  <c r="M280" i="5"/>
  <c r="M239" i="5"/>
  <c r="M111" i="5"/>
  <c r="V280" i="5"/>
  <c r="F285" i="5"/>
  <c r="F240" i="5"/>
  <c r="N285" i="5"/>
  <c r="N240" i="5"/>
  <c r="U288" i="5"/>
  <c r="G290" i="5"/>
  <c r="G241" i="5"/>
  <c r="O290" i="5"/>
  <c r="O241" i="5"/>
  <c r="D295" i="5"/>
  <c r="D242" i="5"/>
  <c r="L295" i="5"/>
  <c r="L242" i="5"/>
  <c r="B7" i="6"/>
  <c r="T295" i="5"/>
  <c r="T242" i="5"/>
  <c r="C296" i="5"/>
  <c r="C215" i="5"/>
  <c r="K296" i="5"/>
  <c r="K215" i="5"/>
  <c r="S296" i="5"/>
  <c r="S215" i="5"/>
  <c r="I218" i="5"/>
  <c r="I245" i="5"/>
  <c r="Q245" i="5"/>
  <c r="Q218" i="5"/>
  <c r="E249" i="5"/>
  <c r="E222" i="5"/>
  <c r="M249" i="5"/>
  <c r="M222" i="5"/>
  <c r="F250" i="5"/>
  <c r="F223" i="5"/>
  <c r="N250" i="5"/>
  <c r="N223" i="5"/>
  <c r="H237" i="5"/>
  <c r="H225" i="5"/>
  <c r="H252" i="5"/>
  <c r="P225" i="5"/>
  <c r="P252" i="5"/>
  <c r="P237" i="5"/>
  <c r="J254" i="5"/>
  <c r="R254" i="5"/>
  <c r="W308" i="5"/>
  <c r="F326" i="5"/>
  <c r="F262" i="5"/>
  <c r="F228" i="5"/>
  <c r="N326" i="5"/>
  <c r="N262" i="5"/>
  <c r="N228" i="5"/>
  <c r="P280" i="5"/>
  <c r="P239" i="5"/>
  <c r="P111" i="5"/>
  <c r="W283" i="5"/>
  <c r="Q285" i="5"/>
  <c r="Q240" i="5"/>
  <c r="J290" i="5"/>
  <c r="J241" i="5"/>
  <c r="G295" i="5"/>
  <c r="G242" i="5"/>
  <c r="G302" i="5"/>
  <c r="G244" i="5"/>
  <c r="G217" i="5"/>
  <c r="Z254" i="5"/>
  <c r="E4" i="5"/>
  <c r="M4" i="5"/>
  <c r="E7" i="5"/>
  <c r="M7" i="5"/>
  <c r="U273" i="5"/>
  <c r="U310" i="5"/>
  <c r="U307" i="5"/>
  <c r="U294" i="5"/>
  <c r="U315" i="5"/>
  <c r="U311" i="5"/>
  <c r="U306" i="5"/>
  <c r="U255" i="5"/>
  <c r="U316" i="5"/>
  <c r="U312" i="5"/>
  <c r="U305" i="5"/>
  <c r="U317" i="5"/>
  <c r="U308" i="5"/>
  <c r="F280" i="5"/>
  <c r="F239" i="5"/>
  <c r="N280" i="5"/>
  <c r="N239" i="5"/>
  <c r="N111" i="5"/>
  <c r="U283" i="5"/>
  <c r="Z284" i="5"/>
  <c r="G285" i="5"/>
  <c r="G240" i="5"/>
  <c r="O285" i="5"/>
  <c r="O240" i="5"/>
  <c r="Y287" i="5"/>
  <c r="V288" i="5"/>
  <c r="H290" i="5"/>
  <c r="H241" i="5"/>
  <c r="P290" i="5"/>
  <c r="P241" i="5"/>
  <c r="U291" i="5"/>
  <c r="Z292" i="5"/>
  <c r="W293" i="5"/>
  <c r="W294" i="5"/>
  <c r="E295" i="5"/>
  <c r="E242" i="5"/>
  <c r="M242" i="5"/>
  <c r="M295" i="5"/>
  <c r="D296" i="5"/>
  <c r="D215" i="5"/>
  <c r="L296" i="5"/>
  <c r="L215" i="5"/>
  <c r="T296" i="5"/>
  <c r="T215" i="5"/>
  <c r="J328" i="5"/>
  <c r="J298" i="5"/>
  <c r="J300" i="5"/>
  <c r="R328" i="5"/>
  <c r="R298" i="5"/>
  <c r="R300" i="5"/>
  <c r="D301" i="5"/>
  <c r="D243" i="5"/>
  <c r="D216" i="5"/>
  <c r="L301" i="5"/>
  <c r="L216" i="5"/>
  <c r="L243" i="5"/>
  <c r="T301" i="5"/>
  <c r="T243" i="5"/>
  <c r="T216" i="5"/>
  <c r="J245" i="5"/>
  <c r="J218" i="5"/>
  <c r="R245" i="5"/>
  <c r="R218" i="5"/>
  <c r="C248" i="5"/>
  <c r="C221" i="5"/>
  <c r="K248" i="5"/>
  <c r="K221" i="5"/>
  <c r="S248" i="5"/>
  <c r="S221" i="5"/>
  <c r="F222" i="5"/>
  <c r="F249" i="5"/>
  <c r="N222" i="5"/>
  <c r="N249" i="5"/>
  <c r="G250" i="5"/>
  <c r="G223" i="5"/>
  <c r="O250" i="5"/>
  <c r="O223" i="5"/>
  <c r="I252" i="5"/>
  <c r="I237" i="5"/>
  <c r="I225" i="5"/>
  <c r="Q252" i="5"/>
  <c r="Q237" i="5"/>
  <c r="Q225" i="5"/>
  <c r="F111" i="5"/>
  <c r="E250" i="5"/>
  <c r="E223" i="5"/>
  <c r="M250" i="5"/>
  <c r="M223" i="5"/>
  <c r="F224" i="5"/>
  <c r="F251" i="5"/>
  <c r="N251" i="5"/>
  <c r="N224" i="5"/>
  <c r="G252" i="5"/>
  <c r="G237" i="5"/>
  <c r="G225" i="5"/>
  <c r="O252" i="5"/>
  <c r="O225" i="5"/>
  <c r="O237" i="5"/>
  <c r="H253" i="5"/>
  <c r="P253" i="5"/>
  <c r="I254" i="5"/>
  <c r="Q254" i="5"/>
  <c r="J255" i="5"/>
  <c r="R255" i="5"/>
  <c r="C256" i="5"/>
  <c r="K256" i="5"/>
  <c r="S256" i="5"/>
  <c r="E304" i="5"/>
  <c r="E257" i="5"/>
  <c r="E211" i="5"/>
  <c r="M304" i="5"/>
  <c r="M257" i="5"/>
  <c r="M211" i="5"/>
  <c r="E309" i="5"/>
  <c r="E258" i="5"/>
  <c r="M309" i="5"/>
  <c r="M258" i="5"/>
  <c r="G314" i="5"/>
  <c r="G259" i="5"/>
  <c r="O314" i="5"/>
  <c r="O259" i="5"/>
  <c r="I319" i="5"/>
  <c r="I260" i="5"/>
  <c r="Q319" i="5"/>
  <c r="Q260" i="5"/>
  <c r="G322" i="5"/>
  <c r="G324" i="5"/>
  <c r="O322" i="5"/>
  <c r="O324" i="5"/>
  <c r="E326" i="5"/>
  <c r="E262" i="5"/>
  <c r="E228" i="5"/>
  <c r="M326" i="5"/>
  <c r="M262" i="5"/>
  <c r="M228" i="5"/>
  <c r="I263" i="5"/>
  <c r="I229" i="5"/>
  <c r="Q263" i="5"/>
  <c r="Q229" i="5"/>
  <c r="E264" i="5"/>
  <c r="E230" i="5"/>
  <c r="M264" i="5"/>
  <c r="M230" i="5"/>
  <c r="I266" i="5"/>
  <c r="I232" i="5"/>
  <c r="Q266" i="5"/>
  <c r="Q232" i="5"/>
  <c r="I267" i="5"/>
  <c r="I233" i="5"/>
  <c r="Q267" i="5"/>
  <c r="Q233" i="5"/>
  <c r="E235" i="5"/>
  <c r="J253" i="5"/>
  <c r="R253" i="5"/>
  <c r="C254" i="5"/>
  <c r="K254" i="5"/>
  <c r="S254" i="5"/>
  <c r="D255" i="5"/>
  <c r="L255" i="5"/>
  <c r="T255" i="5"/>
  <c r="E256" i="5"/>
  <c r="M256" i="5"/>
  <c r="G304" i="5"/>
  <c r="G257" i="5"/>
  <c r="G211" i="5"/>
  <c r="O304" i="5"/>
  <c r="O257" i="5"/>
  <c r="O211" i="5"/>
  <c r="E305" i="5"/>
  <c r="M305" i="5"/>
  <c r="C306" i="5"/>
  <c r="K306" i="5"/>
  <c r="S306" i="5"/>
  <c r="I307" i="5"/>
  <c r="Q307" i="5"/>
  <c r="G309" i="5"/>
  <c r="G258" i="5"/>
  <c r="E312" i="5"/>
  <c r="M312" i="5"/>
  <c r="I314" i="5"/>
  <c r="I259" i="5"/>
  <c r="Q314" i="5"/>
  <c r="Q259" i="5"/>
  <c r="E316" i="5"/>
  <c r="M316" i="5"/>
  <c r="C319" i="5"/>
  <c r="C260" i="5"/>
  <c r="K319" i="5"/>
  <c r="K260" i="5"/>
  <c r="S319" i="5"/>
  <c r="S260" i="5"/>
  <c r="E320" i="5"/>
  <c r="E226" i="5"/>
  <c r="M320" i="5"/>
  <c r="M226" i="5"/>
  <c r="I324" i="5"/>
  <c r="I322" i="5"/>
  <c r="Q324" i="5"/>
  <c r="Q322" i="5"/>
  <c r="E325" i="5"/>
  <c r="E261" i="5"/>
  <c r="E227" i="5"/>
  <c r="M325" i="5"/>
  <c r="M261" i="5"/>
  <c r="M227" i="5"/>
  <c r="K229" i="5"/>
  <c r="E327" i="5"/>
  <c r="E265" i="5"/>
  <c r="E231" i="5"/>
  <c r="M327" i="5"/>
  <c r="M265" i="5"/>
  <c r="M231" i="5"/>
  <c r="C233" i="5"/>
  <c r="K268" i="5"/>
  <c r="C245" i="5"/>
  <c r="C218" i="5"/>
  <c r="K245" i="5"/>
  <c r="K218" i="5"/>
  <c r="S245" i="5"/>
  <c r="S218" i="5"/>
  <c r="D246" i="5"/>
  <c r="D219" i="5"/>
  <c r="L246" i="5"/>
  <c r="L219" i="5"/>
  <c r="T246" i="5"/>
  <c r="T219" i="5"/>
  <c r="E303" i="5"/>
  <c r="E247" i="5"/>
  <c r="E220" i="5"/>
  <c r="M303" i="5"/>
  <c r="M247" i="5"/>
  <c r="M220" i="5"/>
  <c r="F248" i="5"/>
  <c r="F221" i="5"/>
  <c r="N248" i="5"/>
  <c r="N221" i="5"/>
  <c r="G249" i="5"/>
  <c r="G222" i="5"/>
  <c r="O249" i="5"/>
  <c r="O222" i="5"/>
  <c r="H250" i="5"/>
  <c r="H223" i="5"/>
  <c r="P250" i="5"/>
  <c r="P223" i="5"/>
  <c r="I251" i="5"/>
  <c r="I224" i="5"/>
  <c r="Q251" i="5"/>
  <c r="Q224" i="5"/>
  <c r="J252" i="5"/>
  <c r="J237" i="5"/>
  <c r="J225" i="5"/>
  <c r="R252" i="5"/>
  <c r="R237" i="5"/>
  <c r="R225" i="5"/>
  <c r="C253" i="5"/>
  <c r="K253" i="5"/>
  <c r="S253" i="5"/>
  <c r="D254" i="5"/>
  <c r="L254" i="5"/>
  <c r="T254" i="5"/>
  <c r="E255" i="5"/>
  <c r="M255" i="5"/>
  <c r="F256" i="5"/>
  <c r="N256" i="5"/>
  <c r="H304" i="5"/>
  <c r="H257" i="5"/>
  <c r="H211" i="5"/>
  <c r="P304" i="5"/>
  <c r="P257" i="5"/>
  <c r="P211" i="5"/>
  <c r="F305" i="5"/>
  <c r="N305" i="5"/>
  <c r="D306" i="5"/>
  <c r="L306" i="5"/>
  <c r="T306" i="5"/>
  <c r="H309" i="5"/>
  <c r="H258" i="5"/>
  <c r="P309" i="5"/>
  <c r="P258" i="5"/>
  <c r="J310" i="5"/>
  <c r="R310" i="5"/>
  <c r="J314" i="5"/>
  <c r="J259" i="5"/>
  <c r="R314" i="5"/>
  <c r="R259" i="5"/>
  <c r="J318" i="5"/>
  <c r="R318" i="5"/>
  <c r="T260" i="5"/>
  <c r="J324" i="5"/>
  <c r="J322" i="5"/>
  <c r="R324" i="5"/>
  <c r="R322" i="5"/>
  <c r="F227" i="5"/>
  <c r="N227" i="5"/>
  <c r="H326" i="5"/>
  <c r="H228" i="5"/>
  <c r="H262" i="5"/>
  <c r="P326" i="5"/>
  <c r="P262" i="5"/>
  <c r="P228" i="5"/>
  <c r="D263" i="5"/>
  <c r="D229" i="5"/>
  <c r="L263" i="5"/>
  <c r="L229" i="5"/>
  <c r="T263" i="5"/>
  <c r="T229" i="5"/>
  <c r="N231" i="5"/>
  <c r="D245" i="5"/>
  <c r="D218" i="5"/>
  <c r="L218" i="5"/>
  <c r="L245" i="5"/>
  <c r="T218" i="5"/>
  <c r="T245" i="5"/>
  <c r="E246" i="5"/>
  <c r="E219" i="5"/>
  <c r="M246" i="5"/>
  <c r="M219" i="5"/>
  <c r="F303" i="5"/>
  <c r="F247" i="5"/>
  <c r="F220" i="5"/>
  <c r="N303" i="5"/>
  <c r="N247" i="5"/>
  <c r="N220" i="5"/>
  <c r="G248" i="5"/>
  <c r="G221" i="5"/>
  <c r="O248" i="5"/>
  <c r="O221" i="5"/>
  <c r="H249" i="5"/>
  <c r="H222" i="5"/>
  <c r="P249" i="5"/>
  <c r="P222" i="5"/>
  <c r="I250" i="5"/>
  <c r="I223" i="5"/>
  <c r="Q250" i="5"/>
  <c r="Q223" i="5"/>
  <c r="J224" i="5"/>
  <c r="J251" i="5"/>
  <c r="R224" i="5"/>
  <c r="R251" i="5"/>
  <c r="C252" i="5"/>
  <c r="C237" i="5"/>
  <c r="C225" i="5"/>
  <c r="K252" i="5"/>
  <c r="K237" i="5"/>
  <c r="K225" i="5"/>
  <c r="S252" i="5"/>
  <c r="S237" i="5"/>
  <c r="S225" i="5"/>
  <c r="D253" i="5"/>
  <c r="L253" i="5"/>
  <c r="T253" i="5"/>
  <c r="E254" i="5"/>
  <c r="M254" i="5"/>
  <c r="F255" i="5"/>
  <c r="N255" i="5"/>
  <c r="G256" i="5"/>
  <c r="O256" i="5"/>
  <c r="I304" i="5"/>
  <c r="I211" i="5"/>
  <c r="I257" i="5"/>
  <c r="Q304" i="5"/>
  <c r="Q257" i="5"/>
  <c r="Q211" i="5"/>
  <c r="I309" i="5"/>
  <c r="I258" i="5"/>
  <c r="Q309" i="5"/>
  <c r="Q258" i="5"/>
  <c r="I317" i="5"/>
  <c r="Q317" i="5"/>
  <c r="E319" i="5"/>
  <c r="E260" i="5"/>
  <c r="M319" i="5"/>
  <c r="M260" i="5"/>
  <c r="G320" i="5"/>
  <c r="G226" i="5"/>
  <c r="O320" i="5"/>
  <c r="O226" i="5"/>
  <c r="I321" i="5"/>
  <c r="Q321" i="5"/>
  <c r="G325" i="5"/>
  <c r="G261" i="5"/>
  <c r="G227" i="5"/>
  <c r="O325" i="5"/>
  <c r="O261" i="5"/>
  <c r="O227" i="5"/>
  <c r="I326" i="5"/>
  <c r="I262" i="5"/>
  <c r="I228" i="5"/>
  <c r="Q326" i="5"/>
  <c r="Q262" i="5"/>
  <c r="Q228" i="5"/>
  <c r="E263" i="5"/>
  <c r="E229" i="5"/>
  <c r="M229" i="5"/>
  <c r="M263" i="5"/>
  <c r="I264" i="5"/>
  <c r="I230" i="5"/>
  <c r="Q264" i="5"/>
  <c r="Q230" i="5"/>
  <c r="G231" i="5"/>
  <c r="O231" i="5"/>
  <c r="E266" i="5"/>
  <c r="E232" i="5"/>
  <c r="M266" i="5"/>
  <c r="M232" i="5"/>
  <c r="E268" i="5"/>
  <c r="E234" i="5"/>
  <c r="M268" i="5"/>
  <c r="M234" i="5"/>
  <c r="I269" i="5"/>
  <c r="I235" i="5"/>
  <c r="Q269" i="5"/>
  <c r="Q235" i="5"/>
  <c r="P293" i="5"/>
  <c r="E294" i="5"/>
  <c r="M294" i="5"/>
  <c r="J295" i="5"/>
  <c r="J242" i="5"/>
  <c r="R295" i="5"/>
  <c r="R242" i="5"/>
  <c r="G296" i="5"/>
  <c r="G215" i="5"/>
  <c r="O296" i="5"/>
  <c r="O215" i="5"/>
  <c r="D297" i="5"/>
  <c r="L297" i="5"/>
  <c r="T297" i="5"/>
  <c r="I328" i="5"/>
  <c r="I300" i="5"/>
  <c r="I298" i="5"/>
  <c r="Q328" i="5"/>
  <c r="Q300" i="5"/>
  <c r="Q298" i="5"/>
  <c r="F299" i="5"/>
  <c r="N299" i="5"/>
  <c r="C301" i="5"/>
  <c r="C243" i="5"/>
  <c r="C216" i="5"/>
  <c r="K301" i="5"/>
  <c r="K243" i="5"/>
  <c r="K216" i="5"/>
  <c r="S301" i="5"/>
  <c r="S243" i="5"/>
  <c r="S216" i="5"/>
  <c r="D302" i="5"/>
  <c r="D217" i="5"/>
  <c r="D244" i="5"/>
  <c r="L302" i="5"/>
  <c r="L244" i="5"/>
  <c r="L217" i="5"/>
  <c r="T302" i="5"/>
  <c r="T244" i="5"/>
  <c r="T217" i="5"/>
  <c r="E245" i="5"/>
  <c r="E218" i="5"/>
  <c r="M245" i="5"/>
  <c r="M218" i="5"/>
  <c r="F246" i="5"/>
  <c r="F219" i="5"/>
  <c r="N219" i="5"/>
  <c r="N246" i="5"/>
  <c r="G303" i="5"/>
  <c r="G247" i="5"/>
  <c r="G220" i="5"/>
  <c r="O303" i="5"/>
  <c r="O247" i="5"/>
  <c r="O220" i="5"/>
  <c r="H221" i="5"/>
  <c r="H248" i="5"/>
  <c r="P221" i="5"/>
  <c r="P248" i="5"/>
  <c r="I222" i="5"/>
  <c r="I249" i="5"/>
  <c r="Q249" i="5"/>
  <c r="Q222" i="5"/>
  <c r="J250" i="5"/>
  <c r="J223" i="5"/>
  <c r="R250" i="5"/>
  <c r="R223" i="5"/>
  <c r="C251" i="5"/>
  <c r="C224" i="5"/>
  <c r="K251" i="5"/>
  <c r="K224" i="5"/>
  <c r="S251" i="5"/>
  <c r="S224" i="5"/>
  <c r="D237" i="5"/>
  <c r="D252" i="5"/>
  <c r="D225" i="5"/>
  <c r="L252" i="5"/>
  <c r="L237" i="5"/>
  <c r="L225" i="5"/>
  <c r="T252" i="5"/>
  <c r="T237" i="5"/>
  <c r="T225" i="5"/>
  <c r="E253" i="5"/>
  <c r="M253" i="5"/>
  <c r="F254" i="5"/>
  <c r="N254" i="5"/>
  <c r="G255" i="5"/>
  <c r="O255" i="5"/>
  <c r="H256" i="5"/>
  <c r="P256" i="5"/>
  <c r="B211" i="5"/>
  <c r="J304" i="5"/>
  <c r="J257" i="5"/>
  <c r="J211" i="5"/>
  <c r="R304" i="5"/>
  <c r="R257" i="5"/>
  <c r="R211" i="5"/>
  <c r="H305" i="5"/>
  <c r="P305" i="5"/>
  <c r="D307" i="5"/>
  <c r="L307" i="5"/>
  <c r="T307" i="5"/>
  <c r="J308" i="5"/>
  <c r="R308" i="5"/>
  <c r="F311" i="5"/>
  <c r="N311" i="5"/>
  <c r="D314" i="5"/>
  <c r="D259" i="5"/>
  <c r="L314" i="5"/>
  <c r="L259" i="5"/>
  <c r="T314" i="5"/>
  <c r="T259" i="5"/>
  <c r="F315" i="5"/>
  <c r="N315" i="5"/>
  <c r="F319" i="5"/>
  <c r="F260" i="5"/>
  <c r="N319" i="5"/>
  <c r="N260" i="5"/>
  <c r="H226" i="5"/>
  <c r="P226" i="5"/>
  <c r="D322" i="5"/>
  <c r="D324" i="5"/>
  <c r="L322" i="5"/>
  <c r="L324" i="5"/>
  <c r="T324" i="5"/>
  <c r="T322" i="5"/>
  <c r="F323" i="5"/>
  <c r="N323" i="5"/>
  <c r="H227" i="5"/>
  <c r="P227" i="5"/>
  <c r="J230" i="5"/>
  <c r="F231" i="5"/>
  <c r="F266" i="5"/>
  <c r="F232" i="5"/>
  <c r="N266" i="5"/>
  <c r="N232" i="5"/>
  <c r="F268" i="5"/>
  <c r="F234" i="5"/>
  <c r="N268" i="5"/>
  <c r="N234" i="5"/>
  <c r="N271" i="5"/>
  <c r="E302" i="5"/>
  <c r="E244" i="5"/>
  <c r="E217" i="5"/>
  <c r="M302" i="5"/>
  <c r="M244" i="5"/>
  <c r="M217" i="5"/>
  <c r="F245" i="5"/>
  <c r="F218" i="5"/>
  <c r="N245" i="5"/>
  <c r="N218" i="5"/>
  <c r="G246" i="5"/>
  <c r="G219" i="5"/>
  <c r="O246" i="5"/>
  <c r="O219" i="5"/>
  <c r="H303" i="5"/>
  <c r="H220" i="5"/>
  <c r="H247" i="5"/>
  <c r="P303" i="5"/>
  <c r="P220" i="5"/>
  <c r="P247" i="5"/>
  <c r="I248" i="5"/>
  <c r="I221" i="5"/>
  <c r="Q248" i="5"/>
  <c r="Q221" i="5"/>
  <c r="J222" i="5"/>
  <c r="J249" i="5"/>
  <c r="R249" i="5"/>
  <c r="R222" i="5"/>
  <c r="C250" i="5"/>
  <c r="C223" i="5"/>
  <c r="K250" i="5"/>
  <c r="K223" i="5"/>
  <c r="S250" i="5"/>
  <c r="S223" i="5"/>
  <c r="D251" i="5"/>
  <c r="D224" i="5"/>
  <c r="L251" i="5"/>
  <c r="L224" i="5"/>
  <c r="T251" i="5"/>
  <c r="T224" i="5"/>
  <c r="E252" i="5"/>
  <c r="E237" i="5"/>
  <c r="E225" i="5"/>
  <c r="M237" i="5"/>
  <c r="M252" i="5"/>
  <c r="M225" i="5"/>
  <c r="F253" i="5"/>
  <c r="N253" i="5"/>
  <c r="G254" i="5"/>
  <c r="O254" i="5"/>
  <c r="H255" i="5"/>
  <c r="P255" i="5"/>
  <c r="I256" i="5"/>
  <c r="Q256" i="5"/>
  <c r="C304" i="5"/>
  <c r="C257" i="5"/>
  <c r="C211" i="5"/>
  <c r="K304" i="5"/>
  <c r="K257" i="5"/>
  <c r="K211" i="5"/>
  <c r="S304" i="5"/>
  <c r="S257" i="5"/>
  <c r="S211" i="5"/>
  <c r="C309" i="5"/>
  <c r="C258" i="5"/>
  <c r="K309" i="5"/>
  <c r="K258" i="5"/>
  <c r="S309" i="5"/>
  <c r="S258" i="5"/>
  <c r="E314" i="5"/>
  <c r="E259" i="5"/>
  <c r="M314" i="5"/>
  <c r="M259" i="5"/>
  <c r="I320" i="5"/>
  <c r="I226" i="5"/>
  <c r="Q320" i="5"/>
  <c r="Q226" i="5"/>
  <c r="E322" i="5"/>
  <c r="E324" i="5"/>
  <c r="M322" i="5"/>
  <c r="M324" i="5"/>
  <c r="I325" i="5"/>
  <c r="I261" i="5"/>
  <c r="I227" i="5"/>
  <c r="Q325" i="5"/>
  <c r="Q227" i="5"/>
  <c r="Q261" i="5"/>
  <c r="C326" i="5"/>
  <c r="C262" i="5"/>
  <c r="C228" i="5"/>
  <c r="K326" i="5"/>
  <c r="K262" i="5"/>
  <c r="K228" i="5"/>
  <c r="S326" i="5"/>
  <c r="S262" i="5"/>
  <c r="S228" i="5"/>
  <c r="I327" i="5"/>
  <c r="I231" i="5"/>
  <c r="I265" i="5"/>
  <c r="Q327" i="5"/>
  <c r="Q265" i="5"/>
  <c r="Q231" i="5"/>
  <c r="E270" i="5"/>
  <c r="E236" i="5"/>
  <c r="M270" i="5"/>
  <c r="M236" i="5"/>
  <c r="K328" i="5"/>
  <c r="K298" i="5"/>
  <c r="K300" i="5"/>
  <c r="S328" i="5"/>
  <c r="S298" i="5"/>
  <c r="S300" i="5"/>
  <c r="H299" i="5"/>
  <c r="P299" i="5"/>
  <c r="E301" i="5"/>
  <c r="E243" i="5"/>
  <c r="E216" i="5"/>
  <c r="M301" i="5"/>
  <c r="M216" i="5"/>
  <c r="M243" i="5"/>
  <c r="F302" i="5"/>
  <c r="F217" i="5"/>
  <c r="F244" i="5"/>
  <c r="N302" i="5"/>
  <c r="N244" i="5"/>
  <c r="N217" i="5"/>
  <c r="G245" i="5"/>
  <c r="G218" i="5"/>
  <c r="O245" i="5"/>
  <c r="O218" i="5"/>
  <c r="H246" i="5"/>
  <c r="H219" i="5"/>
  <c r="P246" i="5"/>
  <c r="P219" i="5"/>
  <c r="I303" i="5"/>
  <c r="I247" i="5"/>
  <c r="I220" i="5"/>
  <c r="Q303" i="5"/>
  <c r="Q247" i="5"/>
  <c r="Q220" i="5"/>
  <c r="J248" i="5"/>
  <c r="J221" i="5"/>
  <c r="R248" i="5"/>
  <c r="R221" i="5"/>
  <c r="C249" i="5"/>
  <c r="C222" i="5"/>
  <c r="K249" i="5"/>
  <c r="K222" i="5"/>
  <c r="S249" i="5"/>
  <c r="S222" i="5"/>
  <c r="D223" i="5"/>
  <c r="D250" i="5"/>
  <c r="L223" i="5"/>
  <c r="L250" i="5"/>
  <c r="T223" i="5"/>
  <c r="T250" i="5"/>
  <c r="E224" i="5"/>
  <c r="E251" i="5"/>
  <c r="M251" i="5"/>
  <c r="M224" i="5"/>
  <c r="F252" i="5"/>
  <c r="F237" i="5"/>
  <c r="F225" i="5"/>
  <c r="N252" i="5"/>
  <c r="N225" i="5"/>
  <c r="N237" i="5"/>
  <c r="G253" i="5"/>
  <c r="O253" i="5"/>
  <c r="H254" i="5"/>
  <c r="P254" i="5"/>
  <c r="I255" i="5"/>
  <c r="Q255" i="5"/>
  <c r="J256" i="5"/>
  <c r="R256" i="5"/>
  <c r="D304" i="5"/>
  <c r="D257" i="5"/>
  <c r="D211" i="5"/>
  <c r="L304" i="5"/>
  <c r="L257" i="5"/>
  <c r="L211" i="5"/>
  <c r="T304" i="5"/>
  <c r="T257" i="5"/>
  <c r="T211" i="5"/>
  <c r="H306" i="5"/>
  <c r="P306" i="5"/>
  <c r="F307" i="5"/>
  <c r="N307" i="5"/>
  <c r="D308" i="5"/>
  <c r="L308" i="5"/>
  <c r="T308" i="5"/>
  <c r="J312" i="5"/>
  <c r="R312" i="5"/>
  <c r="F259" i="5"/>
  <c r="J316" i="5"/>
  <c r="R316" i="5"/>
  <c r="H319" i="5"/>
  <c r="H260" i="5"/>
  <c r="P319" i="5"/>
  <c r="P260" i="5"/>
  <c r="J320" i="5"/>
  <c r="J226" i="5"/>
  <c r="R320" i="5"/>
  <c r="R226" i="5"/>
  <c r="J325" i="5"/>
  <c r="J261" i="5"/>
  <c r="J227" i="5"/>
  <c r="R325" i="5"/>
  <c r="R227" i="5"/>
  <c r="R261" i="5"/>
  <c r="D228" i="5"/>
  <c r="L228" i="5"/>
  <c r="T228" i="5"/>
  <c r="J327" i="5"/>
  <c r="J231" i="5"/>
  <c r="J265" i="5"/>
  <c r="R327" i="5"/>
  <c r="R265" i="5"/>
  <c r="R231" i="5"/>
  <c r="H230" i="5"/>
  <c r="J269" i="5"/>
  <c r="J235" i="5"/>
  <c r="R235" i="5"/>
  <c r="F270" i="5"/>
  <c r="F236" i="5"/>
  <c r="N236" i="5"/>
  <c r="N270" i="5"/>
  <c r="J271" i="5"/>
  <c r="R271" i="5"/>
  <c r="F272" i="5"/>
  <c r="N272" i="5"/>
  <c r="R273" i="5"/>
  <c r="F274" i="5"/>
  <c r="N274" i="5"/>
  <c r="K236" i="5"/>
  <c r="H270" i="5"/>
  <c r="O309" i="5"/>
  <c r="O258" i="5"/>
  <c r="C310" i="5"/>
  <c r="K310" i="5"/>
  <c r="S310" i="5"/>
  <c r="G311" i="5"/>
  <c r="O311" i="5"/>
  <c r="C312" i="5"/>
  <c r="K312" i="5"/>
  <c r="S312" i="5"/>
  <c r="G313" i="5"/>
  <c r="O313" i="5"/>
  <c r="C314" i="5"/>
  <c r="C259" i="5"/>
  <c r="K314" i="5"/>
  <c r="K259" i="5"/>
  <c r="S314" i="5"/>
  <c r="S259" i="5"/>
  <c r="G315" i="5"/>
  <c r="O315" i="5"/>
  <c r="C316" i="5"/>
  <c r="K316" i="5"/>
  <c r="S316" i="5"/>
  <c r="G317" i="5"/>
  <c r="O317" i="5"/>
  <c r="C318" i="5"/>
  <c r="K318" i="5"/>
  <c r="S318" i="5"/>
  <c r="G319" i="5"/>
  <c r="G260" i="5"/>
  <c r="O319" i="5"/>
  <c r="O260" i="5"/>
  <c r="C320" i="5"/>
  <c r="C226" i="5"/>
  <c r="K320" i="5"/>
  <c r="K226" i="5"/>
  <c r="S320" i="5"/>
  <c r="S226" i="5"/>
  <c r="G321" i="5"/>
  <c r="O321" i="5"/>
  <c r="C324" i="5"/>
  <c r="C322" i="5"/>
  <c r="K324" i="5"/>
  <c r="K322" i="5"/>
  <c r="S324" i="5"/>
  <c r="S322" i="5"/>
  <c r="G323" i="5"/>
  <c r="O323" i="5"/>
  <c r="C325" i="5"/>
  <c r="C261" i="5"/>
  <c r="C227" i="5"/>
  <c r="K325" i="5"/>
  <c r="K261" i="5"/>
  <c r="K227" i="5"/>
  <c r="S325" i="5"/>
  <c r="S261" i="5"/>
  <c r="S227" i="5"/>
  <c r="G326" i="5"/>
  <c r="G228" i="5"/>
  <c r="G262" i="5"/>
  <c r="O326" i="5"/>
  <c r="O262" i="5"/>
  <c r="O228" i="5"/>
  <c r="C263" i="5"/>
  <c r="K263" i="5"/>
  <c r="S263" i="5"/>
  <c r="G264" i="5"/>
  <c r="O264" i="5"/>
  <c r="C327" i="5"/>
  <c r="C265" i="5"/>
  <c r="C231" i="5"/>
  <c r="K327" i="5"/>
  <c r="K265" i="5"/>
  <c r="K231" i="5"/>
  <c r="S327" i="5"/>
  <c r="S265" i="5"/>
  <c r="S231" i="5"/>
  <c r="G266" i="5"/>
  <c r="G232" i="5"/>
  <c r="O232" i="5"/>
  <c r="C267" i="5"/>
  <c r="K267" i="5"/>
  <c r="S267" i="5"/>
  <c r="G268" i="5"/>
  <c r="O268" i="5"/>
  <c r="C269" i="5"/>
  <c r="C235" i="5"/>
  <c r="K269" i="5"/>
  <c r="K235" i="5"/>
  <c r="S269" i="5"/>
  <c r="S235" i="5"/>
  <c r="O236" i="5"/>
  <c r="O270" i="5"/>
  <c r="P234" i="5"/>
  <c r="D327" i="5"/>
  <c r="D265" i="5"/>
  <c r="D231" i="5"/>
  <c r="L327" i="5"/>
  <c r="L265" i="5"/>
  <c r="L231" i="5"/>
  <c r="T327" i="5"/>
  <c r="T265" i="5"/>
  <c r="T231" i="5"/>
  <c r="H266" i="5"/>
  <c r="H232" i="5"/>
  <c r="L267" i="5"/>
  <c r="L233" i="5"/>
  <c r="T267" i="5"/>
  <c r="T233" i="5"/>
  <c r="D269" i="5"/>
  <c r="D235" i="5"/>
  <c r="L269" i="5"/>
  <c r="L235" i="5"/>
  <c r="T269" i="5"/>
  <c r="T235" i="5"/>
  <c r="P236" i="5"/>
  <c r="P270" i="5"/>
  <c r="O230" i="5"/>
  <c r="E233" i="5"/>
  <c r="M267" i="5"/>
  <c r="M233" i="5"/>
  <c r="I268" i="5"/>
  <c r="Q268" i="5"/>
  <c r="E269" i="5"/>
  <c r="M269" i="5"/>
  <c r="I270" i="5"/>
  <c r="I236" i="5"/>
  <c r="Q270" i="5"/>
  <c r="Q236" i="5"/>
  <c r="E271" i="5"/>
  <c r="M271" i="5"/>
  <c r="I272" i="5"/>
  <c r="Q272" i="5"/>
  <c r="E273" i="5"/>
  <c r="M273" i="5"/>
  <c r="I274" i="5"/>
  <c r="Q274" i="5"/>
  <c r="P230" i="5"/>
  <c r="K233" i="5"/>
  <c r="S236" i="5"/>
  <c r="O266" i="5"/>
  <c r="F304" i="5"/>
  <c r="F257" i="5"/>
  <c r="N304" i="5"/>
  <c r="N257" i="5"/>
  <c r="J305" i="5"/>
  <c r="R305" i="5"/>
  <c r="F306" i="5"/>
  <c r="N306" i="5"/>
  <c r="J307" i="5"/>
  <c r="R307" i="5"/>
  <c r="F308" i="5"/>
  <c r="N308" i="5"/>
  <c r="J309" i="5"/>
  <c r="J258" i="5"/>
  <c r="R309" i="5"/>
  <c r="R258" i="5"/>
  <c r="F310" i="5"/>
  <c r="N310" i="5"/>
  <c r="J311" i="5"/>
  <c r="R311" i="5"/>
  <c r="F312" i="5"/>
  <c r="N312" i="5"/>
  <c r="J313" i="5"/>
  <c r="R313" i="5"/>
  <c r="F314" i="5"/>
  <c r="N314" i="5"/>
  <c r="N259" i="5"/>
  <c r="J315" i="5"/>
  <c r="R315" i="5"/>
  <c r="F316" i="5"/>
  <c r="N316" i="5"/>
  <c r="J317" i="5"/>
  <c r="R317" i="5"/>
  <c r="F318" i="5"/>
  <c r="N318" i="5"/>
  <c r="J319" i="5"/>
  <c r="J260" i="5"/>
  <c r="R319" i="5"/>
  <c r="R260" i="5"/>
  <c r="F320" i="5"/>
  <c r="F226" i="5"/>
  <c r="N320" i="5"/>
  <c r="N226" i="5"/>
  <c r="J321" i="5"/>
  <c r="R321" i="5"/>
  <c r="F322" i="5"/>
  <c r="F324" i="5"/>
  <c r="N322" i="5"/>
  <c r="N324" i="5"/>
  <c r="J323" i="5"/>
  <c r="R323" i="5"/>
  <c r="F325" i="5"/>
  <c r="F261" i="5"/>
  <c r="N325" i="5"/>
  <c r="N261" i="5"/>
  <c r="J326" i="5"/>
  <c r="J262" i="5"/>
  <c r="J228" i="5"/>
  <c r="R326" i="5"/>
  <c r="R262" i="5"/>
  <c r="R228" i="5"/>
  <c r="F263" i="5"/>
  <c r="F229" i="5"/>
  <c r="N229" i="5"/>
  <c r="N263" i="5"/>
  <c r="J264" i="5"/>
  <c r="R264" i="5"/>
  <c r="F327" i="5"/>
  <c r="F265" i="5"/>
  <c r="N327" i="5"/>
  <c r="N265" i="5"/>
  <c r="J266" i="5"/>
  <c r="J232" i="5"/>
  <c r="R266" i="5"/>
  <c r="R232" i="5"/>
  <c r="F233" i="5"/>
  <c r="F267" i="5"/>
  <c r="N267" i="5"/>
  <c r="N233" i="5"/>
  <c r="J268" i="5"/>
  <c r="J234" i="5"/>
  <c r="R234" i="5"/>
  <c r="R268" i="5"/>
  <c r="F269" i="5"/>
  <c r="N269" i="5"/>
  <c r="J270" i="5"/>
  <c r="J236" i="5"/>
  <c r="R270" i="5"/>
  <c r="R236" i="5"/>
  <c r="F271" i="5"/>
  <c r="J272" i="5"/>
  <c r="R272" i="5"/>
  <c r="F273" i="5"/>
  <c r="N273" i="5"/>
  <c r="J274" i="5"/>
  <c r="R274" i="5"/>
  <c r="C229" i="5"/>
  <c r="S229" i="5"/>
  <c r="M235" i="5"/>
  <c r="P266" i="5"/>
  <c r="T271" i="5"/>
  <c r="G263" i="5"/>
  <c r="G229" i="5"/>
  <c r="O263" i="5"/>
  <c r="O229" i="5"/>
  <c r="C230" i="5"/>
  <c r="C264" i="5"/>
  <c r="K264" i="5"/>
  <c r="K230" i="5"/>
  <c r="S230" i="5"/>
  <c r="G327" i="5"/>
  <c r="G265" i="5"/>
  <c r="O327" i="5"/>
  <c r="O265" i="5"/>
  <c r="C266" i="5"/>
  <c r="K266" i="5"/>
  <c r="S266" i="5"/>
  <c r="G267" i="5"/>
  <c r="G233" i="5"/>
  <c r="O267" i="5"/>
  <c r="O233" i="5"/>
  <c r="C268" i="5"/>
  <c r="C234" i="5"/>
  <c r="K234" i="5"/>
  <c r="S234" i="5"/>
  <c r="S268" i="5"/>
  <c r="G269" i="5"/>
  <c r="O269" i="5"/>
  <c r="R230" i="5"/>
  <c r="G234" i="5"/>
  <c r="N235" i="5"/>
  <c r="C236" i="5"/>
  <c r="S264" i="5"/>
  <c r="D267" i="5"/>
  <c r="R269" i="5"/>
  <c r="H308" i="5"/>
  <c r="P308" i="5"/>
  <c r="D309" i="5"/>
  <c r="D258" i="5"/>
  <c r="L309" i="5"/>
  <c r="L258" i="5"/>
  <c r="T309" i="5"/>
  <c r="T258" i="5"/>
  <c r="H310" i="5"/>
  <c r="P310" i="5"/>
  <c r="D311" i="5"/>
  <c r="L311" i="5"/>
  <c r="T311" i="5"/>
  <c r="H312" i="5"/>
  <c r="P312" i="5"/>
  <c r="D313" i="5"/>
  <c r="L313" i="5"/>
  <c r="T313" i="5"/>
  <c r="H314" i="5"/>
  <c r="H259" i="5"/>
  <c r="P314" i="5"/>
  <c r="P259" i="5"/>
  <c r="D315" i="5"/>
  <c r="L315" i="5"/>
  <c r="T315" i="5"/>
  <c r="H316" i="5"/>
  <c r="P316" i="5"/>
  <c r="D317" i="5"/>
  <c r="L317" i="5"/>
  <c r="T317" i="5"/>
  <c r="H318" i="5"/>
  <c r="P318" i="5"/>
  <c r="D319" i="5"/>
  <c r="L319" i="5"/>
  <c r="L260" i="5"/>
  <c r="T319" i="5"/>
  <c r="H320" i="5"/>
  <c r="P320" i="5"/>
  <c r="D321" i="5"/>
  <c r="L321" i="5"/>
  <c r="T321" i="5"/>
  <c r="H324" i="5"/>
  <c r="H322" i="5"/>
  <c r="P324" i="5"/>
  <c r="P322" i="5"/>
  <c r="D323" i="5"/>
  <c r="L323" i="5"/>
  <c r="T323" i="5"/>
  <c r="H325" i="5"/>
  <c r="H261" i="5"/>
  <c r="P325" i="5"/>
  <c r="P261" i="5"/>
  <c r="D326" i="5"/>
  <c r="D262" i="5"/>
  <c r="L326" i="5"/>
  <c r="L262" i="5"/>
  <c r="T326" i="5"/>
  <c r="T262" i="5"/>
  <c r="H263" i="5"/>
  <c r="H229" i="5"/>
  <c r="P263" i="5"/>
  <c r="P229" i="5"/>
  <c r="D230" i="5"/>
  <c r="D264" i="5"/>
  <c r="L264" i="5"/>
  <c r="L230" i="5"/>
  <c r="T230" i="5"/>
  <c r="H327" i="5"/>
  <c r="P327" i="5"/>
  <c r="P265" i="5"/>
  <c r="D266" i="5"/>
  <c r="L266" i="5"/>
  <c r="T266" i="5"/>
  <c r="H267" i="5"/>
  <c r="H233" i="5"/>
  <c r="P267" i="5"/>
  <c r="P233" i="5"/>
  <c r="D268" i="5"/>
  <c r="D234" i="5"/>
  <c r="L234" i="5"/>
  <c r="T234" i="5"/>
  <c r="T268" i="5"/>
  <c r="H269" i="5"/>
  <c r="H235" i="5"/>
  <c r="P269" i="5"/>
  <c r="P235" i="5"/>
  <c r="D270" i="5"/>
  <c r="L270" i="5"/>
  <c r="T270" i="5"/>
  <c r="H271" i="5"/>
  <c r="P271" i="5"/>
  <c r="L272" i="5"/>
  <c r="T272" i="5"/>
  <c r="H273" i="5"/>
  <c r="D274" i="5"/>
  <c r="L274" i="5"/>
  <c r="T274" i="5"/>
  <c r="G230" i="5"/>
  <c r="C232" i="5"/>
  <c r="S232" i="5"/>
  <c r="S233" i="5"/>
  <c r="H234" i="5"/>
  <c r="O235" i="5"/>
  <c r="D236" i="5"/>
  <c r="D260" i="5"/>
  <c r="T264" i="5"/>
  <c r="E267" i="5"/>
  <c r="L539" i="17" l="1"/>
  <c r="L539" i="23"/>
  <c r="L539" i="16"/>
  <c r="L539" i="24"/>
  <c r="L539" i="25"/>
  <c r="L536" i="24"/>
  <c r="L536" i="17"/>
  <c r="L536" i="23"/>
  <c r="L536" i="25"/>
  <c r="L536" i="16"/>
  <c r="L534" i="17"/>
  <c r="L534" i="25"/>
  <c r="L534" i="24"/>
  <c r="L534" i="23"/>
  <c r="L534" i="16"/>
  <c r="H91" i="15"/>
  <c r="H99" i="15" s="1"/>
  <c r="H101" i="15" s="1"/>
  <c r="E57" i="9"/>
  <c r="E21" i="10"/>
  <c r="C24" i="10"/>
  <c r="C26" i="10"/>
  <c r="C21" i="10"/>
  <c r="Z291" i="5"/>
  <c r="W286" i="5"/>
  <c r="Y291" i="5"/>
  <c r="E5" i="5"/>
  <c r="R5" i="5"/>
  <c r="I5" i="5"/>
  <c r="D61" i="9"/>
  <c r="D60" i="9"/>
  <c r="D64" i="9"/>
  <c r="D62" i="9"/>
  <c r="D63" i="9"/>
  <c r="D57" i="9"/>
  <c r="G61" i="9"/>
  <c r="G60" i="9"/>
  <c r="G64" i="9"/>
  <c r="G62" i="9"/>
  <c r="G63" i="9"/>
  <c r="G57" i="9"/>
  <c r="F57" i="9"/>
  <c r="C57" i="9"/>
  <c r="F60" i="9"/>
  <c r="F63" i="9"/>
  <c r="F61" i="9"/>
  <c r="F64" i="9"/>
  <c r="F62" i="9"/>
  <c r="E63" i="9"/>
  <c r="E61" i="9"/>
  <c r="E64" i="9"/>
  <c r="E62" i="9"/>
  <c r="E60" i="9"/>
  <c r="C64" i="9"/>
  <c r="C63" i="9"/>
  <c r="C62" i="9"/>
  <c r="C61" i="9"/>
  <c r="C60" i="9"/>
  <c r="Q382" i="17"/>
  <c r="R382" i="17" s="1"/>
  <c r="S382" i="17" s="1"/>
  <c r="T382" i="17" s="1"/>
  <c r="U382" i="17" s="1"/>
  <c r="V382" i="17" s="1"/>
  <c r="W382" i="17" s="1"/>
  <c r="X382" i="17" s="1"/>
  <c r="Y382" i="17" s="1"/>
  <c r="Z382" i="17" s="1"/>
  <c r="R332" i="17"/>
  <c r="Q123" i="17"/>
  <c r="Q514" i="17"/>
  <c r="Q333" i="17"/>
  <c r="Q507" i="17" s="1"/>
  <c r="D91" i="15"/>
  <c r="D99" i="15" s="1"/>
  <c r="D101" i="15" s="1"/>
  <c r="O103" i="15"/>
  <c r="O118" i="15" s="1"/>
  <c r="L103" i="15"/>
  <c r="L118" i="15" s="1"/>
  <c r="K91" i="15"/>
  <c r="K99" i="15" s="1"/>
  <c r="K101" i="15" s="1"/>
  <c r="F333" i="15"/>
  <c r="G364" i="15"/>
  <c r="F368" i="15"/>
  <c r="F351" i="15"/>
  <c r="G344" i="15"/>
  <c r="B141" i="6"/>
  <c r="B133" i="6"/>
  <c r="B125" i="6"/>
  <c r="B117" i="6"/>
  <c r="B109" i="6"/>
  <c r="B101" i="6"/>
  <c r="B93" i="6"/>
  <c r="B85" i="6"/>
  <c r="B73" i="6"/>
  <c r="B65" i="6"/>
  <c r="B57" i="6"/>
  <c r="B49" i="6"/>
  <c r="B142" i="6"/>
  <c r="B134" i="6"/>
  <c r="B126" i="6"/>
  <c r="B118" i="6"/>
  <c r="B110" i="6"/>
  <c r="B102" i="6"/>
  <c r="B94" i="6"/>
  <c r="B86" i="6"/>
  <c r="B74" i="6"/>
  <c r="B66" i="6"/>
  <c r="B58" i="6"/>
  <c r="B50" i="6"/>
  <c r="B143" i="6"/>
  <c r="B135" i="6"/>
  <c r="B127" i="6"/>
  <c r="B119" i="6"/>
  <c r="B111" i="6"/>
  <c r="B103" i="6"/>
  <c r="B95" i="6"/>
  <c r="B87" i="6"/>
  <c r="B75" i="6"/>
  <c r="B67" i="6"/>
  <c r="B59" i="6"/>
  <c r="B51" i="6"/>
  <c r="B144" i="6"/>
  <c r="B136" i="6"/>
  <c r="B128" i="6"/>
  <c r="B120" i="6"/>
  <c r="B112" i="6"/>
  <c r="B104" i="6"/>
  <c r="B96" i="6"/>
  <c r="B88" i="6"/>
  <c r="B80" i="6"/>
  <c r="B68" i="6"/>
  <c r="B60" i="6"/>
  <c r="B52" i="6"/>
  <c r="B138" i="6"/>
  <c r="B130" i="6"/>
  <c r="B145" i="6"/>
  <c r="B139" i="6"/>
  <c r="B115" i="6"/>
  <c r="B99" i="6"/>
  <c r="B83" i="6"/>
  <c r="B63" i="6"/>
  <c r="B47" i="6"/>
  <c r="B40" i="6"/>
  <c r="B32" i="6"/>
  <c r="B24" i="6"/>
  <c r="B16" i="6"/>
  <c r="B113" i="6"/>
  <c r="B124" i="6"/>
  <c r="B108" i="6"/>
  <c r="B92" i="6"/>
  <c r="B72" i="6"/>
  <c r="B56" i="6"/>
  <c r="B41" i="6"/>
  <c r="B33" i="6"/>
  <c r="B25" i="6"/>
  <c r="B17" i="6"/>
  <c r="B61" i="6"/>
  <c r="B38" i="6"/>
  <c r="B129" i="6"/>
  <c r="B121" i="6"/>
  <c r="B105" i="6"/>
  <c r="B89" i="6"/>
  <c r="B69" i="6"/>
  <c r="B53" i="6"/>
  <c r="B42" i="6"/>
  <c r="B34" i="6"/>
  <c r="B26" i="6"/>
  <c r="B18" i="6"/>
  <c r="B10" i="6"/>
  <c r="B140" i="6"/>
  <c r="B30" i="6"/>
  <c r="B22" i="6"/>
  <c r="B132" i="6"/>
  <c r="B114" i="6"/>
  <c r="B98" i="6"/>
  <c r="B82" i="6"/>
  <c r="B62" i="6"/>
  <c r="B46" i="6"/>
  <c r="B43" i="6"/>
  <c r="B35" i="6"/>
  <c r="B27" i="6"/>
  <c r="B19" i="6"/>
  <c r="B11" i="6"/>
  <c r="B45" i="6"/>
  <c r="B97" i="6"/>
  <c r="B14" i="6"/>
  <c r="B123" i="6"/>
  <c r="B107" i="6"/>
  <c r="B91" i="6"/>
  <c r="B71" i="6"/>
  <c r="B55" i="6"/>
  <c r="B44" i="6"/>
  <c r="B36" i="6"/>
  <c r="B28" i="6"/>
  <c r="B20" i="6"/>
  <c r="B12" i="6"/>
  <c r="B137" i="6"/>
  <c r="B131" i="6"/>
  <c r="B116" i="6"/>
  <c r="B100" i="6"/>
  <c r="B84" i="6"/>
  <c r="B64" i="6"/>
  <c r="B48" i="6"/>
  <c r="B37" i="6"/>
  <c r="B29" i="6"/>
  <c r="B21" i="6"/>
  <c r="B13" i="6"/>
  <c r="B81" i="6"/>
  <c r="B122" i="6"/>
  <c r="B70" i="6"/>
  <c r="B39" i="6"/>
  <c r="B90" i="6"/>
  <c r="B106" i="6"/>
  <c r="B54" i="6"/>
  <c r="B15" i="6"/>
  <c r="B23" i="6"/>
  <c r="B31" i="6"/>
  <c r="J5" i="5"/>
  <c r="S5" i="5"/>
  <c r="Q5" i="5"/>
  <c r="G5" i="5"/>
  <c r="C5" i="5"/>
  <c r="X286" i="5"/>
  <c r="AA285" i="5"/>
  <c r="W311" i="5"/>
  <c r="Y288" i="5"/>
  <c r="AA280" i="5"/>
  <c r="AA310" i="5"/>
  <c r="X292" i="5"/>
  <c r="Z240" i="5"/>
  <c r="AA284" i="5"/>
  <c r="AA288" i="5"/>
  <c r="AA322" i="5"/>
  <c r="AA282" i="5"/>
  <c r="AA287" i="5"/>
  <c r="AA296" i="5"/>
  <c r="AA323" i="5"/>
  <c r="AA290" i="5"/>
  <c r="AA281" i="5"/>
  <c r="AA309" i="5"/>
  <c r="AA293" i="5"/>
  <c r="V287" i="5"/>
  <c r="V286" i="5"/>
  <c r="V282" i="5"/>
  <c r="F25" i="10"/>
  <c r="F28" i="10"/>
  <c r="F26" i="10"/>
  <c r="F24" i="10"/>
  <c r="F27" i="10"/>
  <c r="C36" i="9"/>
  <c r="C38" i="9" s="1"/>
  <c r="D36" i="9"/>
  <c r="D21" i="10"/>
  <c r="G25" i="10"/>
  <c r="G28" i="10"/>
  <c r="G26" i="10"/>
  <c r="G24" i="10"/>
  <c r="G27" i="10"/>
  <c r="E27" i="10"/>
  <c r="E25" i="10"/>
  <c r="E28" i="10"/>
  <c r="E26" i="10"/>
  <c r="E24" i="10"/>
  <c r="F21" i="10"/>
  <c r="G21" i="10"/>
  <c r="D24" i="10"/>
  <c r="D28" i="10"/>
  <c r="D27" i="10"/>
  <c r="D25" i="10"/>
  <c r="D26" i="10"/>
  <c r="W282" i="5"/>
  <c r="V293" i="5"/>
  <c r="M5" i="5"/>
  <c r="Y292" i="5"/>
  <c r="X287" i="5"/>
  <c r="Z318" i="5"/>
  <c r="Z307" i="5"/>
  <c r="X281" i="5"/>
  <c r="W289" i="5"/>
  <c r="Z324" i="5"/>
  <c r="X318" i="5"/>
  <c r="AA307" i="5"/>
  <c r="Y313" i="5"/>
  <c r="Z241" i="5"/>
  <c r="V111" i="5"/>
  <c r="V284" i="5"/>
  <c r="Y310" i="5"/>
  <c r="T5" i="5"/>
  <c r="Z111" i="5"/>
  <c r="Z315" i="5"/>
  <c r="W274" i="5"/>
  <c r="Y302" i="5"/>
  <c r="Y273" i="5"/>
  <c r="N5" i="5"/>
  <c r="X282" i="5"/>
  <c r="D5" i="5"/>
  <c r="Z286" i="5"/>
  <c r="Y281" i="5"/>
  <c r="K5" i="5"/>
  <c r="Z312" i="5"/>
  <c r="W310" i="5"/>
  <c r="X294" i="5"/>
  <c r="AA291" i="5"/>
  <c r="AA319" i="5"/>
  <c r="W285" i="5"/>
  <c r="W240" i="5"/>
  <c r="U327" i="5"/>
  <c r="U265" i="5"/>
  <c r="U231" i="5"/>
  <c r="Z303" i="5"/>
  <c r="Z247" i="5"/>
  <c r="Z220" i="5"/>
  <c r="Z272" i="5"/>
  <c r="Y321" i="5"/>
  <c r="Y270" i="5"/>
  <c r="Y236" i="5"/>
  <c r="V264" i="5"/>
  <c r="V230" i="5"/>
  <c r="U309" i="5"/>
  <c r="U258" i="5"/>
  <c r="U264" i="5"/>
  <c r="U230" i="5"/>
  <c r="U263" i="5"/>
  <c r="U229" i="5"/>
  <c r="U268" i="5"/>
  <c r="U234" i="5"/>
  <c r="U314" i="5"/>
  <c r="U259" i="5"/>
  <c r="X111" i="5"/>
  <c r="X239" i="5"/>
  <c r="Y297" i="5"/>
  <c r="Z249" i="5"/>
  <c r="Z222" i="5"/>
  <c r="Z326" i="5"/>
  <c r="Z262" i="5"/>
  <c r="Z228" i="5"/>
  <c r="Y240" i="5"/>
  <c r="W325" i="5"/>
  <c r="W261" i="5"/>
  <c r="W227" i="5"/>
  <c r="W247" i="5"/>
  <c r="W303" i="5"/>
  <c r="W220" i="5"/>
  <c r="W323" i="5"/>
  <c r="W264" i="5"/>
  <c r="W230" i="5"/>
  <c r="W273" i="5"/>
  <c r="V321" i="5"/>
  <c r="Y245" i="5"/>
  <c r="Y218" i="5"/>
  <c r="Y299" i="5"/>
  <c r="Y267" i="5"/>
  <c r="Y233" i="5"/>
  <c r="Y328" i="5"/>
  <c r="Y300" i="5"/>
  <c r="Y298" i="5"/>
  <c r="Y266" i="5"/>
  <c r="Y232" i="5"/>
  <c r="Y255" i="5"/>
  <c r="X317" i="5"/>
  <c r="X250" i="5"/>
  <c r="X223" i="5"/>
  <c r="X305" i="5"/>
  <c r="X255" i="5"/>
  <c r="X254" i="5"/>
  <c r="X316" i="5"/>
  <c r="X235" i="5"/>
  <c r="X269" i="5"/>
  <c r="Y253" i="5"/>
  <c r="Y282" i="5"/>
  <c r="V305" i="5"/>
  <c r="V254" i="5"/>
  <c r="V268" i="5"/>
  <c r="V234" i="5"/>
  <c r="V252" i="5"/>
  <c r="V225" i="5"/>
  <c r="V237" i="5"/>
  <c r="V270" i="5"/>
  <c r="V236" i="5"/>
  <c r="V304" i="5"/>
  <c r="V257" i="5"/>
  <c r="V211" i="5"/>
  <c r="V320" i="5"/>
  <c r="V226" i="5"/>
  <c r="V273" i="5"/>
  <c r="V4" i="5"/>
  <c r="AA292" i="5"/>
  <c r="AA283" i="5"/>
  <c r="AA305" i="5"/>
  <c r="W241" i="5"/>
  <c r="W290" i="5"/>
  <c r="W309" i="5"/>
  <c r="W258" i="5"/>
  <c r="X321" i="5"/>
  <c r="Y217" i="5"/>
  <c r="V306" i="5"/>
  <c r="Z314" i="5"/>
  <c r="Z259" i="5"/>
  <c r="X290" i="5"/>
  <c r="X241" i="5"/>
  <c r="V239" i="5"/>
  <c r="U237" i="5"/>
  <c r="U252" i="5"/>
  <c r="U225" i="5"/>
  <c r="U322" i="5"/>
  <c r="U324" i="5"/>
  <c r="U270" i="5"/>
  <c r="U236" i="5"/>
  <c r="U267" i="5"/>
  <c r="U233" i="5"/>
  <c r="W301" i="5"/>
  <c r="W243" i="5"/>
  <c r="W216" i="5"/>
  <c r="Z245" i="5"/>
  <c r="Z218" i="5"/>
  <c r="Z299" i="5"/>
  <c r="X297" i="5"/>
  <c r="Z248" i="5"/>
  <c r="Z221" i="5"/>
  <c r="Z235" i="5"/>
  <c r="Z269" i="5"/>
  <c r="Z266" i="5"/>
  <c r="Z232" i="5"/>
  <c r="Z4" i="5"/>
  <c r="W256" i="5"/>
  <c r="W245" i="5"/>
  <c r="W218" i="5"/>
  <c r="W268" i="5"/>
  <c r="W234" i="5"/>
  <c r="X225" i="5"/>
  <c r="X237" i="5"/>
  <c r="X252" i="5"/>
  <c r="Y296" i="5"/>
  <c r="Y215" i="5"/>
  <c r="Z239" i="5"/>
  <c r="Y318" i="5"/>
  <c r="Y263" i="5"/>
  <c r="Y229" i="5"/>
  <c r="Y256" i="5"/>
  <c r="X245" i="5"/>
  <c r="X218" i="5"/>
  <c r="X283" i="5"/>
  <c r="X306" i="5"/>
  <c r="X232" i="5"/>
  <c r="X266" i="5"/>
  <c r="X320" i="5"/>
  <c r="X226" i="5"/>
  <c r="X273" i="5"/>
  <c r="Y244" i="5"/>
  <c r="V303" i="5"/>
  <c r="V247" i="5"/>
  <c r="V220" i="5"/>
  <c r="V245" i="5"/>
  <c r="V218" i="5"/>
  <c r="V274" i="5"/>
  <c r="V308" i="5"/>
  <c r="V325" i="5"/>
  <c r="V261" i="5"/>
  <c r="V227" i="5"/>
  <c r="F5" i="5"/>
  <c r="AA308" i="5"/>
  <c r="AA312" i="5"/>
  <c r="U246" i="5"/>
  <c r="U219" i="5"/>
  <c r="U253" i="5"/>
  <c r="V285" i="5"/>
  <c r="V240" i="5"/>
  <c r="Y301" i="5"/>
  <c r="Y243" i="5"/>
  <c r="Y216" i="5"/>
  <c r="Y314" i="5"/>
  <c r="Y259" i="5"/>
  <c r="V299" i="5"/>
  <c r="X7" i="5"/>
  <c r="W304" i="5"/>
  <c r="W257" i="5"/>
  <c r="W211" i="5"/>
  <c r="U321" i="5"/>
  <c r="U320" i="5"/>
  <c r="U226" i="5"/>
  <c r="U221" i="5"/>
  <c r="W287" i="5"/>
  <c r="Z301" i="5"/>
  <c r="Z216" i="5"/>
  <c r="Z243" i="5"/>
  <c r="W328" i="5"/>
  <c r="W300" i="5"/>
  <c r="W298" i="5"/>
  <c r="Z304" i="5"/>
  <c r="Z257" i="5"/>
  <c r="Z211" i="5"/>
  <c r="Z319" i="5"/>
  <c r="Z260" i="5"/>
  <c r="W326" i="5"/>
  <c r="W228" i="5"/>
  <c r="W262" i="5"/>
  <c r="W271" i="5"/>
  <c r="Y324" i="5"/>
  <c r="Y322" i="5"/>
  <c r="Y326" i="5"/>
  <c r="Y262" i="5"/>
  <c r="Y228" i="5"/>
  <c r="Y303" i="5"/>
  <c r="Y247" i="5"/>
  <c r="Y220" i="5"/>
  <c r="Y274" i="5"/>
  <c r="W299" i="5"/>
  <c r="V297" i="5"/>
  <c r="Y280" i="5"/>
  <c r="Y239" i="5"/>
  <c r="Y111" i="5"/>
  <c r="Y7" i="5"/>
  <c r="Y4" i="5"/>
  <c r="X326" i="5"/>
  <c r="X228" i="5"/>
  <c r="X262" i="5"/>
  <c r="X303" i="5"/>
  <c r="X247" i="5"/>
  <c r="X220" i="5"/>
  <c r="X311" i="5"/>
  <c r="X246" i="5"/>
  <c r="X219" i="5"/>
  <c r="X322" i="5"/>
  <c r="X324" i="5"/>
  <c r="X267" i="5"/>
  <c r="X233" i="5"/>
  <c r="X4" i="5"/>
  <c r="X302" i="5"/>
  <c r="X244" i="5"/>
  <c r="X217" i="5"/>
  <c r="V246" i="5"/>
  <c r="V219" i="5"/>
  <c r="V311" i="5"/>
  <c r="V302" i="5"/>
  <c r="V244" i="5"/>
  <c r="V217" i="5"/>
  <c r="V310" i="5"/>
  <c r="V271" i="5"/>
  <c r="U222" i="5"/>
  <c r="AA299" i="5"/>
  <c r="AB8" i="5"/>
  <c r="V7" i="5"/>
  <c r="U251" i="5"/>
  <c r="U224" i="5"/>
  <c r="Z295" i="5"/>
  <c r="H7" i="6"/>
  <c r="Z242" i="5"/>
  <c r="Z6" i="5"/>
  <c r="W267" i="5"/>
  <c r="W233" i="5"/>
  <c r="X221" i="5"/>
  <c r="X248" i="5"/>
  <c r="X272" i="5"/>
  <c r="U325" i="5"/>
  <c r="U261" i="5"/>
  <c r="U227" i="5"/>
  <c r="U319" i="5"/>
  <c r="U260" i="5"/>
  <c r="U266" i="5"/>
  <c r="U232" i="5"/>
  <c r="U245" i="5"/>
  <c r="U218" i="5"/>
  <c r="U301" i="5"/>
  <c r="U243" i="5"/>
  <c r="U216" i="5"/>
  <c r="U274" i="5"/>
  <c r="U271" i="5"/>
  <c r="V326" i="5"/>
  <c r="V262" i="5"/>
  <c r="V228" i="5"/>
  <c r="Y252" i="5"/>
  <c r="Y237" i="5"/>
  <c r="Y225" i="5"/>
  <c r="Z253" i="5"/>
  <c r="Z237" i="5"/>
  <c r="Z252" i="5"/>
  <c r="Z225" i="5"/>
  <c r="Z273" i="5"/>
  <c r="Z321" i="5"/>
  <c r="Z270" i="5"/>
  <c r="Z236" i="5"/>
  <c r="Z7" i="5"/>
  <c r="W252" i="5"/>
  <c r="W225" i="5"/>
  <c r="W237" i="5"/>
  <c r="W314" i="5"/>
  <c r="W259" i="5"/>
  <c r="W272" i="5"/>
  <c r="W265" i="5"/>
  <c r="W327" i="5"/>
  <c r="W231" i="5"/>
  <c r="V292" i="5"/>
  <c r="Y320" i="5"/>
  <c r="Y226" i="5"/>
  <c r="Y249" i="5"/>
  <c r="Y222" i="5"/>
  <c r="Y268" i="5"/>
  <c r="Y234" i="5"/>
  <c r="Z310" i="5"/>
  <c r="Z302" i="5"/>
  <c r="Z244" i="5"/>
  <c r="Z217" i="5"/>
  <c r="X301" i="5"/>
  <c r="X216" i="5"/>
  <c r="X243" i="5"/>
  <c r="U298" i="5"/>
  <c r="U300" i="5"/>
  <c r="U328" i="5"/>
  <c r="X291" i="5"/>
  <c r="X253" i="5"/>
  <c r="X315" i="5"/>
  <c r="X270" i="5"/>
  <c r="X236" i="5"/>
  <c r="X308" i="5"/>
  <c r="X325" i="5"/>
  <c r="X261" i="5"/>
  <c r="X227" i="5"/>
  <c r="D7" i="6"/>
  <c r="V295" i="5"/>
  <c r="V242" i="5"/>
  <c r="V6" i="5"/>
  <c r="Y293" i="5"/>
  <c r="Y290" i="5"/>
  <c r="Y241" i="5"/>
  <c r="W288" i="5"/>
  <c r="V315" i="5"/>
  <c r="V266" i="5"/>
  <c r="V232" i="5"/>
  <c r="V307" i="5"/>
  <c r="V312" i="5"/>
  <c r="V327" i="5"/>
  <c r="V265" i="5"/>
  <c r="V231" i="5"/>
  <c r="U249" i="5"/>
  <c r="AA306" i="5"/>
  <c r="AA286" i="5"/>
  <c r="AA313" i="5"/>
  <c r="AA316" i="5"/>
  <c r="W246" i="5"/>
  <c r="W219" i="5"/>
  <c r="V291" i="5"/>
  <c r="U326" i="5"/>
  <c r="U262" i="5"/>
  <c r="U228" i="5"/>
  <c r="U323" i="5"/>
  <c r="U302" i="5"/>
  <c r="U244" i="5"/>
  <c r="U217" i="5"/>
  <c r="V317" i="5"/>
  <c r="V250" i="5"/>
  <c r="V223" i="5"/>
  <c r="V290" i="5"/>
  <c r="V241" i="5"/>
  <c r="U285" i="5"/>
  <c r="U240" i="5"/>
  <c r="X224" i="5"/>
  <c r="Z296" i="5"/>
  <c r="Z215" i="5"/>
  <c r="Z255" i="5"/>
  <c r="Z224" i="5"/>
  <c r="Z251" i="5"/>
  <c r="Z320" i="5"/>
  <c r="Z226" i="5"/>
  <c r="Z323" i="5"/>
  <c r="Z264" i="5"/>
  <c r="Z230" i="5"/>
  <c r="W248" i="5"/>
  <c r="W221" i="5"/>
  <c r="W296" i="5"/>
  <c r="W215" i="5"/>
  <c r="W255" i="5"/>
  <c r="W317" i="5"/>
  <c r="W232" i="5"/>
  <c r="W266" i="5"/>
  <c r="Y254" i="5"/>
  <c r="Y304" i="5"/>
  <c r="Y211" i="5"/>
  <c r="Y257" i="5"/>
  <c r="Y250" i="5"/>
  <c r="Y223" i="5"/>
  <c r="Y325" i="5"/>
  <c r="Y261" i="5"/>
  <c r="Y227" i="5"/>
  <c r="Y248" i="5"/>
  <c r="Y221" i="5"/>
  <c r="Y319" i="5"/>
  <c r="Y260" i="5"/>
  <c r="X304" i="5"/>
  <c r="X257" i="5"/>
  <c r="X211" i="5"/>
  <c r="X293" i="5"/>
  <c r="X319" i="5"/>
  <c r="X260" i="5"/>
  <c r="X264" i="5"/>
  <c r="X230" i="5"/>
  <c r="X310" i="5"/>
  <c r="X271" i="5"/>
  <c r="E7" i="6"/>
  <c r="W295" i="5"/>
  <c r="W242" i="5"/>
  <c r="W6" i="5"/>
  <c r="X285" i="5"/>
  <c r="X240" i="5"/>
  <c r="V283" i="5"/>
  <c r="V319" i="5"/>
  <c r="V260" i="5"/>
  <c r="V272" i="5"/>
  <c r="V314" i="5"/>
  <c r="V259" i="5"/>
  <c r="AA317" i="5"/>
  <c r="AA318" i="5"/>
  <c r="X307" i="5"/>
  <c r="C7" i="6"/>
  <c r="U295" i="5"/>
  <c r="U242" i="5"/>
  <c r="U6" i="5"/>
  <c r="U303" i="5"/>
  <c r="U247" i="5"/>
  <c r="U220" i="5"/>
  <c r="Z267" i="5"/>
  <c r="Z233" i="5"/>
  <c r="V328" i="5"/>
  <c r="V300" i="5"/>
  <c r="V298" i="5"/>
  <c r="V322" i="5"/>
  <c r="V324" i="5"/>
  <c r="Y246" i="5"/>
  <c r="Y219" i="5"/>
  <c r="W302" i="5"/>
  <c r="W244" i="5"/>
  <c r="W217" i="5"/>
  <c r="U257" i="5"/>
  <c r="U304" i="5"/>
  <c r="U211" i="5"/>
  <c r="U256" i="5"/>
  <c r="U254" i="5"/>
  <c r="W250" i="5"/>
  <c r="W223" i="5"/>
  <c r="Z328" i="5"/>
  <c r="Z298" i="5"/>
  <c r="Z300" i="5"/>
  <c r="V294" i="5"/>
  <c r="Z289" i="5"/>
  <c r="Y284" i="5"/>
  <c r="V313" i="5"/>
  <c r="X251" i="5"/>
  <c r="V309" i="5"/>
  <c r="V258" i="5"/>
  <c r="U290" i="5"/>
  <c r="U241" i="5"/>
  <c r="Z327" i="5"/>
  <c r="Z231" i="5"/>
  <c r="Z265" i="5"/>
  <c r="Z250" i="5"/>
  <c r="Z223" i="5"/>
  <c r="Z325" i="5"/>
  <c r="Z261" i="5"/>
  <c r="Z227" i="5"/>
  <c r="Z263" i="5"/>
  <c r="Z229" i="5"/>
  <c r="Z309" i="5"/>
  <c r="Z258" i="5"/>
  <c r="Z274" i="5"/>
  <c r="W254" i="5"/>
  <c r="W322" i="5"/>
  <c r="W324" i="5"/>
  <c r="W260" i="5"/>
  <c r="W319" i="5"/>
  <c r="W269" i="5"/>
  <c r="W235" i="5"/>
  <c r="Y235" i="5"/>
  <c r="Y269" i="5"/>
  <c r="Y309" i="5"/>
  <c r="Y258" i="5"/>
  <c r="Y323" i="5"/>
  <c r="Y272" i="5"/>
  <c r="X296" i="5"/>
  <c r="X215" i="5"/>
  <c r="X309" i="5"/>
  <c r="X258" i="5"/>
  <c r="X256" i="5"/>
  <c r="X323" i="5"/>
  <c r="X274" i="5"/>
  <c r="X312" i="5"/>
  <c r="X327" i="5"/>
  <c r="X265" i="5"/>
  <c r="X231" i="5"/>
  <c r="W239" i="5"/>
  <c r="W280" i="5"/>
  <c r="W111" i="5"/>
  <c r="W4" i="5"/>
  <c r="W7" i="5"/>
  <c r="V251" i="5"/>
  <c r="V224" i="5"/>
  <c r="V256" i="5"/>
  <c r="V323" i="5"/>
  <c r="V316" i="5"/>
  <c r="V269" i="5"/>
  <c r="V235" i="5"/>
  <c r="O5" i="5"/>
  <c r="AA289" i="5"/>
  <c r="AA311" i="5"/>
  <c r="AA254" i="5"/>
  <c r="AA321" i="5"/>
  <c r="W297" i="5"/>
  <c r="U250" i="5"/>
  <c r="U223" i="5"/>
  <c r="U280" i="5"/>
  <c r="U239" i="5"/>
  <c r="U111" i="5"/>
  <c r="U7" i="5"/>
  <c r="U4" i="5"/>
  <c r="U5" i="5" s="1"/>
  <c r="X328" i="5"/>
  <c r="X300" i="5"/>
  <c r="X298" i="5"/>
  <c r="X299" i="5"/>
  <c r="X263" i="5"/>
  <c r="X229" i="5"/>
  <c r="W251" i="5"/>
  <c r="W224" i="5"/>
  <c r="V248" i="5"/>
  <c r="V221" i="5"/>
  <c r="V233" i="5"/>
  <c r="V267" i="5"/>
  <c r="V222" i="5"/>
  <c r="V249" i="5"/>
  <c r="U272" i="5"/>
  <c r="U269" i="5"/>
  <c r="U235" i="5"/>
  <c r="Z297" i="5"/>
  <c r="Y294" i="5"/>
  <c r="Z256" i="5"/>
  <c r="Z271" i="5"/>
  <c r="Z268" i="5"/>
  <c r="Z234" i="5"/>
  <c r="W249" i="5"/>
  <c r="W222" i="5"/>
  <c r="W320" i="5"/>
  <c r="W226" i="5"/>
  <c r="W306" i="5"/>
  <c r="W253" i="5"/>
  <c r="W321" i="5"/>
  <c r="W270" i="5"/>
  <c r="W236" i="5"/>
  <c r="W263" i="5"/>
  <c r="W229" i="5"/>
  <c r="G7" i="6"/>
  <c r="Y295" i="5"/>
  <c r="Y242" i="5"/>
  <c r="Y6" i="5"/>
  <c r="Y264" i="5"/>
  <c r="Y230" i="5"/>
  <c r="Y251" i="5"/>
  <c r="Y224" i="5"/>
  <c r="Y327" i="5"/>
  <c r="Y265" i="5"/>
  <c r="Y231" i="5"/>
  <c r="Y271" i="5"/>
  <c r="W291" i="5"/>
  <c r="F7" i="6"/>
  <c r="X295" i="5"/>
  <c r="X242" i="5"/>
  <c r="X6" i="5"/>
  <c r="X313" i="5"/>
  <c r="X249" i="5"/>
  <c r="X222" i="5"/>
  <c r="X268" i="5"/>
  <c r="X234" i="5"/>
  <c r="X314" i="5"/>
  <c r="X259" i="5"/>
  <c r="Z219" i="5"/>
  <c r="Z246" i="5"/>
  <c r="V301" i="5"/>
  <c r="V243" i="5"/>
  <c r="V216" i="5"/>
  <c r="U296" i="5"/>
  <c r="U215" i="5"/>
  <c r="Z287" i="5"/>
  <c r="V255" i="5"/>
  <c r="V253" i="5"/>
  <c r="V318" i="5"/>
  <c r="V263" i="5"/>
  <c r="V229" i="5"/>
  <c r="AA294" i="5"/>
  <c r="AA297" i="5"/>
  <c r="AA315" i="5"/>
  <c r="AA325" i="5"/>
  <c r="AA270" i="5"/>
  <c r="P533" i="17" l="1"/>
  <c r="P533" i="24"/>
  <c r="P533" i="23"/>
  <c r="P533" i="16"/>
  <c r="P533" i="25"/>
  <c r="P539" i="16"/>
  <c r="P539" i="24"/>
  <c r="P539" i="23"/>
  <c r="P539" i="17"/>
  <c r="P539" i="25"/>
  <c r="P535" i="24"/>
  <c r="Q535" i="24" s="1"/>
  <c r="R535" i="24" s="1"/>
  <c r="S535" i="24" s="1"/>
  <c r="T535" i="24" s="1"/>
  <c r="U535" i="24" s="1"/>
  <c r="V535" i="24" s="1"/>
  <c r="W535" i="24" s="1"/>
  <c r="X535" i="24" s="1"/>
  <c r="Y535" i="24" s="1"/>
  <c r="Z535" i="24" s="1"/>
  <c r="P535" i="23"/>
  <c r="Q535" i="23" s="1"/>
  <c r="R535" i="23" s="1"/>
  <c r="S535" i="23" s="1"/>
  <c r="T535" i="23" s="1"/>
  <c r="U535" i="23" s="1"/>
  <c r="V535" i="23" s="1"/>
  <c r="W535" i="23" s="1"/>
  <c r="X535" i="23" s="1"/>
  <c r="Y535" i="23" s="1"/>
  <c r="Z535" i="23" s="1"/>
  <c r="P535" i="16"/>
  <c r="P535" i="25"/>
  <c r="Q535" i="25" s="1"/>
  <c r="R535" i="25" s="1"/>
  <c r="S535" i="25" s="1"/>
  <c r="T535" i="25" s="1"/>
  <c r="U535" i="25" s="1"/>
  <c r="V535" i="25" s="1"/>
  <c r="W535" i="25" s="1"/>
  <c r="X535" i="25" s="1"/>
  <c r="Y535" i="25" s="1"/>
  <c r="Z535" i="25" s="1"/>
  <c r="P535" i="17"/>
  <c r="P534" i="16"/>
  <c r="P534" i="17"/>
  <c r="P534" i="25"/>
  <c r="Q534" i="25" s="1"/>
  <c r="R534" i="25" s="1"/>
  <c r="S534" i="25" s="1"/>
  <c r="T534" i="25" s="1"/>
  <c r="U534" i="25" s="1"/>
  <c r="V534" i="25" s="1"/>
  <c r="W534" i="25" s="1"/>
  <c r="X534" i="25" s="1"/>
  <c r="Y534" i="25" s="1"/>
  <c r="Z534" i="25" s="1"/>
  <c r="P534" i="24"/>
  <c r="Q534" i="24" s="1"/>
  <c r="R534" i="24" s="1"/>
  <c r="S534" i="24" s="1"/>
  <c r="T534" i="24" s="1"/>
  <c r="U534" i="24" s="1"/>
  <c r="V534" i="24" s="1"/>
  <c r="W534" i="24" s="1"/>
  <c r="X534" i="24" s="1"/>
  <c r="Y534" i="24" s="1"/>
  <c r="Z534" i="24" s="1"/>
  <c r="P534" i="23"/>
  <c r="Q534" i="23" s="1"/>
  <c r="R534" i="23" s="1"/>
  <c r="S534" i="23" s="1"/>
  <c r="T534" i="23" s="1"/>
  <c r="U534" i="23" s="1"/>
  <c r="V534" i="23" s="1"/>
  <c r="W534" i="23" s="1"/>
  <c r="X534" i="23" s="1"/>
  <c r="Y534" i="23" s="1"/>
  <c r="Z534" i="23" s="1"/>
  <c r="L535" i="17"/>
  <c r="L535" i="25"/>
  <c r="L535" i="24"/>
  <c r="L535" i="23"/>
  <c r="L535" i="16"/>
  <c r="L533" i="16"/>
  <c r="L533" i="17"/>
  <c r="L533" i="25"/>
  <c r="L533" i="23"/>
  <c r="L533" i="24"/>
  <c r="P536" i="16"/>
  <c r="P536" i="17"/>
  <c r="P536" i="25"/>
  <c r="Q536" i="25" s="1"/>
  <c r="R536" i="25" s="1"/>
  <c r="S536" i="25" s="1"/>
  <c r="T536" i="25" s="1"/>
  <c r="U536" i="25" s="1"/>
  <c r="V536" i="25" s="1"/>
  <c r="W536" i="25" s="1"/>
  <c r="X536" i="25" s="1"/>
  <c r="Y536" i="25" s="1"/>
  <c r="Z536" i="25" s="1"/>
  <c r="P536" i="24"/>
  <c r="Q536" i="24" s="1"/>
  <c r="R536" i="24" s="1"/>
  <c r="S536" i="24" s="1"/>
  <c r="T536" i="24" s="1"/>
  <c r="U536" i="24" s="1"/>
  <c r="V536" i="24" s="1"/>
  <c r="W536" i="24" s="1"/>
  <c r="X536" i="24" s="1"/>
  <c r="Y536" i="24" s="1"/>
  <c r="Z536" i="24" s="1"/>
  <c r="P536" i="23"/>
  <c r="Q536" i="23" s="1"/>
  <c r="R536" i="23" s="1"/>
  <c r="S536" i="23" s="1"/>
  <c r="T536" i="23" s="1"/>
  <c r="U536" i="23" s="1"/>
  <c r="V536" i="23" s="1"/>
  <c r="W536" i="23" s="1"/>
  <c r="X536" i="23" s="1"/>
  <c r="Y536" i="23" s="1"/>
  <c r="Z536" i="23" s="1"/>
  <c r="O539" i="17"/>
  <c r="O539" i="16"/>
  <c r="O539" i="25"/>
  <c r="O539" i="24"/>
  <c r="O539" i="23"/>
  <c r="O534" i="17"/>
  <c r="O534" i="25"/>
  <c r="O534" i="16"/>
  <c r="O534" i="24"/>
  <c r="O534" i="23"/>
  <c r="O536" i="17"/>
  <c r="O536" i="25"/>
  <c r="O536" i="24"/>
  <c r="O536" i="23"/>
  <c r="O536" i="16"/>
  <c r="O533" i="17"/>
  <c r="O533" i="24"/>
  <c r="O533" i="16"/>
  <c r="O533" i="25"/>
  <c r="O533" i="23"/>
  <c r="O535" i="24"/>
  <c r="O535" i="23"/>
  <c r="O535" i="17"/>
  <c r="O535" i="16"/>
  <c r="O535" i="25"/>
  <c r="N533" i="16"/>
  <c r="N533" i="24"/>
  <c r="N533" i="17"/>
  <c r="N533" i="25"/>
  <c r="N533" i="23"/>
  <c r="N535" i="24"/>
  <c r="N535" i="17"/>
  <c r="N535" i="25"/>
  <c r="N535" i="23"/>
  <c r="N535" i="16"/>
  <c r="N539" i="23"/>
  <c r="N539" i="17"/>
  <c r="N539" i="24"/>
  <c r="N539" i="25"/>
  <c r="N539" i="16"/>
  <c r="N534" i="17"/>
  <c r="N534" i="25"/>
  <c r="N534" i="23"/>
  <c r="N534" i="16"/>
  <c r="N534" i="24"/>
  <c r="N536" i="16"/>
  <c r="N536" i="25"/>
  <c r="N536" i="24"/>
  <c r="N536" i="17"/>
  <c r="N536" i="23"/>
  <c r="M535" i="23"/>
  <c r="M535" i="24"/>
  <c r="M535" i="25"/>
  <c r="M535" i="17"/>
  <c r="M535" i="16"/>
  <c r="M534" i="23"/>
  <c r="M534" i="24"/>
  <c r="M534" i="16"/>
  <c r="M534" i="17"/>
  <c r="M534" i="25"/>
  <c r="M539" i="16"/>
  <c r="M539" i="23"/>
  <c r="M539" i="24"/>
  <c r="M539" i="25"/>
  <c r="C539" i="25" s="1" a="1"/>
  <c r="C539" i="25" s="1"/>
  <c r="M539" i="17"/>
  <c r="C539" i="17" s="1" a="1"/>
  <c r="C539" i="17" s="1"/>
  <c r="M536" i="16"/>
  <c r="M536" i="17"/>
  <c r="M536" i="23"/>
  <c r="M536" i="24"/>
  <c r="M536" i="25"/>
  <c r="M533" i="24"/>
  <c r="M533" i="25"/>
  <c r="M533" i="16"/>
  <c r="M533" i="17"/>
  <c r="M533" i="23"/>
  <c r="O530" i="16"/>
  <c r="N530" i="16"/>
  <c r="M530" i="16"/>
  <c r="L530" i="17"/>
  <c r="L530" i="16"/>
  <c r="C29" i="10"/>
  <c r="AA324" i="5"/>
  <c r="AA260" i="5"/>
  <c r="AA255" i="5"/>
  <c r="AA273" i="5"/>
  <c r="E65" i="9"/>
  <c r="G65" i="9"/>
  <c r="F65" i="9"/>
  <c r="C65" i="9"/>
  <c r="D65" i="9"/>
  <c r="R123" i="17"/>
  <c r="R514" i="17"/>
  <c r="S332" i="17"/>
  <c r="R333" i="17"/>
  <c r="R507" i="17" s="1"/>
  <c r="C40" i="9"/>
  <c r="G351" i="15"/>
  <c r="H344" i="15"/>
  <c r="H364" i="15"/>
  <c r="G368" i="15"/>
  <c r="G333" i="15"/>
  <c r="F145" i="6"/>
  <c r="F137" i="6"/>
  <c r="F129" i="6"/>
  <c r="F121" i="6"/>
  <c r="F113" i="6"/>
  <c r="F105" i="6"/>
  <c r="F97" i="6"/>
  <c r="F89" i="6"/>
  <c r="F81" i="6"/>
  <c r="F69" i="6"/>
  <c r="F61" i="6"/>
  <c r="F53" i="6"/>
  <c r="F45" i="6"/>
  <c r="F138" i="6"/>
  <c r="F130" i="6"/>
  <c r="F122" i="6"/>
  <c r="F114" i="6"/>
  <c r="F106" i="6"/>
  <c r="F98" i="6"/>
  <c r="F90" i="6"/>
  <c r="F82" i="6"/>
  <c r="F70" i="6"/>
  <c r="F62" i="6"/>
  <c r="F54" i="6"/>
  <c r="F46" i="6"/>
  <c r="F139" i="6"/>
  <c r="F131" i="6"/>
  <c r="F123" i="6"/>
  <c r="F115" i="6"/>
  <c r="F107" i="6"/>
  <c r="F99" i="6"/>
  <c r="F91" i="6"/>
  <c r="F83" i="6"/>
  <c r="F71" i="6"/>
  <c r="F63" i="6"/>
  <c r="F55" i="6"/>
  <c r="F47" i="6"/>
  <c r="F140" i="6"/>
  <c r="F132" i="6"/>
  <c r="F124" i="6"/>
  <c r="F116" i="6"/>
  <c r="F108" i="6"/>
  <c r="F100" i="6"/>
  <c r="F92" i="6"/>
  <c r="F84" i="6"/>
  <c r="F72" i="6"/>
  <c r="F64" i="6"/>
  <c r="F56" i="6"/>
  <c r="F48" i="6"/>
  <c r="F142" i="6"/>
  <c r="F134" i="6"/>
  <c r="F126" i="6"/>
  <c r="F119" i="6"/>
  <c r="F103" i="6"/>
  <c r="F87" i="6"/>
  <c r="F67" i="6"/>
  <c r="F51" i="6"/>
  <c r="F44" i="6"/>
  <c r="F36" i="6"/>
  <c r="F28" i="6"/>
  <c r="F20" i="6"/>
  <c r="F12" i="6"/>
  <c r="F127" i="6"/>
  <c r="F117" i="6"/>
  <c r="F85" i="6"/>
  <c r="F141" i="6"/>
  <c r="F135" i="6"/>
  <c r="F112" i="6"/>
  <c r="F96" i="6"/>
  <c r="F80" i="6"/>
  <c r="F60" i="6"/>
  <c r="F37" i="6"/>
  <c r="F29" i="6"/>
  <c r="F21" i="6"/>
  <c r="F13" i="6"/>
  <c r="F133" i="6"/>
  <c r="F10" i="6"/>
  <c r="F144" i="6"/>
  <c r="F109" i="6"/>
  <c r="F93" i="6"/>
  <c r="F73" i="6"/>
  <c r="F57" i="6"/>
  <c r="F38" i="6"/>
  <c r="F30" i="6"/>
  <c r="F22" i="6"/>
  <c r="F14" i="6"/>
  <c r="F110" i="6"/>
  <c r="F125" i="6"/>
  <c r="F118" i="6"/>
  <c r="F102" i="6"/>
  <c r="F86" i="6"/>
  <c r="F66" i="6"/>
  <c r="F50" i="6"/>
  <c r="F39" i="6"/>
  <c r="F31" i="6"/>
  <c r="F23" i="6"/>
  <c r="F15" i="6"/>
  <c r="F26" i="6"/>
  <c r="F136" i="6"/>
  <c r="F143" i="6"/>
  <c r="F128" i="6"/>
  <c r="F111" i="6"/>
  <c r="F95" i="6"/>
  <c r="F75" i="6"/>
  <c r="F59" i="6"/>
  <c r="F40" i="6"/>
  <c r="F32" i="6"/>
  <c r="F24" i="6"/>
  <c r="F16" i="6"/>
  <c r="F49" i="6"/>
  <c r="F34" i="6"/>
  <c r="F18" i="6"/>
  <c r="F120" i="6"/>
  <c r="F104" i="6"/>
  <c r="F88" i="6"/>
  <c r="F68" i="6"/>
  <c r="F52" i="6"/>
  <c r="F41" i="6"/>
  <c r="F33" i="6"/>
  <c r="F25" i="6"/>
  <c r="F17" i="6"/>
  <c r="F101" i="6"/>
  <c r="F65" i="6"/>
  <c r="F42" i="6"/>
  <c r="F11" i="6"/>
  <c r="F43" i="6"/>
  <c r="F19" i="6"/>
  <c r="F94" i="6"/>
  <c r="F27" i="6"/>
  <c r="F35" i="6"/>
  <c r="F58" i="6"/>
  <c r="F74" i="6"/>
  <c r="D143" i="6"/>
  <c r="D135" i="6"/>
  <c r="D127" i="6"/>
  <c r="D119" i="6"/>
  <c r="D111" i="6"/>
  <c r="D103" i="6"/>
  <c r="D95" i="6"/>
  <c r="D87" i="6"/>
  <c r="D75" i="6"/>
  <c r="D67" i="6"/>
  <c r="D59" i="6"/>
  <c r="D51" i="6"/>
  <c r="D144" i="6"/>
  <c r="D136" i="6"/>
  <c r="D128" i="6"/>
  <c r="D120" i="6"/>
  <c r="D112" i="6"/>
  <c r="D104" i="6"/>
  <c r="D96" i="6"/>
  <c r="D88" i="6"/>
  <c r="D80" i="6"/>
  <c r="D68" i="6"/>
  <c r="D60" i="6"/>
  <c r="D52" i="6"/>
  <c r="D145" i="6"/>
  <c r="D137" i="6"/>
  <c r="D129" i="6"/>
  <c r="D121" i="6"/>
  <c r="D113" i="6"/>
  <c r="D105" i="6"/>
  <c r="D97" i="6"/>
  <c r="D89" i="6"/>
  <c r="D81" i="6"/>
  <c r="D69" i="6"/>
  <c r="D61" i="6"/>
  <c r="D53" i="6"/>
  <c r="D45" i="6"/>
  <c r="D138" i="6"/>
  <c r="D130" i="6"/>
  <c r="D122" i="6"/>
  <c r="D114" i="6"/>
  <c r="D106" i="6"/>
  <c r="D98" i="6"/>
  <c r="D90" i="6"/>
  <c r="D82" i="6"/>
  <c r="D70" i="6"/>
  <c r="D62" i="6"/>
  <c r="D54" i="6"/>
  <c r="D46" i="6"/>
  <c r="D140" i="6"/>
  <c r="D132" i="6"/>
  <c r="D142" i="6"/>
  <c r="D117" i="6"/>
  <c r="D101" i="6"/>
  <c r="D85" i="6"/>
  <c r="D65" i="6"/>
  <c r="D49" i="6"/>
  <c r="D42" i="6"/>
  <c r="D34" i="6"/>
  <c r="D26" i="6"/>
  <c r="D18" i="6"/>
  <c r="D10" i="6"/>
  <c r="D47" i="6"/>
  <c r="D124" i="6"/>
  <c r="D110" i="6"/>
  <c r="D94" i="6"/>
  <c r="D74" i="6"/>
  <c r="D58" i="6"/>
  <c r="D43" i="6"/>
  <c r="D35" i="6"/>
  <c r="D27" i="6"/>
  <c r="D19" i="6"/>
  <c r="D11" i="6"/>
  <c r="D24" i="6"/>
  <c r="D141" i="6"/>
  <c r="D126" i="6"/>
  <c r="D123" i="6"/>
  <c r="D107" i="6"/>
  <c r="D91" i="6"/>
  <c r="D71" i="6"/>
  <c r="D55" i="6"/>
  <c r="D44" i="6"/>
  <c r="D36" i="6"/>
  <c r="D28" i="6"/>
  <c r="D20" i="6"/>
  <c r="D12" i="6"/>
  <c r="D99" i="6"/>
  <c r="D63" i="6"/>
  <c r="D116" i="6"/>
  <c r="D100" i="6"/>
  <c r="D84" i="6"/>
  <c r="D64" i="6"/>
  <c r="D48" i="6"/>
  <c r="D37" i="6"/>
  <c r="D29" i="6"/>
  <c r="D21" i="6"/>
  <c r="D13" i="6"/>
  <c r="D115" i="6"/>
  <c r="D83" i="6"/>
  <c r="D40" i="6"/>
  <c r="D32" i="6"/>
  <c r="D131" i="6"/>
  <c r="D125" i="6"/>
  <c r="D109" i="6"/>
  <c r="D93" i="6"/>
  <c r="D73" i="6"/>
  <c r="D57" i="6"/>
  <c r="D38" i="6"/>
  <c r="D30" i="6"/>
  <c r="D22" i="6"/>
  <c r="D14" i="6"/>
  <c r="D134" i="6"/>
  <c r="D118" i="6"/>
  <c r="D102" i="6"/>
  <c r="D86" i="6"/>
  <c r="D66" i="6"/>
  <c r="D50" i="6"/>
  <c r="D39" i="6"/>
  <c r="D31" i="6"/>
  <c r="D23" i="6"/>
  <c r="D15" i="6"/>
  <c r="D16" i="6"/>
  <c r="D139" i="6"/>
  <c r="D92" i="6"/>
  <c r="D72" i="6"/>
  <c r="D108" i="6"/>
  <c r="D25" i="6"/>
  <c r="D17" i="6"/>
  <c r="D33" i="6"/>
  <c r="D133" i="6"/>
  <c r="D56" i="6"/>
  <c r="D41" i="6"/>
  <c r="E144" i="6"/>
  <c r="E136" i="6"/>
  <c r="E128" i="6"/>
  <c r="E120" i="6"/>
  <c r="E112" i="6"/>
  <c r="E104" i="6"/>
  <c r="E96" i="6"/>
  <c r="E88" i="6"/>
  <c r="E80" i="6"/>
  <c r="E68" i="6"/>
  <c r="E60" i="6"/>
  <c r="E52" i="6"/>
  <c r="E145" i="6"/>
  <c r="E137" i="6"/>
  <c r="E129" i="6"/>
  <c r="E121" i="6"/>
  <c r="E113" i="6"/>
  <c r="E105" i="6"/>
  <c r="E97" i="6"/>
  <c r="E89" i="6"/>
  <c r="E81" i="6"/>
  <c r="E69" i="6"/>
  <c r="E61" i="6"/>
  <c r="E53" i="6"/>
  <c r="E45" i="6"/>
  <c r="E138" i="6"/>
  <c r="E130" i="6"/>
  <c r="E122" i="6"/>
  <c r="E114" i="6"/>
  <c r="E106" i="6"/>
  <c r="E98" i="6"/>
  <c r="E90" i="6"/>
  <c r="E82" i="6"/>
  <c r="E70" i="6"/>
  <c r="E62" i="6"/>
  <c r="E54" i="6"/>
  <c r="E46" i="6"/>
  <c r="E139" i="6"/>
  <c r="E131" i="6"/>
  <c r="E123" i="6"/>
  <c r="E115" i="6"/>
  <c r="E107" i="6"/>
  <c r="E99" i="6"/>
  <c r="E91" i="6"/>
  <c r="E83" i="6"/>
  <c r="E71" i="6"/>
  <c r="E63" i="6"/>
  <c r="E55" i="6"/>
  <c r="E47" i="6"/>
  <c r="E141" i="6"/>
  <c r="E133" i="6"/>
  <c r="E125" i="6"/>
  <c r="E110" i="6"/>
  <c r="E94" i="6"/>
  <c r="E74" i="6"/>
  <c r="E58" i="6"/>
  <c r="E43" i="6"/>
  <c r="E35" i="6"/>
  <c r="E27" i="6"/>
  <c r="E19" i="6"/>
  <c r="E11" i="6"/>
  <c r="E33" i="6"/>
  <c r="E25" i="6"/>
  <c r="E132" i="6"/>
  <c r="E126" i="6"/>
  <c r="E119" i="6"/>
  <c r="E103" i="6"/>
  <c r="E87" i="6"/>
  <c r="E67" i="6"/>
  <c r="E51" i="6"/>
  <c r="E44" i="6"/>
  <c r="E36" i="6"/>
  <c r="E28" i="6"/>
  <c r="E20" i="6"/>
  <c r="E12" i="6"/>
  <c r="E17" i="6"/>
  <c r="E135" i="6"/>
  <c r="E116" i="6"/>
  <c r="E100" i="6"/>
  <c r="E84" i="6"/>
  <c r="E64" i="6"/>
  <c r="E48" i="6"/>
  <c r="E37" i="6"/>
  <c r="E29" i="6"/>
  <c r="E21" i="6"/>
  <c r="E13" i="6"/>
  <c r="E108" i="6"/>
  <c r="E72" i="6"/>
  <c r="E142" i="6"/>
  <c r="E109" i="6"/>
  <c r="E93" i="6"/>
  <c r="E73" i="6"/>
  <c r="E57" i="6"/>
  <c r="E38" i="6"/>
  <c r="E30" i="6"/>
  <c r="E22" i="6"/>
  <c r="E14" i="6"/>
  <c r="E124" i="6"/>
  <c r="E92" i="6"/>
  <c r="E56" i="6"/>
  <c r="E127" i="6"/>
  <c r="E117" i="6"/>
  <c r="E140" i="6"/>
  <c r="E134" i="6"/>
  <c r="E118" i="6"/>
  <c r="E102" i="6"/>
  <c r="E86" i="6"/>
  <c r="E66" i="6"/>
  <c r="E50" i="6"/>
  <c r="E39" i="6"/>
  <c r="E31" i="6"/>
  <c r="E23" i="6"/>
  <c r="E15" i="6"/>
  <c r="E41" i="6"/>
  <c r="E143" i="6"/>
  <c r="E111" i="6"/>
  <c r="E95" i="6"/>
  <c r="E75" i="6"/>
  <c r="E59" i="6"/>
  <c r="E40" i="6"/>
  <c r="E32" i="6"/>
  <c r="E24" i="6"/>
  <c r="E16" i="6"/>
  <c r="E34" i="6"/>
  <c r="E49" i="6"/>
  <c r="E10" i="6"/>
  <c r="E65" i="6"/>
  <c r="E18" i="6"/>
  <c r="E85" i="6"/>
  <c r="E26" i="6"/>
  <c r="E101" i="6"/>
  <c r="E42" i="6"/>
  <c r="C142" i="6"/>
  <c r="C134" i="6"/>
  <c r="C126" i="6"/>
  <c r="C118" i="6"/>
  <c r="C110" i="6"/>
  <c r="C102" i="6"/>
  <c r="C94" i="6"/>
  <c r="C86" i="6"/>
  <c r="C74" i="6"/>
  <c r="C66" i="6"/>
  <c r="C58" i="6"/>
  <c r="C50" i="6"/>
  <c r="C143" i="6"/>
  <c r="C135" i="6"/>
  <c r="C127" i="6"/>
  <c r="C119" i="6"/>
  <c r="C111" i="6"/>
  <c r="C103" i="6"/>
  <c r="C95" i="6"/>
  <c r="C87" i="6"/>
  <c r="C75" i="6"/>
  <c r="C67" i="6"/>
  <c r="C59" i="6"/>
  <c r="C51" i="6"/>
  <c r="C144" i="6"/>
  <c r="C136" i="6"/>
  <c r="C128" i="6"/>
  <c r="C120" i="6"/>
  <c r="C112" i="6"/>
  <c r="C104" i="6"/>
  <c r="C96" i="6"/>
  <c r="C88" i="6"/>
  <c r="C80" i="6"/>
  <c r="C68" i="6"/>
  <c r="C60" i="6"/>
  <c r="C52" i="6"/>
  <c r="C145" i="6"/>
  <c r="C137" i="6"/>
  <c r="C129" i="6"/>
  <c r="C121" i="6"/>
  <c r="C113" i="6"/>
  <c r="C105" i="6"/>
  <c r="C97" i="6"/>
  <c r="C89" i="6"/>
  <c r="C81" i="6"/>
  <c r="C69" i="6"/>
  <c r="C61" i="6"/>
  <c r="C53" i="6"/>
  <c r="C45" i="6"/>
  <c r="C139" i="6"/>
  <c r="C131" i="6"/>
  <c r="C133" i="6"/>
  <c r="C124" i="6"/>
  <c r="C108" i="6"/>
  <c r="C92" i="6"/>
  <c r="C72" i="6"/>
  <c r="C56" i="6"/>
  <c r="C41" i="6"/>
  <c r="C33" i="6"/>
  <c r="C25" i="6"/>
  <c r="C17" i="6"/>
  <c r="C39" i="6"/>
  <c r="C115" i="6"/>
  <c r="C117" i="6"/>
  <c r="C101" i="6"/>
  <c r="C85" i="6"/>
  <c r="C65" i="6"/>
  <c r="C49" i="6"/>
  <c r="C42" i="6"/>
  <c r="C34" i="6"/>
  <c r="C26" i="6"/>
  <c r="C18" i="6"/>
  <c r="C10" i="6"/>
  <c r="C31" i="6"/>
  <c r="C138" i="6"/>
  <c r="C132" i="6"/>
  <c r="C114" i="6"/>
  <c r="C98" i="6"/>
  <c r="C82" i="6"/>
  <c r="C62" i="6"/>
  <c r="C46" i="6"/>
  <c r="C43" i="6"/>
  <c r="C35" i="6"/>
  <c r="C27" i="6"/>
  <c r="C19" i="6"/>
  <c r="C11" i="6"/>
  <c r="C90" i="6"/>
  <c r="C15" i="6"/>
  <c r="C141" i="6"/>
  <c r="C123" i="6"/>
  <c r="C107" i="6"/>
  <c r="C91" i="6"/>
  <c r="C71" i="6"/>
  <c r="C55" i="6"/>
  <c r="C44" i="6"/>
  <c r="C36" i="6"/>
  <c r="C28" i="6"/>
  <c r="C20" i="6"/>
  <c r="C12" i="6"/>
  <c r="C106" i="6"/>
  <c r="C70" i="6"/>
  <c r="C116" i="6"/>
  <c r="C100" i="6"/>
  <c r="C84" i="6"/>
  <c r="C64" i="6"/>
  <c r="C48" i="6"/>
  <c r="C37" i="6"/>
  <c r="C29" i="6"/>
  <c r="C21" i="6"/>
  <c r="C13" i="6"/>
  <c r="C140" i="6"/>
  <c r="C125" i="6"/>
  <c r="C109" i="6"/>
  <c r="C93" i="6"/>
  <c r="C73" i="6"/>
  <c r="C57" i="6"/>
  <c r="C38" i="6"/>
  <c r="C30" i="6"/>
  <c r="C22" i="6"/>
  <c r="C14" i="6"/>
  <c r="C122" i="6"/>
  <c r="C54" i="6"/>
  <c r="C23" i="6"/>
  <c r="C16" i="6"/>
  <c r="C83" i="6"/>
  <c r="C47" i="6"/>
  <c r="C63" i="6"/>
  <c r="C40" i="6"/>
  <c r="C99" i="6"/>
  <c r="C24" i="6"/>
  <c r="C32" i="6"/>
  <c r="C130" i="6"/>
  <c r="G138" i="6"/>
  <c r="G130" i="6"/>
  <c r="G122" i="6"/>
  <c r="G114" i="6"/>
  <c r="G106" i="6"/>
  <c r="G98" i="6"/>
  <c r="G90" i="6"/>
  <c r="G82" i="6"/>
  <c r="G70" i="6"/>
  <c r="G62" i="6"/>
  <c r="G54" i="6"/>
  <c r="G46" i="6"/>
  <c r="G139" i="6"/>
  <c r="G131" i="6"/>
  <c r="G123" i="6"/>
  <c r="G115" i="6"/>
  <c r="G107" i="6"/>
  <c r="G99" i="6"/>
  <c r="G91" i="6"/>
  <c r="G83" i="6"/>
  <c r="G71" i="6"/>
  <c r="G63" i="6"/>
  <c r="G55" i="6"/>
  <c r="G47" i="6"/>
  <c r="G140" i="6"/>
  <c r="G132" i="6"/>
  <c r="G124" i="6"/>
  <c r="G116" i="6"/>
  <c r="G108" i="6"/>
  <c r="G100" i="6"/>
  <c r="G92" i="6"/>
  <c r="G84" i="6"/>
  <c r="G72" i="6"/>
  <c r="G64" i="6"/>
  <c r="G56" i="6"/>
  <c r="G48" i="6"/>
  <c r="G141" i="6"/>
  <c r="G133" i="6"/>
  <c r="G125" i="6"/>
  <c r="G117" i="6"/>
  <c r="G109" i="6"/>
  <c r="G101" i="6"/>
  <c r="G93" i="6"/>
  <c r="G85" i="6"/>
  <c r="G73" i="6"/>
  <c r="G65" i="6"/>
  <c r="G57" i="6"/>
  <c r="G49" i="6"/>
  <c r="G143" i="6"/>
  <c r="G135" i="6"/>
  <c r="G127" i="6"/>
  <c r="G126" i="6"/>
  <c r="G112" i="6"/>
  <c r="G96" i="6"/>
  <c r="G80" i="6"/>
  <c r="G60" i="6"/>
  <c r="G37" i="6"/>
  <c r="G29" i="6"/>
  <c r="G21" i="6"/>
  <c r="G13" i="6"/>
  <c r="G94" i="6"/>
  <c r="G58" i="6"/>
  <c r="G19" i="6"/>
  <c r="G145" i="6"/>
  <c r="G144" i="6"/>
  <c r="G129" i="6"/>
  <c r="G121" i="6"/>
  <c r="G105" i="6"/>
  <c r="G89" i="6"/>
  <c r="G69" i="6"/>
  <c r="G53" i="6"/>
  <c r="G38" i="6"/>
  <c r="G30" i="6"/>
  <c r="G22" i="6"/>
  <c r="G14" i="6"/>
  <c r="G118" i="6"/>
  <c r="G102" i="6"/>
  <c r="G86" i="6"/>
  <c r="G66" i="6"/>
  <c r="G50" i="6"/>
  <c r="G39" i="6"/>
  <c r="G31" i="6"/>
  <c r="G23" i="6"/>
  <c r="G15" i="6"/>
  <c r="G43" i="6"/>
  <c r="G119" i="6"/>
  <c r="G134" i="6"/>
  <c r="G128" i="6"/>
  <c r="G111" i="6"/>
  <c r="G95" i="6"/>
  <c r="G75" i="6"/>
  <c r="G59" i="6"/>
  <c r="G40" i="6"/>
  <c r="G32" i="6"/>
  <c r="G24" i="6"/>
  <c r="G16" i="6"/>
  <c r="G136" i="6"/>
  <c r="G137" i="6"/>
  <c r="G120" i="6"/>
  <c r="G104" i="6"/>
  <c r="G88" i="6"/>
  <c r="G68" i="6"/>
  <c r="G52" i="6"/>
  <c r="G41" i="6"/>
  <c r="G33" i="6"/>
  <c r="G25" i="6"/>
  <c r="G17" i="6"/>
  <c r="G142" i="6"/>
  <c r="G74" i="6"/>
  <c r="G27" i="6"/>
  <c r="G11" i="6"/>
  <c r="G113" i="6"/>
  <c r="G97" i="6"/>
  <c r="G81" i="6"/>
  <c r="G61" i="6"/>
  <c r="G45" i="6"/>
  <c r="G42" i="6"/>
  <c r="G34" i="6"/>
  <c r="G26" i="6"/>
  <c r="G18" i="6"/>
  <c r="G10" i="6"/>
  <c r="G110" i="6"/>
  <c r="G35" i="6"/>
  <c r="G51" i="6"/>
  <c r="G20" i="6"/>
  <c r="G67" i="6"/>
  <c r="G28" i="6"/>
  <c r="G87" i="6"/>
  <c r="G36" i="6"/>
  <c r="G103" i="6"/>
  <c r="G44" i="6"/>
  <c r="G12" i="6"/>
  <c r="H139" i="6"/>
  <c r="H131" i="6"/>
  <c r="H123" i="6"/>
  <c r="H115" i="6"/>
  <c r="H107" i="6"/>
  <c r="H99" i="6"/>
  <c r="H91" i="6"/>
  <c r="H83" i="6"/>
  <c r="H71" i="6"/>
  <c r="H63" i="6"/>
  <c r="H55" i="6"/>
  <c r="H47" i="6"/>
  <c r="H140" i="6"/>
  <c r="H132" i="6"/>
  <c r="H124" i="6"/>
  <c r="H116" i="6"/>
  <c r="H108" i="6"/>
  <c r="H100" i="6"/>
  <c r="H92" i="6"/>
  <c r="H84" i="6"/>
  <c r="H72" i="6"/>
  <c r="H64" i="6"/>
  <c r="H56" i="6"/>
  <c r="H48" i="6"/>
  <c r="H141" i="6"/>
  <c r="H133" i="6"/>
  <c r="H125" i="6"/>
  <c r="H117" i="6"/>
  <c r="H109" i="6"/>
  <c r="H101" i="6"/>
  <c r="H93" i="6"/>
  <c r="H85" i="6"/>
  <c r="H73" i="6"/>
  <c r="H65" i="6"/>
  <c r="H57" i="6"/>
  <c r="H49" i="6"/>
  <c r="H142" i="6"/>
  <c r="H134" i="6"/>
  <c r="H126" i="6"/>
  <c r="H118" i="6"/>
  <c r="H110" i="6"/>
  <c r="H102" i="6"/>
  <c r="H94" i="6"/>
  <c r="H86" i="6"/>
  <c r="H74" i="6"/>
  <c r="H66" i="6"/>
  <c r="H58" i="6"/>
  <c r="H50" i="6"/>
  <c r="H144" i="6"/>
  <c r="H136" i="6"/>
  <c r="H128" i="6"/>
  <c r="H135" i="6"/>
  <c r="H129" i="6"/>
  <c r="H121" i="6"/>
  <c r="H105" i="6"/>
  <c r="H89" i="6"/>
  <c r="H69" i="6"/>
  <c r="H53" i="6"/>
  <c r="H38" i="6"/>
  <c r="H30" i="6"/>
  <c r="H22" i="6"/>
  <c r="H14" i="6"/>
  <c r="H130" i="6"/>
  <c r="H103" i="6"/>
  <c r="H67" i="6"/>
  <c r="H12" i="6"/>
  <c r="H138" i="6"/>
  <c r="H114" i="6"/>
  <c r="H98" i="6"/>
  <c r="H82" i="6"/>
  <c r="H62" i="6"/>
  <c r="H46" i="6"/>
  <c r="H39" i="6"/>
  <c r="H31" i="6"/>
  <c r="H23" i="6"/>
  <c r="H15" i="6"/>
  <c r="H111" i="6"/>
  <c r="H95" i="6"/>
  <c r="H75" i="6"/>
  <c r="H59" i="6"/>
  <c r="H40" i="6"/>
  <c r="H32" i="6"/>
  <c r="H24" i="6"/>
  <c r="H16" i="6"/>
  <c r="H119" i="6"/>
  <c r="H51" i="6"/>
  <c r="H36" i="6"/>
  <c r="H143" i="6"/>
  <c r="H137" i="6"/>
  <c r="H120" i="6"/>
  <c r="H104" i="6"/>
  <c r="H88" i="6"/>
  <c r="H68" i="6"/>
  <c r="H52" i="6"/>
  <c r="H41" i="6"/>
  <c r="H33" i="6"/>
  <c r="H25" i="6"/>
  <c r="H17" i="6"/>
  <c r="H44" i="6"/>
  <c r="H20" i="6"/>
  <c r="H113" i="6"/>
  <c r="H97" i="6"/>
  <c r="H81" i="6"/>
  <c r="H61" i="6"/>
  <c r="H45" i="6"/>
  <c r="H42" i="6"/>
  <c r="H34" i="6"/>
  <c r="H26" i="6"/>
  <c r="H18" i="6"/>
  <c r="H10" i="6"/>
  <c r="H127" i="6"/>
  <c r="H122" i="6"/>
  <c r="H106" i="6"/>
  <c r="H90" i="6"/>
  <c r="H70" i="6"/>
  <c r="H54" i="6"/>
  <c r="H43" i="6"/>
  <c r="H35" i="6"/>
  <c r="H27" i="6"/>
  <c r="H19" i="6"/>
  <c r="H11" i="6"/>
  <c r="H145" i="6"/>
  <c r="H87" i="6"/>
  <c r="H28" i="6"/>
  <c r="H112" i="6"/>
  <c r="H29" i="6"/>
  <c r="H37" i="6"/>
  <c r="H60" i="6"/>
  <c r="H80" i="6"/>
  <c r="H96" i="6"/>
  <c r="H13" i="6"/>
  <c r="H21" i="6"/>
  <c r="AA256" i="5"/>
  <c r="AA245" i="5"/>
  <c r="AA268" i="5"/>
  <c r="AA274" i="5"/>
  <c r="AA230" i="5"/>
  <c r="AA250" i="5"/>
  <c r="AA240" i="5"/>
  <c r="AA231" i="5"/>
  <c r="AA264" i="5"/>
  <c r="W5" i="5"/>
  <c r="AA301" i="5"/>
  <c r="AA302" i="5"/>
  <c r="AA239" i="5"/>
  <c r="D29" i="10"/>
  <c r="G29" i="10"/>
  <c r="E29" i="10"/>
  <c r="F29" i="10"/>
  <c r="AA271" i="5"/>
  <c r="AA219" i="5"/>
  <c r="Y5" i="5"/>
  <c r="AA263" i="5"/>
  <c r="AA269" i="5"/>
  <c r="AA235" i="5"/>
  <c r="AA249" i="5"/>
  <c r="AA222" i="5"/>
  <c r="Z5" i="5"/>
  <c r="AA243" i="5"/>
  <c r="AA258" i="5"/>
  <c r="AA265" i="5"/>
  <c r="AA246" i="5"/>
  <c r="AB210" i="5"/>
  <c r="AB208" i="5"/>
  <c r="AB206" i="5"/>
  <c r="AB204" i="5"/>
  <c r="AB202" i="5"/>
  <c r="AB200" i="5"/>
  <c r="AB198" i="5"/>
  <c r="AB196" i="5"/>
  <c r="AB194" i="5"/>
  <c r="AB192" i="5"/>
  <c r="AB190" i="5"/>
  <c r="AB188" i="5"/>
  <c r="AB186" i="5"/>
  <c r="AB184" i="5"/>
  <c r="AB182" i="5"/>
  <c r="AB180" i="5"/>
  <c r="AB178" i="5"/>
  <c r="AB176" i="5"/>
  <c r="AB174" i="5"/>
  <c r="AB172" i="5"/>
  <c r="AB170" i="5"/>
  <c r="AB168" i="5"/>
  <c r="AB166" i="5"/>
  <c r="AB164" i="5"/>
  <c r="AB162" i="5"/>
  <c r="AB160" i="5"/>
  <c r="AB158" i="5"/>
  <c r="AB156" i="5"/>
  <c r="AB154" i="5"/>
  <c r="AB152" i="5"/>
  <c r="AB150" i="5"/>
  <c r="AB148" i="5"/>
  <c r="AB146" i="5"/>
  <c r="AB144" i="5"/>
  <c r="AB142" i="5"/>
  <c r="AB140" i="5"/>
  <c r="AB138" i="5"/>
  <c r="AB136" i="5"/>
  <c r="AB134" i="5"/>
  <c r="AB323" i="5" s="1"/>
  <c r="AB132" i="5"/>
  <c r="AB321" i="5" s="1"/>
  <c r="AB130" i="5"/>
  <c r="AB128" i="5"/>
  <c r="AB317" i="5" s="1"/>
  <c r="AB126" i="5"/>
  <c r="AB315" i="5" s="1"/>
  <c r="AB124" i="5"/>
  <c r="AB313" i="5" s="1"/>
  <c r="AB122" i="5"/>
  <c r="AB311" i="5" s="1"/>
  <c r="AB120" i="5"/>
  <c r="AB209" i="5"/>
  <c r="AB207" i="5"/>
  <c r="AB205" i="5"/>
  <c r="AB203" i="5"/>
  <c r="AB201" i="5"/>
  <c r="AB199" i="5"/>
  <c r="AB197" i="5"/>
  <c r="AB195" i="5"/>
  <c r="AB193" i="5"/>
  <c r="AB191" i="5"/>
  <c r="AB189" i="5"/>
  <c r="AB187" i="5"/>
  <c r="AB185" i="5"/>
  <c r="AB183" i="5"/>
  <c r="AB181" i="5"/>
  <c r="AB179" i="5"/>
  <c r="AB177" i="5"/>
  <c r="AB175" i="5"/>
  <c r="AB173" i="5"/>
  <c r="AB171" i="5"/>
  <c r="AB169" i="5"/>
  <c r="AB167" i="5"/>
  <c r="AB165" i="5"/>
  <c r="AB163" i="5"/>
  <c r="AB161" i="5"/>
  <c r="AB159" i="5"/>
  <c r="AB157" i="5"/>
  <c r="AB155" i="5"/>
  <c r="AB153" i="5"/>
  <c r="AB151" i="5"/>
  <c r="AB149" i="5"/>
  <c r="AB147" i="5"/>
  <c r="AB145" i="5"/>
  <c r="AB102" i="5"/>
  <c r="AB94" i="5"/>
  <c r="AB86" i="5"/>
  <c r="AB78" i="5"/>
  <c r="AB70" i="5"/>
  <c r="AB62" i="5"/>
  <c r="AB54" i="5"/>
  <c r="AB46" i="5"/>
  <c r="AB38" i="5"/>
  <c r="AB143" i="5"/>
  <c r="AB139" i="5"/>
  <c r="AB135" i="5"/>
  <c r="AB131" i="5"/>
  <c r="AB127" i="5"/>
  <c r="AB316" i="5" s="1"/>
  <c r="AB123" i="5"/>
  <c r="AB312" i="5" s="1"/>
  <c r="AB115" i="5"/>
  <c r="AB110" i="5"/>
  <c r="AB107" i="5"/>
  <c r="AB99" i="5"/>
  <c r="AB91" i="5"/>
  <c r="AB83" i="5"/>
  <c r="AB75" i="5"/>
  <c r="AB67" i="5"/>
  <c r="AB59" i="5"/>
  <c r="AB51" i="5"/>
  <c r="AB43" i="5"/>
  <c r="AB119" i="5"/>
  <c r="AB308" i="5" s="1"/>
  <c r="AB104" i="5"/>
  <c r="AB96" i="5"/>
  <c r="AB88" i="5"/>
  <c r="AB80" i="5"/>
  <c r="AB72" i="5"/>
  <c r="AB64" i="5"/>
  <c r="AB56" i="5"/>
  <c r="AB48" i="5"/>
  <c r="AB40" i="5"/>
  <c r="AB32" i="5"/>
  <c r="AB297" i="5" s="1"/>
  <c r="AB118" i="5"/>
  <c r="AB307" i="5" s="1"/>
  <c r="AB109" i="5"/>
  <c r="AB101" i="5"/>
  <c r="AB93" i="5"/>
  <c r="AB85" i="5"/>
  <c r="AB77" i="5"/>
  <c r="AB69" i="5"/>
  <c r="AB61" i="5"/>
  <c r="AB53" i="5"/>
  <c r="AB45" i="5"/>
  <c r="AB106" i="5"/>
  <c r="AB98" i="5"/>
  <c r="AB90" i="5"/>
  <c r="AB82" i="5"/>
  <c r="AB74" i="5"/>
  <c r="AB66" i="5"/>
  <c r="AB58" i="5"/>
  <c r="AB50" i="5"/>
  <c r="AB42" i="5"/>
  <c r="AB141" i="5"/>
  <c r="AB137" i="5"/>
  <c r="AB133" i="5"/>
  <c r="AB129" i="5"/>
  <c r="AB318" i="5" s="1"/>
  <c r="AB125" i="5"/>
  <c r="AB121" i="5"/>
  <c r="AB310" i="5" s="1"/>
  <c r="AB117" i="5"/>
  <c r="AB306" i="5" s="1"/>
  <c r="AB103" i="5"/>
  <c r="AB95" i="5"/>
  <c r="AB87" i="5"/>
  <c r="AB116" i="5"/>
  <c r="AB305" i="5" s="1"/>
  <c r="AB105" i="5"/>
  <c r="AB97" i="5"/>
  <c r="AB89" i="5"/>
  <c r="AB81" i="5"/>
  <c r="AB73" i="5"/>
  <c r="AB41" i="5"/>
  <c r="AB33" i="5"/>
  <c r="AB21" i="5"/>
  <c r="AB286" i="5" s="1"/>
  <c r="AC8" i="5"/>
  <c r="AB63" i="5"/>
  <c r="AB55" i="5"/>
  <c r="AB47" i="5"/>
  <c r="AB39" i="5"/>
  <c r="AB34" i="5"/>
  <c r="AB299" i="5" s="1"/>
  <c r="AB31" i="5"/>
  <c r="AB26" i="5"/>
  <c r="AB291" i="5" s="1"/>
  <c r="AB18" i="5"/>
  <c r="AB283" i="5" s="1"/>
  <c r="AB79" i="5"/>
  <c r="AB71" i="5"/>
  <c r="AB35" i="5"/>
  <c r="AB30" i="5"/>
  <c r="AB23" i="5"/>
  <c r="AB288" i="5" s="1"/>
  <c r="AB15" i="5"/>
  <c r="AB27" i="5"/>
  <c r="AB292" i="5" s="1"/>
  <c r="AB36" i="5"/>
  <c r="AB29" i="5"/>
  <c r="AB294" i="5" s="1"/>
  <c r="AB20" i="5"/>
  <c r="AB108" i="5"/>
  <c r="AB100" i="5"/>
  <c r="AB92" i="5"/>
  <c r="AB84" i="5"/>
  <c r="AB60" i="5"/>
  <c r="AB52" i="5"/>
  <c r="AB44" i="5"/>
  <c r="AB37" i="5"/>
  <c r="AB28" i="5"/>
  <c r="AB293" i="5" s="1"/>
  <c r="AB25" i="5"/>
  <c r="AB17" i="5"/>
  <c r="AB282" i="5" s="1"/>
  <c r="AB22" i="5"/>
  <c r="AB287" i="5" s="1"/>
  <c r="AB76" i="5"/>
  <c r="AB68" i="5"/>
  <c r="AB65" i="5"/>
  <c r="AB57" i="5"/>
  <c r="AB49" i="5"/>
  <c r="AB24" i="5"/>
  <c r="AB289" i="5" s="1"/>
  <c r="AB16" i="5"/>
  <c r="AB281" i="5" s="1"/>
  <c r="AB19" i="5"/>
  <c r="AB284" i="5" s="1"/>
  <c r="J31" i="6"/>
  <c r="AA327" i="5"/>
  <c r="AA251" i="5"/>
  <c r="AA224" i="5"/>
  <c r="AA272" i="5"/>
  <c r="AA217" i="5"/>
  <c r="X5" i="5"/>
  <c r="B146" i="6"/>
  <c r="AA229" i="5"/>
  <c r="AA266" i="5"/>
  <c r="AA232" i="5"/>
  <c r="AA248" i="5"/>
  <c r="AA221" i="5"/>
  <c r="AA244" i="5"/>
  <c r="AA4" i="5"/>
  <c r="V5" i="5"/>
  <c r="AA215" i="5"/>
  <c r="AA218" i="5"/>
  <c r="AA328" i="5"/>
  <c r="AA298" i="5"/>
  <c r="AA300" i="5"/>
  <c r="AA252" i="5"/>
  <c r="AA225" i="5"/>
  <c r="AA237" i="5"/>
  <c r="AA253" i="5"/>
  <c r="AA304" i="5"/>
  <c r="AA257" i="5"/>
  <c r="AA7" i="5"/>
  <c r="J32" i="6"/>
  <c r="AA227" i="5"/>
  <c r="AA267" i="5"/>
  <c r="AA233" i="5"/>
  <c r="AA223" i="5"/>
  <c r="AA314" i="5"/>
  <c r="AA259" i="5"/>
  <c r="AA241" i="5"/>
  <c r="AA261" i="5"/>
  <c r="AA236" i="5"/>
  <c r="AA234" i="5"/>
  <c r="B76" i="6"/>
  <c r="B4" i="6"/>
  <c r="B6" i="6" s="1"/>
  <c r="AA216" i="5"/>
  <c r="AA303" i="5"/>
  <c r="AA247" i="5"/>
  <c r="AA220" i="5"/>
  <c r="AA320" i="5"/>
  <c r="AA226" i="5"/>
  <c r="AA295" i="5"/>
  <c r="AA242" i="5"/>
  <c r="AA6" i="5"/>
  <c r="AA326" i="5"/>
  <c r="AA262" i="5"/>
  <c r="AA228" i="5"/>
  <c r="C539" i="23" l="1" a="1"/>
  <c r="C539" i="23" s="1"/>
  <c r="M540" i="25"/>
  <c r="L540" i="24"/>
  <c r="L540" i="25"/>
  <c r="M540" i="24"/>
  <c r="M540" i="23"/>
  <c r="C539" i="16" a="1"/>
  <c r="C539" i="16" s="1"/>
  <c r="L540" i="23"/>
  <c r="P540" i="25"/>
  <c r="Q533" i="25"/>
  <c r="R533" i="25" s="1"/>
  <c r="S533" i="25" s="1"/>
  <c r="T533" i="25" s="1"/>
  <c r="U533" i="25" s="1"/>
  <c r="V533" i="25" s="1"/>
  <c r="W533" i="25" s="1"/>
  <c r="X533" i="25" s="1"/>
  <c r="Y533" i="25" s="1"/>
  <c r="Z533" i="25" s="1"/>
  <c r="P540" i="16"/>
  <c r="P540" i="23"/>
  <c r="Q533" i="23"/>
  <c r="R533" i="23" s="1"/>
  <c r="S533" i="23" s="1"/>
  <c r="T533" i="23" s="1"/>
  <c r="U533" i="23" s="1"/>
  <c r="V533" i="23" s="1"/>
  <c r="W533" i="23" s="1"/>
  <c r="X533" i="23" s="1"/>
  <c r="Y533" i="23" s="1"/>
  <c r="Z533" i="23" s="1"/>
  <c r="P540" i="24"/>
  <c r="Q533" i="24"/>
  <c r="R533" i="24" s="1"/>
  <c r="S533" i="24" s="1"/>
  <c r="T533" i="24" s="1"/>
  <c r="U533" i="24" s="1"/>
  <c r="V533" i="24" s="1"/>
  <c r="W533" i="24" s="1"/>
  <c r="X533" i="24" s="1"/>
  <c r="Y533" i="24" s="1"/>
  <c r="Z533" i="24" s="1"/>
  <c r="P540" i="17"/>
  <c r="O540" i="17"/>
  <c r="O540" i="23"/>
  <c r="O540" i="25"/>
  <c r="O540" i="16"/>
  <c r="O540" i="24"/>
  <c r="C539" i="24" a="1"/>
  <c r="C539" i="24" s="1"/>
  <c r="N540" i="23"/>
  <c r="N540" i="25"/>
  <c r="N540" i="17"/>
  <c r="N540" i="24"/>
  <c r="N540" i="16"/>
  <c r="M540" i="17"/>
  <c r="M540" i="16"/>
  <c r="L540" i="17"/>
  <c r="L540" i="16"/>
  <c r="J100" i="6"/>
  <c r="J136" i="6"/>
  <c r="J27" i="6"/>
  <c r="J81" i="6"/>
  <c r="J41" i="6"/>
  <c r="J130" i="6"/>
  <c r="J58" i="6"/>
  <c r="J124" i="6"/>
  <c r="J56" i="6"/>
  <c r="AA5" i="5"/>
  <c r="J29" i="6"/>
  <c r="J51" i="6"/>
  <c r="J95" i="6"/>
  <c r="J82" i="6"/>
  <c r="J121" i="6"/>
  <c r="J99" i="6"/>
  <c r="J113" i="6"/>
  <c r="J119" i="6"/>
  <c r="J109" i="6"/>
  <c r="J72" i="6"/>
  <c r="J140" i="6"/>
  <c r="J107" i="6"/>
  <c r="J21" i="6"/>
  <c r="J26" i="6"/>
  <c r="J20" i="6"/>
  <c r="J135" i="6"/>
  <c r="J117" i="6"/>
  <c r="J44" i="6"/>
  <c r="J24" i="6"/>
  <c r="J138" i="6"/>
  <c r="J94" i="6"/>
  <c r="J57" i="6"/>
  <c r="J125" i="6"/>
  <c r="J126" i="6"/>
  <c r="J120" i="6"/>
  <c r="J106" i="6"/>
  <c r="J45" i="6"/>
  <c r="J137" i="6"/>
  <c r="J40" i="6"/>
  <c r="J110" i="6"/>
  <c r="J73" i="6"/>
  <c r="J141" i="6"/>
  <c r="J122" i="6"/>
  <c r="J59" i="6"/>
  <c r="J103" i="6"/>
  <c r="J89" i="6"/>
  <c r="J118" i="6"/>
  <c r="J85" i="6"/>
  <c r="J48" i="6"/>
  <c r="Q384" i="17"/>
  <c r="Q160" i="17"/>
  <c r="R160" i="17" s="1"/>
  <c r="W8" i="8"/>
  <c r="W9" i="8" s="1"/>
  <c r="T332" i="17"/>
  <c r="S123" i="17"/>
  <c r="S514" i="17"/>
  <c r="S333" i="17"/>
  <c r="S507" i="17" s="1"/>
  <c r="C41" i="9"/>
  <c r="D37" i="9"/>
  <c r="D38" i="9" s="1"/>
  <c r="H333" i="15"/>
  <c r="H368" i="15"/>
  <c r="I364" i="15"/>
  <c r="H351" i="15"/>
  <c r="I344" i="15"/>
  <c r="J37" i="6"/>
  <c r="J42" i="6"/>
  <c r="J88" i="6"/>
  <c r="J123" i="6"/>
  <c r="J53" i="6"/>
  <c r="J102" i="6"/>
  <c r="J134" i="6"/>
  <c r="J104" i="6"/>
  <c r="J63" i="6"/>
  <c r="J50" i="6"/>
  <c r="J133" i="6"/>
  <c r="J49" i="6"/>
  <c r="J71" i="6"/>
  <c r="J92" i="6"/>
  <c r="J67" i="6"/>
  <c r="J87" i="6"/>
  <c r="J22" i="6"/>
  <c r="J142" i="6"/>
  <c r="J98" i="6"/>
  <c r="J43" i="6"/>
  <c r="J12" i="6"/>
  <c r="J16" i="6"/>
  <c r="J28" i="6"/>
  <c r="J111" i="6"/>
  <c r="J132" i="6"/>
  <c r="J116" i="6"/>
  <c r="J90" i="6"/>
  <c r="J66" i="6"/>
  <c r="J46" i="6"/>
  <c r="J39" i="6"/>
  <c r="J86" i="6"/>
  <c r="J101" i="6"/>
  <c r="J68" i="6"/>
  <c r="J108" i="6"/>
  <c r="J33" i="6"/>
  <c r="J55" i="6"/>
  <c r="J11" i="6"/>
  <c r="J35" i="6"/>
  <c r="J64" i="6"/>
  <c r="J115" i="6"/>
  <c r="J38" i="6"/>
  <c r="J131" i="6"/>
  <c r="J61" i="6"/>
  <c r="J60" i="6"/>
  <c r="J129" i="6"/>
  <c r="J69" i="6"/>
  <c r="AB273" i="5"/>
  <c r="F76" i="6"/>
  <c r="AB254" i="5"/>
  <c r="J54" i="6"/>
  <c r="AB255" i="5"/>
  <c r="D146" i="6"/>
  <c r="E146" i="6"/>
  <c r="J143" i="6"/>
  <c r="G4" i="6"/>
  <c r="G6" i="6" s="1"/>
  <c r="G76" i="6"/>
  <c r="AB280" i="5"/>
  <c r="AB239" i="5"/>
  <c r="AB111" i="5"/>
  <c r="AB7" i="5"/>
  <c r="AB4" i="5"/>
  <c r="AB5" i="5" s="1"/>
  <c r="AB319" i="5"/>
  <c r="AB260" i="5"/>
  <c r="J36" i="6"/>
  <c r="H76" i="6"/>
  <c r="H4" i="6"/>
  <c r="J15" i="6"/>
  <c r="J52" i="6"/>
  <c r="J19" i="6"/>
  <c r="AB248" i="5"/>
  <c r="AB221" i="5"/>
  <c r="AB324" i="5"/>
  <c r="AB322" i="5"/>
  <c r="AB327" i="5"/>
  <c r="AB265" i="5"/>
  <c r="AB231" i="5"/>
  <c r="AB266" i="5"/>
  <c r="AB232" i="5"/>
  <c r="J145" i="6"/>
  <c r="J18" i="6"/>
  <c r="C146" i="6"/>
  <c r="J128" i="6"/>
  <c r="J23" i="6"/>
  <c r="J127" i="6"/>
  <c r="AB269" i="5"/>
  <c r="AB235" i="5"/>
  <c r="AB270" i="5"/>
  <c r="AB236" i="5"/>
  <c r="J17" i="6"/>
  <c r="J96" i="6"/>
  <c r="F146" i="6"/>
  <c r="J139" i="6"/>
  <c r="J144" i="6"/>
  <c r="AB290" i="5"/>
  <c r="AB241" i="5"/>
  <c r="AB256" i="5"/>
  <c r="AB295" i="5"/>
  <c r="AB242" i="5"/>
  <c r="AB6" i="5"/>
  <c r="AB304" i="5"/>
  <c r="AB257" i="5"/>
  <c r="AB211" i="5"/>
  <c r="AB263" i="5"/>
  <c r="AB229" i="5"/>
  <c r="AB230" i="5"/>
  <c r="AB264" i="5"/>
  <c r="J70" i="6"/>
  <c r="J112" i="6"/>
  <c r="J74" i="6"/>
  <c r="AB301" i="5"/>
  <c r="AB216" i="5"/>
  <c r="AB243" i="5"/>
  <c r="AB246" i="5"/>
  <c r="AB219" i="5"/>
  <c r="AB245" i="5"/>
  <c r="AB218" i="5"/>
  <c r="AB252" i="5"/>
  <c r="AB225" i="5"/>
  <c r="AB237" i="5"/>
  <c r="AB309" i="5"/>
  <c r="AB258" i="5"/>
  <c r="AB274" i="5"/>
  <c r="J75" i="6"/>
  <c r="J65" i="6"/>
  <c r="J105" i="6"/>
  <c r="AB296" i="5"/>
  <c r="AB215" i="5"/>
  <c r="J93" i="6"/>
  <c r="H146" i="6"/>
  <c r="E76" i="6"/>
  <c r="E4" i="6"/>
  <c r="AB285" i="5"/>
  <c r="AB240" i="5"/>
  <c r="AB247" i="5"/>
  <c r="AB303" i="5"/>
  <c r="AB220" i="5"/>
  <c r="AB251" i="5"/>
  <c r="AB224" i="5"/>
  <c r="AB233" i="5"/>
  <c r="AB267" i="5"/>
  <c r="AB268" i="5"/>
  <c r="AB234" i="5"/>
  <c r="J83" i="6"/>
  <c r="J84" i="6"/>
  <c r="J34" i="6"/>
  <c r="AB253" i="5"/>
  <c r="J47" i="6"/>
  <c r="AB249" i="5"/>
  <c r="AB222" i="5"/>
  <c r="AB314" i="5"/>
  <c r="AB259" i="5"/>
  <c r="AB320" i="5"/>
  <c r="AB226" i="5"/>
  <c r="AB223" i="5"/>
  <c r="AB250" i="5"/>
  <c r="AB326" i="5"/>
  <c r="AB262" i="5"/>
  <c r="AB228" i="5"/>
  <c r="J91" i="6"/>
  <c r="J97" i="6"/>
  <c r="F4" i="6"/>
  <c r="J114" i="6"/>
  <c r="J30" i="6"/>
  <c r="AB298" i="5"/>
  <c r="AB300" i="5"/>
  <c r="AB328" i="5"/>
  <c r="J13" i="6"/>
  <c r="G146" i="6"/>
  <c r="D76" i="6"/>
  <c r="D4" i="6"/>
  <c r="C76" i="6"/>
  <c r="C4" i="6"/>
  <c r="J25" i="6"/>
  <c r="AC110" i="5"/>
  <c r="AC209" i="5"/>
  <c r="AC207" i="5"/>
  <c r="AC205" i="5"/>
  <c r="AC203" i="5"/>
  <c r="AC201" i="5"/>
  <c r="AC199" i="5"/>
  <c r="AC197" i="5"/>
  <c r="AC195" i="5"/>
  <c r="AC193" i="5"/>
  <c r="AC191" i="5"/>
  <c r="AC189" i="5"/>
  <c r="AC187" i="5"/>
  <c r="AC185" i="5"/>
  <c r="K135" i="6" s="1"/>
  <c r="AC183" i="5"/>
  <c r="AC181" i="5"/>
  <c r="AC179" i="5"/>
  <c r="AC177" i="5"/>
  <c r="AC175" i="5"/>
  <c r="AC173" i="5"/>
  <c r="AC171" i="5"/>
  <c r="K121" i="6" s="1"/>
  <c r="AC169" i="5"/>
  <c r="K119" i="6" s="1"/>
  <c r="AC167" i="5"/>
  <c r="AC165" i="5"/>
  <c r="AC210" i="5"/>
  <c r="AC208" i="5"/>
  <c r="AC206" i="5"/>
  <c r="AC204" i="5"/>
  <c r="AC202" i="5"/>
  <c r="AC200" i="5"/>
  <c r="AC198" i="5"/>
  <c r="AC196" i="5"/>
  <c r="AC194" i="5"/>
  <c r="AC192" i="5"/>
  <c r="AC190" i="5"/>
  <c r="AC188" i="5"/>
  <c r="AC184" i="5"/>
  <c r="AC180" i="5"/>
  <c r="AC176" i="5"/>
  <c r="AC160" i="5"/>
  <c r="AC156" i="5"/>
  <c r="AC152" i="5"/>
  <c r="AC148" i="5"/>
  <c r="AC143" i="5"/>
  <c r="AC139" i="5"/>
  <c r="AC135" i="5"/>
  <c r="AC131" i="5"/>
  <c r="AC127" i="5"/>
  <c r="AC316" i="5" s="1"/>
  <c r="AC123" i="5"/>
  <c r="AC312" i="5" s="1"/>
  <c r="AC115" i="5"/>
  <c r="AC107" i="5"/>
  <c r="AC99" i="5"/>
  <c r="AC91" i="5"/>
  <c r="AC83" i="5"/>
  <c r="AC75" i="5"/>
  <c r="AC67" i="5"/>
  <c r="AC59" i="5"/>
  <c r="AC51" i="5"/>
  <c r="K31" i="6" s="1"/>
  <c r="AC43" i="5"/>
  <c r="AC35" i="5"/>
  <c r="AC172" i="5"/>
  <c r="AC170" i="5"/>
  <c r="AC168" i="5"/>
  <c r="K118" i="6" s="1"/>
  <c r="AC166" i="5"/>
  <c r="AC164" i="5"/>
  <c r="AC119" i="5"/>
  <c r="AC308" i="5" s="1"/>
  <c r="AC104" i="5"/>
  <c r="AC96" i="5"/>
  <c r="AC88" i="5"/>
  <c r="AC80" i="5"/>
  <c r="AC72" i="5"/>
  <c r="AC64" i="5"/>
  <c r="AC56" i="5"/>
  <c r="AC48" i="5"/>
  <c r="AC40" i="5"/>
  <c r="AC163" i="5"/>
  <c r="AC159" i="5"/>
  <c r="AC155" i="5"/>
  <c r="AC151" i="5"/>
  <c r="AC147" i="5"/>
  <c r="AC140" i="5"/>
  <c r="AC136" i="5"/>
  <c r="AC132" i="5"/>
  <c r="AC321" i="5" s="1"/>
  <c r="AC128" i="5"/>
  <c r="AC317" i="5" s="1"/>
  <c r="AC124" i="5"/>
  <c r="AC313" i="5" s="1"/>
  <c r="AC120" i="5"/>
  <c r="AC118" i="5"/>
  <c r="AC307" i="5" s="1"/>
  <c r="AC109" i="5"/>
  <c r="AC101" i="5"/>
  <c r="AC93" i="5"/>
  <c r="AC85" i="5"/>
  <c r="AC77" i="5"/>
  <c r="AC69" i="5"/>
  <c r="AC61" i="5"/>
  <c r="AC53" i="5"/>
  <c r="AC45" i="5"/>
  <c r="AC37" i="5"/>
  <c r="AC29" i="5"/>
  <c r="AC294" i="5" s="1"/>
  <c r="AC144" i="5"/>
  <c r="AC106" i="5"/>
  <c r="AC98" i="5"/>
  <c r="AC90" i="5"/>
  <c r="AC82" i="5"/>
  <c r="AC74" i="5"/>
  <c r="AC66" i="5"/>
  <c r="AC58" i="5"/>
  <c r="AC50" i="5"/>
  <c r="AC42" i="5"/>
  <c r="AC186" i="5"/>
  <c r="AC182" i="5"/>
  <c r="AC178" i="5"/>
  <c r="AC174" i="5"/>
  <c r="AC162" i="5"/>
  <c r="AC158" i="5"/>
  <c r="AC154" i="5"/>
  <c r="AC150" i="5"/>
  <c r="AC146" i="5"/>
  <c r="AC141" i="5"/>
  <c r="AC137" i="5"/>
  <c r="AC133" i="5"/>
  <c r="AC129" i="5"/>
  <c r="AC318" i="5" s="1"/>
  <c r="AC125" i="5"/>
  <c r="AC121" i="5"/>
  <c r="AC310" i="5" s="1"/>
  <c r="AC117" i="5"/>
  <c r="AC306" i="5" s="1"/>
  <c r="AC103" i="5"/>
  <c r="AC95" i="5"/>
  <c r="AC87" i="5"/>
  <c r="AC79" i="5"/>
  <c r="K59" i="6" s="1"/>
  <c r="AC71" i="5"/>
  <c r="AC63" i="5"/>
  <c r="AC55" i="5"/>
  <c r="AC47" i="5"/>
  <c r="AC108" i="5"/>
  <c r="AC100" i="5"/>
  <c r="AC92" i="5"/>
  <c r="AC84" i="5"/>
  <c r="AC145" i="5"/>
  <c r="AC102" i="5"/>
  <c r="AC94" i="5"/>
  <c r="AC86" i="5"/>
  <c r="AC78" i="5"/>
  <c r="AC70" i="5"/>
  <c r="AC122" i="5"/>
  <c r="AC311" i="5" s="1"/>
  <c r="AC39" i="5"/>
  <c r="AC34" i="5"/>
  <c r="AC299" i="5" s="1"/>
  <c r="AC31" i="5"/>
  <c r="AC26" i="5"/>
  <c r="AC291" i="5" s="1"/>
  <c r="AC18" i="5"/>
  <c r="AC283" i="5" s="1"/>
  <c r="AC134" i="5"/>
  <c r="AC323" i="5" s="1"/>
  <c r="AC62" i="5"/>
  <c r="AC54" i="5"/>
  <c r="AC46" i="5"/>
  <c r="AC30" i="5"/>
  <c r="AC23" i="5"/>
  <c r="AC288" i="5" s="1"/>
  <c r="AC15" i="5"/>
  <c r="AC57" i="5"/>
  <c r="AC24" i="5"/>
  <c r="AC289" i="5" s="1"/>
  <c r="AC153" i="5"/>
  <c r="AC116" i="5"/>
  <c r="AC305" i="5" s="1"/>
  <c r="AC105" i="5"/>
  <c r="AC97" i="5"/>
  <c r="AC89" i="5"/>
  <c r="AC36" i="5"/>
  <c r="AC20" i="5"/>
  <c r="AC126" i="5"/>
  <c r="AC315" i="5" s="1"/>
  <c r="AC81" i="5"/>
  <c r="AC73" i="5"/>
  <c r="AC60" i="5"/>
  <c r="K40" i="6" s="1"/>
  <c r="AC52" i="5"/>
  <c r="K32" i="6" s="1"/>
  <c r="AC44" i="5"/>
  <c r="K24" i="6" s="1"/>
  <c r="AC28" i="5"/>
  <c r="AC293" i="5" s="1"/>
  <c r="AC25" i="5"/>
  <c r="AC17" i="5"/>
  <c r="AC282" i="5" s="1"/>
  <c r="AC65" i="5"/>
  <c r="AC161" i="5"/>
  <c r="AC138" i="5"/>
  <c r="AC22" i="5"/>
  <c r="AC287" i="5" s="1"/>
  <c r="AC49" i="5"/>
  <c r="AC16" i="5"/>
  <c r="AC281" i="5" s="1"/>
  <c r="AC149" i="5"/>
  <c r="AC38" i="5"/>
  <c r="AC27" i="5"/>
  <c r="AC292" i="5" s="1"/>
  <c r="AC19" i="5"/>
  <c r="AC284" i="5" s="1"/>
  <c r="AC130" i="5"/>
  <c r="AC157" i="5"/>
  <c r="AC142" i="5"/>
  <c r="AC41" i="5"/>
  <c r="AC33" i="5"/>
  <c r="AC32" i="5"/>
  <c r="AC297" i="5" s="1"/>
  <c r="AC21" i="5"/>
  <c r="AC286" i="5" s="1"/>
  <c r="AD8" i="5"/>
  <c r="AC76" i="5"/>
  <c r="AC68" i="5"/>
  <c r="AB302" i="5"/>
  <c r="AB217" i="5"/>
  <c r="AB244" i="5"/>
  <c r="AB325" i="5"/>
  <c r="AB261" i="5"/>
  <c r="AB227" i="5"/>
  <c r="AB271" i="5"/>
  <c r="AB272" i="5"/>
  <c r="J62" i="6"/>
  <c r="J14" i="6"/>
  <c r="K94" i="6" l="1"/>
  <c r="K58" i="6"/>
  <c r="K117" i="6"/>
  <c r="K27" i="6"/>
  <c r="K136" i="6"/>
  <c r="K56" i="6"/>
  <c r="K26" i="6"/>
  <c r="K124" i="6"/>
  <c r="K120" i="6"/>
  <c r="K109" i="6"/>
  <c r="K122" i="6"/>
  <c r="K107" i="6"/>
  <c r="K130" i="6"/>
  <c r="K45" i="6"/>
  <c r="K103" i="6"/>
  <c r="K72" i="6"/>
  <c r="K100" i="6"/>
  <c r="K113" i="6"/>
  <c r="K125" i="6"/>
  <c r="K48" i="6"/>
  <c r="K51" i="6"/>
  <c r="K106" i="6"/>
  <c r="W10" i="8"/>
  <c r="W11" i="8" s="1"/>
  <c r="L230" i="17"/>
  <c r="L96" i="17"/>
  <c r="L98" i="17" s="1"/>
  <c r="L99" i="17" s="1"/>
  <c r="L480" i="17"/>
  <c r="L482" i="17" s="1"/>
  <c r="L489" i="17" s="1"/>
  <c r="Q352" i="17"/>
  <c r="R352" i="17" s="1"/>
  <c r="S352" i="17" s="1"/>
  <c r="T352" i="17" s="1"/>
  <c r="U352" i="17" s="1"/>
  <c r="V352" i="17" s="1"/>
  <c r="W352" i="17" s="1"/>
  <c r="X352" i="17" s="1"/>
  <c r="Y352" i="17" s="1"/>
  <c r="Z352" i="17" s="1"/>
  <c r="K20" i="6"/>
  <c r="K29" i="6"/>
  <c r="K81" i="6"/>
  <c r="K99" i="6"/>
  <c r="K141" i="6"/>
  <c r="K57" i="6"/>
  <c r="K138" i="6"/>
  <c r="K21" i="6"/>
  <c r="K44" i="6"/>
  <c r="K41" i="6"/>
  <c r="K89" i="6"/>
  <c r="K137" i="6"/>
  <c r="Q533" i="17"/>
  <c r="Q535" i="17"/>
  <c r="Q533" i="16"/>
  <c r="Q529" i="17"/>
  <c r="Q21" i="17"/>
  <c r="Q182" i="17"/>
  <c r="K126" i="6"/>
  <c r="Q534" i="16"/>
  <c r="Q528" i="17"/>
  <c r="Q529" i="16"/>
  <c r="Q534" i="17"/>
  <c r="Q18" i="17"/>
  <c r="Q525" i="16"/>
  <c r="Q184" i="17"/>
  <c r="Q190" i="17"/>
  <c r="Q526" i="16"/>
  <c r="Q185" i="16"/>
  <c r="Q190" i="16"/>
  <c r="Q527" i="16"/>
  <c r="Q536" i="17"/>
  <c r="Q184" i="16"/>
  <c r="Q528" i="16"/>
  <c r="Q18" i="16"/>
  <c r="Q185" i="17"/>
  <c r="Q535" i="16"/>
  <c r="Q527" i="17"/>
  <c r="Q525" i="17"/>
  <c r="Q21" i="16"/>
  <c r="K73" i="6"/>
  <c r="Q536" i="16"/>
  <c r="Q526" i="17"/>
  <c r="Q182" i="16"/>
  <c r="K49" i="6"/>
  <c r="K53" i="6"/>
  <c r="K33" i="6"/>
  <c r="K133" i="6"/>
  <c r="K61" i="6"/>
  <c r="Q391" i="17"/>
  <c r="R384" i="17"/>
  <c r="R385" i="17" s="1"/>
  <c r="R73" i="17" s="1"/>
  <c r="R442" i="17" s="1"/>
  <c r="Q385" i="17"/>
  <c r="Q73" i="17" s="1"/>
  <c r="Q442" i="17" s="1"/>
  <c r="Q350" i="17" s="1"/>
  <c r="Q477" i="17"/>
  <c r="Q91" i="17"/>
  <c r="Q161" i="17"/>
  <c r="Q165" i="17" s="1"/>
  <c r="D40" i="9"/>
  <c r="R477" i="17"/>
  <c r="S160" i="17"/>
  <c r="R91" i="17"/>
  <c r="R161" i="17"/>
  <c r="R165" i="17" s="1"/>
  <c r="T123" i="17"/>
  <c r="T514" i="17"/>
  <c r="U332" i="17"/>
  <c r="T333" i="17"/>
  <c r="T507" i="17" s="1"/>
  <c r="K131" i="6"/>
  <c r="K116" i="6"/>
  <c r="K88" i="6"/>
  <c r="K50" i="6"/>
  <c r="K66" i="6"/>
  <c r="K123" i="6"/>
  <c r="K98" i="6"/>
  <c r="K90" i="6"/>
  <c r="K37" i="6"/>
  <c r="J344" i="15"/>
  <c r="I351" i="15"/>
  <c r="J364" i="15"/>
  <c r="I368" i="15"/>
  <c r="I333" i="15"/>
  <c r="K134" i="6"/>
  <c r="K16" i="6"/>
  <c r="K39" i="6"/>
  <c r="K71" i="6"/>
  <c r="K46" i="6"/>
  <c r="K132" i="6"/>
  <c r="K63" i="6"/>
  <c r="K68" i="6"/>
  <c r="K42" i="6"/>
  <c r="K22" i="6"/>
  <c r="G5" i="6"/>
  <c r="K38" i="6"/>
  <c r="K104" i="6"/>
  <c r="K92" i="6"/>
  <c r="K69" i="6"/>
  <c r="K102" i="6"/>
  <c r="K64" i="6"/>
  <c r="K54" i="6"/>
  <c r="K115" i="6"/>
  <c r="K111" i="6"/>
  <c r="K67" i="6"/>
  <c r="K87" i="6"/>
  <c r="K101" i="6"/>
  <c r="K55" i="6"/>
  <c r="K62" i="6"/>
  <c r="K43" i="6"/>
  <c r="K108" i="6"/>
  <c r="K86" i="6"/>
  <c r="K28" i="6"/>
  <c r="K142" i="6"/>
  <c r="K14" i="6"/>
  <c r="K143" i="6"/>
  <c r="K129" i="6"/>
  <c r="K25" i="6"/>
  <c r="K91" i="6"/>
  <c r="K105" i="6"/>
  <c r="K65" i="6"/>
  <c r="K74" i="6"/>
  <c r="K23" i="6"/>
  <c r="K114" i="6"/>
  <c r="K52" i="6"/>
  <c r="K97" i="6"/>
  <c r="C6" i="6"/>
  <c r="C5" i="6"/>
  <c r="H5" i="6"/>
  <c r="H6" i="6"/>
  <c r="AC285" i="5"/>
  <c r="AC240" i="5"/>
  <c r="AC280" i="5"/>
  <c r="AC239" i="5"/>
  <c r="AC111" i="5"/>
  <c r="AC7" i="5"/>
  <c r="AC4" i="5"/>
  <c r="AC5" i="5" s="1"/>
  <c r="AC303" i="5"/>
  <c r="AC247" i="5"/>
  <c r="AC220" i="5"/>
  <c r="AC246" i="5"/>
  <c r="AC219" i="5"/>
  <c r="AC253" i="5"/>
  <c r="AC302" i="5"/>
  <c r="AC244" i="5"/>
  <c r="AC217" i="5"/>
  <c r="AC272" i="5"/>
  <c r="AC269" i="5"/>
  <c r="AC235" i="5"/>
  <c r="K13" i="6"/>
  <c r="K35" i="6"/>
  <c r="K34" i="6"/>
  <c r="E6" i="6"/>
  <c r="E5" i="6"/>
  <c r="K75" i="6"/>
  <c r="K144" i="6"/>
  <c r="K96" i="6"/>
  <c r="K17" i="6"/>
  <c r="K128" i="6"/>
  <c r="K15" i="6"/>
  <c r="K139" i="6"/>
  <c r="K18" i="6"/>
  <c r="K36" i="6"/>
  <c r="F6" i="6"/>
  <c r="F5" i="6"/>
  <c r="D6" i="6"/>
  <c r="D5" i="6"/>
  <c r="AC295" i="5"/>
  <c r="AC242" i="5"/>
  <c r="AC6" i="5"/>
  <c r="AC263" i="5"/>
  <c r="AC229" i="5"/>
  <c r="AC326" i="5"/>
  <c r="AC262" i="5"/>
  <c r="AC228" i="5"/>
  <c r="AC273" i="5"/>
  <c r="K83" i="6"/>
  <c r="K93" i="6"/>
  <c r="K82" i="6"/>
  <c r="K70" i="6"/>
  <c r="K145" i="6"/>
  <c r="J10" i="6"/>
  <c r="I4" i="6"/>
  <c r="AC301" i="5"/>
  <c r="AC243" i="5"/>
  <c r="AC216" i="5"/>
  <c r="K12" i="6"/>
  <c r="AC314" i="5"/>
  <c r="AC259" i="5"/>
  <c r="AC319" i="5"/>
  <c r="AC260" i="5"/>
  <c r="AC248" i="5"/>
  <c r="AC221" i="5"/>
  <c r="AC322" i="5"/>
  <c r="AC324" i="5"/>
  <c r="AC245" i="5"/>
  <c r="AC218" i="5"/>
  <c r="AC266" i="5"/>
  <c r="AC232" i="5"/>
  <c r="AC233" i="5"/>
  <c r="AC267" i="5"/>
  <c r="K140" i="6"/>
  <c r="K112" i="6"/>
  <c r="K110" i="6"/>
  <c r="AC290" i="5"/>
  <c r="AC241" i="5"/>
  <c r="AD209" i="5"/>
  <c r="AD207" i="5"/>
  <c r="AD205" i="5"/>
  <c r="AD203" i="5"/>
  <c r="AD201" i="5"/>
  <c r="AD199" i="5"/>
  <c r="AD197" i="5"/>
  <c r="AD195" i="5"/>
  <c r="AD193" i="5"/>
  <c r="AD191" i="5"/>
  <c r="L141" i="6" s="1"/>
  <c r="AD189" i="5"/>
  <c r="AD187" i="5"/>
  <c r="L137" i="6" s="1"/>
  <c r="AD185" i="5"/>
  <c r="L135" i="6" s="1"/>
  <c r="AD183" i="5"/>
  <c r="AD181" i="5"/>
  <c r="AD179" i="5"/>
  <c r="AD177" i="5"/>
  <c r="AD175" i="5"/>
  <c r="AD173" i="5"/>
  <c r="AD171" i="5"/>
  <c r="L121" i="6" s="1"/>
  <c r="AD169" i="5"/>
  <c r="L119" i="6" s="1"/>
  <c r="AD167" i="5"/>
  <c r="L117" i="6" s="1"/>
  <c r="AD165" i="5"/>
  <c r="AD163" i="5"/>
  <c r="AD161" i="5"/>
  <c r="AD159" i="5"/>
  <c r="AD157" i="5"/>
  <c r="AD155" i="5"/>
  <c r="AD153" i="5"/>
  <c r="L103" i="6" s="1"/>
  <c r="AD151" i="5"/>
  <c r="AD149" i="5"/>
  <c r="L99" i="6" s="1"/>
  <c r="AD147" i="5"/>
  <c r="AD145" i="5"/>
  <c r="AD143" i="5"/>
  <c r="AD141" i="5"/>
  <c r="AD139" i="5"/>
  <c r="AD137" i="5"/>
  <c r="AD135" i="5"/>
  <c r="AD133" i="5"/>
  <c r="AD131" i="5"/>
  <c r="AD129" i="5"/>
  <c r="AD318" i="5" s="1"/>
  <c r="AD127" i="5"/>
  <c r="AD316" i="5" s="1"/>
  <c r="AD125" i="5"/>
  <c r="AD123" i="5"/>
  <c r="AD312" i="5" s="1"/>
  <c r="AD121" i="5"/>
  <c r="AD310" i="5" s="1"/>
  <c r="AD119" i="5"/>
  <c r="AD308" i="5" s="1"/>
  <c r="AD117" i="5"/>
  <c r="AD306" i="5" s="1"/>
  <c r="AD115" i="5"/>
  <c r="AD210" i="5"/>
  <c r="AD208" i="5"/>
  <c r="AD206" i="5"/>
  <c r="AD204" i="5"/>
  <c r="AD202" i="5"/>
  <c r="AD200" i="5"/>
  <c r="AD198" i="5"/>
  <c r="AD196" i="5"/>
  <c r="AD194" i="5"/>
  <c r="AD192" i="5"/>
  <c r="AD190" i="5"/>
  <c r="AD188" i="5"/>
  <c r="AD186" i="5"/>
  <c r="AD184" i="5"/>
  <c r="AD182" i="5"/>
  <c r="AD180" i="5"/>
  <c r="AD178" i="5"/>
  <c r="AD176" i="5"/>
  <c r="AD174" i="5"/>
  <c r="AD172" i="5"/>
  <c r="AD170" i="5"/>
  <c r="L120" i="6" s="1"/>
  <c r="AD168" i="5"/>
  <c r="L118" i="6" s="1"/>
  <c r="AD166" i="5"/>
  <c r="AD164" i="5"/>
  <c r="AD110" i="5"/>
  <c r="AD104" i="5"/>
  <c r="AD96" i="5"/>
  <c r="AD88" i="5"/>
  <c r="AD80" i="5"/>
  <c r="AD72" i="5"/>
  <c r="AD64" i="5"/>
  <c r="AD56" i="5"/>
  <c r="AD48" i="5"/>
  <c r="AD40" i="5"/>
  <c r="AD140" i="5"/>
  <c r="AD136" i="5"/>
  <c r="AD132" i="5"/>
  <c r="AD321" i="5" s="1"/>
  <c r="AD128" i="5"/>
  <c r="AD317" i="5" s="1"/>
  <c r="AD124" i="5"/>
  <c r="AD313" i="5" s="1"/>
  <c r="AD120" i="5"/>
  <c r="AD118" i="5"/>
  <c r="AD307" i="5" s="1"/>
  <c r="AD109" i="5"/>
  <c r="AD101" i="5"/>
  <c r="AD93" i="5"/>
  <c r="AD85" i="5"/>
  <c r="AD77" i="5"/>
  <c r="L57" i="6" s="1"/>
  <c r="AD69" i="5"/>
  <c r="AD61" i="5"/>
  <c r="AD53" i="5"/>
  <c r="AD45" i="5"/>
  <c r="AD144" i="5"/>
  <c r="L94" i="6" s="1"/>
  <c r="AD106" i="5"/>
  <c r="AD98" i="5"/>
  <c r="AD90" i="5"/>
  <c r="AD82" i="5"/>
  <c r="AD74" i="5"/>
  <c r="AD66" i="5"/>
  <c r="AD58" i="5"/>
  <c r="AD50" i="5"/>
  <c r="AD42" i="5"/>
  <c r="AD34" i="5"/>
  <c r="AD299" i="5" s="1"/>
  <c r="AD162" i="5"/>
  <c r="AD158" i="5"/>
  <c r="AD154" i="5"/>
  <c r="AD150" i="5"/>
  <c r="AD146" i="5"/>
  <c r="AD103" i="5"/>
  <c r="AD95" i="5"/>
  <c r="AD87" i="5"/>
  <c r="AD79" i="5"/>
  <c r="L59" i="6" s="1"/>
  <c r="AD71" i="5"/>
  <c r="AD63" i="5"/>
  <c r="AD55" i="5"/>
  <c r="AD47" i="5"/>
  <c r="L27" i="6" s="1"/>
  <c r="AD108" i="5"/>
  <c r="AD100" i="5"/>
  <c r="AD92" i="5"/>
  <c r="L72" i="6" s="1"/>
  <c r="AD84" i="5"/>
  <c r="AD76" i="5"/>
  <c r="AD68" i="5"/>
  <c r="AD60" i="5"/>
  <c r="AD52" i="5"/>
  <c r="L32" i="6" s="1"/>
  <c r="AD44" i="5"/>
  <c r="L24" i="6" s="1"/>
  <c r="AD142" i="5"/>
  <c r="AD138" i="5"/>
  <c r="AD134" i="5"/>
  <c r="AD323" i="5" s="1"/>
  <c r="AD130" i="5"/>
  <c r="AD126" i="5"/>
  <c r="AD315" i="5" s="1"/>
  <c r="AD122" i="5"/>
  <c r="AD311" i="5" s="1"/>
  <c r="AD116" i="5"/>
  <c r="AD305" i="5" s="1"/>
  <c r="AD105" i="5"/>
  <c r="AD97" i="5"/>
  <c r="AD89" i="5"/>
  <c r="AD160" i="5"/>
  <c r="AD156" i="5"/>
  <c r="AD152" i="5"/>
  <c r="AD148" i="5"/>
  <c r="AD107" i="5"/>
  <c r="AD99" i="5"/>
  <c r="AD91" i="5"/>
  <c r="AD83" i="5"/>
  <c r="AD75" i="5"/>
  <c r="AD67" i="5"/>
  <c r="AD78" i="5"/>
  <c r="L58" i="6" s="1"/>
  <c r="AD70" i="5"/>
  <c r="AD62" i="5"/>
  <c r="AD54" i="5"/>
  <c r="AD46" i="5"/>
  <c r="L26" i="6" s="1"/>
  <c r="AD30" i="5"/>
  <c r="AD23" i="5"/>
  <c r="AD288" i="5" s="1"/>
  <c r="AD15" i="5"/>
  <c r="AD102" i="5"/>
  <c r="AD94" i="5"/>
  <c r="AD86" i="5"/>
  <c r="AD36" i="5"/>
  <c r="AD35" i="5"/>
  <c r="AD20" i="5"/>
  <c r="AD81" i="5"/>
  <c r="AD73" i="5"/>
  <c r="AD29" i="5"/>
  <c r="AD294" i="5" s="1"/>
  <c r="AD28" i="5"/>
  <c r="AD293" i="5" s="1"/>
  <c r="AD25" i="5"/>
  <c r="AD17" i="5"/>
  <c r="AD282" i="5" s="1"/>
  <c r="AD32" i="5"/>
  <c r="AD297" i="5" s="1"/>
  <c r="AE8" i="5"/>
  <c r="AD37" i="5"/>
  <c r="AD22" i="5"/>
  <c r="AD287" i="5" s="1"/>
  <c r="AD33" i="5"/>
  <c r="AD59" i="5"/>
  <c r="AD51" i="5"/>
  <c r="L31" i="6" s="1"/>
  <c r="AD43" i="5"/>
  <c r="AD38" i="5"/>
  <c r="AD27" i="5"/>
  <c r="AD292" i="5" s="1"/>
  <c r="AD19" i="5"/>
  <c r="AD284" i="5" s="1"/>
  <c r="AD65" i="5"/>
  <c r="L45" i="6" s="1"/>
  <c r="AD57" i="5"/>
  <c r="AD49" i="5"/>
  <c r="AD24" i="5"/>
  <c r="AD289" i="5" s="1"/>
  <c r="AD16" i="5"/>
  <c r="AD281" i="5" s="1"/>
  <c r="AD41" i="5"/>
  <c r="AD39" i="5"/>
  <c r="AD31" i="5"/>
  <c r="AD26" i="5"/>
  <c r="AD291" i="5" s="1"/>
  <c r="AD18" i="5"/>
  <c r="AD283" i="5" s="1"/>
  <c r="AD21" i="5"/>
  <c r="AD286" i="5" s="1"/>
  <c r="AC251" i="5"/>
  <c r="AC224" i="5"/>
  <c r="AC320" i="5"/>
  <c r="AC226" i="5"/>
  <c r="J80" i="6"/>
  <c r="K19" i="6"/>
  <c r="AC298" i="5"/>
  <c r="AC328" i="5"/>
  <c r="AC300" i="5"/>
  <c r="AC264" i="5"/>
  <c r="AC230" i="5"/>
  <c r="AC296" i="5"/>
  <c r="AC215" i="5"/>
  <c r="AC304" i="5"/>
  <c r="AC257" i="5"/>
  <c r="AC211" i="5"/>
  <c r="K84" i="6"/>
  <c r="AC249" i="5"/>
  <c r="AC222" i="5"/>
  <c r="AC250" i="5"/>
  <c r="AC223" i="5"/>
  <c r="AC256" i="5"/>
  <c r="AC255" i="5"/>
  <c r="AC254" i="5"/>
  <c r="AC309" i="5"/>
  <c r="AC258" i="5"/>
  <c r="AC327" i="5"/>
  <c r="AC265" i="5"/>
  <c r="AC231" i="5"/>
  <c r="AC237" i="5"/>
  <c r="AC252" i="5"/>
  <c r="AC225" i="5"/>
  <c r="AC268" i="5"/>
  <c r="AC234" i="5"/>
  <c r="AC325" i="5"/>
  <c r="AC261" i="5"/>
  <c r="AC227" i="5"/>
  <c r="AC270" i="5"/>
  <c r="AC236" i="5"/>
  <c r="AC274" i="5"/>
  <c r="AC271" i="5"/>
  <c r="K85" i="6"/>
  <c r="K60" i="6"/>
  <c r="K95" i="6"/>
  <c r="K30" i="6"/>
  <c r="K47" i="6"/>
  <c r="K127" i="6"/>
  <c r="K11" i="6"/>
  <c r="L106" i="6" l="1"/>
  <c r="L100" i="6"/>
  <c r="L113" i="6"/>
  <c r="L51" i="6"/>
  <c r="L56" i="6"/>
  <c r="L136" i="6"/>
  <c r="L124" i="6"/>
  <c r="L44" i="6"/>
  <c r="L122" i="6"/>
  <c r="L107" i="6"/>
  <c r="L20" i="6"/>
  <c r="L109" i="6"/>
  <c r="L126" i="6"/>
  <c r="L89" i="6"/>
  <c r="L133" i="6"/>
  <c r="L21" i="6"/>
  <c r="L125" i="6"/>
  <c r="L29" i="6"/>
  <c r="L48" i="6"/>
  <c r="L41" i="6"/>
  <c r="L70" i="17"/>
  <c r="L71" i="17"/>
  <c r="L108" i="17"/>
  <c r="L492" i="17"/>
  <c r="L497" i="17" s="1"/>
  <c r="L52" i="6"/>
  <c r="L61" i="6"/>
  <c r="L138" i="6"/>
  <c r="L33" i="6"/>
  <c r="L123" i="6"/>
  <c r="L53" i="6"/>
  <c r="L47" i="6"/>
  <c r="L73" i="6"/>
  <c r="R533" i="17"/>
  <c r="L19" i="6"/>
  <c r="Q530" i="17"/>
  <c r="Q256" i="17" s="1"/>
  <c r="R525" i="17"/>
  <c r="R185" i="16"/>
  <c r="R525" i="16"/>
  <c r="Q530" i="16"/>
  <c r="Q256" i="16" s="1"/>
  <c r="R182" i="17"/>
  <c r="L49" i="6"/>
  <c r="L16" i="6"/>
  <c r="R182" i="16"/>
  <c r="R535" i="16"/>
  <c r="R184" i="16"/>
  <c r="R526" i="16"/>
  <c r="R529" i="16"/>
  <c r="L62" i="6"/>
  <c r="R536" i="16"/>
  <c r="R185" i="17"/>
  <c r="R527" i="16"/>
  <c r="R528" i="17"/>
  <c r="R535" i="17"/>
  <c r="R536" i="17"/>
  <c r="Q537" i="17"/>
  <c r="R190" i="17"/>
  <c r="Q262" i="17"/>
  <c r="R534" i="16"/>
  <c r="R18" i="16"/>
  <c r="Q19" i="16"/>
  <c r="R528" i="16"/>
  <c r="Q22" i="17"/>
  <c r="R21" i="17"/>
  <c r="R527" i="17"/>
  <c r="R190" i="16"/>
  <c r="Q537" i="16"/>
  <c r="Q262" i="16"/>
  <c r="R18" i="17"/>
  <c r="Q19" i="17"/>
  <c r="Q177" i="17" s="1"/>
  <c r="R529" i="17"/>
  <c r="R526" i="17"/>
  <c r="R21" i="16"/>
  <c r="Q22" i="16"/>
  <c r="R184" i="17"/>
  <c r="R534" i="17"/>
  <c r="R533" i="16"/>
  <c r="L131" i="6"/>
  <c r="L142" i="6"/>
  <c r="L66" i="6"/>
  <c r="L98" i="6"/>
  <c r="L108" i="6"/>
  <c r="L116" i="6"/>
  <c r="L115" i="6"/>
  <c r="L88" i="6"/>
  <c r="L28" i="6"/>
  <c r="L90" i="6"/>
  <c r="S384" i="17"/>
  <c r="S385" i="17" s="1"/>
  <c r="S73" i="17" s="1"/>
  <c r="S442" i="17" s="1"/>
  <c r="R391" i="17"/>
  <c r="R394" i="17" s="1"/>
  <c r="Q344" i="17"/>
  <c r="D41" i="9"/>
  <c r="L234" i="17"/>
  <c r="L35" i="17" s="1"/>
  <c r="L48" i="17"/>
  <c r="Q394" i="17"/>
  <c r="R350" i="17"/>
  <c r="Q366" i="17"/>
  <c r="L129" i="17"/>
  <c r="L51" i="17"/>
  <c r="Q357" i="17"/>
  <c r="Q388" i="17"/>
  <c r="X8" i="8"/>
  <c r="X9" i="8" s="1"/>
  <c r="E37" i="9"/>
  <c r="E38" i="9" s="1"/>
  <c r="S477" i="17"/>
  <c r="T160" i="17"/>
  <c r="S161" i="17"/>
  <c r="S165" i="17" s="1"/>
  <c r="S91" i="17"/>
  <c r="U514" i="17"/>
  <c r="V332" i="17"/>
  <c r="U123" i="17"/>
  <c r="U333" i="17"/>
  <c r="U507" i="17" s="1"/>
  <c r="L64" i="6"/>
  <c r="L22" i="6"/>
  <c r="L37" i="6"/>
  <c r="L38" i="6"/>
  <c r="L39" i="6"/>
  <c r="L114" i="6"/>
  <c r="L46" i="6"/>
  <c r="L43" i="6"/>
  <c r="L54" i="6"/>
  <c r="L129" i="6"/>
  <c r="L71" i="6"/>
  <c r="L42" i="6"/>
  <c r="L134" i="6"/>
  <c r="L101" i="6"/>
  <c r="L69" i="6"/>
  <c r="J333" i="15"/>
  <c r="J368" i="15"/>
  <c r="K364" i="15"/>
  <c r="K344" i="15"/>
  <c r="J351" i="15"/>
  <c r="L132" i="6"/>
  <c r="L63" i="6"/>
  <c r="L67" i="6"/>
  <c r="L65" i="6"/>
  <c r="L87" i="6"/>
  <c r="L105" i="6"/>
  <c r="L92" i="6"/>
  <c r="L68" i="6"/>
  <c r="L111" i="6"/>
  <c r="L55" i="6"/>
  <c r="L23" i="6"/>
  <c r="L25" i="6"/>
  <c r="L102" i="6"/>
  <c r="L104" i="6"/>
  <c r="L97" i="6"/>
  <c r="L86" i="6"/>
  <c r="L30" i="6"/>
  <c r="L74" i="6"/>
  <c r="L91" i="6"/>
  <c r="L84" i="6"/>
  <c r="L11" i="6"/>
  <c r="L143" i="6"/>
  <c r="L93" i="6"/>
  <c r="L83" i="6"/>
  <c r="L112" i="6"/>
  <c r="L140" i="6"/>
  <c r="L12" i="6"/>
  <c r="L128" i="6"/>
  <c r="AD304" i="5"/>
  <c r="AD257" i="5"/>
  <c r="AD211" i="5"/>
  <c r="AD229" i="5"/>
  <c r="AD263" i="5"/>
  <c r="AD309" i="5"/>
  <c r="AD258" i="5"/>
  <c r="AD236" i="5"/>
  <c r="AD270" i="5"/>
  <c r="AD320" i="5"/>
  <c r="AD226" i="5"/>
  <c r="AD273" i="5"/>
  <c r="L17" i="6"/>
  <c r="L81" i="6"/>
  <c r="L127" i="6"/>
  <c r="J146" i="6"/>
  <c r="K80" i="6"/>
  <c r="AD222" i="5"/>
  <c r="AD249" i="5"/>
  <c r="AD280" i="5"/>
  <c r="AD239" i="5"/>
  <c r="AD111" i="5"/>
  <c r="AD7" i="5"/>
  <c r="AD4" i="5"/>
  <c r="AD5" i="5" s="1"/>
  <c r="AD319" i="5"/>
  <c r="AD260" i="5"/>
  <c r="AD322" i="5"/>
  <c r="AD324" i="5"/>
  <c r="AD233" i="5"/>
  <c r="AD267" i="5"/>
  <c r="L96" i="6"/>
  <c r="L13" i="6"/>
  <c r="AD250" i="5"/>
  <c r="AD223" i="5"/>
  <c r="AD325" i="5"/>
  <c r="AD261" i="5"/>
  <c r="AD227" i="5"/>
  <c r="AD252" i="5"/>
  <c r="AD225" i="5"/>
  <c r="AD237" i="5"/>
  <c r="AD271" i="5"/>
  <c r="L36" i="6"/>
  <c r="L75" i="6"/>
  <c r="AD303" i="5"/>
  <c r="AD247" i="5"/>
  <c r="AD220" i="5"/>
  <c r="L35" i="6"/>
  <c r="AD296" i="5"/>
  <c r="AD215" i="5"/>
  <c r="AD274" i="5"/>
  <c r="AD268" i="5"/>
  <c r="AD234" i="5"/>
  <c r="L95" i="6"/>
  <c r="AD301" i="5"/>
  <c r="AD243" i="5"/>
  <c r="AD216" i="5"/>
  <c r="AD256" i="5"/>
  <c r="AD255" i="5"/>
  <c r="AD327" i="5"/>
  <c r="AD265" i="5"/>
  <c r="AD231" i="5"/>
  <c r="L145" i="6"/>
  <c r="L18" i="6"/>
  <c r="L14" i="6"/>
  <c r="L50" i="6"/>
  <c r="AD248" i="5"/>
  <c r="AD221" i="5"/>
  <c r="AD266" i="5"/>
  <c r="AD232" i="5"/>
  <c r="AD254" i="5"/>
  <c r="L144" i="6"/>
  <c r="AD285" i="5"/>
  <c r="AD240" i="5"/>
  <c r="AD253" i="5"/>
  <c r="L60" i="6"/>
  <c r="AD246" i="5"/>
  <c r="AD219" i="5"/>
  <c r="AD326" i="5"/>
  <c r="AD262" i="5"/>
  <c r="AD228" i="5"/>
  <c r="AD272" i="5"/>
  <c r="AD314" i="5"/>
  <c r="AD259" i="5"/>
  <c r="L70" i="6"/>
  <c r="L139" i="6"/>
  <c r="L130" i="6"/>
  <c r="AD264" i="5"/>
  <c r="AD230" i="5"/>
  <c r="J76" i="6"/>
  <c r="K10" i="6"/>
  <c r="J4" i="6"/>
  <c r="AD328" i="5"/>
  <c r="AD300" i="5"/>
  <c r="AD298" i="5"/>
  <c r="AD251" i="5"/>
  <c r="AD224" i="5"/>
  <c r="AE209" i="5"/>
  <c r="AE207" i="5"/>
  <c r="AE205" i="5"/>
  <c r="AE203" i="5"/>
  <c r="AE201" i="5"/>
  <c r="AE199" i="5"/>
  <c r="AE197" i="5"/>
  <c r="AE195" i="5"/>
  <c r="AE193" i="5"/>
  <c r="AE191" i="5"/>
  <c r="M141" i="6" s="1"/>
  <c r="AE189" i="5"/>
  <c r="AE187" i="5"/>
  <c r="M137" i="6" s="1"/>
  <c r="AE185" i="5"/>
  <c r="AE183" i="5"/>
  <c r="AE181" i="5"/>
  <c r="AE179" i="5"/>
  <c r="AE177" i="5"/>
  <c r="AE175" i="5"/>
  <c r="AE173" i="5"/>
  <c r="AE171" i="5"/>
  <c r="M121" i="6" s="1"/>
  <c r="AE169" i="5"/>
  <c r="M119" i="6" s="1"/>
  <c r="AE167" i="5"/>
  <c r="M117" i="6" s="1"/>
  <c r="AE165" i="5"/>
  <c r="AE163" i="5"/>
  <c r="M113" i="6" s="1"/>
  <c r="AE161" i="5"/>
  <c r="AE159" i="5"/>
  <c r="AE157" i="5"/>
  <c r="M107" i="6" s="1"/>
  <c r="AE155" i="5"/>
  <c r="AE153" i="5"/>
  <c r="M103" i="6" s="1"/>
  <c r="AE151" i="5"/>
  <c r="AE149" i="5"/>
  <c r="M99" i="6" s="1"/>
  <c r="AE147" i="5"/>
  <c r="AE145" i="5"/>
  <c r="AE210" i="5"/>
  <c r="AE208" i="5"/>
  <c r="AE206" i="5"/>
  <c r="AE204" i="5"/>
  <c r="AE202" i="5"/>
  <c r="AE200" i="5"/>
  <c r="AE198" i="5"/>
  <c r="AE196" i="5"/>
  <c r="AE194" i="5"/>
  <c r="AE192" i="5"/>
  <c r="AE190" i="5"/>
  <c r="AE188" i="5"/>
  <c r="M138" i="6" s="1"/>
  <c r="AE186" i="5"/>
  <c r="M136" i="6" s="1"/>
  <c r="AE184" i="5"/>
  <c r="AE182" i="5"/>
  <c r="AE180" i="5"/>
  <c r="AE178" i="5"/>
  <c r="AE176" i="5"/>
  <c r="AE174" i="5"/>
  <c r="AE172" i="5"/>
  <c r="M122" i="6" s="1"/>
  <c r="AE170" i="5"/>
  <c r="AE168" i="5"/>
  <c r="M118" i="6" s="1"/>
  <c r="AE166" i="5"/>
  <c r="AE164" i="5"/>
  <c r="AE162" i="5"/>
  <c r="AE160" i="5"/>
  <c r="AE158" i="5"/>
  <c r="AE156" i="5"/>
  <c r="M106" i="6" s="1"/>
  <c r="AE154" i="5"/>
  <c r="AE152" i="5"/>
  <c r="AE150" i="5"/>
  <c r="AE148" i="5"/>
  <c r="AE146" i="5"/>
  <c r="AE144" i="5"/>
  <c r="M94" i="6" s="1"/>
  <c r="AE142" i="5"/>
  <c r="AE140" i="5"/>
  <c r="AE138" i="5"/>
  <c r="AE136" i="5"/>
  <c r="AE134" i="5"/>
  <c r="AE323" i="5" s="1"/>
  <c r="AE132" i="5"/>
  <c r="AE321" i="5" s="1"/>
  <c r="AE130" i="5"/>
  <c r="AE128" i="5"/>
  <c r="AE317" i="5" s="1"/>
  <c r="AE126" i="5"/>
  <c r="AE315" i="5" s="1"/>
  <c r="AE124" i="5"/>
  <c r="AE313" i="5" s="1"/>
  <c r="AE122" i="5"/>
  <c r="AE311" i="5" s="1"/>
  <c r="AE120" i="5"/>
  <c r="AE119" i="5"/>
  <c r="AE308" i="5" s="1"/>
  <c r="AE118" i="5"/>
  <c r="AE307" i="5" s="1"/>
  <c r="AE109" i="5"/>
  <c r="AE101" i="5"/>
  <c r="AE93" i="5"/>
  <c r="AE85" i="5"/>
  <c r="AE77" i="5"/>
  <c r="M57" i="6" s="1"/>
  <c r="AE69" i="5"/>
  <c r="AE61" i="5"/>
  <c r="AE53" i="5"/>
  <c r="AE45" i="5"/>
  <c r="AE37" i="5"/>
  <c r="AE106" i="5"/>
  <c r="AE98" i="5"/>
  <c r="AE90" i="5"/>
  <c r="AE82" i="5"/>
  <c r="M62" i="6" s="1"/>
  <c r="AE74" i="5"/>
  <c r="AE66" i="5"/>
  <c r="AE58" i="5"/>
  <c r="AE50" i="5"/>
  <c r="AE42" i="5"/>
  <c r="AE103" i="5"/>
  <c r="AE95" i="5"/>
  <c r="AE87" i="5"/>
  <c r="AE79" i="5"/>
  <c r="M59" i="6" s="1"/>
  <c r="AE71" i="5"/>
  <c r="M51" i="6" s="1"/>
  <c r="AE63" i="5"/>
  <c r="AE55" i="5"/>
  <c r="AE47" i="5"/>
  <c r="M27" i="6" s="1"/>
  <c r="AE39" i="5"/>
  <c r="AE31" i="5"/>
  <c r="AE141" i="5"/>
  <c r="AE137" i="5"/>
  <c r="AE133" i="5"/>
  <c r="AE129" i="5"/>
  <c r="AE318" i="5" s="1"/>
  <c r="AE125" i="5"/>
  <c r="AE121" i="5"/>
  <c r="AE310" i="5" s="1"/>
  <c r="AE117" i="5"/>
  <c r="AE306" i="5" s="1"/>
  <c r="AE108" i="5"/>
  <c r="AE100" i="5"/>
  <c r="AE92" i="5"/>
  <c r="M72" i="6" s="1"/>
  <c r="AE84" i="5"/>
  <c r="AE76" i="5"/>
  <c r="M56" i="6" s="1"/>
  <c r="AE68" i="5"/>
  <c r="AE60" i="5"/>
  <c r="AE52" i="5"/>
  <c r="M32" i="6" s="1"/>
  <c r="AE44" i="5"/>
  <c r="M24" i="6" s="1"/>
  <c r="AE116" i="5"/>
  <c r="AE305" i="5" s="1"/>
  <c r="AE105" i="5"/>
  <c r="AE97" i="5"/>
  <c r="AE89" i="5"/>
  <c r="AE81" i="5"/>
  <c r="M61" i="6" s="1"/>
  <c r="AE73" i="5"/>
  <c r="AE65" i="5"/>
  <c r="M45" i="6" s="1"/>
  <c r="AE57" i="5"/>
  <c r="AE49" i="5"/>
  <c r="AE41" i="5"/>
  <c r="M21" i="6" s="1"/>
  <c r="AE102" i="5"/>
  <c r="AE94" i="5"/>
  <c r="AE86" i="5"/>
  <c r="AE143" i="5"/>
  <c r="AE139" i="5"/>
  <c r="AE135" i="5"/>
  <c r="AE131" i="5"/>
  <c r="AE127" i="5"/>
  <c r="AE316" i="5" s="1"/>
  <c r="AE123" i="5"/>
  <c r="AE312" i="5" s="1"/>
  <c r="AE115" i="5"/>
  <c r="AE110" i="5"/>
  <c r="AE104" i="5"/>
  <c r="AE96" i="5"/>
  <c r="AE88" i="5"/>
  <c r="AE80" i="5"/>
  <c r="AE72" i="5"/>
  <c r="M52" i="6" s="1"/>
  <c r="AE107" i="5"/>
  <c r="AE99" i="5"/>
  <c r="AE91" i="5"/>
  <c r="AE83" i="5"/>
  <c r="AE36" i="5"/>
  <c r="AE35" i="5"/>
  <c r="AE20" i="5"/>
  <c r="AE29" i="5"/>
  <c r="AE294" i="5" s="1"/>
  <c r="AE28" i="5"/>
  <c r="AE293" i="5" s="1"/>
  <c r="AE25" i="5"/>
  <c r="AE17" i="5"/>
  <c r="AE282" i="5" s="1"/>
  <c r="AE22" i="5"/>
  <c r="AE287" i="5" s="1"/>
  <c r="AE26" i="5"/>
  <c r="AE291" i="5" s="1"/>
  <c r="AE59" i="5"/>
  <c r="AE51" i="5"/>
  <c r="M31" i="6" s="1"/>
  <c r="AE43" i="5"/>
  <c r="AE40" i="5"/>
  <c r="AE38" i="5"/>
  <c r="AE27" i="5"/>
  <c r="AE292" i="5" s="1"/>
  <c r="AE19" i="5"/>
  <c r="AE284" i="5" s="1"/>
  <c r="AE24" i="5"/>
  <c r="AE289" i="5" s="1"/>
  <c r="AE16" i="5"/>
  <c r="AE281" i="5" s="1"/>
  <c r="AE75" i="5"/>
  <c r="AE67" i="5"/>
  <c r="AE33" i="5"/>
  <c r="AE32" i="5"/>
  <c r="AE297" i="5" s="1"/>
  <c r="AE21" i="5"/>
  <c r="AE286" i="5" s="1"/>
  <c r="AF8" i="5"/>
  <c r="AE78" i="5"/>
  <c r="M58" i="6" s="1"/>
  <c r="AE70" i="5"/>
  <c r="AE64" i="5"/>
  <c r="M44" i="6" s="1"/>
  <c r="AE62" i="5"/>
  <c r="AE56" i="5"/>
  <c r="AE54" i="5"/>
  <c r="AE48" i="5"/>
  <c r="AE46" i="5"/>
  <c r="M26" i="6" s="1"/>
  <c r="AE34" i="5"/>
  <c r="AE299" i="5" s="1"/>
  <c r="AE30" i="5"/>
  <c r="AE23" i="5"/>
  <c r="AE288" i="5" s="1"/>
  <c r="AE15" i="5"/>
  <c r="AE18" i="5"/>
  <c r="AE283" i="5" s="1"/>
  <c r="AD295" i="5"/>
  <c r="AD242" i="5"/>
  <c r="AD6" i="5"/>
  <c r="L85" i="6"/>
  <c r="AD290" i="5"/>
  <c r="AD241" i="5"/>
  <c r="AD245" i="5"/>
  <c r="AD218" i="5"/>
  <c r="AD302" i="5"/>
  <c r="AD217" i="5"/>
  <c r="AD244" i="5"/>
  <c r="AD269" i="5"/>
  <c r="AD235" i="5"/>
  <c r="L110" i="6"/>
  <c r="I6" i="6"/>
  <c r="I5" i="6"/>
  <c r="L82" i="6"/>
  <c r="L40" i="6"/>
  <c r="L15" i="6"/>
  <c r="L34" i="6"/>
  <c r="M29" i="6" l="1"/>
  <c r="M49" i="6"/>
  <c r="M16" i="6"/>
  <c r="M125" i="6"/>
  <c r="M20" i="6"/>
  <c r="M41" i="6"/>
  <c r="M48" i="6"/>
  <c r="M109" i="6"/>
  <c r="M124" i="6"/>
  <c r="M133" i="6"/>
  <c r="M47" i="6"/>
  <c r="M89" i="6"/>
  <c r="M126" i="6"/>
  <c r="M53" i="6"/>
  <c r="M142" i="6"/>
  <c r="Q16" i="24"/>
  <c r="Q16" i="25"/>
  <c r="Q16" i="23"/>
  <c r="M33" i="6"/>
  <c r="X10" i="8"/>
  <c r="X11" i="8" s="1"/>
  <c r="M480" i="17"/>
  <c r="M482" i="17" s="1"/>
  <c r="M489" i="17" s="1"/>
  <c r="M96" i="17"/>
  <c r="M98" i="17" s="1"/>
  <c r="M99" i="17" s="1"/>
  <c r="M230" i="17"/>
  <c r="M131" i="6"/>
  <c r="M19" i="6"/>
  <c r="M73" i="6"/>
  <c r="M28" i="6"/>
  <c r="M123" i="6"/>
  <c r="M66" i="6"/>
  <c r="M108" i="6"/>
  <c r="Q187" i="16"/>
  <c r="M110" i="6"/>
  <c r="S536" i="16"/>
  <c r="S182" i="16"/>
  <c r="S534" i="17"/>
  <c r="Q258" i="17"/>
  <c r="M116" i="6"/>
  <c r="R19" i="17"/>
  <c r="S18" i="17"/>
  <c r="Q139" i="17"/>
  <c r="Q139" i="16"/>
  <c r="S526" i="16"/>
  <c r="S184" i="17"/>
  <c r="S527" i="17"/>
  <c r="Q154" i="17"/>
  <c r="Q188" i="16"/>
  <c r="S527" i="16"/>
  <c r="S525" i="16"/>
  <c r="R530" i="16"/>
  <c r="R537" i="17"/>
  <c r="S190" i="17"/>
  <c r="R262" i="17"/>
  <c r="R256" i="16"/>
  <c r="S21" i="16"/>
  <c r="R22" i="16"/>
  <c r="Q146" i="17"/>
  <c r="S528" i="16"/>
  <c r="Q169" i="16"/>
  <c r="S526" i="17"/>
  <c r="R22" i="17"/>
  <c r="S21" i="17"/>
  <c r="Q188" i="17"/>
  <c r="R188" i="17" s="1"/>
  <c r="Q186" i="16"/>
  <c r="S184" i="16"/>
  <c r="S185" i="16"/>
  <c r="R530" i="17"/>
  <c r="R256" i="17" s="1"/>
  <c r="S525" i="17"/>
  <c r="S533" i="17"/>
  <c r="Q169" i="17"/>
  <c r="Q16" i="16"/>
  <c r="Q11" i="16" s="1"/>
  <c r="Q187" i="17"/>
  <c r="R187" i="17" s="1"/>
  <c r="S18" i="16"/>
  <c r="R19" i="16"/>
  <c r="S534" i="16"/>
  <c r="S536" i="17"/>
  <c r="Q154" i="16"/>
  <c r="Q257" i="16"/>
  <c r="Q257" i="17"/>
  <c r="S528" i="17"/>
  <c r="M40" i="6"/>
  <c r="S529" i="17"/>
  <c r="S190" i="16"/>
  <c r="R537" i="16"/>
  <c r="R262" i="16"/>
  <c r="Q44" i="17"/>
  <c r="R44" i="17" s="1"/>
  <c r="Q44" i="16"/>
  <c r="R44" i="16" s="1"/>
  <c r="Q258" i="16"/>
  <c r="S182" i="17"/>
  <c r="S533" i="16"/>
  <c r="Q186" i="17"/>
  <c r="R186" i="17" s="1"/>
  <c r="Q177" i="16"/>
  <c r="Q146" i="16"/>
  <c r="S535" i="17"/>
  <c r="S185" i="17"/>
  <c r="S529" i="16"/>
  <c r="S535" i="16"/>
  <c r="M65" i="6"/>
  <c r="M22" i="6"/>
  <c r="M115" i="6"/>
  <c r="M88" i="6"/>
  <c r="M98" i="6"/>
  <c r="M42" i="6"/>
  <c r="M97" i="6"/>
  <c r="T384" i="17"/>
  <c r="U384" i="17" s="1"/>
  <c r="S391" i="17"/>
  <c r="S394" i="17" s="1"/>
  <c r="R388" i="17"/>
  <c r="Q76" i="17"/>
  <c r="R344" i="17"/>
  <c r="R366" i="17"/>
  <c r="L46" i="17"/>
  <c r="L41" i="17"/>
  <c r="L42" i="17" s="1"/>
  <c r="L39" i="17"/>
  <c r="R357" i="17"/>
  <c r="L53" i="17"/>
  <c r="L49" i="17"/>
  <c r="L52" i="17" s="1"/>
  <c r="L50" i="17"/>
  <c r="E40" i="9"/>
  <c r="L57" i="17"/>
  <c r="L58" i="17" s="1"/>
  <c r="L61" i="17" s="1"/>
  <c r="L110" i="17"/>
  <c r="L111" i="17" s="1"/>
  <c r="S350" i="17"/>
  <c r="K7" i="17"/>
  <c r="K8" i="17" s="1"/>
  <c r="T477" i="17"/>
  <c r="U160" i="17"/>
  <c r="T91" i="17"/>
  <c r="T161" i="17"/>
  <c r="T165" i="17" s="1"/>
  <c r="R177" i="17"/>
  <c r="Q178" i="17"/>
  <c r="Q179" i="17" s="1"/>
  <c r="V514" i="17"/>
  <c r="W332" i="17"/>
  <c r="V123" i="17"/>
  <c r="V333" i="17"/>
  <c r="V507" i="17" s="1"/>
  <c r="M64" i="6"/>
  <c r="Q16" i="17"/>
  <c r="M37" i="6"/>
  <c r="M38" i="6"/>
  <c r="M46" i="6"/>
  <c r="M39" i="6"/>
  <c r="M74" i="6"/>
  <c r="M43" i="6"/>
  <c r="M23" i="6"/>
  <c r="M67" i="6"/>
  <c r="M112" i="6"/>
  <c r="M25" i="6"/>
  <c r="M114" i="6"/>
  <c r="M54" i="6"/>
  <c r="M71" i="6"/>
  <c r="M69" i="6"/>
  <c r="M63" i="6"/>
  <c r="M132" i="6"/>
  <c r="M129" i="6"/>
  <c r="M102" i="6"/>
  <c r="M134" i="6"/>
  <c r="M101" i="6"/>
  <c r="M87" i="6"/>
  <c r="L344" i="15"/>
  <c r="K351" i="15"/>
  <c r="L364" i="15"/>
  <c r="K368" i="15"/>
  <c r="K333" i="15"/>
  <c r="M68" i="6"/>
  <c r="M92" i="6"/>
  <c r="M11" i="6"/>
  <c r="M104" i="6"/>
  <c r="M111" i="6"/>
  <c r="M91" i="6"/>
  <c r="M86" i="6"/>
  <c r="M93" i="6"/>
  <c r="M143" i="6"/>
  <c r="M82" i="6"/>
  <c r="M15" i="6"/>
  <c r="AE274" i="5"/>
  <c r="M36" i="6"/>
  <c r="AE255" i="5"/>
  <c r="M14" i="6"/>
  <c r="M128" i="6"/>
  <c r="M34" i="6"/>
  <c r="AE272" i="5"/>
  <c r="M130" i="6"/>
  <c r="M18" i="6"/>
  <c r="M140" i="6"/>
  <c r="M139" i="6"/>
  <c r="M95" i="6"/>
  <c r="M81" i="6"/>
  <c r="AE273" i="5"/>
  <c r="AE301" i="5"/>
  <c r="AE243" i="5"/>
  <c r="AE216" i="5"/>
  <c r="AE254" i="5"/>
  <c r="AE268" i="5"/>
  <c r="AE234" i="5"/>
  <c r="M145" i="6"/>
  <c r="AE251" i="5"/>
  <c r="AE224" i="5"/>
  <c r="AE309" i="5"/>
  <c r="AE258" i="5"/>
  <c r="M85" i="6"/>
  <c r="AE326" i="5"/>
  <c r="AE228" i="5"/>
  <c r="AE262" i="5"/>
  <c r="AE248" i="5"/>
  <c r="AE221" i="5"/>
  <c r="AE327" i="5"/>
  <c r="AE265" i="5"/>
  <c r="AE231" i="5"/>
  <c r="J6" i="6"/>
  <c r="J5" i="6"/>
  <c r="M70" i="6"/>
  <c r="M35" i="6"/>
  <c r="M13" i="6"/>
  <c r="M120" i="6"/>
  <c r="M75" i="6"/>
  <c r="AE285" i="5"/>
  <c r="AE240" i="5"/>
  <c r="AE256" i="5"/>
  <c r="AE250" i="5"/>
  <c r="AE223" i="5"/>
  <c r="AE271" i="5"/>
  <c r="AE314" i="5"/>
  <c r="AE259" i="5"/>
  <c r="AE303" i="5"/>
  <c r="AE247" i="5"/>
  <c r="AE220" i="5"/>
  <c r="AE246" i="5"/>
  <c r="AE219" i="5"/>
  <c r="AE266" i="5"/>
  <c r="AE232" i="5"/>
  <c r="K76" i="6"/>
  <c r="L10" i="6"/>
  <c r="K4" i="6"/>
  <c r="M105" i="6"/>
  <c r="M96" i="6"/>
  <c r="M127" i="6"/>
  <c r="M17" i="6"/>
  <c r="M90" i="6"/>
  <c r="AE264" i="5"/>
  <c r="AE230" i="5"/>
  <c r="AE320" i="5"/>
  <c r="AE226" i="5"/>
  <c r="AE267" i="5"/>
  <c r="AE233" i="5"/>
  <c r="M84" i="6"/>
  <c r="AE295" i="5"/>
  <c r="AE242" i="5"/>
  <c r="AE6" i="5"/>
  <c r="AE296" i="5"/>
  <c r="AE215" i="5"/>
  <c r="K146" i="6"/>
  <c r="L80" i="6"/>
  <c r="M55" i="6"/>
  <c r="AE290" i="5"/>
  <c r="AE241" i="5"/>
  <c r="AE304" i="5"/>
  <c r="AE257" i="5"/>
  <c r="AE211" i="5"/>
  <c r="AE245" i="5"/>
  <c r="AE218" i="5"/>
  <c r="AE319" i="5"/>
  <c r="AE260" i="5"/>
  <c r="AE269" i="5"/>
  <c r="AE235" i="5"/>
  <c r="M60" i="6"/>
  <c r="M144" i="6"/>
  <c r="M30" i="6"/>
  <c r="M135" i="6"/>
  <c r="M100" i="6"/>
  <c r="AE280" i="5"/>
  <c r="AE239" i="5"/>
  <c r="AE111" i="5"/>
  <c r="AE4" i="5"/>
  <c r="AE5" i="5" s="1"/>
  <c r="AE7" i="5"/>
  <c r="AE252" i="5"/>
  <c r="AE225" i="5"/>
  <c r="AE237" i="5"/>
  <c r="AE325" i="5"/>
  <c r="AE261" i="5"/>
  <c r="AE227" i="5"/>
  <c r="AE249" i="5"/>
  <c r="AE222" i="5"/>
  <c r="AE253" i="5"/>
  <c r="AF209" i="5"/>
  <c r="AF207" i="5"/>
  <c r="AF205" i="5"/>
  <c r="AF203" i="5"/>
  <c r="AF201" i="5"/>
  <c r="AF199" i="5"/>
  <c r="AF197" i="5"/>
  <c r="AF195" i="5"/>
  <c r="AF193" i="5"/>
  <c r="AF191" i="5"/>
  <c r="N141" i="6" s="1"/>
  <c r="AF189" i="5"/>
  <c r="AF187" i="5"/>
  <c r="N137" i="6" s="1"/>
  <c r="AF185" i="5"/>
  <c r="AF183" i="5"/>
  <c r="AF181" i="5"/>
  <c r="AF179" i="5"/>
  <c r="AF177" i="5"/>
  <c r="AF175" i="5"/>
  <c r="N125" i="6" s="1"/>
  <c r="AF173" i="5"/>
  <c r="AF171" i="5"/>
  <c r="N121" i="6" s="1"/>
  <c r="AF169" i="5"/>
  <c r="N119" i="6" s="1"/>
  <c r="AF167" i="5"/>
  <c r="N117" i="6" s="1"/>
  <c r="AF165" i="5"/>
  <c r="AF163" i="5"/>
  <c r="N113" i="6" s="1"/>
  <c r="AF161" i="5"/>
  <c r="AF159" i="5"/>
  <c r="N109" i="6" s="1"/>
  <c r="AF157" i="5"/>
  <c r="N107" i="6" s="1"/>
  <c r="AF155" i="5"/>
  <c r="AF153" i="5"/>
  <c r="N103" i="6" s="1"/>
  <c r="AF151" i="5"/>
  <c r="AF149" i="5"/>
  <c r="N99" i="6" s="1"/>
  <c r="AF147" i="5"/>
  <c r="AF145" i="5"/>
  <c r="AF143" i="5"/>
  <c r="AF141" i="5"/>
  <c r="AF139" i="5"/>
  <c r="AF137" i="5"/>
  <c r="AF135" i="5"/>
  <c r="AF133" i="5"/>
  <c r="AF131" i="5"/>
  <c r="AF129" i="5"/>
  <c r="AF318" i="5" s="1"/>
  <c r="AF127" i="5"/>
  <c r="AF316" i="5" s="1"/>
  <c r="AF125" i="5"/>
  <c r="AF123" i="5"/>
  <c r="AF312" i="5" s="1"/>
  <c r="AF121" i="5"/>
  <c r="AF310" i="5" s="1"/>
  <c r="AF119" i="5"/>
  <c r="AF308" i="5" s="1"/>
  <c r="AF210" i="5"/>
  <c r="AF208" i="5"/>
  <c r="AF206" i="5"/>
  <c r="AF204" i="5"/>
  <c r="AF202" i="5"/>
  <c r="AF200" i="5"/>
  <c r="AF198" i="5"/>
  <c r="AF196" i="5"/>
  <c r="AF194" i="5"/>
  <c r="AF192" i="5"/>
  <c r="AF190" i="5"/>
  <c r="AF188" i="5"/>
  <c r="N138" i="6" s="1"/>
  <c r="AF186" i="5"/>
  <c r="N136" i="6" s="1"/>
  <c r="AF184" i="5"/>
  <c r="AF182" i="5"/>
  <c r="AF180" i="5"/>
  <c r="AF178" i="5"/>
  <c r="AF176" i="5"/>
  <c r="N126" i="6" s="1"/>
  <c r="AF174" i="5"/>
  <c r="N124" i="6" s="1"/>
  <c r="AF172" i="5"/>
  <c r="N122" i="6" s="1"/>
  <c r="AF170" i="5"/>
  <c r="AF168" i="5"/>
  <c r="N118" i="6" s="1"/>
  <c r="AF166" i="5"/>
  <c r="AF164" i="5"/>
  <c r="AF162" i="5"/>
  <c r="AF160" i="5"/>
  <c r="AF158" i="5"/>
  <c r="AF156" i="5"/>
  <c r="N106" i="6" s="1"/>
  <c r="AF154" i="5"/>
  <c r="AF152" i="5"/>
  <c r="AF150" i="5"/>
  <c r="AF148" i="5"/>
  <c r="AF146" i="5"/>
  <c r="AF140" i="5"/>
  <c r="AF136" i="5"/>
  <c r="AF132" i="5"/>
  <c r="AF321" i="5" s="1"/>
  <c r="AF128" i="5"/>
  <c r="AF317" i="5" s="1"/>
  <c r="AF124" i="5"/>
  <c r="AF313" i="5" s="1"/>
  <c r="AF120" i="5"/>
  <c r="AF106" i="5"/>
  <c r="AF98" i="5"/>
  <c r="AF90" i="5"/>
  <c r="AF82" i="5"/>
  <c r="N62" i="6" s="1"/>
  <c r="AF74" i="5"/>
  <c r="AF66" i="5"/>
  <c r="AF58" i="5"/>
  <c r="AF50" i="5"/>
  <c r="AF42" i="5"/>
  <c r="AF34" i="5"/>
  <c r="AF299" i="5" s="1"/>
  <c r="AF144" i="5"/>
  <c r="N94" i="6" s="1"/>
  <c r="AF103" i="5"/>
  <c r="AF95" i="5"/>
  <c r="AF87" i="5"/>
  <c r="AF79" i="5"/>
  <c r="N59" i="6" s="1"/>
  <c r="AF71" i="5"/>
  <c r="N51" i="6" s="1"/>
  <c r="AF63" i="5"/>
  <c r="AF55" i="5"/>
  <c r="AF47" i="5"/>
  <c r="N27" i="6" s="1"/>
  <c r="AF39" i="5"/>
  <c r="N19" i="6" s="1"/>
  <c r="AF117" i="5"/>
  <c r="AF306" i="5" s="1"/>
  <c r="AF108" i="5"/>
  <c r="AF100" i="5"/>
  <c r="AF92" i="5"/>
  <c r="N72" i="6" s="1"/>
  <c r="AF84" i="5"/>
  <c r="AF76" i="5"/>
  <c r="N56" i="6" s="1"/>
  <c r="AF68" i="5"/>
  <c r="N48" i="6" s="1"/>
  <c r="AF60" i="5"/>
  <c r="AF52" i="5"/>
  <c r="N32" i="6" s="1"/>
  <c r="AF44" i="5"/>
  <c r="N24" i="6" s="1"/>
  <c r="AF36" i="5"/>
  <c r="N16" i="6" s="1"/>
  <c r="AF28" i="5"/>
  <c r="AF293" i="5" s="1"/>
  <c r="AF116" i="5"/>
  <c r="AF305" i="5" s="1"/>
  <c r="AF105" i="5"/>
  <c r="AF97" i="5"/>
  <c r="AF89" i="5"/>
  <c r="AF81" i="5"/>
  <c r="N61" i="6" s="1"/>
  <c r="AF73" i="5"/>
  <c r="AF65" i="5"/>
  <c r="N45" i="6" s="1"/>
  <c r="AF57" i="5"/>
  <c r="AF49" i="5"/>
  <c r="N29" i="6" s="1"/>
  <c r="AF142" i="5"/>
  <c r="AF138" i="5"/>
  <c r="AF134" i="5"/>
  <c r="AF323" i="5" s="1"/>
  <c r="AF130" i="5"/>
  <c r="AF126" i="5"/>
  <c r="AF315" i="5" s="1"/>
  <c r="AF122" i="5"/>
  <c r="AF311" i="5" s="1"/>
  <c r="AF102" i="5"/>
  <c r="AF94" i="5"/>
  <c r="AF86" i="5"/>
  <c r="AF78" i="5"/>
  <c r="N58" i="6" s="1"/>
  <c r="AF70" i="5"/>
  <c r="AF62" i="5"/>
  <c r="AF54" i="5"/>
  <c r="AF46" i="5"/>
  <c r="N26" i="6" s="1"/>
  <c r="AF107" i="5"/>
  <c r="AF99" i="5"/>
  <c r="AF91" i="5"/>
  <c r="AF83" i="5"/>
  <c r="AF118" i="5"/>
  <c r="AF307" i="5" s="1"/>
  <c r="AF109" i="5"/>
  <c r="AF101" i="5"/>
  <c r="AF93" i="5"/>
  <c r="N73" i="6" s="1"/>
  <c r="AF85" i="5"/>
  <c r="AF77" i="5"/>
  <c r="N57" i="6" s="1"/>
  <c r="AF69" i="5"/>
  <c r="N49" i="6" s="1"/>
  <c r="AF29" i="5"/>
  <c r="AF294" i="5" s="1"/>
  <c r="AF25" i="5"/>
  <c r="AF17" i="5"/>
  <c r="AF282" i="5" s="1"/>
  <c r="AF15" i="5"/>
  <c r="AF110" i="5"/>
  <c r="AF22" i="5"/>
  <c r="AF287" i="5" s="1"/>
  <c r="AF56" i="5"/>
  <c r="AF80" i="5"/>
  <c r="AF72" i="5"/>
  <c r="N52" i="6" s="1"/>
  <c r="AF61" i="5"/>
  <c r="N41" i="6" s="1"/>
  <c r="AF59" i="5"/>
  <c r="AF53" i="5"/>
  <c r="AF51" i="5"/>
  <c r="N31" i="6" s="1"/>
  <c r="AF45" i="5"/>
  <c r="AF43" i="5"/>
  <c r="AF40" i="5"/>
  <c r="N20" i="6" s="1"/>
  <c r="AF38" i="5"/>
  <c r="AF37" i="5"/>
  <c r="AF27" i="5"/>
  <c r="AF292" i="5" s="1"/>
  <c r="AF19" i="5"/>
  <c r="AF284" i="5" s="1"/>
  <c r="AF48" i="5"/>
  <c r="AF24" i="5"/>
  <c r="AF289" i="5" s="1"/>
  <c r="AF16" i="5"/>
  <c r="AF281" i="5" s="1"/>
  <c r="AF75" i="5"/>
  <c r="AF67" i="5"/>
  <c r="AF33" i="5"/>
  <c r="AF32" i="5"/>
  <c r="AF297" i="5" s="1"/>
  <c r="AF21" i="5"/>
  <c r="AF286" i="5" s="1"/>
  <c r="AG8" i="5"/>
  <c r="AF64" i="5"/>
  <c r="N44" i="6" s="1"/>
  <c r="AF23" i="5"/>
  <c r="AF288" i="5" s="1"/>
  <c r="AF41" i="5"/>
  <c r="N21" i="6" s="1"/>
  <c r="AF26" i="5"/>
  <c r="AF291" i="5" s="1"/>
  <c r="AF18" i="5"/>
  <c r="AF283" i="5" s="1"/>
  <c r="AF31" i="5"/>
  <c r="AF30" i="5"/>
  <c r="AF115" i="5"/>
  <c r="AF104" i="5"/>
  <c r="AF96" i="5"/>
  <c r="AF88" i="5"/>
  <c r="AF35" i="5"/>
  <c r="AF20" i="5"/>
  <c r="AE328" i="5"/>
  <c r="AE300" i="5"/>
  <c r="AE298" i="5"/>
  <c r="AE302" i="5"/>
  <c r="AE244" i="5"/>
  <c r="AE217" i="5"/>
  <c r="AE322" i="5"/>
  <c r="AE324" i="5"/>
  <c r="AE236" i="5"/>
  <c r="AE270" i="5"/>
  <c r="AE263" i="5"/>
  <c r="AE229" i="5"/>
  <c r="M50" i="6"/>
  <c r="M12" i="6"/>
  <c r="M83" i="6"/>
  <c r="N89" i="6" l="1"/>
  <c r="N98" i="6"/>
  <c r="N133" i="6"/>
  <c r="N66" i="6"/>
  <c r="N53" i="6"/>
  <c r="N108" i="6"/>
  <c r="Q20" i="16"/>
  <c r="N131" i="6"/>
  <c r="Q183" i="16"/>
  <c r="Q189" i="16" s="1"/>
  <c r="Q17" i="16"/>
  <c r="N28" i="6"/>
  <c r="N33" i="6"/>
  <c r="N47" i="6"/>
  <c r="N142" i="6"/>
  <c r="N97" i="6"/>
  <c r="N42" i="6"/>
  <c r="N123" i="6"/>
  <c r="R16" i="23"/>
  <c r="Q17" i="23"/>
  <c r="Q20" i="23"/>
  <c r="Q183" i="23"/>
  <c r="Q11" i="23"/>
  <c r="Q20" i="25"/>
  <c r="Q17" i="25"/>
  <c r="R16" i="25"/>
  <c r="Q183" i="25"/>
  <c r="Q11" i="25"/>
  <c r="R16" i="24"/>
  <c r="Q20" i="24"/>
  <c r="Q17" i="24"/>
  <c r="Q11" i="24"/>
  <c r="Q183" i="24"/>
  <c r="M70" i="17"/>
  <c r="M57" i="17" s="1"/>
  <c r="M58" i="17" s="1"/>
  <c r="M71" i="17"/>
  <c r="M235" i="17" s="1"/>
  <c r="M234" i="17"/>
  <c r="M35" i="17" s="1"/>
  <c r="M48" i="17"/>
  <c r="M129" i="17"/>
  <c r="M51" i="17"/>
  <c r="M492" i="17"/>
  <c r="M497" i="17" s="1"/>
  <c r="M108" i="17"/>
  <c r="M110" i="17" s="1"/>
  <c r="M111" i="17" s="1"/>
  <c r="R16" i="16"/>
  <c r="R20" i="16" s="1"/>
  <c r="N110" i="6"/>
  <c r="N23" i="6"/>
  <c r="N37" i="6"/>
  <c r="R187" i="16"/>
  <c r="N116" i="6"/>
  <c r="R154" i="17"/>
  <c r="T536" i="16"/>
  <c r="N88" i="6"/>
  <c r="R139" i="17"/>
  <c r="Q476" i="17"/>
  <c r="R258" i="17"/>
  <c r="N115" i="6"/>
  <c r="R258" i="16"/>
  <c r="R257" i="16"/>
  <c r="T190" i="17"/>
  <c r="S537" i="17"/>
  <c r="S262" i="17"/>
  <c r="T529" i="16"/>
  <c r="R177" i="16"/>
  <c r="Q178" i="16"/>
  <c r="Q179" i="16" s="1"/>
  <c r="Q170" i="16"/>
  <c r="Q173" i="16" s="1"/>
  <c r="R169" i="16"/>
  <c r="T527" i="16"/>
  <c r="T527" i="17"/>
  <c r="T526" i="16"/>
  <c r="T18" i="17"/>
  <c r="S19" i="17"/>
  <c r="S44" i="17" s="1"/>
  <c r="T535" i="17"/>
  <c r="T533" i="16"/>
  <c r="T536" i="17"/>
  <c r="T21" i="16"/>
  <c r="S22" i="16"/>
  <c r="R188" i="16"/>
  <c r="T534" i="17"/>
  <c r="R154" i="16"/>
  <c r="Q476" i="16"/>
  <c r="N22" i="6"/>
  <c r="T190" i="16"/>
  <c r="S537" i="16"/>
  <c r="S262" i="16"/>
  <c r="T534" i="16"/>
  <c r="T182" i="16"/>
  <c r="R186" i="16"/>
  <c r="T526" i="17"/>
  <c r="Q259" i="17"/>
  <c r="R257" i="17"/>
  <c r="T533" i="17"/>
  <c r="T528" i="16"/>
  <c r="R139" i="16"/>
  <c r="T185" i="17"/>
  <c r="Q89" i="16"/>
  <c r="R146" i="16"/>
  <c r="Q475" i="16"/>
  <c r="Q147" i="16"/>
  <c r="Q150" i="16" s="1"/>
  <c r="T529" i="17"/>
  <c r="T18" i="16"/>
  <c r="S19" i="16"/>
  <c r="T525" i="17"/>
  <c r="S530" i="17"/>
  <c r="S256" i="17" s="1"/>
  <c r="T525" i="16"/>
  <c r="S530" i="16"/>
  <c r="T184" i="16"/>
  <c r="T21" i="17"/>
  <c r="S22" i="17"/>
  <c r="Q475" i="17"/>
  <c r="R146" i="17"/>
  <c r="Q89" i="17"/>
  <c r="Q147" i="17"/>
  <c r="Q150" i="17" s="1"/>
  <c r="Q259" i="16"/>
  <c r="T535" i="16"/>
  <c r="T182" i="17"/>
  <c r="T528" i="17"/>
  <c r="R169" i="17"/>
  <c r="Q170" i="17"/>
  <c r="Q173" i="17" s="1"/>
  <c r="Q92" i="17" s="1"/>
  <c r="T185" i="16"/>
  <c r="S256" i="16"/>
  <c r="T184" i="17"/>
  <c r="N74" i="6"/>
  <c r="N46" i="6"/>
  <c r="N114" i="6"/>
  <c r="Q13" i="16"/>
  <c r="N64" i="6"/>
  <c r="N39" i="6"/>
  <c r="N54" i="6"/>
  <c r="T385" i="17"/>
  <c r="T73" i="17" s="1"/>
  <c r="T442" i="17" s="1"/>
  <c r="T350" i="17" s="1"/>
  <c r="T391" i="17"/>
  <c r="T394" i="17" s="1"/>
  <c r="S357" i="17"/>
  <c r="S344" i="17"/>
  <c r="S388" i="17"/>
  <c r="R76" i="17"/>
  <c r="S366" i="17"/>
  <c r="L78" i="17"/>
  <c r="L85" i="17"/>
  <c r="L64" i="17"/>
  <c r="L65" i="17" s="1"/>
  <c r="L66" i="17" s="1"/>
  <c r="L235" i="17"/>
  <c r="L60" i="17"/>
  <c r="L130" i="17"/>
  <c r="L45" i="17"/>
  <c r="F37" i="9"/>
  <c r="F38" i="9" s="1"/>
  <c r="E41" i="9"/>
  <c r="Y8" i="8"/>
  <c r="Y9" i="8" s="1"/>
  <c r="V160" i="17"/>
  <c r="U477" i="17"/>
  <c r="U91" i="17"/>
  <c r="U161" i="17"/>
  <c r="U165" i="17" s="1"/>
  <c r="W123" i="17"/>
  <c r="W514" i="17"/>
  <c r="X332" i="17"/>
  <c r="W333" i="17"/>
  <c r="W507" i="17" s="1"/>
  <c r="V384" i="17"/>
  <c r="U385" i="17"/>
  <c r="U73" i="17" s="1"/>
  <c r="U442" i="17" s="1"/>
  <c r="R178" i="17"/>
  <c r="R179" i="17" s="1"/>
  <c r="N38" i="6"/>
  <c r="Q183" i="17"/>
  <c r="Q11" i="17"/>
  <c r="Q20" i="17"/>
  <c r="R16" i="17"/>
  <c r="Q17" i="17"/>
  <c r="N112" i="6"/>
  <c r="N43" i="6"/>
  <c r="N67" i="6"/>
  <c r="Q12" i="16"/>
  <c r="N25" i="6"/>
  <c r="N69" i="6"/>
  <c r="N104" i="6"/>
  <c r="N18" i="6"/>
  <c r="N63" i="6"/>
  <c r="N71" i="6"/>
  <c r="N129" i="6"/>
  <c r="N134" i="6"/>
  <c r="N132" i="6"/>
  <c r="N143" i="6"/>
  <c r="N101" i="6"/>
  <c r="N102" i="6"/>
  <c r="N92" i="6"/>
  <c r="N15" i="6"/>
  <c r="N87" i="6"/>
  <c r="N68" i="6"/>
  <c r="L333" i="15"/>
  <c r="L368" i="15"/>
  <c r="M364" i="15"/>
  <c r="L351" i="15"/>
  <c r="M344" i="15"/>
  <c r="N111" i="6"/>
  <c r="N36" i="6"/>
  <c r="N128" i="6"/>
  <c r="N91" i="6"/>
  <c r="N139" i="6"/>
  <c r="N93" i="6"/>
  <c r="N86" i="6"/>
  <c r="N140" i="6"/>
  <c r="N130" i="6"/>
  <c r="AF255" i="5"/>
  <c r="N83" i="6"/>
  <c r="N34" i="6"/>
  <c r="N120" i="6"/>
  <c r="N50" i="6"/>
  <c r="AF253" i="5"/>
  <c r="AF271" i="5"/>
  <c r="N35" i="6"/>
  <c r="N85" i="6"/>
  <c r="N55" i="6"/>
  <c r="N17" i="6"/>
  <c r="AF246" i="5"/>
  <c r="AF219" i="5"/>
  <c r="N75" i="6"/>
  <c r="AG210" i="5"/>
  <c r="AG208" i="5"/>
  <c r="AG206" i="5"/>
  <c r="AG204" i="5"/>
  <c r="AG202" i="5"/>
  <c r="AG200" i="5"/>
  <c r="AG198" i="5"/>
  <c r="AG196" i="5"/>
  <c r="AG194" i="5"/>
  <c r="AG192" i="5"/>
  <c r="AG190" i="5"/>
  <c r="AG188" i="5"/>
  <c r="O138" i="6" s="1"/>
  <c r="AG186" i="5"/>
  <c r="O136" i="6" s="1"/>
  <c r="AG184" i="5"/>
  <c r="AG182" i="5"/>
  <c r="AG180" i="5"/>
  <c r="AG178" i="5"/>
  <c r="AG176" i="5"/>
  <c r="O126" i="6" s="1"/>
  <c r="AG174" i="5"/>
  <c r="O124" i="6" s="1"/>
  <c r="AG172" i="5"/>
  <c r="O122" i="6" s="1"/>
  <c r="AG170" i="5"/>
  <c r="AG168" i="5"/>
  <c r="O118" i="6" s="1"/>
  <c r="AG166" i="5"/>
  <c r="O116" i="6" s="1"/>
  <c r="AG164" i="5"/>
  <c r="AG209" i="5"/>
  <c r="AG207" i="5"/>
  <c r="AG205" i="5"/>
  <c r="AG203" i="5"/>
  <c r="AG201" i="5"/>
  <c r="AG199" i="5"/>
  <c r="AG197" i="5"/>
  <c r="AG195" i="5"/>
  <c r="AG193" i="5"/>
  <c r="AG191" i="5"/>
  <c r="O141" i="6" s="1"/>
  <c r="AG189" i="5"/>
  <c r="AG187" i="5"/>
  <c r="O137" i="6" s="1"/>
  <c r="AG144" i="5"/>
  <c r="O94" i="6" s="1"/>
  <c r="AG103" i="5"/>
  <c r="AG95" i="5"/>
  <c r="AG87" i="5"/>
  <c r="AG79" i="5"/>
  <c r="O59" i="6" s="1"/>
  <c r="AG71" i="5"/>
  <c r="O51" i="6" s="1"/>
  <c r="AG63" i="5"/>
  <c r="AG55" i="5"/>
  <c r="AG47" i="5"/>
  <c r="O27" i="6" s="1"/>
  <c r="AG39" i="5"/>
  <c r="O19" i="6" s="1"/>
  <c r="AG171" i="5"/>
  <c r="O121" i="6" s="1"/>
  <c r="AG169" i="5"/>
  <c r="O119" i="6" s="1"/>
  <c r="AG167" i="5"/>
  <c r="O117" i="6" s="1"/>
  <c r="AG165" i="5"/>
  <c r="AG163" i="5"/>
  <c r="O113" i="6" s="1"/>
  <c r="AG159" i="5"/>
  <c r="O109" i="6" s="1"/>
  <c r="AG155" i="5"/>
  <c r="AG151" i="5"/>
  <c r="AG147" i="5"/>
  <c r="AG117" i="5"/>
  <c r="AG306" i="5" s="1"/>
  <c r="AG108" i="5"/>
  <c r="AG100" i="5"/>
  <c r="AG92" i="5"/>
  <c r="O72" i="6" s="1"/>
  <c r="AG84" i="5"/>
  <c r="AG76" i="5"/>
  <c r="O56" i="6" s="1"/>
  <c r="AG68" i="5"/>
  <c r="O48" i="6" s="1"/>
  <c r="AG60" i="5"/>
  <c r="AG52" i="5"/>
  <c r="O32" i="6" s="1"/>
  <c r="AG44" i="5"/>
  <c r="O24" i="6" s="1"/>
  <c r="AG185" i="5"/>
  <c r="AG181" i="5"/>
  <c r="O131" i="6" s="1"/>
  <c r="AG177" i="5"/>
  <c r="AG173" i="5"/>
  <c r="AG162" i="5"/>
  <c r="AG158" i="5"/>
  <c r="O108" i="6" s="1"/>
  <c r="AG154" i="5"/>
  <c r="AG150" i="5"/>
  <c r="AG146" i="5"/>
  <c r="AG141" i="5"/>
  <c r="AG137" i="5"/>
  <c r="AG133" i="5"/>
  <c r="AG129" i="5"/>
  <c r="AG318" i="5" s="1"/>
  <c r="AG125" i="5"/>
  <c r="AG121" i="5"/>
  <c r="AG310" i="5" s="1"/>
  <c r="AG116" i="5"/>
  <c r="AG305" i="5" s="1"/>
  <c r="AG105" i="5"/>
  <c r="AG97" i="5"/>
  <c r="AG89" i="5"/>
  <c r="AG81" i="5"/>
  <c r="O61" i="6" s="1"/>
  <c r="AG73" i="5"/>
  <c r="O53" i="6" s="1"/>
  <c r="AG65" i="5"/>
  <c r="O45" i="6" s="1"/>
  <c r="AG57" i="5"/>
  <c r="AG49" i="5"/>
  <c r="O29" i="6" s="1"/>
  <c r="AG41" i="5"/>
  <c r="O21" i="6" s="1"/>
  <c r="AG33" i="5"/>
  <c r="AG142" i="5"/>
  <c r="AG138" i="5"/>
  <c r="AG134" i="5"/>
  <c r="AG323" i="5" s="1"/>
  <c r="AG130" i="5"/>
  <c r="AG126" i="5"/>
  <c r="AG315" i="5" s="1"/>
  <c r="AG122" i="5"/>
  <c r="AG311" i="5" s="1"/>
  <c r="AG102" i="5"/>
  <c r="AG94" i="5"/>
  <c r="AG86" i="5"/>
  <c r="O66" i="6" s="1"/>
  <c r="AG78" i="5"/>
  <c r="O58" i="6" s="1"/>
  <c r="AG70" i="5"/>
  <c r="AG62" i="5"/>
  <c r="AG54" i="5"/>
  <c r="AG46" i="5"/>
  <c r="O26" i="6" s="1"/>
  <c r="AG107" i="5"/>
  <c r="AG99" i="5"/>
  <c r="AG91" i="5"/>
  <c r="AG83" i="5"/>
  <c r="AG75" i="5"/>
  <c r="AG67" i="5"/>
  <c r="O47" i="6" s="1"/>
  <c r="AG59" i="5"/>
  <c r="AG51" i="5"/>
  <c r="O31" i="6" s="1"/>
  <c r="AG43" i="5"/>
  <c r="O23" i="6" s="1"/>
  <c r="AG161" i="5"/>
  <c r="AG157" i="5"/>
  <c r="O107" i="6" s="1"/>
  <c r="AG153" i="5"/>
  <c r="O103" i="6" s="1"/>
  <c r="AG149" i="5"/>
  <c r="O99" i="6" s="1"/>
  <c r="AG115" i="5"/>
  <c r="AG110" i="5"/>
  <c r="AG104" i="5"/>
  <c r="AG96" i="5"/>
  <c r="AG88" i="5"/>
  <c r="AG140" i="5"/>
  <c r="AG136" i="5"/>
  <c r="AG132" i="5"/>
  <c r="AG321" i="5" s="1"/>
  <c r="AG128" i="5"/>
  <c r="AG317" i="5" s="1"/>
  <c r="AG124" i="5"/>
  <c r="AG313" i="5" s="1"/>
  <c r="AG120" i="5"/>
  <c r="AG119" i="5"/>
  <c r="AG308" i="5" s="1"/>
  <c r="AG106" i="5"/>
  <c r="AG98" i="5"/>
  <c r="AG90" i="5"/>
  <c r="AG82" i="5"/>
  <c r="O62" i="6" s="1"/>
  <c r="AG74" i="5"/>
  <c r="AG183" i="5"/>
  <c r="O133" i="6" s="1"/>
  <c r="AG145" i="5"/>
  <c r="AG28" i="5"/>
  <c r="AG293" i="5" s="1"/>
  <c r="AG22" i="5"/>
  <c r="AG287" i="5" s="1"/>
  <c r="AG127" i="5"/>
  <c r="AG316" i="5" s="1"/>
  <c r="AG118" i="5"/>
  <c r="AG307" i="5" s="1"/>
  <c r="AG101" i="5"/>
  <c r="AG34" i="5"/>
  <c r="AG299" i="5" s="1"/>
  <c r="AG20" i="5"/>
  <c r="AG179" i="5"/>
  <c r="AG160" i="5"/>
  <c r="AG131" i="5"/>
  <c r="AG80" i="5"/>
  <c r="AG72" i="5"/>
  <c r="O52" i="6" s="1"/>
  <c r="AG61" i="5"/>
  <c r="O41" i="6" s="1"/>
  <c r="AG53" i="5"/>
  <c r="O33" i="6" s="1"/>
  <c r="AG45" i="5"/>
  <c r="AG40" i="5"/>
  <c r="AG38" i="5"/>
  <c r="AG37" i="5"/>
  <c r="AG27" i="5"/>
  <c r="AG292" i="5" s="1"/>
  <c r="AG19" i="5"/>
  <c r="AG284" i="5" s="1"/>
  <c r="AG175" i="5"/>
  <c r="O125" i="6" s="1"/>
  <c r="AG148" i="5"/>
  <c r="O98" i="6" s="1"/>
  <c r="AG143" i="5"/>
  <c r="AG24" i="5"/>
  <c r="AG289" i="5" s="1"/>
  <c r="AG16" i="5"/>
  <c r="AG281" i="5" s="1"/>
  <c r="AG93" i="5"/>
  <c r="O73" i="6" s="1"/>
  <c r="AG85" i="5"/>
  <c r="AG123" i="5"/>
  <c r="AG312" i="5" s="1"/>
  <c r="AG32" i="5"/>
  <c r="AG297" i="5" s="1"/>
  <c r="AG21" i="5"/>
  <c r="AG286" i="5" s="1"/>
  <c r="AH8" i="5"/>
  <c r="AG156" i="5"/>
  <c r="O106" i="6" s="1"/>
  <c r="AG135" i="5"/>
  <c r="AG26" i="5"/>
  <c r="AG291" i="5" s="1"/>
  <c r="AG18" i="5"/>
  <c r="AG283" i="5" s="1"/>
  <c r="AG66" i="5"/>
  <c r="AG64" i="5"/>
  <c r="O44" i="6" s="1"/>
  <c r="AG58" i="5"/>
  <c r="AG56" i="5"/>
  <c r="AG50" i="5"/>
  <c r="AG48" i="5"/>
  <c r="O28" i="6" s="1"/>
  <c r="AG42" i="5"/>
  <c r="AG31" i="5"/>
  <c r="AG30" i="5"/>
  <c r="AG23" i="5"/>
  <c r="AG288" i="5" s="1"/>
  <c r="AG15" i="5"/>
  <c r="AG109" i="5"/>
  <c r="AG152" i="5"/>
  <c r="AG139" i="5"/>
  <c r="O89" i="6" s="1"/>
  <c r="AG77" i="5"/>
  <c r="O57" i="6" s="1"/>
  <c r="AG69" i="5"/>
  <c r="O49" i="6" s="1"/>
  <c r="AG36" i="5"/>
  <c r="O16" i="6" s="1"/>
  <c r="AG29" i="5"/>
  <c r="AG294" i="5" s="1"/>
  <c r="AG25" i="5"/>
  <c r="AG17" i="5"/>
  <c r="AG282" i="5" s="1"/>
  <c r="AG35" i="5"/>
  <c r="AF295" i="5"/>
  <c r="AF242" i="5"/>
  <c r="AF6" i="5"/>
  <c r="AF280" i="5"/>
  <c r="AF239" i="5"/>
  <c r="AF111" i="5"/>
  <c r="AF7" i="5"/>
  <c r="AF4" i="5"/>
  <c r="AF5" i="5" s="1"/>
  <c r="AF268" i="5"/>
  <c r="AF234" i="5"/>
  <c r="AF314" i="5"/>
  <c r="AF259" i="5"/>
  <c r="N90" i="6"/>
  <c r="N13" i="6"/>
  <c r="AF249" i="5"/>
  <c r="AF222" i="5"/>
  <c r="AF296" i="5"/>
  <c r="AF215" i="5"/>
  <c r="N100" i="6"/>
  <c r="AF285" i="5"/>
  <c r="AF240" i="5"/>
  <c r="AF328" i="5"/>
  <c r="AF300" i="5"/>
  <c r="AF298" i="5"/>
  <c r="AF250" i="5"/>
  <c r="AF223" i="5"/>
  <c r="AF221" i="5"/>
  <c r="AF248" i="5"/>
  <c r="AF272" i="5"/>
  <c r="AF263" i="5"/>
  <c r="AF229" i="5"/>
  <c r="N40" i="6"/>
  <c r="N135" i="6"/>
  <c r="N127" i="6"/>
  <c r="N70" i="6"/>
  <c r="N11" i="6"/>
  <c r="AF264" i="5"/>
  <c r="AF230" i="5"/>
  <c r="AF304" i="5"/>
  <c r="AF257" i="5"/>
  <c r="AF211" i="5"/>
  <c r="AF290" i="5"/>
  <c r="AF241" i="5"/>
  <c r="N12" i="6"/>
  <c r="AF301" i="5"/>
  <c r="AF243" i="5"/>
  <c r="AF216" i="5"/>
  <c r="AF254" i="5"/>
  <c r="AF326" i="5"/>
  <c r="AF228" i="5"/>
  <c r="AF262" i="5"/>
  <c r="AF266" i="5"/>
  <c r="AF232" i="5"/>
  <c r="AF320" i="5"/>
  <c r="AF226" i="5"/>
  <c r="AF273" i="5"/>
  <c r="N82" i="6"/>
  <c r="N30" i="6"/>
  <c r="L146" i="6"/>
  <c r="M80" i="6"/>
  <c r="N96" i="6"/>
  <c r="O96" i="6" s="1"/>
  <c r="AF245" i="5"/>
  <c r="AF218" i="5"/>
  <c r="AF256" i="5"/>
  <c r="AF327" i="5"/>
  <c r="AF231" i="5"/>
  <c r="AF265" i="5"/>
  <c r="AF251" i="5"/>
  <c r="AF224" i="5"/>
  <c r="AF302" i="5"/>
  <c r="AF217" i="5"/>
  <c r="AF244" i="5"/>
  <c r="AF225" i="5"/>
  <c r="AF252" i="5"/>
  <c r="AF237" i="5"/>
  <c r="AF303" i="5"/>
  <c r="AF247" i="5"/>
  <c r="AF220" i="5"/>
  <c r="AF322" i="5"/>
  <c r="AF324" i="5"/>
  <c r="AF267" i="5"/>
  <c r="AF233" i="5"/>
  <c r="N144" i="6"/>
  <c r="O144" i="6" s="1"/>
  <c r="N81" i="6"/>
  <c r="N105" i="6"/>
  <c r="AF309" i="5"/>
  <c r="AF258" i="5"/>
  <c r="L76" i="6"/>
  <c r="M10" i="6"/>
  <c r="L4" i="6"/>
  <c r="O142" i="6"/>
  <c r="AF274" i="5"/>
  <c r="AF319" i="5"/>
  <c r="AF260" i="5"/>
  <c r="AF269" i="5"/>
  <c r="AF235" i="5"/>
  <c r="AF236" i="5"/>
  <c r="AF270" i="5"/>
  <c r="AF325" i="5"/>
  <c r="AF261" i="5"/>
  <c r="AF227" i="5"/>
  <c r="N95" i="6"/>
  <c r="N60" i="6"/>
  <c r="N84" i="6"/>
  <c r="N14" i="6"/>
  <c r="K6" i="6"/>
  <c r="K5" i="6"/>
  <c r="N145" i="6"/>
  <c r="N65" i="6"/>
  <c r="Q134" i="23" l="1"/>
  <c r="Q135" i="23"/>
  <c r="Q134" i="16"/>
  <c r="Q135" i="16"/>
  <c r="Q134" i="24"/>
  <c r="Q135" i="24"/>
  <c r="Q134" i="17"/>
  <c r="Q135" i="17"/>
  <c r="O42" i="6"/>
  <c r="Q134" i="25"/>
  <c r="R134" i="25" s="1"/>
  <c r="Q135" i="25"/>
  <c r="R135" i="25" s="1"/>
  <c r="O97" i="6"/>
  <c r="S16" i="16"/>
  <c r="R183" i="16"/>
  <c r="R189" i="16" s="1"/>
  <c r="R11" i="16"/>
  <c r="R13" i="16" s="1"/>
  <c r="R17" i="16"/>
  <c r="R192" i="16" s="1"/>
  <c r="R291" i="16" s="1"/>
  <c r="O88" i="6"/>
  <c r="O123" i="6"/>
  <c r="O37" i="6"/>
  <c r="O38" i="6"/>
  <c r="O74" i="6"/>
  <c r="R20" i="25"/>
  <c r="R17" i="25"/>
  <c r="R192" i="25" s="1"/>
  <c r="S16" i="25"/>
  <c r="R183" i="24"/>
  <c r="Q189" i="24"/>
  <c r="R11" i="24"/>
  <c r="Q12" i="24"/>
  <c r="Q13" i="24"/>
  <c r="Q13" i="23"/>
  <c r="Q12" i="23"/>
  <c r="R11" i="23"/>
  <c r="R183" i="23"/>
  <c r="Q189" i="23"/>
  <c r="R17" i="24"/>
  <c r="R192" i="24" s="1"/>
  <c r="S16" i="24"/>
  <c r="R20" i="24"/>
  <c r="Q13" i="25"/>
  <c r="R11" i="25"/>
  <c r="Q12" i="25"/>
  <c r="R183" i="25"/>
  <c r="Q189" i="25"/>
  <c r="R20" i="23"/>
  <c r="S16" i="23"/>
  <c r="R17" i="23"/>
  <c r="R192" i="23" s="1"/>
  <c r="R291" i="23" s="1"/>
  <c r="R293" i="23" s="1"/>
  <c r="R294" i="23" s="1"/>
  <c r="R327" i="23" s="1"/>
  <c r="Y10" i="8"/>
  <c r="Y11" i="8" s="1"/>
  <c r="N230" i="17"/>
  <c r="N96" i="17"/>
  <c r="N98" i="17" s="1"/>
  <c r="N99" i="17" s="1"/>
  <c r="N480" i="17"/>
  <c r="N482" i="17" s="1"/>
  <c r="N489" i="17" s="1"/>
  <c r="M53" i="17"/>
  <c r="M50" i="17"/>
  <c r="M49" i="17"/>
  <c r="M52" i="17" s="1"/>
  <c r="M46" i="17"/>
  <c r="M39" i="17"/>
  <c r="M130" i="17" s="1"/>
  <c r="M41" i="17"/>
  <c r="M78" i="17"/>
  <c r="M81" i="17" s="1"/>
  <c r="M82" i="17" s="1"/>
  <c r="M83" i="17" s="1"/>
  <c r="M85" i="17"/>
  <c r="M64" i="17"/>
  <c r="M65" i="17" s="1"/>
  <c r="M66" i="17" s="1"/>
  <c r="M61" i="17"/>
  <c r="M60" i="17"/>
  <c r="S187" i="17"/>
  <c r="O134" i="6"/>
  <c r="P134" i="6" s="1"/>
  <c r="S187" i="16"/>
  <c r="S258" i="17"/>
  <c r="S257" i="16"/>
  <c r="R476" i="17"/>
  <c r="O84" i="6"/>
  <c r="O105" i="6"/>
  <c r="O82" i="6"/>
  <c r="S139" i="17"/>
  <c r="O46" i="6"/>
  <c r="S177" i="17"/>
  <c r="S178" i="17" s="1"/>
  <c r="S179" i="17" s="1"/>
  <c r="S188" i="17"/>
  <c r="S186" i="17"/>
  <c r="S154" i="17"/>
  <c r="O100" i="6"/>
  <c r="P100" i="6" s="1"/>
  <c r="O95" i="6"/>
  <c r="AG253" i="5"/>
  <c r="O55" i="6"/>
  <c r="R259" i="16"/>
  <c r="O30" i="6"/>
  <c r="U534" i="16"/>
  <c r="O22" i="6"/>
  <c r="S44" i="16"/>
  <c r="U536" i="16"/>
  <c r="U534" i="17"/>
  <c r="O114" i="6"/>
  <c r="U182" i="17"/>
  <c r="O143" i="6"/>
  <c r="U528" i="17"/>
  <c r="R475" i="17"/>
  <c r="R89" i="17"/>
  <c r="R147" i="17"/>
  <c r="R150" i="17" s="1"/>
  <c r="S146" i="17"/>
  <c r="S177" i="16"/>
  <c r="R178" i="16"/>
  <c r="R179" i="16" s="1"/>
  <c r="U529" i="16"/>
  <c r="U533" i="16"/>
  <c r="U527" i="17"/>
  <c r="O130" i="6"/>
  <c r="U525" i="16"/>
  <c r="T530" i="16"/>
  <c r="U185" i="17"/>
  <c r="U528" i="16"/>
  <c r="U535" i="17"/>
  <c r="U527" i="16"/>
  <c r="O81" i="6"/>
  <c r="O12" i="6"/>
  <c r="O140" i="6"/>
  <c r="O15" i="6"/>
  <c r="U185" i="16"/>
  <c r="U535" i="16"/>
  <c r="U21" i="17"/>
  <c r="T22" i="17"/>
  <c r="R475" i="16"/>
  <c r="S146" i="16"/>
  <c r="R89" i="16"/>
  <c r="R147" i="16"/>
  <c r="R150" i="16" s="1"/>
  <c r="R259" i="17"/>
  <c r="S257" i="17"/>
  <c r="R170" i="16"/>
  <c r="R173" i="16" s="1"/>
  <c r="S169" i="16"/>
  <c r="T537" i="17"/>
  <c r="T262" i="17"/>
  <c r="U190" i="17"/>
  <c r="U184" i="17"/>
  <c r="U526" i="16"/>
  <c r="O13" i="6"/>
  <c r="T256" i="16"/>
  <c r="U184" i="16"/>
  <c r="U18" i="16"/>
  <c r="T19" i="16"/>
  <c r="U526" i="17"/>
  <c r="U190" i="16"/>
  <c r="T537" i="16"/>
  <c r="T262" i="16"/>
  <c r="S188" i="16"/>
  <c r="T19" i="17"/>
  <c r="U18" i="17"/>
  <c r="T530" i="17"/>
  <c r="T256" i="17" s="1"/>
  <c r="U525" i="17"/>
  <c r="O11" i="6"/>
  <c r="O50" i="6"/>
  <c r="R170" i="17"/>
  <c r="R173" i="17" s="1"/>
  <c r="R92" i="17" s="1"/>
  <c r="S169" i="17"/>
  <c r="U529" i="17"/>
  <c r="S186" i="16"/>
  <c r="S258" i="16"/>
  <c r="O139" i="6"/>
  <c r="O101" i="6"/>
  <c r="S139" i="16"/>
  <c r="U533" i="17"/>
  <c r="U182" i="16"/>
  <c r="S154" i="16"/>
  <c r="R476" i="16"/>
  <c r="U21" i="16"/>
  <c r="T22" i="16"/>
  <c r="U536" i="17"/>
  <c r="Q92" i="16"/>
  <c r="O68" i="6"/>
  <c r="O54" i="6"/>
  <c r="O39" i="6"/>
  <c r="O64" i="6"/>
  <c r="Q137" i="16"/>
  <c r="Q136" i="16"/>
  <c r="O43" i="6"/>
  <c r="O67" i="6"/>
  <c r="O112" i="6"/>
  <c r="U391" i="17"/>
  <c r="V391" i="17" s="1"/>
  <c r="T344" i="17"/>
  <c r="S76" i="17"/>
  <c r="T366" i="17"/>
  <c r="U350" i="17"/>
  <c r="T357" i="17"/>
  <c r="Q279" i="16"/>
  <c r="Q297" i="16"/>
  <c r="Q301" i="16"/>
  <c r="Q196" i="16"/>
  <c r="Q197" i="16" s="1"/>
  <c r="Q200" i="16" s="1"/>
  <c r="Q292" i="16"/>
  <c r="Q305" i="16"/>
  <c r="Q309" i="16"/>
  <c r="Q274" i="16"/>
  <c r="Q314" i="16"/>
  <c r="T388" i="17"/>
  <c r="L81" i="17"/>
  <c r="L82" i="17" s="1"/>
  <c r="L83" i="17" s="1"/>
  <c r="F40" i="9"/>
  <c r="O69" i="6"/>
  <c r="Y332" i="17"/>
  <c r="Z332" i="17" s="1"/>
  <c r="X123" i="17"/>
  <c r="X514" i="17"/>
  <c r="X333" i="17"/>
  <c r="X507" i="17" s="1"/>
  <c r="V385" i="17"/>
  <c r="V73" i="17" s="1"/>
  <c r="V442" i="17" s="1"/>
  <c r="W384" i="17"/>
  <c r="V477" i="17"/>
  <c r="W160" i="17"/>
  <c r="V161" i="17"/>
  <c r="V165" i="17" s="1"/>
  <c r="V91" i="17"/>
  <c r="S16" i="17"/>
  <c r="R17" i="17"/>
  <c r="R192" i="17" s="1"/>
  <c r="R291" i="17" s="1"/>
  <c r="R20" i="17"/>
  <c r="R11" i="17"/>
  <c r="Q12" i="17"/>
  <c r="Q13" i="17"/>
  <c r="R183" i="17"/>
  <c r="Q189" i="17"/>
  <c r="O25" i="6"/>
  <c r="S20" i="16"/>
  <c r="S17" i="16"/>
  <c r="Q14" i="16"/>
  <c r="O18" i="6"/>
  <c r="Q191" i="16"/>
  <c r="Q194" i="16" s="1"/>
  <c r="O102" i="6"/>
  <c r="O63" i="6"/>
  <c r="O129" i="6"/>
  <c r="O104" i="6"/>
  <c r="O71" i="6"/>
  <c r="O132" i="6"/>
  <c r="O92" i="6"/>
  <c r="O36" i="6"/>
  <c r="O128" i="6"/>
  <c r="O87" i="6"/>
  <c r="O17" i="6"/>
  <c r="O91" i="6"/>
  <c r="O34" i="6"/>
  <c r="O111" i="6"/>
  <c r="N364" i="15"/>
  <c r="M368" i="15"/>
  <c r="M351" i="15"/>
  <c r="N344" i="15"/>
  <c r="M333" i="15"/>
  <c r="O86" i="6"/>
  <c r="O93" i="6"/>
  <c r="O35" i="6"/>
  <c r="O83" i="6"/>
  <c r="O120" i="6"/>
  <c r="O14" i="6"/>
  <c r="O70" i="6"/>
  <c r="O90" i="6"/>
  <c r="O127" i="6"/>
  <c r="AG271" i="5"/>
  <c r="O60" i="6"/>
  <c r="O65" i="6"/>
  <c r="AG254" i="5"/>
  <c r="AG267" i="5"/>
  <c r="AG233" i="5"/>
  <c r="M146" i="6"/>
  <c r="N80" i="6"/>
  <c r="AG301" i="5"/>
  <c r="AG243" i="5"/>
  <c r="AG216" i="5"/>
  <c r="AG246" i="5"/>
  <c r="AG219" i="5"/>
  <c r="AG302" i="5"/>
  <c r="AG244" i="5"/>
  <c r="AG217" i="5"/>
  <c r="AG263" i="5"/>
  <c r="AG229" i="5"/>
  <c r="AG309" i="5"/>
  <c r="AG258" i="5"/>
  <c r="AG264" i="5"/>
  <c r="AG230" i="5"/>
  <c r="AG266" i="5"/>
  <c r="AG232" i="5"/>
  <c r="AG256" i="5"/>
  <c r="L6" i="6"/>
  <c r="L5" i="6"/>
  <c r="AH210" i="5"/>
  <c r="AH208" i="5"/>
  <c r="AH206" i="5"/>
  <c r="AH204" i="5"/>
  <c r="AH202" i="5"/>
  <c r="AH200" i="5"/>
  <c r="AH198" i="5"/>
  <c r="AH196" i="5"/>
  <c r="AH194" i="5"/>
  <c r="P144" i="6" s="1"/>
  <c r="AH192" i="5"/>
  <c r="P142" i="6" s="1"/>
  <c r="AH190" i="5"/>
  <c r="AH188" i="5"/>
  <c r="P138" i="6" s="1"/>
  <c r="AH186" i="5"/>
  <c r="P136" i="6" s="1"/>
  <c r="AH184" i="5"/>
  <c r="AH182" i="5"/>
  <c r="AH180" i="5"/>
  <c r="AH178" i="5"/>
  <c r="AH176" i="5"/>
  <c r="P126" i="6" s="1"/>
  <c r="AH174" i="5"/>
  <c r="P124" i="6" s="1"/>
  <c r="AH172" i="5"/>
  <c r="P122" i="6" s="1"/>
  <c r="AH170" i="5"/>
  <c r="AH168" i="5"/>
  <c r="P118" i="6" s="1"/>
  <c r="AH166" i="5"/>
  <c r="P116" i="6" s="1"/>
  <c r="AH164" i="5"/>
  <c r="AH162" i="5"/>
  <c r="AH160" i="5"/>
  <c r="AH158" i="5"/>
  <c r="P108" i="6" s="1"/>
  <c r="AH156" i="5"/>
  <c r="P106" i="6" s="1"/>
  <c r="AH154" i="5"/>
  <c r="AH152" i="5"/>
  <c r="AH150" i="5"/>
  <c r="AH148" i="5"/>
  <c r="P98" i="6" s="1"/>
  <c r="AH146" i="5"/>
  <c r="P96" i="6" s="1"/>
  <c r="AH144" i="5"/>
  <c r="P94" i="6" s="1"/>
  <c r="AH142" i="5"/>
  <c r="AH140" i="5"/>
  <c r="AH138" i="5"/>
  <c r="AH136" i="5"/>
  <c r="AH134" i="5"/>
  <c r="AH323" i="5" s="1"/>
  <c r="AH132" i="5"/>
  <c r="AH321" i="5" s="1"/>
  <c r="AH130" i="5"/>
  <c r="AH128" i="5"/>
  <c r="AH317" i="5" s="1"/>
  <c r="AH126" i="5"/>
  <c r="AH315" i="5" s="1"/>
  <c r="AH124" i="5"/>
  <c r="AH313" i="5" s="1"/>
  <c r="AH122" i="5"/>
  <c r="AH311" i="5" s="1"/>
  <c r="AH120" i="5"/>
  <c r="AH118" i="5"/>
  <c r="AH307" i="5" s="1"/>
  <c r="AH116" i="5"/>
  <c r="AH305" i="5" s="1"/>
  <c r="AH209" i="5"/>
  <c r="AH207" i="5"/>
  <c r="AH205" i="5"/>
  <c r="AH203" i="5"/>
  <c r="AH201" i="5"/>
  <c r="AH199" i="5"/>
  <c r="AH197" i="5"/>
  <c r="AH195" i="5"/>
  <c r="AH193" i="5"/>
  <c r="AH191" i="5"/>
  <c r="P141" i="6" s="1"/>
  <c r="AH189" i="5"/>
  <c r="AH187" i="5"/>
  <c r="P137" i="6" s="1"/>
  <c r="AH185" i="5"/>
  <c r="AH183" i="5"/>
  <c r="AH181" i="5"/>
  <c r="P131" i="6" s="1"/>
  <c r="AH179" i="5"/>
  <c r="AH177" i="5"/>
  <c r="AH175" i="5"/>
  <c r="P125" i="6" s="1"/>
  <c r="AH173" i="5"/>
  <c r="AH171" i="5"/>
  <c r="P121" i="6" s="1"/>
  <c r="AH169" i="5"/>
  <c r="P119" i="6" s="1"/>
  <c r="AH167" i="5"/>
  <c r="P117" i="6" s="1"/>
  <c r="AH165" i="5"/>
  <c r="AH163" i="5"/>
  <c r="P113" i="6" s="1"/>
  <c r="AH159" i="5"/>
  <c r="P109" i="6" s="1"/>
  <c r="AH155" i="5"/>
  <c r="AH151" i="5"/>
  <c r="AH147" i="5"/>
  <c r="P97" i="6" s="1"/>
  <c r="AH117" i="5"/>
  <c r="AH306" i="5" s="1"/>
  <c r="AH108" i="5"/>
  <c r="AH100" i="5"/>
  <c r="AH92" i="5"/>
  <c r="P72" i="6" s="1"/>
  <c r="AH84" i="5"/>
  <c r="AH76" i="5"/>
  <c r="P56" i="6" s="1"/>
  <c r="AH68" i="5"/>
  <c r="P48" i="6" s="1"/>
  <c r="AH60" i="5"/>
  <c r="AH52" i="5"/>
  <c r="P32" i="6" s="1"/>
  <c r="AH44" i="5"/>
  <c r="P24" i="6" s="1"/>
  <c r="AH36" i="5"/>
  <c r="P16" i="6" s="1"/>
  <c r="AH141" i="5"/>
  <c r="AH137" i="5"/>
  <c r="AH133" i="5"/>
  <c r="AH129" i="5"/>
  <c r="AH318" i="5" s="1"/>
  <c r="AH125" i="5"/>
  <c r="AH121" i="5"/>
  <c r="AH310" i="5" s="1"/>
  <c r="AH105" i="5"/>
  <c r="AH97" i="5"/>
  <c r="AH89" i="5"/>
  <c r="AH81" i="5"/>
  <c r="P61" i="6" s="1"/>
  <c r="AH73" i="5"/>
  <c r="P53" i="6" s="1"/>
  <c r="AH65" i="5"/>
  <c r="AH57" i="5"/>
  <c r="AH49" i="5"/>
  <c r="P29" i="6" s="1"/>
  <c r="AH41" i="5"/>
  <c r="P21" i="6" s="1"/>
  <c r="AH102" i="5"/>
  <c r="AH94" i="5"/>
  <c r="AH86" i="5"/>
  <c r="P66" i="6" s="1"/>
  <c r="AH78" i="5"/>
  <c r="P58" i="6" s="1"/>
  <c r="AH70" i="5"/>
  <c r="AH62" i="5"/>
  <c r="P42" i="6" s="1"/>
  <c r="AH54" i="5"/>
  <c r="AH46" i="5"/>
  <c r="P26" i="6" s="1"/>
  <c r="AH38" i="5"/>
  <c r="AH30" i="5"/>
  <c r="AH107" i="5"/>
  <c r="AH99" i="5"/>
  <c r="AH91" i="5"/>
  <c r="AH83" i="5"/>
  <c r="AH75" i="5"/>
  <c r="AH67" i="5"/>
  <c r="P47" i="6" s="1"/>
  <c r="AH59" i="5"/>
  <c r="AH51" i="5"/>
  <c r="P31" i="6" s="1"/>
  <c r="AH43" i="5"/>
  <c r="P23" i="6" s="1"/>
  <c r="AH161" i="5"/>
  <c r="AH157" i="5"/>
  <c r="P107" i="6" s="1"/>
  <c r="AH153" i="5"/>
  <c r="P103" i="6" s="1"/>
  <c r="AH149" i="5"/>
  <c r="P99" i="6" s="1"/>
  <c r="AH115" i="5"/>
  <c r="AH110" i="5"/>
  <c r="AH104" i="5"/>
  <c r="AH96" i="5"/>
  <c r="AH88" i="5"/>
  <c r="AH80" i="5"/>
  <c r="AH72" i="5"/>
  <c r="P52" i="6" s="1"/>
  <c r="AH64" i="5"/>
  <c r="P44" i="6" s="1"/>
  <c r="AH56" i="5"/>
  <c r="AH48" i="5"/>
  <c r="P28" i="6" s="1"/>
  <c r="AH145" i="5"/>
  <c r="AH143" i="5"/>
  <c r="AH139" i="5"/>
  <c r="P89" i="6" s="1"/>
  <c r="AH135" i="5"/>
  <c r="AH131" i="5"/>
  <c r="AH127" i="5"/>
  <c r="AH316" i="5" s="1"/>
  <c r="AH123" i="5"/>
  <c r="AH312" i="5" s="1"/>
  <c r="AH109" i="5"/>
  <c r="AH101" i="5"/>
  <c r="AH93" i="5"/>
  <c r="P73" i="6" s="1"/>
  <c r="AH85" i="5"/>
  <c r="AH103" i="5"/>
  <c r="AH95" i="5"/>
  <c r="AH87" i="5"/>
  <c r="AH79" i="5"/>
  <c r="P59" i="6" s="1"/>
  <c r="AH71" i="5"/>
  <c r="P51" i="6" s="1"/>
  <c r="AH119" i="5"/>
  <c r="AH308" i="5" s="1"/>
  <c r="AH63" i="5"/>
  <c r="AH61" i="5"/>
  <c r="P41" i="6" s="1"/>
  <c r="AH55" i="5"/>
  <c r="AH53" i="5"/>
  <c r="P33" i="6" s="1"/>
  <c r="AH47" i="5"/>
  <c r="P27" i="6" s="1"/>
  <c r="AH45" i="5"/>
  <c r="AH40" i="5"/>
  <c r="AH37" i="5"/>
  <c r="AH27" i="5"/>
  <c r="AH292" i="5" s="1"/>
  <c r="AH19" i="5"/>
  <c r="AH284" i="5" s="1"/>
  <c r="AH17" i="5"/>
  <c r="AH282" i="5" s="1"/>
  <c r="AH24" i="5"/>
  <c r="AH289" i="5" s="1"/>
  <c r="AH16" i="5"/>
  <c r="AH281" i="5" s="1"/>
  <c r="AH32" i="5"/>
  <c r="AH297" i="5" s="1"/>
  <c r="AH21" i="5"/>
  <c r="AH286" i="5" s="1"/>
  <c r="AI8" i="5"/>
  <c r="AH77" i="5"/>
  <c r="P57" i="6" s="1"/>
  <c r="AH29" i="5"/>
  <c r="AH294" i="5" s="1"/>
  <c r="AH33" i="5"/>
  <c r="AH26" i="5"/>
  <c r="AH291" i="5" s="1"/>
  <c r="AH18" i="5"/>
  <c r="AH283" i="5" s="1"/>
  <c r="AH74" i="5"/>
  <c r="AH66" i="5"/>
  <c r="AH58" i="5"/>
  <c r="AH50" i="5"/>
  <c r="P30" i="6" s="1"/>
  <c r="AH42" i="5"/>
  <c r="AH31" i="5"/>
  <c r="AH23" i="5"/>
  <c r="AH288" i="5" s="1"/>
  <c r="AH15" i="5"/>
  <c r="AH39" i="5"/>
  <c r="P19" i="6" s="1"/>
  <c r="AH25" i="5"/>
  <c r="AH106" i="5"/>
  <c r="AH98" i="5"/>
  <c r="AH90" i="5"/>
  <c r="AH82" i="5"/>
  <c r="P62" i="6" s="1"/>
  <c r="AH35" i="5"/>
  <c r="AH34" i="5"/>
  <c r="AH299" i="5" s="1"/>
  <c r="AH20" i="5"/>
  <c r="AH28" i="5"/>
  <c r="AH293" i="5" s="1"/>
  <c r="AH22" i="5"/>
  <c r="AH287" i="5" s="1"/>
  <c r="AH69" i="5"/>
  <c r="P49" i="6" s="1"/>
  <c r="AG218" i="5"/>
  <c r="AG245" i="5"/>
  <c r="AG240" i="5"/>
  <c r="AG285" i="5"/>
  <c r="AG273" i="5"/>
  <c r="AG270" i="5"/>
  <c r="AG236" i="5"/>
  <c r="AG290" i="5"/>
  <c r="AG241" i="5"/>
  <c r="AG255" i="5"/>
  <c r="AG269" i="5"/>
  <c r="AG235" i="5"/>
  <c r="AG251" i="5"/>
  <c r="AG224" i="5"/>
  <c r="AG250" i="5"/>
  <c r="AG223" i="5"/>
  <c r="AG274" i="5"/>
  <c r="AG280" i="5"/>
  <c r="AG239" i="5"/>
  <c r="AG7" i="5"/>
  <c r="AG4" i="5"/>
  <c r="AG5" i="5" s="1"/>
  <c r="AG111" i="5"/>
  <c r="AG314" i="5"/>
  <c r="AG259" i="5"/>
  <c r="O135" i="6"/>
  <c r="P135" i="6" s="1"/>
  <c r="AG242" i="5"/>
  <c r="AG295" i="5"/>
  <c r="AG6" i="5"/>
  <c r="AG324" i="5"/>
  <c r="AG322" i="5"/>
  <c r="AG327" i="5"/>
  <c r="AG231" i="5"/>
  <c r="AG265" i="5"/>
  <c r="AG268" i="5"/>
  <c r="AG234" i="5"/>
  <c r="O75" i="6"/>
  <c r="O20" i="6"/>
  <c r="P20" i="6" s="1"/>
  <c r="M76" i="6"/>
  <c r="N10" i="6"/>
  <c r="M4" i="6"/>
  <c r="T16" i="16" s="1"/>
  <c r="AG319" i="5"/>
  <c r="AG260" i="5"/>
  <c r="AG248" i="5"/>
  <c r="AG221" i="5"/>
  <c r="O40" i="6"/>
  <c r="O115" i="6"/>
  <c r="P115" i="6" s="1"/>
  <c r="AG296" i="5"/>
  <c r="AG215" i="5"/>
  <c r="AG252" i="5"/>
  <c r="AG237" i="5"/>
  <c r="AG225" i="5"/>
  <c r="AG326" i="5"/>
  <c r="AG262" i="5"/>
  <c r="AG228" i="5"/>
  <c r="AG303" i="5"/>
  <c r="AG247" i="5"/>
  <c r="AG220" i="5"/>
  <c r="AG325" i="5"/>
  <c r="AG261" i="5"/>
  <c r="AG227" i="5"/>
  <c r="P133" i="6"/>
  <c r="AG304" i="5"/>
  <c r="AG257" i="5"/>
  <c r="AG211" i="5"/>
  <c r="AG249" i="5"/>
  <c r="AG222" i="5"/>
  <c r="O145" i="6"/>
  <c r="O110" i="6"/>
  <c r="P143" i="6"/>
  <c r="O85" i="6"/>
  <c r="AG320" i="5"/>
  <c r="AG226" i="5"/>
  <c r="AG328" i="5"/>
  <c r="AG300" i="5"/>
  <c r="AG298" i="5"/>
  <c r="AG272" i="5"/>
  <c r="R135" i="17" l="1"/>
  <c r="R134" i="17"/>
  <c r="R135" i="24"/>
  <c r="R134" i="24"/>
  <c r="R135" i="16"/>
  <c r="S135" i="16" s="1"/>
  <c r="R134" i="16"/>
  <c r="S134" i="16" s="1"/>
  <c r="R135" i="23"/>
  <c r="R134" i="23"/>
  <c r="P123" i="6"/>
  <c r="L7" i="17"/>
  <c r="L8" i="17" s="1"/>
  <c r="P88" i="6"/>
  <c r="P68" i="6"/>
  <c r="S183" i="16"/>
  <c r="T183" i="16" s="1"/>
  <c r="P37" i="6"/>
  <c r="P50" i="6"/>
  <c r="S11" i="16"/>
  <c r="T11" i="16" s="1"/>
  <c r="R12" i="16"/>
  <c r="S192" i="16"/>
  <c r="S291" i="16" s="1"/>
  <c r="P38" i="6"/>
  <c r="P74" i="6"/>
  <c r="P114" i="6"/>
  <c r="P15" i="6"/>
  <c r="P69" i="6"/>
  <c r="P95" i="6"/>
  <c r="P139" i="6"/>
  <c r="S183" i="23"/>
  <c r="R189" i="23"/>
  <c r="R12" i="24"/>
  <c r="S11" i="24"/>
  <c r="R12" i="23"/>
  <c r="S11" i="23"/>
  <c r="R12" i="25"/>
  <c r="S11" i="25"/>
  <c r="S17" i="23"/>
  <c r="S192" i="23" s="1"/>
  <c r="S291" i="23" s="1"/>
  <c r="S293" i="23" s="1"/>
  <c r="S294" i="23" s="1"/>
  <c r="S327" i="23" s="1"/>
  <c r="T16" i="23"/>
  <c r="S20" i="23"/>
  <c r="Q14" i="25"/>
  <c r="Q314" i="25"/>
  <c r="Q136" i="25"/>
  <c r="Q274" i="25"/>
  <c r="Q279" i="25"/>
  <c r="Q305" i="25"/>
  <c r="Q297" i="25"/>
  <c r="Q138" i="25"/>
  <c r="Q292" i="25"/>
  <c r="Q137" i="25"/>
  <c r="Q309" i="25"/>
  <c r="Q301" i="25"/>
  <c r="Q302" i="25" s="1"/>
  <c r="Q539" i="25"/>
  <c r="R13" i="25"/>
  <c r="Q196" i="25"/>
  <c r="Q197" i="25" s="1"/>
  <c r="Q200" i="25" s="1"/>
  <c r="Q539" i="23"/>
  <c r="Q137" i="23"/>
  <c r="Q14" i="23"/>
  <c r="Q136" i="23"/>
  <c r="Q138" i="23"/>
  <c r="R13" i="23"/>
  <c r="Q191" i="24"/>
  <c r="Q194" i="24" s="1"/>
  <c r="S183" i="24"/>
  <c r="R189" i="24"/>
  <c r="P34" i="6"/>
  <c r="Q191" i="25"/>
  <c r="Q194" i="25" s="1"/>
  <c r="T16" i="24"/>
  <c r="S17" i="24"/>
  <c r="S20" i="24"/>
  <c r="S20" i="25"/>
  <c r="T16" i="25"/>
  <c r="S17" i="25"/>
  <c r="S135" i="25" s="1"/>
  <c r="S183" i="25"/>
  <c r="R189" i="25"/>
  <c r="R291" i="24"/>
  <c r="Q297" i="24"/>
  <c r="R13" i="24"/>
  <c r="Q305" i="24"/>
  <c r="Q196" i="24"/>
  <c r="Q197" i="24" s="1"/>
  <c r="Q200" i="24" s="1"/>
  <c r="Q292" i="24"/>
  <c r="Q14" i="24"/>
  <c r="Q279" i="24"/>
  <c r="Q138" i="24"/>
  <c r="Q274" i="24"/>
  <c r="Q136" i="24"/>
  <c r="Q301" i="24"/>
  <c r="Q314" i="24"/>
  <c r="Q137" i="24"/>
  <c r="Q309" i="24"/>
  <c r="Q539" i="24"/>
  <c r="R291" i="25"/>
  <c r="Q197" i="23"/>
  <c r="Q200" i="23" s="1"/>
  <c r="Q191" i="23"/>
  <c r="Q194" i="23" s="1"/>
  <c r="N71" i="17"/>
  <c r="N235" i="17" s="1"/>
  <c r="N70" i="17"/>
  <c r="N57" i="17" s="1"/>
  <c r="N58" i="17" s="1"/>
  <c r="N51" i="17"/>
  <c r="N129" i="17"/>
  <c r="M42" i="17"/>
  <c r="M45" i="17"/>
  <c r="N234" i="17"/>
  <c r="N35" i="17" s="1"/>
  <c r="N48" i="17"/>
  <c r="N492" i="17"/>
  <c r="N497" i="17" s="1"/>
  <c r="N108" i="17"/>
  <c r="N110" i="17" s="1"/>
  <c r="N111" i="17" s="1"/>
  <c r="Z333" i="17"/>
  <c r="Z123" i="17"/>
  <c r="Z514" i="17"/>
  <c r="T258" i="17"/>
  <c r="P39" i="6"/>
  <c r="P105" i="6"/>
  <c r="S259" i="16"/>
  <c r="T257" i="16"/>
  <c r="P64" i="6"/>
  <c r="P67" i="6"/>
  <c r="T44" i="16"/>
  <c r="T139" i="17"/>
  <c r="P55" i="6"/>
  <c r="T177" i="17"/>
  <c r="T178" i="17" s="1"/>
  <c r="T179" i="17" s="1"/>
  <c r="P22" i="6"/>
  <c r="S476" i="17"/>
  <c r="P140" i="6"/>
  <c r="T186" i="16"/>
  <c r="P46" i="6"/>
  <c r="T188" i="17"/>
  <c r="T187" i="17"/>
  <c r="P82" i="6"/>
  <c r="V534" i="17"/>
  <c r="P101" i="6"/>
  <c r="P17" i="6"/>
  <c r="V535" i="16"/>
  <c r="V536" i="16"/>
  <c r="V533" i="16"/>
  <c r="V534" i="16"/>
  <c r="P130" i="6"/>
  <c r="T258" i="16"/>
  <c r="T154" i="16"/>
  <c r="S476" i="16"/>
  <c r="P104" i="6"/>
  <c r="T188" i="16"/>
  <c r="V527" i="17"/>
  <c r="V182" i="17"/>
  <c r="V525" i="17"/>
  <c r="U530" i="17"/>
  <c r="U256" i="17" s="1"/>
  <c r="V185" i="16"/>
  <c r="V528" i="16"/>
  <c r="T187" i="16"/>
  <c r="R92" i="16"/>
  <c r="T186" i="17"/>
  <c r="V529" i="17"/>
  <c r="P43" i="6"/>
  <c r="P120" i="6"/>
  <c r="V182" i="16"/>
  <c r="V18" i="16"/>
  <c r="U19" i="16"/>
  <c r="U256" i="16"/>
  <c r="T169" i="16"/>
  <c r="S170" i="16"/>
  <c r="S173" i="16" s="1"/>
  <c r="S475" i="16"/>
  <c r="S89" i="16"/>
  <c r="T146" i="16"/>
  <c r="S147" i="16"/>
  <c r="S150" i="16" s="1"/>
  <c r="V527" i="16"/>
  <c r="V185" i="17"/>
  <c r="T177" i="16"/>
  <c r="S178" i="16"/>
  <c r="S179" i="16" s="1"/>
  <c r="S89" i="17"/>
  <c r="S147" i="17"/>
  <c r="S150" i="17" s="1"/>
  <c r="T146" i="17"/>
  <c r="S475" i="17"/>
  <c r="V528" i="17"/>
  <c r="T169" i="17"/>
  <c r="S170" i="17"/>
  <c r="S173" i="17" s="1"/>
  <c r="S92" i="17" s="1"/>
  <c r="V190" i="16"/>
  <c r="U537" i="16"/>
  <c r="U262" i="16"/>
  <c r="V535" i="17"/>
  <c r="P35" i="6"/>
  <c r="V536" i="17"/>
  <c r="V526" i="17"/>
  <c r="V184" i="16"/>
  <c r="V526" i="16"/>
  <c r="T257" i="17"/>
  <c r="T154" i="17"/>
  <c r="T44" i="17"/>
  <c r="P54" i="6"/>
  <c r="V533" i="17"/>
  <c r="V18" i="17"/>
  <c r="U19" i="17"/>
  <c r="V184" i="17"/>
  <c r="V525" i="16"/>
  <c r="U530" i="16"/>
  <c r="V529" i="16"/>
  <c r="P127" i="6"/>
  <c r="P86" i="6"/>
  <c r="V21" i="16"/>
  <c r="U22" i="16"/>
  <c r="T139" i="16"/>
  <c r="U537" i="17"/>
  <c r="U262" i="17"/>
  <c r="V190" i="17"/>
  <c r="V21" i="17"/>
  <c r="U22" i="17"/>
  <c r="S259" i="17"/>
  <c r="P63" i="6"/>
  <c r="P90" i="6"/>
  <c r="P102" i="6"/>
  <c r="Q539" i="16"/>
  <c r="R539" i="16" s="1"/>
  <c r="Q264" i="16"/>
  <c r="Q266" i="16" s="1"/>
  <c r="Q367" i="16"/>
  <c r="Q335" i="16"/>
  <c r="P18" i="6"/>
  <c r="Q345" i="16"/>
  <c r="Q285" i="16"/>
  <c r="Q361" i="16"/>
  <c r="Q370" i="16"/>
  <c r="Q220" i="16"/>
  <c r="Q115" i="16" s="1"/>
  <c r="Q121" i="16" s="1"/>
  <c r="Q336" i="16"/>
  <c r="Q360" i="16"/>
  <c r="Q369" i="16"/>
  <c r="Q138" i="16"/>
  <c r="Q140" i="16" s="1"/>
  <c r="P112" i="6"/>
  <c r="U344" i="17"/>
  <c r="U394" i="17"/>
  <c r="U388" i="17"/>
  <c r="U366" i="17"/>
  <c r="U357" i="17"/>
  <c r="V350" i="17"/>
  <c r="V344" i="17" s="1"/>
  <c r="T76" i="17"/>
  <c r="R305" i="16"/>
  <c r="Q306" i="16"/>
  <c r="R196" i="16"/>
  <c r="R197" i="16" s="1"/>
  <c r="R200" i="16" s="1"/>
  <c r="R314" i="16"/>
  <c r="Q315" i="16"/>
  <c r="Q316" i="16" s="1"/>
  <c r="R292" i="16"/>
  <c r="Q293" i="16"/>
  <c r="Q294" i="16" s="1"/>
  <c r="Q327" i="16" s="1"/>
  <c r="R301" i="16"/>
  <c r="Q302" i="16"/>
  <c r="R274" i="16"/>
  <c r="R297" i="16"/>
  <c r="Q298" i="16"/>
  <c r="R309" i="16"/>
  <c r="Q310" i="16"/>
  <c r="R279" i="16"/>
  <c r="Q280" i="16"/>
  <c r="G37" i="9"/>
  <c r="G38" i="9" s="1"/>
  <c r="F41" i="9"/>
  <c r="Q292" i="17"/>
  <c r="Q196" i="17"/>
  <c r="Q197" i="17" s="1"/>
  <c r="Q297" i="17"/>
  <c r="Q314" i="17"/>
  <c r="Q279" i="17"/>
  <c r="Q305" i="17"/>
  <c r="Q301" i="17"/>
  <c r="Q309" i="17"/>
  <c r="Z8" i="8"/>
  <c r="Z9" i="8" s="1"/>
  <c r="Y123" i="17"/>
  <c r="Y514" i="17"/>
  <c r="Y333" i="17"/>
  <c r="Y507" i="17" s="1"/>
  <c r="W477" i="17"/>
  <c r="X160" i="17"/>
  <c r="W91" i="17"/>
  <c r="W161" i="17"/>
  <c r="W165" i="17" s="1"/>
  <c r="W391" i="17"/>
  <c r="V394" i="17"/>
  <c r="W385" i="17"/>
  <c r="W73" i="17" s="1"/>
  <c r="W442" i="17" s="1"/>
  <c r="X384" i="17"/>
  <c r="Q137" i="17"/>
  <c r="Q136" i="17"/>
  <c r="Q539" i="17"/>
  <c r="Q264" i="17" s="1"/>
  <c r="P25" i="6"/>
  <c r="R13" i="17"/>
  <c r="Q14" i="17"/>
  <c r="S11" i="17"/>
  <c r="R12" i="17"/>
  <c r="Q191" i="17"/>
  <c r="Q194" i="17" s="1"/>
  <c r="Q138" i="17"/>
  <c r="S183" i="17"/>
  <c r="R189" i="17"/>
  <c r="T16" i="17"/>
  <c r="S20" i="17"/>
  <c r="S17" i="17"/>
  <c r="S192" i="17" s="1"/>
  <c r="S291" i="17" s="1"/>
  <c r="T20" i="16"/>
  <c r="T17" i="16"/>
  <c r="Q94" i="16"/>
  <c r="Q195" i="16"/>
  <c r="Q395" i="16"/>
  <c r="R191" i="16"/>
  <c r="R194" i="16" s="1"/>
  <c r="R14" i="16"/>
  <c r="R136" i="16"/>
  <c r="R137" i="16"/>
  <c r="P129" i="6"/>
  <c r="P132" i="6"/>
  <c r="P92" i="6"/>
  <c r="P36" i="6"/>
  <c r="P128" i="6"/>
  <c r="P71" i="6"/>
  <c r="P87" i="6"/>
  <c r="P91" i="6"/>
  <c r="P111" i="6"/>
  <c r="N368" i="15"/>
  <c r="O364" i="15"/>
  <c r="N333" i="15"/>
  <c r="O333" i="15"/>
  <c r="N351" i="15"/>
  <c r="O344" i="15"/>
  <c r="P65" i="6"/>
  <c r="P83" i="6"/>
  <c r="P70" i="6"/>
  <c r="P93" i="6"/>
  <c r="P85" i="6"/>
  <c r="P110" i="6"/>
  <c r="P145" i="6"/>
  <c r="AH255" i="5"/>
  <c r="P14" i="6"/>
  <c r="AH296" i="5"/>
  <c r="AH215" i="5"/>
  <c r="AH328" i="5"/>
  <c r="AH298" i="5"/>
  <c r="AH300" i="5"/>
  <c r="AH303" i="5"/>
  <c r="AH220" i="5"/>
  <c r="AH247" i="5"/>
  <c r="AH325" i="5"/>
  <c r="AH227" i="5"/>
  <c r="AH261" i="5"/>
  <c r="AH252" i="5"/>
  <c r="AH237" i="5"/>
  <c r="AH225" i="5"/>
  <c r="AH250" i="5"/>
  <c r="AH223" i="5"/>
  <c r="AH249" i="5"/>
  <c r="AH222" i="5"/>
  <c r="AH272" i="5"/>
  <c r="P45" i="6"/>
  <c r="P75" i="6"/>
  <c r="AH254" i="5"/>
  <c r="AH253" i="5"/>
  <c r="AH324" i="5"/>
  <c r="AH322" i="5"/>
  <c r="AH327" i="5"/>
  <c r="AH231" i="5"/>
  <c r="AH265" i="5"/>
  <c r="AH269" i="5"/>
  <c r="AH235" i="5"/>
  <c r="AH266" i="5"/>
  <c r="AH232" i="5"/>
  <c r="P60" i="6"/>
  <c r="AH246" i="5"/>
  <c r="AH219" i="5"/>
  <c r="AH319" i="5"/>
  <c r="AH260" i="5"/>
  <c r="AH320" i="5"/>
  <c r="AH226" i="5"/>
  <c r="AH314" i="5"/>
  <c r="AH259" i="5"/>
  <c r="P40" i="6"/>
  <c r="AI210" i="5"/>
  <c r="AI208" i="5"/>
  <c r="AI206" i="5"/>
  <c r="AI204" i="5"/>
  <c r="AI202" i="5"/>
  <c r="AI200" i="5"/>
  <c r="AI198" i="5"/>
  <c r="AI196" i="5"/>
  <c r="AI194" i="5"/>
  <c r="Q144" i="6" s="1"/>
  <c r="AI192" i="5"/>
  <c r="Q142" i="6" s="1"/>
  <c r="AI190" i="5"/>
  <c r="AI188" i="5"/>
  <c r="Q138" i="6" s="1"/>
  <c r="AI186" i="5"/>
  <c r="Q136" i="6" s="1"/>
  <c r="AI184" i="5"/>
  <c r="Q134" i="6" s="1"/>
  <c r="AI182" i="5"/>
  <c r="AI180" i="5"/>
  <c r="AI178" i="5"/>
  <c r="AI176" i="5"/>
  <c r="Q126" i="6" s="1"/>
  <c r="AI174" i="5"/>
  <c r="Q124" i="6" s="1"/>
  <c r="AI172" i="5"/>
  <c r="Q122" i="6" s="1"/>
  <c r="AI170" i="5"/>
  <c r="AI168" i="5"/>
  <c r="Q118" i="6" s="1"/>
  <c r="AI166" i="5"/>
  <c r="Q116" i="6" s="1"/>
  <c r="AI164" i="5"/>
  <c r="AI162" i="5"/>
  <c r="AI160" i="5"/>
  <c r="AI158" i="5"/>
  <c r="Q108" i="6" s="1"/>
  <c r="AI156" i="5"/>
  <c r="Q106" i="6" s="1"/>
  <c r="AI154" i="5"/>
  <c r="AI152" i="5"/>
  <c r="Q102" i="6" s="1"/>
  <c r="AI150" i="5"/>
  <c r="AI148" i="5"/>
  <c r="Q98" i="6" s="1"/>
  <c r="AI146" i="5"/>
  <c r="Q96" i="6" s="1"/>
  <c r="AI144" i="5"/>
  <c r="Q94" i="6" s="1"/>
  <c r="AI209" i="5"/>
  <c r="AI207" i="5"/>
  <c r="AI205" i="5"/>
  <c r="AI203" i="5"/>
  <c r="AI201" i="5"/>
  <c r="AI199" i="5"/>
  <c r="AI197" i="5"/>
  <c r="AI195" i="5"/>
  <c r="AI193" i="5"/>
  <c r="Q143" i="6" s="1"/>
  <c r="AI191" i="5"/>
  <c r="Q141" i="6" s="1"/>
  <c r="AI189" i="5"/>
  <c r="AI187" i="5"/>
  <c r="Q137" i="6" s="1"/>
  <c r="AI185" i="5"/>
  <c r="Q135" i="6" s="1"/>
  <c r="AI183" i="5"/>
  <c r="AI181" i="5"/>
  <c r="Q131" i="6" s="1"/>
  <c r="AI179" i="5"/>
  <c r="AI177" i="5"/>
  <c r="AI175" i="5"/>
  <c r="AI173" i="5"/>
  <c r="Q123" i="6" s="1"/>
  <c r="AI171" i="5"/>
  <c r="Q121" i="6" s="1"/>
  <c r="AI169" i="5"/>
  <c r="Q119" i="6" s="1"/>
  <c r="AI167" i="5"/>
  <c r="Q117" i="6" s="1"/>
  <c r="AI165" i="5"/>
  <c r="AI163" i="5"/>
  <c r="Q113" i="6" s="1"/>
  <c r="AI161" i="5"/>
  <c r="AI159" i="5"/>
  <c r="Q109" i="6" s="1"/>
  <c r="AI157" i="5"/>
  <c r="Q107" i="6" s="1"/>
  <c r="AI155" i="5"/>
  <c r="AI153" i="5"/>
  <c r="Q103" i="6" s="1"/>
  <c r="AI151" i="5"/>
  <c r="AI149" i="5"/>
  <c r="Q99" i="6" s="1"/>
  <c r="AI147" i="5"/>
  <c r="Q97" i="6" s="1"/>
  <c r="AI145" i="5"/>
  <c r="AI143" i="5"/>
  <c r="AI141" i="5"/>
  <c r="AI139" i="5"/>
  <c r="Q89" i="6" s="1"/>
  <c r="AI137" i="5"/>
  <c r="AI135" i="5"/>
  <c r="AI133" i="5"/>
  <c r="AI131" i="5"/>
  <c r="AI129" i="5"/>
  <c r="AI318" i="5" s="1"/>
  <c r="AI127" i="5"/>
  <c r="AI316" i="5" s="1"/>
  <c r="AI125" i="5"/>
  <c r="AI123" i="5"/>
  <c r="AI312" i="5" s="1"/>
  <c r="AI121" i="5"/>
  <c r="AI310" i="5" s="1"/>
  <c r="AI105" i="5"/>
  <c r="AI97" i="5"/>
  <c r="AI89" i="5"/>
  <c r="AI81" i="5"/>
  <c r="Q61" i="6" s="1"/>
  <c r="AI73" i="5"/>
  <c r="Q53" i="6" s="1"/>
  <c r="AI65" i="5"/>
  <c r="AI57" i="5"/>
  <c r="Q37" i="6" s="1"/>
  <c r="AI49" i="5"/>
  <c r="Q29" i="6" s="1"/>
  <c r="AI41" i="5"/>
  <c r="Q21" i="6" s="1"/>
  <c r="AI33" i="5"/>
  <c r="AI116" i="5"/>
  <c r="AI305" i="5" s="1"/>
  <c r="AI102" i="5"/>
  <c r="AI94" i="5"/>
  <c r="Q74" i="6" s="1"/>
  <c r="AI86" i="5"/>
  <c r="Q66" i="6" s="1"/>
  <c r="AI78" i="5"/>
  <c r="Q58" i="6" s="1"/>
  <c r="AI70" i="5"/>
  <c r="AI62" i="5"/>
  <c r="Q42" i="6" s="1"/>
  <c r="AI54" i="5"/>
  <c r="AI46" i="5"/>
  <c r="Q26" i="6" s="1"/>
  <c r="AI38" i="5"/>
  <c r="AI142" i="5"/>
  <c r="AI138" i="5"/>
  <c r="Q88" i="6" s="1"/>
  <c r="AI134" i="5"/>
  <c r="AI323" i="5" s="1"/>
  <c r="AI130" i="5"/>
  <c r="AI126" i="5"/>
  <c r="AI315" i="5" s="1"/>
  <c r="AI122" i="5"/>
  <c r="AI311" i="5" s="1"/>
  <c r="AI107" i="5"/>
  <c r="AI99" i="5"/>
  <c r="AI91" i="5"/>
  <c r="AI83" i="5"/>
  <c r="AI75" i="5"/>
  <c r="AI67" i="5"/>
  <c r="Q47" i="6" s="1"/>
  <c r="AI59" i="5"/>
  <c r="AI51" i="5"/>
  <c r="Q31" i="6" s="1"/>
  <c r="AI43" i="5"/>
  <c r="Q23" i="6" s="1"/>
  <c r="AI35" i="5"/>
  <c r="AI115" i="5"/>
  <c r="AI110" i="5"/>
  <c r="AI104" i="5"/>
  <c r="AI96" i="5"/>
  <c r="AI88" i="5"/>
  <c r="Q68" i="6" s="1"/>
  <c r="AI80" i="5"/>
  <c r="AI72" i="5"/>
  <c r="Q52" i="6" s="1"/>
  <c r="AI64" i="5"/>
  <c r="Q44" i="6" s="1"/>
  <c r="AI56" i="5"/>
  <c r="AI48" i="5"/>
  <c r="Q28" i="6" s="1"/>
  <c r="AI109" i="5"/>
  <c r="AI101" i="5"/>
  <c r="AI93" i="5"/>
  <c r="Q73" i="6" s="1"/>
  <c r="AI85" i="5"/>
  <c r="AI77" i="5"/>
  <c r="Q57" i="6" s="1"/>
  <c r="AI69" i="5"/>
  <c r="Q49" i="6" s="1"/>
  <c r="AI61" i="5"/>
  <c r="Q41" i="6" s="1"/>
  <c r="AI53" i="5"/>
  <c r="Q33" i="6" s="1"/>
  <c r="AI45" i="5"/>
  <c r="AI119" i="5"/>
  <c r="AI308" i="5" s="1"/>
  <c r="AI118" i="5"/>
  <c r="AI307" i="5" s="1"/>
  <c r="AI106" i="5"/>
  <c r="AI98" i="5"/>
  <c r="AI90" i="5"/>
  <c r="AI82" i="5"/>
  <c r="Q62" i="6" s="1"/>
  <c r="AI117" i="5"/>
  <c r="AI306" i="5" s="1"/>
  <c r="AI108" i="5"/>
  <c r="AI100" i="5"/>
  <c r="AI92" i="5"/>
  <c r="Q72" i="6" s="1"/>
  <c r="AI84" i="5"/>
  <c r="AI76" i="5"/>
  <c r="Q56" i="6" s="1"/>
  <c r="AI68" i="5"/>
  <c r="Q48" i="6" s="1"/>
  <c r="AI128" i="5"/>
  <c r="AI317" i="5" s="1"/>
  <c r="AI24" i="5"/>
  <c r="AI289" i="5" s="1"/>
  <c r="AI16" i="5"/>
  <c r="AI281" i="5" s="1"/>
  <c r="AI136" i="5"/>
  <c r="AI140" i="5"/>
  <c r="AI79" i="5"/>
  <c r="Q59" i="6" s="1"/>
  <c r="AI71" i="5"/>
  <c r="Q51" i="6" s="1"/>
  <c r="AI32" i="5"/>
  <c r="AI297" i="5" s="1"/>
  <c r="AI21" i="5"/>
  <c r="AI286" i="5" s="1"/>
  <c r="AJ8" i="5"/>
  <c r="AI120" i="5"/>
  <c r="AI60" i="5"/>
  <c r="AI52" i="5"/>
  <c r="Q32" i="6" s="1"/>
  <c r="AI44" i="5"/>
  <c r="Q24" i="6" s="1"/>
  <c r="AI26" i="5"/>
  <c r="AI291" i="5" s="1"/>
  <c r="AI18" i="5"/>
  <c r="AI283" i="5" s="1"/>
  <c r="AI132" i="5"/>
  <c r="AI321" i="5" s="1"/>
  <c r="AI74" i="5"/>
  <c r="AI66" i="5"/>
  <c r="Q46" i="6" s="1"/>
  <c r="AI58" i="5"/>
  <c r="Q38" i="6" s="1"/>
  <c r="AI50" i="5"/>
  <c r="Q30" i="6" s="1"/>
  <c r="AI42" i="5"/>
  <c r="AI31" i="5"/>
  <c r="AI23" i="5"/>
  <c r="AI288" i="5" s="1"/>
  <c r="AI15" i="5"/>
  <c r="AI103" i="5"/>
  <c r="AI95" i="5"/>
  <c r="AI87" i="5"/>
  <c r="AI34" i="5"/>
  <c r="AI299" i="5" s="1"/>
  <c r="AI30" i="5"/>
  <c r="AI20" i="5"/>
  <c r="AI28" i="5"/>
  <c r="AI293" i="5" s="1"/>
  <c r="AI124" i="5"/>
  <c r="AI313" i="5" s="1"/>
  <c r="AI39" i="5"/>
  <c r="Q19" i="6" s="1"/>
  <c r="AI29" i="5"/>
  <c r="AI294" i="5" s="1"/>
  <c r="AI25" i="5"/>
  <c r="AI17" i="5"/>
  <c r="AI282" i="5" s="1"/>
  <c r="AI63" i="5"/>
  <c r="Q43" i="6" s="1"/>
  <c r="AI55" i="5"/>
  <c r="AI47" i="5"/>
  <c r="Q27" i="6" s="1"/>
  <c r="AI40" i="5"/>
  <c r="AI37" i="5"/>
  <c r="AI27" i="5"/>
  <c r="AI292" i="5" s="1"/>
  <c r="AI19" i="5"/>
  <c r="AI284" i="5" s="1"/>
  <c r="AI36" i="5"/>
  <c r="Q16" i="6" s="1"/>
  <c r="AI22" i="5"/>
  <c r="AI287" i="5" s="1"/>
  <c r="AH263" i="5"/>
  <c r="AH229" i="5"/>
  <c r="AH295" i="5"/>
  <c r="AH242" i="5"/>
  <c r="AH6" i="5"/>
  <c r="AH273" i="5"/>
  <c r="AH270" i="5"/>
  <c r="AH236" i="5"/>
  <c r="P13" i="6"/>
  <c r="Q133" i="6"/>
  <c r="Q105" i="6"/>
  <c r="M6" i="6"/>
  <c r="M5" i="6"/>
  <c r="AH290" i="5"/>
  <c r="AH241" i="5"/>
  <c r="AH302" i="5"/>
  <c r="AH244" i="5"/>
  <c r="AH217" i="5"/>
  <c r="AH256" i="5"/>
  <c r="AH267" i="5"/>
  <c r="AH233" i="5"/>
  <c r="AH264" i="5"/>
  <c r="AH230" i="5"/>
  <c r="P11" i="6"/>
  <c r="P84" i="6"/>
  <c r="P12" i="6"/>
  <c r="P81" i="6"/>
  <c r="Q114" i="6"/>
  <c r="AH285" i="5"/>
  <c r="AH240" i="5"/>
  <c r="AH218" i="5"/>
  <c r="AH245" i="5"/>
  <c r="AH304" i="5"/>
  <c r="AH257" i="5"/>
  <c r="AH211" i="5"/>
  <c r="AH309" i="5"/>
  <c r="AH258" i="5"/>
  <c r="AH274" i="5"/>
  <c r="N146" i="6"/>
  <c r="O80" i="6"/>
  <c r="AH301" i="5"/>
  <c r="AH243" i="5"/>
  <c r="AH216" i="5"/>
  <c r="AH248" i="5"/>
  <c r="AH221" i="5"/>
  <c r="AH326" i="5"/>
  <c r="AH262" i="5"/>
  <c r="AH228" i="5"/>
  <c r="N76" i="6"/>
  <c r="O10" i="6"/>
  <c r="N4" i="6"/>
  <c r="U16" i="16" s="1"/>
  <c r="AH239" i="5"/>
  <c r="AH280" i="5"/>
  <c r="AH111" i="5"/>
  <c r="AH7" i="5"/>
  <c r="AH4" i="5"/>
  <c r="AH5" i="5" s="1"/>
  <c r="AH224" i="5"/>
  <c r="AH251" i="5"/>
  <c r="AH271" i="5"/>
  <c r="AH234" i="5"/>
  <c r="AH268" i="5"/>
  <c r="S134" i="23" l="1"/>
  <c r="S135" i="23"/>
  <c r="T134" i="16"/>
  <c r="T135" i="16"/>
  <c r="S134" i="24"/>
  <c r="S135" i="24"/>
  <c r="S134" i="17"/>
  <c r="S135" i="17"/>
  <c r="S134" i="25"/>
  <c r="S189" i="16"/>
  <c r="Q39" i="6"/>
  <c r="Q55" i="6"/>
  <c r="Q50" i="6"/>
  <c r="Q15" i="6"/>
  <c r="Q95" i="6"/>
  <c r="Q69" i="6"/>
  <c r="S13" i="16"/>
  <c r="S539" i="16" s="1"/>
  <c r="Q34" i="6"/>
  <c r="S12" i="16"/>
  <c r="T192" i="16"/>
  <c r="T291" i="16" s="1"/>
  <c r="S192" i="25"/>
  <c r="S291" i="25" s="1"/>
  <c r="Q112" i="6"/>
  <c r="Q67" i="6"/>
  <c r="Q86" i="6"/>
  <c r="Q64" i="6"/>
  <c r="Q140" i="6"/>
  <c r="Q127" i="6"/>
  <c r="Q35" i="6"/>
  <c r="Q54" i="6"/>
  <c r="Q139" i="6"/>
  <c r="S192" i="24"/>
  <c r="S291" i="24" s="1"/>
  <c r="R136" i="24"/>
  <c r="Q18" i="6"/>
  <c r="O368" i="15"/>
  <c r="P364" i="15"/>
  <c r="P368" i="15" s="1"/>
  <c r="O351" i="15"/>
  <c r="P344" i="15"/>
  <c r="P351" i="15" s="1"/>
  <c r="R137" i="24"/>
  <c r="R136" i="23"/>
  <c r="R137" i="23"/>
  <c r="Q140" i="25"/>
  <c r="Q141" i="25" s="1"/>
  <c r="Q142" i="25" s="1"/>
  <c r="R309" i="24"/>
  <c r="Q310" i="24"/>
  <c r="Q336" i="24"/>
  <c r="Q243" i="24"/>
  <c r="Q155" i="24"/>
  <c r="Q370" i="24"/>
  <c r="Q361" i="24"/>
  <c r="Q335" i="24"/>
  <c r="Q358" i="24"/>
  <c r="Q428" i="24"/>
  <c r="Q367" i="24"/>
  <c r="Q360" i="24"/>
  <c r="Q369" i="24"/>
  <c r="Q345" i="24"/>
  <c r="Q395" i="24"/>
  <c r="Q340" i="24"/>
  <c r="Q285" i="24"/>
  <c r="R191" i="25"/>
  <c r="R194" i="25" s="1"/>
  <c r="Q195" i="24"/>
  <c r="Q94" i="24"/>
  <c r="R196" i="25"/>
  <c r="R197" i="25" s="1"/>
  <c r="R200" i="25" s="1"/>
  <c r="Q298" i="25"/>
  <c r="R297" i="25"/>
  <c r="T17" i="23"/>
  <c r="T192" i="23" s="1"/>
  <c r="T291" i="23" s="1"/>
  <c r="T293" i="23" s="1"/>
  <c r="T294" i="23" s="1"/>
  <c r="T327" i="23" s="1"/>
  <c r="U16" i="23"/>
  <c r="T20" i="23"/>
  <c r="T183" i="25"/>
  <c r="S189" i="25"/>
  <c r="T17" i="24"/>
  <c r="U16" i="24"/>
  <c r="T20" i="24"/>
  <c r="R301" i="25"/>
  <c r="S13" i="25"/>
  <c r="R14" i="25"/>
  <c r="T11" i="23"/>
  <c r="S12" i="23"/>
  <c r="Q315" i="24"/>
  <c r="Q316" i="24" s="1"/>
  <c r="R314" i="24"/>
  <c r="R196" i="24"/>
  <c r="R197" i="24" s="1"/>
  <c r="R200" i="24" s="1"/>
  <c r="Q94" i="25"/>
  <c r="Q195" i="25"/>
  <c r="S13" i="23"/>
  <c r="R14" i="23"/>
  <c r="Q264" i="25"/>
  <c r="Q540" i="25"/>
  <c r="R539" i="25"/>
  <c r="Q280" i="25"/>
  <c r="R279" i="25"/>
  <c r="Q63" i="6"/>
  <c r="Q140" i="23"/>
  <c r="Q302" i="24"/>
  <c r="R301" i="24"/>
  <c r="R305" i="24"/>
  <c r="Q306" i="24"/>
  <c r="T17" i="25"/>
  <c r="T135" i="25" s="1"/>
  <c r="U16" i="25"/>
  <c r="T20" i="25"/>
  <c r="Q283" i="23"/>
  <c r="R138" i="23"/>
  <c r="R274" i="25"/>
  <c r="S12" i="24"/>
  <c r="T11" i="24"/>
  <c r="Q195" i="23"/>
  <c r="Q94" i="23"/>
  <c r="Q306" i="25"/>
  <c r="R305" i="25"/>
  <c r="S13" i="24"/>
  <c r="R14" i="24"/>
  <c r="Q310" i="25"/>
  <c r="R309" i="25"/>
  <c r="R136" i="25"/>
  <c r="T11" i="25"/>
  <c r="S12" i="25"/>
  <c r="Q293" i="24"/>
  <c r="Q294" i="24" s="1"/>
  <c r="Q327" i="24" s="1"/>
  <c r="R292" i="24"/>
  <c r="R274" i="24"/>
  <c r="Q298" i="24"/>
  <c r="R297" i="24"/>
  <c r="Q140" i="24"/>
  <c r="R191" i="24"/>
  <c r="R194" i="24" s="1"/>
  <c r="Q336" i="23"/>
  <c r="Q361" i="23"/>
  <c r="Q360" i="23"/>
  <c r="Q358" i="23"/>
  <c r="Q369" i="23"/>
  <c r="Q340" i="23"/>
  <c r="Q428" i="23"/>
  <c r="Q243" i="23"/>
  <c r="Q367" i="23"/>
  <c r="Q285" i="23"/>
  <c r="Q335" i="23"/>
  <c r="Q395" i="23"/>
  <c r="Q155" i="23"/>
  <c r="Q345" i="23"/>
  <c r="Q370" i="23"/>
  <c r="R137" i="25"/>
  <c r="Q315" i="25"/>
  <c r="Q316" i="25" s="1"/>
  <c r="R314" i="25"/>
  <c r="R197" i="23"/>
  <c r="R200" i="23" s="1"/>
  <c r="R191" i="23"/>
  <c r="R194" i="23" s="1"/>
  <c r="Q283" i="24"/>
  <c r="R138" i="24"/>
  <c r="T183" i="24"/>
  <c r="S189" i="24"/>
  <c r="Q293" i="25"/>
  <c r="Q294" i="25" s="1"/>
  <c r="Q327" i="25" s="1"/>
  <c r="R292" i="25"/>
  <c r="Q155" i="25"/>
  <c r="Q361" i="25"/>
  <c r="Q285" i="25"/>
  <c r="Q336" i="25"/>
  <c r="Q358" i="25"/>
  <c r="Q367" i="25"/>
  <c r="Q360" i="25"/>
  <c r="Q335" i="25"/>
  <c r="Q243" i="25"/>
  <c r="Q370" i="25"/>
  <c r="Q428" i="25"/>
  <c r="Q369" i="25"/>
  <c r="Q340" i="25"/>
  <c r="Q395" i="25"/>
  <c r="Q345" i="25"/>
  <c r="T183" i="23"/>
  <c r="S189" i="23"/>
  <c r="Q540" i="24"/>
  <c r="R539" i="24"/>
  <c r="Q264" i="24"/>
  <c r="R279" i="24"/>
  <c r="Q280" i="24"/>
  <c r="Q540" i="23"/>
  <c r="R539" i="23"/>
  <c r="Q283" i="25"/>
  <c r="R138" i="25"/>
  <c r="Z10" i="8"/>
  <c r="Z11" i="8" s="1"/>
  <c r="O480" i="17"/>
  <c r="O482" i="17" s="1"/>
  <c r="O489" i="17" s="1"/>
  <c r="O230" i="17"/>
  <c r="O96" i="17"/>
  <c r="O98" i="17" s="1"/>
  <c r="O99" i="17" s="1"/>
  <c r="N53" i="17"/>
  <c r="N50" i="17"/>
  <c r="N49" i="17"/>
  <c r="N52" i="17" s="1"/>
  <c r="N46" i="17"/>
  <c r="N39" i="17"/>
  <c r="N130" i="17" s="1"/>
  <c r="N41" i="17"/>
  <c r="N61" i="17"/>
  <c r="N60" i="17"/>
  <c r="N78" i="17"/>
  <c r="N81" i="17" s="1"/>
  <c r="N82" i="17" s="1"/>
  <c r="N83" i="17" s="1"/>
  <c r="N64" i="17"/>
  <c r="N65" i="17" s="1"/>
  <c r="N66" i="17" s="1"/>
  <c r="N85" i="17"/>
  <c r="Q199" i="17"/>
  <c r="R199" i="17" s="1"/>
  <c r="S199" i="17" s="1"/>
  <c r="T199" i="17" s="1"/>
  <c r="U199" i="17" s="1"/>
  <c r="V199" i="17" s="1"/>
  <c r="W199" i="17" s="1"/>
  <c r="X199" i="17" s="1"/>
  <c r="Y199" i="17" s="1"/>
  <c r="Z199" i="17" s="1"/>
  <c r="U258" i="17"/>
  <c r="Z507" i="17"/>
  <c r="Q323" i="16"/>
  <c r="U139" i="16"/>
  <c r="U139" i="17"/>
  <c r="U257" i="16"/>
  <c r="T259" i="16"/>
  <c r="U44" i="16"/>
  <c r="Q101" i="6"/>
  <c r="Q22" i="6"/>
  <c r="U177" i="17"/>
  <c r="U178" i="17" s="1"/>
  <c r="U179" i="17" s="1"/>
  <c r="Q90" i="6"/>
  <c r="Q17" i="6"/>
  <c r="Q130" i="6"/>
  <c r="T476" i="17"/>
  <c r="W536" i="16"/>
  <c r="Q110" i="6"/>
  <c r="Q13" i="6"/>
  <c r="W534" i="16"/>
  <c r="U186" i="17"/>
  <c r="U186" i="16"/>
  <c r="W534" i="17"/>
  <c r="U258" i="16"/>
  <c r="Q340" i="16"/>
  <c r="R340" i="16" s="1"/>
  <c r="Q362" i="16"/>
  <c r="U177" i="16"/>
  <c r="T178" i="16"/>
  <c r="T179" i="16" s="1"/>
  <c r="W18" i="16"/>
  <c r="V19" i="16"/>
  <c r="W528" i="17"/>
  <c r="U187" i="17"/>
  <c r="W21" i="17"/>
  <c r="V22" i="17"/>
  <c r="W184" i="17"/>
  <c r="W533" i="17"/>
  <c r="T259" i="17"/>
  <c r="U257" i="17"/>
  <c r="W536" i="17"/>
  <c r="U154" i="17"/>
  <c r="W526" i="16"/>
  <c r="W190" i="16"/>
  <c r="V537" i="16"/>
  <c r="V262" i="16"/>
  <c r="T475" i="17"/>
  <c r="T89" i="17"/>
  <c r="T147" i="17"/>
  <c r="T150" i="17" s="1"/>
  <c r="U146" i="17"/>
  <c r="W529" i="17"/>
  <c r="U188" i="16"/>
  <c r="V188" i="16" s="1"/>
  <c r="W184" i="16"/>
  <c r="W533" i="16"/>
  <c r="T170" i="16"/>
  <c r="T173" i="16" s="1"/>
  <c r="U169" i="16"/>
  <c r="W182" i="16"/>
  <c r="U187" i="16"/>
  <c r="V187" i="16" s="1"/>
  <c r="W535" i="16"/>
  <c r="U154" i="16"/>
  <c r="T476" i="16"/>
  <c r="T475" i="16"/>
  <c r="U146" i="16"/>
  <c r="T89" i="16"/>
  <c r="T147" i="16"/>
  <c r="T150" i="16" s="1"/>
  <c r="Q14" i="6"/>
  <c r="W529" i="16"/>
  <c r="W526" i="17"/>
  <c r="U188" i="17"/>
  <c r="W185" i="17"/>
  <c r="W528" i="16"/>
  <c r="W525" i="17"/>
  <c r="V530" i="17"/>
  <c r="V256" i="17" s="1"/>
  <c r="V537" i="17"/>
  <c r="V262" i="17"/>
  <c r="W190" i="17"/>
  <c r="W185" i="16"/>
  <c r="Q104" i="6"/>
  <c r="U44" i="17"/>
  <c r="W535" i="17"/>
  <c r="U169" i="17"/>
  <c r="T170" i="17"/>
  <c r="T173" i="17" s="1"/>
  <c r="T92" i="17" s="1"/>
  <c r="W527" i="16"/>
  <c r="V256" i="16"/>
  <c r="W527" i="17"/>
  <c r="W21" i="16"/>
  <c r="V22" i="16"/>
  <c r="W525" i="16"/>
  <c r="V530" i="16"/>
  <c r="V19" i="17"/>
  <c r="W18" i="17"/>
  <c r="S92" i="16"/>
  <c r="W182" i="17"/>
  <c r="Q540" i="16"/>
  <c r="Q129" i="6"/>
  <c r="Q71" i="6"/>
  <c r="Q265" i="16"/>
  <c r="Q267" i="16"/>
  <c r="R264" i="16"/>
  <c r="R266" i="16" s="1"/>
  <c r="Q358" i="16"/>
  <c r="R358" i="16" s="1"/>
  <c r="Q155" i="16"/>
  <c r="Q34" i="16" s="1"/>
  <c r="Q283" i="16"/>
  <c r="Q286" i="16" s="1"/>
  <c r="R138" i="16"/>
  <c r="Q243" i="16"/>
  <c r="Q239" i="16" s="1"/>
  <c r="Q428" i="16"/>
  <c r="R428" i="16" s="1"/>
  <c r="Q92" i="6"/>
  <c r="Q25" i="6"/>
  <c r="Q132" i="6"/>
  <c r="U76" i="17"/>
  <c r="V357" i="17"/>
  <c r="V366" i="17"/>
  <c r="V388" i="17"/>
  <c r="W350" i="17"/>
  <c r="W366" i="17" s="1"/>
  <c r="M7" i="17"/>
  <c r="M8" i="17" s="1"/>
  <c r="S314" i="16"/>
  <c r="R315" i="16"/>
  <c r="R316" i="16" s="1"/>
  <c r="S274" i="16"/>
  <c r="S279" i="16"/>
  <c r="R280" i="16"/>
  <c r="S196" i="16"/>
  <c r="S197" i="16" s="1"/>
  <c r="S200" i="16" s="1"/>
  <c r="S309" i="16"/>
  <c r="R310" i="16"/>
  <c r="S301" i="16"/>
  <c r="R302" i="16"/>
  <c r="S305" i="16"/>
  <c r="R306" i="16"/>
  <c r="S297" i="16"/>
  <c r="R298" i="16"/>
  <c r="S292" i="16"/>
  <c r="R293" i="16"/>
  <c r="R294" i="16" s="1"/>
  <c r="R327" i="16" s="1"/>
  <c r="G40" i="9"/>
  <c r="R301" i="17"/>
  <c r="R305" i="17"/>
  <c r="R279" i="17"/>
  <c r="R314" i="17"/>
  <c r="R309" i="17"/>
  <c r="R297" i="17"/>
  <c r="R196" i="17"/>
  <c r="R197" i="17" s="1"/>
  <c r="R292" i="17"/>
  <c r="Q310" i="17"/>
  <c r="Q315" i="17"/>
  <c r="Q316" i="17" s="1"/>
  <c r="Q306" i="17"/>
  <c r="Q298" i="17"/>
  <c r="Q266" i="17"/>
  <c r="Q265" i="17"/>
  <c r="Q302" i="17"/>
  <c r="Q280" i="17"/>
  <c r="Q293" i="17"/>
  <c r="Q294" i="17" s="1"/>
  <c r="Q327" i="17" s="1"/>
  <c r="X391" i="17"/>
  <c r="W394" i="17"/>
  <c r="X477" i="17"/>
  <c r="Y160" i="17"/>
  <c r="Z160" i="17" s="1"/>
  <c r="X91" i="17"/>
  <c r="X161" i="17"/>
  <c r="X165" i="17" s="1"/>
  <c r="X385" i="17"/>
  <c r="X73" i="17" s="1"/>
  <c r="X442" i="17" s="1"/>
  <c r="Y384" i="17"/>
  <c r="Z384" i="17" s="1"/>
  <c r="R137" i="17"/>
  <c r="R138" i="17"/>
  <c r="R136" i="17"/>
  <c r="Q140" i="17"/>
  <c r="Q369" i="17"/>
  <c r="Q345" i="17"/>
  <c r="Q495" i="17" s="1"/>
  <c r="T183" i="17"/>
  <c r="S189" i="17"/>
  <c r="Q395" i="17"/>
  <c r="Q367" i="17"/>
  <c r="T17" i="17"/>
  <c r="T192" i="17" s="1"/>
  <c r="T291" i="17" s="1"/>
  <c r="U16" i="17"/>
  <c r="T20" i="17"/>
  <c r="Q283" i="17"/>
  <c r="Q370" i="17"/>
  <c r="Q360" i="17"/>
  <c r="R14" i="17"/>
  <c r="S13" i="17"/>
  <c r="Q285" i="17"/>
  <c r="Q336" i="17"/>
  <c r="Q195" i="17"/>
  <c r="Q94" i="17"/>
  <c r="Q155" i="17"/>
  <c r="Q340" i="17"/>
  <c r="Q335" i="17"/>
  <c r="Q358" i="17"/>
  <c r="R539" i="17"/>
  <c r="R264" i="17" s="1"/>
  <c r="Q540" i="17"/>
  <c r="Q36" i="6"/>
  <c r="S12" i="17"/>
  <c r="T11" i="17"/>
  <c r="Q361" i="17"/>
  <c r="Q243" i="17"/>
  <c r="R191" i="17"/>
  <c r="R194" i="17" s="1"/>
  <c r="Q220" i="17"/>
  <c r="Q115" i="17" s="1"/>
  <c r="Q121" i="17" s="1"/>
  <c r="Q428" i="17"/>
  <c r="R336" i="16"/>
  <c r="Q87" i="6"/>
  <c r="R370" i="16"/>
  <c r="Q85" i="6"/>
  <c r="Q141" i="16"/>
  <c r="Q142" i="16" s="1"/>
  <c r="Q47" i="16" s="1"/>
  <c r="U20" i="16"/>
  <c r="U17" i="16"/>
  <c r="Q495" i="16"/>
  <c r="R345" i="16"/>
  <c r="Q346" i="16"/>
  <c r="Q80" i="16"/>
  <c r="Q478" i="16"/>
  <c r="R335" i="16"/>
  <c r="Q337" i="16"/>
  <c r="Q36" i="16" s="1"/>
  <c r="R395" i="16"/>
  <c r="Q397" i="16"/>
  <c r="Q103" i="16" s="1"/>
  <c r="U11" i="16"/>
  <c r="T12" i="16"/>
  <c r="R369" i="16"/>
  <c r="S191" i="16"/>
  <c r="S194" i="16" s="1"/>
  <c r="R360" i="16"/>
  <c r="R367" i="16"/>
  <c r="Q368" i="16"/>
  <c r="U183" i="16"/>
  <c r="T189" i="16"/>
  <c r="R361" i="16"/>
  <c r="R285" i="16"/>
  <c r="R195" i="16"/>
  <c r="R94" i="16"/>
  <c r="R540" i="16"/>
  <c r="Q91" i="6"/>
  <c r="Q128" i="6"/>
  <c r="Q83" i="6"/>
  <c r="Q111" i="6"/>
  <c r="Q93" i="6"/>
  <c r="Q12" i="6"/>
  <c r="Q81" i="6"/>
  <c r="Q84" i="6"/>
  <c r="Q82" i="6"/>
  <c r="O76" i="6"/>
  <c r="O4" i="6"/>
  <c r="V16" i="16" s="1"/>
  <c r="P10" i="6"/>
  <c r="AI234" i="5"/>
  <c r="AI268" i="5"/>
  <c r="Q45" i="6"/>
  <c r="AI280" i="5"/>
  <c r="AI239" i="5"/>
  <c r="AI111" i="5"/>
  <c r="AI7" i="5"/>
  <c r="AI4" i="5"/>
  <c r="AI5" i="5" s="1"/>
  <c r="AI304" i="5"/>
  <c r="AI257" i="5"/>
  <c r="AI211" i="5"/>
  <c r="AI254" i="5"/>
  <c r="AI272" i="5"/>
  <c r="AI296" i="5"/>
  <c r="AI215" i="5"/>
  <c r="Q75" i="6"/>
  <c r="AI302" i="5"/>
  <c r="AI244" i="5"/>
  <c r="AI217" i="5"/>
  <c r="AI269" i="5"/>
  <c r="AI235" i="5"/>
  <c r="AI301" i="5"/>
  <c r="AI243" i="5"/>
  <c r="AI216" i="5"/>
  <c r="AI263" i="5"/>
  <c r="AI229" i="5"/>
  <c r="AI303" i="5"/>
  <c r="AI247" i="5"/>
  <c r="AI220" i="5"/>
  <c r="AI273" i="5"/>
  <c r="AI266" i="5"/>
  <c r="AI232" i="5"/>
  <c r="Q145" i="6"/>
  <c r="AI295" i="5"/>
  <c r="AI242" i="5"/>
  <c r="AI6" i="5"/>
  <c r="AI253" i="5"/>
  <c r="AI237" i="5"/>
  <c r="AI225" i="5"/>
  <c r="AI252" i="5"/>
  <c r="AI328" i="5"/>
  <c r="AI298" i="5"/>
  <c r="AI300" i="5"/>
  <c r="AI324" i="5"/>
  <c r="AI322" i="5"/>
  <c r="AI267" i="5"/>
  <c r="AI233" i="5"/>
  <c r="Q60" i="6"/>
  <c r="Q115" i="6"/>
  <c r="AI249" i="5"/>
  <c r="AI222" i="5"/>
  <c r="Q40" i="6"/>
  <c r="Q125" i="6"/>
  <c r="AI285" i="5"/>
  <c r="AI240" i="5"/>
  <c r="AI320" i="5"/>
  <c r="AI226" i="5"/>
  <c r="Q11" i="6"/>
  <c r="O146" i="6"/>
  <c r="P80" i="6"/>
  <c r="Q70" i="6"/>
  <c r="AI246" i="5"/>
  <c r="AI219" i="5"/>
  <c r="AI326" i="5"/>
  <c r="AI262" i="5"/>
  <c r="AI228" i="5"/>
  <c r="AI325" i="5"/>
  <c r="AI261" i="5"/>
  <c r="AI227" i="5"/>
  <c r="AI270" i="5"/>
  <c r="AI236" i="5"/>
  <c r="Q120" i="6"/>
  <c r="Q65" i="6"/>
  <c r="AJ210" i="5"/>
  <c r="AJ208" i="5"/>
  <c r="AJ206" i="5"/>
  <c r="AJ204" i="5"/>
  <c r="AJ202" i="5"/>
  <c r="AJ200" i="5"/>
  <c r="AJ198" i="5"/>
  <c r="AJ196" i="5"/>
  <c r="AJ194" i="5"/>
  <c r="R144" i="6" s="1"/>
  <c r="S144" i="6" s="1"/>
  <c r="AJ192" i="5"/>
  <c r="R142" i="6" s="1"/>
  <c r="S142" i="6" s="1"/>
  <c r="AJ190" i="5"/>
  <c r="AJ188" i="5"/>
  <c r="R138" i="6" s="1"/>
  <c r="S138" i="6" s="1"/>
  <c r="AJ186" i="5"/>
  <c r="R136" i="6" s="1"/>
  <c r="S136" i="6" s="1"/>
  <c r="AJ184" i="5"/>
  <c r="R134" i="6" s="1"/>
  <c r="S134" i="6" s="1"/>
  <c r="AJ182" i="5"/>
  <c r="AJ180" i="5"/>
  <c r="AJ178" i="5"/>
  <c r="AJ176" i="5"/>
  <c r="R126" i="6" s="1"/>
  <c r="S126" i="6" s="1"/>
  <c r="AJ174" i="5"/>
  <c r="R124" i="6" s="1"/>
  <c r="S124" i="6" s="1"/>
  <c r="AJ172" i="5"/>
  <c r="R122" i="6" s="1"/>
  <c r="S122" i="6" s="1"/>
  <c r="AJ170" i="5"/>
  <c r="AJ168" i="5"/>
  <c r="R118" i="6" s="1"/>
  <c r="S118" i="6" s="1"/>
  <c r="AJ166" i="5"/>
  <c r="R116" i="6" s="1"/>
  <c r="S116" i="6" s="1"/>
  <c r="AJ164" i="5"/>
  <c r="R114" i="6" s="1"/>
  <c r="S114" i="6" s="1"/>
  <c r="AJ162" i="5"/>
  <c r="R112" i="6" s="1"/>
  <c r="S112" i="6" s="1"/>
  <c r="AJ160" i="5"/>
  <c r="AJ158" i="5"/>
  <c r="R108" i="6" s="1"/>
  <c r="S108" i="6" s="1"/>
  <c r="AJ156" i="5"/>
  <c r="R106" i="6" s="1"/>
  <c r="S106" i="6" s="1"/>
  <c r="AJ154" i="5"/>
  <c r="AJ152" i="5"/>
  <c r="R102" i="6" s="1"/>
  <c r="S102" i="6" s="1"/>
  <c r="AJ150" i="5"/>
  <c r="AJ148" i="5"/>
  <c r="R98" i="6" s="1"/>
  <c r="S98" i="6" s="1"/>
  <c r="AJ146" i="5"/>
  <c r="R96" i="6" s="1"/>
  <c r="S96" i="6" s="1"/>
  <c r="AJ144" i="5"/>
  <c r="R94" i="6" s="1"/>
  <c r="S94" i="6" s="1"/>
  <c r="AJ142" i="5"/>
  <c r="AJ140" i="5"/>
  <c r="AJ138" i="5"/>
  <c r="R88" i="6" s="1"/>
  <c r="S88" i="6" s="1"/>
  <c r="AJ136" i="5"/>
  <c r="R86" i="6" s="1"/>
  <c r="S86" i="6" s="1"/>
  <c r="AJ134" i="5"/>
  <c r="AJ323" i="5" s="1"/>
  <c r="AJ132" i="5"/>
  <c r="AJ321" i="5" s="1"/>
  <c r="AJ130" i="5"/>
  <c r="AJ128" i="5"/>
  <c r="AJ317" i="5" s="1"/>
  <c r="AJ126" i="5"/>
  <c r="AJ315" i="5" s="1"/>
  <c r="AJ124" i="5"/>
  <c r="AJ313" i="5" s="1"/>
  <c r="AJ122" i="5"/>
  <c r="AJ311" i="5" s="1"/>
  <c r="AJ120" i="5"/>
  <c r="AJ209" i="5"/>
  <c r="AJ207" i="5"/>
  <c r="AJ205" i="5"/>
  <c r="AJ203" i="5"/>
  <c r="AJ201" i="5"/>
  <c r="AJ199" i="5"/>
  <c r="AJ197" i="5"/>
  <c r="AJ195" i="5"/>
  <c r="AJ193" i="5"/>
  <c r="R143" i="6" s="1"/>
  <c r="S143" i="6" s="1"/>
  <c r="AJ191" i="5"/>
  <c r="R141" i="6" s="1"/>
  <c r="S141" i="6" s="1"/>
  <c r="AJ189" i="5"/>
  <c r="AJ187" i="5"/>
  <c r="R137" i="6" s="1"/>
  <c r="S137" i="6" s="1"/>
  <c r="AJ185" i="5"/>
  <c r="R135" i="6" s="1"/>
  <c r="S135" i="6" s="1"/>
  <c r="AJ183" i="5"/>
  <c r="R133" i="6" s="1"/>
  <c r="S133" i="6" s="1"/>
  <c r="AJ181" i="5"/>
  <c r="R131" i="6" s="1"/>
  <c r="S131" i="6" s="1"/>
  <c r="AJ179" i="5"/>
  <c r="AJ177" i="5"/>
  <c r="AJ175" i="5"/>
  <c r="AJ173" i="5"/>
  <c r="R123" i="6" s="1"/>
  <c r="S123" i="6" s="1"/>
  <c r="AJ171" i="5"/>
  <c r="R121" i="6" s="1"/>
  <c r="S121" i="6" s="1"/>
  <c r="AJ169" i="5"/>
  <c r="R119" i="6" s="1"/>
  <c r="S119" i="6" s="1"/>
  <c r="AJ167" i="5"/>
  <c r="R117" i="6" s="1"/>
  <c r="S117" i="6" s="1"/>
  <c r="AJ165" i="5"/>
  <c r="AJ163" i="5"/>
  <c r="R113" i="6" s="1"/>
  <c r="S113" i="6" s="1"/>
  <c r="AJ161" i="5"/>
  <c r="AJ159" i="5"/>
  <c r="R109" i="6" s="1"/>
  <c r="S109" i="6" s="1"/>
  <c r="AJ157" i="5"/>
  <c r="R107" i="6" s="1"/>
  <c r="S107" i="6" s="1"/>
  <c r="AJ155" i="5"/>
  <c r="AJ153" i="5"/>
  <c r="R103" i="6" s="1"/>
  <c r="S103" i="6" s="1"/>
  <c r="AJ151" i="5"/>
  <c r="AJ149" i="5"/>
  <c r="R99" i="6" s="1"/>
  <c r="S99" i="6" s="1"/>
  <c r="AJ147" i="5"/>
  <c r="R97" i="6" s="1"/>
  <c r="S97" i="6" s="1"/>
  <c r="AJ141" i="5"/>
  <c r="AJ137" i="5"/>
  <c r="AJ133" i="5"/>
  <c r="AJ129" i="5"/>
  <c r="AJ318" i="5" s="1"/>
  <c r="AJ125" i="5"/>
  <c r="AJ121" i="5"/>
  <c r="AJ310" i="5" s="1"/>
  <c r="AJ116" i="5"/>
  <c r="AJ305" i="5" s="1"/>
  <c r="AJ102" i="5"/>
  <c r="AJ94" i="5"/>
  <c r="R74" i="6" s="1"/>
  <c r="S74" i="6" s="1"/>
  <c r="AJ86" i="5"/>
  <c r="R66" i="6" s="1"/>
  <c r="S66" i="6" s="1"/>
  <c r="AJ78" i="5"/>
  <c r="R58" i="6" s="1"/>
  <c r="S58" i="6" s="1"/>
  <c r="AJ70" i="5"/>
  <c r="AJ62" i="5"/>
  <c r="R42" i="6" s="1"/>
  <c r="S42" i="6" s="1"/>
  <c r="AJ54" i="5"/>
  <c r="R34" i="6" s="1"/>
  <c r="S34" i="6" s="1"/>
  <c r="AJ46" i="5"/>
  <c r="R26" i="6" s="1"/>
  <c r="S26" i="6" s="1"/>
  <c r="AJ38" i="5"/>
  <c r="R18" i="6" s="1"/>
  <c r="S18" i="6" s="1"/>
  <c r="AJ107" i="5"/>
  <c r="AJ99" i="5"/>
  <c r="AJ91" i="5"/>
  <c r="AJ83" i="5"/>
  <c r="AJ75" i="5"/>
  <c r="R55" i="6" s="1"/>
  <c r="S55" i="6" s="1"/>
  <c r="AJ67" i="5"/>
  <c r="R47" i="6" s="1"/>
  <c r="S47" i="6" s="1"/>
  <c r="AJ59" i="5"/>
  <c r="R39" i="6" s="1"/>
  <c r="S39" i="6" s="1"/>
  <c r="AJ51" i="5"/>
  <c r="R31" i="6" s="1"/>
  <c r="S31" i="6" s="1"/>
  <c r="AJ43" i="5"/>
  <c r="R23" i="6" s="1"/>
  <c r="S23" i="6" s="1"/>
  <c r="AJ115" i="5"/>
  <c r="AJ110" i="5"/>
  <c r="AJ104" i="5"/>
  <c r="AJ96" i="5"/>
  <c r="AJ88" i="5"/>
  <c r="R68" i="6" s="1"/>
  <c r="S68" i="6" s="1"/>
  <c r="AJ80" i="5"/>
  <c r="AJ72" i="5"/>
  <c r="R52" i="6" s="1"/>
  <c r="S52" i="6" s="1"/>
  <c r="AJ64" i="5"/>
  <c r="R44" i="6" s="1"/>
  <c r="S44" i="6" s="1"/>
  <c r="AJ56" i="5"/>
  <c r="AJ48" i="5"/>
  <c r="R28" i="6" s="1"/>
  <c r="S28" i="6" s="1"/>
  <c r="AJ40" i="5"/>
  <c r="AJ32" i="5"/>
  <c r="AJ297" i="5" s="1"/>
  <c r="AJ109" i="5"/>
  <c r="AJ101" i="5"/>
  <c r="AJ93" i="5"/>
  <c r="R73" i="6" s="1"/>
  <c r="S73" i="6" s="1"/>
  <c r="AJ85" i="5"/>
  <c r="AJ77" i="5"/>
  <c r="R57" i="6" s="1"/>
  <c r="S57" i="6" s="1"/>
  <c r="AJ69" i="5"/>
  <c r="R49" i="6" s="1"/>
  <c r="S49" i="6" s="1"/>
  <c r="AJ61" i="5"/>
  <c r="R41" i="6" s="1"/>
  <c r="S41" i="6" s="1"/>
  <c r="AJ53" i="5"/>
  <c r="R33" i="6" s="1"/>
  <c r="S33" i="6" s="1"/>
  <c r="AJ45" i="5"/>
  <c r="AJ145" i="5"/>
  <c r="R95" i="6" s="1"/>
  <c r="S95" i="6" s="1"/>
  <c r="AJ143" i="5"/>
  <c r="AJ139" i="5"/>
  <c r="R89" i="6" s="1"/>
  <c r="S89" i="6" s="1"/>
  <c r="AJ135" i="5"/>
  <c r="AJ131" i="5"/>
  <c r="AJ127" i="5"/>
  <c r="AJ316" i="5" s="1"/>
  <c r="AJ123" i="5"/>
  <c r="AJ312" i="5" s="1"/>
  <c r="AJ119" i="5"/>
  <c r="AJ308" i="5" s="1"/>
  <c r="AJ118" i="5"/>
  <c r="AJ307" i="5" s="1"/>
  <c r="AJ106" i="5"/>
  <c r="AJ98" i="5"/>
  <c r="AJ90" i="5"/>
  <c r="AJ82" i="5"/>
  <c r="R62" i="6" s="1"/>
  <c r="S62" i="6" s="1"/>
  <c r="AJ74" i="5"/>
  <c r="R54" i="6" s="1"/>
  <c r="S54" i="6" s="1"/>
  <c r="AJ66" i="5"/>
  <c r="R46" i="6" s="1"/>
  <c r="S46" i="6" s="1"/>
  <c r="AJ58" i="5"/>
  <c r="R38" i="6" s="1"/>
  <c r="S38" i="6" s="1"/>
  <c r="AJ50" i="5"/>
  <c r="R30" i="6" s="1"/>
  <c r="S30" i="6" s="1"/>
  <c r="AJ42" i="5"/>
  <c r="AJ103" i="5"/>
  <c r="AJ95" i="5"/>
  <c r="AJ87" i="5"/>
  <c r="AJ105" i="5"/>
  <c r="AJ97" i="5"/>
  <c r="AJ89" i="5"/>
  <c r="AJ81" i="5"/>
  <c r="R61" i="6" s="1"/>
  <c r="S61" i="6" s="1"/>
  <c r="AJ73" i="5"/>
  <c r="R53" i="6" s="1"/>
  <c r="S53" i="6" s="1"/>
  <c r="AJ79" i="5"/>
  <c r="R59" i="6" s="1"/>
  <c r="S59" i="6" s="1"/>
  <c r="AJ71" i="5"/>
  <c r="R51" i="6" s="1"/>
  <c r="S51" i="6" s="1"/>
  <c r="AJ21" i="5"/>
  <c r="AJ286" i="5" s="1"/>
  <c r="AJ55" i="5"/>
  <c r="AJ37" i="5"/>
  <c r="AJ27" i="5"/>
  <c r="AJ292" i="5" s="1"/>
  <c r="AJ60" i="5"/>
  <c r="AJ52" i="5"/>
  <c r="R32" i="6" s="1"/>
  <c r="S32" i="6" s="1"/>
  <c r="AJ44" i="5"/>
  <c r="R24" i="6" s="1"/>
  <c r="S24" i="6" s="1"/>
  <c r="AJ26" i="5"/>
  <c r="AJ291" i="5" s="1"/>
  <c r="AJ18" i="5"/>
  <c r="AJ283" i="5" s="1"/>
  <c r="AJ19" i="5"/>
  <c r="AJ284" i="5" s="1"/>
  <c r="AJ33" i="5"/>
  <c r="AJ31" i="5"/>
  <c r="AJ23" i="5"/>
  <c r="AJ288" i="5" s="1"/>
  <c r="AJ15" i="5"/>
  <c r="AJ63" i="5"/>
  <c r="R43" i="6" s="1"/>
  <c r="S43" i="6" s="1"/>
  <c r="AJ47" i="5"/>
  <c r="R27" i="6" s="1"/>
  <c r="S27" i="6" s="1"/>
  <c r="AJ108" i="5"/>
  <c r="AJ100" i="5"/>
  <c r="AJ92" i="5"/>
  <c r="R72" i="6" s="1"/>
  <c r="S72" i="6" s="1"/>
  <c r="AJ84" i="5"/>
  <c r="R64" i="6" s="1"/>
  <c r="S64" i="6" s="1"/>
  <c r="AJ34" i="5"/>
  <c r="AJ299" i="5" s="1"/>
  <c r="AJ30" i="5"/>
  <c r="AJ20" i="5"/>
  <c r="AJ117" i="5"/>
  <c r="AJ306" i="5" s="1"/>
  <c r="AJ65" i="5"/>
  <c r="AJ57" i="5"/>
  <c r="R37" i="6" s="1"/>
  <c r="S37" i="6" s="1"/>
  <c r="AJ49" i="5"/>
  <c r="R29" i="6" s="1"/>
  <c r="S29" i="6" s="1"/>
  <c r="AJ41" i="5"/>
  <c r="R21" i="6" s="1"/>
  <c r="S21" i="6" s="1"/>
  <c r="AJ39" i="5"/>
  <c r="R19" i="6" s="1"/>
  <c r="S19" i="6" s="1"/>
  <c r="AJ35" i="5"/>
  <c r="R15" i="6" s="1"/>
  <c r="S15" i="6" s="1"/>
  <c r="AJ29" i="5"/>
  <c r="AJ294" i="5" s="1"/>
  <c r="AJ25" i="5"/>
  <c r="AJ17" i="5"/>
  <c r="AJ282" i="5" s="1"/>
  <c r="AJ76" i="5"/>
  <c r="R56" i="6" s="1"/>
  <c r="S56" i="6" s="1"/>
  <c r="AJ68" i="5"/>
  <c r="R48" i="6" s="1"/>
  <c r="S48" i="6" s="1"/>
  <c r="AJ36" i="5"/>
  <c r="R16" i="6" s="1"/>
  <c r="S16" i="6" s="1"/>
  <c r="AJ28" i="5"/>
  <c r="AJ293" i="5" s="1"/>
  <c r="AJ22" i="5"/>
  <c r="AJ287" i="5" s="1"/>
  <c r="AJ24" i="5"/>
  <c r="AJ289" i="5" s="1"/>
  <c r="AJ16" i="5"/>
  <c r="AJ281" i="5" s="1"/>
  <c r="AI314" i="5"/>
  <c r="AI259" i="5"/>
  <c r="AI290" i="5"/>
  <c r="AI241" i="5"/>
  <c r="AI248" i="5"/>
  <c r="AI221" i="5"/>
  <c r="AI256" i="5"/>
  <c r="AI319" i="5"/>
  <c r="AI260" i="5"/>
  <c r="AI250" i="5"/>
  <c r="AI223" i="5"/>
  <c r="AI271" i="5"/>
  <c r="AI264" i="5"/>
  <c r="AI230" i="5"/>
  <c r="Q20" i="6"/>
  <c r="N6" i="6"/>
  <c r="N5" i="6"/>
  <c r="Q100" i="6"/>
  <c r="AI255" i="5"/>
  <c r="AI309" i="5"/>
  <c r="AI258" i="5"/>
  <c r="AI245" i="5"/>
  <c r="AI218" i="5"/>
  <c r="AI251" i="5"/>
  <c r="AI224" i="5"/>
  <c r="AI327" i="5"/>
  <c r="AI265" i="5"/>
  <c r="AI231" i="5"/>
  <c r="AI274" i="5"/>
  <c r="T134" i="25" l="1"/>
  <c r="T135" i="17"/>
  <c r="T134" i="17"/>
  <c r="T135" i="24"/>
  <c r="T134" i="24"/>
  <c r="U135" i="16"/>
  <c r="U134" i="16"/>
  <c r="T135" i="23"/>
  <c r="T134" i="23"/>
  <c r="U134" i="23" s="1"/>
  <c r="R130" i="6"/>
  <c r="S130" i="6" s="1"/>
  <c r="R67" i="6"/>
  <c r="S67" i="6" s="1"/>
  <c r="R69" i="6"/>
  <c r="S69" i="6" s="1"/>
  <c r="T13" i="16"/>
  <c r="S137" i="16"/>
  <c r="S14" i="16"/>
  <c r="S370" i="16" s="1"/>
  <c r="S136" i="16"/>
  <c r="S138" i="16"/>
  <c r="T138" i="16" s="1"/>
  <c r="U192" i="16"/>
  <c r="U291" i="16" s="1"/>
  <c r="R63" i="6"/>
  <c r="S63" i="6" s="1"/>
  <c r="R127" i="6"/>
  <c r="S127" i="6" s="1"/>
  <c r="R71" i="6"/>
  <c r="S71" i="6" s="1"/>
  <c r="R139" i="6"/>
  <c r="S139" i="6" s="1"/>
  <c r="R17" i="6"/>
  <c r="S17" i="6" s="1"/>
  <c r="S136" i="24"/>
  <c r="T192" i="24"/>
  <c r="T291" i="24" s="1"/>
  <c r="R22" i="6"/>
  <c r="S22" i="6" s="1"/>
  <c r="R370" i="23"/>
  <c r="S274" i="25"/>
  <c r="R336" i="24"/>
  <c r="R336" i="23"/>
  <c r="R370" i="25"/>
  <c r="R361" i="25"/>
  <c r="S137" i="24"/>
  <c r="R336" i="25"/>
  <c r="R285" i="25"/>
  <c r="S138" i="24"/>
  <c r="R369" i="23"/>
  <c r="S274" i="24"/>
  <c r="R285" i="23"/>
  <c r="R361" i="23"/>
  <c r="S136" i="23"/>
  <c r="S136" i="25"/>
  <c r="R140" i="23"/>
  <c r="S137" i="23"/>
  <c r="S137" i="25"/>
  <c r="R369" i="24"/>
  <c r="Q80" i="25"/>
  <c r="Q79" i="25" s="1"/>
  <c r="R395" i="25"/>
  <c r="Q397" i="25"/>
  <c r="Q103" i="25" s="1"/>
  <c r="R367" i="25"/>
  <c r="Q368" i="25"/>
  <c r="Q286" i="24"/>
  <c r="R283" i="24"/>
  <c r="Q284" i="24"/>
  <c r="Q90" i="23"/>
  <c r="R155" i="23"/>
  <c r="R298" i="24"/>
  <c r="S297" i="24"/>
  <c r="T12" i="25"/>
  <c r="U11" i="25"/>
  <c r="R140" i="25"/>
  <c r="Q478" i="25"/>
  <c r="R369" i="25"/>
  <c r="Q478" i="24"/>
  <c r="R360" i="24"/>
  <c r="Q362" i="24"/>
  <c r="R243" i="24"/>
  <c r="Q239" i="24"/>
  <c r="R280" i="24"/>
  <c r="S279" i="24"/>
  <c r="Q511" i="25"/>
  <c r="Q512" i="25" s="1"/>
  <c r="Q341" i="25"/>
  <c r="Q485" i="25"/>
  <c r="Q488" i="25" s="1"/>
  <c r="R340" i="25"/>
  <c r="Q493" i="25"/>
  <c r="R358" i="25"/>
  <c r="Q359" i="25"/>
  <c r="S191" i="24"/>
  <c r="S194" i="24" s="1"/>
  <c r="R94" i="23"/>
  <c r="R195" i="23"/>
  <c r="Q80" i="23"/>
  <c r="R395" i="23"/>
  <c r="Q397" i="23"/>
  <c r="Q103" i="23" s="1"/>
  <c r="Q493" i="23"/>
  <c r="R358" i="23"/>
  <c r="Q359" i="23"/>
  <c r="S305" i="24"/>
  <c r="R306" i="24"/>
  <c r="R280" i="25"/>
  <c r="S279" i="25"/>
  <c r="S14" i="25"/>
  <c r="T13" i="25"/>
  <c r="U17" i="23"/>
  <c r="U192" i="23" s="1"/>
  <c r="U20" i="23"/>
  <c r="V16" i="23"/>
  <c r="R367" i="24"/>
  <c r="Q368" i="24"/>
  <c r="Q371" i="24" s="1"/>
  <c r="R264" i="24"/>
  <c r="R323" i="24" s="1"/>
  <c r="Q266" i="24"/>
  <c r="Q265" i="24"/>
  <c r="Q267" i="24"/>
  <c r="U183" i="24"/>
  <c r="T189" i="24"/>
  <c r="Q337" i="23"/>
  <c r="Q36" i="23" s="1"/>
  <c r="R335" i="23"/>
  <c r="Q362" i="23"/>
  <c r="R360" i="23"/>
  <c r="R310" i="25"/>
  <c r="S309" i="25"/>
  <c r="S305" i="25"/>
  <c r="R306" i="25"/>
  <c r="R302" i="24"/>
  <c r="S301" i="24"/>
  <c r="Q323" i="24"/>
  <c r="R302" i="25"/>
  <c r="S301" i="25"/>
  <c r="R195" i="25"/>
  <c r="R94" i="25"/>
  <c r="R428" i="24"/>
  <c r="R220" i="24"/>
  <c r="R115" i="24" s="1"/>
  <c r="R121" i="24" s="1"/>
  <c r="Q429" i="24"/>
  <c r="Q102" i="24" s="1"/>
  <c r="R540" i="24"/>
  <c r="S539" i="24"/>
  <c r="Q429" i="25"/>
  <c r="Q102" i="25" s="1"/>
  <c r="R220" i="25"/>
  <c r="R115" i="25" s="1"/>
  <c r="R121" i="25" s="1"/>
  <c r="R428" i="25"/>
  <c r="R140" i="24"/>
  <c r="R315" i="25"/>
  <c r="R316" i="25" s="1"/>
  <c r="S314" i="25"/>
  <c r="T192" i="25"/>
  <c r="S138" i="23"/>
  <c r="R264" i="25"/>
  <c r="R323" i="25" s="1"/>
  <c r="R540" i="25"/>
  <c r="S539" i="25"/>
  <c r="S196" i="24"/>
  <c r="R298" i="25"/>
  <c r="S297" i="25"/>
  <c r="R285" i="24"/>
  <c r="R358" i="24"/>
  <c r="Q493" i="24"/>
  <c r="Q359" i="24"/>
  <c r="R310" i="24"/>
  <c r="S309" i="24"/>
  <c r="R283" i="25"/>
  <c r="S138" i="25"/>
  <c r="R367" i="23"/>
  <c r="Q368" i="23"/>
  <c r="Q286" i="23"/>
  <c r="Q284" i="23"/>
  <c r="R283" i="23"/>
  <c r="Q141" i="23"/>
  <c r="Q142" i="23" s="1"/>
  <c r="Q34" i="23"/>
  <c r="S314" i="24"/>
  <c r="R315" i="24"/>
  <c r="R316" i="24" s="1"/>
  <c r="V16" i="24"/>
  <c r="U17" i="24"/>
  <c r="U20" i="24"/>
  <c r="Q511" i="24"/>
  <c r="Q512" i="24" s="1"/>
  <c r="Q341" i="24"/>
  <c r="R340" i="24"/>
  <c r="Q485" i="24"/>
  <c r="Q488" i="24" s="1"/>
  <c r="Q337" i="24"/>
  <c r="R335" i="24"/>
  <c r="Q284" i="25"/>
  <c r="Q286" i="25"/>
  <c r="S197" i="23"/>
  <c r="S200" i="23" s="1"/>
  <c r="S191" i="23"/>
  <c r="S194" i="23" s="1"/>
  <c r="Q239" i="25"/>
  <c r="R243" i="25"/>
  <c r="Q90" i="25"/>
  <c r="R155" i="25"/>
  <c r="Q239" i="23"/>
  <c r="R243" i="23"/>
  <c r="R293" i="24"/>
  <c r="R294" i="24" s="1"/>
  <c r="R327" i="24" s="1"/>
  <c r="S292" i="24"/>
  <c r="Q478" i="23"/>
  <c r="Q265" i="25"/>
  <c r="Q266" i="25"/>
  <c r="Q267" i="25"/>
  <c r="S196" i="25"/>
  <c r="S197" i="25" s="1"/>
  <c r="S200" i="25" s="1"/>
  <c r="R395" i="24"/>
  <c r="Q80" i="24"/>
  <c r="Q397" i="24"/>
  <c r="Q103" i="24" s="1"/>
  <c r="R361" i="24"/>
  <c r="Q34" i="25"/>
  <c r="S539" i="23"/>
  <c r="R540" i="23"/>
  <c r="U183" i="23"/>
  <c r="T189" i="23"/>
  <c r="Q337" i="25"/>
  <c r="R335" i="25"/>
  <c r="R293" i="25"/>
  <c r="R294" i="25" s="1"/>
  <c r="R327" i="25" s="1"/>
  <c r="S292" i="25"/>
  <c r="R220" i="23"/>
  <c r="R115" i="23" s="1"/>
  <c r="R121" i="23" s="1"/>
  <c r="Q429" i="23"/>
  <c r="Q102" i="23" s="1"/>
  <c r="R428" i="23"/>
  <c r="R94" i="24"/>
  <c r="R195" i="24"/>
  <c r="T13" i="24"/>
  <c r="S14" i="24"/>
  <c r="U11" i="24"/>
  <c r="T12" i="24"/>
  <c r="U20" i="25"/>
  <c r="U17" i="25"/>
  <c r="U135" i="25" s="1"/>
  <c r="V16" i="25"/>
  <c r="S191" i="25"/>
  <c r="S194" i="25" s="1"/>
  <c r="Q323" i="25"/>
  <c r="Q208" i="25" s="1"/>
  <c r="Q495" i="24"/>
  <c r="R345" i="24"/>
  <c r="Q346" i="24"/>
  <c r="R370" i="24"/>
  <c r="Q351" i="25"/>
  <c r="Q273" i="25"/>
  <c r="Q443" i="25"/>
  <c r="Q47" i="25"/>
  <c r="Q495" i="25"/>
  <c r="R345" i="25"/>
  <c r="Q346" i="25"/>
  <c r="Q362" i="25"/>
  <c r="R360" i="25"/>
  <c r="Q495" i="23"/>
  <c r="R345" i="23"/>
  <c r="Q346" i="23"/>
  <c r="Q485" i="23"/>
  <c r="Q488" i="23" s="1"/>
  <c r="Q341" i="23"/>
  <c r="Q511" i="23"/>
  <c r="Q512" i="23" s="1"/>
  <c r="R340" i="23"/>
  <c r="Q141" i="24"/>
  <c r="Q142" i="24" s="1"/>
  <c r="Q34" i="24"/>
  <c r="S14" i="23"/>
  <c r="T13" i="23"/>
  <c r="U11" i="23"/>
  <c r="T12" i="23"/>
  <c r="U183" i="25"/>
  <c r="T189" i="25"/>
  <c r="Q90" i="24"/>
  <c r="R155" i="24"/>
  <c r="AA8" i="8"/>
  <c r="AA9" i="8" s="1"/>
  <c r="O70" i="17"/>
  <c r="O57" i="17" s="1"/>
  <c r="O58" i="17" s="1"/>
  <c r="O71" i="17"/>
  <c r="O235" i="17" s="1"/>
  <c r="O129" i="17"/>
  <c r="O234" i="17"/>
  <c r="O35" i="17" s="1"/>
  <c r="O48" i="17"/>
  <c r="N42" i="17"/>
  <c r="N45" i="17"/>
  <c r="O51" i="17"/>
  <c r="O108" i="17"/>
  <c r="O110" i="17" s="1"/>
  <c r="O111" i="17" s="1"/>
  <c r="O492" i="17"/>
  <c r="O497" i="17" s="1"/>
  <c r="Q267" i="17"/>
  <c r="Q268" i="17" s="1"/>
  <c r="R200" i="17"/>
  <c r="V258" i="17"/>
  <c r="Q200" i="17"/>
  <c r="Z385" i="17"/>
  <c r="Z477" i="17"/>
  <c r="Z91" i="17"/>
  <c r="Z161" i="17"/>
  <c r="Z165" i="17" s="1"/>
  <c r="V139" i="16"/>
  <c r="V186" i="17"/>
  <c r="R101" i="6"/>
  <c r="S101" i="6" s="1"/>
  <c r="R13" i="6"/>
  <c r="S13" i="6" s="1"/>
  <c r="R129" i="6"/>
  <c r="S129" i="6" s="1"/>
  <c r="V257" i="16"/>
  <c r="U259" i="16"/>
  <c r="V44" i="16"/>
  <c r="Q485" i="16"/>
  <c r="Q488" i="16" s="1"/>
  <c r="Q511" i="16"/>
  <c r="Q512" i="16" s="1"/>
  <c r="V177" i="17"/>
  <c r="V178" i="17" s="1"/>
  <c r="V179" i="17" s="1"/>
  <c r="Q341" i="16"/>
  <c r="Q104" i="16" s="1"/>
  <c r="V186" i="16"/>
  <c r="X182" i="16"/>
  <c r="R104" i="6"/>
  <c r="S104" i="6" s="1"/>
  <c r="X534" i="17"/>
  <c r="V44" i="17"/>
  <c r="X536" i="17"/>
  <c r="X536" i="16"/>
  <c r="V139" i="17"/>
  <c r="U476" i="17"/>
  <c r="V258" i="16"/>
  <c r="W537" i="17"/>
  <c r="W262" i="17"/>
  <c r="X190" i="17"/>
  <c r="X184" i="16"/>
  <c r="X185" i="16"/>
  <c r="W530" i="17"/>
  <c r="W256" i="17" s="1"/>
  <c r="X525" i="17"/>
  <c r="X526" i="17"/>
  <c r="X533" i="16"/>
  <c r="X18" i="17"/>
  <c r="X19" i="17" s="1"/>
  <c r="W19" i="17"/>
  <c r="X527" i="16"/>
  <c r="V169" i="16"/>
  <c r="U170" i="16"/>
  <c r="U173" i="16" s="1"/>
  <c r="X529" i="17"/>
  <c r="X190" i="16"/>
  <c r="W537" i="16"/>
  <c r="W262" i="16"/>
  <c r="U259" i="17"/>
  <c r="V257" i="17"/>
  <c r="T92" i="16"/>
  <c r="X18" i="16"/>
  <c r="X19" i="16" s="1"/>
  <c r="W19" i="16"/>
  <c r="X182" i="17"/>
  <c r="V154" i="16"/>
  <c r="U476" i="16"/>
  <c r="V146" i="17"/>
  <c r="U475" i="17"/>
  <c r="U89" i="17"/>
  <c r="U147" i="17"/>
  <c r="U150" i="17" s="1"/>
  <c r="X21" i="17"/>
  <c r="X22" i="17" s="1"/>
  <c r="W22" i="17"/>
  <c r="V177" i="16"/>
  <c r="U178" i="16"/>
  <c r="U179" i="16" s="1"/>
  <c r="W256" i="16"/>
  <c r="X527" i="17"/>
  <c r="X526" i="16"/>
  <c r="V187" i="17"/>
  <c r="X525" i="16"/>
  <c r="W530" i="16"/>
  <c r="V169" i="17"/>
  <c r="U170" i="17"/>
  <c r="U173" i="17" s="1"/>
  <c r="U92" i="17" s="1"/>
  <c r="X185" i="17"/>
  <c r="X529" i="16"/>
  <c r="V154" i="17"/>
  <c r="X528" i="16"/>
  <c r="X535" i="17"/>
  <c r="X533" i="17"/>
  <c r="X528" i="17"/>
  <c r="X534" i="16"/>
  <c r="X21" i="16"/>
  <c r="X22" i="16" s="1"/>
  <c r="W22" i="16"/>
  <c r="V188" i="17"/>
  <c r="U89" i="16"/>
  <c r="U475" i="16"/>
  <c r="V146" i="16"/>
  <c r="U147" i="16"/>
  <c r="U150" i="16" s="1"/>
  <c r="X535" i="16"/>
  <c r="X184" i="17"/>
  <c r="R85" i="6"/>
  <c r="S85" i="6" s="1"/>
  <c r="R128" i="6"/>
  <c r="S128" i="6" s="1"/>
  <c r="R82" i="6"/>
  <c r="S82" i="6" s="1"/>
  <c r="Q268" i="16"/>
  <c r="R267" i="16"/>
  <c r="R220" i="16"/>
  <c r="R115" i="16" s="1"/>
  <c r="R121" i="16" s="1"/>
  <c r="S264" i="16"/>
  <c r="S265" i="16" s="1"/>
  <c r="R265" i="16"/>
  <c r="R323" i="16"/>
  <c r="Q359" i="16"/>
  <c r="Q74" i="16" s="1"/>
  <c r="Q493" i="16"/>
  <c r="R243" i="16"/>
  <c r="R239" i="16" s="1"/>
  <c r="R92" i="6"/>
  <c r="S92" i="6" s="1"/>
  <c r="R111" i="6"/>
  <c r="S111" i="6" s="1"/>
  <c r="R132" i="6"/>
  <c r="S132" i="6" s="1"/>
  <c r="R87" i="6"/>
  <c r="S87" i="6" s="1"/>
  <c r="Q371" i="16"/>
  <c r="Q372" i="16" s="1"/>
  <c r="Q429" i="16"/>
  <c r="Q102" i="16" s="1"/>
  <c r="R155" i="16"/>
  <c r="R90" i="16" s="1"/>
  <c r="Q90" i="16"/>
  <c r="Q284" i="16"/>
  <c r="Q287" i="16" s="1"/>
  <c r="R140" i="16"/>
  <c r="R141" i="16" s="1"/>
  <c r="R142" i="16" s="1"/>
  <c r="R47" i="16" s="1"/>
  <c r="R283" i="16"/>
  <c r="R286" i="16" s="1"/>
  <c r="W344" i="17"/>
  <c r="X350" i="17"/>
  <c r="X388" i="17" s="1"/>
  <c r="R91" i="6"/>
  <c r="S91" i="6" s="1"/>
  <c r="R83" i="6"/>
  <c r="S83" i="6" s="1"/>
  <c r="W388" i="17"/>
  <c r="W357" i="17"/>
  <c r="V76" i="17"/>
  <c r="T305" i="16"/>
  <c r="S306" i="16"/>
  <c r="T279" i="16"/>
  <c r="S280" i="16"/>
  <c r="T301" i="16"/>
  <c r="S302" i="16"/>
  <c r="T274" i="16"/>
  <c r="T292" i="16"/>
  <c r="S293" i="16"/>
  <c r="S294" i="16" s="1"/>
  <c r="S327" i="16" s="1"/>
  <c r="T309" i="16"/>
  <c r="S310" i="16"/>
  <c r="T314" i="16"/>
  <c r="S315" i="16"/>
  <c r="S316" i="16" s="1"/>
  <c r="T297" i="16"/>
  <c r="S298" i="16"/>
  <c r="T196" i="16"/>
  <c r="T197" i="16" s="1"/>
  <c r="T200" i="16" s="1"/>
  <c r="G41" i="9"/>
  <c r="S297" i="17"/>
  <c r="S309" i="17"/>
  <c r="S314" i="17"/>
  <c r="S279" i="17"/>
  <c r="S305" i="17"/>
  <c r="S292" i="17"/>
  <c r="S301" i="17"/>
  <c r="S196" i="17"/>
  <c r="S197" i="17" s="1"/>
  <c r="S200" i="17" s="1"/>
  <c r="T137" i="16"/>
  <c r="R266" i="17"/>
  <c r="R265" i="17"/>
  <c r="R302" i="17"/>
  <c r="R306" i="17"/>
  <c r="R293" i="17"/>
  <c r="R294" i="17" s="1"/>
  <c r="R327" i="17" s="1"/>
  <c r="R315" i="17"/>
  <c r="R316" i="17" s="1"/>
  <c r="R280" i="17"/>
  <c r="R298" i="17"/>
  <c r="R310" i="17"/>
  <c r="Y385" i="17"/>
  <c r="Y73" i="17" s="1"/>
  <c r="Y442" i="17" s="1"/>
  <c r="Y391" i="17"/>
  <c r="Y394" i="17" s="1"/>
  <c r="X394" i="17"/>
  <c r="Y477" i="17"/>
  <c r="Y91" i="17"/>
  <c r="Y161" i="17"/>
  <c r="Y165" i="17" s="1"/>
  <c r="Q34" i="17"/>
  <c r="R140" i="17"/>
  <c r="R243" i="17"/>
  <c r="R336" i="17"/>
  <c r="R370" i="17"/>
  <c r="S136" i="17"/>
  <c r="Q346" i="17"/>
  <c r="Q141" i="17"/>
  <c r="Q142" i="17" s="1"/>
  <c r="Q47" i="17" s="1"/>
  <c r="R345" i="17"/>
  <c r="R346" i="17" s="1"/>
  <c r="R36" i="6"/>
  <c r="S36" i="6" s="1"/>
  <c r="Q239" i="17"/>
  <c r="S539" i="17"/>
  <c r="S264" i="17" s="1"/>
  <c r="R540" i="17"/>
  <c r="S138" i="17"/>
  <c r="R361" i="17"/>
  <c r="Q511" i="17"/>
  <c r="Q512" i="17" s="1"/>
  <c r="R340" i="17"/>
  <c r="Q341" i="17"/>
  <c r="Q485" i="17"/>
  <c r="Q488" i="17" s="1"/>
  <c r="R367" i="17"/>
  <c r="Q368" i="17"/>
  <c r="U11" i="17"/>
  <c r="T12" i="17"/>
  <c r="Q286" i="17"/>
  <c r="Q284" i="17"/>
  <c r="R283" i="17"/>
  <c r="R369" i="17"/>
  <c r="R195" i="17"/>
  <c r="R94" i="17"/>
  <c r="Q493" i="17"/>
  <c r="Q496" i="17" s="1"/>
  <c r="R358" i="17"/>
  <c r="Q359" i="17"/>
  <c r="R155" i="17"/>
  <c r="Q90" i="17"/>
  <c r="Q80" i="17"/>
  <c r="T13" i="17"/>
  <c r="S14" i="17"/>
  <c r="S137" i="17"/>
  <c r="R360" i="17"/>
  <c r="R395" i="17"/>
  <c r="Q397" i="17"/>
  <c r="Q103" i="17" s="1"/>
  <c r="U17" i="17"/>
  <c r="U192" i="17" s="1"/>
  <c r="U291" i="17" s="1"/>
  <c r="V16" i="17"/>
  <c r="U20" i="17"/>
  <c r="R220" i="17"/>
  <c r="R115" i="17" s="1"/>
  <c r="R121" i="17" s="1"/>
  <c r="R428" i="17"/>
  <c r="Q429" i="17"/>
  <c r="Q102" i="17" s="1"/>
  <c r="R335" i="17"/>
  <c r="Q337" i="17"/>
  <c r="Q36" i="17" s="1"/>
  <c r="Q478" i="17"/>
  <c r="R285" i="17"/>
  <c r="Q362" i="17"/>
  <c r="S191" i="17"/>
  <c r="S194" i="17" s="1"/>
  <c r="U183" i="17"/>
  <c r="T189" i="17"/>
  <c r="S336" i="16"/>
  <c r="S361" i="16"/>
  <c r="S360" i="16"/>
  <c r="R80" i="16"/>
  <c r="Q79" i="16"/>
  <c r="V17" i="16"/>
  <c r="V20" i="16"/>
  <c r="Q273" i="16"/>
  <c r="R478" i="16"/>
  <c r="R485" i="16"/>
  <c r="R488" i="16" s="1"/>
  <c r="R511" i="16"/>
  <c r="R512" i="16" s="1"/>
  <c r="T191" i="16"/>
  <c r="T194" i="16" s="1"/>
  <c r="R493" i="16"/>
  <c r="S358" i="16"/>
  <c r="R359" i="16"/>
  <c r="V183" i="16"/>
  <c r="U189" i="16"/>
  <c r="U13" i="16"/>
  <c r="T14" i="16"/>
  <c r="U12" i="16"/>
  <c r="V11" i="16"/>
  <c r="S335" i="16"/>
  <c r="R337" i="16"/>
  <c r="R36" i="16" s="1"/>
  <c r="R362" i="16"/>
  <c r="R368" i="16"/>
  <c r="Q240" i="16"/>
  <c r="Q241" i="16" s="1"/>
  <c r="Q347" i="16"/>
  <c r="S540" i="16"/>
  <c r="T539" i="16"/>
  <c r="Q443" i="16"/>
  <c r="R495" i="16"/>
  <c r="R346" i="16"/>
  <c r="R429" i="16"/>
  <c r="Q351" i="16"/>
  <c r="S395" i="16"/>
  <c r="R397" i="16"/>
  <c r="R103" i="16" s="1"/>
  <c r="S195" i="16"/>
  <c r="S94" i="16"/>
  <c r="R93" i="6"/>
  <c r="S93" i="6" s="1"/>
  <c r="R81" i="6"/>
  <c r="S81" i="6" s="1"/>
  <c r="R100" i="6"/>
  <c r="S100" i="6" s="1"/>
  <c r="R11" i="6"/>
  <c r="S11" i="6" s="1"/>
  <c r="AJ253" i="5"/>
  <c r="AJ248" i="5"/>
  <c r="AJ221" i="5"/>
  <c r="AJ296" i="5"/>
  <c r="AJ215" i="5"/>
  <c r="AJ218" i="5"/>
  <c r="AJ245" i="5"/>
  <c r="AJ326" i="5"/>
  <c r="AJ262" i="5"/>
  <c r="AJ228" i="5"/>
  <c r="R40" i="6"/>
  <c r="S40" i="6" s="1"/>
  <c r="AJ285" i="5"/>
  <c r="AJ240" i="5"/>
  <c r="AJ264" i="5"/>
  <c r="AJ230" i="5"/>
  <c r="O6" i="6"/>
  <c r="O5" i="6"/>
  <c r="AJ298" i="5"/>
  <c r="AJ300" i="5"/>
  <c r="AJ328" i="5"/>
  <c r="AJ251" i="5"/>
  <c r="AJ224" i="5"/>
  <c r="AJ314" i="5"/>
  <c r="AJ259" i="5"/>
  <c r="AJ271" i="5"/>
  <c r="AJ272" i="5"/>
  <c r="R70" i="6"/>
  <c r="S70" i="6" s="1"/>
  <c r="R140" i="6"/>
  <c r="S140" i="6" s="1"/>
  <c r="AJ229" i="5"/>
  <c r="AJ263" i="5"/>
  <c r="AJ256" i="5"/>
  <c r="AJ327" i="5"/>
  <c r="AJ265" i="5"/>
  <c r="AJ231" i="5"/>
  <c r="AJ266" i="5"/>
  <c r="AJ232" i="5"/>
  <c r="P146" i="6"/>
  <c r="Q80" i="6"/>
  <c r="R45" i="6"/>
  <c r="S45" i="6" s="1"/>
  <c r="AJ246" i="5"/>
  <c r="AJ219" i="5"/>
  <c r="AJ237" i="5"/>
  <c r="AJ225" i="5"/>
  <c r="AJ252" i="5"/>
  <c r="AJ267" i="5"/>
  <c r="AJ233" i="5"/>
  <c r="AJ303" i="5"/>
  <c r="AJ247" i="5"/>
  <c r="AJ220" i="5"/>
  <c r="AJ249" i="5"/>
  <c r="AJ222" i="5"/>
  <c r="AJ320" i="5"/>
  <c r="AJ226" i="5"/>
  <c r="AJ324" i="5"/>
  <c r="AJ322" i="5"/>
  <c r="AJ319" i="5"/>
  <c r="AJ260" i="5"/>
  <c r="R84" i="6"/>
  <c r="S84" i="6" s="1"/>
  <c r="R115" i="6"/>
  <c r="S115" i="6" s="1"/>
  <c r="R105" i="6"/>
  <c r="S105" i="6" s="1"/>
  <c r="R35" i="6"/>
  <c r="S35" i="6" s="1"/>
  <c r="AJ234" i="5"/>
  <c r="AJ268" i="5"/>
  <c r="AJ302" i="5"/>
  <c r="AJ244" i="5"/>
  <c r="AJ217" i="5"/>
  <c r="AJ223" i="5"/>
  <c r="AJ250" i="5"/>
  <c r="AJ290" i="5"/>
  <c r="AJ241" i="5"/>
  <c r="AJ255" i="5"/>
  <c r="AJ254" i="5"/>
  <c r="AJ325" i="5"/>
  <c r="AJ261" i="5"/>
  <c r="AJ227" i="5"/>
  <c r="AJ304" i="5"/>
  <c r="AJ257" i="5"/>
  <c r="AJ211" i="5"/>
  <c r="AJ269" i="5"/>
  <c r="AJ235" i="5"/>
  <c r="AJ270" i="5"/>
  <c r="AJ236" i="5"/>
  <c r="R125" i="6"/>
  <c r="S125" i="6" s="1"/>
  <c r="R60" i="6"/>
  <c r="S60" i="6" s="1"/>
  <c r="R145" i="6"/>
  <c r="S145" i="6" s="1"/>
  <c r="R14" i="6"/>
  <c r="S14" i="6" s="1"/>
  <c r="R12" i="6"/>
  <c r="S12" i="6" s="1"/>
  <c r="R75" i="6"/>
  <c r="S75" i="6" s="1"/>
  <c r="R25" i="6"/>
  <c r="S25" i="6" s="1"/>
  <c r="R90" i="6"/>
  <c r="S90" i="6" s="1"/>
  <c r="R65" i="6"/>
  <c r="S65" i="6" s="1"/>
  <c r="R20" i="6"/>
  <c r="S20" i="6" s="1"/>
  <c r="R110" i="6"/>
  <c r="S110" i="6" s="1"/>
  <c r="AJ301" i="5"/>
  <c r="AJ243" i="5"/>
  <c r="AJ216" i="5"/>
  <c r="AJ295" i="5"/>
  <c r="AJ242" i="5"/>
  <c r="AJ6" i="5"/>
  <c r="AJ280" i="5"/>
  <c r="AJ239" i="5"/>
  <c r="AJ111" i="5"/>
  <c r="AJ7" i="5"/>
  <c r="AJ4" i="5"/>
  <c r="AJ273" i="5"/>
  <c r="AJ309" i="5"/>
  <c r="AJ258" i="5"/>
  <c r="AJ274" i="5"/>
  <c r="R120" i="6"/>
  <c r="S120" i="6" s="1"/>
  <c r="R50" i="6"/>
  <c r="S50" i="6" s="1"/>
  <c r="P76" i="6"/>
  <c r="P4" i="6"/>
  <c r="W16" i="16" s="1"/>
  <c r="Q10" i="6"/>
  <c r="U135" i="23" l="1"/>
  <c r="V134" i="16"/>
  <c r="V135" i="16"/>
  <c r="U134" i="24"/>
  <c r="V134" i="24" s="1"/>
  <c r="U135" i="24"/>
  <c r="U134" i="17"/>
  <c r="V134" i="17" s="1"/>
  <c r="U135" i="17"/>
  <c r="U134" i="25"/>
  <c r="S428" i="16"/>
  <c r="S340" i="16"/>
  <c r="S345" i="16"/>
  <c r="S369" i="16"/>
  <c r="S285" i="16"/>
  <c r="T285" i="16" s="1"/>
  <c r="S367" i="16"/>
  <c r="S493" i="16" s="1"/>
  <c r="S336" i="24"/>
  <c r="S140" i="16"/>
  <c r="S141" i="16" s="1"/>
  <c r="S142" i="16" s="1"/>
  <c r="S47" i="16" s="1"/>
  <c r="T136" i="16"/>
  <c r="V192" i="16"/>
  <c r="V291" i="16" s="1"/>
  <c r="U192" i="24"/>
  <c r="U291" i="24" s="1"/>
  <c r="Q501" i="24"/>
  <c r="S369" i="24"/>
  <c r="S140" i="24"/>
  <c r="T274" i="25"/>
  <c r="Q363" i="24"/>
  <c r="S336" i="25"/>
  <c r="S369" i="23"/>
  <c r="R362" i="24"/>
  <c r="R34" i="23"/>
  <c r="S361" i="25"/>
  <c r="T137" i="25"/>
  <c r="R362" i="23"/>
  <c r="S370" i="25"/>
  <c r="S140" i="23"/>
  <c r="S140" i="25"/>
  <c r="S370" i="23"/>
  <c r="Q287" i="23"/>
  <c r="S370" i="24"/>
  <c r="Q501" i="23"/>
  <c r="Q287" i="25"/>
  <c r="S361" i="24"/>
  <c r="Q363" i="23"/>
  <c r="Q287" i="24"/>
  <c r="R90" i="24"/>
  <c r="S155" i="24"/>
  <c r="U13" i="23"/>
  <c r="T14" i="23"/>
  <c r="R362" i="25"/>
  <c r="S360" i="25"/>
  <c r="Q275" i="25"/>
  <c r="Q276" i="25" s="1"/>
  <c r="T14" i="24"/>
  <c r="U13" i="24"/>
  <c r="V183" i="23"/>
  <c r="U189" i="23"/>
  <c r="T292" i="24"/>
  <c r="R239" i="25"/>
  <c r="S243" i="25"/>
  <c r="S335" i="24"/>
  <c r="R337" i="24"/>
  <c r="R36" i="24" s="1"/>
  <c r="V17" i="24"/>
  <c r="V20" i="24"/>
  <c r="W16" i="24"/>
  <c r="R493" i="24"/>
  <c r="S358" i="24"/>
  <c r="R359" i="24"/>
  <c r="R265" i="25"/>
  <c r="R266" i="25"/>
  <c r="S264" i="25"/>
  <c r="S323" i="25" s="1"/>
  <c r="S285" i="25"/>
  <c r="Q208" i="24"/>
  <c r="T274" i="24"/>
  <c r="S306" i="24"/>
  <c r="T305" i="24"/>
  <c r="Q496" i="23"/>
  <c r="Q363" i="25"/>
  <c r="R90" i="23"/>
  <c r="S155" i="23"/>
  <c r="Q353" i="25"/>
  <c r="Q63" i="25" s="1"/>
  <c r="S195" i="25"/>
  <c r="S94" i="25"/>
  <c r="T196" i="25"/>
  <c r="T197" i="25" s="1"/>
  <c r="T200" i="25" s="1"/>
  <c r="Q240" i="25"/>
  <c r="Q36" i="24"/>
  <c r="Q113" i="24"/>
  <c r="S285" i="24"/>
  <c r="T138" i="23"/>
  <c r="R429" i="25"/>
  <c r="R102" i="25" s="1"/>
  <c r="S428" i="25"/>
  <c r="S220" i="25"/>
  <c r="S115" i="25" s="1"/>
  <c r="S121" i="25" s="1"/>
  <c r="R429" i="24"/>
  <c r="R102" i="24" s="1"/>
  <c r="S428" i="24"/>
  <c r="S220" i="24"/>
  <c r="S115" i="24" s="1"/>
  <c r="S121" i="24" s="1"/>
  <c r="T301" i="24"/>
  <c r="S302" i="24"/>
  <c r="S360" i="23"/>
  <c r="R267" i="24"/>
  <c r="U291" i="23"/>
  <c r="U293" i="23" s="1"/>
  <c r="U294" i="23" s="1"/>
  <c r="U327" i="23" s="1"/>
  <c r="R493" i="25"/>
  <c r="S358" i="25"/>
  <c r="R359" i="25"/>
  <c r="R239" i="24"/>
  <c r="Q240" i="24"/>
  <c r="R80" i="25"/>
  <c r="R79" i="25" s="1"/>
  <c r="S395" i="25"/>
  <c r="R397" i="25"/>
  <c r="R103" i="25" s="1"/>
  <c r="T136" i="24"/>
  <c r="Q347" i="23"/>
  <c r="Q74" i="23"/>
  <c r="V17" i="25"/>
  <c r="V135" i="25" s="1"/>
  <c r="V20" i="25"/>
  <c r="W16" i="25"/>
  <c r="T539" i="23"/>
  <c r="S540" i="23"/>
  <c r="Q324" i="25"/>
  <c r="Q223" i="25" s="1"/>
  <c r="S243" i="23"/>
  <c r="S195" i="23"/>
  <c r="S94" i="23"/>
  <c r="S315" i="24"/>
  <c r="S316" i="24" s="1"/>
  <c r="T314" i="24"/>
  <c r="T136" i="23"/>
  <c r="S283" i="25"/>
  <c r="T138" i="25"/>
  <c r="S298" i="25"/>
  <c r="T297" i="25"/>
  <c r="T291" i="25"/>
  <c r="U192" i="25"/>
  <c r="Q268" i="24"/>
  <c r="T305" i="25"/>
  <c r="U13" i="25"/>
  <c r="T14" i="25"/>
  <c r="S395" i="23"/>
  <c r="R397" i="23"/>
  <c r="R103" i="23" s="1"/>
  <c r="Q496" i="25"/>
  <c r="S243" i="24"/>
  <c r="R141" i="25"/>
  <c r="R142" i="25" s="1"/>
  <c r="R34" i="25"/>
  <c r="S345" i="23"/>
  <c r="R495" i="23"/>
  <c r="R346" i="23"/>
  <c r="Q347" i="25"/>
  <c r="Q74" i="25"/>
  <c r="R478" i="24"/>
  <c r="S293" i="25"/>
  <c r="S294" i="25" s="1"/>
  <c r="S327" i="25" s="1"/>
  <c r="T292" i="25"/>
  <c r="R267" i="25"/>
  <c r="Q240" i="23"/>
  <c r="R239" i="23"/>
  <c r="R511" i="24"/>
  <c r="R512" i="24" s="1"/>
  <c r="S340" i="24"/>
  <c r="R341" i="24"/>
  <c r="R485" i="24"/>
  <c r="R488" i="24" s="1"/>
  <c r="S336" i="23"/>
  <c r="R284" i="25"/>
  <c r="R286" i="25"/>
  <c r="S361" i="23"/>
  <c r="R478" i="25"/>
  <c r="S335" i="23"/>
  <c r="R337" i="23"/>
  <c r="R36" i="23" s="1"/>
  <c r="Q79" i="23"/>
  <c r="R80" i="23"/>
  <c r="R511" i="25"/>
  <c r="R512" i="25" s="1"/>
  <c r="S340" i="25"/>
  <c r="R341" i="25"/>
  <c r="R485" i="25"/>
  <c r="R488" i="25" s="1"/>
  <c r="V11" i="25"/>
  <c r="U12" i="25"/>
  <c r="T191" i="25"/>
  <c r="T194" i="25" s="1"/>
  <c r="Q443" i="24"/>
  <c r="Q47" i="24"/>
  <c r="Q351" i="24"/>
  <c r="Q273" i="24"/>
  <c r="R495" i="25"/>
  <c r="S345" i="25"/>
  <c r="R346" i="25"/>
  <c r="Q347" i="24"/>
  <c r="Q74" i="24"/>
  <c r="Q104" i="24"/>
  <c r="Q37" i="24"/>
  <c r="Q47" i="23"/>
  <c r="Q273" i="23"/>
  <c r="Q443" i="23"/>
  <c r="Q351" i="23"/>
  <c r="Q371" i="23"/>
  <c r="Q372" i="23" s="1"/>
  <c r="T309" i="24"/>
  <c r="S310" i="24"/>
  <c r="S285" i="23"/>
  <c r="S540" i="24"/>
  <c r="T539" i="24"/>
  <c r="S306" i="25"/>
  <c r="R266" i="24"/>
  <c r="R265" i="24"/>
  <c r="S264" i="24"/>
  <c r="R478" i="23"/>
  <c r="Q501" i="25"/>
  <c r="S360" i="24"/>
  <c r="R286" i="24"/>
  <c r="R284" i="24"/>
  <c r="S283" i="24"/>
  <c r="T137" i="23"/>
  <c r="V183" i="25"/>
  <c r="U189" i="25"/>
  <c r="R341" i="23"/>
  <c r="R511" i="23"/>
  <c r="R512" i="23" s="1"/>
  <c r="S340" i="23"/>
  <c r="R485" i="23"/>
  <c r="R488" i="23" s="1"/>
  <c r="T138" i="24"/>
  <c r="R495" i="24"/>
  <c r="S345" i="24"/>
  <c r="R346" i="24"/>
  <c r="S428" i="23"/>
  <c r="S220" i="23"/>
  <c r="S115" i="23" s="1"/>
  <c r="S121" i="23" s="1"/>
  <c r="R429" i="23"/>
  <c r="R102" i="23" s="1"/>
  <c r="S335" i="25"/>
  <c r="R337" i="25"/>
  <c r="R36" i="25" s="1"/>
  <c r="Q268" i="25"/>
  <c r="S293" i="24"/>
  <c r="S294" i="24" s="1"/>
  <c r="S327" i="24" s="1"/>
  <c r="R284" i="23"/>
  <c r="S283" i="23"/>
  <c r="R286" i="23"/>
  <c r="S367" i="23"/>
  <c r="R368" i="23"/>
  <c r="T196" i="24"/>
  <c r="T197" i="24" s="1"/>
  <c r="T200" i="24" s="1"/>
  <c r="S315" i="25"/>
  <c r="S316" i="25" s="1"/>
  <c r="T314" i="25"/>
  <c r="T191" i="24"/>
  <c r="T194" i="24" s="1"/>
  <c r="Q372" i="24"/>
  <c r="S280" i="25"/>
  <c r="T279" i="25"/>
  <c r="T136" i="25"/>
  <c r="Q37" i="25"/>
  <c r="Q104" i="25"/>
  <c r="S298" i="24"/>
  <c r="T297" i="24"/>
  <c r="R141" i="23"/>
  <c r="R142" i="23" s="1"/>
  <c r="R47" i="23" s="1"/>
  <c r="V11" i="24"/>
  <c r="U12" i="24"/>
  <c r="Q36" i="25"/>
  <c r="Q113" i="25"/>
  <c r="Q79" i="24"/>
  <c r="R80" i="24"/>
  <c r="R90" i="25"/>
  <c r="S155" i="25"/>
  <c r="S540" i="25"/>
  <c r="T539" i="25"/>
  <c r="S302" i="25"/>
  <c r="T301" i="25"/>
  <c r="S310" i="25"/>
  <c r="T309" i="25"/>
  <c r="V183" i="24"/>
  <c r="U189" i="24"/>
  <c r="S367" i="24"/>
  <c r="R368" i="24"/>
  <c r="S197" i="24"/>
  <c r="S200" i="24" s="1"/>
  <c r="Q371" i="25"/>
  <c r="Q372" i="25" s="1"/>
  <c r="V11" i="23"/>
  <c r="U12" i="23"/>
  <c r="Q113" i="23"/>
  <c r="Q37" i="23"/>
  <c r="Q104" i="23"/>
  <c r="Q445" i="25"/>
  <c r="Q474" i="25"/>
  <c r="T197" i="23"/>
  <c r="T200" i="23" s="1"/>
  <c r="T191" i="23"/>
  <c r="T194" i="23" s="1"/>
  <c r="S395" i="24"/>
  <c r="R397" i="24"/>
  <c r="R103" i="24" s="1"/>
  <c r="Q496" i="24"/>
  <c r="R141" i="24"/>
  <c r="R142" i="24" s="1"/>
  <c r="R47" i="24" s="1"/>
  <c r="R34" i="24"/>
  <c r="V17" i="23"/>
  <c r="V192" i="23" s="1"/>
  <c r="V20" i="23"/>
  <c r="W16" i="23"/>
  <c r="S358" i="23"/>
  <c r="R493" i="23"/>
  <c r="R359" i="23"/>
  <c r="S94" i="24"/>
  <c r="S195" i="24"/>
  <c r="S280" i="24"/>
  <c r="T279" i="24"/>
  <c r="S369" i="25"/>
  <c r="S367" i="25"/>
  <c r="R368" i="25"/>
  <c r="T137" i="24"/>
  <c r="O53" i="17"/>
  <c r="O50" i="17"/>
  <c r="O49" i="17"/>
  <c r="O52" i="17" s="1"/>
  <c r="O46" i="17"/>
  <c r="O39" i="17"/>
  <c r="O130" i="17" s="1"/>
  <c r="O41" i="17"/>
  <c r="O78" i="17"/>
  <c r="O81" i="17" s="1"/>
  <c r="O82" i="17" s="1"/>
  <c r="O83" i="17" s="1"/>
  <c r="O85" i="17"/>
  <c r="O64" i="17"/>
  <c r="O65" i="17" s="1"/>
  <c r="O66" i="17" s="1"/>
  <c r="O60" i="17"/>
  <c r="O61" i="17"/>
  <c r="AA10" i="8"/>
  <c r="P480" i="17"/>
  <c r="P482" i="17" s="1"/>
  <c r="P489" i="17" s="1"/>
  <c r="P230" i="17"/>
  <c r="P96" i="17"/>
  <c r="P98" i="17" s="1"/>
  <c r="P99" i="17" s="1"/>
  <c r="R267" i="17"/>
  <c r="S267" i="17" s="1"/>
  <c r="Q274" i="17"/>
  <c r="Z391" i="17"/>
  <c r="Z394" i="17" s="1"/>
  <c r="Z73" i="17"/>
  <c r="Z442" i="17" s="1"/>
  <c r="W186" i="17"/>
  <c r="X186" i="17" s="1"/>
  <c r="V259" i="16"/>
  <c r="W177" i="17"/>
  <c r="X177" i="17" s="1"/>
  <c r="W44" i="16"/>
  <c r="X44" i="16" s="1"/>
  <c r="Q501" i="16"/>
  <c r="R341" i="16"/>
  <c r="R37" i="16" s="1"/>
  <c r="Q37" i="16"/>
  <c r="W188" i="16"/>
  <c r="X188" i="16" s="1"/>
  <c r="W44" i="17"/>
  <c r="X44" i="17" s="1"/>
  <c r="T264" i="16"/>
  <c r="T323" i="16" s="1"/>
  <c r="W186" i="16"/>
  <c r="X186" i="16" s="1"/>
  <c r="U92" i="16"/>
  <c r="W188" i="17"/>
  <c r="X188" i="17" s="1"/>
  <c r="W154" i="17"/>
  <c r="X154" i="17" s="1"/>
  <c r="W139" i="16"/>
  <c r="X139" i="16" s="1"/>
  <c r="W187" i="17"/>
  <c r="X187" i="17" s="1"/>
  <c r="R268" i="16"/>
  <c r="V476" i="17"/>
  <c r="S267" i="16"/>
  <c r="V89" i="17"/>
  <c r="V475" i="17"/>
  <c r="W146" i="17"/>
  <c r="V147" i="17"/>
  <c r="V150" i="17" s="1"/>
  <c r="V170" i="17"/>
  <c r="V173" i="17" s="1"/>
  <c r="V92" i="17" s="1"/>
  <c r="W169" i="17"/>
  <c r="X537" i="16"/>
  <c r="X262" i="16"/>
  <c r="X530" i="17"/>
  <c r="X256" i="17" s="1"/>
  <c r="W258" i="16"/>
  <c r="Y536" i="16"/>
  <c r="Z536" i="16" s="1"/>
  <c r="X256" i="16"/>
  <c r="V259" i="17"/>
  <c r="W257" i="17"/>
  <c r="W257" i="16"/>
  <c r="X530" i="16"/>
  <c r="W154" i="16"/>
  <c r="V476" i="16"/>
  <c r="W258" i="17"/>
  <c r="V475" i="16"/>
  <c r="V89" i="16"/>
  <c r="W146" i="16"/>
  <c r="V147" i="16"/>
  <c r="V150" i="16" s="1"/>
  <c r="W177" i="16"/>
  <c r="V178" i="16"/>
  <c r="V179" i="16" s="1"/>
  <c r="W139" i="17"/>
  <c r="X139" i="17" s="1"/>
  <c r="W169" i="16"/>
  <c r="V170" i="16"/>
  <c r="V173" i="16" s="1"/>
  <c r="W187" i="16"/>
  <c r="X187" i="16" s="1"/>
  <c r="X262" i="17"/>
  <c r="X537" i="17"/>
  <c r="S266" i="16"/>
  <c r="S323" i="16"/>
  <c r="Y535" i="16"/>
  <c r="Z535" i="16" s="1"/>
  <c r="AJ5" i="5"/>
  <c r="Y21" i="16"/>
  <c r="Y21" i="17"/>
  <c r="Y182" i="16"/>
  <c r="Z182" i="16" s="1"/>
  <c r="Y182" i="17"/>
  <c r="Z182" i="17" s="1"/>
  <c r="Y536" i="17"/>
  <c r="Z536" i="17" s="1"/>
  <c r="Y529" i="16"/>
  <c r="Z529" i="16" s="1"/>
  <c r="Y526" i="16"/>
  <c r="Z526" i="16" s="1"/>
  <c r="Y528" i="16"/>
  <c r="Z528" i="16" s="1"/>
  <c r="Y525" i="16"/>
  <c r="Z525" i="16" s="1"/>
  <c r="Y527" i="16"/>
  <c r="Z527" i="16" s="1"/>
  <c r="Y529" i="17"/>
  <c r="Z529" i="17" s="1"/>
  <c r="Y528" i="17"/>
  <c r="Z528" i="17" s="1"/>
  <c r="Y525" i="17"/>
  <c r="Z525" i="17" s="1"/>
  <c r="Y527" i="17"/>
  <c r="Z527" i="17" s="1"/>
  <c r="Y526" i="17"/>
  <c r="Z526" i="17" s="1"/>
  <c r="Y185" i="17"/>
  <c r="Z185" i="17" s="1"/>
  <c r="Y184" i="17"/>
  <c r="Z184" i="17" s="1"/>
  <c r="Y185" i="16"/>
  <c r="Z185" i="16" s="1"/>
  <c r="Y184" i="16"/>
  <c r="Z184" i="16" s="1"/>
  <c r="Y535" i="17"/>
  <c r="Z535" i="17" s="1"/>
  <c r="Y533" i="16"/>
  <c r="Z533" i="16" s="1"/>
  <c r="Y533" i="17"/>
  <c r="Z533" i="17" s="1"/>
  <c r="Y190" i="16"/>
  <c r="Z190" i="16" s="1"/>
  <c r="Y190" i="17"/>
  <c r="Z190" i="17" s="1"/>
  <c r="Y534" i="16"/>
  <c r="Z534" i="16" s="1"/>
  <c r="Y534" i="17"/>
  <c r="Z534" i="17" s="1"/>
  <c r="R102" i="16"/>
  <c r="Y18" i="16"/>
  <c r="Y18" i="17"/>
  <c r="S220" i="16"/>
  <c r="S115" i="16" s="1"/>
  <c r="S121" i="16" s="1"/>
  <c r="Q363" i="16"/>
  <c r="Q101" i="16" s="1"/>
  <c r="Q106" i="16" s="1"/>
  <c r="S243" i="16"/>
  <c r="T243" i="16" s="1"/>
  <c r="Q496" i="16"/>
  <c r="R371" i="16"/>
  <c r="R372" i="16" s="1"/>
  <c r="S155" i="16"/>
  <c r="S90" i="16" s="1"/>
  <c r="R34" i="16"/>
  <c r="S283" i="16"/>
  <c r="S286" i="16" s="1"/>
  <c r="R284" i="16"/>
  <c r="R287" i="16" s="1"/>
  <c r="Y350" i="17"/>
  <c r="Y344" i="17" s="1"/>
  <c r="X344" i="17"/>
  <c r="X357" i="17"/>
  <c r="X366" i="17"/>
  <c r="W76" i="17"/>
  <c r="U309" i="16"/>
  <c r="T310" i="16"/>
  <c r="U279" i="16"/>
  <c r="T280" i="16"/>
  <c r="U196" i="16"/>
  <c r="U292" i="16"/>
  <c r="T293" i="16"/>
  <c r="T294" i="16" s="1"/>
  <c r="T327" i="16" s="1"/>
  <c r="U274" i="16"/>
  <c r="U305" i="16"/>
  <c r="T306" i="16"/>
  <c r="U297" i="16"/>
  <c r="T298" i="16"/>
  <c r="U301" i="16"/>
  <c r="T302" i="16"/>
  <c r="U314" i="16"/>
  <c r="T315" i="16"/>
  <c r="T316" i="16" s="1"/>
  <c r="N7" i="17"/>
  <c r="N8" i="17" s="1"/>
  <c r="T292" i="17"/>
  <c r="T305" i="17"/>
  <c r="T279" i="17"/>
  <c r="T314" i="17"/>
  <c r="T309" i="17"/>
  <c r="T297" i="17"/>
  <c r="T196" i="17"/>
  <c r="T197" i="17" s="1"/>
  <c r="T200" i="17" s="1"/>
  <c r="T301" i="17"/>
  <c r="U137" i="16"/>
  <c r="S266" i="17"/>
  <c r="S265" i="17"/>
  <c r="S310" i="17"/>
  <c r="S315" i="17"/>
  <c r="S316" i="17" s="1"/>
  <c r="S306" i="17"/>
  <c r="S298" i="17"/>
  <c r="S302" i="17"/>
  <c r="S293" i="17"/>
  <c r="S294" i="17" s="1"/>
  <c r="S327" i="17" s="1"/>
  <c r="S280" i="17"/>
  <c r="S285" i="17"/>
  <c r="R34" i="17"/>
  <c r="S360" i="17"/>
  <c r="S243" i="17"/>
  <c r="T137" i="17"/>
  <c r="R141" i="17"/>
  <c r="R142" i="17" s="1"/>
  <c r="R47" i="17" s="1"/>
  <c r="S345" i="17"/>
  <c r="S346" i="17" s="1"/>
  <c r="R495" i="17"/>
  <c r="R362" i="17"/>
  <c r="Q287" i="17"/>
  <c r="S140" i="17"/>
  <c r="S367" i="17"/>
  <c r="R368" i="17"/>
  <c r="R80" i="17"/>
  <c r="Q363" i="17"/>
  <c r="T191" i="17"/>
  <c r="T194" i="17" s="1"/>
  <c r="Q501" i="17"/>
  <c r="Q240" i="17"/>
  <c r="Q241" i="17" s="1"/>
  <c r="R239" i="17"/>
  <c r="S283" i="17"/>
  <c r="R286" i="17"/>
  <c r="R284" i="17"/>
  <c r="Q351" i="17"/>
  <c r="V183" i="17"/>
  <c r="U189" i="17"/>
  <c r="S335" i="17"/>
  <c r="R337" i="17"/>
  <c r="R36" i="17" s="1"/>
  <c r="S395" i="17"/>
  <c r="R397" i="17"/>
  <c r="R103" i="17" s="1"/>
  <c r="R478" i="17"/>
  <c r="Q104" i="17"/>
  <c r="Q37" i="17"/>
  <c r="Q371" i="17"/>
  <c r="Q372" i="17" s="1"/>
  <c r="S336" i="17"/>
  <c r="S358" i="17"/>
  <c r="R493" i="17"/>
  <c r="R359" i="17"/>
  <c r="S195" i="17"/>
  <c r="S94" i="17"/>
  <c r="S369" i="17"/>
  <c r="R341" i="17"/>
  <c r="R511" i="17"/>
  <c r="R512" i="17" s="1"/>
  <c r="S340" i="17"/>
  <c r="R485" i="17"/>
  <c r="R488" i="17" s="1"/>
  <c r="Q74" i="17"/>
  <c r="R429" i="17"/>
  <c r="R102" i="17" s="1"/>
  <c r="S220" i="17"/>
  <c r="S115" i="17" s="1"/>
  <c r="S121" i="17" s="1"/>
  <c r="S428" i="17"/>
  <c r="T14" i="17"/>
  <c r="U13" i="17"/>
  <c r="S370" i="17"/>
  <c r="T138" i="17"/>
  <c r="T539" i="17"/>
  <c r="T264" i="17" s="1"/>
  <c r="S540" i="17"/>
  <c r="W16" i="17"/>
  <c r="V17" i="17"/>
  <c r="V192" i="17" s="1"/>
  <c r="V20" i="17"/>
  <c r="Q443" i="17"/>
  <c r="Q79" i="17"/>
  <c r="S155" i="17"/>
  <c r="R90" i="17"/>
  <c r="U12" i="17"/>
  <c r="V11" i="17"/>
  <c r="S361" i="17"/>
  <c r="Q273" i="17"/>
  <c r="Q347" i="17"/>
  <c r="R347" i="17" s="1"/>
  <c r="T136" i="17"/>
  <c r="S362" i="16"/>
  <c r="T140" i="16"/>
  <c r="T369" i="16"/>
  <c r="T370" i="16"/>
  <c r="R79" i="16"/>
  <c r="R363" i="16"/>
  <c r="T361" i="16"/>
  <c r="R496" i="16"/>
  <c r="W20" i="16"/>
  <c r="W17" i="16"/>
  <c r="W192" i="16" s="1"/>
  <c r="W291" i="16" s="1"/>
  <c r="V12" i="16"/>
  <c r="W11" i="16"/>
  <c r="T358" i="16"/>
  <c r="S359" i="16"/>
  <c r="T395" i="16"/>
  <c r="S397" i="16"/>
  <c r="S103" i="16" s="1"/>
  <c r="Q445" i="16"/>
  <c r="R443" i="16"/>
  <c r="Q474" i="16"/>
  <c r="Q353" i="16"/>
  <c r="R351" i="16"/>
  <c r="R347" i="16"/>
  <c r="R74" i="16"/>
  <c r="T94" i="16"/>
  <c r="T195" i="16"/>
  <c r="T336" i="16"/>
  <c r="S478" i="16"/>
  <c r="S495" i="16"/>
  <c r="T345" i="16"/>
  <c r="S346" i="16"/>
  <c r="T540" i="16"/>
  <c r="U539" i="16"/>
  <c r="R240" i="16"/>
  <c r="R241" i="16" s="1"/>
  <c r="T360" i="16"/>
  <c r="Q324" i="16"/>
  <c r="R273" i="16"/>
  <c r="Q275" i="16"/>
  <c r="Q276" i="16" s="1"/>
  <c r="S429" i="16"/>
  <c r="T428" i="16"/>
  <c r="U191" i="16"/>
  <c r="U194" i="16" s="1"/>
  <c r="S511" i="16"/>
  <c r="S512" i="16" s="1"/>
  <c r="S485" i="16"/>
  <c r="S488" i="16" s="1"/>
  <c r="T340" i="16"/>
  <c r="S337" i="16"/>
  <c r="S36" i="16" s="1"/>
  <c r="T335" i="16"/>
  <c r="Q210" i="16"/>
  <c r="Q225" i="16"/>
  <c r="S80" i="16"/>
  <c r="U138" i="16"/>
  <c r="U14" i="16"/>
  <c r="V13" i="16"/>
  <c r="W183" i="16"/>
  <c r="V189" i="16"/>
  <c r="T367" i="16"/>
  <c r="S368" i="16"/>
  <c r="U136" i="16"/>
  <c r="R501" i="16"/>
  <c r="Q208" i="16"/>
  <c r="P5" i="6"/>
  <c r="P6" i="6"/>
  <c r="Q76" i="6"/>
  <c r="R10" i="6"/>
  <c r="S10" i="6" s="1"/>
  <c r="Q4" i="6"/>
  <c r="X16" i="16" s="1"/>
  <c r="Q146" i="6"/>
  <c r="R80" i="6"/>
  <c r="V134" i="25" l="1"/>
  <c r="V135" i="17"/>
  <c r="V135" i="24"/>
  <c r="W135" i="16"/>
  <c r="W134" i="16"/>
  <c r="V135" i="23"/>
  <c r="V134" i="23"/>
  <c r="T360" i="23"/>
  <c r="U138" i="23"/>
  <c r="V192" i="24"/>
  <c r="V291" i="24" s="1"/>
  <c r="Q101" i="23"/>
  <c r="Q106" i="23" s="1"/>
  <c r="Q101" i="24"/>
  <c r="Q106" i="24" s="1"/>
  <c r="T336" i="25"/>
  <c r="S34" i="23"/>
  <c r="R501" i="25"/>
  <c r="U274" i="25"/>
  <c r="S34" i="25"/>
  <c r="S34" i="24"/>
  <c r="U138" i="24"/>
  <c r="R363" i="24"/>
  <c r="T369" i="25"/>
  <c r="S80" i="23"/>
  <c r="S362" i="23"/>
  <c r="T285" i="23"/>
  <c r="T361" i="23"/>
  <c r="T243" i="23"/>
  <c r="T336" i="23"/>
  <c r="U137" i="25"/>
  <c r="R501" i="24"/>
  <c r="T361" i="24"/>
  <c r="R363" i="23"/>
  <c r="T243" i="24"/>
  <c r="R363" i="25"/>
  <c r="U136" i="25"/>
  <c r="T370" i="23"/>
  <c r="R496" i="23"/>
  <c r="T370" i="24"/>
  <c r="U137" i="23"/>
  <c r="U136" i="23"/>
  <c r="R268" i="24"/>
  <c r="U292" i="25"/>
  <c r="R79" i="24"/>
  <c r="R287" i="24"/>
  <c r="S141" i="24"/>
  <c r="S142" i="24" s="1"/>
  <c r="S47" i="24" s="1"/>
  <c r="R287" i="23"/>
  <c r="T285" i="24"/>
  <c r="T369" i="24"/>
  <c r="U136" i="24"/>
  <c r="T336" i="24"/>
  <c r="Q101" i="25"/>
  <c r="Q106" i="25" s="1"/>
  <c r="T360" i="24"/>
  <c r="U137" i="24"/>
  <c r="R79" i="23"/>
  <c r="R287" i="25"/>
  <c r="U274" i="24"/>
  <c r="T140" i="23"/>
  <c r="V291" i="23"/>
  <c r="V293" i="23" s="1"/>
  <c r="V294" i="23" s="1"/>
  <c r="V327" i="23" s="1"/>
  <c r="T395" i="24"/>
  <c r="S397" i="24"/>
  <c r="S103" i="24" s="1"/>
  <c r="T298" i="24"/>
  <c r="U297" i="24"/>
  <c r="R371" i="24"/>
  <c r="R372" i="24" s="1"/>
  <c r="T367" i="23"/>
  <c r="S368" i="23"/>
  <c r="T540" i="24"/>
  <c r="U539" i="24"/>
  <c r="Q353" i="23"/>
  <c r="R351" i="23"/>
  <c r="R37" i="24"/>
  <c r="R104" i="24"/>
  <c r="R443" i="25"/>
  <c r="R47" i="25"/>
  <c r="U14" i="25"/>
  <c r="V13" i="25"/>
  <c r="S80" i="25"/>
  <c r="S79" i="25" s="1"/>
  <c r="T395" i="25"/>
  <c r="S397" i="25"/>
  <c r="S103" i="25" s="1"/>
  <c r="R496" i="25"/>
  <c r="R496" i="24"/>
  <c r="T335" i="24"/>
  <c r="S337" i="24"/>
  <c r="S36" i="24" s="1"/>
  <c r="U14" i="24"/>
  <c r="V13" i="24"/>
  <c r="S90" i="24"/>
  <c r="T155" i="24"/>
  <c r="S478" i="24"/>
  <c r="T195" i="23"/>
  <c r="T94" i="23"/>
  <c r="T367" i="24"/>
  <c r="S368" i="24"/>
  <c r="U539" i="25"/>
  <c r="T540" i="25"/>
  <c r="T335" i="25"/>
  <c r="S337" i="25"/>
  <c r="S36" i="25" s="1"/>
  <c r="Q474" i="23"/>
  <c r="Q445" i="23"/>
  <c r="R443" i="23"/>
  <c r="V12" i="25"/>
  <c r="W11" i="25"/>
  <c r="S485" i="24"/>
  <c r="S488" i="24" s="1"/>
  <c r="S341" i="24"/>
  <c r="S511" i="24"/>
  <c r="S512" i="24" s="1"/>
  <c r="T340" i="24"/>
  <c r="T306" i="25"/>
  <c r="U305" i="25"/>
  <c r="T283" i="25"/>
  <c r="U138" i="25"/>
  <c r="Q479" i="25"/>
  <c r="Q480" i="25" s="1"/>
  <c r="Q230" i="25" s="1"/>
  <c r="Q48" i="25" s="1"/>
  <c r="U301" i="24"/>
  <c r="T302" i="24"/>
  <c r="S90" i="23"/>
  <c r="T155" i="23"/>
  <c r="T361" i="25"/>
  <c r="S239" i="25"/>
  <c r="T243" i="25"/>
  <c r="W11" i="23"/>
  <c r="V12" i="23"/>
  <c r="U191" i="24"/>
  <c r="U194" i="24" s="1"/>
  <c r="T195" i="24"/>
  <c r="T94" i="24"/>
  <c r="R501" i="23"/>
  <c r="T283" i="24"/>
  <c r="S284" i="24"/>
  <c r="S286" i="24"/>
  <c r="Q324" i="23"/>
  <c r="Q275" i="23"/>
  <c r="Q276" i="23" s="1"/>
  <c r="Q326" i="23" s="1"/>
  <c r="R273" i="23"/>
  <c r="R273" i="24"/>
  <c r="Q275" i="24"/>
  <c r="Q276" i="24" s="1"/>
  <c r="Q326" i="24" s="1"/>
  <c r="Q324" i="24"/>
  <c r="Q223" i="24" s="1"/>
  <c r="S362" i="24"/>
  <c r="S141" i="23"/>
  <c r="S142" i="23" s="1"/>
  <c r="S47" i="23" s="1"/>
  <c r="S284" i="25"/>
  <c r="S286" i="25"/>
  <c r="T370" i="25"/>
  <c r="T285" i="25"/>
  <c r="R240" i="25"/>
  <c r="R273" i="25"/>
  <c r="W183" i="24"/>
  <c r="V189" i="24"/>
  <c r="T283" i="23"/>
  <c r="S284" i="23"/>
  <c r="S286" i="23"/>
  <c r="S511" i="23"/>
  <c r="S512" i="23" s="1"/>
  <c r="S341" i="23"/>
  <c r="T340" i="23"/>
  <c r="S485" i="23"/>
  <c r="S488" i="23" s="1"/>
  <c r="R351" i="24"/>
  <c r="Q353" i="24"/>
  <c r="R347" i="23"/>
  <c r="R74" i="23"/>
  <c r="T540" i="23"/>
  <c r="U539" i="23"/>
  <c r="T428" i="24"/>
  <c r="T220" i="24"/>
  <c r="T115" i="24" s="1"/>
  <c r="T121" i="24" s="1"/>
  <c r="S429" i="24"/>
  <c r="S102" i="24" s="1"/>
  <c r="U196" i="25"/>
  <c r="U197" i="25" s="1"/>
  <c r="U200" i="25" s="1"/>
  <c r="S267" i="25"/>
  <c r="S265" i="25"/>
  <c r="S266" i="25"/>
  <c r="T264" i="25"/>
  <c r="T293" i="24"/>
  <c r="T294" i="24" s="1"/>
  <c r="T327" i="24" s="1"/>
  <c r="U292" i="24"/>
  <c r="Q326" i="25"/>
  <c r="T140" i="24"/>
  <c r="Q88" i="25"/>
  <c r="Q93" i="25" s="1"/>
  <c r="T310" i="25"/>
  <c r="U309" i="25"/>
  <c r="V12" i="24"/>
  <c r="W11" i="24"/>
  <c r="U314" i="25"/>
  <c r="T315" i="25"/>
  <c r="T316" i="25" s="1"/>
  <c r="T428" i="23"/>
  <c r="T220" i="23"/>
  <c r="T115" i="23" s="1"/>
  <c r="T121" i="23" s="1"/>
  <c r="S429" i="23"/>
  <c r="S102" i="23" s="1"/>
  <c r="S323" i="24"/>
  <c r="T264" i="24"/>
  <c r="T323" i="24" s="1"/>
  <c r="S266" i="24"/>
  <c r="S265" i="24"/>
  <c r="R37" i="25"/>
  <c r="R104" i="25"/>
  <c r="S337" i="23"/>
  <c r="S36" i="23" s="1"/>
  <c r="T335" i="23"/>
  <c r="T395" i="23"/>
  <c r="S397" i="23"/>
  <c r="S103" i="23" s="1"/>
  <c r="T315" i="24"/>
  <c r="T316" i="24" s="1"/>
  <c r="U314" i="24"/>
  <c r="Q241" i="24"/>
  <c r="Q225" i="24"/>
  <c r="Q210" i="24"/>
  <c r="W17" i="24"/>
  <c r="W134" i="24" s="1"/>
  <c r="X16" i="24"/>
  <c r="W20" i="24"/>
  <c r="R208" i="25"/>
  <c r="S362" i="25"/>
  <c r="T360" i="25"/>
  <c r="S141" i="25"/>
  <c r="S142" i="25" s="1"/>
  <c r="S47" i="25" s="1"/>
  <c r="T367" i="25"/>
  <c r="S368" i="25"/>
  <c r="S493" i="23"/>
  <c r="T358" i="23"/>
  <c r="S359" i="23"/>
  <c r="Q518" i="25"/>
  <c r="Q446" i="25"/>
  <c r="Q127" i="25" s="1"/>
  <c r="S90" i="25"/>
  <c r="T155" i="25"/>
  <c r="R347" i="24"/>
  <c r="R74" i="24"/>
  <c r="R37" i="23"/>
  <c r="R104" i="23"/>
  <c r="U309" i="24"/>
  <c r="T310" i="24"/>
  <c r="Q474" i="24"/>
  <c r="R443" i="24"/>
  <c r="Q445" i="24"/>
  <c r="S511" i="25"/>
  <c r="S512" i="25" s="1"/>
  <c r="T340" i="25"/>
  <c r="S485" i="25"/>
  <c r="S488" i="25" s="1"/>
  <c r="S341" i="25"/>
  <c r="R240" i="23"/>
  <c r="S239" i="23"/>
  <c r="S495" i="23"/>
  <c r="T345" i="23"/>
  <c r="S346" i="23"/>
  <c r="T140" i="25"/>
  <c r="V192" i="25"/>
  <c r="U291" i="25"/>
  <c r="R240" i="24"/>
  <c r="S239" i="24"/>
  <c r="S478" i="25"/>
  <c r="U305" i="24"/>
  <c r="T306" i="24"/>
  <c r="R268" i="25"/>
  <c r="U197" i="23"/>
  <c r="U200" i="23" s="1"/>
  <c r="U191" i="23"/>
  <c r="U194" i="23" s="1"/>
  <c r="T369" i="23"/>
  <c r="X16" i="23"/>
  <c r="W17" i="23"/>
  <c r="W192" i="23" s="1"/>
  <c r="W20" i="23"/>
  <c r="R371" i="25"/>
  <c r="T302" i="25"/>
  <c r="U301" i="25"/>
  <c r="T280" i="25"/>
  <c r="U279" i="25"/>
  <c r="U196" i="24"/>
  <c r="U197" i="24" s="1"/>
  <c r="U200" i="24" s="1"/>
  <c r="S495" i="24"/>
  <c r="T345" i="24"/>
  <c r="S346" i="24"/>
  <c r="U191" i="25"/>
  <c r="U194" i="25" s="1"/>
  <c r="R347" i="25"/>
  <c r="R74" i="25"/>
  <c r="T195" i="25"/>
  <c r="T94" i="25"/>
  <c r="Q241" i="23"/>
  <c r="Q210" i="23"/>
  <c r="Q225" i="23"/>
  <c r="T293" i="25"/>
  <c r="T294" i="25" s="1"/>
  <c r="T327" i="25" s="1"/>
  <c r="W17" i="25"/>
  <c r="W135" i="25" s="1"/>
  <c r="W20" i="25"/>
  <c r="X16" i="25"/>
  <c r="S267" i="24"/>
  <c r="S429" i="25"/>
  <c r="S102" i="25" s="1"/>
  <c r="T428" i="25"/>
  <c r="T220" i="25"/>
  <c r="T115" i="25" s="1"/>
  <c r="T121" i="25" s="1"/>
  <c r="R351" i="25"/>
  <c r="W183" i="23"/>
  <c r="V189" i="23"/>
  <c r="T280" i="24"/>
  <c r="U279" i="24"/>
  <c r="S80" i="24"/>
  <c r="W183" i="25"/>
  <c r="V189" i="25"/>
  <c r="R371" i="23"/>
  <c r="R372" i="23" s="1"/>
  <c r="S495" i="25"/>
  <c r="T345" i="25"/>
  <c r="S346" i="25"/>
  <c r="T298" i="25"/>
  <c r="U297" i="25"/>
  <c r="S478" i="23"/>
  <c r="S493" i="25"/>
  <c r="T358" i="25"/>
  <c r="S359" i="25"/>
  <c r="Q241" i="25"/>
  <c r="Q225" i="25"/>
  <c r="Q210" i="25"/>
  <c r="Q513" i="25"/>
  <c r="T358" i="24"/>
  <c r="S493" i="24"/>
  <c r="S359" i="24"/>
  <c r="V13" i="23"/>
  <c r="U14" i="23"/>
  <c r="P129" i="17"/>
  <c r="P48" i="17"/>
  <c r="P234" i="17"/>
  <c r="P35" i="17" s="1"/>
  <c r="O42" i="17"/>
  <c r="O45" i="17"/>
  <c r="P51" i="17"/>
  <c r="AA11" i="8"/>
  <c r="P108" i="17"/>
  <c r="P110" i="17" s="1"/>
  <c r="P111" i="17" s="1"/>
  <c r="P492" i="17"/>
  <c r="P497" i="17" s="1"/>
  <c r="R268" i="17"/>
  <c r="R274" i="17"/>
  <c r="Q323" i="17"/>
  <c r="Q208" i="17" s="1"/>
  <c r="Z537" i="17"/>
  <c r="Z262" i="17"/>
  <c r="Z350" i="17"/>
  <c r="Z530" i="17"/>
  <c r="W178" i="17"/>
  <c r="W179" i="17" s="1"/>
  <c r="Z530" i="16"/>
  <c r="Z537" i="16"/>
  <c r="Z262" i="16"/>
  <c r="Y22" i="17"/>
  <c r="Z21" i="17"/>
  <c r="Z22" i="17" s="1"/>
  <c r="Y19" i="17"/>
  <c r="Y188" i="17" s="1"/>
  <c r="Z18" i="17"/>
  <c r="Z19" i="17" s="1"/>
  <c r="Y19" i="16"/>
  <c r="Z18" i="16"/>
  <c r="Z19" i="16" s="1"/>
  <c r="Y22" i="16"/>
  <c r="Z21" i="16"/>
  <c r="Z22" i="16" s="1"/>
  <c r="S76" i="6"/>
  <c r="R146" i="6"/>
  <c r="S80" i="6"/>
  <c r="S146" i="6" s="1"/>
  <c r="R104" i="16"/>
  <c r="S341" i="16"/>
  <c r="S37" i="16" s="1"/>
  <c r="S239" i="16"/>
  <c r="T239" i="16" s="1"/>
  <c r="S371" i="16"/>
  <c r="S372" i="16" s="1"/>
  <c r="T265" i="16"/>
  <c r="U264" i="16"/>
  <c r="U265" i="16" s="1"/>
  <c r="T266" i="16"/>
  <c r="W476" i="17"/>
  <c r="T267" i="16"/>
  <c r="S268" i="16"/>
  <c r="S102" i="16"/>
  <c r="T220" i="16"/>
  <c r="T115" i="16" s="1"/>
  <c r="T121" i="16" s="1"/>
  <c r="V92" i="16"/>
  <c r="X146" i="16"/>
  <c r="Y146" i="16" s="1"/>
  <c r="Z146" i="16" s="1"/>
  <c r="W89" i="16"/>
  <c r="W475" i="16"/>
  <c r="W147" i="16"/>
  <c r="W150" i="16" s="1"/>
  <c r="Y256" i="16"/>
  <c r="Z256" i="16" s="1"/>
  <c r="Y530" i="17"/>
  <c r="Y256" i="17" s="1"/>
  <c r="Z256" i="17" s="1"/>
  <c r="X169" i="17"/>
  <c r="X170" i="17" s="1"/>
  <c r="X173" i="17" s="1"/>
  <c r="W170" i="17"/>
  <c r="W173" i="17" s="1"/>
  <c r="X257" i="16"/>
  <c r="W475" i="17"/>
  <c r="X146" i="17"/>
  <c r="Y146" i="17" s="1"/>
  <c r="W89" i="17"/>
  <c r="W147" i="17"/>
  <c r="W150" i="17" s="1"/>
  <c r="X258" i="17"/>
  <c r="W259" i="17"/>
  <c r="X177" i="16"/>
  <c r="X178" i="16" s="1"/>
  <c r="W178" i="16"/>
  <c r="W179" i="16" s="1"/>
  <c r="X257" i="17"/>
  <c r="X258" i="16"/>
  <c r="X154" i="16"/>
  <c r="Y154" i="16" s="1"/>
  <c r="Z154" i="16" s="1"/>
  <c r="W476" i="16"/>
  <c r="X169" i="16"/>
  <c r="X170" i="16" s="1"/>
  <c r="X173" i="16" s="1"/>
  <c r="W170" i="16"/>
  <c r="W173" i="16" s="1"/>
  <c r="W259" i="16"/>
  <c r="T155" i="16"/>
  <c r="U155" i="16" s="1"/>
  <c r="Y187" i="16"/>
  <c r="Z187" i="16" s="1"/>
  <c r="Y44" i="16"/>
  <c r="Z44" i="16" s="1"/>
  <c r="Y139" i="16"/>
  <c r="Z139" i="16" s="1"/>
  <c r="Y186" i="16"/>
  <c r="Z186" i="16" s="1"/>
  <c r="Y188" i="16"/>
  <c r="Z188" i="16" s="1"/>
  <c r="Y537" i="17"/>
  <c r="Y262" i="17"/>
  <c r="S34" i="16"/>
  <c r="Y187" i="17"/>
  <c r="Z187" i="17" s="1"/>
  <c r="Y139" i="17"/>
  <c r="Y186" i="17"/>
  <c r="Z186" i="17" s="1"/>
  <c r="Y537" i="16"/>
  <c r="Y262" i="16"/>
  <c r="Y530" i="16"/>
  <c r="T283" i="16"/>
  <c r="T286" i="16" s="1"/>
  <c r="S284" i="16"/>
  <c r="Y366" i="17"/>
  <c r="Y357" i="17"/>
  <c r="Y388" i="17"/>
  <c r="X76" i="17"/>
  <c r="V196" i="16"/>
  <c r="V197" i="16" s="1"/>
  <c r="V200" i="16" s="1"/>
  <c r="V297" i="16"/>
  <c r="U298" i="16"/>
  <c r="V314" i="16"/>
  <c r="U315" i="16"/>
  <c r="U316" i="16" s="1"/>
  <c r="V305" i="16"/>
  <c r="U306" i="16"/>
  <c r="V279" i="16"/>
  <c r="U280" i="16"/>
  <c r="V274" i="16"/>
  <c r="V301" i="16"/>
  <c r="U302" i="16"/>
  <c r="V309" i="16"/>
  <c r="U310" i="16"/>
  <c r="V292" i="16"/>
  <c r="U293" i="16"/>
  <c r="U294" i="16" s="1"/>
  <c r="U327" i="16" s="1"/>
  <c r="U197" i="16"/>
  <c r="U200" i="16" s="1"/>
  <c r="U196" i="17"/>
  <c r="U197" i="17" s="1"/>
  <c r="U200" i="17" s="1"/>
  <c r="U297" i="17"/>
  <c r="U309" i="17"/>
  <c r="U314" i="17"/>
  <c r="U279" i="17"/>
  <c r="U305" i="17"/>
  <c r="U301" i="17"/>
  <c r="U292" i="17"/>
  <c r="T266" i="17"/>
  <c r="T265" i="17"/>
  <c r="T310" i="17"/>
  <c r="T302" i="17"/>
  <c r="T280" i="17"/>
  <c r="T298" i="17"/>
  <c r="T267" i="17"/>
  <c r="T306" i="17"/>
  <c r="S268" i="17"/>
  <c r="T293" i="17"/>
  <c r="T294" i="17" s="1"/>
  <c r="T327" i="17" s="1"/>
  <c r="T315" i="17"/>
  <c r="T316" i="17" s="1"/>
  <c r="X178" i="17"/>
  <c r="T285" i="17"/>
  <c r="U285" i="16"/>
  <c r="S362" i="17"/>
  <c r="T360" i="17"/>
  <c r="T361" i="17"/>
  <c r="S495" i="17"/>
  <c r="R496" i="17"/>
  <c r="R501" i="17"/>
  <c r="S141" i="17"/>
  <c r="S142" i="17" s="1"/>
  <c r="S47" i="17" s="1"/>
  <c r="R363" i="17"/>
  <c r="T370" i="17"/>
  <c r="T141" i="16"/>
  <c r="T142" i="16" s="1"/>
  <c r="T47" i="16" s="1"/>
  <c r="U138" i="17"/>
  <c r="U136" i="17"/>
  <c r="T243" i="17"/>
  <c r="T345" i="17"/>
  <c r="T346" i="17" s="1"/>
  <c r="R287" i="17"/>
  <c r="T369" i="17"/>
  <c r="V291" i="17"/>
  <c r="Q101" i="17"/>
  <c r="Q106" i="17" s="1"/>
  <c r="T395" i="17"/>
  <c r="S397" i="17"/>
  <c r="S103" i="17" s="1"/>
  <c r="T195" i="17"/>
  <c r="T94" i="17"/>
  <c r="S80" i="17"/>
  <c r="T140" i="17"/>
  <c r="R37" i="17"/>
  <c r="R104" i="17"/>
  <c r="S347" i="17"/>
  <c r="V12" i="17"/>
  <c r="W11" i="17"/>
  <c r="T540" i="17"/>
  <c r="U539" i="17"/>
  <c r="U264" i="17" s="1"/>
  <c r="T335" i="17"/>
  <c r="S337" i="17"/>
  <c r="S36" i="17" s="1"/>
  <c r="R74" i="17"/>
  <c r="R443" i="17"/>
  <c r="Q445" i="17"/>
  <c r="Q474" i="17"/>
  <c r="U191" i="17"/>
  <c r="U194" i="17" s="1"/>
  <c r="R240" i="17"/>
  <c r="S239" i="17"/>
  <c r="R371" i="17"/>
  <c r="R372" i="17" s="1"/>
  <c r="W183" i="17"/>
  <c r="V189" i="17"/>
  <c r="Q210" i="17"/>
  <c r="Q225" i="17"/>
  <c r="T367" i="17"/>
  <c r="S368" i="17"/>
  <c r="S429" i="17"/>
  <c r="S102" i="17" s="1"/>
  <c r="T220" i="17"/>
  <c r="T115" i="17" s="1"/>
  <c r="T121" i="17" s="1"/>
  <c r="T428" i="17"/>
  <c r="W17" i="17"/>
  <c r="W192" i="17" s="1"/>
  <c r="X16" i="17"/>
  <c r="W20" i="17"/>
  <c r="S501" i="16"/>
  <c r="S90" i="17"/>
  <c r="T155" i="17"/>
  <c r="V13" i="17"/>
  <c r="U14" i="17"/>
  <c r="S485" i="17"/>
  <c r="S488" i="17" s="1"/>
  <c r="S511" i="17"/>
  <c r="S512" i="17" s="1"/>
  <c r="S341" i="17"/>
  <c r="T340" i="17"/>
  <c r="S493" i="17"/>
  <c r="T358" i="17"/>
  <c r="S359" i="17"/>
  <c r="Q353" i="17"/>
  <c r="R351" i="17"/>
  <c r="T283" i="17"/>
  <c r="S286" i="17"/>
  <c r="S284" i="17"/>
  <c r="R273" i="17"/>
  <c r="Q275" i="17"/>
  <c r="Q276" i="17" s="1"/>
  <c r="Q324" i="17"/>
  <c r="R79" i="17"/>
  <c r="S478" i="17"/>
  <c r="T336" i="17"/>
  <c r="U137" i="17"/>
  <c r="S34" i="17"/>
  <c r="R101" i="16"/>
  <c r="S363" i="16"/>
  <c r="V136" i="16"/>
  <c r="U336" i="16"/>
  <c r="U369" i="16"/>
  <c r="U370" i="16"/>
  <c r="X17" i="16"/>
  <c r="X192" i="16" s="1"/>
  <c r="X291" i="16" s="1"/>
  <c r="X20" i="16"/>
  <c r="V191" i="16"/>
  <c r="V194" i="16" s="1"/>
  <c r="R275" i="16"/>
  <c r="R276" i="16" s="1"/>
  <c r="S273" i="16"/>
  <c r="R324" i="16"/>
  <c r="U360" i="16"/>
  <c r="U361" i="16"/>
  <c r="U395" i="16"/>
  <c r="T397" i="16"/>
  <c r="T103" i="16" s="1"/>
  <c r="T362" i="16"/>
  <c r="X183" i="16"/>
  <c r="W189" i="16"/>
  <c r="S347" i="16"/>
  <c r="S74" i="16"/>
  <c r="V138" i="16"/>
  <c r="W13" i="16"/>
  <c r="V14" i="16"/>
  <c r="U345" i="16"/>
  <c r="T495" i="16"/>
  <c r="T346" i="16"/>
  <c r="U94" i="16"/>
  <c r="U195" i="16"/>
  <c r="V137" i="16"/>
  <c r="T429" i="16"/>
  <c r="U428" i="16"/>
  <c r="R210" i="16"/>
  <c r="R225" i="16"/>
  <c r="T478" i="16"/>
  <c r="R353" i="16"/>
  <c r="S351" i="16"/>
  <c r="Q88" i="16"/>
  <c r="Q93" i="16" s="1"/>
  <c r="S496" i="16"/>
  <c r="T337" i="16"/>
  <c r="T36" i="16" s="1"/>
  <c r="U335" i="16"/>
  <c r="U367" i="16"/>
  <c r="T368" i="16"/>
  <c r="T80" i="16"/>
  <c r="S79" i="16"/>
  <c r="U140" i="16"/>
  <c r="Q513" i="16"/>
  <c r="Q63" i="16"/>
  <c r="R474" i="16"/>
  <c r="R445" i="16"/>
  <c r="S443" i="16"/>
  <c r="U358" i="16"/>
  <c r="T493" i="16"/>
  <c r="T359" i="16"/>
  <c r="Q223" i="16"/>
  <c r="T485" i="16"/>
  <c r="T488" i="16" s="1"/>
  <c r="T511" i="16"/>
  <c r="T512" i="16" s="1"/>
  <c r="U340" i="16"/>
  <c r="U243" i="16"/>
  <c r="Q446" i="16"/>
  <c r="Q127" i="16" s="1"/>
  <c r="Q518" i="16"/>
  <c r="W12" i="16"/>
  <c r="X11" i="16"/>
  <c r="Q326" i="16"/>
  <c r="Q328" i="16" s="1"/>
  <c r="U540" i="16"/>
  <c r="V539" i="16"/>
  <c r="R76" i="6"/>
  <c r="R4" i="6"/>
  <c r="Q5" i="6"/>
  <c r="Q6" i="6"/>
  <c r="W134" i="23" l="1"/>
  <c r="W135" i="23"/>
  <c r="X134" i="16"/>
  <c r="X135" i="16"/>
  <c r="W135" i="24"/>
  <c r="T362" i="23"/>
  <c r="W134" i="17"/>
  <c r="W135" i="17"/>
  <c r="W134" i="25"/>
  <c r="V137" i="25"/>
  <c r="S363" i="23"/>
  <c r="S79" i="23"/>
  <c r="W192" i="24"/>
  <c r="W291" i="24" s="1"/>
  <c r="T80" i="23"/>
  <c r="U369" i="25"/>
  <c r="R101" i="23"/>
  <c r="R106" i="23" s="1"/>
  <c r="U285" i="23"/>
  <c r="R101" i="24"/>
  <c r="R106" i="24" s="1"/>
  <c r="U140" i="25"/>
  <c r="V136" i="25"/>
  <c r="V274" i="25"/>
  <c r="V292" i="25"/>
  <c r="U140" i="23"/>
  <c r="U293" i="25"/>
  <c r="U294" i="25" s="1"/>
  <c r="U327" i="25" s="1"/>
  <c r="T267" i="24"/>
  <c r="V136" i="24"/>
  <c r="S363" i="25"/>
  <c r="V138" i="24"/>
  <c r="V292" i="24"/>
  <c r="V293" i="24" s="1"/>
  <c r="V274" i="24"/>
  <c r="U293" i="24"/>
  <c r="U294" i="24" s="1"/>
  <c r="U327" i="24" s="1"/>
  <c r="S371" i="25"/>
  <c r="S372" i="25" s="1"/>
  <c r="U285" i="24"/>
  <c r="S287" i="25"/>
  <c r="S496" i="23"/>
  <c r="U140" i="24"/>
  <c r="U361" i="25"/>
  <c r="S501" i="23"/>
  <c r="U336" i="25"/>
  <c r="T362" i="24"/>
  <c r="T80" i="24"/>
  <c r="S501" i="25"/>
  <c r="U360" i="25"/>
  <c r="U285" i="25"/>
  <c r="S287" i="24"/>
  <c r="S268" i="25"/>
  <c r="S287" i="23"/>
  <c r="U370" i="25"/>
  <c r="V137" i="24"/>
  <c r="W291" i="23"/>
  <c r="W293" i="23" s="1"/>
  <c r="W294" i="23" s="1"/>
  <c r="W327" i="23" s="1"/>
  <c r="S347" i="24"/>
  <c r="S74" i="24"/>
  <c r="Q209" i="25"/>
  <c r="Q224" i="25"/>
  <c r="W13" i="23"/>
  <c r="V14" i="23"/>
  <c r="T478" i="25"/>
  <c r="U345" i="24"/>
  <c r="T495" i="24"/>
  <c r="T346" i="24"/>
  <c r="T239" i="24"/>
  <c r="S240" i="24"/>
  <c r="U345" i="23"/>
  <c r="T495" i="23"/>
  <c r="T346" i="23"/>
  <c r="S37" i="25"/>
  <c r="S104" i="25"/>
  <c r="T485" i="23"/>
  <c r="T488" i="23" s="1"/>
  <c r="T511" i="23"/>
  <c r="T512" i="23" s="1"/>
  <c r="T341" i="23"/>
  <c r="U340" i="23"/>
  <c r="V191" i="24"/>
  <c r="V194" i="24" s="1"/>
  <c r="R208" i="24"/>
  <c r="U195" i="24"/>
  <c r="U94" i="24"/>
  <c r="V301" i="24"/>
  <c r="U302" i="24"/>
  <c r="U243" i="24"/>
  <c r="U243" i="23"/>
  <c r="U367" i="23"/>
  <c r="T368" i="23"/>
  <c r="U395" i="24"/>
  <c r="T397" i="24"/>
  <c r="T103" i="24" s="1"/>
  <c r="T495" i="25"/>
  <c r="U345" i="25"/>
  <c r="T346" i="25"/>
  <c r="S347" i="23"/>
  <c r="S74" i="23"/>
  <c r="T478" i="24"/>
  <c r="X11" i="25"/>
  <c r="W12" i="25"/>
  <c r="U361" i="23"/>
  <c r="S363" i="24"/>
  <c r="U298" i="25"/>
  <c r="V297" i="25"/>
  <c r="U361" i="24"/>
  <c r="T429" i="25"/>
  <c r="T102" i="25" s="1"/>
  <c r="U220" i="25"/>
  <c r="U115" i="25" s="1"/>
  <c r="U121" i="25" s="1"/>
  <c r="U428" i="25"/>
  <c r="R241" i="24"/>
  <c r="R210" i="24"/>
  <c r="R225" i="24"/>
  <c r="T362" i="25"/>
  <c r="U395" i="23"/>
  <c r="T397" i="23"/>
  <c r="T103" i="23" s="1"/>
  <c r="U220" i="23"/>
  <c r="U115" i="23" s="1"/>
  <c r="U121" i="23" s="1"/>
  <c r="U428" i="23"/>
  <c r="T429" i="23"/>
  <c r="T102" i="23" s="1"/>
  <c r="T429" i="24"/>
  <c r="T102" i="24" s="1"/>
  <c r="U220" i="24"/>
  <c r="U115" i="24" s="1"/>
  <c r="U121" i="24" s="1"/>
  <c r="U428" i="24"/>
  <c r="S37" i="23"/>
  <c r="S104" i="23"/>
  <c r="X183" i="24"/>
  <c r="W189" i="24"/>
  <c r="Q328" i="24"/>
  <c r="Q209" i="24"/>
  <c r="Q224" i="24"/>
  <c r="U370" i="24"/>
  <c r="T511" i="24"/>
  <c r="T512" i="24" s="1"/>
  <c r="U340" i="24"/>
  <c r="T341" i="24"/>
  <c r="T485" i="24"/>
  <c r="T488" i="24" s="1"/>
  <c r="R474" i="23"/>
  <c r="S443" i="23"/>
  <c r="R445" i="23"/>
  <c r="U335" i="25"/>
  <c r="T337" i="25"/>
  <c r="T36" i="25" s="1"/>
  <c r="U335" i="24"/>
  <c r="T337" i="24"/>
  <c r="T36" i="24" s="1"/>
  <c r="W13" i="25"/>
  <c r="V14" i="25"/>
  <c r="S371" i="24"/>
  <c r="V309" i="25"/>
  <c r="U310" i="25"/>
  <c r="S240" i="25"/>
  <c r="S496" i="24"/>
  <c r="U360" i="23"/>
  <c r="S371" i="23"/>
  <c r="U280" i="24"/>
  <c r="V279" i="24"/>
  <c r="T511" i="25"/>
  <c r="T512" i="25" s="1"/>
  <c r="T341" i="25"/>
  <c r="T485" i="25"/>
  <c r="T488" i="25" s="1"/>
  <c r="U340" i="25"/>
  <c r="V309" i="24"/>
  <c r="U310" i="24"/>
  <c r="Q482" i="25"/>
  <c r="T323" i="25"/>
  <c r="T265" i="25"/>
  <c r="T266" i="25"/>
  <c r="U264" i="25"/>
  <c r="U323" i="25" s="1"/>
  <c r="U336" i="24"/>
  <c r="S273" i="24"/>
  <c r="R275" i="24"/>
  <c r="R276" i="24" s="1"/>
  <c r="R326" i="24" s="1"/>
  <c r="R328" i="24" s="1"/>
  <c r="R324" i="24"/>
  <c r="R223" i="24" s="1"/>
  <c r="Q446" i="23"/>
  <c r="Q127" i="23" s="1"/>
  <c r="Q518" i="23"/>
  <c r="S351" i="23"/>
  <c r="R353" i="23"/>
  <c r="U298" i="24"/>
  <c r="V297" i="24"/>
  <c r="R353" i="25"/>
  <c r="S351" i="25"/>
  <c r="U195" i="23"/>
  <c r="U94" i="23"/>
  <c r="T478" i="23"/>
  <c r="T493" i="24"/>
  <c r="U358" i="24"/>
  <c r="T359" i="24"/>
  <c r="V191" i="25"/>
  <c r="V194" i="25" s="1"/>
  <c r="V196" i="24"/>
  <c r="V305" i="24"/>
  <c r="U306" i="24"/>
  <c r="U360" i="24"/>
  <c r="T493" i="23"/>
  <c r="U358" i="23"/>
  <c r="T359" i="23"/>
  <c r="T363" i="23" s="1"/>
  <c r="S268" i="24"/>
  <c r="U315" i="25"/>
  <c r="U316" i="25" s="1"/>
  <c r="V314" i="25"/>
  <c r="R324" i="23"/>
  <c r="R275" i="23"/>
  <c r="R276" i="23" s="1"/>
  <c r="S273" i="23"/>
  <c r="X11" i="23"/>
  <c r="W12" i="23"/>
  <c r="Q479" i="24"/>
  <c r="Q480" i="24" s="1"/>
  <c r="Q230" i="24" s="1"/>
  <c r="Q48" i="24" s="1"/>
  <c r="S104" i="24"/>
  <c r="S37" i="24"/>
  <c r="Q88" i="23"/>
  <c r="Q93" i="23" s="1"/>
  <c r="V539" i="25"/>
  <c r="U540" i="25"/>
  <c r="V138" i="23"/>
  <c r="Q513" i="23"/>
  <c r="Q63" i="23"/>
  <c r="U358" i="25"/>
  <c r="T493" i="25"/>
  <c r="T359" i="25"/>
  <c r="X183" i="25"/>
  <c r="W189" i="25"/>
  <c r="Q49" i="25"/>
  <c r="Q53" i="25"/>
  <c r="Q50" i="25"/>
  <c r="U369" i="24"/>
  <c r="V279" i="25"/>
  <c r="U280" i="25"/>
  <c r="X17" i="23"/>
  <c r="X192" i="23" s="1"/>
  <c r="X291" i="23" s="1"/>
  <c r="X293" i="23" s="1"/>
  <c r="X294" i="23" s="1"/>
  <c r="X327" i="23" s="1"/>
  <c r="X20" i="23"/>
  <c r="Y16" i="23"/>
  <c r="Q518" i="24"/>
  <c r="Q446" i="24"/>
  <c r="Q127" i="24" s="1"/>
  <c r="T90" i="25"/>
  <c r="U155" i="25"/>
  <c r="X17" i="24"/>
  <c r="X134" i="24" s="1"/>
  <c r="Y16" i="24"/>
  <c r="X20" i="24"/>
  <c r="U336" i="23"/>
  <c r="W12" i="24"/>
  <c r="X11" i="24"/>
  <c r="T141" i="24"/>
  <c r="T142" i="24" s="1"/>
  <c r="T47" i="24" s="1"/>
  <c r="T34" i="24"/>
  <c r="U540" i="23"/>
  <c r="V539" i="23"/>
  <c r="Q513" i="24"/>
  <c r="Q63" i="24"/>
  <c r="R324" i="25"/>
  <c r="R223" i="25" s="1"/>
  <c r="S273" i="25"/>
  <c r="R275" i="25"/>
  <c r="R276" i="25" s="1"/>
  <c r="Q328" i="23"/>
  <c r="Q209" i="23"/>
  <c r="Q224" i="23"/>
  <c r="T284" i="24"/>
  <c r="T286" i="24"/>
  <c r="U283" i="24"/>
  <c r="T90" i="23"/>
  <c r="U155" i="23"/>
  <c r="U283" i="25"/>
  <c r="V138" i="25"/>
  <c r="S501" i="24"/>
  <c r="T90" i="24"/>
  <c r="U155" i="24"/>
  <c r="R445" i="25"/>
  <c r="R474" i="25"/>
  <c r="S443" i="25"/>
  <c r="V539" i="24"/>
  <c r="U540" i="24"/>
  <c r="S79" i="24"/>
  <c r="Q354" i="25"/>
  <c r="S496" i="25"/>
  <c r="V197" i="23"/>
  <c r="V200" i="23" s="1"/>
  <c r="V191" i="23"/>
  <c r="V194" i="23" s="1"/>
  <c r="X17" i="25"/>
  <c r="X135" i="25" s="1"/>
  <c r="Y16" i="25"/>
  <c r="X20" i="25"/>
  <c r="U195" i="25"/>
  <c r="U94" i="25"/>
  <c r="V291" i="25"/>
  <c r="W192" i="25"/>
  <c r="T239" i="23"/>
  <c r="S240" i="23"/>
  <c r="R474" i="24"/>
  <c r="R445" i="24"/>
  <c r="S443" i="24"/>
  <c r="T337" i="23"/>
  <c r="T36" i="23" s="1"/>
  <c r="U335" i="23"/>
  <c r="U264" i="24"/>
  <c r="T266" i="24"/>
  <c r="T265" i="24"/>
  <c r="R372" i="25"/>
  <c r="R101" i="25" s="1"/>
  <c r="R106" i="25" s="1"/>
  <c r="T267" i="25"/>
  <c r="R353" i="24"/>
  <c r="S351" i="24"/>
  <c r="Q223" i="23"/>
  <c r="R208" i="23" s="1"/>
  <c r="T284" i="25"/>
  <c r="T286" i="25"/>
  <c r="T141" i="23"/>
  <c r="T142" i="23" s="1"/>
  <c r="T47" i="23" s="1"/>
  <c r="U367" i="24"/>
  <c r="T368" i="24"/>
  <c r="U370" i="23"/>
  <c r="Q520" i="25"/>
  <c r="S347" i="25"/>
  <c r="S74" i="25"/>
  <c r="X183" i="23"/>
  <c r="X189" i="23" s="1"/>
  <c r="W189" i="23"/>
  <c r="U302" i="25"/>
  <c r="V301" i="25"/>
  <c r="U369" i="23"/>
  <c r="T141" i="25"/>
  <c r="T142" i="25" s="1"/>
  <c r="T47" i="25" s="1"/>
  <c r="T34" i="25"/>
  <c r="R241" i="23"/>
  <c r="R210" i="23"/>
  <c r="R225" i="23"/>
  <c r="Q88" i="24"/>
  <c r="Q93" i="24" s="1"/>
  <c r="U367" i="25"/>
  <c r="T368" i="25"/>
  <c r="U315" i="24"/>
  <c r="U316" i="24" s="1"/>
  <c r="V314" i="24"/>
  <c r="Q328" i="25"/>
  <c r="V196" i="25"/>
  <c r="V136" i="23"/>
  <c r="T284" i="23"/>
  <c r="U283" i="23"/>
  <c r="T286" i="23"/>
  <c r="R241" i="25"/>
  <c r="R210" i="25"/>
  <c r="R225" i="25"/>
  <c r="T239" i="25"/>
  <c r="U243" i="25"/>
  <c r="U306" i="25"/>
  <c r="V305" i="25"/>
  <c r="T34" i="23"/>
  <c r="V14" i="24"/>
  <c r="W13" i="24"/>
  <c r="T80" i="25"/>
  <c r="T79" i="25" s="1"/>
  <c r="U395" i="25"/>
  <c r="T397" i="25"/>
  <c r="T103" i="25" s="1"/>
  <c r="V137" i="23"/>
  <c r="P46" i="17"/>
  <c r="P39" i="17"/>
  <c r="P130" i="17" s="1"/>
  <c r="P41" i="17"/>
  <c r="P53" i="17"/>
  <c r="P50" i="17"/>
  <c r="P49" i="17"/>
  <c r="P52" i="17" s="1"/>
  <c r="P70" i="17"/>
  <c r="P57" i="17" s="1"/>
  <c r="P58" i="17" s="1"/>
  <c r="P71" i="17"/>
  <c r="Z188" i="17"/>
  <c r="Y154" i="17"/>
  <c r="Z154" i="17" s="1"/>
  <c r="Y177" i="17"/>
  <c r="Z177" i="17" s="1"/>
  <c r="Z178" i="17" s="1"/>
  <c r="Y44" i="17"/>
  <c r="Z44" i="17" s="1"/>
  <c r="Z139" i="17"/>
  <c r="Z146" i="17"/>
  <c r="Z89" i="17" s="1"/>
  <c r="R323" i="17"/>
  <c r="S274" i="17"/>
  <c r="Z344" i="17"/>
  <c r="Z366" i="17"/>
  <c r="Z357" i="17"/>
  <c r="Z388" i="17"/>
  <c r="X179" i="17"/>
  <c r="X92" i="17" s="1"/>
  <c r="W92" i="17"/>
  <c r="S104" i="16"/>
  <c r="T341" i="16"/>
  <c r="U341" i="16" s="1"/>
  <c r="Z89" i="16"/>
  <c r="Z475" i="16"/>
  <c r="Z147" i="16"/>
  <c r="Z150" i="16" s="1"/>
  <c r="R106" i="16"/>
  <c r="S240" i="16"/>
  <c r="S210" i="16" s="1"/>
  <c r="T371" i="16"/>
  <c r="T372" i="16" s="1"/>
  <c r="S4" i="6"/>
  <c r="S6" i="6" s="1"/>
  <c r="U220" i="16"/>
  <c r="U115" i="16" s="1"/>
  <c r="U121" i="16" s="1"/>
  <c r="U323" i="16"/>
  <c r="V264" i="16"/>
  <c r="V265" i="16" s="1"/>
  <c r="T102" i="16"/>
  <c r="U266" i="16"/>
  <c r="U267" i="16"/>
  <c r="U283" i="16"/>
  <c r="U286" i="16" s="1"/>
  <c r="T268" i="16"/>
  <c r="Y16" i="16"/>
  <c r="Y17" i="16" s="1"/>
  <c r="Y192" i="16" s="1"/>
  <c r="X476" i="17"/>
  <c r="Y169" i="16"/>
  <c r="T284" i="16"/>
  <c r="Y258" i="17"/>
  <c r="Z258" i="17" s="1"/>
  <c r="X259" i="16"/>
  <c r="S287" i="16"/>
  <c r="Y169" i="17"/>
  <c r="X259" i="17"/>
  <c r="X179" i="16"/>
  <c r="X92" i="16" s="1"/>
  <c r="Y257" i="17"/>
  <c r="Z257" i="17" s="1"/>
  <c r="T90" i="16"/>
  <c r="T34" i="16"/>
  <c r="W92" i="16"/>
  <c r="X475" i="17"/>
  <c r="X89" i="17"/>
  <c r="X147" i="17"/>
  <c r="X150" i="17" s="1"/>
  <c r="X476" i="16"/>
  <c r="Y257" i="16"/>
  <c r="Z257" i="16" s="1"/>
  <c r="Y177" i="16"/>
  <c r="Y258" i="16"/>
  <c r="Z258" i="16" s="1"/>
  <c r="X475" i="16"/>
  <c r="X89" i="16"/>
  <c r="X147" i="16"/>
  <c r="X150" i="16" s="1"/>
  <c r="Y475" i="16"/>
  <c r="Y89" i="16"/>
  <c r="Y147" i="16"/>
  <c r="Y150" i="16" s="1"/>
  <c r="Y475" i="17"/>
  <c r="Y89" i="17"/>
  <c r="Y147" i="17"/>
  <c r="Y150" i="17" s="1"/>
  <c r="Y76" i="17"/>
  <c r="W301" i="16"/>
  <c r="V302" i="16"/>
  <c r="W314" i="16"/>
  <c r="V315" i="16"/>
  <c r="V316" i="16" s="1"/>
  <c r="W274" i="16"/>
  <c r="W297" i="16"/>
  <c r="V298" i="16"/>
  <c r="W292" i="16"/>
  <c r="V293" i="16"/>
  <c r="V294" i="16" s="1"/>
  <c r="V327" i="16" s="1"/>
  <c r="W279" i="16"/>
  <c r="V280" i="16"/>
  <c r="W196" i="16"/>
  <c r="W197" i="16" s="1"/>
  <c r="W200" i="16" s="1"/>
  <c r="W309" i="16"/>
  <c r="V310" i="16"/>
  <c r="W305" i="16"/>
  <c r="V306" i="16"/>
  <c r="O7" i="17"/>
  <c r="O8" i="17" s="1"/>
  <c r="V301" i="17"/>
  <c r="V305" i="17"/>
  <c r="V279" i="17"/>
  <c r="V314" i="17"/>
  <c r="V309" i="17"/>
  <c r="V297" i="17"/>
  <c r="V196" i="17"/>
  <c r="V197" i="17" s="1"/>
  <c r="V200" i="17" s="1"/>
  <c r="V292" i="17"/>
  <c r="V293" i="17" s="1"/>
  <c r="U266" i="17"/>
  <c r="U265" i="17"/>
  <c r="U306" i="17"/>
  <c r="U302" i="17"/>
  <c r="U315" i="17"/>
  <c r="U316" i="17" s="1"/>
  <c r="U267" i="17"/>
  <c r="U310" i="17"/>
  <c r="U293" i="17"/>
  <c r="U294" i="17" s="1"/>
  <c r="U327" i="17" s="1"/>
  <c r="U298" i="17"/>
  <c r="T268" i="17"/>
  <c r="U280" i="17"/>
  <c r="T362" i="17"/>
  <c r="S363" i="17"/>
  <c r="V285" i="16"/>
  <c r="S496" i="17"/>
  <c r="R101" i="17"/>
  <c r="R106" i="17" s="1"/>
  <c r="U243" i="17"/>
  <c r="U336" i="17"/>
  <c r="S79" i="17"/>
  <c r="T495" i="17"/>
  <c r="S287" i="17"/>
  <c r="S101" i="16"/>
  <c r="U361" i="17"/>
  <c r="W137" i="16"/>
  <c r="T80" i="17"/>
  <c r="W291" i="17"/>
  <c r="W13" i="17"/>
  <c r="V14" i="17"/>
  <c r="V137" i="17"/>
  <c r="Q513" i="17"/>
  <c r="Q63" i="17"/>
  <c r="U370" i="17"/>
  <c r="Q518" i="17"/>
  <c r="Q446" i="17"/>
  <c r="Q127" i="17" s="1"/>
  <c r="U369" i="17"/>
  <c r="V539" i="17"/>
  <c r="V264" i="17" s="1"/>
  <c r="U540" i="17"/>
  <c r="Q223" i="17"/>
  <c r="T493" i="17"/>
  <c r="U358" i="17"/>
  <c r="T359" i="17"/>
  <c r="Y16" i="17"/>
  <c r="X20" i="17"/>
  <c r="X17" i="17"/>
  <c r="X192" i="17" s="1"/>
  <c r="X291" i="17" s="1"/>
  <c r="U367" i="17"/>
  <c r="T368" i="17"/>
  <c r="R241" i="17"/>
  <c r="R210" i="17"/>
  <c r="R225" i="17"/>
  <c r="W12" i="17"/>
  <c r="X11" i="17"/>
  <c r="U360" i="17"/>
  <c r="T341" i="17"/>
  <c r="T485" i="17"/>
  <c r="T488" i="17" s="1"/>
  <c r="T511" i="17"/>
  <c r="T512" i="17" s="1"/>
  <c r="U340" i="17"/>
  <c r="T90" i="17"/>
  <c r="U155" i="17"/>
  <c r="V136" i="17"/>
  <c r="U195" i="17"/>
  <c r="U94" i="17"/>
  <c r="T347" i="17"/>
  <c r="T478" i="17"/>
  <c r="U285" i="17"/>
  <c r="S443" i="17"/>
  <c r="R445" i="17"/>
  <c r="V191" i="17"/>
  <c r="V194" i="17" s="1"/>
  <c r="S371" i="17"/>
  <c r="S372" i="17" s="1"/>
  <c r="Q326" i="17"/>
  <c r="Q328" i="17" s="1"/>
  <c r="T284" i="17"/>
  <c r="T286" i="17"/>
  <c r="U283" i="17"/>
  <c r="T429" i="17"/>
  <c r="T102" i="17" s="1"/>
  <c r="U428" i="17"/>
  <c r="U220" i="17"/>
  <c r="U115" i="17" s="1"/>
  <c r="U121" i="17" s="1"/>
  <c r="X183" i="17"/>
  <c r="W189" i="17"/>
  <c r="V138" i="17"/>
  <c r="U335" i="17"/>
  <c r="T337" i="17"/>
  <c r="T36" i="17" s="1"/>
  <c r="S74" i="17"/>
  <c r="U345" i="17"/>
  <c r="S240" i="17"/>
  <c r="T239" i="17"/>
  <c r="S104" i="17"/>
  <c r="S37" i="17"/>
  <c r="S273" i="17"/>
  <c r="R275" i="17"/>
  <c r="R276" i="17" s="1"/>
  <c r="R324" i="17"/>
  <c r="R474" i="17"/>
  <c r="S351" i="17"/>
  <c r="R353" i="17"/>
  <c r="S501" i="17"/>
  <c r="Q88" i="17"/>
  <c r="Q93" i="17" s="1"/>
  <c r="U140" i="17"/>
  <c r="T141" i="17"/>
  <c r="T142" i="17" s="1"/>
  <c r="T47" i="17" s="1"/>
  <c r="T34" i="17"/>
  <c r="U395" i="17"/>
  <c r="T397" i="17"/>
  <c r="T103" i="17" s="1"/>
  <c r="U80" i="16"/>
  <c r="V370" i="16"/>
  <c r="Q354" i="16"/>
  <c r="Q122" i="16" s="1"/>
  <c r="Q128" i="16" s="1"/>
  <c r="T496" i="16"/>
  <c r="Q224" i="16"/>
  <c r="V140" i="16"/>
  <c r="X12" i="16"/>
  <c r="V369" i="16"/>
  <c r="S353" i="16"/>
  <c r="T351" i="16"/>
  <c r="W138" i="16"/>
  <c r="W14" i="16"/>
  <c r="X13" i="16"/>
  <c r="U485" i="16"/>
  <c r="U488" i="16" s="1"/>
  <c r="U511" i="16"/>
  <c r="U512" i="16" s="1"/>
  <c r="V340" i="16"/>
  <c r="R513" i="16"/>
  <c r="R63" i="16"/>
  <c r="V336" i="16"/>
  <c r="V395" i="16"/>
  <c r="U397" i="16"/>
  <c r="U103" i="16" s="1"/>
  <c r="Q211" i="16"/>
  <c r="R223" i="16"/>
  <c r="U478" i="16"/>
  <c r="V540" i="16"/>
  <c r="W539" i="16"/>
  <c r="T347" i="16"/>
  <c r="T74" i="16"/>
  <c r="V361" i="16"/>
  <c r="V195" i="16"/>
  <c r="V94" i="16"/>
  <c r="Q226" i="16"/>
  <c r="U337" i="16"/>
  <c r="U36" i="16" s="1"/>
  <c r="V335" i="16"/>
  <c r="T501" i="16"/>
  <c r="U493" i="16"/>
  <c r="V358" i="16"/>
  <c r="U359" i="16"/>
  <c r="T79" i="16"/>
  <c r="U362" i="16"/>
  <c r="V360" i="16"/>
  <c r="W136" i="16"/>
  <c r="T363" i="16"/>
  <c r="Q520" i="16"/>
  <c r="U239" i="16"/>
  <c r="V243" i="16"/>
  <c r="S474" i="16"/>
  <c r="T443" i="16"/>
  <c r="S445" i="16"/>
  <c r="U141" i="16"/>
  <c r="U142" i="16" s="1"/>
  <c r="U47" i="16" s="1"/>
  <c r="U34" i="16"/>
  <c r="V345" i="16"/>
  <c r="U495" i="16"/>
  <c r="U346" i="16"/>
  <c r="T240" i="16"/>
  <c r="T241" i="16" s="1"/>
  <c r="R518" i="16"/>
  <c r="R446" i="16"/>
  <c r="R127" i="16" s="1"/>
  <c r="W191" i="16"/>
  <c r="W194" i="16" s="1"/>
  <c r="S275" i="16"/>
  <c r="S276" i="16" s="1"/>
  <c r="T273" i="16"/>
  <c r="S324" i="16"/>
  <c r="Q479" i="16"/>
  <c r="Q209" i="16"/>
  <c r="R88" i="16"/>
  <c r="R93" i="16" s="1"/>
  <c r="V367" i="16"/>
  <c r="U368" i="16"/>
  <c r="V428" i="16"/>
  <c r="U429" i="16"/>
  <c r="U90" i="16"/>
  <c r="V155" i="16"/>
  <c r="X189" i="16"/>
  <c r="R326" i="16"/>
  <c r="R328" i="16" s="1"/>
  <c r="R208" i="16"/>
  <c r="R6" i="6"/>
  <c r="R5" i="6"/>
  <c r="X134" i="25" l="1"/>
  <c r="X135" i="17"/>
  <c r="X134" i="17"/>
  <c r="X135" i="24"/>
  <c r="Y135" i="16"/>
  <c r="Y134" i="16"/>
  <c r="X135" i="23"/>
  <c r="X134" i="23"/>
  <c r="Y183" i="16"/>
  <c r="Y20" i="16"/>
  <c r="Y11" i="16"/>
  <c r="T79" i="23"/>
  <c r="V285" i="23"/>
  <c r="X192" i="24"/>
  <c r="X291" i="24" s="1"/>
  <c r="Q520" i="24"/>
  <c r="V285" i="24"/>
  <c r="Q354" i="24"/>
  <c r="Q122" i="24" s="1"/>
  <c r="Q128" i="24" s="1"/>
  <c r="U80" i="23"/>
  <c r="U34" i="25"/>
  <c r="W292" i="25"/>
  <c r="V293" i="25"/>
  <c r="V294" i="25" s="1"/>
  <c r="V327" i="25" s="1"/>
  <c r="T371" i="25"/>
  <c r="T372" i="25" s="1"/>
  <c r="V294" i="24"/>
  <c r="V327" i="24" s="1"/>
  <c r="V369" i="23"/>
  <c r="V370" i="23"/>
  <c r="V361" i="23"/>
  <c r="T496" i="23"/>
  <c r="W137" i="24"/>
  <c r="T79" i="24"/>
  <c r="U80" i="24"/>
  <c r="V280" i="25"/>
  <c r="V243" i="23"/>
  <c r="V336" i="23"/>
  <c r="W138" i="25"/>
  <c r="T363" i="24"/>
  <c r="W279" i="25"/>
  <c r="W137" i="25"/>
  <c r="T496" i="25"/>
  <c r="W136" i="25"/>
  <c r="W274" i="25"/>
  <c r="V140" i="24"/>
  <c r="W137" i="23"/>
  <c r="W136" i="23"/>
  <c r="Q354" i="23"/>
  <c r="Q56" i="23" s="1"/>
  <c r="W138" i="23"/>
  <c r="V336" i="25"/>
  <c r="V369" i="25"/>
  <c r="U267" i="25"/>
  <c r="T287" i="25"/>
  <c r="T363" i="25"/>
  <c r="U34" i="24"/>
  <c r="V335" i="25"/>
  <c r="T287" i="23"/>
  <c r="U362" i="25"/>
  <c r="Q520" i="23"/>
  <c r="T287" i="24"/>
  <c r="T496" i="24"/>
  <c r="S208" i="24"/>
  <c r="Q53" i="24"/>
  <c r="Q49" i="24"/>
  <c r="Q50" i="24"/>
  <c r="S5" i="6"/>
  <c r="U80" i="25"/>
  <c r="U79" i="25" s="1"/>
  <c r="V395" i="25"/>
  <c r="U397" i="25"/>
  <c r="U103" i="25" s="1"/>
  <c r="U239" i="25"/>
  <c r="V243" i="25"/>
  <c r="W197" i="23"/>
  <c r="W200" i="23" s="1"/>
  <c r="W191" i="23"/>
  <c r="W194" i="23" s="1"/>
  <c r="Q479" i="23"/>
  <c r="V264" i="24"/>
  <c r="U265" i="24"/>
  <c r="U266" i="24"/>
  <c r="Y183" i="25"/>
  <c r="X189" i="25"/>
  <c r="W196" i="24"/>
  <c r="W197" i="24" s="1"/>
  <c r="W200" i="24" s="1"/>
  <c r="S101" i="25"/>
  <c r="S106" i="25" s="1"/>
  <c r="R513" i="23"/>
  <c r="R63" i="23"/>
  <c r="U265" i="25"/>
  <c r="U266" i="25"/>
  <c r="V264" i="25"/>
  <c r="V323" i="25" s="1"/>
  <c r="R446" i="23"/>
  <c r="R127" i="23" s="1"/>
  <c r="R518" i="23"/>
  <c r="V428" i="24"/>
  <c r="V220" i="24"/>
  <c r="V115" i="24" s="1"/>
  <c r="V121" i="24" s="1"/>
  <c r="U429" i="24"/>
  <c r="U102" i="24" s="1"/>
  <c r="V302" i="24"/>
  <c r="W301" i="24"/>
  <c r="R479" i="24"/>
  <c r="W292" i="24"/>
  <c r="S241" i="24"/>
  <c r="S225" i="24"/>
  <c r="S210" i="24"/>
  <c r="V285" i="25"/>
  <c r="T240" i="25"/>
  <c r="T241" i="25" s="1"/>
  <c r="V283" i="23"/>
  <c r="U284" i="23"/>
  <c r="U286" i="23"/>
  <c r="W314" i="24"/>
  <c r="V315" i="24"/>
  <c r="V316" i="24" s="1"/>
  <c r="X197" i="23"/>
  <c r="X200" i="23" s="1"/>
  <c r="X191" i="23"/>
  <c r="X194" i="23" s="1"/>
  <c r="T351" i="24"/>
  <c r="S353" i="24"/>
  <c r="V335" i="23"/>
  <c r="U337" i="23"/>
  <c r="U36" i="23" s="1"/>
  <c r="S241" i="23"/>
  <c r="S225" i="23"/>
  <c r="S210" i="23"/>
  <c r="Z16" i="25"/>
  <c r="Y17" i="25"/>
  <c r="Y135" i="25" s="1"/>
  <c r="Y20" i="25"/>
  <c r="S353" i="23"/>
  <c r="T351" i="23"/>
  <c r="S372" i="24"/>
  <c r="S101" i="24" s="1"/>
  <c r="S106" i="24" s="1"/>
  <c r="T371" i="24"/>
  <c r="S445" i="23"/>
  <c r="S474" i="23"/>
  <c r="T443" i="23"/>
  <c r="R224" i="24"/>
  <c r="V361" i="24"/>
  <c r="V361" i="25"/>
  <c r="V370" i="25"/>
  <c r="T240" i="24"/>
  <c r="U239" i="24"/>
  <c r="X13" i="24"/>
  <c r="W14" i="24"/>
  <c r="V367" i="24"/>
  <c r="U368" i="24"/>
  <c r="R513" i="24"/>
  <c r="R63" i="24"/>
  <c r="U239" i="23"/>
  <c r="T240" i="23"/>
  <c r="V315" i="25"/>
  <c r="V316" i="25" s="1"/>
  <c r="W314" i="25"/>
  <c r="V360" i="24"/>
  <c r="U493" i="24"/>
  <c r="V358" i="24"/>
  <c r="U359" i="24"/>
  <c r="U478" i="23"/>
  <c r="T268" i="25"/>
  <c r="W309" i="24"/>
  <c r="V310" i="24"/>
  <c r="R88" i="23"/>
  <c r="R93" i="23" s="1"/>
  <c r="R209" i="24"/>
  <c r="V395" i="23"/>
  <c r="U397" i="23"/>
  <c r="U103" i="23" s="1"/>
  <c r="V298" i="25"/>
  <c r="W297" i="25"/>
  <c r="U362" i="24"/>
  <c r="V395" i="24"/>
  <c r="U397" i="24"/>
  <c r="U103" i="24" s="1"/>
  <c r="V195" i="24"/>
  <c r="V94" i="24"/>
  <c r="X192" i="25"/>
  <c r="W291" i="25"/>
  <c r="V195" i="23"/>
  <c r="V94" i="23"/>
  <c r="V540" i="24"/>
  <c r="W539" i="24"/>
  <c r="U284" i="25"/>
  <c r="U286" i="25"/>
  <c r="V283" i="25"/>
  <c r="W539" i="23"/>
  <c r="V540" i="23"/>
  <c r="V369" i="24"/>
  <c r="U493" i="25"/>
  <c r="V358" i="25"/>
  <c r="U359" i="25"/>
  <c r="V140" i="25"/>
  <c r="S353" i="25"/>
  <c r="T351" i="25"/>
  <c r="U511" i="25"/>
  <c r="U512" i="25" s="1"/>
  <c r="U341" i="25"/>
  <c r="U485" i="25"/>
  <c r="U488" i="25" s="1"/>
  <c r="V340" i="25"/>
  <c r="U141" i="25"/>
  <c r="U142" i="25" s="1"/>
  <c r="U47" i="25" s="1"/>
  <c r="W14" i="25"/>
  <c r="X13" i="25"/>
  <c r="T501" i="24"/>
  <c r="Q226" i="24"/>
  <c r="Q211" i="24"/>
  <c r="U478" i="24"/>
  <c r="V197" i="24"/>
  <c r="V200" i="24" s="1"/>
  <c r="V360" i="25"/>
  <c r="T347" i="23"/>
  <c r="T74" i="23"/>
  <c r="V367" i="25"/>
  <c r="U368" i="25"/>
  <c r="T443" i="24"/>
  <c r="S474" i="24"/>
  <c r="S445" i="24"/>
  <c r="S445" i="25"/>
  <c r="T443" i="25"/>
  <c r="S474" i="25"/>
  <c r="U90" i="23"/>
  <c r="V155" i="23"/>
  <c r="Q211" i="23"/>
  <c r="Q212" i="23" s="1"/>
  <c r="Q226" i="23"/>
  <c r="Q227" i="23" s="1"/>
  <c r="W274" i="24"/>
  <c r="V540" i="25"/>
  <c r="W539" i="25"/>
  <c r="X12" i="23"/>
  <c r="Y11" i="23"/>
  <c r="R513" i="25"/>
  <c r="R63" i="25"/>
  <c r="Q492" i="25"/>
  <c r="Q500" i="25"/>
  <c r="Q489" i="25"/>
  <c r="T501" i="25"/>
  <c r="V280" i="24"/>
  <c r="W279" i="24"/>
  <c r="S241" i="25"/>
  <c r="S210" i="25"/>
  <c r="S225" i="25"/>
  <c r="T104" i="24"/>
  <c r="T37" i="24"/>
  <c r="W191" i="24"/>
  <c r="W194" i="24" s="1"/>
  <c r="V367" i="23"/>
  <c r="U368" i="23"/>
  <c r="V140" i="23"/>
  <c r="U485" i="23"/>
  <c r="U488" i="23" s="1"/>
  <c r="V340" i="23"/>
  <c r="U511" i="23"/>
  <c r="U512" i="23" s="1"/>
  <c r="U341" i="23"/>
  <c r="T347" i="24"/>
  <c r="T74" i="24"/>
  <c r="X13" i="23"/>
  <c r="W14" i="23"/>
  <c r="W196" i="25"/>
  <c r="W197" i="25" s="1"/>
  <c r="W200" i="25" s="1"/>
  <c r="R518" i="24"/>
  <c r="R446" i="24"/>
  <c r="R127" i="24" s="1"/>
  <c r="R88" i="25"/>
  <c r="R93" i="25" s="1"/>
  <c r="R326" i="25"/>
  <c r="R224" i="25" s="1"/>
  <c r="Y17" i="24"/>
  <c r="Y134" i="24" s="1"/>
  <c r="Z16" i="24"/>
  <c r="Y20" i="24"/>
  <c r="Y183" i="23"/>
  <c r="Y189" i="23" s="1"/>
  <c r="Y17" i="23"/>
  <c r="Y192" i="23" s="1"/>
  <c r="Y291" i="23" s="1"/>
  <c r="Y293" i="23" s="1"/>
  <c r="Y294" i="23" s="1"/>
  <c r="Y327" i="23" s="1"/>
  <c r="Z16" i="23"/>
  <c r="Y20" i="23"/>
  <c r="S275" i="23"/>
  <c r="S276" i="23" s="1"/>
  <c r="S324" i="23"/>
  <c r="T273" i="23"/>
  <c r="U267" i="24"/>
  <c r="S208" i="25"/>
  <c r="T37" i="25"/>
  <c r="T104" i="25"/>
  <c r="V335" i="24"/>
  <c r="U337" i="24"/>
  <c r="U36" i="24" s="1"/>
  <c r="U341" i="24"/>
  <c r="V340" i="24"/>
  <c r="U485" i="24"/>
  <c r="U488" i="24" s="1"/>
  <c r="U511" i="24"/>
  <c r="U512" i="24" s="1"/>
  <c r="Y183" i="24"/>
  <c r="Y189" i="24" s="1"/>
  <c r="X189" i="24"/>
  <c r="T37" i="23"/>
  <c r="T104" i="23"/>
  <c r="U495" i="23"/>
  <c r="V345" i="23"/>
  <c r="U346" i="23"/>
  <c r="Z16" i="17"/>
  <c r="Z20" i="17" s="1"/>
  <c r="V306" i="25"/>
  <c r="W305" i="25"/>
  <c r="Q211" i="25"/>
  <c r="Q212" i="25" s="1"/>
  <c r="Q226" i="25"/>
  <c r="Q482" i="24"/>
  <c r="W301" i="25"/>
  <c r="V302" i="25"/>
  <c r="T268" i="24"/>
  <c r="R88" i="24"/>
  <c r="R93" i="24" s="1"/>
  <c r="R518" i="25"/>
  <c r="R446" i="25"/>
  <c r="R127" i="25" s="1"/>
  <c r="S324" i="25"/>
  <c r="S223" i="25" s="1"/>
  <c r="S275" i="25"/>
  <c r="S276" i="25" s="1"/>
  <c r="T273" i="25"/>
  <c r="R326" i="23"/>
  <c r="R224" i="23" s="1"/>
  <c r="V306" i="24"/>
  <c r="W305" i="24"/>
  <c r="V94" i="25"/>
  <c r="V195" i="25"/>
  <c r="U141" i="23"/>
  <c r="U142" i="23" s="1"/>
  <c r="U47" i="23" s="1"/>
  <c r="V298" i="24"/>
  <c r="W297" i="24"/>
  <c r="T273" i="24"/>
  <c r="S275" i="24"/>
  <c r="S276" i="24" s="1"/>
  <c r="S326" i="24" s="1"/>
  <c r="S328" i="24" s="1"/>
  <c r="S324" i="24"/>
  <c r="S223" i="24" s="1"/>
  <c r="S372" i="23"/>
  <c r="S101" i="23" s="1"/>
  <c r="S106" i="23" s="1"/>
  <c r="T371" i="23"/>
  <c r="V310" i="25"/>
  <c r="W309" i="25"/>
  <c r="U429" i="25"/>
  <c r="U102" i="25" s="1"/>
  <c r="V428" i="25"/>
  <c r="V220" i="25"/>
  <c r="V115" i="25" s="1"/>
  <c r="V121" i="25" s="1"/>
  <c r="T347" i="25"/>
  <c r="T74" i="25"/>
  <c r="V243" i="24"/>
  <c r="U141" i="24"/>
  <c r="U142" i="24" s="1"/>
  <c r="U47" i="24" s="1"/>
  <c r="V345" i="24"/>
  <c r="U495" i="24"/>
  <c r="U346" i="24"/>
  <c r="U337" i="25"/>
  <c r="U36" i="25" s="1"/>
  <c r="U478" i="25"/>
  <c r="Q122" i="25"/>
  <c r="Q128" i="25" s="1"/>
  <c r="Q56" i="25"/>
  <c r="U90" i="24"/>
  <c r="V155" i="24"/>
  <c r="U284" i="24"/>
  <c r="V283" i="24"/>
  <c r="U286" i="24"/>
  <c r="X12" i="24"/>
  <c r="Y11" i="24"/>
  <c r="U90" i="25"/>
  <c r="V155" i="25"/>
  <c r="W191" i="25"/>
  <c r="W194" i="25" s="1"/>
  <c r="R223" i="23"/>
  <c r="R479" i="23" s="1"/>
  <c r="U493" i="23"/>
  <c r="V358" i="23"/>
  <c r="U359" i="23"/>
  <c r="U323" i="24"/>
  <c r="V197" i="25"/>
  <c r="V200" i="25" s="1"/>
  <c r="U34" i="23"/>
  <c r="V336" i="24"/>
  <c r="R479" i="25"/>
  <c r="W136" i="24"/>
  <c r="V360" i="23"/>
  <c r="U362" i="23"/>
  <c r="V370" i="24"/>
  <c r="V220" i="23"/>
  <c r="V115" i="23" s="1"/>
  <c r="V121" i="23" s="1"/>
  <c r="U429" i="23"/>
  <c r="U102" i="23" s="1"/>
  <c r="V428" i="23"/>
  <c r="X12" i="25"/>
  <c r="Y11" i="25"/>
  <c r="U495" i="25"/>
  <c r="V345" i="25"/>
  <c r="U346" i="25"/>
  <c r="T501" i="23"/>
  <c r="W138" i="24"/>
  <c r="P78" i="17"/>
  <c r="P81" i="17" s="1"/>
  <c r="P82" i="17" s="1"/>
  <c r="P83" i="17" s="1"/>
  <c r="P85" i="17"/>
  <c r="P64" i="17"/>
  <c r="P65" i="17" s="1"/>
  <c r="P66" i="17" s="1"/>
  <c r="P235" i="17"/>
  <c r="Q235" i="17" s="1"/>
  <c r="R235" i="17" s="1"/>
  <c r="S235" i="17" s="1"/>
  <c r="T235" i="17" s="1"/>
  <c r="U235" i="17" s="1"/>
  <c r="P61" i="17"/>
  <c r="P60" i="17"/>
  <c r="P45" i="17"/>
  <c r="P42" i="17"/>
  <c r="Y178" i="17"/>
  <c r="Y179" i="17" s="1"/>
  <c r="Z179" i="17" s="1"/>
  <c r="Z475" i="17"/>
  <c r="Z147" i="17"/>
  <c r="Z150" i="17" s="1"/>
  <c r="R208" i="17"/>
  <c r="S323" i="17"/>
  <c r="T274" i="17"/>
  <c r="S106" i="16"/>
  <c r="Z259" i="17"/>
  <c r="Y170" i="17"/>
  <c r="Y173" i="17" s="1"/>
  <c r="Z169" i="17"/>
  <c r="Z76" i="17"/>
  <c r="T104" i="16"/>
  <c r="T37" i="16"/>
  <c r="U371" i="16"/>
  <c r="U372" i="16" s="1"/>
  <c r="Z259" i="16"/>
  <c r="Y170" i="16"/>
  <c r="Y173" i="16" s="1"/>
  <c r="Z169" i="16"/>
  <c r="Y178" i="16"/>
  <c r="Y179" i="16" s="1"/>
  <c r="Z177" i="16"/>
  <c r="Z178" i="16" s="1"/>
  <c r="S241" i="16"/>
  <c r="U102" i="16"/>
  <c r="S225" i="16"/>
  <c r="T210" i="16" s="1"/>
  <c r="V220" i="16"/>
  <c r="V115" i="16" s="1"/>
  <c r="V121" i="16" s="1"/>
  <c r="W264" i="16"/>
  <c r="V323" i="16"/>
  <c r="V266" i="16"/>
  <c r="Z16" i="16"/>
  <c r="Z11" i="16" s="1"/>
  <c r="Z12" i="16" s="1"/>
  <c r="V283" i="16"/>
  <c r="W283" i="16" s="1"/>
  <c r="V267" i="16"/>
  <c r="U268" i="16"/>
  <c r="Y259" i="17"/>
  <c r="U284" i="16"/>
  <c r="T287" i="16"/>
  <c r="Y476" i="17"/>
  <c r="Y259" i="16"/>
  <c r="Y476" i="16"/>
  <c r="Y291" i="16"/>
  <c r="Y189" i="16"/>
  <c r="Y12" i="16"/>
  <c r="X279" i="16"/>
  <c r="W280" i="16"/>
  <c r="X305" i="16"/>
  <c r="W306" i="16"/>
  <c r="X314" i="16"/>
  <c r="W315" i="16"/>
  <c r="W316" i="16" s="1"/>
  <c r="X292" i="16"/>
  <c r="W293" i="16"/>
  <c r="W294" i="16" s="1"/>
  <c r="W327" i="16" s="1"/>
  <c r="X309" i="16"/>
  <c r="W310" i="16"/>
  <c r="X301" i="16"/>
  <c r="W302" i="16"/>
  <c r="X297" i="16"/>
  <c r="W298" i="16"/>
  <c r="X274" i="16"/>
  <c r="X196" i="16"/>
  <c r="W297" i="17"/>
  <c r="W309" i="17"/>
  <c r="W314" i="17"/>
  <c r="W279" i="17"/>
  <c r="W305" i="17"/>
  <c r="W292" i="17"/>
  <c r="W301" i="17"/>
  <c r="W196" i="17"/>
  <c r="W197" i="17" s="1"/>
  <c r="W200" i="17" s="1"/>
  <c r="X136" i="16"/>
  <c r="W285" i="16"/>
  <c r="T496" i="17"/>
  <c r="V294" i="17"/>
  <c r="V327" i="17" s="1"/>
  <c r="V266" i="17"/>
  <c r="V265" i="17"/>
  <c r="V306" i="17"/>
  <c r="V310" i="17"/>
  <c r="V267" i="17"/>
  <c r="V280" i="17"/>
  <c r="V298" i="17"/>
  <c r="V315" i="17"/>
  <c r="V316" i="17" s="1"/>
  <c r="U268" i="17"/>
  <c r="V302" i="17"/>
  <c r="U362" i="17"/>
  <c r="T363" i="17"/>
  <c r="S101" i="17"/>
  <c r="S106" i="17" s="1"/>
  <c r="V336" i="17"/>
  <c r="T79" i="17"/>
  <c r="V369" i="17"/>
  <c r="W138" i="17"/>
  <c r="W137" i="17"/>
  <c r="V285" i="17"/>
  <c r="V370" i="17"/>
  <c r="V361" i="17"/>
  <c r="U80" i="17"/>
  <c r="T287" i="17"/>
  <c r="V140" i="17"/>
  <c r="R326" i="17"/>
  <c r="R328" i="17" s="1"/>
  <c r="X137" i="16"/>
  <c r="T501" i="17"/>
  <c r="T240" i="17"/>
  <c r="U239" i="17"/>
  <c r="V195" i="17"/>
  <c r="V478" i="17" s="1"/>
  <c r="V94" i="17"/>
  <c r="U478" i="17"/>
  <c r="V367" i="17"/>
  <c r="U368" i="17"/>
  <c r="U141" i="17"/>
  <c r="U142" i="17" s="1"/>
  <c r="U47" i="17" s="1"/>
  <c r="U34" i="17"/>
  <c r="S241" i="17"/>
  <c r="S225" i="17"/>
  <c r="S210" i="17"/>
  <c r="W191" i="17"/>
  <c r="W194" i="17" s="1"/>
  <c r="V360" i="17"/>
  <c r="T273" i="17"/>
  <c r="S275" i="17"/>
  <c r="S276" i="17" s="1"/>
  <c r="S324" i="17"/>
  <c r="Y183" i="17"/>
  <c r="X189" i="17"/>
  <c r="Q209" i="17"/>
  <c r="U90" i="17"/>
  <c r="V155" i="17"/>
  <c r="R223" i="17"/>
  <c r="W136" i="17"/>
  <c r="X13" i="17"/>
  <c r="W14" i="17"/>
  <c r="Q224" i="17"/>
  <c r="Y20" i="17"/>
  <c r="Y17" i="17"/>
  <c r="Y192" i="17" s="1"/>
  <c r="Q226" i="17"/>
  <c r="V345" i="17"/>
  <c r="U495" i="17"/>
  <c r="U346" i="17"/>
  <c r="V220" i="17"/>
  <c r="V115" i="17" s="1"/>
  <c r="V121" i="17" s="1"/>
  <c r="U429" i="17"/>
  <c r="U102" i="17" s="1"/>
  <c r="V428" i="17"/>
  <c r="R518" i="17"/>
  <c r="R446" i="17"/>
  <c r="R127" i="17" s="1"/>
  <c r="U341" i="17"/>
  <c r="U511" i="17"/>
  <c r="U512" i="17" s="1"/>
  <c r="U485" i="17"/>
  <c r="U488" i="17" s="1"/>
  <c r="V340" i="17"/>
  <c r="Y11" i="17"/>
  <c r="X12" i="17"/>
  <c r="W539" i="17"/>
  <c r="W264" i="17" s="1"/>
  <c r="V540" i="17"/>
  <c r="Q211" i="17"/>
  <c r="R513" i="17"/>
  <c r="R63" i="17"/>
  <c r="T443" i="17"/>
  <c r="S445" i="17"/>
  <c r="T74" i="17"/>
  <c r="U493" i="17"/>
  <c r="V358" i="17"/>
  <c r="U359" i="17"/>
  <c r="V395" i="17"/>
  <c r="U397" i="17"/>
  <c r="U103" i="17" s="1"/>
  <c r="S474" i="17"/>
  <c r="T351" i="17"/>
  <c r="S353" i="17"/>
  <c r="Q520" i="17"/>
  <c r="R88" i="17"/>
  <c r="R93" i="17" s="1"/>
  <c r="V335" i="17"/>
  <c r="U337" i="17"/>
  <c r="U36" i="17" s="1"/>
  <c r="U286" i="17"/>
  <c r="V283" i="17"/>
  <c r="U284" i="17"/>
  <c r="Q479" i="17"/>
  <c r="T104" i="17"/>
  <c r="T37" i="17"/>
  <c r="T371" i="17"/>
  <c r="T372" i="17" s="1"/>
  <c r="Q354" i="17"/>
  <c r="V243" i="17"/>
  <c r="V80" i="16"/>
  <c r="U79" i="16"/>
  <c r="Q56" i="16"/>
  <c r="Q227" i="16"/>
  <c r="W361" i="16"/>
  <c r="W360" i="16"/>
  <c r="W336" i="16"/>
  <c r="W370" i="16"/>
  <c r="U363" i="16"/>
  <c r="U496" i="16"/>
  <c r="W369" i="16"/>
  <c r="V141" i="16"/>
  <c r="V142" i="16" s="1"/>
  <c r="V47" i="16" s="1"/>
  <c r="R226" i="16"/>
  <c r="X539" i="16"/>
  <c r="W540" i="16"/>
  <c r="R354" i="16"/>
  <c r="R209" i="16"/>
  <c r="Q212" i="16"/>
  <c r="S223" i="16"/>
  <c r="T101" i="16"/>
  <c r="W358" i="16"/>
  <c r="V493" i="16"/>
  <c r="V359" i="16"/>
  <c r="R211" i="16"/>
  <c r="V341" i="16"/>
  <c r="V511" i="16"/>
  <c r="V512" i="16" s="1"/>
  <c r="W340" i="16"/>
  <c r="V485" i="16"/>
  <c r="V488" i="16" s="1"/>
  <c r="W140" i="16"/>
  <c r="S513" i="16"/>
  <c r="S63" i="16"/>
  <c r="R224" i="16"/>
  <c r="X191" i="16"/>
  <c r="X194" i="16" s="1"/>
  <c r="R520" i="16"/>
  <c r="U443" i="16"/>
  <c r="T474" i="16"/>
  <c r="T445" i="16"/>
  <c r="U104" i="16"/>
  <c r="U37" i="16"/>
  <c r="W367" i="16"/>
  <c r="V368" i="16"/>
  <c r="T353" i="16"/>
  <c r="U351" i="16"/>
  <c r="U347" i="16"/>
  <c r="U74" i="16"/>
  <c r="S88" i="16"/>
  <c r="S93" i="16" s="1"/>
  <c r="V362" i="16"/>
  <c r="W395" i="16"/>
  <c r="V397" i="16"/>
  <c r="V103" i="16" s="1"/>
  <c r="V478" i="16"/>
  <c r="W155" i="16"/>
  <c r="V90" i="16"/>
  <c r="S518" i="16"/>
  <c r="S446" i="16"/>
  <c r="S127" i="16" s="1"/>
  <c r="T275" i="16"/>
  <c r="T276" i="16" s="1"/>
  <c r="U273" i="16"/>
  <c r="T324" i="16"/>
  <c r="W428" i="16"/>
  <c r="V429" i="16"/>
  <c r="S326" i="16"/>
  <c r="S328" i="16" s="1"/>
  <c r="V495" i="16"/>
  <c r="W345" i="16"/>
  <c r="V346" i="16"/>
  <c r="V239" i="16"/>
  <c r="W243" i="16"/>
  <c r="V337" i="16"/>
  <c r="V36" i="16" s="1"/>
  <c r="W335" i="16"/>
  <c r="U501" i="16"/>
  <c r="X138" i="16"/>
  <c r="X14" i="16"/>
  <c r="Y13" i="16"/>
  <c r="S208" i="16"/>
  <c r="R479" i="16"/>
  <c r="V34" i="16"/>
  <c r="W94" i="16"/>
  <c r="W195" i="16"/>
  <c r="U240" i="16"/>
  <c r="U241" i="16" s="1"/>
  <c r="Y134" i="23" l="1"/>
  <c r="Y135" i="23"/>
  <c r="Y135" i="24"/>
  <c r="Y134" i="17"/>
  <c r="Z134" i="17" s="1"/>
  <c r="Y135" i="17"/>
  <c r="Z135" i="17" s="1"/>
  <c r="Y134" i="25"/>
  <c r="W285" i="24"/>
  <c r="U79" i="23"/>
  <c r="Z17" i="17"/>
  <c r="Q122" i="23"/>
  <c r="Q128" i="23" s="1"/>
  <c r="Y192" i="24"/>
  <c r="Y291" i="24" s="1"/>
  <c r="X136" i="24"/>
  <c r="V80" i="23"/>
  <c r="Q56" i="24"/>
  <c r="V80" i="24"/>
  <c r="W293" i="25"/>
  <c r="W294" i="25" s="1"/>
  <c r="W327" i="25" s="1"/>
  <c r="X279" i="25"/>
  <c r="X136" i="23"/>
  <c r="T101" i="25"/>
  <c r="T106" i="25" s="1"/>
  <c r="X138" i="24"/>
  <c r="U79" i="24"/>
  <c r="W280" i="25"/>
  <c r="V34" i="24"/>
  <c r="V267" i="24"/>
  <c r="W336" i="23"/>
  <c r="W140" i="25"/>
  <c r="V337" i="25"/>
  <c r="V36" i="25" s="1"/>
  <c r="W336" i="25"/>
  <c r="R211" i="24"/>
  <c r="R212" i="24" s="1"/>
  <c r="W336" i="24"/>
  <c r="W140" i="23"/>
  <c r="W360" i="23"/>
  <c r="S479" i="25"/>
  <c r="U496" i="23"/>
  <c r="W335" i="25"/>
  <c r="W369" i="25"/>
  <c r="X292" i="25"/>
  <c r="X274" i="25"/>
  <c r="W360" i="25"/>
  <c r="S326" i="25"/>
  <c r="S328" i="25" s="1"/>
  <c r="V362" i="24"/>
  <c r="U363" i="25"/>
  <c r="X274" i="24"/>
  <c r="W285" i="23"/>
  <c r="U287" i="23"/>
  <c r="R209" i="23"/>
  <c r="Q95" i="23"/>
  <c r="Q96" i="23" s="1"/>
  <c r="U287" i="25"/>
  <c r="V267" i="25"/>
  <c r="U496" i="24"/>
  <c r="X136" i="25"/>
  <c r="U287" i="24"/>
  <c r="R328" i="23"/>
  <c r="R226" i="23" s="1"/>
  <c r="R227" i="23" s="1"/>
  <c r="W370" i="23"/>
  <c r="U501" i="23"/>
  <c r="V90" i="23"/>
  <c r="W155" i="23"/>
  <c r="U347" i="25"/>
  <c r="U74" i="25"/>
  <c r="W370" i="24"/>
  <c r="X309" i="25"/>
  <c r="W310" i="25"/>
  <c r="W243" i="23"/>
  <c r="Z183" i="23"/>
  <c r="Z189" i="23" s="1"/>
  <c r="Z17" i="23"/>
  <c r="Z192" i="23" s="1"/>
  <c r="Z291" i="23" s="1"/>
  <c r="Z293" i="23" s="1"/>
  <c r="Z294" i="23" s="1"/>
  <c r="Z327" i="23" s="1"/>
  <c r="Z20" i="23"/>
  <c r="R328" i="25"/>
  <c r="R211" i="25" s="1"/>
  <c r="W369" i="23"/>
  <c r="V34" i="23"/>
  <c r="V141" i="23"/>
  <c r="V142" i="23" s="1"/>
  <c r="V47" i="23" s="1"/>
  <c r="Q497" i="25"/>
  <c r="Q51" i="25"/>
  <c r="Y12" i="23"/>
  <c r="Z11" i="23"/>
  <c r="Z12" i="23" s="1"/>
  <c r="T445" i="24"/>
  <c r="T474" i="24"/>
  <c r="U443" i="24"/>
  <c r="V362" i="25"/>
  <c r="U501" i="25"/>
  <c r="V493" i="25"/>
  <c r="W358" i="25"/>
  <c r="V359" i="25"/>
  <c r="V478" i="23"/>
  <c r="R209" i="25"/>
  <c r="W298" i="25"/>
  <c r="X297" i="25"/>
  <c r="W360" i="24"/>
  <c r="T241" i="23"/>
  <c r="T210" i="23"/>
  <c r="T225" i="23"/>
  <c r="Y13" i="24"/>
  <c r="X14" i="24"/>
  <c r="W370" i="25"/>
  <c r="S518" i="23"/>
  <c r="S446" i="23"/>
  <c r="S127" i="23" s="1"/>
  <c r="T353" i="24"/>
  <c r="U351" i="24"/>
  <c r="W283" i="23"/>
  <c r="V286" i="23"/>
  <c r="V284" i="23"/>
  <c r="U268" i="25"/>
  <c r="Z183" i="25"/>
  <c r="Z189" i="25" s="1"/>
  <c r="Y189" i="25"/>
  <c r="W195" i="23"/>
  <c r="W94" i="23"/>
  <c r="W345" i="24"/>
  <c r="V495" i="24"/>
  <c r="V346" i="24"/>
  <c r="Q500" i="24"/>
  <c r="Q492" i="24"/>
  <c r="Q489" i="24"/>
  <c r="S88" i="23"/>
  <c r="S93" i="23" s="1"/>
  <c r="X191" i="25"/>
  <c r="X194" i="25" s="1"/>
  <c r="V495" i="25"/>
  <c r="W345" i="25"/>
  <c r="V346" i="25"/>
  <c r="W243" i="24"/>
  <c r="U347" i="23"/>
  <c r="U74" i="23"/>
  <c r="U501" i="24"/>
  <c r="Q506" i="25"/>
  <c r="Q521" i="25" s="1"/>
  <c r="Q522" i="25" s="1"/>
  <c r="Q503" i="25"/>
  <c r="Q71" i="25" s="1"/>
  <c r="S88" i="25"/>
  <c r="S93" i="25" s="1"/>
  <c r="U37" i="25"/>
  <c r="U104" i="25"/>
  <c r="U496" i="25"/>
  <c r="V284" i="25"/>
  <c r="W283" i="25"/>
  <c r="V286" i="25"/>
  <c r="X309" i="24"/>
  <c r="W310" i="24"/>
  <c r="X314" i="25"/>
  <c r="W315" i="25"/>
  <c r="W316" i="25" s="1"/>
  <c r="U240" i="23"/>
  <c r="V239" i="23"/>
  <c r="Q227" i="25"/>
  <c r="Q95" i="25" s="1"/>
  <c r="W361" i="25"/>
  <c r="T372" i="24"/>
  <c r="T101" i="24" s="1"/>
  <c r="T106" i="24" s="1"/>
  <c r="U371" i="24"/>
  <c r="U372" i="24" s="1"/>
  <c r="Z20" i="25"/>
  <c r="Z17" i="25"/>
  <c r="Z135" i="25" s="1"/>
  <c r="X94" i="23"/>
  <c r="X195" i="23"/>
  <c r="Y191" i="24"/>
  <c r="S88" i="24"/>
  <c r="S93" i="24" s="1"/>
  <c r="Q480" i="23"/>
  <c r="Q230" i="23" s="1"/>
  <c r="W195" i="25"/>
  <c r="W94" i="25"/>
  <c r="T372" i="23"/>
  <c r="T101" i="23" s="1"/>
  <c r="T106" i="23" s="1"/>
  <c r="U371" i="23"/>
  <c r="U372" i="23" s="1"/>
  <c r="V478" i="25"/>
  <c r="W306" i="25"/>
  <c r="X305" i="25"/>
  <c r="V495" i="23"/>
  <c r="W345" i="23"/>
  <c r="V346" i="23"/>
  <c r="V341" i="24"/>
  <c r="V511" i="24"/>
  <c r="V512" i="24" s="1"/>
  <c r="W340" i="24"/>
  <c r="V485" i="24"/>
  <c r="V488" i="24" s="1"/>
  <c r="Y197" i="23"/>
  <c r="Y200" i="23" s="1"/>
  <c r="Y191" i="23"/>
  <c r="Y194" i="23" s="1"/>
  <c r="W367" i="23"/>
  <c r="V368" i="23"/>
  <c r="X539" i="25"/>
  <c r="W540" i="25"/>
  <c r="T445" i="25"/>
  <c r="U443" i="25"/>
  <c r="T474" i="25"/>
  <c r="R226" i="24"/>
  <c r="Q227" i="24"/>
  <c r="W369" i="24"/>
  <c r="X291" i="25"/>
  <c r="Y192" i="25"/>
  <c r="W293" i="24"/>
  <c r="W294" i="24" s="1"/>
  <c r="W327" i="24" s="1"/>
  <c r="X292" i="24"/>
  <c r="R354" i="23"/>
  <c r="V239" i="25"/>
  <c r="W243" i="25"/>
  <c r="X14" i="23"/>
  <c r="Y13" i="23"/>
  <c r="V511" i="25"/>
  <c r="V512" i="25" s="1"/>
  <c r="W340" i="25"/>
  <c r="V485" i="25"/>
  <c r="V488" i="25" s="1"/>
  <c r="V341" i="25"/>
  <c r="S513" i="24"/>
  <c r="S63" i="24"/>
  <c r="Z11" i="25"/>
  <c r="Z12" i="25" s="1"/>
  <c r="Y12" i="25"/>
  <c r="V362" i="23"/>
  <c r="U363" i="23"/>
  <c r="W283" i="24"/>
  <c r="V286" i="24"/>
  <c r="V284" i="24"/>
  <c r="T324" i="25"/>
  <c r="T223" i="25" s="1"/>
  <c r="T275" i="25"/>
  <c r="T276" i="25" s="1"/>
  <c r="U273" i="25"/>
  <c r="W361" i="23"/>
  <c r="U37" i="24"/>
  <c r="U104" i="24"/>
  <c r="U273" i="23"/>
  <c r="T324" i="23"/>
  <c r="T275" i="23"/>
  <c r="T276" i="23" s="1"/>
  <c r="X196" i="25"/>
  <c r="X197" i="25" s="1"/>
  <c r="X200" i="25" s="1"/>
  <c r="S518" i="25"/>
  <c r="S446" i="25"/>
  <c r="S127" i="25" s="1"/>
  <c r="T208" i="25"/>
  <c r="V478" i="24"/>
  <c r="W395" i="23"/>
  <c r="V397" i="23"/>
  <c r="V103" i="23" s="1"/>
  <c r="X138" i="23"/>
  <c r="R354" i="24"/>
  <c r="W361" i="24"/>
  <c r="T353" i="23"/>
  <c r="U351" i="23"/>
  <c r="W220" i="24"/>
  <c r="W115" i="24" s="1"/>
  <c r="W121" i="24" s="1"/>
  <c r="W428" i="24"/>
  <c r="V429" i="24"/>
  <c r="V102" i="24" s="1"/>
  <c r="R520" i="23"/>
  <c r="U268" i="24"/>
  <c r="U240" i="25"/>
  <c r="X137" i="24"/>
  <c r="V493" i="23"/>
  <c r="W358" i="23"/>
  <c r="V359" i="23"/>
  <c r="V90" i="25"/>
  <c r="W155" i="25"/>
  <c r="W306" i="24"/>
  <c r="X305" i="24"/>
  <c r="X137" i="23"/>
  <c r="W140" i="24"/>
  <c r="S223" i="23"/>
  <c r="Z183" i="24"/>
  <c r="Z189" i="24" s="1"/>
  <c r="Z17" i="24"/>
  <c r="Z134" i="24" s="1"/>
  <c r="Z20" i="24"/>
  <c r="U104" i="23"/>
  <c r="U37" i="23"/>
  <c r="R520" i="25"/>
  <c r="X301" i="25"/>
  <c r="Y13" i="25"/>
  <c r="X14" i="25"/>
  <c r="T353" i="25"/>
  <c r="U351" i="25"/>
  <c r="S209" i="24"/>
  <c r="X137" i="25"/>
  <c r="R520" i="24"/>
  <c r="U240" i="24"/>
  <c r="V239" i="24"/>
  <c r="S513" i="23"/>
  <c r="S63" i="23"/>
  <c r="X314" i="24"/>
  <c r="W315" i="24"/>
  <c r="W316" i="24" s="1"/>
  <c r="T210" i="25"/>
  <c r="T225" i="25"/>
  <c r="W264" i="24"/>
  <c r="W323" i="24" s="1"/>
  <c r="V265" i="24"/>
  <c r="V266" i="24"/>
  <c r="X297" i="24"/>
  <c r="W298" i="24"/>
  <c r="V429" i="23"/>
  <c r="V102" i="23" s="1"/>
  <c r="W428" i="23"/>
  <c r="W220" i="23"/>
  <c r="W115" i="23" s="1"/>
  <c r="W121" i="23" s="1"/>
  <c r="W155" i="24"/>
  <c r="V90" i="24"/>
  <c r="S208" i="23"/>
  <c r="U347" i="24"/>
  <c r="U74" i="24"/>
  <c r="W302" i="25"/>
  <c r="W335" i="24"/>
  <c r="V337" i="24"/>
  <c r="V36" i="24" s="1"/>
  <c r="S326" i="23"/>
  <c r="S328" i="23" s="1"/>
  <c r="V141" i="24"/>
  <c r="V142" i="24" s="1"/>
  <c r="V47" i="24" s="1"/>
  <c r="W280" i="24"/>
  <c r="X279" i="24"/>
  <c r="R354" i="25"/>
  <c r="W367" i="25"/>
  <c r="V368" i="25"/>
  <c r="S513" i="25"/>
  <c r="S63" i="25"/>
  <c r="W540" i="24"/>
  <c r="X539" i="24"/>
  <c r="Q212" i="24"/>
  <c r="U363" i="24"/>
  <c r="X138" i="25"/>
  <c r="T241" i="24"/>
  <c r="T225" i="24"/>
  <c r="T210" i="24"/>
  <c r="S224" i="24"/>
  <c r="Z183" i="16"/>
  <c r="Z189" i="16" s="1"/>
  <c r="Z191" i="16" s="1"/>
  <c r="V323" i="24"/>
  <c r="V80" i="25"/>
  <c r="V79" i="25" s="1"/>
  <c r="W395" i="25"/>
  <c r="V397" i="25"/>
  <c r="V103" i="25" s="1"/>
  <c r="S479" i="24"/>
  <c r="T208" i="24"/>
  <c r="Y12" i="24"/>
  <c r="Z11" i="24"/>
  <c r="Z12" i="24" s="1"/>
  <c r="W428" i="25"/>
  <c r="V429" i="25"/>
  <c r="V102" i="25" s="1"/>
  <c r="W220" i="25"/>
  <c r="W115" i="25" s="1"/>
  <c r="W121" i="25" s="1"/>
  <c r="T275" i="24"/>
  <c r="T276" i="24" s="1"/>
  <c r="T326" i="24" s="1"/>
  <c r="T328" i="24" s="1"/>
  <c r="U273" i="24"/>
  <c r="T324" i="24"/>
  <c r="T223" i="24" s="1"/>
  <c r="X191" i="24"/>
  <c r="X194" i="24" s="1"/>
  <c r="V485" i="23"/>
  <c r="V488" i="23" s="1"/>
  <c r="V341" i="23"/>
  <c r="V511" i="23"/>
  <c r="V512" i="23" s="1"/>
  <c r="W340" i="23"/>
  <c r="W94" i="24"/>
  <c r="W195" i="24"/>
  <c r="S518" i="24"/>
  <c r="S446" i="24"/>
  <c r="S127" i="24" s="1"/>
  <c r="V141" i="25"/>
  <c r="V142" i="25" s="1"/>
  <c r="V47" i="25" s="1"/>
  <c r="V34" i="25"/>
  <c r="W540" i="23"/>
  <c r="X539" i="23"/>
  <c r="W395" i="24"/>
  <c r="V397" i="24"/>
  <c r="V103" i="24" s="1"/>
  <c r="V493" i="24"/>
  <c r="W358" i="24"/>
  <c r="V359" i="24"/>
  <c r="W367" i="24"/>
  <c r="V368" i="24"/>
  <c r="U443" i="23"/>
  <c r="T445" i="23"/>
  <c r="T474" i="23"/>
  <c r="V337" i="23"/>
  <c r="V36" i="23" s="1"/>
  <c r="W335" i="23"/>
  <c r="W285" i="25"/>
  <c r="W302" i="24"/>
  <c r="X301" i="24"/>
  <c r="V265" i="25"/>
  <c r="V266" i="25"/>
  <c r="W264" i="25"/>
  <c r="X196" i="24"/>
  <c r="X197" i="24" s="1"/>
  <c r="X200" i="24" s="1"/>
  <c r="U371" i="25"/>
  <c r="S208" i="17"/>
  <c r="U274" i="17"/>
  <c r="T323" i="17"/>
  <c r="V371" i="16"/>
  <c r="V372" i="16" s="1"/>
  <c r="Y92" i="17"/>
  <c r="Y189" i="17"/>
  <c r="Y191" i="17" s="1"/>
  <c r="Y194" i="17" s="1"/>
  <c r="Z183" i="17"/>
  <c r="Z189" i="17" s="1"/>
  <c r="Z170" i="17"/>
  <c r="Z173" i="17" s="1"/>
  <c r="Z92" i="17" s="1"/>
  <c r="Z476" i="17"/>
  <c r="Y291" i="17"/>
  <c r="Z192" i="17"/>
  <c r="Z291" i="17" s="1"/>
  <c r="T106" i="16"/>
  <c r="V102" i="16"/>
  <c r="W220" i="16"/>
  <c r="W115" i="16" s="1"/>
  <c r="W121" i="16" s="1"/>
  <c r="T225" i="16"/>
  <c r="U210" i="16" s="1"/>
  <c r="Y92" i="16"/>
  <c r="Z179" i="16"/>
  <c r="Z170" i="16"/>
  <c r="Z173" i="16" s="1"/>
  <c r="Z476" i="16"/>
  <c r="W266" i="16"/>
  <c r="W265" i="16"/>
  <c r="X264" i="16"/>
  <c r="X323" i="16" s="1"/>
  <c r="W323" i="16"/>
  <c r="V286" i="16"/>
  <c r="W286" i="16" s="1"/>
  <c r="V268" i="16"/>
  <c r="W267" i="16"/>
  <c r="Z17" i="16"/>
  <c r="Z192" i="16" s="1"/>
  <c r="Z291" i="16" s="1"/>
  <c r="Z20" i="16"/>
  <c r="Z13" i="16"/>
  <c r="V284" i="16"/>
  <c r="U287" i="16"/>
  <c r="Y12" i="17"/>
  <c r="Z11" i="17"/>
  <c r="Z12" i="17" s="1"/>
  <c r="Y191" i="16"/>
  <c r="X197" i="16"/>
  <c r="X200" i="16" s="1"/>
  <c r="Y14" i="16"/>
  <c r="Y196" i="16"/>
  <c r="Z196" i="16" s="1"/>
  <c r="Y309" i="16"/>
  <c r="Z309" i="16" s="1"/>
  <c r="X310" i="16"/>
  <c r="Y279" i="16"/>
  <c r="Z279" i="16" s="1"/>
  <c r="X280" i="16"/>
  <c r="Y301" i="16"/>
  <c r="Z301" i="16" s="1"/>
  <c r="X302" i="16"/>
  <c r="Y274" i="16"/>
  <c r="Z274" i="16" s="1"/>
  <c r="Y292" i="16"/>
  <c r="Z292" i="16" s="1"/>
  <c r="X293" i="16"/>
  <c r="X294" i="16" s="1"/>
  <c r="X327" i="16" s="1"/>
  <c r="Y305" i="16"/>
  <c r="Z305" i="16" s="1"/>
  <c r="X306" i="16"/>
  <c r="Y297" i="16"/>
  <c r="Z297" i="16" s="1"/>
  <c r="Z298" i="16" s="1"/>
  <c r="X298" i="16"/>
  <c r="Y314" i="16"/>
  <c r="Z314" i="16" s="1"/>
  <c r="Z315" i="16" s="1"/>
  <c r="Z316" i="16" s="1"/>
  <c r="X315" i="16"/>
  <c r="X316" i="16" s="1"/>
  <c r="X292" i="17"/>
  <c r="X305" i="17"/>
  <c r="X279" i="17"/>
  <c r="X314" i="17"/>
  <c r="X309" i="17"/>
  <c r="X297" i="17"/>
  <c r="X196" i="17"/>
  <c r="X197" i="17" s="1"/>
  <c r="X200" i="17" s="1"/>
  <c r="X301" i="17"/>
  <c r="T101" i="17"/>
  <c r="T106" i="17" s="1"/>
  <c r="V268" i="17"/>
  <c r="W266" i="17"/>
  <c r="W265" i="17"/>
  <c r="W310" i="17"/>
  <c r="W302" i="17"/>
  <c r="W280" i="17"/>
  <c r="W306" i="17"/>
  <c r="W293" i="17"/>
  <c r="W294" i="17" s="1"/>
  <c r="W327" i="17" s="1"/>
  <c r="W298" i="17"/>
  <c r="W315" i="17"/>
  <c r="W316" i="17" s="1"/>
  <c r="W267" i="17"/>
  <c r="U363" i="17"/>
  <c r="V362" i="17"/>
  <c r="X138" i="17"/>
  <c r="W140" i="17"/>
  <c r="U79" i="17"/>
  <c r="W243" i="17"/>
  <c r="R520" i="17"/>
  <c r="W360" i="17"/>
  <c r="V34" i="17"/>
  <c r="U287" i="17"/>
  <c r="R224" i="17"/>
  <c r="S326" i="17"/>
  <c r="S328" i="17" s="1"/>
  <c r="U496" i="17"/>
  <c r="W369" i="17"/>
  <c r="W370" i="17"/>
  <c r="Q227" i="17"/>
  <c r="W336" i="17"/>
  <c r="V90" i="17"/>
  <c r="W155" i="17"/>
  <c r="U371" i="17"/>
  <c r="U372" i="17" s="1"/>
  <c r="Q122" i="17"/>
  <c r="Q128" i="17" s="1"/>
  <c r="Q56" i="17"/>
  <c r="V284" i="17"/>
  <c r="W283" i="17"/>
  <c r="V286" i="17"/>
  <c r="W395" i="17"/>
  <c r="V397" i="17"/>
  <c r="V103" i="17" s="1"/>
  <c r="R354" i="17"/>
  <c r="W220" i="17"/>
  <c r="W115" i="17" s="1"/>
  <c r="W121" i="17" s="1"/>
  <c r="V429" i="17"/>
  <c r="V102" i="17" s="1"/>
  <c r="W428" i="17"/>
  <c r="T324" i="17"/>
  <c r="T275" i="17"/>
  <c r="T276" i="17" s="1"/>
  <c r="U273" i="17"/>
  <c r="W195" i="17"/>
  <c r="W478" i="17" s="1"/>
  <c r="W94" i="17"/>
  <c r="W367" i="17"/>
  <c r="V368" i="17"/>
  <c r="R209" i="17"/>
  <c r="W361" i="17"/>
  <c r="W335" i="17"/>
  <c r="V337" i="17"/>
  <c r="V36" i="17" s="1"/>
  <c r="V493" i="17"/>
  <c r="W358" i="17"/>
  <c r="V359" i="17"/>
  <c r="W340" i="17"/>
  <c r="V511" i="17"/>
  <c r="V512" i="17" s="1"/>
  <c r="V341" i="17"/>
  <c r="V485" i="17"/>
  <c r="V488" i="17" s="1"/>
  <c r="V80" i="17"/>
  <c r="U501" i="17"/>
  <c r="U347" i="17"/>
  <c r="U74" i="17"/>
  <c r="Y13" i="17"/>
  <c r="X14" i="17"/>
  <c r="X191" i="17"/>
  <c r="X194" i="17" s="1"/>
  <c r="Q212" i="17"/>
  <c r="R211" i="17"/>
  <c r="S513" i="17"/>
  <c r="S63" i="17"/>
  <c r="X136" i="17"/>
  <c r="T474" i="17"/>
  <c r="U351" i="17"/>
  <c r="T353" i="17"/>
  <c r="S518" i="17"/>
  <c r="S446" i="17"/>
  <c r="S127" i="17" s="1"/>
  <c r="U37" i="17"/>
  <c r="U104" i="17"/>
  <c r="V495" i="17"/>
  <c r="W345" i="17"/>
  <c r="V346" i="17"/>
  <c r="V239" i="17"/>
  <c r="U240" i="17"/>
  <c r="S88" i="17"/>
  <c r="S93" i="17" s="1"/>
  <c r="T445" i="17"/>
  <c r="U443" i="17"/>
  <c r="X539" i="17"/>
  <c r="X264" i="17" s="1"/>
  <c r="W540" i="17"/>
  <c r="R226" i="17"/>
  <c r="S223" i="17"/>
  <c r="W285" i="17"/>
  <c r="X137" i="17"/>
  <c r="R479" i="17"/>
  <c r="T241" i="17"/>
  <c r="T225" i="17"/>
  <c r="T210" i="17"/>
  <c r="V141" i="17"/>
  <c r="V142" i="17" s="1"/>
  <c r="V47" i="17" s="1"/>
  <c r="V79" i="16"/>
  <c r="W80" i="16"/>
  <c r="W362" i="16"/>
  <c r="X360" i="16"/>
  <c r="Q95" i="16"/>
  <c r="R212" i="16"/>
  <c r="U101" i="16"/>
  <c r="U106" i="16" s="1"/>
  <c r="Y137" i="16"/>
  <c r="Y138" i="16"/>
  <c r="V501" i="16"/>
  <c r="S224" i="16"/>
  <c r="Y539" i="16"/>
  <c r="X540" i="16"/>
  <c r="W239" i="16"/>
  <c r="X243" i="16"/>
  <c r="T518" i="16"/>
  <c r="T446" i="16"/>
  <c r="T127" i="16" s="1"/>
  <c r="X195" i="16"/>
  <c r="X94" i="16"/>
  <c r="T88" i="16"/>
  <c r="T93" i="16" s="1"/>
  <c r="V347" i="16"/>
  <c r="V74" i="16"/>
  <c r="W429" i="16"/>
  <c r="X428" i="16"/>
  <c r="X369" i="16"/>
  <c r="V443" i="16"/>
  <c r="U474" i="16"/>
  <c r="U445" i="16"/>
  <c r="S211" i="16"/>
  <c r="T223" i="16"/>
  <c r="S226" i="16"/>
  <c r="V104" i="16"/>
  <c r="V37" i="16"/>
  <c r="T208" i="16"/>
  <c r="S479" i="16"/>
  <c r="X336" i="16"/>
  <c r="W495" i="16"/>
  <c r="X345" i="16"/>
  <c r="W346" i="16"/>
  <c r="W90" i="16"/>
  <c r="X155" i="16"/>
  <c r="X140" i="16"/>
  <c r="S354" i="16"/>
  <c r="X361" i="16"/>
  <c r="U353" i="16"/>
  <c r="V351" i="16"/>
  <c r="S520" i="16"/>
  <c r="V363" i="16"/>
  <c r="V240" i="16"/>
  <c r="V241" i="16" s="1"/>
  <c r="X395" i="16"/>
  <c r="W397" i="16"/>
  <c r="W103" i="16" s="1"/>
  <c r="X367" i="16"/>
  <c r="W368" i="16"/>
  <c r="X283" i="16"/>
  <c r="W478" i="16"/>
  <c r="U275" i="16"/>
  <c r="U276" i="16" s="1"/>
  <c r="V273" i="16"/>
  <c r="U324" i="16"/>
  <c r="T513" i="16"/>
  <c r="T63" i="16"/>
  <c r="W141" i="16"/>
  <c r="W142" i="16" s="1"/>
  <c r="W47" i="16" s="1"/>
  <c r="W34" i="16"/>
  <c r="V496" i="16"/>
  <c r="X335" i="16"/>
  <c r="W337" i="16"/>
  <c r="W36" i="16" s="1"/>
  <c r="T326" i="16"/>
  <c r="T328" i="16" s="1"/>
  <c r="X370" i="16"/>
  <c r="X358" i="16"/>
  <c r="W493" i="16"/>
  <c r="W359" i="16"/>
  <c r="S209" i="16"/>
  <c r="X285" i="16"/>
  <c r="R227" i="16"/>
  <c r="W511" i="16"/>
  <c r="W512" i="16" s="1"/>
  <c r="X340" i="16"/>
  <c r="W341" i="16"/>
  <c r="W485" i="16"/>
  <c r="W488" i="16" s="1"/>
  <c r="Y136" i="16"/>
  <c r="R122" i="16"/>
  <c r="R128" i="16" s="1"/>
  <c r="R56" i="16"/>
  <c r="Z134" i="25" l="1"/>
  <c r="Z135" i="24"/>
  <c r="Z135" i="16"/>
  <c r="Z134" i="16"/>
  <c r="Z135" i="23"/>
  <c r="Z134" i="23"/>
  <c r="X369" i="24"/>
  <c r="X285" i="24"/>
  <c r="V79" i="23"/>
  <c r="Y194" i="24"/>
  <c r="Y94" i="24" s="1"/>
  <c r="S520" i="23"/>
  <c r="W267" i="25"/>
  <c r="Y136" i="23"/>
  <c r="X336" i="25"/>
  <c r="V79" i="24"/>
  <c r="W34" i="25"/>
  <c r="X280" i="25"/>
  <c r="Y138" i="24"/>
  <c r="X336" i="23"/>
  <c r="S520" i="25"/>
  <c r="Y274" i="25"/>
  <c r="Y136" i="24"/>
  <c r="V496" i="24"/>
  <c r="R211" i="23"/>
  <c r="S211" i="23" s="1"/>
  <c r="Y137" i="23"/>
  <c r="T326" i="25"/>
  <c r="T328" i="25" s="1"/>
  <c r="W34" i="23"/>
  <c r="W337" i="25"/>
  <c r="W36" i="25" s="1"/>
  <c r="X293" i="25"/>
  <c r="X294" i="25" s="1"/>
  <c r="X327" i="25" s="1"/>
  <c r="Y274" i="24"/>
  <c r="S226" i="24"/>
  <c r="S227" i="24" s="1"/>
  <c r="X361" i="24"/>
  <c r="V501" i="23"/>
  <c r="W362" i="24"/>
  <c r="W141" i="23"/>
  <c r="W142" i="23" s="1"/>
  <c r="W47" i="23" s="1"/>
  <c r="S224" i="25"/>
  <c r="V363" i="24"/>
  <c r="X370" i="23"/>
  <c r="Y137" i="24"/>
  <c r="W362" i="23"/>
  <c r="W362" i="25"/>
  <c r="S354" i="25"/>
  <c r="S122" i="25" s="1"/>
  <c r="S128" i="25" s="1"/>
  <c r="X243" i="24"/>
  <c r="X360" i="23"/>
  <c r="V371" i="25"/>
  <c r="V372" i="25" s="1"/>
  <c r="X369" i="25"/>
  <c r="U101" i="24"/>
  <c r="U106" i="24" s="1"/>
  <c r="X361" i="23"/>
  <c r="Y138" i="25"/>
  <c r="R226" i="25"/>
  <c r="S211" i="25" s="1"/>
  <c r="V363" i="23"/>
  <c r="X310" i="25"/>
  <c r="Y137" i="25"/>
  <c r="V287" i="23"/>
  <c r="U372" i="25"/>
  <c r="U101" i="25" s="1"/>
  <c r="U106" i="25" s="1"/>
  <c r="V287" i="24"/>
  <c r="X285" i="25"/>
  <c r="V496" i="23"/>
  <c r="V501" i="25"/>
  <c r="R227" i="24"/>
  <c r="R95" i="24" s="1"/>
  <c r="V268" i="24"/>
  <c r="S354" i="23"/>
  <c r="S122" i="23" s="1"/>
  <c r="S128" i="23" s="1"/>
  <c r="Q504" i="25"/>
  <c r="Q95" i="24"/>
  <c r="Q96" i="24" s="1"/>
  <c r="Z293" i="16"/>
  <c r="U101" i="23"/>
  <c r="U106" i="23" s="1"/>
  <c r="U208" i="24"/>
  <c r="Y136" i="25"/>
  <c r="X336" i="24"/>
  <c r="V363" i="25"/>
  <c r="T88" i="23"/>
  <c r="T93" i="23" s="1"/>
  <c r="V37" i="23"/>
  <c r="V104" i="23"/>
  <c r="X220" i="23"/>
  <c r="X115" i="23" s="1"/>
  <c r="X121" i="23" s="1"/>
  <c r="X428" i="23"/>
  <c r="W429" i="23"/>
  <c r="W102" i="23" s="1"/>
  <c r="Y314" i="24"/>
  <c r="X315" i="24"/>
  <c r="X316" i="24" s="1"/>
  <c r="X302" i="25"/>
  <c r="Y301" i="25"/>
  <c r="Y138" i="23"/>
  <c r="W511" i="25"/>
  <c r="W512" i="25" s="1"/>
  <c r="W485" i="25"/>
  <c r="W488" i="25" s="1"/>
  <c r="X340" i="25"/>
  <c r="W341" i="25"/>
  <c r="R122" i="23"/>
  <c r="R128" i="23" s="1"/>
  <c r="R56" i="23"/>
  <c r="X367" i="23"/>
  <c r="W368" i="23"/>
  <c r="X306" i="25"/>
  <c r="Y305" i="25"/>
  <c r="X361" i="25"/>
  <c r="X285" i="23"/>
  <c r="Q506" i="24"/>
  <c r="Q521" i="24" s="1"/>
  <c r="Q522" i="24" s="1"/>
  <c r="Q503" i="24"/>
  <c r="Q71" i="24" s="1"/>
  <c r="Z191" i="25"/>
  <c r="X360" i="24"/>
  <c r="V496" i="25"/>
  <c r="Z197" i="23"/>
  <c r="Z200" i="23" s="1"/>
  <c r="Z191" i="23"/>
  <c r="Z194" i="23" s="1"/>
  <c r="V268" i="25"/>
  <c r="T446" i="23"/>
  <c r="T127" i="23" s="1"/>
  <c r="T518" i="23"/>
  <c r="X395" i="24"/>
  <c r="W397" i="24"/>
  <c r="W103" i="24" s="1"/>
  <c r="V273" i="24"/>
  <c r="U275" i="24"/>
  <c r="U276" i="24" s="1"/>
  <c r="U324" i="24"/>
  <c r="U223" i="24" s="1"/>
  <c r="W80" i="25"/>
  <c r="W79" i="25" s="1"/>
  <c r="X395" i="25"/>
  <c r="W397" i="25"/>
  <c r="W103" i="25" s="1"/>
  <c r="T209" i="24"/>
  <c r="X360" i="25"/>
  <c r="X293" i="24"/>
  <c r="X294" i="24" s="1"/>
  <c r="X327" i="24" s="1"/>
  <c r="Y292" i="24"/>
  <c r="Y293" i="24" s="1"/>
  <c r="V501" i="24"/>
  <c r="Q96" i="25"/>
  <c r="Q98" i="25" s="1"/>
  <c r="Q99" i="25" s="1"/>
  <c r="X310" i="24"/>
  <c r="Y309" i="24"/>
  <c r="X94" i="25"/>
  <c r="X195" i="25"/>
  <c r="V347" i="24"/>
  <c r="V74" i="24"/>
  <c r="X298" i="25"/>
  <c r="Y297" i="25"/>
  <c r="X140" i="23"/>
  <c r="X302" i="24"/>
  <c r="Y301" i="24"/>
  <c r="U445" i="23"/>
  <c r="V443" i="23"/>
  <c r="U474" i="23"/>
  <c r="Z191" i="24"/>
  <c r="X220" i="24"/>
  <c r="X115" i="24" s="1"/>
  <c r="X121" i="24" s="1"/>
  <c r="W429" i="24"/>
  <c r="W102" i="24" s="1"/>
  <c r="X428" i="24"/>
  <c r="X395" i="23"/>
  <c r="W397" i="23"/>
  <c r="W103" i="23" s="1"/>
  <c r="Z13" i="23"/>
  <c r="Z14" i="23" s="1"/>
  <c r="Y14" i="23"/>
  <c r="T88" i="25"/>
  <c r="T93" i="25" s="1"/>
  <c r="W511" i="24"/>
  <c r="W512" i="24" s="1"/>
  <c r="W341" i="24"/>
  <c r="X340" i="24"/>
  <c r="W485" i="24"/>
  <c r="W488" i="24" s="1"/>
  <c r="Q48" i="23"/>
  <c r="X478" i="23"/>
  <c r="S211" i="24"/>
  <c r="X370" i="25"/>
  <c r="W80" i="24"/>
  <c r="W141" i="25"/>
  <c r="W142" i="25" s="1"/>
  <c r="W47" i="25" s="1"/>
  <c r="S479" i="23"/>
  <c r="T208" i="23"/>
  <c r="X140" i="25"/>
  <c r="X264" i="24"/>
  <c r="W266" i="24"/>
  <c r="W265" i="24"/>
  <c r="Z192" i="24"/>
  <c r="Z291" i="24" s="1"/>
  <c r="W323" i="25"/>
  <c r="S354" i="24"/>
  <c r="U445" i="25"/>
  <c r="V443" i="25"/>
  <c r="U474" i="25"/>
  <c r="Q482" i="23"/>
  <c r="X335" i="25"/>
  <c r="W495" i="24"/>
  <c r="X345" i="24"/>
  <c r="W346" i="24"/>
  <c r="R212" i="25"/>
  <c r="S209" i="25"/>
  <c r="V443" i="24"/>
  <c r="U474" i="24"/>
  <c r="U445" i="24"/>
  <c r="X243" i="23"/>
  <c r="X370" i="24"/>
  <c r="Y279" i="25"/>
  <c r="Y539" i="23"/>
  <c r="X540" i="23"/>
  <c r="X367" i="24"/>
  <c r="W368" i="24"/>
  <c r="W478" i="24"/>
  <c r="X195" i="24"/>
  <c r="X94" i="24"/>
  <c r="T479" i="24"/>
  <c r="Z194" i="16"/>
  <c r="X367" i="25"/>
  <c r="W368" i="25"/>
  <c r="X335" i="24"/>
  <c r="W337" i="24"/>
  <c r="W36" i="24" s="1"/>
  <c r="U353" i="25"/>
  <c r="V351" i="25"/>
  <c r="W141" i="24"/>
  <c r="W142" i="24" s="1"/>
  <c r="W47" i="24" s="1"/>
  <c r="W34" i="24"/>
  <c r="W90" i="25"/>
  <c r="X155" i="25"/>
  <c r="U353" i="23"/>
  <c r="V351" i="23"/>
  <c r="Y196" i="25"/>
  <c r="Y197" i="25" s="1"/>
  <c r="Y200" i="25" s="1"/>
  <c r="U324" i="25"/>
  <c r="U223" i="25" s="1"/>
  <c r="U275" i="25"/>
  <c r="U276" i="25" s="1"/>
  <c r="V273" i="25"/>
  <c r="W286" i="24"/>
  <c r="W284" i="24"/>
  <c r="X283" i="24"/>
  <c r="S520" i="24"/>
  <c r="T518" i="25"/>
  <c r="T446" i="25"/>
  <c r="T127" i="25" s="1"/>
  <c r="V37" i="24"/>
  <c r="V104" i="24"/>
  <c r="V371" i="23"/>
  <c r="V240" i="23"/>
  <c r="V241" i="23" s="1"/>
  <c r="W239" i="23"/>
  <c r="V287" i="25"/>
  <c r="W267" i="24"/>
  <c r="Y14" i="24"/>
  <c r="Y285" i="24" s="1"/>
  <c r="Z13" i="24"/>
  <c r="Z14" i="24" s="1"/>
  <c r="T88" i="24"/>
  <c r="T93" i="24" s="1"/>
  <c r="X369" i="23"/>
  <c r="Q232" i="23"/>
  <c r="Q233" i="23"/>
  <c r="Q231" i="23"/>
  <c r="W337" i="23"/>
  <c r="W36" i="23" s="1"/>
  <c r="X335" i="23"/>
  <c r="W429" i="25"/>
  <c r="W102" i="25" s="1"/>
  <c r="X428" i="25"/>
  <c r="X220" i="25"/>
  <c r="X115" i="25" s="1"/>
  <c r="X121" i="25" s="1"/>
  <c r="T224" i="24"/>
  <c r="R122" i="25"/>
  <c r="R128" i="25" s="1"/>
  <c r="R56" i="25"/>
  <c r="X140" i="24"/>
  <c r="W90" i="24"/>
  <c r="X155" i="24"/>
  <c r="V240" i="24"/>
  <c r="W239" i="24"/>
  <c r="T513" i="25"/>
  <c r="T63" i="25"/>
  <c r="T513" i="23"/>
  <c r="T63" i="23"/>
  <c r="T326" i="23"/>
  <c r="T328" i="23" s="1"/>
  <c r="Y291" i="25"/>
  <c r="Z192" i="25"/>
  <c r="Z291" i="25" s="1"/>
  <c r="Y195" i="23"/>
  <c r="Y94" i="23"/>
  <c r="V347" i="23"/>
  <c r="V74" i="23"/>
  <c r="U241" i="23"/>
  <c r="U210" i="23"/>
  <c r="U225" i="23"/>
  <c r="W284" i="25"/>
  <c r="W286" i="25"/>
  <c r="X283" i="25"/>
  <c r="Q85" i="25"/>
  <c r="Q64" i="25"/>
  <c r="Q65" i="25" s="1"/>
  <c r="Q67" i="25" s="1"/>
  <c r="R480" i="25"/>
  <c r="Q78" i="25"/>
  <c r="V347" i="25"/>
  <c r="V74" i="25"/>
  <c r="S209" i="23"/>
  <c r="X283" i="23"/>
  <c r="W286" i="23"/>
  <c r="W284" i="23"/>
  <c r="T446" i="24"/>
  <c r="T127" i="24" s="1"/>
  <c r="T518" i="24"/>
  <c r="S224" i="23"/>
  <c r="Q98" i="23"/>
  <c r="Q99" i="23" s="1"/>
  <c r="Y196" i="24"/>
  <c r="X358" i="24"/>
  <c r="W493" i="24"/>
  <c r="W359" i="24"/>
  <c r="W511" i="23"/>
  <c r="W512" i="23" s="1"/>
  <c r="X340" i="23"/>
  <c r="W485" i="23"/>
  <c r="W488" i="23" s="1"/>
  <c r="W341" i="23"/>
  <c r="X540" i="24"/>
  <c r="Y539" i="24"/>
  <c r="X280" i="24"/>
  <c r="Y279" i="24"/>
  <c r="Y297" i="24"/>
  <c r="X298" i="24"/>
  <c r="U241" i="24"/>
  <c r="U225" i="24"/>
  <c r="U210" i="24"/>
  <c r="U241" i="25"/>
  <c r="U210" i="25"/>
  <c r="U225" i="25"/>
  <c r="T479" i="25"/>
  <c r="U208" i="25"/>
  <c r="T223" i="23"/>
  <c r="V37" i="25"/>
  <c r="V104" i="25"/>
  <c r="W239" i="25"/>
  <c r="X243" i="25"/>
  <c r="X540" i="25"/>
  <c r="Y539" i="25"/>
  <c r="X345" i="23"/>
  <c r="W495" i="23"/>
  <c r="W346" i="23"/>
  <c r="V371" i="24"/>
  <c r="V372" i="24" s="1"/>
  <c r="W495" i="25"/>
  <c r="X345" i="25"/>
  <c r="W346" i="25"/>
  <c r="Q497" i="24"/>
  <c r="Q51" i="24"/>
  <c r="W478" i="23"/>
  <c r="U353" i="24"/>
  <c r="V351" i="24"/>
  <c r="W265" i="25"/>
  <c r="X264" i="25"/>
  <c r="W266" i="25"/>
  <c r="Z13" i="25"/>
  <c r="Z14" i="25" s="1"/>
  <c r="Y14" i="25"/>
  <c r="W80" i="23"/>
  <c r="X306" i="24"/>
  <c r="Y305" i="24"/>
  <c r="W493" i="23"/>
  <c r="X358" i="23"/>
  <c r="W359" i="23"/>
  <c r="R122" i="24"/>
  <c r="R128" i="24" s="1"/>
  <c r="R56" i="24"/>
  <c r="V273" i="23"/>
  <c r="U275" i="23"/>
  <c r="U276" i="23" s="1"/>
  <c r="U324" i="23"/>
  <c r="V240" i="25"/>
  <c r="Y292" i="25"/>
  <c r="W478" i="25"/>
  <c r="X315" i="25"/>
  <c r="X316" i="25" s="1"/>
  <c r="Y314" i="25"/>
  <c r="Y191" i="25"/>
  <c r="Y194" i="25" s="1"/>
  <c r="T513" i="24"/>
  <c r="T63" i="24"/>
  <c r="X358" i="25"/>
  <c r="W493" i="25"/>
  <c r="W359" i="25"/>
  <c r="Y309" i="25"/>
  <c r="W90" i="23"/>
  <c r="X155" i="23"/>
  <c r="S479" i="17"/>
  <c r="V274" i="17"/>
  <c r="U323" i="17"/>
  <c r="W371" i="16"/>
  <c r="W372" i="16" s="1"/>
  <c r="Z191" i="17"/>
  <c r="Z194" i="17" s="1"/>
  <c r="U225" i="16"/>
  <c r="V225" i="16" s="1"/>
  <c r="W102" i="16"/>
  <c r="X220" i="16"/>
  <c r="X115" i="16" s="1"/>
  <c r="X121" i="16" s="1"/>
  <c r="Z92" i="16"/>
  <c r="X265" i="16"/>
  <c r="X266" i="16"/>
  <c r="Z539" i="16"/>
  <c r="Z540" i="16" s="1"/>
  <c r="Z136" i="16"/>
  <c r="Z138" i="16"/>
  <c r="Z137" i="16"/>
  <c r="Z197" i="16"/>
  <c r="Z200" i="16" s="1"/>
  <c r="Z14" i="16"/>
  <c r="X267" i="16"/>
  <c r="W268" i="16"/>
  <c r="V287" i="16"/>
  <c r="W284" i="16"/>
  <c r="W287" i="16" s="1"/>
  <c r="Y14" i="17"/>
  <c r="Z13" i="17"/>
  <c r="Z14" i="17" s="1"/>
  <c r="Y194" i="16"/>
  <c r="Y285" i="16"/>
  <c r="Y360" i="16"/>
  <c r="Y370" i="16"/>
  <c r="Y361" i="16"/>
  <c r="Y336" i="16"/>
  <c r="Y243" i="16"/>
  <c r="Y369" i="16"/>
  <c r="Y540" i="16"/>
  <c r="Y315" i="16"/>
  <c r="Y298" i="16"/>
  <c r="Y293" i="16"/>
  <c r="Y302" i="16"/>
  <c r="Z302" i="16" s="1"/>
  <c r="Y306" i="16"/>
  <c r="Z306" i="16" s="1"/>
  <c r="Y280" i="16"/>
  <c r="Z280" i="16" s="1"/>
  <c r="Y310" i="16"/>
  <c r="Z310" i="16" s="1"/>
  <c r="Y197" i="16"/>
  <c r="Y264" i="16"/>
  <c r="Z264" i="16" s="1"/>
  <c r="Y196" i="17"/>
  <c r="Y297" i="17"/>
  <c r="Y309" i="17"/>
  <c r="Z309" i="17" s="1"/>
  <c r="Y314" i="17"/>
  <c r="Y279" i="17"/>
  <c r="Z279" i="17" s="1"/>
  <c r="Y305" i="17"/>
  <c r="Z305" i="17" s="1"/>
  <c r="Y301" i="17"/>
  <c r="Z301" i="17" s="1"/>
  <c r="Y292" i="17"/>
  <c r="X266" i="17"/>
  <c r="X265" i="17"/>
  <c r="X298" i="17"/>
  <c r="X267" i="17"/>
  <c r="X306" i="17"/>
  <c r="X310" i="17"/>
  <c r="X315" i="17"/>
  <c r="X316" i="17" s="1"/>
  <c r="X280" i="17"/>
  <c r="W268" i="17"/>
  <c r="X302" i="17"/>
  <c r="X293" i="17"/>
  <c r="X294" i="17" s="1"/>
  <c r="X327" i="17" s="1"/>
  <c r="W362" i="17"/>
  <c r="U101" i="17"/>
  <c r="U106" i="17" s="1"/>
  <c r="V363" i="17"/>
  <c r="W34" i="17"/>
  <c r="X243" i="17"/>
  <c r="W363" i="16"/>
  <c r="X362" i="16"/>
  <c r="X370" i="17"/>
  <c r="Q95" i="17"/>
  <c r="T326" i="17"/>
  <c r="T328" i="17" s="1"/>
  <c r="V287" i="17"/>
  <c r="X361" i="17"/>
  <c r="X369" i="17"/>
  <c r="X285" i="17"/>
  <c r="W80" i="17"/>
  <c r="S226" i="17"/>
  <c r="X336" i="17"/>
  <c r="X360" i="17"/>
  <c r="X540" i="17"/>
  <c r="Y539" i="17"/>
  <c r="Y137" i="17"/>
  <c r="T518" i="17"/>
  <c r="T446" i="17"/>
  <c r="T127" i="17" s="1"/>
  <c r="V37" i="17"/>
  <c r="V104" i="17"/>
  <c r="V79" i="17"/>
  <c r="V347" i="17"/>
  <c r="V74" i="17"/>
  <c r="Y136" i="17"/>
  <c r="X140" i="17"/>
  <c r="U275" i="17"/>
  <c r="U276" i="17" s="1"/>
  <c r="V273" i="17"/>
  <c r="U324" i="17"/>
  <c r="X395" i="17"/>
  <c r="W397" i="17"/>
  <c r="W103" i="17" s="1"/>
  <c r="T208" i="17"/>
  <c r="R227" i="17"/>
  <c r="W495" i="17"/>
  <c r="X345" i="17"/>
  <c r="W346" i="17"/>
  <c r="W511" i="17"/>
  <c r="W512" i="17" s="1"/>
  <c r="X340" i="17"/>
  <c r="W485" i="17"/>
  <c r="W488" i="17" s="1"/>
  <c r="W341" i="17"/>
  <c r="S209" i="17"/>
  <c r="R212" i="17"/>
  <c r="T223" i="17"/>
  <c r="T513" i="17"/>
  <c r="T63" i="17"/>
  <c r="S224" i="17"/>
  <c r="U474" i="17"/>
  <c r="V351" i="17"/>
  <c r="U353" i="17"/>
  <c r="X220" i="17"/>
  <c r="X115" i="17" s="1"/>
  <c r="X121" i="17" s="1"/>
  <c r="W429" i="17"/>
  <c r="W102" i="17" s="1"/>
  <c r="X428" i="17"/>
  <c r="X283" i="17"/>
  <c r="W284" i="17"/>
  <c r="W286" i="17"/>
  <c r="X94" i="17"/>
  <c r="X195" i="17"/>
  <c r="X478" i="17" s="1"/>
  <c r="W493" i="17"/>
  <c r="X358" i="17"/>
  <c r="W359" i="17"/>
  <c r="U241" i="17"/>
  <c r="U210" i="17"/>
  <c r="U225" i="17"/>
  <c r="T88" i="17"/>
  <c r="T93" i="17" s="1"/>
  <c r="S520" i="17"/>
  <c r="V496" i="17"/>
  <c r="V371" i="17"/>
  <c r="V372" i="17" s="1"/>
  <c r="X155" i="17"/>
  <c r="W90" i="17"/>
  <c r="W141" i="17"/>
  <c r="W142" i="17" s="1"/>
  <c r="W47" i="17" s="1"/>
  <c r="Y138" i="17"/>
  <c r="V240" i="17"/>
  <c r="W239" i="17"/>
  <c r="S354" i="17"/>
  <c r="X367" i="17"/>
  <c r="W368" i="17"/>
  <c r="V443" i="17"/>
  <c r="U445" i="17"/>
  <c r="Y195" i="17"/>
  <c r="Y478" i="17" s="1"/>
  <c r="Y94" i="17"/>
  <c r="S211" i="17"/>
  <c r="V501" i="17"/>
  <c r="X335" i="17"/>
  <c r="W337" i="17"/>
  <c r="W36" i="17" s="1"/>
  <c r="R122" i="17"/>
  <c r="R128" i="17" s="1"/>
  <c r="R56" i="17"/>
  <c r="W79" i="16"/>
  <c r="Y140" i="16"/>
  <c r="R95" i="16"/>
  <c r="T354" i="16"/>
  <c r="T56" i="16" s="1"/>
  <c r="T209" i="16"/>
  <c r="S227" i="16"/>
  <c r="V101" i="16"/>
  <c r="V106" i="16" s="1"/>
  <c r="T211" i="16"/>
  <c r="W496" i="16"/>
  <c r="X341" i="16"/>
  <c r="X511" i="16"/>
  <c r="X512" i="16" s="1"/>
  <c r="Y340" i="16"/>
  <c r="X485" i="16"/>
  <c r="X488" i="16" s="1"/>
  <c r="X141" i="16"/>
  <c r="X34" i="16"/>
  <c r="S212" i="16"/>
  <c r="U223" i="16"/>
  <c r="W240" i="16"/>
  <c r="W241" i="16" s="1"/>
  <c r="X239" i="16"/>
  <c r="W273" i="16"/>
  <c r="V275" i="16"/>
  <c r="V276" i="16" s="1"/>
  <c r="V324" i="16"/>
  <c r="W347" i="16"/>
  <c r="W74" i="16"/>
  <c r="U518" i="16"/>
  <c r="U446" i="16"/>
  <c r="U127" i="16" s="1"/>
  <c r="Y428" i="16"/>
  <c r="X429" i="16"/>
  <c r="T224" i="16"/>
  <c r="U326" i="16"/>
  <c r="U328" i="16" s="1"/>
  <c r="X493" i="16"/>
  <c r="Y358" i="16"/>
  <c r="X359" i="16"/>
  <c r="X337" i="16"/>
  <c r="X36" i="16" s="1"/>
  <c r="Y335" i="16"/>
  <c r="Y395" i="16"/>
  <c r="X397" i="16"/>
  <c r="X103" i="16" s="1"/>
  <c r="V353" i="16"/>
  <c r="W351" i="16"/>
  <c r="X495" i="16"/>
  <c r="Y345" i="16"/>
  <c r="X346" i="16"/>
  <c r="U88" i="16"/>
  <c r="U93" i="16" s="1"/>
  <c r="V474" i="16"/>
  <c r="W443" i="16"/>
  <c r="V445" i="16"/>
  <c r="X478" i="16"/>
  <c r="Y155" i="16"/>
  <c r="X90" i="16"/>
  <c r="U208" i="16"/>
  <c r="T479" i="16"/>
  <c r="U513" i="16"/>
  <c r="U63" i="16"/>
  <c r="W501" i="16"/>
  <c r="X80" i="16"/>
  <c r="Y367" i="16"/>
  <c r="X368" i="16"/>
  <c r="W104" i="16"/>
  <c r="W37" i="16"/>
  <c r="X286" i="16"/>
  <c r="Y283" i="16"/>
  <c r="S122" i="16"/>
  <c r="S128" i="16" s="1"/>
  <c r="S56" i="16"/>
  <c r="T226" i="16"/>
  <c r="T520" i="16"/>
  <c r="Y336" i="25" l="1"/>
  <c r="X267" i="25"/>
  <c r="V101" i="24"/>
  <c r="V106" i="24" s="1"/>
  <c r="Y195" i="24"/>
  <c r="W371" i="25"/>
  <c r="W372" i="25" s="1"/>
  <c r="Y140" i="23"/>
  <c r="U326" i="25"/>
  <c r="U328" i="25" s="1"/>
  <c r="W363" i="25"/>
  <c r="S226" i="23"/>
  <c r="T226" i="23" s="1"/>
  <c r="R212" i="23"/>
  <c r="R95" i="23" s="1"/>
  <c r="Y140" i="24"/>
  <c r="Z136" i="24"/>
  <c r="X362" i="23"/>
  <c r="W363" i="23"/>
  <c r="W363" i="24"/>
  <c r="R227" i="25"/>
  <c r="R95" i="25" s="1"/>
  <c r="S56" i="23"/>
  <c r="S226" i="25"/>
  <c r="T226" i="25" s="1"/>
  <c r="Y360" i="23"/>
  <c r="Z360" i="23" s="1"/>
  <c r="S56" i="25"/>
  <c r="T354" i="23"/>
  <c r="T122" i="23" s="1"/>
  <c r="T128" i="23" s="1"/>
  <c r="Y140" i="25"/>
  <c r="Y294" i="24"/>
  <c r="Y327" i="24" s="1"/>
  <c r="T520" i="25"/>
  <c r="V208" i="24"/>
  <c r="X80" i="24"/>
  <c r="Y243" i="23"/>
  <c r="Z243" i="23" s="1"/>
  <c r="Y369" i="24"/>
  <c r="Z369" i="24" s="1"/>
  <c r="Y361" i="24"/>
  <c r="Z361" i="24" s="1"/>
  <c r="T209" i="23"/>
  <c r="T354" i="25"/>
  <c r="T122" i="25" s="1"/>
  <c r="T128" i="25" s="1"/>
  <c r="Z194" i="24"/>
  <c r="Z195" i="24" s="1"/>
  <c r="Z136" i="25"/>
  <c r="U479" i="24"/>
  <c r="Q234" i="23"/>
  <c r="Q35" i="23" s="1"/>
  <c r="Q46" i="23" s="1"/>
  <c r="Z285" i="24"/>
  <c r="W501" i="23"/>
  <c r="X323" i="25"/>
  <c r="V101" i="25"/>
  <c r="V106" i="25" s="1"/>
  <c r="Y336" i="23"/>
  <c r="Z336" i="23" s="1"/>
  <c r="Z336" i="25"/>
  <c r="Y370" i="23"/>
  <c r="Z370" i="23" s="1"/>
  <c r="Y243" i="24"/>
  <c r="Z243" i="24" s="1"/>
  <c r="T354" i="24"/>
  <c r="T56" i="24" s="1"/>
  <c r="W287" i="23"/>
  <c r="Q98" i="24"/>
  <c r="Q99" i="24" s="1"/>
  <c r="Q129" i="24" s="1"/>
  <c r="Y285" i="25"/>
  <c r="Z285" i="25" s="1"/>
  <c r="Y361" i="23"/>
  <c r="Z361" i="23" s="1"/>
  <c r="T520" i="24"/>
  <c r="W496" i="23"/>
  <c r="W268" i="25"/>
  <c r="Z137" i="23"/>
  <c r="W287" i="24"/>
  <c r="Z137" i="25"/>
  <c r="Y369" i="23"/>
  <c r="Z369" i="23" s="1"/>
  <c r="Z292" i="25"/>
  <c r="Z293" i="25" s="1"/>
  <c r="W371" i="24"/>
  <c r="W372" i="24" s="1"/>
  <c r="T224" i="23"/>
  <c r="Y336" i="24"/>
  <c r="Z336" i="24" s="1"/>
  <c r="Z274" i="25"/>
  <c r="Y360" i="24"/>
  <c r="Z360" i="24" s="1"/>
  <c r="X284" i="23"/>
  <c r="Y283" i="23"/>
  <c r="X286" i="23"/>
  <c r="X266" i="24"/>
  <c r="X265" i="24"/>
  <c r="Y264" i="24"/>
  <c r="W347" i="25"/>
  <c r="W74" i="25"/>
  <c r="X284" i="25"/>
  <c r="Y283" i="25"/>
  <c r="X286" i="25"/>
  <c r="X239" i="24"/>
  <c r="W240" i="24"/>
  <c r="W240" i="23"/>
  <c r="X239" i="23"/>
  <c r="V353" i="25"/>
  <c r="W351" i="25"/>
  <c r="T211" i="24"/>
  <c r="S212" i="24"/>
  <c r="S95" i="24" s="1"/>
  <c r="Y395" i="25"/>
  <c r="X397" i="25"/>
  <c r="X103" i="25" s="1"/>
  <c r="Y395" i="24"/>
  <c r="X397" i="24"/>
  <c r="X103" i="24" s="1"/>
  <c r="Y361" i="25"/>
  <c r="Z361" i="25" s="1"/>
  <c r="X495" i="25"/>
  <c r="Y345" i="25"/>
  <c r="X346" i="25"/>
  <c r="X239" i="25"/>
  <c r="Y243" i="25"/>
  <c r="Z243" i="25" s="1"/>
  <c r="U479" i="25"/>
  <c r="V208" i="25"/>
  <c r="W287" i="25"/>
  <c r="V241" i="24"/>
  <c r="V225" i="24"/>
  <c r="V210" i="24"/>
  <c r="X429" i="25"/>
  <c r="X102" i="25" s="1"/>
  <c r="Y428" i="25"/>
  <c r="Y220" i="25"/>
  <c r="Y115" i="25" s="1"/>
  <c r="Y121" i="25" s="1"/>
  <c r="V225" i="23"/>
  <c r="V210" i="23"/>
  <c r="Z196" i="25"/>
  <c r="U513" i="25"/>
  <c r="U63" i="25"/>
  <c r="Q231" i="24"/>
  <c r="Q233" i="24"/>
  <c r="Q232" i="24"/>
  <c r="U518" i="24"/>
  <c r="U446" i="24"/>
  <c r="U127" i="24" s="1"/>
  <c r="Y335" i="25"/>
  <c r="X337" i="25"/>
  <c r="X36" i="25" s="1"/>
  <c r="Y395" i="23"/>
  <c r="X397" i="23"/>
  <c r="X103" i="23" s="1"/>
  <c r="U88" i="23"/>
  <c r="U93" i="23" s="1"/>
  <c r="Q231" i="25"/>
  <c r="Q232" i="25"/>
  <c r="Q233" i="25"/>
  <c r="X80" i="25"/>
  <c r="T520" i="23"/>
  <c r="Z194" i="25"/>
  <c r="W37" i="25"/>
  <c r="W104" i="25"/>
  <c r="Y195" i="25"/>
  <c r="Y94" i="25"/>
  <c r="Y367" i="25"/>
  <c r="X368" i="25"/>
  <c r="X141" i="25"/>
  <c r="X142" i="25" s="1"/>
  <c r="X47" i="25" s="1"/>
  <c r="X34" i="25"/>
  <c r="W79" i="24"/>
  <c r="W351" i="24"/>
  <c r="V353" i="24"/>
  <c r="W240" i="25"/>
  <c r="Y280" i="24"/>
  <c r="Z279" i="24"/>
  <c r="Y155" i="24"/>
  <c r="X90" i="24"/>
  <c r="V372" i="23"/>
  <c r="V101" i="23" s="1"/>
  <c r="V106" i="23" s="1"/>
  <c r="W371" i="23"/>
  <c r="Y283" i="24"/>
  <c r="X284" i="24"/>
  <c r="X286" i="24"/>
  <c r="V353" i="23"/>
  <c r="W351" i="23"/>
  <c r="U88" i="24"/>
  <c r="U93" i="24" s="1"/>
  <c r="Q492" i="23"/>
  <c r="Q489" i="23"/>
  <c r="Q500" i="23"/>
  <c r="Z274" i="24"/>
  <c r="S212" i="23"/>
  <c r="X429" i="24"/>
  <c r="X102" i="24" s="1"/>
  <c r="Y220" i="24"/>
  <c r="Y115" i="24" s="1"/>
  <c r="Y121" i="24" s="1"/>
  <c r="Y428" i="24"/>
  <c r="V445" i="23"/>
  <c r="V474" i="23"/>
  <c r="W443" i="23"/>
  <c r="Q129" i="25"/>
  <c r="Q108" i="25"/>
  <c r="Y360" i="25"/>
  <c r="Z360" i="25" s="1"/>
  <c r="Z138" i="24"/>
  <c r="R480" i="24"/>
  <c r="Q64" i="24"/>
  <c r="Q65" i="24" s="1"/>
  <c r="Q67" i="24" s="1"/>
  <c r="Q78" i="24"/>
  <c r="Q85" i="24"/>
  <c r="Y478" i="24"/>
  <c r="X511" i="25"/>
  <c r="X512" i="25" s="1"/>
  <c r="Y340" i="25"/>
  <c r="X341" i="25"/>
  <c r="X485" i="25"/>
  <c r="X488" i="25" s="1"/>
  <c r="Z314" i="24"/>
  <c r="Z315" i="24" s="1"/>
  <c r="Z316" i="24" s="1"/>
  <c r="Y315" i="24"/>
  <c r="Y316" i="24" s="1"/>
  <c r="Z309" i="25"/>
  <c r="Y310" i="25"/>
  <c r="X80" i="23"/>
  <c r="W79" i="23"/>
  <c r="Z309" i="24"/>
  <c r="Y310" i="24"/>
  <c r="W496" i="25"/>
  <c r="Z314" i="25"/>
  <c r="Z315" i="25" s="1"/>
  <c r="Z316" i="25" s="1"/>
  <c r="Y315" i="25"/>
  <c r="Y316" i="25" s="1"/>
  <c r="X493" i="23"/>
  <c r="Y358" i="23"/>
  <c r="X359" i="23"/>
  <c r="U513" i="24"/>
  <c r="U63" i="24"/>
  <c r="W496" i="24"/>
  <c r="Y478" i="23"/>
  <c r="X267" i="24"/>
  <c r="U513" i="23"/>
  <c r="U63" i="23"/>
  <c r="Z195" i="16"/>
  <c r="Z478" i="16" s="1"/>
  <c r="Z94" i="16"/>
  <c r="Z539" i="23"/>
  <c r="Z540" i="23" s="1"/>
  <c r="Y540" i="23"/>
  <c r="W443" i="24"/>
  <c r="V474" i="24"/>
  <c r="V445" i="24"/>
  <c r="U88" i="25"/>
  <c r="U93" i="25" s="1"/>
  <c r="U208" i="23"/>
  <c r="Q49" i="23"/>
  <c r="Q53" i="23"/>
  <c r="Q50" i="23"/>
  <c r="U518" i="23"/>
  <c r="U446" i="23"/>
  <c r="U127" i="23" s="1"/>
  <c r="Q504" i="24"/>
  <c r="Y306" i="25"/>
  <c r="Z305" i="25"/>
  <c r="W501" i="25"/>
  <c r="Z136" i="23"/>
  <c r="Y298" i="25"/>
  <c r="Z297" i="25"/>
  <c r="Z298" i="25" s="1"/>
  <c r="Y358" i="25"/>
  <c r="X493" i="25"/>
  <c r="X359" i="25"/>
  <c r="V241" i="25"/>
  <c r="V225" i="25"/>
  <c r="V210" i="25"/>
  <c r="W347" i="23"/>
  <c r="W74" i="23"/>
  <c r="Y540" i="24"/>
  <c r="Z539" i="24"/>
  <c r="Z540" i="24" s="1"/>
  <c r="Y358" i="24"/>
  <c r="X493" i="24"/>
  <c r="X359" i="24"/>
  <c r="Q490" i="25"/>
  <c r="Q81" i="25"/>
  <c r="Q82" i="25" s="1"/>
  <c r="X141" i="24"/>
  <c r="X142" i="24" s="1"/>
  <c r="X47" i="24" s="1"/>
  <c r="X34" i="24"/>
  <c r="X90" i="25"/>
  <c r="Y155" i="25"/>
  <c r="Y280" i="25"/>
  <c r="Z279" i="25"/>
  <c r="T209" i="25"/>
  <c r="S212" i="25"/>
  <c r="W443" i="25"/>
  <c r="V474" i="25"/>
  <c r="V445" i="25"/>
  <c r="X362" i="25"/>
  <c r="Y302" i="24"/>
  <c r="Z301" i="24"/>
  <c r="X478" i="25"/>
  <c r="T226" i="24"/>
  <c r="T227" i="24" s="1"/>
  <c r="Y369" i="25"/>
  <c r="Z369" i="25" s="1"/>
  <c r="U326" i="24"/>
  <c r="U224" i="24" s="1"/>
  <c r="Z94" i="23"/>
  <c r="Z195" i="23"/>
  <c r="X429" i="23"/>
  <c r="X102" i="23" s="1"/>
  <c r="Y220" i="23"/>
  <c r="Y115" i="23" s="1"/>
  <c r="Y121" i="23" s="1"/>
  <c r="Y428" i="23"/>
  <c r="V275" i="23"/>
  <c r="V276" i="23" s="1"/>
  <c r="V324" i="23"/>
  <c r="W273" i="23"/>
  <c r="Z539" i="25"/>
  <c r="Z540" i="25" s="1"/>
  <c r="Y540" i="25"/>
  <c r="W37" i="24"/>
  <c r="W104" i="24"/>
  <c r="X478" i="24"/>
  <c r="X90" i="23"/>
  <c r="Y155" i="23"/>
  <c r="Y306" i="24"/>
  <c r="Z305" i="24"/>
  <c r="X265" i="25"/>
  <c r="Y264" i="25"/>
  <c r="X266" i="25"/>
  <c r="X323" i="24"/>
  <c r="R230" i="25"/>
  <c r="R482" i="25"/>
  <c r="Y293" i="25"/>
  <c r="Y294" i="25" s="1"/>
  <c r="Y327" i="25" s="1"/>
  <c r="Y335" i="23"/>
  <c r="X337" i="23"/>
  <c r="X36" i="23" s="1"/>
  <c r="V324" i="25"/>
  <c r="V223" i="25" s="1"/>
  <c r="W273" i="25"/>
  <c r="V275" i="25"/>
  <c r="V276" i="25" s="1"/>
  <c r="Y370" i="24"/>
  <c r="Z370" i="24" s="1"/>
  <c r="U518" i="25"/>
  <c r="U446" i="25"/>
  <c r="U127" i="25" s="1"/>
  <c r="W268" i="24"/>
  <c r="Y370" i="25"/>
  <c r="Z370" i="25" s="1"/>
  <c r="W501" i="24"/>
  <c r="Z137" i="24"/>
  <c r="Z138" i="25"/>
  <c r="Z292" i="24"/>
  <c r="Z293" i="24" s="1"/>
  <c r="W273" i="24"/>
  <c r="V275" i="24"/>
  <c r="V276" i="24" s="1"/>
  <c r="V324" i="24"/>
  <c r="Y285" i="23"/>
  <c r="Z285" i="23" s="1"/>
  <c r="Z138" i="23"/>
  <c r="Q129" i="23"/>
  <c r="Q108" i="23"/>
  <c r="X495" i="24"/>
  <c r="Y345" i="24"/>
  <c r="X346" i="24"/>
  <c r="T479" i="23"/>
  <c r="U223" i="23"/>
  <c r="X511" i="23"/>
  <c r="X512" i="23" s="1"/>
  <c r="X341" i="23"/>
  <c r="Y340" i="23"/>
  <c r="X485" i="23"/>
  <c r="X488" i="23" s="1"/>
  <c r="U326" i="23"/>
  <c r="X495" i="23"/>
  <c r="Y345" i="23"/>
  <c r="X346" i="23"/>
  <c r="Z297" i="24"/>
  <c r="Z298" i="24" s="1"/>
  <c r="Y298" i="24"/>
  <c r="W37" i="23"/>
  <c r="W104" i="23"/>
  <c r="Z196" i="24"/>
  <c r="Y197" i="24"/>
  <c r="Y200" i="24" s="1"/>
  <c r="X362" i="24"/>
  <c r="X337" i="24"/>
  <c r="X36" i="24" s="1"/>
  <c r="Y335" i="24"/>
  <c r="Y367" i="24"/>
  <c r="X368" i="24"/>
  <c r="W347" i="24"/>
  <c r="W74" i="24"/>
  <c r="S122" i="24"/>
  <c r="S128" i="24" s="1"/>
  <c r="S56" i="24"/>
  <c r="X511" i="24"/>
  <c r="X512" i="24" s="1"/>
  <c r="Y340" i="24"/>
  <c r="X341" i="24"/>
  <c r="X485" i="24"/>
  <c r="X488" i="24" s="1"/>
  <c r="X34" i="23"/>
  <c r="X141" i="23"/>
  <c r="X142" i="23" s="1"/>
  <c r="X47" i="23" s="1"/>
  <c r="T224" i="25"/>
  <c r="Y367" i="23"/>
  <c r="X368" i="23"/>
  <c r="Y302" i="25"/>
  <c r="Z301" i="25"/>
  <c r="V323" i="17"/>
  <c r="W274" i="17"/>
  <c r="V210" i="16"/>
  <c r="W225" i="16" s="1"/>
  <c r="X284" i="16"/>
  <c r="X287" i="16" s="1"/>
  <c r="Z138" i="17"/>
  <c r="Z136" i="17"/>
  <c r="Z137" i="17"/>
  <c r="Y315" i="17"/>
  <c r="Y316" i="17" s="1"/>
  <c r="Z314" i="17"/>
  <c r="Z315" i="17" s="1"/>
  <c r="Z316" i="17" s="1"/>
  <c r="Y298" i="17"/>
  <c r="Z297" i="17"/>
  <c r="Z298" i="17" s="1"/>
  <c r="Y540" i="17"/>
  <c r="Z539" i="17"/>
  <c r="Z540" i="17" s="1"/>
  <c r="Y197" i="17"/>
  <c r="Y200" i="17" s="1"/>
  <c r="Z196" i="17"/>
  <c r="Z195" i="17"/>
  <c r="Z94" i="17"/>
  <c r="Z283" i="16"/>
  <c r="Y293" i="17"/>
  <c r="Y294" i="17" s="1"/>
  <c r="Y327" i="17" s="1"/>
  <c r="Z292" i="17"/>
  <c r="Z293" i="17" s="1"/>
  <c r="X102" i="16"/>
  <c r="Y220" i="16"/>
  <c r="Z220" i="16" s="1"/>
  <c r="Z115" i="16" s="1"/>
  <c r="Z121" i="16" s="1"/>
  <c r="Y336" i="17"/>
  <c r="Z336" i="17" s="1"/>
  <c r="Z370" i="16"/>
  <c r="X268" i="16"/>
  <c r="Z367" i="16"/>
  <c r="Z368" i="16" s="1"/>
  <c r="Z345" i="16"/>
  <c r="Z346" i="16" s="1"/>
  <c r="Z243" i="16"/>
  <c r="Z140" i="16"/>
  <c r="Z155" i="16"/>
  <c r="Z90" i="16" s="1"/>
  <c r="Z358" i="16"/>
  <c r="Z336" i="16"/>
  <c r="Z361" i="16"/>
  <c r="Z395" i="16"/>
  <c r="Z397" i="16" s="1"/>
  <c r="Z360" i="16"/>
  <c r="Z335" i="16"/>
  <c r="Z340" i="16"/>
  <c r="Z485" i="16" s="1"/>
  <c r="Z488" i="16" s="1"/>
  <c r="Z369" i="16"/>
  <c r="Z285" i="16"/>
  <c r="Z265" i="16"/>
  <c r="Z428" i="16"/>
  <c r="Z429" i="16" s="1"/>
  <c r="Z323" i="16"/>
  <c r="Y285" i="17"/>
  <c r="Z285" i="17" s="1"/>
  <c r="Y369" i="17"/>
  <c r="Z369" i="17" s="1"/>
  <c r="Y243" i="17"/>
  <c r="Z243" i="17" s="1"/>
  <c r="Y361" i="17"/>
  <c r="Z361" i="17" s="1"/>
  <c r="Y360" i="17"/>
  <c r="Z360" i="17" s="1"/>
  <c r="Y370" i="17"/>
  <c r="Z370" i="17" s="1"/>
  <c r="Y195" i="16"/>
  <c r="Y478" i="16" s="1"/>
  <c r="Y94" i="16"/>
  <c r="Y362" i="16"/>
  <c r="Y294" i="16"/>
  <c r="Z294" i="16" s="1"/>
  <c r="Y200" i="16"/>
  <c r="Y368" i="16"/>
  <c r="Y397" i="16"/>
  <c r="Y337" i="16"/>
  <c r="Y429" i="16"/>
  <c r="Y316" i="16"/>
  <c r="Y90" i="16"/>
  <c r="Y266" i="16"/>
  <c r="Z266" i="16" s="1"/>
  <c r="Y265" i="16"/>
  <c r="Y323" i="16"/>
  <c r="Y267" i="16"/>
  <c r="Z267" i="16" s="1"/>
  <c r="Y264" i="17"/>
  <c r="Z264" i="17" s="1"/>
  <c r="Y280" i="17"/>
  <c r="Z280" i="17" s="1"/>
  <c r="Y302" i="17"/>
  <c r="Z302" i="17" s="1"/>
  <c r="Y310" i="17"/>
  <c r="Z310" i="17" s="1"/>
  <c r="Y306" i="17"/>
  <c r="Z306" i="17" s="1"/>
  <c r="W363" i="17"/>
  <c r="X268" i="17"/>
  <c r="V101" i="17"/>
  <c r="V106" i="17" s="1"/>
  <c r="Y141" i="16"/>
  <c r="X363" i="16"/>
  <c r="W101" i="16"/>
  <c r="W106" i="16" s="1"/>
  <c r="T226" i="17"/>
  <c r="T520" i="17"/>
  <c r="U326" i="17"/>
  <c r="U328" i="17" s="1"/>
  <c r="X80" i="17"/>
  <c r="W79" i="17"/>
  <c r="S227" i="17"/>
  <c r="X362" i="17"/>
  <c r="W287" i="17"/>
  <c r="W501" i="17"/>
  <c r="Y140" i="17"/>
  <c r="T354" i="17"/>
  <c r="T122" i="17" s="1"/>
  <c r="T128" i="17" s="1"/>
  <c r="T209" i="17"/>
  <c r="Y155" i="17"/>
  <c r="X90" i="17"/>
  <c r="X495" i="17"/>
  <c r="Y345" i="17"/>
  <c r="Z345" i="17" s="1"/>
  <c r="X346" i="17"/>
  <c r="W443" i="17"/>
  <c r="V445" i="17"/>
  <c r="V474" i="17"/>
  <c r="W37" i="17"/>
  <c r="W104" i="17"/>
  <c r="U446" i="17"/>
  <c r="U127" i="17" s="1"/>
  <c r="U518" i="17"/>
  <c r="W371" i="17"/>
  <c r="W372" i="17" s="1"/>
  <c r="Y335" i="17"/>
  <c r="Z335" i="17" s="1"/>
  <c r="X337" i="17"/>
  <c r="X36" i="17" s="1"/>
  <c r="W240" i="17"/>
  <c r="X239" i="17"/>
  <c r="X511" i="17"/>
  <c r="X512" i="17" s="1"/>
  <c r="Y340" i="17"/>
  <c r="Z340" i="17" s="1"/>
  <c r="X341" i="17"/>
  <c r="X485" i="17"/>
  <c r="X488" i="17" s="1"/>
  <c r="T479" i="17"/>
  <c r="U208" i="17"/>
  <c r="X141" i="17"/>
  <c r="X142" i="17" s="1"/>
  <c r="X47" i="17" s="1"/>
  <c r="X34" i="17"/>
  <c r="Y367" i="17"/>
  <c r="X368" i="17"/>
  <c r="V241" i="17"/>
  <c r="V225" i="17"/>
  <c r="V210" i="17"/>
  <c r="X493" i="17"/>
  <c r="Y358" i="17"/>
  <c r="Z358" i="17" s="1"/>
  <c r="X359" i="17"/>
  <c r="Y283" i="17"/>
  <c r="X284" i="17"/>
  <c r="X286" i="17"/>
  <c r="U513" i="17"/>
  <c r="U63" i="17"/>
  <c r="S212" i="17"/>
  <c r="T211" i="17"/>
  <c r="S122" i="17"/>
  <c r="S128" i="17" s="1"/>
  <c r="S56" i="17"/>
  <c r="W496" i="17"/>
  <c r="Y428" i="17"/>
  <c r="Y220" i="17"/>
  <c r="Y115" i="17" s="1"/>
  <c r="Y121" i="17" s="1"/>
  <c r="X429" i="17"/>
  <c r="X102" i="17" s="1"/>
  <c r="W351" i="17"/>
  <c r="V353" i="17"/>
  <c r="Y395" i="17"/>
  <c r="X397" i="17"/>
  <c r="X103" i="17" s="1"/>
  <c r="U88" i="17"/>
  <c r="U93" i="17" s="1"/>
  <c r="U223" i="17"/>
  <c r="T224" i="17"/>
  <c r="R95" i="17"/>
  <c r="W347" i="17"/>
  <c r="W74" i="17"/>
  <c r="W273" i="17"/>
  <c r="V275" i="17"/>
  <c r="V276" i="17" s="1"/>
  <c r="V324" i="17"/>
  <c r="Y80" i="16"/>
  <c r="T212" i="16"/>
  <c r="T122" i="16"/>
  <c r="T128" i="16" s="1"/>
  <c r="S95" i="16"/>
  <c r="U209" i="16"/>
  <c r="U354" i="16"/>
  <c r="U122" i="16" s="1"/>
  <c r="U128" i="16" s="1"/>
  <c r="X79" i="16"/>
  <c r="X142" i="16"/>
  <c r="X47" i="16" s="1"/>
  <c r="X496" i="16"/>
  <c r="Y286" i="16"/>
  <c r="V446" i="16"/>
  <c r="V127" i="16" s="1"/>
  <c r="V518" i="16"/>
  <c r="X347" i="16"/>
  <c r="X74" i="16"/>
  <c r="T227" i="16"/>
  <c r="X104" i="16"/>
  <c r="X37" i="16"/>
  <c r="Y495" i="16"/>
  <c r="Y346" i="16"/>
  <c r="V88" i="16"/>
  <c r="V93" i="16" s="1"/>
  <c r="W275" i="16"/>
  <c r="W276" i="16" s="1"/>
  <c r="W324" i="16"/>
  <c r="Q480" i="16"/>
  <c r="U226" i="16"/>
  <c r="W474" i="16"/>
  <c r="W445" i="16"/>
  <c r="V326" i="16"/>
  <c r="V328" i="16" s="1"/>
  <c r="V208" i="16"/>
  <c r="U479" i="16"/>
  <c r="Y493" i="16"/>
  <c r="Y359" i="16"/>
  <c r="U211" i="16"/>
  <c r="Y34" i="16"/>
  <c r="V513" i="16"/>
  <c r="V63" i="16"/>
  <c r="X501" i="16"/>
  <c r="V223" i="16"/>
  <c r="U224" i="16"/>
  <c r="X240" i="16"/>
  <c r="X241" i="16" s="1"/>
  <c r="Y239" i="16"/>
  <c r="Y341" i="16"/>
  <c r="Y485" i="16"/>
  <c r="Y511" i="16"/>
  <c r="X371" i="16"/>
  <c r="W353" i="16"/>
  <c r="U520" i="16"/>
  <c r="Y267" i="25" l="1"/>
  <c r="V326" i="25"/>
  <c r="V328" i="25" s="1"/>
  <c r="Y34" i="23"/>
  <c r="W101" i="25"/>
  <c r="W106" i="25" s="1"/>
  <c r="X371" i="25"/>
  <c r="X372" i="25" s="1"/>
  <c r="T211" i="23"/>
  <c r="T212" i="23" s="1"/>
  <c r="T122" i="24"/>
  <c r="T128" i="24" s="1"/>
  <c r="X363" i="23"/>
  <c r="S227" i="23"/>
  <c r="S95" i="23" s="1"/>
  <c r="Y267" i="24"/>
  <c r="Y34" i="25"/>
  <c r="Y80" i="25"/>
  <c r="Z94" i="24"/>
  <c r="X79" i="25"/>
  <c r="S227" i="25"/>
  <c r="S95" i="25" s="1"/>
  <c r="T211" i="25"/>
  <c r="U226" i="25" s="1"/>
  <c r="W101" i="24"/>
  <c r="W106" i="24" s="1"/>
  <c r="Y362" i="23"/>
  <c r="Z362" i="23" s="1"/>
  <c r="U224" i="23"/>
  <c r="Q39" i="23"/>
  <c r="Q130" i="23" s="1"/>
  <c r="Z294" i="25"/>
  <c r="Z327" i="25" s="1"/>
  <c r="T56" i="23"/>
  <c r="Z294" i="24"/>
  <c r="Z327" i="24" s="1"/>
  <c r="T56" i="25"/>
  <c r="X496" i="25"/>
  <c r="Y362" i="25"/>
  <c r="Z362" i="25" s="1"/>
  <c r="Y141" i="25"/>
  <c r="Y142" i="25" s="1"/>
  <c r="Y47" i="25" s="1"/>
  <c r="X79" i="24"/>
  <c r="Z140" i="24"/>
  <c r="Q41" i="23"/>
  <c r="Q45" i="23" s="1"/>
  <c r="Z310" i="24"/>
  <c r="Z302" i="25"/>
  <c r="X287" i="24"/>
  <c r="Z302" i="24"/>
  <c r="U209" i="24"/>
  <c r="X371" i="24"/>
  <c r="X372" i="24" s="1"/>
  <c r="X268" i="25"/>
  <c r="Q234" i="25"/>
  <c r="Q35" i="25" s="1"/>
  <c r="Q46" i="25" s="1"/>
  <c r="Z306" i="24"/>
  <c r="X496" i="23"/>
  <c r="X501" i="23"/>
  <c r="U354" i="23"/>
  <c r="U122" i="23" s="1"/>
  <c r="U128" i="23" s="1"/>
  <c r="Z280" i="24"/>
  <c r="Z140" i="25"/>
  <c r="X496" i="24"/>
  <c r="Z140" i="23"/>
  <c r="U520" i="23"/>
  <c r="U354" i="24"/>
  <c r="U122" i="24" s="1"/>
  <c r="U128" i="24" s="1"/>
  <c r="X287" i="23"/>
  <c r="Y362" i="24"/>
  <c r="Z362" i="24" s="1"/>
  <c r="Q108" i="24"/>
  <c r="Q110" i="24" s="1"/>
  <c r="Q111" i="24" s="1"/>
  <c r="V223" i="23"/>
  <c r="Z306" i="25"/>
  <c r="X79" i="23"/>
  <c r="X287" i="25"/>
  <c r="W208" i="25"/>
  <c r="V326" i="24"/>
  <c r="W474" i="25"/>
  <c r="W445" i="25"/>
  <c r="X443" i="25"/>
  <c r="R230" i="24"/>
  <c r="R482" i="24"/>
  <c r="Y90" i="24"/>
  <c r="Z155" i="24"/>
  <c r="Z90" i="24" s="1"/>
  <c r="Z94" i="25"/>
  <c r="Z195" i="25"/>
  <c r="V513" i="25"/>
  <c r="V63" i="25"/>
  <c r="Y511" i="25"/>
  <c r="Y512" i="25" s="1"/>
  <c r="Y341" i="25"/>
  <c r="Y485" i="25"/>
  <c r="Y488" i="25" s="1"/>
  <c r="Z340" i="25"/>
  <c r="T227" i="23"/>
  <c r="Y495" i="23"/>
  <c r="Z345" i="23"/>
  <c r="Y346" i="23"/>
  <c r="Y341" i="23"/>
  <c r="Y485" i="23"/>
  <c r="Y488" i="23" s="1"/>
  <c r="Y511" i="23"/>
  <c r="Y512" i="23" s="1"/>
  <c r="Z340" i="23"/>
  <c r="Y337" i="23"/>
  <c r="Y36" i="23" s="1"/>
  <c r="Z335" i="23"/>
  <c r="Z337" i="23" s="1"/>
  <c r="Z36" i="23" s="1"/>
  <c r="Z478" i="23"/>
  <c r="U209" i="25"/>
  <c r="Y80" i="23"/>
  <c r="Y141" i="23"/>
  <c r="Y142" i="23" s="1"/>
  <c r="Y47" i="23" s="1"/>
  <c r="X240" i="25"/>
  <c r="X241" i="25" s="1"/>
  <c r="Y239" i="25"/>
  <c r="Y495" i="24"/>
  <c r="Z345" i="24"/>
  <c r="Y346" i="24"/>
  <c r="Y493" i="24"/>
  <c r="Z358" i="24"/>
  <c r="Y359" i="24"/>
  <c r="X104" i="23"/>
  <c r="X37" i="23"/>
  <c r="Q110" i="23"/>
  <c r="Q111" i="23" s="1"/>
  <c r="Q70" i="23"/>
  <c r="Y323" i="25"/>
  <c r="Y265" i="25"/>
  <c r="Z264" i="25"/>
  <c r="Z323" i="25" s="1"/>
  <c r="Y266" i="25"/>
  <c r="Z280" i="25"/>
  <c r="X363" i="25"/>
  <c r="V208" i="23"/>
  <c r="U479" i="23"/>
  <c r="Z310" i="25"/>
  <c r="Q70" i="25"/>
  <c r="Q110" i="25"/>
  <c r="Q111" i="25" s="1"/>
  <c r="Z283" i="24"/>
  <c r="Y284" i="24"/>
  <c r="Y286" i="24"/>
  <c r="Y478" i="25"/>
  <c r="Q234" i="24"/>
  <c r="Q35" i="24" s="1"/>
  <c r="Y429" i="25"/>
  <c r="Y102" i="25" s="1"/>
  <c r="Z428" i="25"/>
  <c r="Z429" i="25" s="1"/>
  <c r="Z220" i="25"/>
  <c r="Z115" i="25" s="1"/>
  <c r="Z121" i="25" s="1"/>
  <c r="X347" i="25"/>
  <c r="X74" i="25"/>
  <c r="Z395" i="25"/>
  <c r="Z397" i="25" s="1"/>
  <c r="Y397" i="25"/>
  <c r="Y103" i="25" s="1"/>
  <c r="X240" i="23"/>
  <c r="Y239" i="23"/>
  <c r="Y284" i="25"/>
  <c r="Z283" i="25"/>
  <c r="Y286" i="25"/>
  <c r="Z478" i="24"/>
  <c r="Z335" i="24"/>
  <c r="Z337" i="24" s="1"/>
  <c r="Z36" i="24" s="1"/>
  <c r="Y337" i="24"/>
  <c r="Y36" i="24" s="1"/>
  <c r="X37" i="25"/>
  <c r="X104" i="25"/>
  <c r="X347" i="23"/>
  <c r="X74" i="23"/>
  <c r="Z395" i="24"/>
  <c r="Z397" i="24" s="1"/>
  <c r="Y397" i="24"/>
  <c r="Y103" i="24" s="1"/>
  <c r="X501" i="24"/>
  <c r="Z197" i="24"/>
  <c r="Z200" i="24" s="1"/>
  <c r="U328" i="23"/>
  <c r="R500" i="25"/>
  <c r="R492" i="25"/>
  <c r="R489" i="25"/>
  <c r="U209" i="23"/>
  <c r="X273" i="23"/>
  <c r="W324" i="23"/>
  <c r="W275" i="23"/>
  <c r="W276" i="23" s="1"/>
  <c r="U328" i="24"/>
  <c r="U211" i="24" s="1"/>
  <c r="W372" i="23"/>
  <c r="W101" i="23" s="1"/>
  <c r="W106" i="23" s="1"/>
  <c r="X371" i="23"/>
  <c r="Y495" i="25"/>
  <c r="Z345" i="25"/>
  <c r="Y346" i="25"/>
  <c r="W241" i="23"/>
  <c r="W210" i="23"/>
  <c r="W225" i="23"/>
  <c r="U224" i="25"/>
  <c r="T227" i="25"/>
  <c r="X347" i="24"/>
  <c r="X74" i="24"/>
  <c r="X273" i="24"/>
  <c r="W275" i="24"/>
  <c r="W276" i="24" s="1"/>
  <c r="W324" i="24"/>
  <c r="Z395" i="23"/>
  <c r="Z397" i="23" s="1"/>
  <c r="Y397" i="23"/>
  <c r="Y103" i="23" s="1"/>
  <c r="X240" i="24"/>
  <c r="X241" i="24" s="1"/>
  <c r="Y239" i="24"/>
  <c r="Z367" i="23"/>
  <c r="Z368" i="23" s="1"/>
  <c r="Y368" i="23"/>
  <c r="X37" i="24"/>
  <c r="X104" i="24"/>
  <c r="R48" i="25"/>
  <c r="Z358" i="25"/>
  <c r="Y493" i="25"/>
  <c r="Y359" i="25"/>
  <c r="X443" i="23"/>
  <c r="W474" i="23"/>
  <c r="W445" i="23"/>
  <c r="W241" i="25"/>
  <c r="W210" i="25"/>
  <c r="W225" i="25"/>
  <c r="U354" i="25"/>
  <c r="V479" i="25"/>
  <c r="T212" i="24"/>
  <c r="T95" i="24" s="1"/>
  <c r="Y34" i="24"/>
  <c r="Y284" i="23"/>
  <c r="Y286" i="23"/>
  <c r="Z283" i="23"/>
  <c r="X351" i="24"/>
  <c r="W353" i="24"/>
  <c r="W225" i="24"/>
  <c r="W210" i="24"/>
  <c r="Z340" i="24"/>
  <c r="Y485" i="24"/>
  <c r="Y488" i="24" s="1"/>
  <c r="Y511" i="24"/>
  <c r="Y512" i="24" s="1"/>
  <c r="Y341" i="24"/>
  <c r="V326" i="23"/>
  <c r="V328" i="23" s="1"/>
  <c r="V518" i="25"/>
  <c r="V446" i="25"/>
  <c r="V127" i="25" s="1"/>
  <c r="Y90" i="25"/>
  <c r="Z155" i="25"/>
  <c r="Z90" i="25" s="1"/>
  <c r="V518" i="24"/>
  <c r="V446" i="24"/>
  <c r="V127" i="24" s="1"/>
  <c r="U520" i="24"/>
  <c r="Q490" i="24"/>
  <c r="Q81" i="24"/>
  <c r="Q82" i="24" s="1"/>
  <c r="V88" i="23"/>
  <c r="V93" i="23" s="1"/>
  <c r="Q506" i="23"/>
  <c r="Q521" i="23" s="1"/>
  <c r="Q522" i="23" s="1"/>
  <c r="Q503" i="23"/>
  <c r="Q71" i="23" s="1"/>
  <c r="X351" i="23"/>
  <c r="W353" i="23"/>
  <c r="Z335" i="25"/>
  <c r="Z337" i="25" s="1"/>
  <c r="Z36" i="25" s="1"/>
  <c r="Y337" i="25"/>
  <c r="Y36" i="25" s="1"/>
  <c r="U520" i="25"/>
  <c r="Y80" i="24"/>
  <c r="Y141" i="24"/>
  <c r="Y142" i="24" s="1"/>
  <c r="Y47" i="24" s="1"/>
  <c r="Y323" i="24"/>
  <c r="Z264" i="24"/>
  <c r="Y266" i="24"/>
  <c r="Y265" i="24"/>
  <c r="X443" i="24"/>
  <c r="W445" i="24"/>
  <c r="W474" i="24"/>
  <c r="Z358" i="23"/>
  <c r="Y493" i="23"/>
  <c r="Y359" i="23"/>
  <c r="Y429" i="24"/>
  <c r="Y102" i="24" s="1"/>
  <c r="Z220" i="24"/>
  <c r="Z115" i="24" s="1"/>
  <c r="Z121" i="24" s="1"/>
  <c r="Z428" i="24"/>
  <c r="Z429" i="24" s="1"/>
  <c r="Z367" i="24"/>
  <c r="Z368" i="24" s="1"/>
  <c r="Y368" i="24"/>
  <c r="V223" i="24"/>
  <c r="W208" i="24" s="1"/>
  <c r="W275" i="25"/>
  <c r="W276" i="25" s="1"/>
  <c r="X273" i="25"/>
  <c r="W324" i="25"/>
  <c r="W223" i="25" s="1"/>
  <c r="Y90" i="23"/>
  <c r="Z155" i="23"/>
  <c r="Z90" i="23" s="1"/>
  <c r="Z428" i="23"/>
  <c r="Z429" i="23" s="1"/>
  <c r="Y429" i="23"/>
  <c r="Y102" i="23" s="1"/>
  <c r="Z220" i="23"/>
  <c r="Z115" i="23" s="1"/>
  <c r="Z121" i="23" s="1"/>
  <c r="V88" i="25"/>
  <c r="V93" i="25" s="1"/>
  <c r="X363" i="24"/>
  <c r="V88" i="24"/>
  <c r="V93" i="24" s="1"/>
  <c r="X501" i="25"/>
  <c r="V518" i="23"/>
  <c r="V446" i="23"/>
  <c r="V127" i="23" s="1"/>
  <c r="Q497" i="23"/>
  <c r="Q51" i="23"/>
  <c r="V513" i="23"/>
  <c r="V63" i="23"/>
  <c r="V513" i="24"/>
  <c r="V63" i="24"/>
  <c r="Z367" i="25"/>
  <c r="Z368" i="25" s="1"/>
  <c r="Y368" i="25"/>
  <c r="Z197" i="25"/>
  <c r="Z200" i="25" s="1"/>
  <c r="W353" i="25"/>
  <c r="X351" i="25"/>
  <c r="W241" i="24"/>
  <c r="X268" i="24"/>
  <c r="W210" i="16"/>
  <c r="X225" i="16" s="1"/>
  <c r="Y284" i="16"/>
  <c r="Y287" i="16" s="1"/>
  <c r="X274" i="17"/>
  <c r="W323" i="17"/>
  <c r="Z239" i="16"/>
  <c r="Z240" i="16" s="1"/>
  <c r="Z241" i="16" s="1"/>
  <c r="Z341" i="16"/>
  <c r="Z104" i="16" s="1"/>
  <c r="Z286" i="16"/>
  <c r="Z283" i="17"/>
  <c r="Z140" i="17"/>
  <c r="Y397" i="17"/>
  <c r="Y103" i="17" s="1"/>
  <c r="Z395" i="17"/>
  <c r="Z397" i="17" s="1"/>
  <c r="Z511" i="17"/>
  <c r="Z512" i="17" s="1"/>
  <c r="Z485" i="17"/>
  <c r="Z488" i="17" s="1"/>
  <c r="Z478" i="17"/>
  <c r="Y115" i="16"/>
  <c r="Y121" i="16" s="1"/>
  <c r="Z197" i="17"/>
  <c r="Z200" i="17" s="1"/>
  <c r="Z359" i="17"/>
  <c r="Y90" i="17"/>
  <c r="Z155" i="17"/>
  <c r="Z265" i="17"/>
  <c r="Z495" i="17"/>
  <c r="Z346" i="17"/>
  <c r="Z294" i="17"/>
  <c r="Z327" i="17" s="1"/>
  <c r="Y368" i="17"/>
  <c r="Z367" i="17"/>
  <c r="Z368" i="17" s="1"/>
  <c r="Y429" i="17"/>
  <c r="Y102" i="17" s="1"/>
  <c r="Z220" i="17"/>
  <c r="Z115" i="17" s="1"/>
  <c r="Z121" i="17" s="1"/>
  <c r="Z428" i="17"/>
  <c r="Z429" i="17" s="1"/>
  <c r="Z337" i="17"/>
  <c r="Z36" i="17" s="1"/>
  <c r="Z141" i="16"/>
  <c r="Z142" i="16" s="1"/>
  <c r="Z47" i="16" s="1"/>
  <c r="Z495" i="16"/>
  <c r="Z362" i="16"/>
  <c r="Y337" i="17"/>
  <c r="Y36" i="17" s="1"/>
  <c r="Z103" i="16"/>
  <c r="Z493" i="16"/>
  <c r="Z80" i="16"/>
  <c r="Z359" i="16"/>
  <c r="Z74" i="16" s="1"/>
  <c r="Z34" i="16"/>
  <c r="Z337" i="16"/>
  <c r="Z36" i="16" s="1"/>
  <c r="Y362" i="17"/>
  <c r="Z362" i="17" s="1"/>
  <c r="Z511" i="16"/>
  <c r="Z512" i="16" s="1"/>
  <c r="Z268" i="16"/>
  <c r="Z102" i="16"/>
  <c r="Y371" i="16"/>
  <c r="Z371" i="16" s="1"/>
  <c r="Z372" i="16" s="1"/>
  <c r="Y103" i="16"/>
  <c r="Y142" i="16"/>
  <c r="Y36" i="16"/>
  <c r="Y488" i="16"/>
  <c r="Y512" i="16"/>
  <c r="Y363" i="16"/>
  <c r="Y327" i="16"/>
  <c r="Z327" i="16" s="1"/>
  <c r="Y268" i="16"/>
  <c r="W101" i="17"/>
  <c r="W106" i="17" s="1"/>
  <c r="Y266" i="17"/>
  <c r="Z266" i="17" s="1"/>
  <c r="Y265" i="17"/>
  <c r="Y267" i="17"/>
  <c r="Z267" i="17" s="1"/>
  <c r="X79" i="17"/>
  <c r="X496" i="17"/>
  <c r="U211" i="17"/>
  <c r="S95" i="17"/>
  <c r="X363" i="17"/>
  <c r="U224" i="17"/>
  <c r="T56" i="17"/>
  <c r="U354" i="17"/>
  <c r="U56" i="17" s="1"/>
  <c r="X287" i="17"/>
  <c r="T227" i="17"/>
  <c r="Y239" i="17"/>
  <c r="Z239" i="17" s="1"/>
  <c r="X240" i="17"/>
  <c r="U209" i="17"/>
  <c r="Y493" i="17"/>
  <c r="Y359" i="17"/>
  <c r="X501" i="17"/>
  <c r="W241" i="17"/>
  <c r="W225" i="17"/>
  <c r="W210" i="17"/>
  <c r="Y80" i="17"/>
  <c r="V326" i="17"/>
  <c r="V328" i="17" s="1"/>
  <c r="X37" i="17"/>
  <c r="X104" i="17"/>
  <c r="V88" i="17"/>
  <c r="V93" i="17" s="1"/>
  <c r="U226" i="17"/>
  <c r="U56" i="16"/>
  <c r="X273" i="17"/>
  <c r="W324" i="17"/>
  <c r="W275" i="17"/>
  <c r="W276" i="17" s="1"/>
  <c r="Q480" i="17"/>
  <c r="U520" i="17"/>
  <c r="Y511" i="17"/>
  <c r="Y512" i="17" s="1"/>
  <c r="Y341" i="17"/>
  <c r="Z341" i="17" s="1"/>
  <c r="Y485" i="17"/>
  <c r="Y488" i="17" s="1"/>
  <c r="V446" i="17"/>
  <c r="V127" i="17" s="1"/>
  <c r="V518" i="17"/>
  <c r="W445" i="17"/>
  <c r="X443" i="17"/>
  <c r="V513" i="17"/>
  <c r="V63" i="17"/>
  <c r="W474" i="17"/>
  <c r="W88" i="17" s="1"/>
  <c r="W93" i="17" s="1"/>
  <c r="W353" i="17"/>
  <c r="X351" i="17"/>
  <c r="X371" i="17"/>
  <c r="X347" i="17"/>
  <c r="X74" i="17"/>
  <c r="T212" i="17"/>
  <c r="Y495" i="17"/>
  <c r="Y346" i="17"/>
  <c r="Y34" i="17"/>
  <c r="V223" i="17"/>
  <c r="Y286" i="17"/>
  <c r="Y284" i="17"/>
  <c r="U479" i="17"/>
  <c r="V208" i="17"/>
  <c r="Y141" i="17"/>
  <c r="Y79" i="16"/>
  <c r="V224" i="16"/>
  <c r="V354" i="16"/>
  <c r="V122" i="16" s="1"/>
  <c r="V128" i="16" s="1"/>
  <c r="T95" i="16"/>
  <c r="X443" i="16"/>
  <c r="X445" i="16" s="1"/>
  <c r="X273" i="16"/>
  <c r="X275" i="16" s="1"/>
  <c r="X276" i="16" s="1"/>
  <c r="X351" i="16"/>
  <c r="X353" i="16" s="1"/>
  <c r="Y496" i="16"/>
  <c r="V520" i="16"/>
  <c r="W208" i="16"/>
  <c r="V479" i="16"/>
  <c r="Y240" i="16"/>
  <c r="Q230" i="16"/>
  <c r="Q482" i="16"/>
  <c r="X372" i="16"/>
  <c r="X101" i="16" s="1"/>
  <c r="X106" i="16" s="1"/>
  <c r="W518" i="16"/>
  <c r="W446" i="16"/>
  <c r="W127" i="16" s="1"/>
  <c r="Y37" i="16"/>
  <c r="Y104" i="16"/>
  <c r="U227" i="16"/>
  <c r="W88" i="16"/>
  <c r="W93" i="16" s="1"/>
  <c r="W326" i="16"/>
  <c r="W328" i="16" s="1"/>
  <c r="Y347" i="16"/>
  <c r="Z347" i="16" s="1"/>
  <c r="Y74" i="16"/>
  <c r="W513" i="16"/>
  <c r="W63" i="16"/>
  <c r="W223" i="16"/>
  <c r="V209" i="16"/>
  <c r="V211" i="16"/>
  <c r="U212" i="16"/>
  <c r="V226" i="16"/>
  <c r="Z267" i="24" l="1"/>
  <c r="U226" i="23"/>
  <c r="U227" i="23" s="1"/>
  <c r="U226" i="24"/>
  <c r="U227" i="24" s="1"/>
  <c r="T95" i="23"/>
  <c r="T212" i="25"/>
  <c r="T95" i="25" s="1"/>
  <c r="Y79" i="25"/>
  <c r="Y501" i="24"/>
  <c r="Y363" i="23"/>
  <c r="U56" i="24"/>
  <c r="U211" i="25"/>
  <c r="V211" i="25" s="1"/>
  <c r="Y363" i="24"/>
  <c r="U212" i="24"/>
  <c r="Y371" i="24"/>
  <c r="Z371" i="24" s="1"/>
  <c r="Z372" i="24" s="1"/>
  <c r="X101" i="25"/>
  <c r="X106" i="25" s="1"/>
  <c r="U56" i="23"/>
  <c r="X208" i="25"/>
  <c r="Z141" i="25"/>
  <c r="Z142" i="25" s="1"/>
  <c r="Z47" i="25" s="1"/>
  <c r="Y363" i="25"/>
  <c r="W326" i="24"/>
  <c r="W328" i="24" s="1"/>
  <c r="Q41" i="25"/>
  <c r="V224" i="25"/>
  <c r="Q39" i="25"/>
  <c r="Q130" i="25" s="1"/>
  <c r="Q70" i="24"/>
  <c r="Q57" i="24" s="1"/>
  <c r="Q58" i="24" s="1"/>
  <c r="Q59" i="24" s="1"/>
  <c r="Y496" i="23"/>
  <c r="Z103" i="25"/>
  <c r="Y287" i="24"/>
  <c r="V224" i="24"/>
  <c r="V209" i="23"/>
  <c r="Z80" i="25"/>
  <c r="Y268" i="24"/>
  <c r="V328" i="24"/>
  <c r="Z102" i="24"/>
  <c r="Y496" i="24"/>
  <c r="Y287" i="25"/>
  <c r="Z80" i="23"/>
  <c r="Z102" i="23"/>
  <c r="Z80" i="24"/>
  <c r="Y287" i="23"/>
  <c r="U211" i="23"/>
  <c r="W223" i="23"/>
  <c r="W446" i="24"/>
  <c r="W127" i="24" s="1"/>
  <c r="W518" i="24"/>
  <c r="W513" i="24"/>
  <c r="W63" i="24"/>
  <c r="X210" i="24"/>
  <c r="X225" i="24"/>
  <c r="X372" i="23"/>
  <c r="X101" i="23" s="1"/>
  <c r="X106" i="23" s="1"/>
  <c r="Y371" i="23"/>
  <c r="Z103" i="24"/>
  <c r="V209" i="24"/>
  <c r="R492" i="24"/>
  <c r="R500" i="24"/>
  <c r="R489" i="24"/>
  <c r="V224" i="23"/>
  <c r="Z141" i="24"/>
  <c r="Z142" i="24" s="1"/>
  <c r="Z47" i="24" s="1"/>
  <c r="Y347" i="23"/>
  <c r="Y74" i="23"/>
  <c r="Y240" i="24"/>
  <c r="Z239" i="24"/>
  <c r="Q57" i="23"/>
  <c r="Q58" i="23" s="1"/>
  <c r="Z34" i="24"/>
  <c r="V354" i="24"/>
  <c r="X101" i="24"/>
  <c r="X106" i="24" s="1"/>
  <c r="Y351" i="24"/>
  <c r="X353" i="24"/>
  <c r="Y496" i="25"/>
  <c r="R506" i="25"/>
  <c r="R521" i="25" s="1"/>
  <c r="R503" i="25"/>
  <c r="R71" i="25" s="1"/>
  <c r="Z239" i="23"/>
  <c r="Y240" i="23"/>
  <c r="Y347" i="24"/>
  <c r="Y74" i="24"/>
  <c r="R48" i="24"/>
  <c r="W479" i="25"/>
  <c r="X445" i="24"/>
  <c r="X474" i="24"/>
  <c r="Y443" i="24"/>
  <c r="Y351" i="25"/>
  <c r="X353" i="25"/>
  <c r="V520" i="24"/>
  <c r="Y273" i="25"/>
  <c r="X275" i="25"/>
  <c r="X276" i="25" s="1"/>
  <c r="X324" i="25"/>
  <c r="X223" i="25" s="1"/>
  <c r="W513" i="23"/>
  <c r="W63" i="23"/>
  <c r="Y104" i="24"/>
  <c r="Y37" i="24"/>
  <c r="Z493" i="25"/>
  <c r="Z359" i="25"/>
  <c r="Z363" i="25" s="1"/>
  <c r="Z103" i="23"/>
  <c r="X241" i="23"/>
  <c r="X225" i="23"/>
  <c r="X210" i="23"/>
  <c r="U227" i="25"/>
  <c r="Z265" i="25"/>
  <c r="Z266" i="25"/>
  <c r="Z495" i="24"/>
  <c r="Z346" i="24"/>
  <c r="Y240" i="25"/>
  <c r="Z239" i="25"/>
  <c r="V209" i="25"/>
  <c r="Z511" i="23"/>
  <c r="Z512" i="23" s="1"/>
  <c r="Z341" i="23"/>
  <c r="Z485" i="23"/>
  <c r="Z488" i="23" s="1"/>
  <c r="V354" i="25"/>
  <c r="Z267" i="25"/>
  <c r="Z141" i="23"/>
  <c r="Z142" i="23" s="1"/>
  <c r="Z47" i="23" s="1"/>
  <c r="Y273" i="24"/>
  <c r="X275" i="24"/>
  <c r="X276" i="24" s="1"/>
  <c r="X324" i="24"/>
  <c r="R51" i="25"/>
  <c r="R497" i="25"/>
  <c r="Z495" i="23"/>
  <c r="Z346" i="23"/>
  <c r="W513" i="25"/>
  <c r="W63" i="25"/>
  <c r="W326" i="25"/>
  <c r="Z266" i="24"/>
  <c r="Z265" i="24"/>
  <c r="Y351" i="23"/>
  <c r="X353" i="23"/>
  <c r="Z286" i="23"/>
  <c r="Z284" i="23"/>
  <c r="W446" i="23"/>
  <c r="W127" i="23" s="1"/>
  <c r="W518" i="23"/>
  <c r="Y79" i="23"/>
  <c r="W326" i="23"/>
  <c r="W328" i="23" s="1"/>
  <c r="Z102" i="25"/>
  <c r="Z284" i="24"/>
  <c r="Z286" i="24"/>
  <c r="Y268" i="25"/>
  <c r="Z511" i="25"/>
  <c r="Z512" i="25" s="1"/>
  <c r="Z341" i="25"/>
  <c r="Z485" i="25"/>
  <c r="Z488" i="25" s="1"/>
  <c r="V520" i="25"/>
  <c r="X474" i="25"/>
  <c r="X445" i="25"/>
  <c r="Y443" i="25"/>
  <c r="Z34" i="23"/>
  <c r="Q57" i="25"/>
  <c r="Q58" i="25" s="1"/>
  <c r="Z493" i="24"/>
  <c r="Z359" i="24"/>
  <c r="Z363" i="24" s="1"/>
  <c r="V354" i="23"/>
  <c r="Z493" i="23"/>
  <c r="Z359" i="23"/>
  <c r="Z363" i="23" s="1"/>
  <c r="Q78" i="23"/>
  <c r="Q64" i="23"/>
  <c r="Q65" i="23" s="1"/>
  <c r="Q67" i="23" s="1"/>
  <c r="Q85" i="23"/>
  <c r="R480" i="23"/>
  <c r="U122" i="25"/>
  <c r="U128" i="25" s="1"/>
  <c r="U56" i="25"/>
  <c r="W88" i="23"/>
  <c r="W93" i="23" s="1"/>
  <c r="R53" i="25"/>
  <c r="R49" i="25"/>
  <c r="R50" i="25"/>
  <c r="Y347" i="25"/>
  <c r="Y74" i="25"/>
  <c r="X210" i="25"/>
  <c r="X225" i="25"/>
  <c r="Y501" i="23"/>
  <c r="Y501" i="25"/>
  <c r="Z478" i="25"/>
  <c r="W518" i="25"/>
  <c r="W446" i="25"/>
  <c r="W127" i="25" s="1"/>
  <c r="Z34" i="25"/>
  <c r="Y371" i="25"/>
  <c r="Z371" i="25" s="1"/>
  <c r="Z372" i="25" s="1"/>
  <c r="V520" i="23"/>
  <c r="V479" i="24"/>
  <c r="W88" i="24"/>
  <c r="W93" i="24" s="1"/>
  <c r="Q504" i="23"/>
  <c r="Z341" i="24"/>
  <c r="Z485" i="24"/>
  <c r="Z488" i="24" s="1"/>
  <c r="Z511" i="24"/>
  <c r="Z512" i="24" s="1"/>
  <c r="X474" i="23"/>
  <c r="Y443" i="23"/>
  <c r="X445" i="23"/>
  <c r="W223" i="24"/>
  <c r="W479" i="24" s="1"/>
  <c r="Z495" i="25"/>
  <c r="Z346" i="25"/>
  <c r="Y273" i="23"/>
  <c r="X275" i="23"/>
  <c r="X276" i="23" s="1"/>
  <c r="X324" i="23"/>
  <c r="Z323" i="24"/>
  <c r="Z284" i="25"/>
  <c r="Z286" i="25"/>
  <c r="Q39" i="24"/>
  <c r="Q46" i="24"/>
  <c r="Q41" i="24"/>
  <c r="W208" i="23"/>
  <c r="V479" i="23"/>
  <c r="Y79" i="24"/>
  <c r="Y104" i="23"/>
  <c r="Y37" i="23"/>
  <c r="Y37" i="25"/>
  <c r="Y104" i="25"/>
  <c r="W88" i="25"/>
  <c r="W93" i="25" s="1"/>
  <c r="X210" i="16"/>
  <c r="Y225" i="16" s="1"/>
  <c r="Z284" i="16"/>
  <c r="Z287" i="16" s="1"/>
  <c r="Y274" i="17"/>
  <c r="X323" i="17"/>
  <c r="Z37" i="16"/>
  <c r="Z286" i="17"/>
  <c r="Y102" i="16"/>
  <c r="Z284" i="17"/>
  <c r="Z80" i="17"/>
  <c r="Z493" i="17"/>
  <c r="Z496" i="17" s="1"/>
  <c r="Z103" i="17"/>
  <c r="Y142" i="17"/>
  <c r="Y47" i="17" s="1"/>
  <c r="Z141" i="17"/>
  <c r="Z142" i="17" s="1"/>
  <c r="Z47" i="17" s="1"/>
  <c r="Z363" i="17"/>
  <c r="Z74" i="17"/>
  <c r="Z37" i="17"/>
  <c r="Z104" i="17"/>
  <c r="Z102" i="17"/>
  <c r="Z268" i="17"/>
  <c r="Z240" i="17"/>
  <c r="Z241" i="17" s="1"/>
  <c r="Z90" i="17"/>
  <c r="Z34" i="17"/>
  <c r="Z496" i="16"/>
  <c r="Z79" i="16"/>
  <c r="Y363" i="17"/>
  <c r="Z501" i="16"/>
  <c r="Z363" i="16"/>
  <c r="Y372" i="16"/>
  <c r="Y501" i="16"/>
  <c r="Y241" i="16"/>
  <c r="Y47" i="16"/>
  <c r="Y268" i="17"/>
  <c r="Y79" i="17"/>
  <c r="U212" i="17"/>
  <c r="U227" i="17"/>
  <c r="T95" i="17"/>
  <c r="U122" i="17"/>
  <c r="U128" i="17" s="1"/>
  <c r="Y501" i="17"/>
  <c r="V56" i="16"/>
  <c r="V211" i="17"/>
  <c r="V520" i="17"/>
  <c r="W223" i="17"/>
  <c r="V227" i="16"/>
  <c r="Y496" i="17"/>
  <c r="V209" i="17"/>
  <c r="Y287" i="17"/>
  <c r="X474" i="17"/>
  <c r="X88" i="17" s="1"/>
  <c r="X93" i="17" s="1"/>
  <c r="X353" i="17"/>
  <c r="X275" i="17"/>
  <c r="X276" i="17" s="1"/>
  <c r="X324" i="17"/>
  <c r="X210" i="17"/>
  <c r="X225" i="17"/>
  <c r="Y347" i="17"/>
  <c r="Z347" i="17" s="1"/>
  <c r="Y74" i="17"/>
  <c r="W513" i="17"/>
  <c r="W63" i="17"/>
  <c r="Y240" i="17"/>
  <c r="V226" i="17"/>
  <c r="X372" i="17"/>
  <c r="X101" i="17" s="1"/>
  <c r="X106" i="17" s="1"/>
  <c r="Y371" i="17"/>
  <c r="Y37" i="17"/>
  <c r="Y104" i="17"/>
  <c r="W208" i="17"/>
  <c r="V479" i="17"/>
  <c r="V354" i="17"/>
  <c r="Q230" i="17"/>
  <c r="Q482" i="17"/>
  <c r="V224" i="17"/>
  <c r="X445" i="17"/>
  <c r="W326" i="17"/>
  <c r="W328" i="17" s="1"/>
  <c r="W518" i="17"/>
  <c r="W446" i="17"/>
  <c r="W127" i="17" s="1"/>
  <c r="X241" i="17"/>
  <c r="X324" i="16"/>
  <c r="X223" i="16" s="1"/>
  <c r="Y273" i="16"/>
  <c r="Z273" i="16" s="1"/>
  <c r="Y443" i="16"/>
  <c r="Z443" i="16" s="1"/>
  <c r="X474" i="16"/>
  <c r="X88" i="16" s="1"/>
  <c r="X93" i="16" s="1"/>
  <c r="Y351" i="16"/>
  <c r="Z351" i="16" s="1"/>
  <c r="Z353" i="16" s="1"/>
  <c r="W209" i="16"/>
  <c r="W354" i="16"/>
  <c r="W122" i="16" s="1"/>
  <c r="W128" i="16" s="1"/>
  <c r="U95" i="16"/>
  <c r="X208" i="16"/>
  <c r="P7" i="16"/>
  <c r="P8" i="16" s="1"/>
  <c r="W479" i="16"/>
  <c r="X513" i="16"/>
  <c r="X63" i="16"/>
  <c r="V212" i="16"/>
  <c r="Q492" i="16"/>
  <c r="Q489" i="16"/>
  <c r="Q500" i="16"/>
  <c r="X446" i="16"/>
  <c r="X127" i="16" s="1"/>
  <c r="X518" i="16"/>
  <c r="X326" i="16"/>
  <c r="W520" i="16"/>
  <c r="Q48" i="16"/>
  <c r="W224" i="16"/>
  <c r="W226" i="16"/>
  <c r="W211" i="16"/>
  <c r="Y372" i="24" l="1"/>
  <c r="Y101" i="24" s="1"/>
  <c r="Y106" i="24" s="1"/>
  <c r="Q45" i="24"/>
  <c r="Q45" i="25"/>
  <c r="V226" i="23"/>
  <c r="V227" i="23" s="1"/>
  <c r="V226" i="24"/>
  <c r="V227" i="24" s="1"/>
  <c r="U95" i="24"/>
  <c r="Z79" i="25"/>
  <c r="U212" i="25"/>
  <c r="U95" i="25" s="1"/>
  <c r="V226" i="25"/>
  <c r="V227" i="25" s="1"/>
  <c r="Q62" i="25"/>
  <c r="X326" i="24"/>
  <c r="X328" i="24" s="1"/>
  <c r="W520" i="25"/>
  <c r="V211" i="24"/>
  <c r="R522" i="25"/>
  <c r="Z79" i="24"/>
  <c r="X326" i="23"/>
  <c r="X328" i="23" s="1"/>
  <c r="Z79" i="23"/>
  <c r="W224" i="25"/>
  <c r="U212" i="23"/>
  <c r="U95" i="23" s="1"/>
  <c r="W209" i="24"/>
  <c r="V211" i="23"/>
  <c r="W328" i="25"/>
  <c r="Z496" i="24"/>
  <c r="Z287" i="23"/>
  <c r="Y208" i="25"/>
  <c r="Z287" i="25"/>
  <c r="Z287" i="24"/>
  <c r="Z268" i="25"/>
  <c r="X223" i="23"/>
  <c r="Z501" i="25"/>
  <c r="W520" i="23"/>
  <c r="Z501" i="24"/>
  <c r="W479" i="23"/>
  <c r="X208" i="23"/>
  <c r="Z443" i="23"/>
  <c r="Y474" i="23"/>
  <c r="Y445" i="23"/>
  <c r="Z347" i="23"/>
  <c r="Z74" i="23"/>
  <c r="W209" i="25"/>
  <c r="Z496" i="25"/>
  <c r="X326" i="25"/>
  <c r="X328" i="25" s="1"/>
  <c r="X88" i="24"/>
  <c r="X93" i="24" s="1"/>
  <c r="Y241" i="23"/>
  <c r="Y210" i="23"/>
  <c r="Y225" i="23"/>
  <c r="Z351" i="24"/>
  <c r="Z353" i="24" s="1"/>
  <c r="Y353" i="24"/>
  <c r="Z240" i="24"/>
  <c r="R506" i="24"/>
  <c r="R521" i="24" s="1"/>
  <c r="R503" i="24"/>
  <c r="R71" i="24" s="1"/>
  <c r="Q60" i="24"/>
  <c r="R38" i="24"/>
  <c r="V122" i="23"/>
  <c r="V128" i="23" s="1"/>
  <c r="V56" i="23"/>
  <c r="Z104" i="25"/>
  <c r="Z37" i="25"/>
  <c r="R78" i="25"/>
  <c r="S480" i="25"/>
  <c r="R85" i="25"/>
  <c r="R64" i="25"/>
  <c r="R65" i="25" s="1"/>
  <c r="R67" i="25" s="1"/>
  <c r="V122" i="24"/>
  <c r="V128" i="24" s="1"/>
  <c r="V56" i="24"/>
  <c r="Z273" i="23"/>
  <c r="Y324" i="23"/>
  <c r="Y275" i="23"/>
  <c r="Y276" i="23" s="1"/>
  <c r="Y372" i="25"/>
  <c r="Y101" i="25" s="1"/>
  <c r="Y106" i="25" s="1"/>
  <c r="V122" i="25"/>
  <c r="V128" i="25" s="1"/>
  <c r="V56" i="25"/>
  <c r="Z240" i="25"/>
  <c r="X513" i="25"/>
  <c r="X63" i="25"/>
  <c r="R504" i="25"/>
  <c r="R230" i="23"/>
  <c r="R482" i="23"/>
  <c r="Z347" i="25"/>
  <c r="Z74" i="25"/>
  <c r="Q490" i="23"/>
  <c r="Q81" i="23"/>
  <c r="Q82" i="23" s="1"/>
  <c r="X513" i="23"/>
  <c r="X63" i="23"/>
  <c r="X223" i="24"/>
  <c r="Z501" i="23"/>
  <c r="Y241" i="25"/>
  <c r="Y210" i="25"/>
  <c r="Y225" i="25"/>
  <c r="W354" i="23"/>
  <c r="Z351" i="25"/>
  <c r="Z353" i="25" s="1"/>
  <c r="Z63" i="25" s="1"/>
  <c r="Y353" i="25"/>
  <c r="W209" i="23"/>
  <c r="W224" i="24"/>
  <c r="Z240" i="23"/>
  <c r="Q130" i="24"/>
  <c r="Q62" i="24"/>
  <c r="Y474" i="25"/>
  <c r="Z443" i="25"/>
  <c r="Y445" i="25"/>
  <c r="Z351" i="23"/>
  <c r="Z353" i="23" s="1"/>
  <c r="Z63" i="23" s="1"/>
  <c r="Y353" i="23"/>
  <c r="Z37" i="23"/>
  <c r="Z104" i="23"/>
  <c r="Z347" i="24"/>
  <c r="Z74" i="24"/>
  <c r="Q59" i="23"/>
  <c r="Q62" i="23"/>
  <c r="V212" i="25"/>
  <c r="W354" i="24"/>
  <c r="X88" i="23"/>
  <c r="X93" i="23" s="1"/>
  <c r="X208" i="24"/>
  <c r="Z104" i="24"/>
  <c r="Z37" i="24"/>
  <c r="X518" i="25"/>
  <c r="X446" i="25"/>
  <c r="X127" i="25" s="1"/>
  <c r="W354" i="25"/>
  <c r="Y275" i="24"/>
  <c r="Y276" i="24" s="1"/>
  <c r="Z273" i="24"/>
  <c r="Y324" i="24"/>
  <c r="W224" i="23"/>
  <c r="W520" i="24"/>
  <c r="Z273" i="25"/>
  <c r="Y275" i="25"/>
  <c r="Y276" i="25" s="1"/>
  <c r="Y324" i="25"/>
  <c r="Y223" i="25" s="1"/>
  <c r="X518" i="24"/>
  <c r="X446" i="24"/>
  <c r="X127" i="24" s="1"/>
  <c r="Y241" i="24"/>
  <c r="Y225" i="24"/>
  <c r="Y210" i="24"/>
  <c r="X446" i="23"/>
  <c r="X127" i="23" s="1"/>
  <c r="X518" i="23"/>
  <c r="Z496" i="23"/>
  <c r="Q59" i="25"/>
  <c r="Q60" i="25" s="1"/>
  <c r="X88" i="25"/>
  <c r="X93" i="25" s="1"/>
  <c r="Z268" i="24"/>
  <c r="Y445" i="24"/>
  <c r="Y474" i="24"/>
  <c r="Z443" i="24"/>
  <c r="R49" i="24"/>
  <c r="R53" i="24"/>
  <c r="R50" i="24"/>
  <c r="X513" i="24"/>
  <c r="X63" i="24"/>
  <c r="R51" i="24"/>
  <c r="R497" i="24"/>
  <c r="Y372" i="23"/>
  <c r="Y101" i="23" s="1"/>
  <c r="Y106" i="23" s="1"/>
  <c r="Z371" i="23"/>
  <c r="Z372" i="23" s="1"/>
  <c r="X479" i="25"/>
  <c r="Y210" i="16"/>
  <c r="Z210" i="16" s="1"/>
  <c r="Z274" i="17"/>
  <c r="Z323" i="17" s="1"/>
  <c r="Y323" i="17"/>
  <c r="Z79" i="17"/>
  <c r="Z287" i="17"/>
  <c r="Y273" i="17"/>
  <c r="Z273" i="17" s="1"/>
  <c r="Z501" i="17"/>
  <c r="Y443" i="17"/>
  <c r="Z443" i="17" s="1"/>
  <c r="Z445" i="17" s="1"/>
  <c r="Y351" i="17"/>
  <c r="Y353" i="17" s="1"/>
  <c r="Y372" i="17"/>
  <c r="Y101" i="17" s="1"/>
  <c r="Y106" i="17" s="1"/>
  <c r="Z371" i="17"/>
  <c r="Z372" i="17" s="1"/>
  <c r="Z101" i="16"/>
  <c r="Z106" i="16" s="1"/>
  <c r="Z474" i="16"/>
  <c r="Z445" i="16"/>
  <c r="Z275" i="16"/>
  <c r="Z324" i="16"/>
  <c r="Z63" i="16"/>
  <c r="Y101" i="16"/>
  <c r="Y324" i="16"/>
  <c r="Y353" i="16"/>
  <c r="Z513" i="16" s="1"/>
  <c r="Y445" i="16"/>
  <c r="U95" i="17"/>
  <c r="V212" i="17"/>
  <c r="V95" i="16"/>
  <c r="W224" i="17"/>
  <c r="Y275" i="16"/>
  <c r="X208" i="17"/>
  <c r="W479" i="17"/>
  <c r="W209" i="17"/>
  <c r="Q489" i="17"/>
  <c r="Q500" i="17"/>
  <c r="Q492" i="17"/>
  <c r="W354" i="17"/>
  <c r="Q48" i="17"/>
  <c r="X223" i="17"/>
  <c r="W520" i="17"/>
  <c r="X326" i="17"/>
  <c r="X328" i="17" s="1"/>
  <c r="V122" i="17"/>
  <c r="V128" i="17" s="1"/>
  <c r="V56" i="17"/>
  <c r="V227" i="17"/>
  <c r="W226" i="17"/>
  <c r="X513" i="17"/>
  <c r="X63" i="17"/>
  <c r="X446" i="17"/>
  <c r="X127" i="17" s="1"/>
  <c r="X518" i="17"/>
  <c r="Y241" i="17"/>
  <c r="Y225" i="17"/>
  <c r="Y210" i="17"/>
  <c r="W211" i="17"/>
  <c r="W212" i="16"/>
  <c r="Y474" i="16"/>
  <c r="W227" i="16"/>
  <c r="W56" i="16"/>
  <c r="X209" i="16"/>
  <c r="X328" i="16"/>
  <c r="X226" i="16" s="1"/>
  <c r="X479" i="16"/>
  <c r="Y208" i="16"/>
  <c r="X224" i="16"/>
  <c r="Q506" i="16"/>
  <c r="Q521" i="16" s="1"/>
  <c r="Q503" i="16"/>
  <c r="Q71" i="16" s="1"/>
  <c r="X520" i="16"/>
  <c r="Q49" i="16"/>
  <c r="Q53" i="16"/>
  <c r="Q50" i="16"/>
  <c r="Q51" i="16"/>
  <c r="Q497" i="16"/>
  <c r="X354" i="16"/>
  <c r="Q38" i="16"/>
  <c r="Q7" i="25" l="1"/>
  <c r="Q8" i="25" s="1"/>
  <c r="Q7" i="24"/>
  <c r="Q8" i="24" s="1"/>
  <c r="Z101" i="24"/>
  <c r="Z106" i="24" s="1"/>
  <c r="W226" i="23"/>
  <c r="W227" i="23" s="1"/>
  <c r="W226" i="24"/>
  <c r="W227" i="24" s="1"/>
  <c r="W211" i="24"/>
  <c r="W212" i="24" s="1"/>
  <c r="V212" i="24"/>
  <c r="V95" i="24" s="1"/>
  <c r="W211" i="25"/>
  <c r="W212" i="25" s="1"/>
  <c r="Y326" i="24"/>
  <c r="Y328" i="24" s="1"/>
  <c r="Y326" i="23"/>
  <c r="Y328" i="23" s="1"/>
  <c r="Y223" i="23"/>
  <c r="X224" i="24"/>
  <c r="W211" i="23"/>
  <c r="W212" i="23" s="1"/>
  <c r="Y326" i="25"/>
  <c r="Y328" i="25" s="1"/>
  <c r="R522" i="24"/>
  <c r="W226" i="25"/>
  <c r="X354" i="24"/>
  <c r="X56" i="24" s="1"/>
  <c r="V212" i="23"/>
  <c r="V95" i="23" s="1"/>
  <c r="Z101" i="25"/>
  <c r="Z106" i="25" s="1"/>
  <c r="Z101" i="23"/>
  <c r="Z106" i="23" s="1"/>
  <c r="X520" i="24"/>
  <c r="Y223" i="24"/>
  <c r="X209" i="25"/>
  <c r="Z208" i="25"/>
  <c r="X209" i="23"/>
  <c r="R48" i="23"/>
  <c r="X479" i="24"/>
  <c r="Y208" i="24"/>
  <c r="Q60" i="23"/>
  <c r="Q7" i="23" s="1"/>
  <c r="Q8" i="23" s="1"/>
  <c r="R38" i="23"/>
  <c r="Y513" i="23"/>
  <c r="Y63" i="23"/>
  <c r="R81" i="25"/>
  <c r="R82" i="25" s="1"/>
  <c r="R490" i="25"/>
  <c r="R504" i="24"/>
  <c r="Z513" i="24"/>
  <c r="X520" i="23"/>
  <c r="R64" i="24"/>
  <c r="R65" i="24" s="1"/>
  <c r="R67" i="24" s="1"/>
  <c r="S480" i="24"/>
  <c r="R78" i="24"/>
  <c r="R85" i="24"/>
  <c r="Z275" i="25"/>
  <c r="Z276" i="25" s="1"/>
  <c r="Z324" i="25"/>
  <c r="Z223" i="25" s="1"/>
  <c r="Z275" i="24"/>
  <c r="Z276" i="24" s="1"/>
  <c r="Z324" i="24"/>
  <c r="Z513" i="23"/>
  <c r="Y208" i="23"/>
  <c r="X479" i="23"/>
  <c r="Z474" i="24"/>
  <c r="Z445" i="24"/>
  <c r="Y518" i="25"/>
  <c r="Y446" i="25"/>
  <c r="Y127" i="25" s="1"/>
  <c r="X209" i="24"/>
  <c r="X224" i="25"/>
  <c r="Y479" i="25"/>
  <c r="S230" i="25"/>
  <c r="S482" i="25"/>
  <c r="Y88" i="24"/>
  <c r="Y93" i="24" s="1"/>
  <c r="W122" i="25"/>
  <c r="W128" i="25" s="1"/>
  <c r="W56" i="25"/>
  <c r="Z474" i="25"/>
  <c r="Z445" i="25"/>
  <c r="Z241" i="23"/>
  <c r="Z225" i="23"/>
  <c r="Z210" i="23"/>
  <c r="Y513" i="25"/>
  <c r="Y63" i="25"/>
  <c r="X354" i="25"/>
  <c r="Y518" i="23"/>
  <c r="Y446" i="23"/>
  <c r="Y127" i="23" s="1"/>
  <c r="Z241" i="25"/>
  <c r="Z225" i="25"/>
  <c r="Z210" i="25"/>
  <c r="Z275" i="23"/>
  <c r="Z276" i="23" s="1"/>
  <c r="Z324" i="23"/>
  <c r="Y446" i="24"/>
  <c r="Y127" i="24" s="1"/>
  <c r="Y518" i="24"/>
  <c r="R38" i="25"/>
  <c r="W122" i="24"/>
  <c r="W128" i="24" s="1"/>
  <c r="W56" i="24"/>
  <c r="Z63" i="24"/>
  <c r="Y88" i="25"/>
  <c r="Y93" i="25" s="1"/>
  <c r="Z513" i="25"/>
  <c r="X520" i="25"/>
  <c r="R113" i="24"/>
  <c r="R40" i="24"/>
  <c r="Z241" i="24"/>
  <c r="Z210" i="24"/>
  <c r="Z225" i="24"/>
  <c r="Y88" i="23"/>
  <c r="Y93" i="23" s="1"/>
  <c r="X224" i="23"/>
  <c r="V95" i="25"/>
  <c r="W122" i="23"/>
  <c r="W128" i="23" s="1"/>
  <c r="W56" i="23"/>
  <c r="X354" i="23"/>
  <c r="R500" i="23"/>
  <c r="R489" i="23"/>
  <c r="R492" i="23"/>
  <c r="Y513" i="24"/>
  <c r="Y63" i="24"/>
  <c r="Z474" i="23"/>
  <c r="Z445" i="23"/>
  <c r="Z225" i="16"/>
  <c r="Z275" i="17"/>
  <c r="Y324" i="17"/>
  <c r="Y223" i="17" s="1"/>
  <c r="Y275" i="17"/>
  <c r="Y276" i="17" s="1"/>
  <c r="Y326" i="17" s="1"/>
  <c r="Y328" i="17" s="1"/>
  <c r="Y474" i="17"/>
  <c r="Y88" i="17" s="1"/>
  <c r="Y93" i="17" s="1"/>
  <c r="Z324" i="17"/>
  <c r="Y445" i="17"/>
  <c r="Z518" i="17" s="1"/>
  <c r="Z101" i="17"/>
  <c r="Z106" i="17" s="1"/>
  <c r="Y63" i="17"/>
  <c r="Y513" i="17"/>
  <c r="Z351" i="17"/>
  <c r="Z353" i="17" s="1"/>
  <c r="Z513" i="17" s="1"/>
  <c r="Z225" i="17"/>
  <c r="Z210" i="17"/>
  <c r="Z88" i="16"/>
  <c r="Z93" i="16" s="1"/>
  <c r="Z518" i="16"/>
  <c r="Z520" i="16" s="1"/>
  <c r="Y106" i="16"/>
  <c r="Y513" i="16"/>
  <c r="Y518" i="16"/>
  <c r="Y446" i="16"/>
  <c r="Z446" i="16" s="1"/>
  <c r="Y223" i="16"/>
  <c r="Z223" i="16" s="1"/>
  <c r="Y88" i="16"/>
  <c r="Y276" i="16"/>
  <c r="Z276" i="16" s="1"/>
  <c r="Y63" i="16"/>
  <c r="W95" i="16"/>
  <c r="V95" i="17"/>
  <c r="X520" i="17"/>
  <c r="X209" i="17"/>
  <c r="X211" i="17"/>
  <c r="Q38" i="17"/>
  <c r="Q506" i="17"/>
  <c r="Q521" i="17" s="1"/>
  <c r="Q503" i="17"/>
  <c r="Q71" i="17" s="1"/>
  <c r="X354" i="17"/>
  <c r="Q49" i="17"/>
  <c r="Q53" i="17"/>
  <c r="Q50" i="17"/>
  <c r="Q51" i="17"/>
  <c r="Q497" i="17"/>
  <c r="X226" i="17"/>
  <c r="X224" i="17"/>
  <c r="W212" i="17"/>
  <c r="W122" i="17"/>
  <c r="W128" i="17" s="1"/>
  <c r="W56" i="17"/>
  <c r="P7" i="17"/>
  <c r="P8" i="17" s="1"/>
  <c r="W227" i="17"/>
  <c r="X479" i="17"/>
  <c r="Y208" i="17"/>
  <c r="Q522" i="16"/>
  <c r="X211" i="16"/>
  <c r="X227" i="16"/>
  <c r="Q64" i="16"/>
  <c r="Q65" i="16" s="1"/>
  <c r="Q67" i="16" s="1"/>
  <c r="Q78" i="16"/>
  <c r="Q542" i="16" s="1"/>
  <c r="Q544" i="16" s="1"/>
  <c r="R480" i="16"/>
  <c r="Q85" i="16"/>
  <c r="Q504" i="16"/>
  <c r="Q40" i="16"/>
  <c r="Q109" i="16" s="1"/>
  <c r="Q96" i="16" s="1"/>
  <c r="Q113" i="16"/>
  <c r="X122" i="16"/>
  <c r="X128" i="16" s="1"/>
  <c r="X56" i="16"/>
  <c r="X226" i="25" l="1"/>
  <c r="X227" i="25" s="1"/>
  <c r="X122" i="24"/>
  <c r="X128" i="24" s="1"/>
  <c r="Z326" i="24"/>
  <c r="Z328" i="24" s="1"/>
  <c r="Z326" i="23"/>
  <c r="Z328" i="23" s="1"/>
  <c r="X211" i="24"/>
  <c r="X212" i="24" s="1"/>
  <c r="W227" i="25"/>
  <c r="W95" i="25" s="1"/>
  <c r="X226" i="24"/>
  <c r="Y209" i="24"/>
  <c r="X211" i="25"/>
  <c r="Y209" i="25"/>
  <c r="Y224" i="24"/>
  <c r="X226" i="23"/>
  <c r="X227" i="23" s="1"/>
  <c r="X211" i="23"/>
  <c r="X212" i="23" s="1"/>
  <c r="Z326" i="25"/>
  <c r="Z328" i="25" s="1"/>
  <c r="Y520" i="23"/>
  <c r="Y354" i="24"/>
  <c r="Y56" i="24" s="1"/>
  <c r="Y209" i="23"/>
  <c r="Y520" i="24"/>
  <c r="R497" i="23"/>
  <c r="R51" i="23"/>
  <c r="Y479" i="23"/>
  <c r="Z208" i="23"/>
  <c r="Z446" i="23"/>
  <c r="Z518" i="23"/>
  <c r="Z520" i="23" s="1"/>
  <c r="Y224" i="23"/>
  <c r="X122" i="25"/>
  <c r="X128" i="25" s="1"/>
  <c r="X56" i="25"/>
  <c r="Z518" i="25"/>
  <c r="Z520" i="25" s="1"/>
  <c r="Z446" i="25"/>
  <c r="X122" i="23"/>
  <c r="X128" i="23" s="1"/>
  <c r="X56" i="23"/>
  <c r="Z88" i="23"/>
  <c r="Z93" i="23" s="1"/>
  <c r="Z88" i="25"/>
  <c r="Z93" i="25" s="1"/>
  <c r="Z446" i="24"/>
  <c r="Z518" i="24"/>
  <c r="Z520" i="24" s="1"/>
  <c r="R113" i="25"/>
  <c r="R40" i="25"/>
  <c r="R109" i="25" s="1"/>
  <c r="R96" i="25" s="1"/>
  <c r="Z88" i="24"/>
  <c r="Z93" i="24" s="1"/>
  <c r="R490" i="24"/>
  <c r="R81" i="24"/>
  <c r="R82" i="24" s="1"/>
  <c r="W95" i="23"/>
  <c r="Y354" i="23"/>
  <c r="Y479" i="24"/>
  <c r="Z208" i="24"/>
  <c r="Y354" i="25"/>
  <c r="Y224" i="25"/>
  <c r="S230" i="24"/>
  <c r="S482" i="24"/>
  <c r="R53" i="23"/>
  <c r="R49" i="23"/>
  <c r="R50" i="23"/>
  <c r="S48" i="25"/>
  <c r="Y520" i="25"/>
  <c r="W95" i="24"/>
  <c r="S500" i="25"/>
  <c r="S492" i="25"/>
  <c r="S489" i="25"/>
  <c r="R506" i="23"/>
  <c r="R521" i="23" s="1"/>
  <c r="R503" i="23"/>
  <c r="R71" i="23" s="1"/>
  <c r="R109" i="24"/>
  <c r="R96" i="24" s="1"/>
  <c r="Z223" i="23"/>
  <c r="Z479" i="25"/>
  <c r="Z223" i="24"/>
  <c r="R113" i="23"/>
  <c r="R40" i="23"/>
  <c r="Z276" i="17"/>
  <c r="Z326" i="17" s="1"/>
  <c r="Z328" i="17" s="1"/>
  <c r="Y446" i="17"/>
  <c r="Z446" i="17" s="1"/>
  <c r="Z127" i="17" s="1"/>
  <c r="Y518" i="17"/>
  <c r="Y520" i="17" s="1"/>
  <c r="Z63" i="17"/>
  <c r="Z223" i="17"/>
  <c r="Z474" i="17"/>
  <c r="Z88" i="17" s="1"/>
  <c r="Z93" i="17" s="1"/>
  <c r="Z208" i="17"/>
  <c r="Z520" i="17"/>
  <c r="Z127" i="16"/>
  <c r="Z208" i="16"/>
  <c r="Y127" i="16"/>
  <c r="Y354" i="16"/>
  <c r="Z354" i="16" s="1"/>
  <c r="Y520" i="16"/>
  <c r="Y479" i="16"/>
  <c r="Y326" i="16"/>
  <c r="Z326" i="16" s="1"/>
  <c r="Z328" i="16" s="1"/>
  <c r="Y93" i="16"/>
  <c r="Y224" i="17"/>
  <c r="X212" i="17"/>
  <c r="Y479" i="17"/>
  <c r="Y209" i="17"/>
  <c r="X122" i="17"/>
  <c r="X128" i="17" s="1"/>
  <c r="X56" i="17"/>
  <c r="Q85" i="17"/>
  <c r="Q64" i="17"/>
  <c r="Q65" i="17" s="1"/>
  <c r="Q67" i="17" s="1"/>
  <c r="Q78" i="17"/>
  <c r="R480" i="17"/>
  <c r="X227" i="17"/>
  <c r="Y226" i="17"/>
  <c r="Q504" i="17"/>
  <c r="Q113" i="17"/>
  <c r="Q40" i="17"/>
  <c r="Q109" i="17" s="1"/>
  <c r="Q96" i="17" s="1"/>
  <c r="W95" i="17"/>
  <c r="Q522" i="17"/>
  <c r="Y211" i="17"/>
  <c r="X212" i="16"/>
  <c r="X95" i="16" s="1"/>
  <c r="Q232" i="16"/>
  <c r="Q231" i="16"/>
  <c r="Q233" i="16"/>
  <c r="Q98" i="16"/>
  <c r="Q99" i="16" s="1"/>
  <c r="Q490" i="16"/>
  <c r="Q81" i="16"/>
  <c r="Q82" i="16" s="1"/>
  <c r="R230" i="16"/>
  <c r="R482" i="16"/>
  <c r="Y211" i="25" l="1"/>
  <c r="Y212" i="25" s="1"/>
  <c r="Y226" i="24"/>
  <c r="Y227" i="24" s="1"/>
  <c r="Z209" i="24"/>
  <c r="X227" i="24"/>
  <c r="X95" i="24" s="1"/>
  <c r="Z224" i="24"/>
  <c r="Y211" i="24"/>
  <c r="Y212" i="24" s="1"/>
  <c r="Y226" i="25"/>
  <c r="X212" i="25"/>
  <c r="X95" i="25" s="1"/>
  <c r="Z209" i="25"/>
  <c r="Y211" i="23"/>
  <c r="Y212" i="23" s="1"/>
  <c r="X95" i="23"/>
  <c r="Y226" i="23"/>
  <c r="Y122" i="24"/>
  <c r="Y128" i="24" s="1"/>
  <c r="R504" i="23"/>
  <c r="R233" i="25"/>
  <c r="R232" i="25"/>
  <c r="R231" i="25"/>
  <c r="R98" i="25"/>
  <c r="R99" i="25" s="1"/>
  <c r="R78" i="23"/>
  <c r="R85" i="23"/>
  <c r="S480" i="23"/>
  <c r="R64" i="23"/>
  <c r="R65" i="23" s="1"/>
  <c r="R67" i="23" s="1"/>
  <c r="R522" i="23"/>
  <c r="Z127" i="23"/>
  <c r="Z354" i="23"/>
  <c r="S500" i="24"/>
  <c r="S489" i="24"/>
  <c r="S492" i="24"/>
  <c r="Z479" i="24"/>
  <c r="R109" i="23"/>
  <c r="R96" i="23" s="1"/>
  <c r="S51" i="25"/>
  <c r="S497" i="25"/>
  <c r="S48" i="24"/>
  <c r="Z479" i="23"/>
  <c r="Z127" i="25"/>
  <c r="Z354" i="25"/>
  <c r="S53" i="25"/>
  <c r="S49" i="25"/>
  <c r="S50" i="25"/>
  <c r="R233" i="24"/>
  <c r="R232" i="24"/>
  <c r="R231" i="24"/>
  <c r="R98" i="24"/>
  <c r="R99" i="24" s="1"/>
  <c r="S506" i="25"/>
  <c r="S521" i="25" s="1"/>
  <c r="S503" i="25"/>
  <c r="S71" i="25" s="1"/>
  <c r="Z224" i="25"/>
  <c r="Y122" i="25"/>
  <c r="Y128" i="25" s="1"/>
  <c r="Y56" i="25"/>
  <c r="Y122" i="23"/>
  <c r="Y128" i="23" s="1"/>
  <c r="Y56" i="23"/>
  <c r="Z127" i="24"/>
  <c r="Z354" i="24"/>
  <c r="Z224" i="23"/>
  <c r="Z209" i="23"/>
  <c r="Z211" i="17"/>
  <c r="Y354" i="17"/>
  <c r="Z354" i="17" s="1"/>
  <c r="Z122" i="17" s="1"/>
  <c r="Z128" i="17" s="1"/>
  <c r="Y127" i="17"/>
  <c r="Z209" i="17"/>
  <c r="Z224" i="17"/>
  <c r="Z479" i="17"/>
  <c r="Z226" i="17"/>
  <c r="Z122" i="16"/>
  <c r="Z128" i="16" s="1"/>
  <c r="Z56" i="16"/>
  <c r="Z479" i="16"/>
  <c r="Y122" i="16"/>
  <c r="Y56" i="16"/>
  <c r="Y328" i="16"/>
  <c r="Y224" i="16"/>
  <c r="Y209" i="16"/>
  <c r="Y212" i="17"/>
  <c r="Y227" i="17"/>
  <c r="X95" i="17"/>
  <c r="Q233" i="17"/>
  <c r="Q231" i="17"/>
  <c r="Q232" i="17"/>
  <c r="Q98" i="17"/>
  <c r="Q99" i="17" s="1"/>
  <c r="R230" i="17"/>
  <c r="R482" i="17"/>
  <c r="Q490" i="17"/>
  <c r="Q81" i="17"/>
  <c r="Q82" i="17" s="1"/>
  <c r="Q129" i="16"/>
  <c r="Q108" i="16"/>
  <c r="Q70" i="16" s="1"/>
  <c r="R500" i="16"/>
  <c r="R492" i="16"/>
  <c r="R489" i="16"/>
  <c r="Q234" i="16"/>
  <c r="Q35" i="16" s="1"/>
  <c r="R48" i="16"/>
  <c r="Z226" i="25" l="1"/>
  <c r="Z227" i="25" s="1"/>
  <c r="Y95" i="24"/>
  <c r="Z211" i="24"/>
  <c r="Z212" i="24" s="1"/>
  <c r="Y227" i="25"/>
  <c r="Y95" i="25" s="1"/>
  <c r="Z211" i="25"/>
  <c r="Z212" i="25" s="1"/>
  <c r="Z226" i="24"/>
  <c r="Z227" i="24" s="1"/>
  <c r="Z211" i="23"/>
  <c r="Z212" i="23" s="1"/>
  <c r="Y227" i="23"/>
  <c r="Y95" i="23" s="1"/>
  <c r="Z226" i="23"/>
  <c r="Z227" i="23" s="1"/>
  <c r="R234" i="25"/>
  <c r="R35" i="25" s="1"/>
  <c r="R46" i="25" s="1"/>
  <c r="R234" i="24"/>
  <c r="R35" i="24" s="1"/>
  <c r="R41" i="24" s="1"/>
  <c r="S506" i="24"/>
  <c r="S521" i="24" s="1"/>
  <c r="S503" i="24"/>
  <c r="S71" i="24" s="1"/>
  <c r="R490" i="23"/>
  <c r="R81" i="23"/>
  <c r="R82" i="23" s="1"/>
  <c r="R129" i="24"/>
  <c r="R108" i="24"/>
  <c r="R231" i="23"/>
  <c r="R233" i="23"/>
  <c r="R232" i="23"/>
  <c r="R98" i="23"/>
  <c r="R99" i="23" s="1"/>
  <c r="Z122" i="23"/>
  <c r="Z128" i="23" s="1"/>
  <c r="Z56" i="23"/>
  <c r="S522" i="25"/>
  <c r="S49" i="24"/>
  <c r="S53" i="24"/>
  <c r="S50" i="24"/>
  <c r="R129" i="25"/>
  <c r="R108" i="25"/>
  <c r="S78" i="25"/>
  <c r="T480" i="25"/>
  <c r="S64" i="25"/>
  <c r="S65" i="25" s="1"/>
  <c r="S67" i="25" s="1"/>
  <c r="S85" i="25"/>
  <c r="S504" i="25"/>
  <c r="Z122" i="24"/>
  <c r="Z128" i="24" s="1"/>
  <c r="Z56" i="24"/>
  <c r="Z122" i="25"/>
  <c r="Z128" i="25" s="1"/>
  <c r="Z56" i="25"/>
  <c r="S497" i="24"/>
  <c r="S51" i="24"/>
  <c r="S230" i="23"/>
  <c r="S482" i="23"/>
  <c r="Y56" i="17"/>
  <c r="Y122" i="17"/>
  <c r="Y128" i="17" s="1"/>
  <c r="Z212" i="17"/>
  <c r="Z56" i="17"/>
  <c r="Z227" i="17"/>
  <c r="Z209" i="16"/>
  <c r="Z224" i="16"/>
  <c r="Y128" i="16"/>
  <c r="Y226" i="16"/>
  <c r="Y211" i="16"/>
  <c r="Y95" i="17"/>
  <c r="R492" i="17"/>
  <c r="R489" i="17"/>
  <c r="R500" i="17"/>
  <c r="R48" i="17"/>
  <c r="Q129" i="17"/>
  <c r="Q108" i="17"/>
  <c r="Q234" i="17"/>
  <c r="Q35" i="17" s="1"/>
  <c r="Q46" i="16"/>
  <c r="Q41" i="16"/>
  <c r="Q45" i="16" s="1"/>
  <c r="Q39" i="16"/>
  <c r="Q130" i="16" s="1"/>
  <c r="R53" i="16"/>
  <c r="R49" i="16"/>
  <c r="R50" i="16"/>
  <c r="Q110" i="16"/>
  <c r="Q111" i="16" s="1"/>
  <c r="R497" i="16"/>
  <c r="R51" i="16"/>
  <c r="R506" i="16"/>
  <c r="R521" i="16" s="1"/>
  <c r="R503" i="16"/>
  <c r="R71" i="16" s="1"/>
  <c r="R45" i="24" l="1"/>
  <c r="Z95" i="24"/>
  <c r="Z95" i="25"/>
  <c r="Z95" i="23"/>
  <c r="R41" i="25"/>
  <c r="S522" i="24"/>
  <c r="R46" i="24"/>
  <c r="R39" i="25"/>
  <c r="R130" i="25" s="1"/>
  <c r="R39" i="24"/>
  <c r="R130" i="24" s="1"/>
  <c r="R129" i="23"/>
  <c r="R108" i="23"/>
  <c r="R110" i="25"/>
  <c r="R111" i="25" s="1"/>
  <c r="R70" i="25"/>
  <c r="S64" i="24"/>
  <c r="S65" i="24" s="1"/>
  <c r="S67" i="24" s="1"/>
  <c r="S78" i="24"/>
  <c r="T480" i="24"/>
  <c r="S85" i="24"/>
  <c r="S500" i="23"/>
  <c r="S492" i="23"/>
  <c r="S489" i="23"/>
  <c r="T230" i="25"/>
  <c r="T482" i="25"/>
  <c r="R234" i="23"/>
  <c r="R35" i="23" s="1"/>
  <c r="S504" i="24"/>
  <c r="S48" i="23"/>
  <c r="S490" i="25"/>
  <c r="S81" i="25"/>
  <c r="S82" i="25" s="1"/>
  <c r="R110" i="24"/>
  <c r="R111" i="24" s="1"/>
  <c r="R70" i="24"/>
  <c r="Z95" i="17"/>
  <c r="Z211" i="16"/>
  <c r="Z212" i="16" s="1"/>
  <c r="Z226" i="16"/>
  <c r="Z227" i="16" s="1"/>
  <c r="Y227" i="16"/>
  <c r="Y212" i="16"/>
  <c r="Q110" i="17"/>
  <c r="Q111" i="17" s="1"/>
  <c r="Q70" i="17"/>
  <c r="Q46" i="17"/>
  <c r="Q41" i="17"/>
  <c r="Q45" i="17" s="1"/>
  <c r="Q39" i="17"/>
  <c r="Q130" i="17" s="1"/>
  <c r="R49" i="17"/>
  <c r="R53" i="17"/>
  <c r="R50" i="17"/>
  <c r="R506" i="17"/>
  <c r="R521" i="17" s="1"/>
  <c r="R503" i="17"/>
  <c r="R71" i="17" s="1"/>
  <c r="R497" i="17"/>
  <c r="R51" i="17"/>
  <c r="R522" i="16"/>
  <c r="Q57" i="16"/>
  <c r="Q58" i="16" s="1"/>
  <c r="R78" i="16"/>
  <c r="R542" i="16" s="1"/>
  <c r="R64" i="16"/>
  <c r="R65" i="16" s="1"/>
  <c r="R67" i="16" s="1"/>
  <c r="S480" i="16"/>
  <c r="R85" i="16"/>
  <c r="R504" i="16"/>
  <c r="R45" i="25" l="1"/>
  <c r="S490" i="24"/>
  <c r="S81" i="24"/>
  <c r="S82" i="24" s="1"/>
  <c r="S49" i="23"/>
  <c r="S53" i="23"/>
  <c r="S50" i="23"/>
  <c r="S497" i="23"/>
  <c r="S51" i="23"/>
  <c r="R110" i="23"/>
  <c r="R111" i="23" s="1"/>
  <c r="R70" i="23"/>
  <c r="T489" i="25"/>
  <c r="T500" i="25"/>
  <c r="T492" i="25"/>
  <c r="S506" i="23"/>
  <c r="S521" i="23" s="1"/>
  <c r="S503" i="23"/>
  <c r="S71" i="23" s="1"/>
  <c r="R57" i="25"/>
  <c r="R58" i="25" s="1"/>
  <c r="R57" i="24"/>
  <c r="R58" i="24" s="1"/>
  <c r="R46" i="23"/>
  <c r="R41" i="23"/>
  <c r="R39" i="23"/>
  <c r="R130" i="23" s="1"/>
  <c r="T48" i="25"/>
  <c r="T230" i="24"/>
  <c r="T482" i="24"/>
  <c r="Z95" i="16"/>
  <c r="Y95" i="16"/>
  <c r="R522" i="17"/>
  <c r="R85" i="17"/>
  <c r="S480" i="17"/>
  <c r="R78" i="17"/>
  <c r="R64" i="17"/>
  <c r="R65" i="17" s="1"/>
  <c r="R67" i="17" s="1"/>
  <c r="R504" i="17"/>
  <c r="Q57" i="17"/>
  <c r="Q58" i="17" s="1"/>
  <c r="R490" i="16"/>
  <c r="R81" i="16"/>
  <c r="R82" i="16" s="1"/>
  <c r="S230" i="16"/>
  <c r="S482" i="16"/>
  <c r="Q62" i="16"/>
  <c r="Q59" i="16"/>
  <c r="R45" i="23" l="1"/>
  <c r="S504" i="23"/>
  <c r="T506" i="25"/>
  <c r="T521" i="25" s="1"/>
  <c r="T503" i="25"/>
  <c r="T71" i="25" s="1"/>
  <c r="S522" i="23"/>
  <c r="T480" i="23"/>
  <c r="S85" i="23"/>
  <c r="S78" i="23"/>
  <c r="S64" i="23"/>
  <c r="S65" i="23" s="1"/>
  <c r="S67" i="23" s="1"/>
  <c r="T489" i="24"/>
  <c r="T492" i="24"/>
  <c r="T500" i="24"/>
  <c r="R59" i="24"/>
  <c r="R60" i="24" s="1"/>
  <c r="R7" i="24" s="1"/>
  <c r="R8" i="24" s="1"/>
  <c r="R62" i="24"/>
  <c r="T497" i="25"/>
  <c r="T51" i="25"/>
  <c r="T48" i="24"/>
  <c r="R57" i="23"/>
  <c r="R58" i="23" s="1"/>
  <c r="T49" i="25"/>
  <c r="T53" i="25"/>
  <c r="T50" i="25"/>
  <c r="R59" i="25"/>
  <c r="R62" i="25"/>
  <c r="R490" i="17"/>
  <c r="R81" i="17"/>
  <c r="R82" i="17" s="1"/>
  <c r="S230" i="17"/>
  <c r="S482" i="17"/>
  <c r="Q62" i="17"/>
  <c r="Q59" i="17"/>
  <c r="Q60" i="17" s="1"/>
  <c r="Q7" i="17" s="1"/>
  <c r="Q8" i="17" s="1"/>
  <c r="R38" i="16"/>
  <c r="S500" i="16"/>
  <c r="S489" i="16"/>
  <c r="S492" i="16"/>
  <c r="S48" i="16"/>
  <c r="Q60" i="16"/>
  <c r="Q7" i="16" s="1"/>
  <c r="T522" i="25" l="1"/>
  <c r="Q8" i="16"/>
  <c r="T230" i="23"/>
  <c r="T482" i="23"/>
  <c r="R62" i="23"/>
  <c r="R59" i="23"/>
  <c r="R60" i="23" s="1"/>
  <c r="R7" i="23" s="1"/>
  <c r="R8" i="23" s="1"/>
  <c r="T506" i="24"/>
  <c r="T521" i="24" s="1"/>
  <c r="T503" i="24"/>
  <c r="T71" i="24" s="1"/>
  <c r="U480" i="25"/>
  <c r="T64" i="25"/>
  <c r="T65" i="25" s="1"/>
  <c r="T67" i="25" s="1"/>
  <c r="T78" i="25"/>
  <c r="T85" i="25"/>
  <c r="T53" i="24"/>
  <c r="T49" i="24"/>
  <c r="T50" i="24"/>
  <c r="T504" i="25"/>
  <c r="S490" i="23"/>
  <c r="S81" i="23"/>
  <c r="S82" i="23" s="1"/>
  <c r="S38" i="24"/>
  <c r="S38" i="25"/>
  <c r="T497" i="24"/>
  <c r="T51" i="24"/>
  <c r="R60" i="25"/>
  <c r="R7" i="25" s="1"/>
  <c r="R8" i="25" s="1"/>
  <c r="R38" i="17"/>
  <c r="S48" i="17"/>
  <c r="S500" i="17"/>
  <c r="S489" i="17"/>
  <c r="S492" i="17"/>
  <c r="S497" i="16"/>
  <c r="S51" i="16"/>
  <c r="R113" i="16"/>
  <c r="R40" i="16"/>
  <c r="S49" i="16"/>
  <c r="S53" i="16"/>
  <c r="S50" i="16"/>
  <c r="S506" i="16"/>
  <c r="S521" i="16" s="1"/>
  <c r="S503" i="16"/>
  <c r="S71" i="16" s="1"/>
  <c r="T504" i="24" l="1"/>
  <c r="U480" i="24"/>
  <c r="T85" i="24"/>
  <c r="T64" i="24"/>
  <c r="T65" i="24" s="1"/>
  <c r="T67" i="24" s="1"/>
  <c r="T78" i="24"/>
  <c r="S113" i="24"/>
  <c r="S40" i="24"/>
  <c r="S109" i="24" s="1"/>
  <c r="S96" i="24" s="1"/>
  <c r="S38" i="23"/>
  <c r="T522" i="24"/>
  <c r="T490" i="25"/>
  <c r="T81" i="25"/>
  <c r="T82" i="25" s="1"/>
  <c r="S113" i="25"/>
  <c r="S40" i="25"/>
  <c r="T500" i="23"/>
  <c r="T492" i="23"/>
  <c r="T489" i="23"/>
  <c r="U230" i="25"/>
  <c r="U482" i="25"/>
  <c r="T48" i="23"/>
  <c r="S506" i="17"/>
  <c r="S521" i="17" s="1"/>
  <c r="S503" i="17"/>
  <c r="S71" i="17" s="1"/>
  <c r="S53" i="17"/>
  <c r="S49" i="17"/>
  <c r="S50" i="17"/>
  <c r="R113" i="17"/>
  <c r="R40" i="17"/>
  <c r="R109" i="17" s="1"/>
  <c r="R96" i="17" s="1"/>
  <c r="S51" i="17"/>
  <c r="S497" i="17"/>
  <c r="S522" i="16"/>
  <c r="R109" i="16"/>
  <c r="R96" i="16" s="1"/>
  <c r="S504" i="16"/>
  <c r="T480" i="16"/>
  <c r="S78" i="16"/>
  <c r="S542" i="16" s="1"/>
  <c r="S85" i="16"/>
  <c r="S64" i="16"/>
  <c r="S65" i="16" s="1"/>
  <c r="S67" i="16" s="1"/>
  <c r="S233" i="24" l="1"/>
  <c r="S232" i="24"/>
  <c r="S231" i="24"/>
  <c r="S98" i="24"/>
  <c r="S99" i="24" s="1"/>
  <c r="U48" i="25"/>
  <c r="T51" i="23"/>
  <c r="T497" i="23"/>
  <c r="T490" i="24"/>
  <c r="T81" i="24"/>
  <c r="T82" i="24" s="1"/>
  <c r="T49" i="23"/>
  <c r="T53" i="23"/>
  <c r="T50" i="23"/>
  <c r="U492" i="25"/>
  <c r="U489" i="25"/>
  <c r="U500" i="25"/>
  <c r="T506" i="23"/>
  <c r="T521" i="23" s="1"/>
  <c r="T503" i="23"/>
  <c r="T71" i="23" s="1"/>
  <c r="S113" i="23"/>
  <c r="S40" i="23"/>
  <c r="S109" i="25"/>
  <c r="S96" i="25" s="1"/>
  <c r="U230" i="24"/>
  <c r="U482" i="24"/>
  <c r="S522" i="17"/>
  <c r="R232" i="17"/>
  <c r="R233" i="17"/>
  <c r="R231" i="17"/>
  <c r="R98" i="17"/>
  <c r="R99" i="17" s="1"/>
  <c r="S85" i="17"/>
  <c r="S64" i="17"/>
  <c r="S65" i="17" s="1"/>
  <c r="S67" i="17" s="1"/>
  <c r="S78" i="17"/>
  <c r="T480" i="17"/>
  <c r="S504" i="17"/>
  <c r="T230" i="16"/>
  <c r="T482" i="16"/>
  <c r="R233" i="16"/>
  <c r="R232" i="16"/>
  <c r="R231" i="16"/>
  <c r="R98" i="16"/>
  <c r="R99" i="16" s="1"/>
  <c r="S490" i="16"/>
  <c r="S81" i="16"/>
  <c r="S82" i="16" s="1"/>
  <c r="T504" i="23" l="1"/>
  <c r="U51" i="25"/>
  <c r="U497" i="25"/>
  <c r="U489" i="24"/>
  <c r="U500" i="24"/>
  <c r="U492" i="24"/>
  <c r="U480" i="23"/>
  <c r="T85" i="23"/>
  <c r="T78" i="23"/>
  <c r="T64" i="23"/>
  <c r="T65" i="23" s="1"/>
  <c r="T67" i="23" s="1"/>
  <c r="T522" i="23"/>
  <c r="S129" i="24"/>
  <c r="S108" i="24"/>
  <c r="S109" i="23"/>
  <c r="S96" i="23" s="1"/>
  <c r="U53" i="25"/>
  <c r="U49" i="25"/>
  <c r="U50" i="25"/>
  <c r="U48" i="24"/>
  <c r="S234" i="24"/>
  <c r="S35" i="24" s="1"/>
  <c r="S233" i="25"/>
  <c r="S232" i="25"/>
  <c r="S231" i="25"/>
  <c r="S98" i="25"/>
  <c r="S99" i="25" s="1"/>
  <c r="U506" i="25"/>
  <c r="U521" i="25" s="1"/>
  <c r="U503" i="25"/>
  <c r="U71" i="25" s="1"/>
  <c r="R234" i="17"/>
  <c r="R35" i="17" s="1"/>
  <c r="R46" i="17" s="1"/>
  <c r="T230" i="17"/>
  <c r="T482" i="17"/>
  <c r="R129" i="17"/>
  <c r="R108" i="17"/>
  <c r="S490" i="17"/>
  <c r="S81" i="17"/>
  <c r="S82" i="17" s="1"/>
  <c r="R234" i="16"/>
  <c r="R35" i="16" s="1"/>
  <c r="R46" i="16" s="1"/>
  <c r="T492" i="16"/>
  <c r="T500" i="16"/>
  <c r="T489" i="16"/>
  <c r="R129" i="16"/>
  <c r="R108" i="16"/>
  <c r="R70" i="16" s="1"/>
  <c r="T48" i="16"/>
  <c r="S234" i="25" l="1"/>
  <c r="S35" i="25" s="1"/>
  <c r="S46" i="25" s="1"/>
  <c r="U522" i="25"/>
  <c r="T490" i="23"/>
  <c r="T81" i="23"/>
  <c r="T82" i="23" s="1"/>
  <c r="S231" i="23"/>
  <c r="S232" i="23"/>
  <c r="S233" i="23"/>
  <c r="S98" i="23"/>
  <c r="S99" i="23" s="1"/>
  <c r="S39" i="24"/>
  <c r="S46" i="24"/>
  <c r="S41" i="24"/>
  <c r="S110" i="24"/>
  <c r="S111" i="24" s="1"/>
  <c r="S70" i="24"/>
  <c r="U506" i="24"/>
  <c r="U521" i="24" s="1"/>
  <c r="U503" i="24"/>
  <c r="U71" i="24" s="1"/>
  <c r="S129" i="25"/>
  <c r="S108" i="25"/>
  <c r="V480" i="25"/>
  <c r="U78" i="25"/>
  <c r="U85" i="25"/>
  <c r="U64" i="25"/>
  <c r="U65" i="25" s="1"/>
  <c r="U67" i="25" s="1"/>
  <c r="U504" i="25"/>
  <c r="U230" i="23"/>
  <c r="U482" i="23"/>
  <c r="U53" i="24"/>
  <c r="U49" i="24"/>
  <c r="U50" i="24"/>
  <c r="U51" i="24"/>
  <c r="U497" i="24"/>
  <c r="R41" i="17"/>
  <c r="R45" i="17" s="1"/>
  <c r="R39" i="17"/>
  <c r="R130" i="17" s="1"/>
  <c r="R110" i="17"/>
  <c r="R111" i="17" s="1"/>
  <c r="R70" i="17"/>
  <c r="T489" i="17"/>
  <c r="T500" i="17"/>
  <c r="T492" i="17"/>
  <c r="T48" i="17"/>
  <c r="R41" i="16"/>
  <c r="R45" i="16" s="1"/>
  <c r="R39" i="16"/>
  <c r="R130" i="16" s="1"/>
  <c r="R110" i="16"/>
  <c r="R111" i="16" s="1"/>
  <c r="T506" i="16"/>
  <c r="T521" i="16" s="1"/>
  <c r="T503" i="16"/>
  <c r="T71" i="16" s="1"/>
  <c r="T51" i="16"/>
  <c r="T497" i="16"/>
  <c r="T49" i="16"/>
  <c r="T53" i="16"/>
  <c r="T50" i="16"/>
  <c r="S45" i="24" l="1"/>
  <c r="S39" i="25"/>
  <c r="S130" i="25" s="1"/>
  <c r="S41" i="25"/>
  <c r="U522" i="24"/>
  <c r="U490" i="25"/>
  <c r="U81" i="25"/>
  <c r="U82" i="25" s="1"/>
  <c r="V230" i="25"/>
  <c r="V482" i="25"/>
  <c r="S129" i="23"/>
  <c r="S108" i="23"/>
  <c r="S57" i="24"/>
  <c r="S58" i="24" s="1"/>
  <c r="S62" i="24" s="1"/>
  <c r="S234" i="23"/>
  <c r="S35" i="23" s="1"/>
  <c r="S130" i="24"/>
  <c r="U48" i="23"/>
  <c r="U64" i="24"/>
  <c r="U65" i="24" s="1"/>
  <c r="U67" i="24" s="1"/>
  <c r="U78" i="24"/>
  <c r="V480" i="24"/>
  <c r="U85" i="24"/>
  <c r="U504" i="24"/>
  <c r="U500" i="23"/>
  <c r="U489" i="23"/>
  <c r="U492" i="23"/>
  <c r="S110" i="25"/>
  <c r="S111" i="25" s="1"/>
  <c r="S70" i="25"/>
  <c r="T49" i="17"/>
  <c r="T53" i="17"/>
  <c r="T50" i="17"/>
  <c r="T506" i="17"/>
  <c r="T521" i="17" s="1"/>
  <c r="T503" i="17"/>
  <c r="T71" i="17" s="1"/>
  <c r="T51" i="17"/>
  <c r="T497" i="17"/>
  <c r="R57" i="17"/>
  <c r="R58" i="17" s="1"/>
  <c r="T522" i="16"/>
  <c r="T78" i="16"/>
  <c r="T85" i="16"/>
  <c r="U480" i="16"/>
  <c r="T64" i="16"/>
  <c r="T65" i="16" s="1"/>
  <c r="T67" i="16" s="1"/>
  <c r="T504" i="16"/>
  <c r="R57" i="16"/>
  <c r="R58" i="16" s="1"/>
  <c r="S45" i="25" l="1"/>
  <c r="U51" i="23"/>
  <c r="U497" i="23"/>
  <c r="U490" i="24"/>
  <c r="U81" i="24"/>
  <c r="U82" i="24" s="1"/>
  <c r="U53" i="23"/>
  <c r="U49" i="23"/>
  <c r="U50" i="23"/>
  <c r="S110" i="23"/>
  <c r="S111" i="23" s="1"/>
  <c r="S70" i="23"/>
  <c r="U506" i="23"/>
  <c r="U521" i="23" s="1"/>
  <c r="U503" i="23"/>
  <c r="U71" i="23" s="1"/>
  <c r="V489" i="25"/>
  <c r="V500" i="25"/>
  <c r="V492" i="25"/>
  <c r="S59" i="24"/>
  <c r="S60" i="24" s="1"/>
  <c r="S7" i="24" s="1"/>
  <c r="S8" i="24" s="1"/>
  <c r="V48" i="25"/>
  <c r="S46" i="23"/>
  <c r="S41" i="23"/>
  <c r="S39" i="23"/>
  <c r="S57" i="25"/>
  <c r="S58" i="25" s="1"/>
  <c r="V230" i="24"/>
  <c r="V482" i="24"/>
  <c r="T504" i="17"/>
  <c r="U480" i="17"/>
  <c r="T85" i="17"/>
  <c r="T64" i="17"/>
  <c r="T65" i="17" s="1"/>
  <c r="T67" i="17" s="1"/>
  <c r="T78" i="17"/>
  <c r="R59" i="17"/>
  <c r="R62" i="17"/>
  <c r="T522" i="17"/>
  <c r="R59" i="16"/>
  <c r="R62" i="16"/>
  <c r="U230" i="16"/>
  <c r="U482" i="16"/>
  <c r="T490" i="16"/>
  <c r="T81" i="16"/>
  <c r="T82" i="16" s="1"/>
  <c r="S45" i="23" l="1"/>
  <c r="U522" i="23"/>
  <c r="U504" i="23"/>
  <c r="V497" i="25"/>
  <c r="V51" i="25"/>
  <c r="U78" i="23"/>
  <c r="U85" i="23"/>
  <c r="U64" i="23"/>
  <c r="U65" i="23" s="1"/>
  <c r="U67" i="23" s="1"/>
  <c r="V480" i="23"/>
  <c r="V53" i="25"/>
  <c r="V49" i="25"/>
  <c r="V50" i="25"/>
  <c r="S62" i="25"/>
  <c r="S59" i="25"/>
  <c r="S60" i="25" s="1"/>
  <c r="S7" i="25" s="1"/>
  <c r="S8" i="25" s="1"/>
  <c r="S130" i="23"/>
  <c r="V506" i="25"/>
  <c r="V521" i="25" s="1"/>
  <c r="V503" i="25"/>
  <c r="V71" i="25" s="1"/>
  <c r="V492" i="24"/>
  <c r="V500" i="24"/>
  <c r="V489" i="24"/>
  <c r="V48" i="24"/>
  <c r="T38" i="24"/>
  <c r="S57" i="23"/>
  <c r="S58" i="23" s="1"/>
  <c r="S62" i="23" s="1"/>
  <c r="S38" i="17"/>
  <c r="R60" i="17"/>
  <c r="R7" i="17" s="1"/>
  <c r="R8" i="17" s="1"/>
  <c r="T490" i="17"/>
  <c r="T81" i="17"/>
  <c r="T82" i="17" s="1"/>
  <c r="U230" i="17"/>
  <c r="U482" i="17"/>
  <c r="U500" i="16"/>
  <c r="U489" i="16"/>
  <c r="U492" i="16"/>
  <c r="U48" i="16"/>
  <c r="S38" i="16"/>
  <c r="R60" i="16"/>
  <c r="R7" i="16" s="1"/>
  <c r="R8" i="16" l="1"/>
  <c r="R544" i="16"/>
  <c r="S7" i="23"/>
  <c r="S8" i="23" s="1"/>
  <c r="V504" i="25"/>
  <c r="V522" i="25"/>
  <c r="V49" i="24"/>
  <c r="V53" i="24"/>
  <c r="V50" i="24"/>
  <c r="T113" i="24"/>
  <c r="T40" i="24"/>
  <c r="V230" i="23"/>
  <c r="V482" i="23"/>
  <c r="V51" i="24"/>
  <c r="V497" i="24"/>
  <c r="T38" i="25"/>
  <c r="V506" i="24"/>
  <c r="V521" i="24" s="1"/>
  <c r="V503" i="24"/>
  <c r="V71" i="24" s="1"/>
  <c r="U490" i="23"/>
  <c r="U81" i="23"/>
  <c r="U82" i="23" s="1"/>
  <c r="S59" i="23"/>
  <c r="S60" i="23" s="1"/>
  <c r="W480" i="25"/>
  <c r="V85" i="25"/>
  <c r="V78" i="25"/>
  <c r="V64" i="25"/>
  <c r="V65" i="25" s="1"/>
  <c r="V67" i="25" s="1"/>
  <c r="U48" i="17"/>
  <c r="U500" i="17"/>
  <c r="U492" i="17"/>
  <c r="U489" i="17"/>
  <c r="S113" i="17"/>
  <c r="S40" i="17"/>
  <c r="S109" i="17" s="1"/>
  <c r="S96" i="17" s="1"/>
  <c r="S113" i="16"/>
  <c r="S40" i="16"/>
  <c r="U53" i="16"/>
  <c r="U49" i="16"/>
  <c r="U50" i="16"/>
  <c r="U51" i="16"/>
  <c r="U497" i="16"/>
  <c r="U506" i="16"/>
  <c r="U521" i="16" s="1"/>
  <c r="U503" i="16"/>
  <c r="U71" i="16" s="1"/>
  <c r="V489" i="23" l="1"/>
  <c r="V492" i="23"/>
  <c r="V500" i="23"/>
  <c r="V81" i="25"/>
  <c r="V82" i="25" s="1"/>
  <c r="V490" i="25"/>
  <c r="V504" i="24"/>
  <c r="T109" i="24"/>
  <c r="T96" i="24" s="1"/>
  <c r="W230" i="25"/>
  <c r="W482" i="25"/>
  <c r="T113" i="25"/>
  <c r="T40" i="25"/>
  <c r="V48" i="23"/>
  <c r="T38" i="23"/>
  <c r="V64" i="24"/>
  <c r="V65" i="24" s="1"/>
  <c r="V67" i="24" s="1"/>
  <c r="V78" i="24"/>
  <c r="W480" i="24"/>
  <c r="V85" i="24"/>
  <c r="V522" i="24"/>
  <c r="S231" i="17"/>
  <c r="S232" i="17"/>
  <c r="S233" i="17"/>
  <c r="S98" i="17"/>
  <c r="S99" i="17" s="1"/>
  <c r="U497" i="17"/>
  <c r="U51" i="17"/>
  <c r="U506" i="17"/>
  <c r="U521" i="17" s="1"/>
  <c r="U503" i="17"/>
  <c r="U71" i="17" s="1"/>
  <c r="U53" i="17"/>
  <c r="U49" i="17"/>
  <c r="U50" i="17"/>
  <c r="U522" i="16"/>
  <c r="S109" i="16"/>
  <c r="S96" i="16" s="1"/>
  <c r="U504" i="16"/>
  <c r="V480" i="16"/>
  <c r="U85" i="16"/>
  <c r="U64" i="16"/>
  <c r="U65" i="16" s="1"/>
  <c r="U67" i="16" s="1"/>
  <c r="U78" i="16"/>
  <c r="T109" i="25" l="1"/>
  <c r="T96" i="25" s="1"/>
  <c r="V53" i="23"/>
  <c r="V49" i="23"/>
  <c r="V50" i="23"/>
  <c r="W230" i="24"/>
  <c r="W482" i="24"/>
  <c r="V490" i="24"/>
  <c r="V81" i="24"/>
  <c r="V82" i="24" s="1"/>
  <c r="V506" i="23"/>
  <c r="V521" i="23" s="1"/>
  <c r="V503" i="23"/>
  <c r="V71" i="23" s="1"/>
  <c r="W489" i="25"/>
  <c r="W500" i="25"/>
  <c r="W492" i="25"/>
  <c r="T232" i="24"/>
  <c r="T231" i="24"/>
  <c r="T233" i="24"/>
  <c r="T98" i="24"/>
  <c r="T99" i="24" s="1"/>
  <c r="T113" i="23"/>
  <c r="T40" i="23"/>
  <c r="T109" i="23" s="1"/>
  <c r="T96" i="23" s="1"/>
  <c r="W48" i="25"/>
  <c r="V497" i="23"/>
  <c r="V51" i="23"/>
  <c r="U504" i="17"/>
  <c r="U522" i="17"/>
  <c r="S108" i="17"/>
  <c r="S129" i="17"/>
  <c r="U64" i="17"/>
  <c r="U65" i="17" s="1"/>
  <c r="U67" i="17" s="1"/>
  <c r="V480" i="17"/>
  <c r="U85" i="17"/>
  <c r="U78" i="17"/>
  <c r="S234" i="17"/>
  <c r="S35" i="17" s="1"/>
  <c r="V230" i="16"/>
  <c r="V482" i="16"/>
  <c r="U490" i="16"/>
  <c r="U81" i="16"/>
  <c r="U82" i="16" s="1"/>
  <c r="S233" i="16"/>
  <c r="S231" i="16"/>
  <c r="S232" i="16"/>
  <c r="S98" i="16"/>
  <c r="S99" i="16" s="1"/>
  <c r="V522" i="23" l="1"/>
  <c r="T231" i="23"/>
  <c r="T232" i="23"/>
  <c r="T233" i="23"/>
  <c r="T98" i="23"/>
  <c r="T99" i="23" s="1"/>
  <c r="W506" i="25"/>
  <c r="W521" i="25" s="1"/>
  <c r="W503" i="25"/>
  <c r="W71" i="25" s="1"/>
  <c r="W48" i="24"/>
  <c r="W497" i="25"/>
  <c r="W51" i="25"/>
  <c r="W480" i="23"/>
  <c r="V85" i="23"/>
  <c r="V78" i="23"/>
  <c r="V64" i="23"/>
  <c r="V65" i="23" s="1"/>
  <c r="V67" i="23" s="1"/>
  <c r="T129" i="24"/>
  <c r="T108" i="24"/>
  <c r="V504" i="23"/>
  <c r="W492" i="24"/>
  <c r="W489" i="24"/>
  <c r="W500" i="24"/>
  <c r="W49" i="25"/>
  <c r="W53" i="25"/>
  <c r="W50" i="25"/>
  <c r="T234" i="24"/>
  <c r="T35" i="24" s="1"/>
  <c r="T232" i="25"/>
  <c r="T233" i="25"/>
  <c r="T231" i="25"/>
  <c r="T98" i="25"/>
  <c r="T99" i="25" s="1"/>
  <c r="S46" i="17"/>
  <c r="S39" i="17"/>
  <c r="S41" i="17"/>
  <c r="S45" i="17" s="1"/>
  <c r="V230" i="17"/>
  <c r="V48" i="17" s="1"/>
  <c r="V482" i="17"/>
  <c r="S110" i="17"/>
  <c r="S111" i="17" s="1"/>
  <c r="S70" i="17"/>
  <c r="U490" i="17"/>
  <c r="U81" i="17"/>
  <c r="U82" i="17" s="1"/>
  <c r="S234" i="16"/>
  <c r="S35" i="16" s="1"/>
  <c r="V492" i="16"/>
  <c r="V500" i="16"/>
  <c r="V489" i="16"/>
  <c r="S129" i="16"/>
  <c r="S108" i="16"/>
  <c r="V48" i="16"/>
  <c r="W522" i="25" l="1"/>
  <c r="T234" i="23"/>
  <c r="T35" i="23" s="1"/>
  <c r="T46" i="23" s="1"/>
  <c r="X480" i="25"/>
  <c r="W85" i="25"/>
  <c r="W64" i="25"/>
  <c r="W65" i="25" s="1"/>
  <c r="W67" i="25" s="1"/>
  <c r="W78" i="25"/>
  <c r="T129" i="25"/>
  <c r="T108" i="25"/>
  <c r="V81" i="23"/>
  <c r="V82" i="23" s="1"/>
  <c r="V490" i="23"/>
  <c r="W504" i="25"/>
  <c r="T234" i="25"/>
  <c r="T35" i="25" s="1"/>
  <c r="W506" i="24"/>
  <c r="W521" i="24" s="1"/>
  <c r="W503" i="24"/>
  <c r="W71" i="24" s="1"/>
  <c r="W497" i="24"/>
  <c r="W51" i="24"/>
  <c r="W230" i="23"/>
  <c r="W482" i="23"/>
  <c r="T129" i="23"/>
  <c r="T108" i="23"/>
  <c r="T46" i="24"/>
  <c r="T39" i="24"/>
  <c r="T41" i="24"/>
  <c r="T110" i="24"/>
  <c r="T111" i="24" s="1"/>
  <c r="T70" i="24"/>
  <c r="W49" i="24"/>
  <c r="W53" i="24"/>
  <c r="W50" i="24"/>
  <c r="S57" i="17"/>
  <c r="S58" i="17" s="1"/>
  <c r="S62" i="17" s="1"/>
  <c r="V500" i="17"/>
  <c r="V492" i="17"/>
  <c r="V489" i="17"/>
  <c r="V53" i="17"/>
  <c r="V49" i="17"/>
  <c r="V50" i="17"/>
  <c r="S130" i="17"/>
  <c r="V506" i="16"/>
  <c r="V521" i="16" s="1"/>
  <c r="V503" i="16"/>
  <c r="V71" i="16" s="1"/>
  <c r="S110" i="16"/>
  <c r="S111" i="16" s="1"/>
  <c r="S70" i="16"/>
  <c r="V49" i="16"/>
  <c r="V53" i="16"/>
  <c r="V50" i="16"/>
  <c r="V51" i="16"/>
  <c r="V497" i="16"/>
  <c r="S41" i="16"/>
  <c r="S45" i="16" s="1"/>
  <c r="S46" i="16"/>
  <c r="S39" i="16"/>
  <c r="T45" i="24" l="1"/>
  <c r="T39" i="23"/>
  <c r="T130" i="23" s="1"/>
  <c r="T41" i="23"/>
  <c r="T110" i="25"/>
  <c r="T111" i="25" s="1"/>
  <c r="T70" i="25"/>
  <c r="T130" i="24"/>
  <c r="W64" i="24"/>
  <c r="W65" i="24" s="1"/>
  <c r="W67" i="24" s="1"/>
  <c r="X480" i="24"/>
  <c r="W85" i="24"/>
  <c r="W78" i="24"/>
  <c r="W504" i="24"/>
  <c r="W81" i="25"/>
  <c r="W82" i="25" s="1"/>
  <c r="W490" i="25"/>
  <c r="W48" i="23"/>
  <c r="T110" i="23"/>
  <c r="T111" i="23" s="1"/>
  <c r="T70" i="23"/>
  <c r="T57" i="24"/>
  <c r="T58" i="24" s="1"/>
  <c r="T59" i="24" s="1"/>
  <c r="T46" i="25"/>
  <c r="T41" i="25"/>
  <c r="T39" i="25"/>
  <c r="T130" i="25" s="1"/>
  <c r="W522" i="24"/>
  <c r="W500" i="23"/>
  <c r="W492" i="23"/>
  <c r="W489" i="23"/>
  <c r="X230" i="25"/>
  <c r="X482" i="25"/>
  <c r="V497" i="17"/>
  <c r="V51" i="17"/>
  <c r="V506" i="17"/>
  <c r="V521" i="17" s="1"/>
  <c r="V522" i="17" s="1"/>
  <c r="V503" i="17"/>
  <c r="V71" i="17" s="1"/>
  <c r="S59" i="17"/>
  <c r="S60" i="17" s="1"/>
  <c r="S7" i="17" s="1"/>
  <c r="S8" i="17" s="1"/>
  <c r="V522" i="16"/>
  <c r="S57" i="16"/>
  <c r="S58" i="16" s="1"/>
  <c r="S62" i="16" s="1"/>
  <c r="S130" i="16"/>
  <c r="V85" i="16"/>
  <c r="V64" i="16"/>
  <c r="V65" i="16" s="1"/>
  <c r="V67" i="16" s="1"/>
  <c r="W480" i="16"/>
  <c r="V78" i="16"/>
  <c r="V504" i="16"/>
  <c r="T45" i="25" l="1"/>
  <c r="T45" i="23"/>
  <c r="W51" i="23"/>
  <c r="W497" i="23"/>
  <c r="T60" i="24"/>
  <c r="T7" i="24" s="1"/>
  <c r="T8" i="24" s="1"/>
  <c r="U38" i="24"/>
  <c r="W490" i="24"/>
  <c r="W81" i="24"/>
  <c r="W82" i="24" s="1"/>
  <c r="W506" i="23"/>
  <c r="W521" i="23" s="1"/>
  <c r="W503" i="23"/>
  <c r="W71" i="23" s="1"/>
  <c r="X230" i="24"/>
  <c r="X482" i="24"/>
  <c r="W49" i="23"/>
  <c r="W53" i="23"/>
  <c r="W50" i="23"/>
  <c r="T62" i="24"/>
  <c r="T57" i="23"/>
  <c r="T58" i="23" s="1"/>
  <c r="X489" i="25"/>
  <c r="X500" i="25"/>
  <c r="X492" i="25"/>
  <c r="T57" i="25"/>
  <c r="T58" i="25" s="1"/>
  <c r="X48" i="25"/>
  <c r="V504" i="17"/>
  <c r="T38" i="17"/>
  <c r="W480" i="17"/>
  <c r="V64" i="17"/>
  <c r="V65" i="17" s="1"/>
  <c r="V67" i="17" s="1"/>
  <c r="V78" i="17"/>
  <c r="V85" i="17"/>
  <c r="V490" i="16"/>
  <c r="V81" i="16"/>
  <c r="V82" i="16" s="1"/>
  <c r="W230" i="16"/>
  <c r="W482" i="16"/>
  <c r="S59" i="16"/>
  <c r="W522" i="23" l="1"/>
  <c r="U113" i="24"/>
  <c r="U40" i="24"/>
  <c r="X53" i="25"/>
  <c r="X49" i="25"/>
  <c r="X50" i="25"/>
  <c r="X506" i="25"/>
  <c r="X521" i="25" s="1"/>
  <c r="X503" i="25"/>
  <c r="X71" i="25" s="1"/>
  <c r="X500" i="24"/>
  <c r="X492" i="24"/>
  <c r="X489" i="24"/>
  <c r="X497" i="25"/>
  <c r="X51" i="25"/>
  <c r="X48" i="24"/>
  <c r="X480" i="23"/>
  <c r="W78" i="23"/>
  <c r="W64" i="23"/>
  <c r="W65" i="23" s="1"/>
  <c r="W67" i="23" s="1"/>
  <c r="W85" i="23"/>
  <c r="T62" i="25"/>
  <c r="T59" i="25"/>
  <c r="T62" i="23"/>
  <c r="T59" i="23"/>
  <c r="W504" i="23"/>
  <c r="V490" i="17"/>
  <c r="V81" i="17"/>
  <c r="V82" i="17" s="1"/>
  <c r="W230" i="17"/>
  <c r="W48" i="17" s="1"/>
  <c r="W482" i="17"/>
  <c r="T113" i="17"/>
  <c r="T40" i="17"/>
  <c r="T109" i="17" s="1"/>
  <c r="T96" i="17" s="1"/>
  <c r="W492" i="16"/>
  <c r="W489" i="16"/>
  <c r="W500" i="16"/>
  <c r="W48" i="16"/>
  <c r="T38" i="16"/>
  <c r="S60" i="16"/>
  <c r="S7" i="16" s="1"/>
  <c r="S8" i="16" l="1"/>
  <c r="S544" i="16"/>
  <c r="X522" i="25"/>
  <c r="T60" i="25"/>
  <c r="T7" i="25" s="1"/>
  <c r="T8" i="25" s="1"/>
  <c r="U38" i="25"/>
  <c r="X497" i="24"/>
  <c r="X51" i="24"/>
  <c r="W490" i="23"/>
  <c r="W81" i="23"/>
  <c r="W82" i="23" s="1"/>
  <c r="X230" i="23"/>
  <c r="X482" i="23"/>
  <c r="Y480" i="25"/>
  <c r="X85" i="25"/>
  <c r="X64" i="25"/>
  <c r="X65" i="25" s="1"/>
  <c r="X67" i="25" s="1"/>
  <c r="X78" i="25"/>
  <c r="U109" i="24"/>
  <c r="U96" i="24" s="1"/>
  <c r="X506" i="24"/>
  <c r="X521" i="24" s="1"/>
  <c r="X503" i="24"/>
  <c r="X71" i="24" s="1"/>
  <c r="U38" i="23"/>
  <c r="T60" i="23"/>
  <c r="T7" i="23" s="1"/>
  <c r="T8" i="23" s="1"/>
  <c r="X504" i="25"/>
  <c r="X53" i="24"/>
  <c r="X49" i="24"/>
  <c r="X50" i="24"/>
  <c r="W500" i="17"/>
  <c r="W492" i="17"/>
  <c r="W489" i="17"/>
  <c r="W53" i="17"/>
  <c r="W50" i="17"/>
  <c r="W49" i="17"/>
  <c r="T232" i="17"/>
  <c r="T231" i="17"/>
  <c r="T98" i="17"/>
  <c r="T99" i="17" s="1"/>
  <c r="T233" i="17"/>
  <c r="W506" i="16"/>
  <c r="W521" i="16" s="1"/>
  <c r="W503" i="16"/>
  <c r="W71" i="16" s="1"/>
  <c r="W53" i="16"/>
  <c r="W49" i="16"/>
  <c r="W50" i="16"/>
  <c r="W497" i="16"/>
  <c r="W51" i="16"/>
  <c r="T113" i="16"/>
  <c r="T40" i="16"/>
  <c r="X522" i="24" l="1"/>
  <c r="X490" i="25"/>
  <c r="X81" i="25"/>
  <c r="X82" i="25" s="1"/>
  <c r="U113" i="23"/>
  <c r="U40" i="23"/>
  <c r="U231" i="24"/>
  <c r="U232" i="24"/>
  <c r="U233" i="24"/>
  <c r="U98" i="24"/>
  <c r="U99" i="24" s="1"/>
  <c r="Y230" i="25"/>
  <c r="Y482" i="25"/>
  <c r="U113" i="25"/>
  <c r="U40" i="25"/>
  <c r="X64" i="24"/>
  <c r="X65" i="24" s="1"/>
  <c r="X67" i="24" s="1"/>
  <c r="X78" i="24"/>
  <c r="X85" i="24"/>
  <c r="Y480" i="24"/>
  <c r="X489" i="23"/>
  <c r="X500" i="23"/>
  <c r="X492" i="23"/>
  <c r="X504" i="24"/>
  <c r="X48" i="23"/>
  <c r="T234" i="17"/>
  <c r="T35" i="17" s="1"/>
  <c r="W497" i="17"/>
  <c r="W51" i="17"/>
  <c r="T129" i="17"/>
  <c r="T108" i="17"/>
  <c r="W506" i="17"/>
  <c r="W521" i="17" s="1"/>
  <c r="W522" i="17" s="1"/>
  <c r="W503" i="17"/>
  <c r="W71" i="17" s="1"/>
  <c r="W522" i="16"/>
  <c r="X480" i="16"/>
  <c r="W78" i="16"/>
  <c r="W85" i="16"/>
  <c r="W64" i="16"/>
  <c r="W65" i="16" s="1"/>
  <c r="W67" i="16" s="1"/>
  <c r="W504" i="16"/>
  <c r="T109" i="16"/>
  <c r="T96" i="16" s="1"/>
  <c r="U234" i="24" l="1"/>
  <c r="U35" i="24" s="1"/>
  <c r="U41" i="24" s="1"/>
  <c r="U45" i="24" s="1"/>
  <c r="X506" i="23"/>
  <c r="X521" i="23" s="1"/>
  <c r="X503" i="23"/>
  <c r="X71" i="23" s="1"/>
  <c r="U109" i="25"/>
  <c r="U96" i="25" s="1"/>
  <c r="X51" i="23"/>
  <c r="X497" i="23"/>
  <c r="Y230" i="24"/>
  <c r="Y482" i="24"/>
  <c r="Y500" i="25"/>
  <c r="Y492" i="25"/>
  <c r="Y489" i="25"/>
  <c r="U109" i="23"/>
  <c r="U96" i="23" s="1"/>
  <c r="Y48" i="25"/>
  <c r="X490" i="24"/>
  <c r="X81" i="24"/>
  <c r="X82" i="24" s="1"/>
  <c r="U129" i="24"/>
  <c r="U108" i="24"/>
  <c r="X49" i="23"/>
  <c r="X53" i="23"/>
  <c r="X50" i="23"/>
  <c r="W64" i="17"/>
  <c r="W65" i="17" s="1"/>
  <c r="W67" i="17" s="1"/>
  <c r="X480" i="17"/>
  <c r="W85" i="17"/>
  <c r="W78" i="17"/>
  <c r="T110" i="17"/>
  <c r="T111" i="17" s="1"/>
  <c r="T70" i="17"/>
  <c r="W504" i="17"/>
  <c r="T46" i="17"/>
  <c r="T41" i="17"/>
  <c r="T45" i="17" s="1"/>
  <c r="T39" i="17"/>
  <c r="W490" i="16"/>
  <c r="W81" i="16"/>
  <c r="W82" i="16" s="1"/>
  <c r="T232" i="16"/>
  <c r="T231" i="16"/>
  <c r="T233" i="16"/>
  <c r="T98" i="16"/>
  <c r="T99" i="16" s="1"/>
  <c r="X230" i="16"/>
  <c r="X482" i="16"/>
  <c r="X522" i="23" l="1"/>
  <c r="U39" i="24"/>
  <c r="U130" i="24" s="1"/>
  <c r="U46" i="24"/>
  <c r="U110" i="24"/>
  <c r="U111" i="24" s="1"/>
  <c r="U70" i="24"/>
  <c r="U232" i="23"/>
  <c r="U231" i="23"/>
  <c r="U233" i="23"/>
  <c r="U98" i="23"/>
  <c r="U99" i="23" s="1"/>
  <c r="Y497" i="25"/>
  <c r="Y51" i="25"/>
  <c r="U232" i="25"/>
  <c r="U231" i="25"/>
  <c r="U233" i="25"/>
  <c r="U98" i="25"/>
  <c r="U99" i="25" s="1"/>
  <c r="X85" i="23"/>
  <c r="X78" i="23"/>
  <c r="X64" i="23"/>
  <c r="X65" i="23" s="1"/>
  <c r="X67" i="23" s="1"/>
  <c r="Y480" i="23"/>
  <c r="Y506" i="25"/>
  <c r="Y521" i="25" s="1"/>
  <c r="Y503" i="25"/>
  <c r="Y71" i="25" s="1"/>
  <c r="X504" i="23"/>
  <c r="Y49" i="25"/>
  <c r="Y53" i="25"/>
  <c r="Y50" i="25"/>
  <c r="Y500" i="24"/>
  <c r="Y492" i="24"/>
  <c r="Y489" i="24"/>
  <c r="Y48" i="24"/>
  <c r="W490" i="17"/>
  <c r="W81" i="17"/>
  <c r="W82" i="17" s="1"/>
  <c r="T57" i="17"/>
  <c r="T58" i="17" s="1"/>
  <c r="T59" i="17" s="1"/>
  <c r="T130" i="17"/>
  <c r="X230" i="17"/>
  <c r="X48" i="17" s="1"/>
  <c r="X482" i="17"/>
  <c r="T234" i="16"/>
  <c r="T35" i="16" s="1"/>
  <c r="T46" i="16" s="1"/>
  <c r="X48" i="16"/>
  <c r="T129" i="16"/>
  <c r="T108" i="16"/>
  <c r="X492" i="16"/>
  <c r="X489" i="16"/>
  <c r="X500" i="16"/>
  <c r="Y522" i="25" l="1"/>
  <c r="Y506" i="24"/>
  <c r="Y521" i="24" s="1"/>
  <c r="Y503" i="24"/>
  <c r="Y71" i="24" s="1"/>
  <c r="X490" i="23"/>
  <c r="X81" i="23"/>
  <c r="X82" i="23" s="1"/>
  <c r="U129" i="23"/>
  <c r="U108" i="23"/>
  <c r="U129" i="25"/>
  <c r="U108" i="25"/>
  <c r="U234" i="23"/>
  <c r="U35" i="23" s="1"/>
  <c r="Z480" i="25"/>
  <c r="Y85" i="25"/>
  <c r="Y64" i="25"/>
  <c r="Y65" i="25" s="1"/>
  <c r="Y67" i="25" s="1"/>
  <c r="Y78" i="25"/>
  <c r="Y497" i="24"/>
  <c r="Y51" i="24"/>
  <c r="Y504" i="25"/>
  <c r="U234" i="25"/>
  <c r="U35" i="25" s="1"/>
  <c r="U57" i="24"/>
  <c r="U58" i="24" s="1"/>
  <c r="Y230" i="23"/>
  <c r="Y482" i="23"/>
  <c r="Y49" i="24"/>
  <c r="Y53" i="24"/>
  <c r="Y50" i="24"/>
  <c r="T62" i="17"/>
  <c r="X53" i="17"/>
  <c r="X50" i="17"/>
  <c r="X49" i="17"/>
  <c r="T60" i="17"/>
  <c r="T7" i="17" s="1"/>
  <c r="T8" i="17" s="1"/>
  <c r="U38" i="17"/>
  <c r="X489" i="17"/>
  <c r="X492" i="17"/>
  <c r="X500" i="17"/>
  <c r="T39" i="16"/>
  <c r="T130" i="16" s="1"/>
  <c r="T41" i="16"/>
  <c r="T45" i="16" s="1"/>
  <c r="X49" i="16"/>
  <c r="X53" i="16"/>
  <c r="X50" i="16"/>
  <c r="T110" i="16"/>
  <c r="T111" i="16" s="1"/>
  <c r="T70" i="16"/>
  <c r="X506" i="16"/>
  <c r="X521" i="16" s="1"/>
  <c r="X503" i="16"/>
  <c r="X71" i="16" s="1"/>
  <c r="X51" i="16"/>
  <c r="X497" i="16"/>
  <c r="Y522" i="24" l="1"/>
  <c r="Y48" i="23"/>
  <c r="U110" i="23"/>
  <c r="U111" i="23" s="1"/>
  <c r="U70" i="23"/>
  <c r="Y490" i="25"/>
  <c r="Y81" i="25"/>
  <c r="Y82" i="25" s="1"/>
  <c r="U59" i="24"/>
  <c r="U60" i="24" s="1"/>
  <c r="U7" i="24" s="1"/>
  <c r="U8" i="24" s="1"/>
  <c r="U62" i="24"/>
  <c r="Z230" i="25"/>
  <c r="Z482" i="25"/>
  <c r="Y78" i="24"/>
  <c r="Z480" i="24"/>
  <c r="Y64" i="24"/>
  <c r="Y65" i="24" s="1"/>
  <c r="Y67" i="24" s="1"/>
  <c r="Y85" i="24"/>
  <c r="Y500" i="23"/>
  <c r="Y492" i="23"/>
  <c r="Y489" i="23"/>
  <c r="U46" i="25"/>
  <c r="U41" i="25"/>
  <c r="U45" i="25" s="1"/>
  <c r="U39" i="25"/>
  <c r="U46" i="23"/>
  <c r="U41" i="23"/>
  <c r="U45" i="23" s="1"/>
  <c r="U39" i="23"/>
  <c r="Y504" i="24"/>
  <c r="U110" i="25"/>
  <c r="U111" i="25" s="1"/>
  <c r="U70" i="25"/>
  <c r="U113" i="17"/>
  <c r="U40" i="17"/>
  <c r="X497" i="17"/>
  <c r="X51" i="17"/>
  <c r="X503" i="17"/>
  <c r="X71" i="17" s="1"/>
  <c r="X506" i="17"/>
  <c r="X521" i="17" s="1"/>
  <c r="X522" i="17" s="1"/>
  <c r="T57" i="16"/>
  <c r="T58" i="16" s="1"/>
  <c r="X85" i="16"/>
  <c r="X64" i="16"/>
  <c r="X65" i="16" s="1"/>
  <c r="X67" i="16" s="1"/>
  <c r="Y480" i="16"/>
  <c r="X78" i="16"/>
  <c r="X504" i="16"/>
  <c r="X522" i="16"/>
  <c r="U130" i="23" l="1"/>
  <c r="Y506" i="23"/>
  <c r="Y521" i="23" s="1"/>
  <c r="Y503" i="23"/>
  <c r="Y71" i="23" s="1"/>
  <c r="V38" i="24"/>
  <c r="U130" i="25"/>
  <c r="Z230" i="24"/>
  <c r="Z482" i="24"/>
  <c r="Y490" i="24"/>
  <c r="Y81" i="24"/>
  <c r="Y82" i="24" s="1"/>
  <c r="U57" i="23"/>
  <c r="U58" i="23" s="1"/>
  <c r="U57" i="25"/>
  <c r="U58" i="25" s="1"/>
  <c r="U59" i="25" s="1"/>
  <c r="Z492" i="25"/>
  <c r="Z489" i="25"/>
  <c r="Z500" i="25"/>
  <c r="Y497" i="23"/>
  <c r="Y51" i="23"/>
  <c r="Z48" i="25"/>
  <c r="Y53" i="23"/>
  <c r="Y49" i="23"/>
  <c r="Y50" i="23"/>
  <c r="Y480" i="17"/>
  <c r="X78" i="17"/>
  <c r="X64" i="17"/>
  <c r="X65" i="17" s="1"/>
  <c r="X67" i="17" s="1"/>
  <c r="X85" i="17"/>
  <c r="X504" i="17"/>
  <c r="U109" i="17"/>
  <c r="U96" i="17" s="1"/>
  <c r="X81" i="16"/>
  <c r="X82" i="16" s="1"/>
  <c r="X490" i="16"/>
  <c r="Y230" i="16"/>
  <c r="Y482" i="16"/>
  <c r="T59" i="16"/>
  <c r="T62" i="16"/>
  <c r="Y522" i="23" l="1"/>
  <c r="U60" i="25"/>
  <c r="U7" i="25" s="1"/>
  <c r="U8" i="25" s="1"/>
  <c r="V38" i="25"/>
  <c r="U59" i="23"/>
  <c r="Z480" i="23"/>
  <c r="Y78" i="23"/>
  <c r="Y64" i="23"/>
  <c r="Y65" i="23" s="1"/>
  <c r="Y67" i="23" s="1"/>
  <c r="Y85" i="23"/>
  <c r="Z506" i="25"/>
  <c r="Z521" i="25" s="1"/>
  <c r="Z503" i="25"/>
  <c r="Z71" i="25" s="1"/>
  <c r="Y504" i="23"/>
  <c r="Z497" i="25"/>
  <c r="Z51" i="25"/>
  <c r="Z500" i="24"/>
  <c r="Z492" i="24"/>
  <c r="Z489" i="24"/>
  <c r="V113" i="24"/>
  <c r="V40" i="24"/>
  <c r="Z48" i="24"/>
  <c r="U62" i="23"/>
  <c r="Z53" i="25"/>
  <c r="Z49" i="25"/>
  <c r="Z50" i="25"/>
  <c r="U62" i="25"/>
  <c r="U233" i="17"/>
  <c r="U98" i="17"/>
  <c r="U99" i="17" s="1"/>
  <c r="U232" i="17"/>
  <c r="U231" i="17"/>
  <c r="X81" i="17"/>
  <c r="X82" i="17" s="1"/>
  <c r="X490" i="17"/>
  <c r="Y230" i="17"/>
  <c r="Y48" i="17" s="1"/>
  <c r="Y482" i="17"/>
  <c r="Y489" i="16"/>
  <c r="Y500" i="16"/>
  <c r="Y492" i="16"/>
  <c r="Y48" i="16"/>
  <c r="U38" i="16"/>
  <c r="T60" i="16"/>
  <c r="T7" i="16" s="1"/>
  <c r="T8" i="16" s="1"/>
  <c r="Z522" i="25" l="1"/>
  <c r="Z506" i="24"/>
  <c r="Z521" i="24" s="1"/>
  <c r="Z503" i="24"/>
  <c r="Z71" i="24" s="1"/>
  <c r="Z230" i="23"/>
  <c r="Z482" i="23"/>
  <c r="V38" i="23"/>
  <c r="V109" i="24"/>
  <c r="V96" i="24" s="1"/>
  <c r="Z85" i="25"/>
  <c r="Z78" i="25"/>
  <c r="Z64" i="25"/>
  <c r="Z65" i="25" s="1"/>
  <c r="Z67" i="25" s="1"/>
  <c r="U60" i="23"/>
  <c r="U7" i="23" s="1"/>
  <c r="U8" i="23" s="1"/>
  <c r="Z504" i="25"/>
  <c r="V113" i="25"/>
  <c r="V40" i="25"/>
  <c r="Y81" i="23"/>
  <c r="Y82" i="23" s="1"/>
  <c r="Y490" i="23"/>
  <c r="Z497" i="24"/>
  <c r="Z51" i="24"/>
  <c r="Z49" i="24"/>
  <c r="Z53" i="24"/>
  <c r="Z50" i="24"/>
  <c r="U234" i="17"/>
  <c r="U35" i="17" s="1"/>
  <c r="U46" i="17" s="1"/>
  <c r="Y49" i="17"/>
  <c r="Y50" i="17"/>
  <c r="Y53" i="17"/>
  <c r="U129" i="17"/>
  <c r="U108" i="17"/>
  <c r="Y489" i="17"/>
  <c r="Y500" i="17"/>
  <c r="Y492" i="17"/>
  <c r="U113" i="16"/>
  <c r="U40" i="16"/>
  <c r="Y53" i="16"/>
  <c r="Y49" i="16"/>
  <c r="Y50" i="16"/>
  <c r="Y506" i="16"/>
  <c r="Y503" i="16"/>
  <c r="Y51" i="16"/>
  <c r="Y497" i="16"/>
  <c r="Z522" i="24" l="1"/>
  <c r="Z492" i="23"/>
  <c r="Z500" i="23"/>
  <c r="Z489" i="23"/>
  <c r="Z48" i="23"/>
  <c r="Z490" i="25"/>
  <c r="Z81" i="25"/>
  <c r="Z82" i="25" s="1"/>
  <c r="Z78" i="24"/>
  <c r="Z85" i="24"/>
  <c r="Z64" i="24"/>
  <c r="Z65" i="24" s="1"/>
  <c r="Z67" i="24" s="1"/>
  <c r="V113" i="23"/>
  <c r="V40" i="23"/>
  <c r="V109" i="23" s="1"/>
  <c r="V96" i="23" s="1"/>
  <c r="Z504" i="24"/>
  <c r="V109" i="25"/>
  <c r="V96" i="25" s="1"/>
  <c r="V231" i="24"/>
  <c r="V233" i="24"/>
  <c r="V232" i="24"/>
  <c r="V98" i="24"/>
  <c r="V99" i="24" s="1"/>
  <c r="Y71" i="16"/>
  <c r="Y521" i="16"/>
  <c r="U39" i="17"/>
  <c r="U130" i="17" s="1"/>
  <c r="U41" i="17"/>
  <c r="U45" i="17" s="1"/>
  <c r="U110" i="17"/>
  <c r="U111" i="17" s="1"/>
  <c r="U70" i="17"/>
  <c r="Y503" i="17"/>
  <c r="Y71" i="17" s="1"/>
  <c r="Y506" i="17"/>
  <c r="Y521" i="17" s="1"/>
  <c r="Y522" i="17" s="1"/>
  <c r="Y497" i="17"/>
  <c r="Y51" i="17"/>
  <c r="Y504" i="16"/>
  <c r="U109" i="16"/>
  <c r="U96" i="16" s="1"/>
  <c r="V231" i="25" l="1"/>
  <c r="V233" i="25"/>
  <c r="V232" i="25"/>
  <c r="V98" i="25"/>
  <c r="V99" i="25" s="1"/>
  <c r="Z490" i="24"/>
  <c r="Z81" i="24"/>
  <c r="Z82" i="24" s="1"/>
  <c r="V129" i="24"/>
  <c r="V108" i="24"/>
  <c r="Z53" i="23"/>
  <c r="Z49" i="23"/>
  <c r="Z50" i="23"/>
  <c r="Z497" i="23"/>
  <c r="Z51" i="23"/>
  <c r="V234" i="24"/>
  <c r="V35" i="24" s="1"/>
  <c r="Z506" i="23"/>
  <c r="Z521" i="23" s="1"/>
  <c r="Z503" i="23"/>
  <c r="Z71" i="23" s="1"/>
  <c r="V233" i="23"/>
  <c r="V232" i="23"/>
  <c r="V231" i="23"/>
  <c r="V98" i="23"/>
  <c r="V99" i="23" s="1"/>
  <c r="Z480" i="17"/>
  <c r="Z480" i="16"/>
  <c r="Y522" i="16"/>
  <c r="Y85" i="16"/>
  <c r="Y64" i="16"/>
  <c r="Y78" i="16"/>
  <c r="Y504" i="17"/>
  <c r="Y78" i="17"/>
  <c r="Y85" i="17"/>
  <c r="Y64" i="17"/>
  <c r="Y65" i="17" s="1"/>
  <c r="Y67" i="17" s="1"/>
  <c r="U57" i="17"/>
  <c r="U58" i="17" s="1"/>
  <c r="U233" i="16"/>
  <c r="U231" i="16"/>
  <c r="U232" i="16"/>
  <c r="U98" i="16"/>
  <c r="U99" i="16" s="1"/>
  <c r="V234" i="23" l="1"/>
  <c r="V35" i="23" s="1"/>
  <c r="V46" i="23" s="1"/>
  <c r="V46" i="24"/>
  <c r="V41" i="24"/>
  <c r="V45" i="24" s="1"/>
  <c r="V39" i="24"/>
  <c r="V130" i="24" s="1"/>
  <c r="V129" i="23"/>
  <c r="V108" i="23"/>
  <c r="V129" i="25"/>
  <c r="V108" i="25"/>
  <c r="Z522" i="23"/>
  <c r="Z85" i="23"/>
  <c r="Z78" i="23"/>
  <c r="Z64" i="23"/>
  <c r="Z65" i="23" s="1"/>
  <c r="Z67" i="23" s="1"/>
  <c r="Z504" i="23"/>
  <c r="V110" i="24"/>
  <c r="V111" i="24" s="1"/>
  <c r="V70" i="24"/>
  <c r="V234" i="25"/>
  <c r="V35" i="25" s="1"/>
  <c r="Z230" i="17"/>
  <c r="Z482" i="17"/>
  <c r="Z230" i="16"/>
  <c r="Z482" i="16"/>
  <c r="Y65" i="16"/>
  <c r="Y490" i="16"/>
  <c r="Y81" i="16"/>
  <c r="U62" i="17"/>
  <c r="U59" i="17"/>
  <c r="Y490" i="17"/>
  <c r="Y81" i="17"/>
  <c r="Y82" i="17" s="1"/>
  <c r="U129" i="16"/>
  <c r="U108" i="16"/>
  <c r="U234" i="16"/>
  <c r="U35" i="16" s="1"/>
  <c r="V41" i="23" l="1"/>
  <c r="V45" i="23" s="1"/>
  <c r="V39" i="23"/>
  <c r="V130" i="23" s="1"/>
  <c r="Z490" i="23"/>
  <c r="Z81" i="23"/>
  <c r="Z82" i="23" s="1"/>
  <c r="V110" i="23"/>
  <c r="V111" i="23" s="1"/>
  <c r="V70" i="23"/>
  <c r="V46" i="25"/>
  <c r="V41" i="25"/>
  <c r="V45" i="25" s="1"/>
  <c r="V39" i="25"/>
  <c r="V110" i="25"/>
  <c r="V111" i="25" s="1"/>
  <c r="V70" i="25"/>
  <c r="V57" i="24"/>
  <c r="V58" i="24" s="1"/>
  <c r="Z48" i="17"/>
  <c r="Z489" i="17"/>
  <c r="Z500" i="17"/>
  <c r="Z492" i="17"/>
  <c r="Z489" i="16"/>
  <c r="Z500" i="16"/>
  <c r="Z492" i="16"/>
  <c r="Z48" i="16"/>
  <c r="Y67" i="16"/>
  <c r="Y82" i="16"/>
  <c r="V38" i="17"/>
  <c r="U60" i="17"/>
  <c r="U7" i="17" s="1"/>
  <c r="U8" i="17" s="1"/>
  <c r="U46" i="16"/>
  <c r="U41" i="16"/>
  <c r="U45" i="16" s="1"/>
  <c r="U39" i="16"/>
  <c r="U130" i="16" s="1"/>
  <c r="U110" i="16"/>
  <c r="U111" i="16" s="1"/>
  <c r="U70" i="16"/>
  <c r="V130" i="25" l="1"/>
  <c r="V57" i="23"/>
  <c r="V58" i="23" s="1"/>
  <c r="V62" i="24"/>
  <c r="V59" i="24"/>
  <c r="V57" i="25"/>
  <c r="V58" i="25" s="1"/>
  <c r="Z506" i="17"/>
  <c r="Z521" i="17" s="1"/>
  <c r="Z503" i="17"/>
  <c r="Z71" i="17" s="1"/>
  <c r="Z51" i="17"/>
  <c r="Z497" i="17"/>
  <c r="Z49" i="17"/>
  <c r="Z53" i="17"/>
  <c r="Z50" i="17"/>
  <c r="Z53" i="16"/>
  <c r="Z49" i="16"/>
  <c r="Z50" i="16"/>
  <c r="Z506" i="16"/>
  <c r="Z521" i="16" s="1"/>
  <c r="Z503" i="16"/>
  <c r="Z71" i="16" s="1"/>
  <c r="Z51" i="16"/>
  <c r="Z497" i="16"/>
  <c r="V113" i="17"/>
  <c r="V40" i="17"/>
  <c r="U57" i="16"/>
  <c r="U58" i="16" s="1"/>
  <c r="V60" i="24" l="1"/>
  <c r="V7" i="24" s="1"/>
  <c r="V8" i="24" s="1"/>
  <c r="W38" i="24"/>
  <c r="V59" i="25"/>
  <c r="V62" i="23"/>
  <c r="V59" i="23"/>
  <c r="V62" i="25"/>
  <c r="Z504" i="17"/>
  <c r="Z522" i="17"/>
  <c r="Z85" i="17"/>
  <c r="Z78" i="17"/>
  <c r="Z64" i="17"/>
  <c r="Z65" i="17" s="1"/>
  <c r="Z67" i="17" s="1"/>
  <c r="Z64" i="16"/>
  <c r="Z65" i="16" s="1"/>
  <c r="Z67" i="16" s="1"/>
  <c r="Z85" i="16"/>
  <c r="Z78" i="16"/>
  <c r="Z504" i="16"/>
  <c r="Z522" i="16"/>
  <c r="V109" i="17"/>
  <c r="V96" i="17" s="1"/>
  <c r="U62" i="16"/>
  <c r="U59" i="16"/>
  <c r="W38" i="23" l="1"/>
  <c r="V60" i="23"/>
  <c r="V7" i="23" s="1"/>
  <c r="V8" i="23" s="1"/>
  <c r="W113" i="24"/>
  <c r="W40" i="24"/>
  <c r="W38" i="25"/>
  <c r="V60" i="25"/>
  <c r="V7" i="25" s="1"/>
  <c r="V8" i="25" s="1"/>
  <c r="Z490" i="17"/>
  <c r="Z81" i="17"/>
  <c r="Z82" i="17" s="1"/>
  <c r="Z490" i="16"/>
  <c r="Z81" i="16"/>
  <c r="Z82" i="16" s="1"/>
  <c r="V232" i="17"/>
  <c r="V98" i="17"/>
  <c r="V99" i="17" s="1"/>
  <c r="V233" i="17"/>
  <c r="V231" i="17"/>
  <c r="V38" i="16"/>
  <c r="U60" i="16"/>
  <c r="U7" i="16" s="1"/>
  <c r="U8" i="16" s="1"/>
  <c r="W109" i="24" l="1"/>
  <c r="W96" i="24" s="1"/>
  <c r="W113" i="23"/>
  <c r="W40" i="23"/>
  <c r="W113" i="25"/>
  <c r="W40" i="25"/>
  <c r="W109" i="25" s="1"/>
  <c r="W96" i="25" s="1"/>
  <c r="V234" i="17"/>
  <c r="V35" i="17" s="1"/>
  <c r="V41" i="17" s="1"/>
  <c r="V45" i="17" s="1"/>
  <c r="V129" i="17"/>
  <c r="V108" i="17"/>
  <c r="V113" i="16"/>
  <c r="V40" i="16"/>
  <c r="V109" i="16" s="1"/>
  <c r="V96" i="16" s="1"/>
  <c r="W232" i="25" l="1"/>
  <c r="W231" i="25"/>
  <c r="W233" i="25"/>
  <c r="W98" i="25"/>
  <c r="W99" i="25" s="1"/>
  <c r="W109" i="23"/>
  <c r="W96" i="23" s="1"/>
  <c r="W232" i="24"/>
  <c r="W233" i="24"/>
  <c r="W231" i="24"/>
  <c r="W98" i="24"/>
  <c r="W99" i="24" s="1"/>
  <c r="V39" i="17"/>
  <c r="V130" i="17" s="1"/>
  <c r="V46" i="17"/>
  <c r="V110" i="17"/>
  <c r="V111" i="17" s="1"/>
  <c r="V70" i="17"/>
  <c r="V231" i="16"/>
  <c r="V232" i="16"/>
  <c r="V233" i="16"/>
  <c r="V98" i="16"/>
  <c r="V99" i="16" s="1"/>
  <c r="W234" i="25" l="1"/>
  <c r="W35" i="25" s="1"/>
  <c r="W39" i="25" s="1"/>
  <c r="W233" i="23"/>
  <c r="W232" i="23"/>
  <c r="W231" i="23"/>
  <c r="W98" i="23"/>
  <c r="W99" i="23" s="1"/>
  <c r="W129" i="25"/>
  <c r="W108" i="25"/>
  <c r="W129" i="24"/>
  <c r="W108" i="24"/>
  <c r="W234" i="24"/>
  <c r="W35" i="24" s="1"/>
  <c r="V57" i="17"/>
  <c r="V58" i="17" s="1"/>
  <c r="V129" i="16"/>
  <c r="V108" i="16"/>
  <c r="V234" i="16"/>
  <c r="V35" i="16" s="1"/>
  <c r="W41" i="25" l="1"/>
  <c r="W45" i="25" s="1"/>
  <c r="W46" i="25"/>
  <c r="W234" i="23"/>
  <c r="W35" i="23" s="1"/>
  <c r="W39" i="23" s="1"/>
  <c r="W110" i="25"/>
  <c r="W111" i="25" s="1"/>
  <c r="W70" i="25"/>
  <c r="W46" i="24"/>
  <c r="W41" i="24"/>
  <c r="W45" i="24" s="1"/>
  <c r="W39" i="24"/>
  <c r="W129" i="23"/>
  <c r="W108" i="23"/>
  <c r="W110" i="24"/>
  <c r="W111" i="24" s="1"/>
  <c r="W70" i="24"/>
  <c r="W130" i="25"/>
  <c r="V59" i="17"/>
  <c r="V62" i="17"/>
  <c r="V110" i="16"/>
  <c r="V111" i="16" s="1"/>
  <c r="V70" i="16"/>
  <c r="V46" i="16"/>
  <c r="V41" i="16"/>
  <c r="V45" i="16" s="1"/>
  <c r="V39" i="16"/>
  <c r="V130" i="16" s="1"/>
  <c r="W46" i="23" l="1"/>
  <c r="W41" i="23"/>
  <c r="W45" i="23" s="1"/>
  <c r="W110" i="23"/>
  <c r="W111" i="23" s="1"/>
  <c r="W70" i="23"/>
  <c r="W57" i="24"/>
  <c r="W58" i="24" s="1"/>
  <c r="W59" i="24" s="1"/>
  <c r="W57" i="25"/>
  <c r="W58" i="25" s="1"/>
  <c r="W130" i="24"/>
  <c r="W130" i="23"/>
  <c r="W38" i="17"/>
  <c r="V60" i="17"/>
  <c r="V7" i="17" s="1"/>
  <c r="V8" i="17" s="1"/>
  <c r="V57" i="16"/>
  <c r="V58" i="16" s="1"/>
  <c r="W62" i="24" l="1"/>
  <c r="W62" i="25"/>
  <c r="W59" i="25"/>
  <c r="W60" i="24"/>
  <c r="W7" i="24" s="1"/>
  <c r="W8" i="24" s="1"/>
  <c r="X38" i="24"/>
  <c r="W57" i="23"/>
  <c r="W58" i="23" s="1"/>
  <c r="W113" i="17"/>
  <c r="W40" i="17"/>
  <c r="V62" i="16"/>
  <c r="V59" i="16"/>
  <c r="X113" i="24" l="1"/>
  <c r="X40" i="24"/>
  <c r="X38" i="25"/>
  <c r="W60" i="25"/>
  <c r="W7" i="25" s="1"/>
  <c r="W8" i="25" s="1"/>
  <c r="W59" i="23"/>
  <c r="W60" i="23" s="1"/>
  <c r="W7" i="23" s="1"/>
  <c r="W8" i="23" s="1"/>
  <c r="W62" i="23"/>
  <c r="W109" i="17"/>
  <c r="W96" i="17" s="1"/>
  <c r="W38" i="16"/>
  <c r="V60" i="16"/>
  <c r="V7" i="16" s="1"/>
  <c r="V8" i="16" s="1"/>
  <c r="X113" i="25" l="1"/>
  <c r="X40" i="25"/>
  <c r="X109" i="24"/>
  <c r="X96" i="24" s="1"/>
  <c r="X38" i="23"/>
  <c r="W232" i="17"/>
  <c r="W231" i="17"/>
  <c r="W233" i="17"/>
  <c r="W98" i="17"/>
  <c r="W99" i="17" s="1"/>
  <c r="W113" i="16"/>
  <c r="W40" i="16"/>
  <c r="X113" i="23" l="1"/>
  <c r="X40" i="23"/>
  <c r="X232" i="24"/>
  <c r="X231" i="24"/>
  <c r="X233" i="24"/>
  <c r="X98" i="24"/>
  <c r="X99" i="24" s="1"/>
  <c r="X109" i="25"/>
  <c r="X96" i="25" s="1"/>
  <c r="W129" i="17"/>
  <c r="W108" i="17"/>
  <c r="W234" i="17"/>
  <c r="W35" i="17" s="1"/>
  <c r="W109" i="16"/>
  <c r="W96" i="16" s="1"/>
  <c r="X129" i="24" l="1"/>
  <c r="X108" i="24"/>
  <c r="X234" i="24"/>
  <c r="X35" i="24" s="1"/>
  <c r="X98" i="25"/>
  <c r="X99" i="25" s="1"/>
  <c r="X233" i="25"/>
  <c r="X231" i="25"/>
  <c r="X232" i="25"/>
  <c r="X109" i="23"/>
  <c r="X96" i="23" s="1"/>
  <c r="W41" i="17"/>
  <c r="W45" i="17" s="1"/>
  <c r="W39" i="17"/>
  <c r="W46" i="17"/>
  <c r="W110" i="17"/>
  <c r="W111" i="17" s="1"/>
  <c r="W70" i="17"/>
  <c r="W233" i="16"/>
  <c r="W232" i="16"/>
  <c r="W231" i="16"/>
  <c r="W98" i="16"/>
  <c r="W99" i="16" s="1"/>
  <c r="X234" i="25" l="1"/>
  <c r="X35" i="25" s="1"/>
  <c r="X108" i="25"/>
  <c r="X129" i="25"/>
  <c r="X39" i="24"/>
  <c r="X41" i="24"/>
  <c r="X45" i="24" s="1"/>
  <c r="X46" i="24"/>
  <c r="X110" i="24"/>
  <c r="X111" i="24" s="1"/>
  <c r="X70" i="24"/>
  <c r="X233" i="23"/>
  <c r="X232" i="23"/>
  <c r="X98" i="23"/>
  <c r="X99" i="23" s="1"/>
  <c r="X231" i="23"/>
  <c r="W57" i="17"/>
  <c r="W58" i="17" s="1"/>
  <c r="W59" i="17" s="1"/>
  <c r="W130" i="17"/>
  <c r="W234" i="16"/>
  <c r="W35" i="16" s="1"/>
  <c r="W41" i="16" s="1"/>
  <c r="W45" i="16" s="1"/>
  <c r="W129" i="16"/>
  <c r="W108" i="16"/>
  <c r="X234" i="23" l="1"/>
  <c r="X35" i="23" s="1"/>
  <c r="X41" i="23" s="1"/>
  <c r="X45" i="23" s="1"/>
  <c r="X57" i="24"/>
  <c r="X58" i="24" s="1"/>
  <c r="X59" i="24" s="1"/>
  <c r="X130" i="24"/>
  <c r="X129" i="23"/>
  <c r="X108" i="23"/>
  <c r="X110" i="25"/>
  <c r="X111" i="25" s="1"/>
  <c r="X70" i="25"/>
  <c r="X46" i="25"/>
  <c r="X41" i="25"/>
  <c r="X45" i="25" s="1"/>
  <c r="X39" i="25"/>
  <c r="X130" i="25" s="1"/>
  <c r="W62" i="17"/>
  <c r="W60" i="17"/>
  <c r="W7" i="17" s="1"/>
  <c r="W8" i="17" s="1"/>
  <c r="X38" i="17"/>
  <c r="W46" i="16"/>
  <c r="W39" i="16"/>
  <c r="W130" i="16" s="1"/>
  <c r="W110" i="16"/>
  <c r="W111" i="16" s="1"/>
  <c r="W70" i="16"/>
  <c r="X39" i="23" l="1"/>
  <c r="X130" i="23" s="1"/>
  <c r="X62" i="24"/>
  <c r="X46" i="23"/>
  <c r="X57" i="25"/>
  <c r="X58" i="25" s="1"/>
  <c r="X110" i="23"/>
  <c r="X111" i="23" s="1"/>
  <c r="X70" i="23"/>
  <c r="X60" i="24"/>
  <c r="X7" i="24" s="1"/>
  <c r="X8" i="24" s="1"/>
  <c r="Y38" i="24"/>
  <c r="X113" i="17"/>
  <c r="X40" i="17"/>
  <c r="X109" i="17" s="1"/>
  <c r="X96" i="17" s="1"/>
  <c r="W57" i="16"/>
  <c r="W58" i="16" s="1"/>
  <c r="X57" i="23" l="1"/>
  <c r="X58" i="23" s="1"/>
  <c r="X62" i="25"/>
  <c r="X59" i="25"/>
  <c r="Y113" i="24"/>
  <c r="Y40" i="24"/>
  <c r="Y109" i="24" s="1"/>
  <c r="Y96" i="24" s="1"/>
  <c r="X233" i="17"/>
  <c r="X98" i="17"/>
  <c r="X99" i="17" s="1"/>
  <c r="X231" i="17"/>
  <c r="X232" i="17"/>
  <c r="W62" i="16"/>
  <c r="W59" i="16"/>
  <c r="Y38" i="25" l="1"/>
  <c r="X60" i="25"/>
  <c r="X7" i="25" s="1"/>
  <c r="X8" i="25" s="1"/>
  <c r="Y98" i="24"/>
  <c r="Y99" i="24" s="1"/>
  <c r="Y231" i="24"/>
  <c r="Y233" i="24"/>
  <c r="Y232" i="24"/>
  <c r="X59" i="23"/>
  <c r="X62" i="23"/>
  <c r="X234" i="17"/>
  <c r="X35" i="17" s="1"/>
  <c r="X129" i="17"/>
  <c r="X108" i="17"/>
  <c r="X38" i="16"/>
  <c r="W60" i="16"/>
  <c r="W7" i="16" s="1"/>
  <c r="W8" i="16" s="1"/>
  <c r="Y234" i="24" l="1"/>
  <c r="Y35" i="24" s="1"/>
  <c r="Y108" i="24"/>
  <c r="Y129" i="24"/>
  <c r="Y113" i="25"/>
  <c r="Y40" i="25"/>
  <c r="Y109" i="25" s="1"/>
  <c r="Y96" i="25" s="1"/>
  <c r="Y38" i="23"/>
  <c r="X60" i="23"/>
  <c r="X7" i="23" s="1"/>
  <c r="X8" i="23" s="1"/>
  <c r="X110" i="17"/>
  <c r="X111" i="17" s="1"/>
  <c r="X70" i="17"/>
  <c r="X46" i="17"/>
  <c r="X39" i="17"/>
  <c r="X41" i="17"/>
  <c r="X45" i="17" s="1"/>
  <c r="X113" i="16"/>
  <c r="X40" i="16"/>
  <c r="Y232" i="25" l="1"/>
  <c r="Y231" i="25"/>
  <c r="Y98" i="25"/>
  <c r="Y99" i="25" s="1"/>
  <c r="Y233" i="25"/>
  <c r="Y110" i="24"/>
  <c r="Y111" i="24" s="1"/>
  <c r="Y70" i="24"/>
  <c r="Y113" i="23"/>
  <c r="Y40" i="23"/>
  <c r="Y41" i="24"/>
  <c r="Y45" i="24" s="1"/>
  <c r="Y46" i="24"/>
  <c r="Y39" i="24"/>
  <c r="Y130" i="24" s="1"/>
  <c r="X130" i="17"/>
  <c r="X57" i="17"/>
  <c r="X58" i="17" s="1"/>
  <c r="X59" i="17" s="1"/>
  <c r="X109" i="16"/>
  <c r="X96" i="16" s="1"/>
  <c r="Y234" i="25" l="1"/>
  <c r="Y35" i="25" s="1"/>
  <c r="Y39" i="25" s="1"/>
  <c r="Y57" i="24"/>
  <c r="Y58" i="24" s="1"/>
  <c r="Y129" i="25"/>
  <c r="Y108" i="25"/>
  <c r="Y109" i="23"/>
  <c r="Y96" i="23" s="1"/>
  <c r="X62" i="17"/>
  <c r="X60" i="17"/>
  <c r="X7" i="17" s="1"/>
  <c r="X8" i="17" s="1"/>
  <c r="Y38" i="17"/>
  <c r="X233" i="16"/>
  <c r="X231" i="16"/>
  <c r="X232" i="16"/>
  <c r="X98" i="16"/>
  <c r="X99" i="16" s="1"/>
  <c r="Y41" i="25" l="1"/>
  <c r="Y45" i="25" s="1"/>
  <c r="Y46" i="25"/>
  <c r="Y130" i="25"/>
  <c r="Y110" i="25"/>
  <c r="Y111" i="25" s="1"/>
  <c r="Y70" i="25"/>
  <c r="Y232" i="23"/>
  <c r="Y98" i="23"/>
  <c r="Y99" i="23" s="1"/>
  <c r="Y231" i="23"/>
  <c r="Y233" i="23"/>
  <c r="Y62" i="24"/>
  <c r="Y59" i="24"/>
  <c r="Y113" i="17"/>
  <c r="Y40" i="17"/>
  <c r="X129" i="16"/>
  <c r="X108" i="16"/>
  <c r="X234" i="16"/>
  <c r="X35" i="16" s="1"/>
  <c r="Y234" i="23" l="1"/>
  <c r="Y35" i="23" s="1"/>
  <c r="Y41" i="23" s="1"/>
  <c r="Y45" i="23" s="1"/>
  <c r="Y129" i="23"/>
  <c r="Y108" i="23"/>
  <c r="Y57" i="25"/>
  <c r="Y58" i="25" s="1"/>
  <c r="Y60" i="24"/>
  <c r="Y7" i="24" s="1"/>
  <c r="Y8" i="24" s="1"/>
  <c r="Z38" i="24"/>
  <c r="Y109" i="17"/>
  <c r="Y96" i="17" s="1"/>
  <c r="Y98" i="17" s="1"/>
  <c r="Y99" i="17" s="1"/>
  <c r="X46" i="16"/>
  <c r="X39" i="16"/>
  <c r="X41" i="16"/>
  <c r="X45" i="16" s="1"/>
  <c r="X110" i="16"/>
  <c r="X111" i="16" s="1"/>
  <c r="X70" i="16"/>
  <c r="Y46" i="23" l="1"/>
  <c r="Y39" i="23"/>
  <c r="Y130" i="23" s="1"/>
  <c r="Y59" i="25"/>
  <c r="Y62" i="25"/>
  <c r="Y110" i="23"/>
  <c r="Y111" i="23" s="1"/>
  <c r="Y70" i="23"/>
  <c r="Z113" i="24"/>
  <c r="Z40" i="24"/>
  <c r="Z109" i="24" s="1"/>
  <c r="Z96" i="24" s="1"/>
  <c r="Y232" i="17"/>
  <c r="Y233" i="17"/>
  <c r="Y231" i="17"/>
  <c r="Y129" i="17"/>
  <c r="Y108" i="17"/>
  <c r="X57" i="16"/>
  <c r="X58" i="16" s="1"/>
  <c r="X62" i="16" s="1"/>
  <c r="X130" i="16"/>
  <c r="Y57" i="23" l="1"/>
  <c r="Y58" i="23" s="1"/>
  <c r="Z232" i="24"/>
  <c r="Z231" i="24"/>
  <c r="Z233" i="24"/>
  <c r="Z98" i="24"/>
  <c r="Z99" i="24" s="1"/>
  <c r="Z38" i="25"/>
  <c r="Y60" i="25"/>
  <c r="Y7" i="25" s="1"/>
  <c r="Y8" i="25" s="1"/>
  <c r="Y234" i="17"/>
  <c r="Y35" i="17" s="1"/>
  <c r="Y39" i="17" s="1"/>
  <c r="Y110" i="17"/>
  <c r="Y111" i="17" s="1"/>
  <c r="Y70" i="17"/>
  <c r="X59" i="16"/>
  <c r="Z234" i="24" l="1"/>
  <c r="Z35" i="24" s="1"/>
  <c r="Z46" i="24" s="1"/>
  <c r="Z113" i="25"/>
  <c r="Z40" i="25"/>
  <c r="Z109" i="25" s="1"/>
  <c r="Z96" i="25" s="1"/>
  <c r="Z108" i="24"/>
  <c r="Z129" i="24"/>
  <c r="Y62" i="23"/>
  <c r="Y59" i="23"/>
  <c r="Y46" i="17"/>
  <c r="Y41" i="17"/>
  <c r="Y45" i="17" s="1"/>
  <c r="Y57" i="17"/>
  <c r="Y58" i="17" s="1"/>
  <c r="Y59" i="17" s="1"/>
  <c r="Y130" i="17"/>
  <c r="Y38" i="16"/>
  <c r="X60" i="16"/>
  <c r="X7" i="16" s="1"/>
  <c r="X8" i="16" s="1"/>
  <c r="Z41" i="24" l="1"/>
  <c r="Z45" i="24" s="1"/>
  <c r="Z39" i="24"/>
  <c r="Z130" i="24" s="1"/>
  <c r="Z110" i="24"/>
  <c r="Z111" i="24" s="1"/>
  <c r="Z70" i="24"/>
  <c r="Z57" i="24" s="1"/>
  <c r="Z58" i="24" s="1"/>
  <c r="Z59" i="24" s="1"/>
  <c r="Z60" i="24" s="1"/>
  <c r="Z38" i="23"/>
  <c r="Z231" i="25"/>
  <c r="Z233" i="25"/>
  <c r="Z98" i="25"/>
  <c r="Z99" i="25" s="1"/>
  <c r="Z232" i="25"/>
  <c r="Y60" i="23"/>
  <c r="Y7" i="23" s="1"/>
  <c r="Y8" i="23" s="1"/>
  <c r="Y62" i="17"/>
  <c r="Y60" i="17"/>
  <c r="Y7" i="17" s="1"/>
  <c r="Y8" i="17" s="1"/>
  <c r="Z38" i="17"/>
  <c r="Y113" i="16"/>
  <c r="Y40" i="16"/>
  <c r="Z7" i="24" l="1"/>
  <c r="Z8" i="24" s="1"/>
  <c r="Z234" i="25"/>
  <c r="Z35" i="25" s="1"/>
  <c r="Z113" i="23"/>
  <c r="Z40" i="23"/>
  <c r="Z109" i="23" s="1"/>
  <c r="Z96" i="23" s="1"/>
  <c r="Z62" i="24"/>
  <c r="Z129" i="25"/>
  <c r="Z108" i="25"/>
  <c r="Z113" i="17"/>
  <c r="Z40" i="17"/>
  <c r="Z109" i="17" s="1"/>
  <c r="Z96" i="17" s="1"/>
  <c r="Y109" i="16"/>
  <c r="Z233" i="23" l="1"/>
  <c r="Z232" i="23"/>
  <c r="Z231" i="23"/>
  <c r="Z98" i="23"/>
  <c r="Z99" i="23" s="1"/>
  <c r="Z110" i="25"/>
  <c r="Z111" i="25" s="1"/>
  <c r="Z70" i="25"/>
  <c r="Z57" i="25" s="1"/>
  <c r="Z58" i="25" s="1"/>
  <c r="Z59" i="25" s="1"/>
  <c r="Z60" i="25" s="1"/>
  <c r="Z41" i="25"/>
  <c r="Z45" i="25" s="1"/>
  <c r="Z39" i="25"/>
  <c r="Z46" i="25"/>
  <c r="Z231" i="17"/>
  <c r="Z232" i="17"/>
  <c r="Z233" i="17"/>
  <c r="Z98" i="17"/>
  <c r="Z99" i="17" s="1"/>
  <c r="Y96" i="16"/>
  <c r="Z7" i="25" l="1"/>
  <c r="Z8" i="25" s="1"/>
  <c r="Z234" i="23"/>
  <c r="Z35" i="23" s="1"/>
  <c r="Z41" i="23" s="1"/>
  <c r="Z45" i="23" s="1"/>
  <c r="Z62" i="25"/>
  <c r="Z130" i="25"/>
  <c r="Z108" i="23"/>
  <c r="Z129" i="23"/>
  <c r="Z129" i="17"/>
  <c r="Z108" i="17"/>
  <c r="Z234" i="17"/>
  <c r="Z35" i="17" s="1"/>
  <c r="Y233" i="16"/>
  <c r="Y232" i="16"/>
  <c r="Y231" i="16"/>
  <c r="Y98" i="16"/>
  <c r="Z46" i="23" l="1"/>
  <c r="Z39" i="23"/>
  <c r="Z130" i="23" s="1"/>
  <c r="Z110" i="23"/>
  <c r="Z111" i="23" s="1"/>
  <c r="Z70" i="23"/>
  <c r="Z57" i="23" s="1"/>
  <c r="Z58" i="23" s="1"/>
  <c r="Z59" i="23" s="1"/>
  <c r="Z60" i="23" s="1"/>
  <c r="Z46" i="17"/>
  <c r="Z39" i="17"/>
  <c r="Z41" i="17"/>
  <c r="Z45" i="17" s="1"/>
  <c r="Z110" i="17"/>
  <c r="Z111" i="17" s="1"/>
  <c r="Z70" i="17"/>
  <c r="Z57" i="17" s="1"/>
  <c r="Z58" i="17" s="1"/>
  <c r="Y99" i="16"/>
  <c r="Y234" i="16"/>
  <c r="Z7" i="23" l="1"/>
  <c r="Z8" i="23" s="1"/>
  <c r="Z62" i="23"/>
  <c r="Z59" i="17"/>
  <c r="Z60" i="17" s="1"/>
  <c r="Z7" i="17" s="1"/>
  <c r="Z8" i="17" s="1"/>
  <c r="Z130" i="17"/>
  <c r="Z62" i="17"/>
  <c r="Y35" i="16"/>
  <c r="Y129" i="16"/>
  <c r="Y108" i="16"/>
  <c r="Y110" i="16" l="1"/>
  <c r="Y70" i="16"/>
  <c r="Y46" i="16"/>
  <c r="Y41" i="16"/>
  <c r="Y39" i="16"/>
  <c r="Y130" i="16" l="1"/>
  <c r="Y45" i="16"/>
  <c r="Y57" i="16"/>
  <c r="Y111" i="16"/>
  <c r="Y58" i="16" l="1"/>
  <c r="Y59" i="16" l="1"/>
  <c r="Y62" i="16"/>
  <c r="Z38" i="16" l="1"/>
  <c r="Y60" i="16"/>
  <c r="Z113" i="16" l="1"/>
  <c r="Z40" i="16"/>
  <c r="Z109" i="16" s="1"/>
  <c r="Z96" i="16" s="1"/>
  <c r="Y7" i="16"/>
  <c r="Y8" i="16" s="1"/>
  <c r="Z231" i="16" l="1"/>
  <c r="Z232" i="16"/>
  <c r="Z233" i="16"/>
  <c r="Z98" i="16"/>
  <c r="Z99" i="16" s="1"/>
  <c r="Z129" i="16" l="1"/>
  <c r="Z108" i="16"/>
  <c r="Z234" i="16"/>
  <c r="Z35" i="16" s="1"/>
  <c r="Z46" i="16" l="1"/>
  <c r="Z39" i="16"/>
  <c r="Z41" i="16"/>
  <c r="Z45" i="16" s="1"/>
  <c r="Z110" i="16"/>
  <c r="Z111" i="16" s="1"/>
  <c r="Z70" i="16"/>
  <c r="Z57" i="16" s="1"/>
  <c r="Z58" i="16" s="1"/>
  <c r="Z59" i="16" l="1"/>
  <c r="Z60" i="16" s="1"/>
  <c r="Z7" i="16" s="1"/>
  <c r="Z8" i="16" s="1"/>
  <c r="Z130" i="16"/>
  <c r="Z6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6" authorId="0" shapeId="0" xr:uid="{B59AE20A-6434-471C-A157-F4C8014BD740}">
      <text>
        <r>
          <rPr>
            <sz val="9"/>
            <color indexed="81"/>
            <rFont val="Tahoma"/>
            <family val="2"/>
          </rPr>
          <t xml:space="preserve">Non-Earners' Account and non-earners' share of the Treatment Injury Account is paid by the government. Hence those shares of the levy income are removed in the preparation of consolidated accounts.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9" authorId="0" shapeId="0" xr:uid="{314E809C-75E5-4E66-9998-CA004CB424CA}">
      <text>
        <r>
          <rPr>
            <sz val="9"/>
            <color indexed="81"/>
            <rFont val="Tahoma"/>
            <family val="2"/>
          </rPr>
          <t xml:space="preserve">NAC stands for Needed As Check. The data in this row is not actually picked up in the model itself, but is used as a check on other data in this worksheet.
</t>
        </r>
      </text>
    </comment>
    <comment ref="B10" authorId="0" shapeId="0" xr:uid="{39992F86-0494-483D-880B-024BE2DD5593}">
      <text>
        <r>
          <rPr>
            <sz val="9"/>
            <color indexed="81"/>
            <rFont val="Tahoma"/>
            <family val="2"/>
          </rPr>
          <t xml:space="preserve">UIM stands for Used In Model. The data in this row is directly referenced in the main modelling worksheets of the model.
</t>
        </r>
      </text>
    </comment>
    <comment ref="A147" authorId="0" shapeId="0" xr:uid="{40BFC694-5289-43DC-9E82-F7A3F0FD796D}">
      <text>
        <r>
          <rPr>
            <sz val="9"/>
            <color indexed="81"/>
            <rFont val="Tahoma"/>
            <family val="2"/>
          </rPr>
          <t>Includes unsettled purchases of securities, which are classified as accounts payable in the Statement of Financial Position.</t>
        </r>
      </text>
    </comment>
    <comment ref="A153" authorId="0" shapeId="0" xr:uid="{51843A8B-EE7A-4ABA-85C3-E6F54EDC9DFE}">
      <text>
        <r>
          <rPr>
            <sz val="9"/>
            <color indexed="81"/>
            <rFont val="Tahoma"/>
            <family val="2"/>
          </rPr>
          <t>Includes unsettled purchases of securities, which are classified as accounts payable in the Statement of Financial Position.</t>
        </r>
      </text>
    </comment>
    <comment ref="A170" authorId="0" shapeId="0" xr:uid="{8416AF35-D271-4B6A-B156-A9FA38C71F3D}">
      <text>
        <r>
          <rPr>
            <sz val="9"/>
            <color indexed="81"/>
            <rFont val="Tahoma"/>
            <family val="2"/>
          </rPr>
          <t>In the Statement of Segments this variable is labelled Social assistance and official development assistance, but it is exactly the same variable which is labelled Transfer payments and subsidies in the Statement of Financial Performance.</t>
        </r>
      </text>
    </comment>
    <comment ref="A204" authorId="0" shapeId="0" xr:uid="{59E1966A-5CAE-4E13-8BEC-C7074EE19BC0}">
      <text>
        <r>
          <rPr>
            <sz val="9"/>
            <color indexed="81"/>
            <rFont val="Tahoma"/>
            <family val="2"/>
          </rPr>
          <t xml:space="preserve">Often there are no inter-segment eliminations for Insurance expenses and this is what is assumed in projected years. However, occasionally they occur in historical and forecast years, and, if they do, they are normally very small. In such cases they are included with State-owned enterprises numbers. </t>
        </r>
      </text>
    </comment>
    <comment ref="A240" authorId="0" shapeId="0" xr:uid="{B31910BD-2932-4677-867C-88151C3F96BC}">
      <text>
        <r>
          <rPr>
            <sz val="9"/>
            <color indexed="81"/>
            <rFont val="Tahoma"/>
            <family val="2"/>
          </rPr>
          <t xml:space="preserve">Often there is no State-owned enterprises Dividend revenue and this is what is assumed in projected years. However, occasionally it occurs in historical and forecast years, and, if it does, it is normally very small. In such cases it is included with Inter-segment eliminations numbers. </t>
        </r>
      </text>
    </comment>
    <comment ref="A262" authorId="0" shapeId="0" xr:uid="{A808D686-CA26-4A6B-AEFF-80F9185A8D39}">
      <text>
        <r>
          <rPr>
            <sz val="9"/>
            <color indexed="81"/>
            <rFont val="Tahoma"/>
            <family val="2"/>
          </rPr>
          <t xml:space="preserve">Often there are no inter-segment eliminations for Depreciation expenses and this is what is assumed in projected years. However, occasionally they occur in historical and forecast years, and, if they do, they are normally very small. In such cases they are included with State-owned enterprises numbers. </t>
        </r>
      </text>
    </comment>
    <comment ref="A267" authorId="0" shapeId="0" xr:uid="{15A2EC6A-C514-41AE-AE9C-B98619E334D2}">
      <text>
        <r>
          <rPr>
            <sz val="9"/>
            <color indexed="81"/>
            <rFont val="Tahoma"/>
            <family val="2"/>
          </rPr>
          <t xml:space="preserve">Often there are no inter-segment eliminations for Amortisation expenses and this is what is assumed in projected years. However, occasionally they occur in historical and forecast years, and, if they do, they are normally very small. In such cases they are included with State-owned enterprises numbers. </t>
        </r>
      </text>
    </comment>
    <comment ref="D351" authorId="0" shapeId="0" xr:uid="{CFF95211-41BC-4EB1-A113-C38F2FFEB834}">
      <text>
        <r>
          <rPr>
            <sz val="9"/>
            <color indexed="81"/>
            <rFont val="Tahoma"/>
            <family val="2"/>
          </rPr>
          <t xml:space="preserve">Adjustment made for accounting measurement change to previous year
</t>
        </r>
      </text>
    </comment>
    <comment ref="D368" authorId="0" shapeId="0" xr:uid="{1DE1CFCE-75A9-455C-AA05-315CC49F20C2}">
      <text>
        <r>
          <rPr>
            <sz val="9"/>
            <color indexed="81"/>
            <rFont val="Tahoma"/>
            <family val="2"/>
          </rPr>
          <t xml:space="preserve">Adjustment made for accounting measurement change to previous year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<sst xmlns="http://schemas.openxmlformats.org/spreadsheetml/2006/main" count="4376" uniqueCount="1480">
  <si>
    <t>Explanation of the worksheets in the Fiscal Strategy Model (FSM) and how they link to one another</t>
  </si>
  <si>
    <t>Name of worksheet</t>
  </si>
  <si>
    <t>Purpose</t>
  </si>
  <si>
    <t>Provides inputs to these worksheets</t>
  </si>
  <si>
    <t>Uses outputs from these worksheets</t>
  </si>
  <si>
    <t>Display</t>
  </si>
  <si>
    <t>This is a hidden worksheet. It provides</t>
  </si>
  <si>
    <t>Each of the main modelling worksheets.</t>
  </si>
  <si>
    <t>None.</t>
  </si>
  <si>
    <t>offsets to allow the chosen fiscal variable</t>
  </si>
  <si>
    <t>These are the latest forecast round main</t>
  </si>
  <si>
    <t>track to be displayed at the top of each</t>
  </si>
  <si>
    <t xml:space="preserve">modelling worksheets labelled with </t>
  </si>
  <si>
    <t>of the main modelling worksheets.</t>
  </si>
  <si>
    <t>Scenario numbers and Option worksheet.</t>
  </si>
  <si>
    <t>Other worksheets can be copied from these</t>
  </si>
  <si>
    <t>and run off a different set of parameters</t>
  </si>
  <si>
    <r>
      <t xml:space="preserve">from the </t>
    </r>
    <r>
      <rPr>
        <i/>
        <sz val="10"/>
        <color indexed="8"/>
        <rFont val="Arial"/>
        <family val="2"/>
      </rPr>
      <t xml:space="preserve">Assumptions </t>
    </r>
    <r>
      <rPr>
        <sz val="10"/>
        <color indexed="8"/>
        <rFont val="Arial"/>
        <family val="2"/>
      </rPr>
      <t>worksheet.</t>
    </r>
  </si>
  <si>
    <t>Guide</t>
  </si>
  <si>
    <t>This is this worksheet. It provides some</t>
  </si>
  <si>
    <t>None. Purely for information purposes</t>
  </si>
  <si>
    <t>information to help users know how the</t>
  </si>
  <si>
    <t>and to help users of the model.</t>
  </si>
  <si>
    <t>various worksheets in the model interact.</t>
  </si>
  <si>
    <t>Sources</t>
  </si>
  <si>
    <t>This is also an information worksheet.</t>
  </si>
  <si>
    <t>It provides lists of data and exogenous</t>
  </si>
  <si>
    <t>tracks used in the model. Information is</t>
  </si>
  <si>
    <t>provided about the data, distribution or</t>
  </si>
  <si>
    <t>track, including from where it is sourced</t>
  </si>
  <si>
    <t>and when it was produced.</t>
  </si>
  <si>
    <t>Statistics NZ</t>
  </si>
  <si>
    <t>These are the most recent New Zealand</t>
  </si>
  <si>
    <t>Used extensively throughout the</t>
  </si>
  <si>
    <t>(NZ) resident population projections and</t>
  </si>
  <si>
    <r>
      <rPr>
        <i/>
        <sz val="10"/>
        <color theme="1"/>
        <rFont val="Arial"/>
        <family val="2"/>
      </rPr>
      <t xml:space="preserve">Population Treasury </t>
    </r>
    <r>
      <rPr>
        <sz val="10"/>
        <color theme="1"/>
        <rFont val="Arial"/>
        <family val="2"/>
      </rPr>
      <t xml:space="preserve">and </t>
    </r>
    <r>
      <rPr>
        <i/>
        <sz val="10"/>
        <color theme="1"/>
        <rFont val="Arial"/>
        <family val="2"/>
      </rPr>
      <t>Labour Force</t>
    </r>
  </si>
  <si>
    <t>Labour Force projections, by gender and</t>
  </si>
  <si>
    <r>
      <rPr>
        <i/>
        <sz val="10"/>
        <color theme="1"/>
        <rFont val="Arial"/>
        <family val="2"/>
      </rPr>
      <t>Treasury</t>
    </r>
    <r>
      <rPr>
        <sz val="10"/>
        <color theme="1"/>
        <rFont val="Arial"/>
        <family val="2"/>
      </rPr>
      <t xml:space="preserve"> worksheets in calculations to</t>
    </r>
  </si>
  <si>
    <t>single year of age. They are produced by</t>
  </si>
  <si>
    <t>produce the Population and Labour Force</t>
  </si>
  <si>
    <t>Statistics New Zealand and are updated</t>
  </si>
  <si>
    <t>age and gender distributions that match</t>
  </si>
  <si>
    <t>when a new version becomes available.</t>
  </si>
  <si>
    <t>the aggregate values in forecast years.</t>
  </si>
  <si>
    <t>As well as population and labour force</t>
  </si>
  <si>
    <t>numbers the worksheet has participation</t>
  </si>
  <si>
    <t>rates (numbers in labour force divided by</t>
  </si>
  <si>
    <t>numbers in demographic group).</t>
  </si>
  <si>
    <t>Population Treasury</t>
  </si>
  <si>
    <t>These are age and gender distributions</t>
  </si>
  <si>
    <t>Used in numerous places in the main</t>
  </si>
  <si>
    <t>of the NZ population that match the</t>
  </si>
  <si>
    <t>modelling worksheets, wherever</t>
  </si>
  <si>
    <t>Economic Forecasts</t>
  </si>
  <si>
    <t>aggregate forecasts in forecast years and</t>
  </si>
  <si>
    <t>demographic growth is required. Used</t>
  </si>
  <si>
    <t>are projected out into post-forecast years.</t>
  </si>
  <si>
    <t>in projecting some economic variables.</t>
  </si>
  <si>
    <t>They also adjust population projections</t>
  </si>
  <si>
    <t>Used as a driver of recipient numbers for</t>
  </si>
  <si>
    <t>for alternative net migration totals to the</t>
  </si>
  <si>
    <t>some expense types, especially New</t>
  </si>
  <si>
    <t>values used in Statistics NZ projections.</t>
  </si>
  <si>
    <t>Zealand Superannuation (NZS) and other</t>
  </si>
  <si>
    <t>welfare expenses. Used in projecting age</t>
  </si>
  <si>
    <t>and gender group Labour Force numbers</t>
  </si>
  <si>
    <r>
      <t xml:space="preserve">in the </t>
    </r>
    <r>
      <rPr>
        <i/>
        <sz val="10"/>
        <color theme="1"/>
        <rFont val="Arial"/>
        <family val="2"/>
      </rPr>
      <t xml:space="preserve">Labour Force Treasury </t>
    </r>
    <r>
      <rPr>
        <sz val="10"/>
        <color theme="1"/>
        <rFont val="Arial"/>
        <family val="2"/>
      </rPr>
      <t>worksheet.</t>
    </r>
  </si>
  <si>
    <t>Labour Force Treasury</t>
  </si>
  <si>
    <t>Used in the economic projections of the</t>
  </si>
  <si>
    <t>of the NZ labour force that match the</t>
  </si>
  <si>
    <t>main modelling worksheets to project the</t>
  </si>
  <si>
    <t>aggregate labour force. This variable is</t>
  </si>
  <si>
    <t>a key driver in the projections of both</t>
  </si>
  <si>
    <t>This worksheet uses labour force</t>
  </si>
  <si>
    <t>real and nominal GDP.</t>
  </si>
  <si>
    <t>participation rates, by single year of age</t>
  </si>
  <si>
    <t>and gender, multiplied by the equivalent</t>
  </si>
  <si>
    <r>
      <t xml:space="preserve">population group in </t>
    </r>
    <r>
      <rPr>
        <i/>
        <sz val="10"/>
        <color theme="1"/>
        <rFont val="Arial"/>
        <family val="2"/>
      </rPr>
      <t>Population Treasury</t>
    </r>
    <r>
      <rPr>
        <sz val="10"/>
        <color theme="1"/>
        <rFont val="Arial"/>
        <family val="2"/>
      </rPr>
      <t>,</t>
    </r>
  </si>
  <si>
    <t>to produce labour force numbers by</t>
  </si>
  <si>
    <t>single year of age and gender.</t>
  </si>
  <si>
    <t>Exogenous</t>
  </si>
  <si>
    <t>This worksheet contains a number of</t>
  </si>
  <si>
    <t>Used in many places throughout the main</t>
  </si>
  <si>
    <t xml:space="preserve">projected tracks and demographic </t>
  </si>
  <si>
    <t>modelling worksheets, often in regard to</t>
  </si>
  <si>
    <t>distributions. Some are produced by</t>
  </si>
  <si>
    <t>a particular asset, liability or expense</t>
  </si>
  <si>
    <t>Treasury, while others are sourced from</t>
  </si>
  <si>
    <t>type. Demographic distributions are used</t>
  </si>
  <si>
    <t>outside agencies. They all share the</t>
  </si>
  <si>
    <t>as inputs to the projected growth of</t>
  </si>
  <si>
    <t>characteristic of being produced outside</t>
  </si>
  <si>
    <t>recipient numbers in various welfare</t>
  </si>
  <si>
    <t>the model i.e. are exogenous inputs.</t>
  </si>
  <si>
    <t>expenses and Student Allowances.</t>
  </si>
  <si>
    <t>Bottom-up modelling of health and</t>
  </si>
  <si>
    <t>parameters related to the NZ personal</t>
  </si>
  <si>
    <t>education expenditure uses demographic</t>
  </si>
  <si>
    <t>tax regime that are used in fiscal drag</t>
  </si>
  <si>
    <t>distributions particular to these areas.</t>
  </si>
  <si>
    <t>modelling for both tax and NZS.</t>
  </si>
  <si>
    <t>NZSF Adjuster</t>
  </si>
  <si>
    <t>This worksheet contains alternative</t>
  </si>
  <si>
    <r>
      <t xml:space="preserve">The </t>
    </r>
    <r>
      <rPr>
        <i/>
        <sz val="10"/>
        <color theme="1"/>
        <rFont val="Arial"/>
        <family val="2"/>
      </rPr>
      <t>Option</t>
    </r>
    <r>
      <rPr>
        <sz val="10"/>
        <color theme="1"/>
        <rFont val="Arial"/>
        <family val="2"/>
      </rPr>
      <t xml:space="preserve"> worksheet. In cell B3 there</t>
    </r>
  </si>
  <si>
    <t>Makes use of forecast core Crown gross</t>
  </si>
  <si>
    <t>projections of the New Zealand</t>
  </si>
  <si>
    <t>is a label Adjust NZSF track. If the</t>
  </si>
  <si>
    <t>debt and debt financing costs from the</t>
  </si>
  <si>
    <t>Superannuation Fund (NZSF).</t>
  </si>
  <si>
    <t>word Yes is entered in cell C3 beside this</t>
  </si>
  <si>
    <r>
      <t xml:space="preserve">Fiscal Forecasts </t>
    </r>
    <r>
      <rPr>
        <sz val="10"/>
        <color indexed="8"/>
        <rFont val="Arial"/>
        <family val="2"/>
      </rPr>
      <t>worksheet to calculate</t>
    </r>
  </si>
  <si>
    <t>These can be produced by altering</t>
  </si>
  <si>
    <t>label it activates the modelling in this</t>
  </si>
  <si>
    <t>the effective interest rate applied to debt</t>
  </si>
  <si>
    <t>inputs or parameter choices in the</t>
  </si>
  <si>
    <t>worksheet to replace the NZSF track</t>
  </si>
  <si>
    <t>in each forecast year. These are applied</t>
  </si>
  <si>
    <t>NZSF model</t>
  </si>
  <si>
    <t>on the Treasury</t>
  </si>
  <si>
    <r>
      <t xml:space="preserve">in </t>
    </r>
    <r>
      <rPr>
        <i/>
        <sz val="10"/>
        <color indexed="8"/>
        <rFont val="Arial"/>
        <family val="2"/>
      </rPr>
      <t xml:space="preserve">Exogenous </t>
    </r>
    <r>
      <rPr>
        <sz val="10"/>
        <color indexed="8"/>
        <rFont val="Arial"/>
        <family val="2"/>
      </rPr>
      <t>with the alternative one</t>
    </r>
  </si>
  <si>
    <t>to the calculated gross debt changes to</t>
  </si>
  <si>
    <t>website. From that model an alternative</t>
  </si>
  <si>
    <r>
      <t xml:space="preserve">chosen in </t>
    </r>
    <r>
      <rPr>
        <i/>
        <sz val="10"/>
        <color theme="1"/>
        <rFont val="Arial"/>
        <family val="2"/>
      </rPr>
      <t>NZSF Adjuster</t>
    </r>
    <r>
      <rPr>
        <sz val="10"/>
        <color theme="1"/>
        <rFont val="Arial"/>
        <family val="2"/>
      </rPr>
      <t>. It also adjusts</t>
    </r>
  </si>
  <si>
    <t>calculate debt financing costs changes.</t>
  </si>
  <si>
    <t>NZSF track can then be pasted</t>
  </si>
  <si>
    <t>any variables in the forecast base that</t>
  </si>
  <si>
    <t>More generally, and as described in the</t>
  </si>
  <si>
    <t>into this worksheet.</t>
  </si>
  <si>
    <t>would be affected by changes to the</t>
  </si>
  <si>
    <r>
      <rPr>
        <i/>
        <sz val="10"/>
        <color indexed="8"/>
        <rFont val="Arial"/>
        <family val="2"/>
      </rPr>
      <t xml:space="preserve">Purpose </t>
    </r>
    <r>
      <rPr>
        <sz val="10"/>
        <color indexed="8"/>
        <rFont val="Arial"/>
        <family val="2"/>
      </rPr>
      <t>column, this worksheet uses</t>
    </r>
  </si>
  <si>
    <t>NZSF track in forecast years.</t>
  </si>
  <si>
    <t>outputs from another Treasury model.</t>
  </si>
  <si>
    <t>Note that, if the selected track number</t>
  </si>
  <si>
    <r>
      <t xml:space="preserve">in the </t>
    </r>
    <r>
      <rPr>
        <i/>
        <sz val="10"/>
        <color theme="1"/>
        <rFont val="Arial"/>
        <family val="2"/>
      </rPr>
      <t>NZSF Adjuster</t>
    </r>
    <r>
      <rPr>
        <sz val="10"/>
        <color theme="1"/>
        <rFont val="Arial"/>
        <family val="2"/>
      </rPr>
      <t xml:space="preserve"> worksheet does</t>
    </r>
  </si>
  <si>
    <t>not match one of the alternative NZSF</t>
  </si>
  <si>
    <t>tracks in the worksheet, the selection</t>
  </si>
  <si>
    <t>defaults to the parameters of the NZSF</t>
  </si>
  <si>
    <r>
      <t xml:space="preserve">track in </t>
    </r>
    <r>
      <rPr>
        <i/>
        <sz val="10"/>
        <color theme="1"/>
        <rFont val="Arial"/>
        <family val="2"/>
      </rPr>
      <t>Exogenous</t>
    </r>
    <r>
      <rPr>
        <sz val="10"/>
        <color theme="1"/>
        <rFont val="Arial"/>
        <family val="2"/>
      </rPr>
      <t>.</t>
    </r>
  </si>
  <si>
    <t>Fiscal Forecast Adjuster</t>
  </si>
  <si>
    <t>This worksheet allows changes to be</t>
  </si>
  <si>
    <r>
      <t xml:space="preserve">The </t>
    </r>
    <r>
      <rPr>
        <i/>
        <sz val="10"/>
        <color theme="1"/>
        <rFont val="Arial"/>
        <family val="2"/>
      </rPr>
      <t>Option</t>
    </r>
    <r>
      <rPr>
        <sz val="10"/>
        <color theme="1"/>
        <rFont val="Arial"/>
        <family val="2"/>
      </rPr>
      <t xml:space="preserve"> worksheet. In cell B2 there</t>
    </r>
  </si>
  <si>
    <t>made to forecast year values of major tax</t>
  </si>
  <si>
    <r>
      <t xml:space="preserve">is a label </t>
    </r>
    <r>
      <rPr>
        <i/>
        <sz val="10"/>
        <color indexed="8"/>
        <rFont val="Arial"/>
        <family val="2"/>
      </rPr>
      <t>Adjust fiscal forecasts</t>
    </r>
    <r>
      <rPr>
        <sz val="10"/>
        <color indexed="8"/>
        <rFont val="Arial"/>
        <family val="2"/>
      </rPr>
      <t>. If the</t>
    </r>
  </si>
  <si>
    <t>types, several welfare expense classes,</t>
  </si>
  <si>
    <t>word Yes is entered in cell C2 beside this</t>
  </si>
  <si>
    <t>and allowances for both new operating</t>
  </si>
  <si>
    <t>and new capital spending. It calculates</t>
  </si>
  <si>
    <t>worksheet to add the various adjustments</t>
  </si>
  <si>
    <t>how these changes impact on gross</t>
  </si>
  <si>
    <r>
      <rPr>
        <sz val="10"/>
        <color indexed="8"/>
        <rFont val="Arial"/>
        <family val="2"/>
      </rPr>
      <t xml:space="preserve">written into </t>
    </r>
    <r>
      <rPr>
        <i/>
        <sz val="10"/>
        <color indexed="8"/>
        <rFont val="Arial"/>
        <family val="2"/>
      </rPr>
      <t xml:space="preserve">Fiscal Forecast Adjuster </t>
    </r>
    <r>
      <rPr>
        <sz val="10"/>
        <color indexed="8"/>
        <rFont val="Arial"/>
        <family val="2"/>
      </rPr>
      <t>to</t>
    </r>
  </si>
  <si>
    <t>debt and debt financing costs in those</t>
  </si>
  <si>
    <t>the appropriate fiscal variables in forecast</t>
  </si>
  <si>
    <t>forecast years. This spreadsheet is the</t>
  </si>
  <si>
    <t>years. It also adjusts forecast debt and</t>
  </si>
  <si>
    <t>means of correctly altering the fiscal</t>
  </si>
  <si>
    <t>debt financing costs by the amounts</t>
  </si>
  <si>
    <r>
      <t xml:space="preserve">forecast base </t>
    </r>
    <r>
      <rPr>
        <sz val="10"/>
        <color indexed="8"/>
        <rFont val="Arial"/>
        <family val="2"/>
      </rPr>
      <t>for the forecast years.</t>
    </r>
  </si>
  <si>
    <r>
      <rPr>
        <sz val="10"/>
        <color indexed="8"/>
        <rFont val="Arial"/>
        <family val="2"/>
      </rPr>
      <t xml:space="preserve">calculated in </t>
    </r>
    <r>
      <rPr>
        <i/>
        <sz val="10"/>
        <color indexed="8"/>
        <rFont val="Arial"/>
        <family val="2"/>
      </rPr>
      <t xml:space="preserve">Fiscal Forecast Adjuster </t>
    </r>
    <r>
      <rPr>
        <sz val="10"/>
        <color indexed="8"/>
        <rFont val="Arial"/>
        <family val="2"/>
      </rPr>
      <t>to</t>
    </r>
  </si>
  <si>
    <t>reflect the combined impact of all</t>
  </si>
  <si>
    <t>the changes on these fiscal variables.</t>
  </si>
  <si>
    <t>Allocation</t>
  </si>
  <si>
    <t>Any main modelling worksheet if it is</t>
  </si>
  <si>
    <t>forecast year operating allowances and</t>
  </si>
  <si>
    <t>desired to allocate the operating allowances</t>
  </si>
  <si>
    <t>top-down expense adjustments into</t>
  </si>
  <si>
    <t>and the top-down expense adjustments to</t>
  </si>
  <si>
    <t>eleven different expense categories and</t>
  </si>
  <si>
    <t>individual expense categories that would be</t>
  </si>
  <si>
    <t>five sub-categories of education expense.</t>
  </si>
  <si>
    <t>expected to derive their forecast year and</t>
  </si>
  <si>
    <t>The percentages used in this worksheet</t>
  </si>
  <si>
    <t>projected year growth from these sources.</t>
  </si>
  <si>
    <t>should not be taken as definitive of</t>
  </si>
  <si>
    <t>They need to be used in any main</t>
  </si>
  <si>
    <t>future funding allocations. They are simply</t>
  </si>
  <si>
    <t>modelling worksheet that is desired to</t>
  </si>
  <si>
    <t>based on averages of growth in the past for</t>
  </si>
  <si>
    <t>produce bottom-up expenditure modelling.</t>
  </si>
  <si>
    <t>these expense types that are expected</t>
  </si>
  <si>
    <t>to have their future funding come from the</t>
  </si>
  <si>
    <t xml:space="preserve">operating allowances. This is necessary to </t>
  </si>
  <si>
    <t>set correct bases for bottom-up projections.</t>
  </si>
  <si>
    <t>Fiscal Outturns</t>
  </si>
  <si>
    <t>This worksheet contains historical data</t>
  </si>
  <si>
    <t>relating to the main fiscal indicators that</t>
  </si>
  <si>
    <t>can be selected in the pull-down box at</t>
  </si>
  <si>
    <t>the top of the main modelling worksheets.</t>
  </si>
  <si>
    <t>There is more explanation at the top of</t>
  </si>
  <si>
    <t>this worksheet about why data prior to</t>
  </si>
  <si>
    <t>2018/19 is given here and not in the main</t>
  </si>
  <si>
    <t>modelling worksheets themselves.</t>
  </si>
  <si>
    <t>The latest set of economic forecast</t>
  </si>
  <si>
    <t>Used as the base of economic projections</t>
  </si>
  <si>
    <t>variables, as well as historical outturns</t>
  </si>
  <si>
    <t>in the main modelling worksheets.</t>
  </si>
  <si>
    <t>of these variables, are stored in this</t>
  </si>
  <si>
    <t>Also used as the base of various inputs</t>
  </si>
  <si>
    <t>worksheet. It also contains parameters,</t>
  </si>
  <si>
    <t>into the projection of NZS and other</t>
  </si>
  <si>
    <t>derived from the economic forecasts by</t>
  </si>
  <si>
    <t>categories of welfare expenditure in the</t>
  </si>
  <si>
    <t>another Treasury model, that are used to</t>
  </si>
  <si>
    <t>main modelling worksheets.</t>
  </si>
  <si>
    <t>project New Zealand Superannuation</t>
  </si>
  <si>
    <t>Fiscal Forecasts</t>
  </si>
  <si>
    <r>
      <t>The fiscal equivalent of the</t>
    </r>
    <r>
      <rPr>
        <i/>
        <sz val="10"/>
        <color indexed="8"/>
        <rFont val="Arial"/>
        <family val="2"/>
      </rPr>
      <t xml:space="preserve"> Economic </t>
    </r>
  </si>
  <si>
    <t>Used as the base of projections of asset,</t>
  </si>
  <si>
    <r>
      <rPr>
        <i/>
        <sz val="10"/>
        <color indexed="8"/>
        <rFont val="Arial"/>
        <family val="2"/>
      </rPr>
      <t xml:space="preserve">Forecasts </t>
    </r>
    <r>
      <rPr>
        <sz val="10"/>
        <color indexed="8"/>
        <rFont val="Arial"/>
        <family val="2"/>
      </rPr>
      <t>worksheet, this contains the</t>
    </r>
  </si>
  <si>
    <t>liability, revenue and expense categories</t>
  </si>
  <si>
    <t>most recent set of fiscal forecast</t>
  </si>
  <si>
    <t>variables. For reasons explained in the</t>
  </si>
  <si>
    <t>Covers core Crown and total Crown</t>
  </si>
  <si>
    <r>
      <rPr>
        <i/>
        <sz val="10"/>
        <color indexed="8"/>
        <rFont val="Arial"/>
        <family val="2"/>
      </rPr>
      <t xml:space="preserve">Fiscal Outturns </t>
    </r>
    <r>
      <rPr>
        <sz val="10"/>
        <color indexed="8"/>
        <rFont val="Arial"/>
        <family val="2"/>
      </rPr>
      <t>worksheet, there are only</t>
    </r>
  </si>
  <si>
    <t>variables, and in some cases extends to</t>
  </si>
  <si>
    <t>historical outturns dating from 2018/19</t>
  </si>
  <si>
    <t>Crown entity and State-owned enterprise</t>
  </si>
  <si>
    <t>in this worksheet. Because there is so</t>
  </si>
  <si>
    <t>(SOE) variables.</t>
  </si>
  <si>
    <t>much input data, this worksheet uses</t>
  </si>
  <si>
    <t>numerous check calculations to ensure</t>
  </si>
  <si>
    <t>various sections tally with each other.</t>
  </si>
  <si>
    <t>Assumptions</t>
  </si>
  <si>
    <t xml:space="preserve">All of the assumptions and parameters </t>
  </si>
  <si>
    <t>Any modelling worksheet that is set up.</t>
  </si>
  <si>
    <t>needed to run a scenario are entered by</t>
  </si>
  <si>
    <t>The easiest way to produce a whole new</t>
  </si>
  <si>
    <t>the model user in this worksheet.</t>
  </si>
  <si>
    <t>modelled scenario is to copy one of the</t>
  </si>
  <si>
    <t>Most selections relate to projection</t>
  </si>
  <si>
    <t>main modelling worksheets by right</t>
  </si>
  <si>
    <t>assumptions or parameters, but there are</t>
  </si>
  <si>
    <t>clicking the worksheet tab, ensuring to</t>
  </si>
  <si>
    <t>some that affect the forecast base.</t>
  </si>
  <si>
    <r>
      <t xml:space="preserve">tick the </t>
    </r>
    <r>
      <rPr>
        <i/>
        <sz val="10"/>
        <color indexed="8"/>
        <rFont val="Arial"/>
        <family val="2"/>
      </rPr>
      <t xml:space="preserve">Create a Copy </t>
    </r>
    <r>
      <rPr>
        <sz val="10"/>
        <color indexed="8"/>
        <rFont val="Arial"/>
        <family val="2"/>
      </rPr>
      <t>box (otherwise</t>
    </r>
  </si>
  <si>
    <t>There are standard sets of assumptions</t>
  </si>
  <si>
    <t>the worksheet just gets moved). Change</t>
  </si>
  <si>
    <t>and parameters used in the main</t>
  </si>
  <si>
    <t>the name of the new worksheet tab.</t>
  </si>
  <si>
    <t>modelling worksheet scenarios.</t>
  </si>
  <si>
    <t>In cell B1 at the top of the new modelling</t>
  </si>
  <si>
    <t>As most options will not be altered in</t>
  </si>
  <si>
    <t>worksheet, enter the name used at the</t>
  </si>
  <si>
    <t>setting up a scenario, the easiest way to</t>
  </si>
  <si>
    <r>
      <t xml:space="preserve">top of the column set up in </t>
    </r>
    <r>
      <rPr>
        <i/>
        <sz val="10"/>
        <color indexed="8"/>
        <rFont val="Arial"/>
        <family val="2"/>
      </rPr>
      <t>Assumptions</t>
    </r>
  </si>
  <si>
    <t>produce a new scenario is to copy one of</t>
  </si>
  <si>
    <t>with the chosen set of assumptions and</t>
  </si>
  <si>
    <t>these columns and paste it into a new</t>
  </si>
  <si>
    <r>
      <t>parameters</t>
    </r>
    <r>
      <rPr>
        <sz val="10"/>
        <color indexed="8"/>
        <rFont val="Arial"/>
        <family val="2"/>
      </rPr>
      <t>. In numerous places in this</t>
    </r>
  </si>
  <si>
    <t>column in this worksheet, changing its</t>
  </si>
  <si>
    <t>new modelling worksheet these</t>
  </si>
  <si>
    <t>name at the top of the column in the row</t>
  </si>
  <si>
    <t>assumptions and parameters will be</t>
  </si>
  <si>
    <r>
      <rPr>
        <sz val="10"/>
        <color indexed="8"/>
        <rFont val="Arial"/>
        <family val="2"/>
      </rPr>
      <t xml:space="preserve">labelled </t>
    </r>
    <r>
      <rPr>
        <i/>
        <sz val="10"/>
        <color indexed="8"/>
        <rFont val="Arial"/>
        <family val="2"/>
      </rPr>
      <t>SCENARIO NAME</t>
    </r>
    <r>
      <rPr>
        <sz val="10"/>
        <color indexed="8"/>
        <rFont val="Arial"/>
        <family val="2"/>
      </rPr>
      <t>.</t>
    </r>
  </si>
  <si>
    <t>used to produce the new scenario.</t>
  </si>
  <si>
    <t>The main modelling</t>
  </si>
  <si>
    <t>These worksheets provide the</t>
  </si>
  <si>
    <t>worksheets.</t>
  </si>
  <si>
    <t>fundamental outputs of the FSM, such as</t>
  </si>
  <si>
    <t>The standards are</t>
  </si>
  <si>
    <t>projections of net core Crown debt as a</t>
  </si>
  <si>
    <t>the ones labelled with</t>
  </si>
  <si>
    <t>percentage of nominal GDP for a given</t>
  </si>
  <si>
    <t>Scenario numbers</t>
  </si>
  <si>
    <t>set of assumptions and parameters.</t>
  </si>
  <si>
    <r>
      <t xml:space="preserve">NZSF Adjuster </t>
    </r>
    <r>
      <rPr>
        <sz val="10"/>
        <color theme="1"/>
        <rFont val="Arial"/>
        <family val="2"/>
      </rPr>
      <t>(</t>
    </r>
    <r>
      <rPr>
        <i/>
        <sz val="10"/>
        <color theme="1"/>
        <rFont val="Arial"/>
        <family val="2"/>
      </rPr>
      <t xml:space="preserve">Option </t>
    </r>
    <r>
      <rPr>
        <sz val="10"/>
        <color theme="1"/>
        <rFont val="Arial"/>
        <family val="2"/>
      </rPr>
      <t>only)</t>
    </r>
  </si>
  <si>
    <r>
      <rPr>
        <sz val="10"/>
        <color rgb="FF000000"/>
        <rFont val="Arial"/>
        <family val="2"/>
      </rPr>
      <t>and</t>
    </r>
    <r>
      <rPr>
        <i/>
        <sz val="10"/>
        <color indexed="8"/>
        <rFont val="Arial"/>
        <family val="2"/>
      </rPr>
      <t xml:space="preserve"> Option</t>
    </r>
    <r>
      <rPr>
        <sz val="10"/>
        <color indexed="8"/>
        <rFont val="Arial"/>
        <family val="2"/>
      </rPr>
      <t xml:space="preserve"> worksheet</t>
    </r>
  </si>
  <si>
    <t>Fiscal Forecast Adjuster (Option only)</t>
  </si>
  <si>
    <t>As explained in the</t>
  </si>
  <si>
    <r>
      <rPr>
        <i/>
        <sz val="10"/>
        <color theme="1"/>
        <rFont val="Arial"/>
        <family val="2"/>
      </rPr>
      <t>Allocation</t>
    </r>
    <r>
      <rPr>
        <sz val="10"/>
        <color theme="1"/>
        <rFont val="Arial"/>
        <family val="2"/>
      </rPr>
      <t xml:space="preserve"> (only if allocating operating allowances to various expense categories or producing bottom-up expenditure projections)</t>
    </r>
  </si>
  <si>
    <t>description a user</t>
  </si>
  <si>
    <t>can create a new</t>
  </si>
  <si>
    <t>modelling worksheet</t>
  </si>
  <si>
    <t>Unless otherwise stated, forecasts and projections are produced by the New Zealand Treasury</t>
  </si>
  <si>
    <t>Unless otherwise stated, all post-forecast projections are produced by the FSM model</t>
  </si>
  <si>
    <t>The adjective "outturn", normally used before the word data, means it comes from a completed time period</t>
  </si>
  <si>
    <t>This version of the FSM uses:</t>
  </si>
  <si>
    <t>Economic Data</t>
  </si>
  <si>
    <t>History</t>
  </si>
  <si>
    <t>Outturn data from Treasury databases</t>
  </si>
  <si>
    <t>Mainly Statistics New Zealand (Stats NZ) measures</t>
  </si>
  <si>
    <t>Forecasts</t>
  </si>
  <si>
    <t>Fiscal Data</t>
  </si>
  <si>
    <t>Outturn data from Treasury publications</t>
  </si>
  <si>
    <t>Mainly from Financial Statements published in past Budget EFU reports</t>
  </si>
  <si>
    <t>Demographic Data</t>
  </si>
  <si>
    <t>Outturn data from Stats NZ</t>
  </si>
  <si>
    <t>Accessible from Stats NZ website</t>
  </si>
  <si>
    <t>(by gender and</t>
  </si>
  <si>
    <t>Treasury forecasts aggregate population</t>
  </si>
  <si>
    <t>single year of age)</t>
  </si>
  <si>
    <t>Projections</t>
  </si>
  <si>
    <t>Based on those of Stats NZ</t>
  </si>
  <si>
    <t>Uses National Population Projections, produced in 2025</t>
  </si>
  <si>
    <t>Labour Force</t>
  </si>
  <si>
    <t>Based on Household Labour Force Survey (HLFS)</t>
  </si>
  <si>
    <t>Treasury forecasts aggregate labour force</t>
  </si>
  <si>
    <t>Uses National Labour Force Projections, produced in 2025</t>
  </si>
  <si>
    <t>Social welfare</t>
  </si>
  <si>
    <t>transfers</t>
  </si>
  <si>
    <t>Forecasts from Ministry of Social</t>
  </si>
  <si>
    <t>Development (MSD) and Inland Revenue</t>
  </si>
  <si>
    <t>Department (IRD) for Working for Families</t>
  </si>
  <si>
    <t>New Zealand</t>
  </si>
  <si>
    <t>Superannuation</t>
  </si>
  <si>
    <t>Forecasts from the NZSF</t>
  </si>
  <si>
    <t>BEFU 2025 version</t>
  </si>
  <si>
    <t>Fund (NZSF)</t>
  </si>
  <si>
    <t>Projection produced by Treasury</t>
  </si>
  <si>
    <t>Source at</t>
  </si>
  <si>
    <t>NZS Fund model website</t>
  </si>
  <si>
    <t>Accident Compen-</t>
  </si>
  <si>
    <t>sation Corporation</t>
  </si>
  <si>
    <t>Forecasts from ACC</t>
  </si>
  <si>
    <t>(ACC) data</t>
  </si>
  <si>
    <t>Projection produced by ACC</t>
  </si>
  <si>
    <t>Asset/liability track, 2026 update</t>
  </si>
  <si>
    <t>Student Loans</t>
  </si>
  <si>
    <t>track</t>
  </si>
  <si>
    <t>Forecasts from IRD and the</t>
  </si>
  <si>
    <t>Ministry of Education (MoE)</t>
  </si>
  <si>
    <t>Projection produced by the Treasury</t>
  </si>
  <si>
    <t>KiwiSaver expenses</t>
  </si>
  <si>
    <t xml:space="preserve">Inland Revenue </t>
  </si>
  <si>
    <t>Forecasts from IRD</t>
  </si>
  <si>
    <t>Department (IRD)</t>
  </si>
  <si>
    <t>Projection from IRD</t>
  </si>
  <si>
    <t>Government</t>
  </si>
  <si>
    <t>Forecasts based on actuarial valuations</t>
  </si>
  <si>
    <t>Fund (GSF)</t>
  </si>
  <si>
    <t>Projection produced by actuaries for GSF</t>
  </si>
  <si>
    <t>2012 version</t>
  </si>
  <si>
    <t>Tax Receivable write-</t>
  </si>
  <si>
    <t>downs &amp; impairments</t>
  </si>
  <si>
    <t>Main benefit age &amp;</t>
  </si>
  <si>
    <t>Based on administrative data from MSD</t>
  </si>
  <si>
    <t>gender distribution</t>
  </si>
  <si>
    <t>STATISTICS NEW ZEALAND OUTTURNS AND PROJECTIONS OF RESIDENT POPULATION OF NEW ZEALAND AND LABOUR FORCE, BY SINGLE YEAR OF AGE AND GENDER, AS AT 30 JUNE</t>
  </si>
  <si>
    <t>Population projections</t>
  </si>
  <si>
    <t>National population projections: 2024 (base) - 2078 50th percentile projection</t>
  </si>
  <si>
    <t>Labour Force projections</t>
  </si>
  <si>
    <t>National labour force projections: 2024 (base) - 2078 50th percentile projection</t>
  </si>
  <si>
    <t>Year ended 30 June</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</si>
  <si>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</si>
  <si>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</si>
  <si>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</si>
  <si>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</si>
  <si>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</si>
  <si>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</si>
  <si>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</si>
  <si>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</si>
  <si>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</si>
  <si>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</si>
  <si>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</si>
  <si>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</si>
  <si>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</si>
  <si>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</si>
  <si>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</si>
  <si>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</si>
  <si>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</si>
  <si>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</si>
  <si>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</si>
  <si>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</si>
  <si>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</si>
  <si>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</si>
  <si>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</si>
  <si>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</si>
  <si>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</si>
  <si>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2030/31</t>
  </si>
  <si>
    <t>2031/32</t>
  </si>
  <si>
    <t>2032/33</t>
  </si>
  <si>
    <t>2033/34</t>
  </si>
  <si>
    <t>2034/35</t>
  </si>
  <si>
    <t>2035/36</t>
  </si>
  <si>
    <t>2036/37</t>
  </si>
  <si>
    <t>2037/38</t>
  </si>
  <si>
    <t>2038/39</t>
  </si>
  <si>
    <t>2039/40</t>
  </si>
  <si>
    <t>Population (millions)</t>
  </si>
  <si>
    <t>Annual growth (%)</t>
  </si>
  <si>
    <t>Working-age popn (15+, millions)</t>
  </si>
  <si>
    <t>Labour Force (LF, millions)</t>
  </si>
  <si>
    <t>Total LF participation rate (%)</t>
  </si>
  <si>
    <r>
      <t xml:space="preserve">Age in years </t>
    </r>
    <r>
      <rPr>
        <b/>
        <sz val="11"/>
        <color indexed="8"/>
        <rFont val="Calibri"/>
        <family val="2"/>
      </rPr>
      <t>↓</t>
    </r>
  </si>
  <si>
    <t>FEMALE POPULATION</t>
  </si>
  <si>
    <t>95 &amp; over</t>
  </si>
  <si>
    <t>Female total</t>
  </si>
  <si>
    <t>MALE POPULATION</t>
  </si>
  <si>
    <t>Male total</t>
  </si>
  <si>
    <t>FEMALE LABOUR FORCE</t>
  </si>
  <si>
    <t>80 &amp; over</t>
  </si>
  <si>
    <t>MALE LABOUR FORCE</t>
  </si>
  <si>
    <t>FEMALE PARTICIPATION RATES</t>
  </si>
  <si>
    <t>MALE PARTICIPATION RATES</t>
  </si>
  <si>
    <t>Minors' popn (0-14, millions)</t>
  </si>
  <si>
    <t>Net Migration (thousands) - Treasury</t>
  </si>
  <si>
    <t>Net Migration (thousands) - Statistics NZ</t>
  </si>
  <si>
    <t>Net Migration by age and gender group (percentages are based on June-end years between 2001/02 and 2022/23, where net migration was at least 10,000)</t>
  </si>
  <si>
    <t>Age Group (years)</t>
  </si>
  <si>
    <t>0 to 4</t>
  </si>
  <si>
    <t>5 to 9</t>
  </si>
  <si>
    <t>10 to 14</t>
  </si>
  <si>
    <t>15 to 19</t>
  </si>
  <si>
    <t>20 to 24</t>
  </si>
  <si>
    <t>25 to 29</t>
  </si>
  <si>
    <t>30 to 34</t>
  </si>
  <si>
    <t>35 to 39</t>
  </si>
  <si>
    <t>40 to 44</t>
  </si>
  <si>
    <t>45 to 49</t>
  </si>
  <si>
    <t>50 to 54</t>
  </si>
  <si>
    <t>55 to 59</t>
  </si>
  <si>
    <t>60 to 64</t>
  </si>
  <si>
    <t>65 to 69</t>
  </si>
  <si>
    <t>70 to 74</t>
  </si>
  <si>
    <t>75 to 79</t>
  </si>
  <si>
    <t>80 to 84</t>
  </si>
  <si>
    <t>85 to 89</t>
  </si>
  <si>
    <t>90 &amp; over</t>
  </si>
  <si>
    <t>TOTAL</t>
  </si>
  <si>
    <t>Female</t>
  </si>
  <si>
    <t>Male</t>
  </si>
  <si>
    <t>Annual growth rates of selected age and gender groups</t>
  </si>
  <si>
    <t>Welfare</t>
  </si>
  <si>
    <t>Female aged 16 to 19 years</t>
  </si>
  <si>
    <t>Female aged 20 to 24 years</t>
  </si>
  <si>
    <t>Female aged 25 to 29 years</t>
  </si>
  <si>
    <t>Female aged 30 to 34 years</t>
  </si>
  <si>
    <t>Female aged 35 to 39 years</t>
  </si>
  <si>
    <t>Female aged 40 to 44 years</t>
  </si>
  <si>
    <t>Female aged 45 to 49 years</t>
  </si>
  <si>
    <t>Female aged 50 to 54 years</t>
  </si>
  <si>
    <t>Female aged 55 to 59 years</t>
  </si>
  <si>
    <t>Female aged 60 to 64 years</t>
  </si>
  <si>
    <t>Female aged 65 years &amp; above</t>
  </si>
  <si>
    <t>Male aged 16 to 19 years</t>
  </si>
  <si>
    <t>Male aged 20 to 24 years</t>
  </si>
  <si>
    <t>Male aged 25 to 29 years</t>
  </si>
  <si>
    <t>Male aged 30 to 34 years</t>
  </si>
  <si>
    <t>Male aged 35 to 39 years</t>
  </si>
  <si>
    <t>Male aged 40 to 44 years</t>
  </si>
  <si>
    <t>Male aged 45 to 49 years</t>
  </si>
  <si>
    <t>Male aged 50 to 54 years</t>
  </si>
  <si>
    <t>Male aged 55 to 59 years</t>
  </si>
  <si>
    <t>Male aged 60 to 64 years</t>
  </si>
  <si>
    <t>Male aged 65 years &amp; above</t>
  </si>
  <si>
    <t>All aged 65 years &amp; above</t>
  </si>
  <si>
    <t>Health</t>
  </si>
  <si>
    <t>Female aged 0 to 4 years</t>
  </si>
  <si>
    <t>Female aged 5 to 9 years</t>
  </si>
  <si>
    <t>Female aged 10 to 14 years</t>
  </si>
  <si>
    <t>Female aged 15 to 19 years</t>
  </si>
  <si>
    <t>Female aged 65 to 69 years</t>
  </si>
  <si>
    <t>Female aged 70 to 74 years</t>
  </si>
  <si>
    <t>Female aged 75 to 79 years</t>
  </si>
  <si>
    <t>Female aged 80 to 84 years</t>
  </si>
  <si>
    <t>Female aged 85 years &amp; above</t>
  </si>
  <si>
    <t>Male aged 0 to 4 years</t>
  </si>
  <si>
    <t>Male aged 5 to 9 years</t>
  </si>
  <si>
    <t>Male aged 10 to 14 years</t>
  </si>
  <si>
    <t>Male aged 15 to 19 years</t>
  </si>
  <si>
    <t>Male aged 65 to 69 years</t>
  </si>
  <si>
    <t>Male aged 70 to 74 years</t>
  </si>
  <si>
    <t>Male aged 75 to 79 years</t>
  </si>
  <si>
    <t>Male aged 80 to 84 years</t>
  </si>
  <si>
    <t>Male aged 85 years &amp; above</t>
  </si>
  <si>
    <t>Female life expectancy at birth</t>
  </si>
  <si>
    <t>Female life expectancy at age 65</t>
  </si>
  <si>
    <t>Male life expectancy at birth</t>
  </si>
  <si>
    <t>Male life expectancy at age 65</t>
  </si>
  <si>
    <t>Education</t>
  </si>
  <si>
    <t>Female aged under 1 year</t>
  </si>
  <si>
    <t>Female aged 1 year</t>
  </si>
  <si>
    <t>Female aged 2 years</t>
  </si>
  <si>
    <t>Female aged 3 years</t>
  </si>
  <si>
    <t>Female aged 4 years</t>
  </si>
  <si>
    <t>Female aged 5 years</t>
  </si>
  <si>
    <t>Female aged 6 years</t>
  </si>
  <si>
    <t>Female aged 7 years</t>
  </si>
  <si>
    <t>Female aged 8 years</t>
  </si>
  <si>
    <t>Female aged 9 years</t>
  </si>
  <si>
    <t>Female aged 10 years</t>
  </si>
  <si>
    <t>Female aged 11 years</t>
  </si>
  <si>
    <t>Female aged 12 years</t>
  </si>
  <si>
    <t>Female aged 13 years</t>
  </si>
  <si>
    <t>Female aged 14 years</t>
  </si>
  <si>
    <t>Female aged 15 years</t>
  </si>
  <si>
    <t>Female aged 16 years</t>
  </si>
  <si>
    <t>Female aged 17 years</t>
  </si>
  <si>
    <t>Female aged 18 years</t>
  </si>
  <si>
    <t>Female aged 19 years</t>
  </si>
  <si>
    <t>Female aged 18 to 19 years</t>
  </si>
  <si>
    <t>Female aged 25 to 39 years</t>
  </si>
  <si>
    <t>Female aged 40 to 54 years</t>
  </si>
  <si>
    <t>Male aged under 1 year</t>
  </si>
  <si>
    <t>Male aged 1 year</t>
  </si>
  <si>
    <t>Male aged 2 years</t>
  </si>
  <si>
    <t>Male aged 3 years</t>
  </si>
  <si>
    <t>Male aged 4 years</t>
  </si>
  <si>
    <t>Male aged 5 years</t>
  </si>
  <si>
    <t>Male aged 6 years</t>
  </si>
  <si>
    <t>Male aged 7 years</t>
  </si>
  <si>
    <t>Male aged 8 years</t>
  </si>
  <si>
    <t>Male aged 9 years</t>
  </si>
  <si>
    <t>Male aged 10 years</t>
  </si>
  <si>
    <t>Male aged 11 years</t>
  </si>
  <si>
    <t>Male aged 12 years</t>
  </si>
  <si>
    <t>Male aged 13 years</t>
  </si>
  <si>
    <t>Male aged 14 years</t>
  </si>
  <si>
    <t>Male aged 15 years</t>
  </si>
  <si>
    <t>Male aged 16 years</t>
  </si>
  <si>
    <t>Male aged 17 years</t>
  </si>
  <si>
    <t>Male aged 18 years</t>
  </si>
  <si>
    <t>Male aged 19 years</t>
  </si>
  <si>
    <t>Male aged 18 to 19 years</t>
  </si>
  <si>
    <t>Male aged 25 to 39 years</t>
  </si>
  <si>
    <t>Male aged 40 to 54 years</t>
  </si>
  <si>
    <t>All aged 18 years to 40 years</t>
  </si>
  <si>
    <t>Labour Force (LF) (millions)</t>
  </si>
  <si>
    <t>Aggregate labour force participation rate %</t>
  </si>
  <si>
    <t>Uncalibrated Labour Force (millions)</t>
  </si>
  <si>
    <r>
      <t xml:space="preserve">Age in years </t>
    </r>
    <r>
      <rPr>
        <b/>
        <sz val="11"/>
        <color indexed="8"/>
        <rFont val="Arial"/>
        <family val="2"/>
      </rPr>
      <t>↓</t>
    </r>
  </si>
  <si>
    <t>EXOGENOUS INPUT PROJECTIONS AND DATA</t>
  </si>
  <si>
    <t>The projections and/or data in this worksheet are either produced by other Treasury models or obtained from other public sector agencies. They are used in the main modelling worksheets of the Fiscal Strategy Model.</t>
  </si>
  <si>
    <t>NEW ZEALAND SUPERANNUATION FUND (NZSF)</t>
  </si>
  <si>
    <t>(billions of $NZ)</t>
  </si>
  <si>
    <t>Revenue</t>
  </si>
  <si>
    <r>
      <t xml:space="preserve">less </t>
    </r>
    <r>
      <rPr>
        <sz val="11"/>
        <color indexed="8"/>
        <rFont val="Arial"/>
        <family val="2"/>
      </rPr>
      <t>Tax on earnings</t>
    </r>
  </si>
  <si>
    <t>less Non-tax expenses</t>
  </si>
  <si>
    <t>Gains/(losses)</t>
  </si>
  <si>
    <t>Capital contribution/(withdrawal) from Government</t>
  </si>
  <si>
    <t>Other movements in reserves</t>
  </si>
  <si>
    <t>Closing Balance</t>
  </si>
  <si>
    <t>STUDENT LOANS</t>
  </si>
  <si>
    <t>Net new lending (including fees) in current year</t>
  </si>
  <si>
    <t>Unwind of administration costs</t>
  </si>
  <si>
    <r>
      <t xml:space="preserve">less </t>
    </r>
    <r>
      <rPr>
        <sz val="11"/>
        <color indexed="8"/>
        <rFont val="Arial"/>
        <family val="2"/>
      </rPr>
      <t>Initial write-down to fair value</t>
    </r>
  </si>
  <si>
    <r>
      <t xml:space="preserve">less </t>
    </r>
    <r>
      <rPr>
        <sz val="11"/>
        <color indexed="8"/>
        <rFont val="Arial"/>
        <family val="2"/>
      </rPr>
      <t>Repayments made during the year</t>
    </r>
  </si>
  <si>
    <t>Interest unwind</t>
  </si>
  <si>
    <t>Gains/(losses) and reversal of impairment/(impairment)</t>
  </si>
  <si>
    <t>ACCIDENT COMPENSATION CORPORATION (ACC)</t>
  </si>
  <si>
    <t>Levy income</t>
  </si>
  <si>
    <t>Non-Earners (NE) &amp; NE share of Treatment Injury levy income</t>
  </si>
  <si>
    <t>Claims and other expenses</t>
  </si>
  <si>
    <t>Investment income</t>
  </si>
  <si>
    <t>Closing assets</t>
  </si>
  <si>
    <t>Closing liabilities</t>
  </si>
  <si>
    <t>Effective rate of investment earnings on assets (CALCULATED)</t>
  </si>
  <si>
    <t>GOVERNMENT SUPERANNUATION FUND (GSF)</t>
  </si>
  <si>
    <t>Pension expenses</t>
  </si>
  <si>
    <t>KIWI SAVER EXPENSE TRACK</t>
  </si>
  <si>
    <t>TAX RECEIVABLE WRITE-DOWN AND IMPAIRMENTS</t>
  </si>
  <si>
    <t xml:space="preserve">REMAINING FORECAST CAPITAL ALLOWANCES </t>
  </si>
  <si>
    <t>WORKING-AGE MAIN BENEFIT AGE &amp; GENDER SHARES</t>
  </si>
  <si>
    <t>Jobseeker Support aged 16 to 19 years</t>
  </si>
  <si>
    <t>Supported Living Payment aged 16 to 19 years</t>
  </si>
  <si>
    <t>Sole Parent Support aged 16 to 19 years</t>
  </si>
  <si>
    <t>Jobseeker Support aged 20 to 24 years</t>
  </si>
  <si>
    <t>Supported Living Payment aged 20 to 24 years</t>
  </si>
  <si>
    <t>Sole Parent Support aged 20 to 24 years</t>
  </si>
  <si>
    <t>Jobseeker Support aged 25 to 29 years</t>
  </si>
  <si>
    <t>Supported Living Payment aged 25 to 29 years</t>
  </si>
  <si>
    <t>Sole Parent Support aged 25 to 29 years</t>
  </si>
  <si>
    <t>Jobseeker Support aged 30 to 34 years</t>
  </si>
  <si>
    <t>Supported Living Payment aged 30 to 34 years</t>
  </si>
  <si>
    <t>Sole Parent Support aged 30 to 34 years</t>
  </si>
  <si>
    <t>Jobseeker Support aged 35 to 39 years</t>
  </si>
  <si>
    <t>Supported Living Payment aged 35 to 39 years</t>
  </si>
  <si>
    <t>Sole Parent Support aged 35 to 39 years</t>
  </si>
  <si>
    <t>Jobseeker Support aged 40 to 44 years</t>
  </si>
  <si>
    <t>Supported Living Payment aged 40 to 44 years</t>
  </si>
  <si>
    <t>Sole Parent Support aged 40 to 44 years</t>
  </si>
  <si>
    <t>Jobseeker Support aged 45 to 49 years</t>
  </si>
  <si>
    <t>Supported Living Payment aged 45 to 49 years</t>
  </si>
  <si>
    <t>Sole Parent Support aged 45 to 49 years</t>
  </si>
  <si>
    <t>Jobseeker Support aged 50 to 54 years</t>
  </si>
  <si>
    <t>Supported Living Payment aged 50 to 54 years</t>
  </si>
  <si>
    <t>Sole Parent Support aged 50 to 54 years</t>
  </si>
  <si>
    <t>Jobseeker Support aged 55 to 59 years</t>
  </si>
  <si>
    <t>Supported Living Payment aged 55 to 59 years</t>
  </si>
  <si>
    <t>Sole Parent Support aged 55 to 59 years</t>
  </si>
  <si>
    <t>Jobseeker Support aged 60 to 64 years</t>
  </si>
  <si>
    <t>Supported Living Payment aged 60 to 64 years</t>
  </si>
  <si>
    <t>Sole Parent Support aged 60 to 64 years</t>
  </si>
  <si>
    <t>Jobseeker Support aged 65 years &amp; above</t>
  </si>
  <si>
    <t>Supported Living Payment aged 65 years &amp; above</t>
  </si>
  <si>
    <t>Sole Parent Support aged 65 years &amp; above</t>
  </si>
  <si>
    <t>Income limits</t>
  </si>
  <si>
    <t>TAX PARAMETERS</t>
  </si>
  <si>
    <t>Tax rate</t>
  </si>
  <si>
    <t>Gross</t>
  </si>
  <si>
    <t>Net</t>
  </si>
  <si>
    <t>Tax</t>
  </si>
  <si>
    <t>Taxable income over $0 and up to $15,600 per year</t>
  </si>
  <si>
    <t>Taxable income over $15,600 and up to $53,500 per year</t>
  </si>
  <si>
    <t>Taxable income over $53,500 and up to $78,100 per year</t>
  </si>
  <si>
    <t>Taxable income over $78,100 and up to $180,000 per year</t>
  </si>
  <si>
    <t>Taxable income over $180,000 per year</t>
  </si>
  <si>
    <t>ACC Earner levy</t>
  </si>
  <si>
    <t>EDUCATION AGE AND GENDER DISTRIBUTION</t>
  </si>
  <si>
    <t>Early Childhood Education</t>
  </si>
  <si>
    <t>Primary School Education</t>
  </si>
  <si>
    <t>Secondary School Education</t>
  </si>
  <si>
    <t>Tertiary Education</t>
  </si>
  <si>
    <t>Under 1 year</t>
  </si>
  <si>
    <t>Aged 5 years</t>
  </si>
  <si>
    <t>Aged 13 years</t>
  </si>
  <si>
    <t>Aged 17 years</t>
  </si>
  <si>
    <t>1 year to 2 years</t>
  </si>
  <si>
    <t>Aged 6 years</t>
  </si>
  <si>
    <t>Aged 14 years</t>
  </si>
  <si>
    <t>Aged 18 to 19 years</t>
  </si>
  <si>
    <t>2 years to 3 years</t>
  </si>
  <si>
    <t>Aged 7 years</t>
  </si>
  <si>
    <t>Aged 15 years</t>
  </si>
  <si>
    <t>Aged 20 to 24 years</t>
  </si>
  <si>
    <t>3 years to 4 years</t>
  </si>
  <si>
    <t>Aged 8 years</t>
  </si>
  <si>
    <t>Aged 16 years</t>
  </si>
  <si>
    <t>Aged 25 to 39 years</t>
  </si>
  <si>
    <t>4 years to 5 years</t>
  </si>
  <si>
    <t>Aged 9 years</t>
  </si>
  <si>
    <t>Aged 40 to 54 years</t>
  </si>
  <si>
    <t>5 years to 6 years</t>
  </si>
  <si>
    <t>Aged 10 years</t>
  </si>
  <si>
    <t>Aged 18 years</t>
  </si>
  <si>
    <t>Aged 11 years</t>
  </si>
  <si>
    <t>Aged 19 years</t>
  </si>
  <si>
    <t>Aged 12 years</t>
  </si>
  <si>
    <t>HEALTH AGE AND GENDER DISTRIBUTION</t>
  </si>
  <si>
    <t xml:space="preserve">HEALTH EXPENDITURE COST SHARES </t>
  </si>
  <si>
    <t>PERSONAL HEALTH CARE</t>
  </si>
  <si>
    <t>HEALTH OF OLDER PEOPLE</t>
  </si>
  <si>
    <t>(2019 UPDATE OF MINISTRY OF HEALTH COST WEIGHTS)</t>
  </si>
  <si>
    <t>PRIMARY</t>
  </si>
  <si>
    <t>HOSPITAL, COMMUNITY SERVICES</t>
  </si>
  <si>
    <t>MENTAL HEALTH</t>
  </si>
  <si>
    <t>AGED RESIDENTIAL CARE</t>
  </si>
  <si>
    <t>OTHER</t>
  </si>
  <si>
    <r>
      <t xml:space="preserve">SHARE OF TOTAL HEALTH COSTS </t>
    </r>
    <r>
      <rPr>
        <b/>
        <sz val="10"/>
        <color theme="1"/>
        <rFont val="Calibri"/>
        <family val="2"/>
      </rPr>
      <t>→</t>
    </r>
  </si>
  <si>
    <r>
      <t xml:space="preserve">SHARE BY AGE </t>
    </r>
    <r>
      <rPr>
        <b/>
        <sz val="10"/>
        <color theme="1"/>
        <rFont val="Calibri"/>
        <family val="2"/>
      </rPr>
      <t>↓</t>
    </r>
  </si>
  <si>
    <t>Aged 0 to 4 years</t>
  </si>
  <si>
    <t>Aged 5 to 9 years</t>
  </si>
  <si>
    <t>Aged 10 to 14 years</t>
  </si>
  <si>
    <t>Aged 15 to 19 years</t>
  </si>
  <si>
    <t>Aged 25 to 29 years</t>
  </si>
  <si>
    <t>Aged 30 to 34 years</t>
  </si>
  <si>
    <t>Aged 35 to 39 years</t>
  </si>
  <si>
    <t>Aged 40 to 44 years</t>
  </si>
  <si>
    <t>Aged 45 to 49 years</t>
  </si>
  <si>
    <t>Aged 50 to 54 years</t>
  </si>
  <si>
    <t>Aged 55 to 59 years</t>
  </si>
  <si>
    <t>Aged 60 to 64 years</t>
  </si>
  <si>
    <t>Aged 65 to 69 years</t>
  </si>
  <si>
    <t>Aged 70 to 74 years</t>
  </si>
  <si>
    <t>Aged 75 to 79 years</t>
  </si>
  <si>
    <t>Aged 80 to 84 years</t>
  </si>
  <si>
    <t>Aged 85 years and above</t>
  </si>
  <si>
    <t>ALTERNATE NEW ZEALAND SUPERANNUATION FUND (NZSF) TRACKS PRODUCED BY TREASURY MODEL</t>
  </si>
  <si>
    <t xml:space="preserve">The NZSF projected tracks in this worksheet are produced by the Treasury NZSF model. </t>
  </si>
  <si>
    <t>Effective interest rate on core Crown gross debt</t>
  </si>
  <si>
    <r>
      <rPr>
        <sz val="11"/>
        <color indexed="8"/>
        <rFont val="Calibri"/>
        <family val="2"/>
      </rPr>
      <t>∆</t>
    </r>
    <r>
      <rPr>
        <sz val="11"/>
        <color indexed="8"/>
        <rFont val="Arial"/>
        <family val="2"/>
      </rPr>
      <t xml:space="preserve"> finance costs from current year impacts</t>
    </r>
  </si>
  <si>
    <r>
      <rPr>
        <sz val="11"/>
        <color indexed="8"/>
        <rFont val="Calibri"/>
        <family val="2"/>
      </rPr>
      <t>∆</t>
    </r>
    <r>
      <rPr>
        <sz val="11"/>
        <color indexed="8"/>
        <rFont val="Arial"/>
        <family val="2"/>
      </rPr>
      <t xml:space="preserve"> finance costs from earlier year debt impacts</t>
    </r>
  </si>
  <si>
    <t>Total change to debt-financing costs</t>
  </si>
  <si>
    <r>
      <t xml:space="preserve">Annual </t>
    </r>
    <r>
      <rPr>
        <sz val="11"/>
        <color indexed="8"/>
        <rFont val="Calibri"/>
        <family val="2"/>
      </rPr>
      <t>∆</t>
    </r>
    <r>
      <rPr>
        <sz val="11"/>
        <color indexed="8"/>
        <rFont val="Arial"/>
        <family val="2"/>
      </rPr>
      <t xml:space="preserve"> debt (excludes finance cost impacts)</t>
    </r>
  </si>
  <si>
    <t>Total change to gross debt</t>
  </si>
  <si>
    <t>Non-tax expenses</t>
  </si>
  <si>
    <r>
      <t xml:space="preserve">Select track number to apply </t>
    </r>
    <r>
      <rPr>
        <b/>
        <sz val="11"/>
        <color indexed="8"/>
        <rFont val="Calibri"/>
        <family val="2"/>
      </rPr>
      <t>→</t>
    </r>
  </si>
  <si>
    <r>
      <rPr>
        <i/>
        <sz val="11"/>
        <color indexed="8"/>
        <rFont val="Arial"/>
        <family val="2"/>
      </rPr>
      <t>less</t>
    </r>
    <r>
      <rPr>
        <sz val="11"/>
        <color indexed="8"/>
        <rFont val="Arial"/>
        <family val="2"/>
      </rPr>
      <t xml:space="preserve"> Tax expense</t>
    </r>
  </si>
  <si>
    <r>
      <rPr>
        <i/>
        <sz val="11"/>
        <color indexed="8"/>
        <rFont val="Arial"/>
        <family val="2"/>
      </rPr>
      <t>less</t>
    </r>
    <r>
      <rPr>
        <sz val="11"/>
        <color indexed="8"/>
        <rFont val="Arial"/>
        <family val="2"/>
      </rPr>
      <t xml:space="preserve"> Non-tax expenses</t>
    </r>
  </si>
  <si>
    <t>Closing NZSF balance</t>
  </si>
  <si>
    <t>Check components add up to closing balance</t>
  </si>
  <si>
    <t>TRACK 1</t>
  </si>
  <si>
    <t>Capital contribution/(withdrawal)</t>
  </si>
  <si>
    <t>Tax expense</t>
  </si>
  <si>
    <t>TRACK 2</t>
  </si>
  <si>
    <t>FISCAL FORECAST ADJUSTER</t>
  </si>
  <si>
    <t>Enter additions or subtractions in units of $ million in each year. If a revenue or expense type or allowance amount is to remain unchanged in any year, enter a zero for it in that year.</t>
  </si>
  <si>
    <t>Current forecast horizon</t>
  </si>
  <si>
    <t>Tax revenue ($ millions)</t>
  </si>
  <si>
    <t>Source deductions</t>
  </si>
  <si>
    <t>Other personal income tax</t>
  </si>
  <si>
    <t>Corporate tax</t>
  </si>
  <si>
    <t>Goods and services tax (GST</t>
  </si>
  <si>
    <t>Hypothecated transport taxes</t>
  </si>
  <si>
    <t>Other taxes</t>
  </si>
  <si>
    <t>Total tax revenue</t>
  </si>
  <si>
    <t>Benefits and transfers ($ millions)</t>
  </si>
  <si>
    <t>New Zealand Superannuation (NZS)</t>
  </si>
  <si>
    <t>Jobseeker support and Emergency benefit</t>
  </si>
  <si>
    <t>Supported living payment</t>
  </si>
  <si>
    <t>Sole parent support</t>
  </si>
  <si>
    <t>Working for Families tax credits</t>
  </si>
  <si>
    <t>Accommodation Assistance</t>
  </si>
  <si>
    <t>Supplementary benefits</t>
  </si>
  <si>
    <t>Student allowances</t>
  </si>
  <si>
    <t>KiwiSaver subsidies</t>
  </si>
  <si>
    <t>Total benefits and transfers</t>
  </si>
  <si>
    <t>Transport and communication expenses</t>
  </si>
  <si>
    <t>Forecast new operating and capital spending ($ millions)</t>
  </si>
  <si>
    <t>Forecast new operating spending (annual increment)</t>
  </si>
  <si>
    <t>Forecast new operating spending (total for year)</t>
  </si>
  <si>
    <t>Forecast new capital spending (annual increment)</t>
  </si>
  <si>
    <t>Forecast new capital spending (total for year)</t>
  </si>
  <si>
    <t>Calculated impacts on debt and finance costs</t>
  </si>
  <si>
    <r>
      <rPr>
        <sz val="11"/>
        <color indexed="8"/>
        <rFont val="Calibri"/>
        <family val="2"/>
      </rPr>
      <t>∆</t>
    </r>
    <r>
      <rPr>
        <sz val="11"/>
        <color indexed="8"/>
        <rFont val="Arial"/>
        <family val="2"/>
      </rPr>
      <t xml:space="preserve"> finance costs from non-finance cost impact on debt in year</t>
    </r>
  </si>
  <si>
    <r>
      <rPr>
        <sz val="11"/>
        <color indexed="8"/>
        <rFont val="Calibri"/>
        <family val="2"/>
      </rPr>
      <t>∆</t>
    </r>
    <r>
      <rPr>
        <sz val="11"/>
        <color indexed="8"/>
        <rFont val="Arial"/>
        <family val="2"/>
      </rPr>
      <t xml:space="preserve"> finance costs from finance cost impact on debt in year</t>
    </r>
  </si>
  <si>
    <t>Total change to debt-financing costs ($ millions)</t>
  </si>
  <si>
    <r>
      <t xml:space="preserve">Annual </t>
    </r>
    <r>
      <rPr>
        <sz val="11"/>
        <color indexed="8"/>
        <rFont val="Calibri"/>
        <family val="2"/>
      </rPr>
      <t>∆</t>
    </r>
    <r>
      <rPr>
        <sz val="11"/>
        <color indexed="8"/>
        <rFont val="Arial"/>
        <family val="2"/>
      </rPr>
      <t xml:space="preserve"> debt (includes finance cost impacts)</t>
    </r>
  </si>
  <si>
    <t>Total change to gross debt ($ millions)</t>
  </si>
  <si>
    <t>ALLOCATION OF OPERATING AND CAPITAL ALLOWANCES OVER FORECAST YEARS</t>
  </si>
  <si>
    <t>All monetary values, unless otherwise stated, are in units of billions of New Zealand dollars</t>
  </si>
  <si>
    <t>Forecast new operating spending (excludes multi-year decisions)</t>
  </si>
  <si>
    <t>Top-down expense adjustment</t>
  </si>
  <si>
    <t>Total unallocated new operating spending</t>
  </si>
  <si>
    <t>CORE CROWN EXPENSE CATEGORY</t>
  </si>
  <si>
    <t>Percentage</t>
  </si>
  <si>
    <t>Social security and welfare departmental and non-departmental</t>
  </si>
  <si>
    <t>Health (no top-down adjustment)</t>
  </si>
  <si>
    <t>Education (no top-down adjustment)</t>
  </si>
  <si>
    <t>Core government services</t>
  </si>
  <si>
    <t>Law and order (no top-down adjustment)</t>
  </si>
  <si>
    <t>Economic and industrial services</t>
  </si>
  <si>
    <t>Defence (no top-down adjustment)</t>
  </si>
  <si>
    <t>Heritage, culture and recreation</t>
  </si>
  <si>
    <t>Primary services</t>
  </si>
  <si>
    <t>Housing and community development</t>
  </si>
  <si>
    <t>Environmental protection</t>
  </si>
  <si>
    <t>Total core Crown expenditure allocation of operating allowances &amp; top-down adjustment</t>
  </si>
  <si>
    <t>Core Crown Education Expenditure Sub-groups</t>
  </si>
  <si>
    <t>Early childhood education</t>
  </si>
  <si>
    <t>Primary education</t>
  </si>
  <si>
    <t>Secondary education</t>
  </si>
  <si>
    <t>Tertiary funding excluding student allowances and student loans</t>
  </si>
  <si>
    <t>Departmental &amp; non-departmental expenses</t>
  </si>
  <si>
    <t>Total core Crown Education expenditure allocation</t>
  </si>
  <si>
    <t>The Financial Statements of the Government of New Zealand are now prepared under the Public Sector Public Benefit Entities (PBE) accounting standard.</t>
  </si>
  <si>
    <t>However prior to the fiscal year (year ended 30 June) 2014/15  these accounts were prepared using an International Financial Reporting Standards (IFRS) standard.</t>
  </si>
  <si>
    <t>Further changes to the measurement and reporting of fiscal data in the New Zealand government accounts occurred in 2019/20.</t>
  </si>
  <si>
    <t>As all fiscal data has not been backdated to the PBE standard only the main fiscal indicators reported in the drop-down box at the top of the main modelling worksheet are given in this worksheet.</t>
  </si>
  <si>
    <t>The nominal GDP divisor used in the main modelling worksheet has also been provided in this worksheet for these historical years.</t>
  </si>
  <si>
    <t>Fiscal Year (year from 1 July to the following 30 June)</t>
  </si>
  <si>
    <t>NOMINAL GDP (expenditure measure)</t>
  </si>
  <si>
    <t>Annual percentage growth</t>
  </si>
  <si>
    <t>MAIN FISCAL INDICATOR  ACTUAL OUTTURNS ($ billions)</t>
  </si>
  <si>
    <t>Total Crown OBEGAL</t>
  </si>
  <si>
    <t>As percentage of nominal GDP</t>
  </si>
  <si>
    <t>Total Crown OBEGAL excluding ACC</t>
  </si>
  <si>
    <t>Net debt</t>
  </si>
  <si>
    <t>Net debt (excluding NZS Fund)</t>
  </si>
  <si>
    <t>Net core Crown debt (excl. NZS Fund financial assets &amp; advances)</t>
  </si>
  <si>
    <t>Core Crown residual cash</t>
  </si>
  <si>
    <t>Core Crown revenue</t>
  </si>
  <si>
    <t>Core Crown expenses</t>
  </si>
  <si>
    <t>Core Crown operating balance</t>
  </si>
  <si>
    <t>Total Crown revenue</t>
  </si>
  <si>
    <t>Total Crown expenses</t>
  </si>
  <si>
    <t>Total Crown operating balance (excluding minority interests)</t>
  </si>
  <si>
    <t>Gross debt (core Crown)</t>
  </si>
  <si>
    <t>Core Crown tax revenue</t>
  </si>
  <si>
    <t>Total Crown tax revenue</t>
  </si>
  <si>
    <t>Total Crown net worth</t>
  </si>
  <si>
    <t>Total Crown net worth attributable to the Crown</t>
  </si>
  <si>
    <t>Core Crown net worth</t>
  </si>
  <si>
    <t>Total Crown borrowings</t>
  </si>
  <si>
    <t>CORE CROWN EXPENSES ($ billions)</t>
  </si>
  <si>
    <t>Social security and welfare</t>
  </si>
  <si>
    <t>Law and order</t>
  </si>
  <si>
    <t>Transport and communication</t>
  </si>
  <si>
    <t>Defence</t>
  </si>
  <si>
    <t>Government Superannuation Fund (GSF) pension expense</t>
  </si>
  <si>
    <t>Other</t>
  </si>
  <si>
    <t>Finance costs</t>
  </si>
  <si>
    <t>Total core Crown expenses</t>
  </si>
  <si>
    <t>ECONOMIC HISTORICAL AND FORECAST DATA</t>
  </si>
  <si>
    <t>Historical and forecast data in this worksheet are produced by the Treasury. They are used in the main modelling worksheets of the Fiscal Strategy Model.</t>
  </si>
  <si>
    <t>2004/05</t>
  </si>
  <si>
    <t xml:space="preserve">Real Gross Domestic Product (GDP) ($09/10 billion) (production, base is 2009/10) </t>
  </si>
  <si>
    <t>Nominal GDP ($ billion) (expenditure measure)</t>
  </si>
  <si>
    <t xml:space="preserve">Labour Force (millions) (aggregate) </t>
  </si>
  <si>
    <t>Working-Age Population (millions) (aged 15 years &amp; over)</t>
  </si>
  <si>
    <t>Total Population (millions)</t>
  </si>
  <si>
    <t>Unemployment Rate (percentage of labour force)</t>
  </si>
  <si>
    <r>
      <t xml:space="preserve">Average weekly hours worked (Total hours worked </t>
    </r>
    <r>
      <rPr>
        <b/>
        <sz val="11"/>
        <color indexed="8"/>
        <rFont val="Calibri"/>
        <family val="2"/>
      </rPr>
      <t>÷</t>
    </r>
    <r>
      <rPr>
        <b/>
        <sz val="11"/>
        <color indexed="8"/>
        <rFont val="Arial"/>
        <family val="2"/>
      </rPr>
      <t xml:space="preserve"> total employed labour force)</t>
    </r>
  </si>
  <si>
    <t>Labour productivity annual growth (percentage) (hours worked measure)</t>
  </si>
  <si>
    <t>Consumers Price Index (CPI)</t>
  </si>
  <si>
    <t>Average hourly wage growth (percentage) (ordinary time measure)</t>
  </si>
  <si>
    <t>Government 10-year bond annual rate of return (percentage) (average of 4 quarters)</t>
  </si>
  <si>
    <t>Net migration (thousands)</t>
  </si>
  <si>
    <t>Gross December quarter average ordinary time weekly earnings (AOTWE)</t>
  </si>
  <si>
    <t>Net of tax &amp; ACC Earner levy average ordinary time weekly earnings ($ per week)</t>
  </si>
  <si>
    <t>Gross per person weekly couple rate of New Zealand Superannuation ($ per week)</t>
  </si>
  <si>
    <t>Net per person weekly couple rate of New Zealand Superannuation ($ per week)</t>
  </si>
  <si>
    <t>ACTUAL FISCAL OUTTURNS FROM 2009/10 UNTIL 2024/25</t>
  </si>
  <si>
    <t>ECONOMIC AND FISCAL PROJECTION ASSUMPTIONS</t>
  </si>
  <si>
    <t>This worksheet is where the economic and fiscal modelling assumptions are entered. They are used in the main modelling worksheets of the Fiscal Strategy Model.</t>
  </si>
  <si>
    <t>Assumptions are picked up in a modelling worksheet by formulae connected to the scenario name used at the top of the "set of assumptions" column in this worksheet.</t>
  </si>
  <si>
    <t>Unless specifically stated otherwise, all references in this worksheet to GDP should be taken to mean the current price variable Nominal Gross Domestic Product (GDP).</t>
  </si>
  <si>
    <t>SCENARIO NAME</t>
  </si>
  <si>
    <t>Option</t>
  </si>
  <si>
    <t>Scenario1</t>
  </si>
  <si>
    <t>Scenario2</t>
  </si>
  <si>
    <t>Scenario3</t>
  </si>
  <si>
    <t>Scenario4</t>
  </si>
  <si>
    <t>First Projected Year (key variable, must set to year immediately after last forecast year)</t>
  </si>
  <si>
    <t>Zero marker (set to zero to avoid using any pasted in numbers in modelling worksheets)</t>
  </si>
  <si>
    <t>ECONOMIC ASSUMPTIONS</t>
  </si>
  <si>
    <t>The following are the economic variables most often altered in scenarios. The values used are the desired long-run stable levels or annual growth rates.</t>
  </si>
  <si>
    <t>Average weekly hours worked (hours per week)</t>
  </si>
  <si>
    <t>Labour productivity annual growth (percentage)</t>
  </si>
  <si>
    <t>Consumers Price Index (CPI) annual growth (percentage)</t>
  </si>
  <si>
    <t>Government 10-year bond annual rate of return (percentage)</t>
  </si>
  <si>
    <t>Number of projected years to attain long-run stable assumptions</t>
  </si>
  <si>
    <t>Unemployment Rate</t>
  </si>
  <si>
    <t>Average weekly hours worked (hours per week per year)</t>
  </si>
  <si>
    <r>
      <t>Labour productivity growth</t>
    </r>
    <r>
      <rPr>
        <sz val="11"/>
        <color indexed="8"/>
        <rFont val="Arial"/>
        <family val="2"/>
      </rPr>
      <t xml:space="preserve"> (percentage points per year)</t>
    </r>
  </si>
  <si>
    <t>Consumers Price Index growth (percentage points per year)</t>
  </si>
  <si>
    <t>Government 10-year bond annual rate of return (percentage points per year)</t>
  </si>
  <si>
    <t>Number of years for effective interest rate to align with government 10-year bond rate</t>
  </si>
  <si>
    <t>FISCAL ASSUMPTIONS</t>
  </si>
  <si>
    <t>Fiscal drag modelling can be applied to source deductions and other personal income tax types. For the number of years that it is selected to apply, these taxes have their</t>
  </si>
  <si>
    <t>nominal wage growth driver multiplied by the fiscal drag elasticity. In later years the fiscal drag elasticity will just be 1, meaning fiscal drag is effectively not applied then.</t>
  </si>
  <si>
    <t>Number of projected years to apply fiscal drag elasticity greater than 1.</t>
  </si>
  <si>
    <t>Fiscal drag elasticity applied to nominal wage growth for source deductions and other personal income tax revenue</t>
  </si>
  <si>
    <t>Corporate taxes, consolidated GDT and hypothecated transport taxes transition to stable percentages of GDP based on their average percentages over</t>
  </si>
  <si>
    <t>Number of years used to calculate average for stable percentage of GDP for each tax type</t>
  </si>
  <si>
    <t>Transition rate from end-of-forecast to stable percentage of GDP for tax types (percentage points per year)</t>
  </si>
  <si>
    <t>In years where fiscal drag modelling is applied to net average ordinary time weekly earnings (AOTWE) that index NZS rates it slows its growth relative to that of gross AOTWE.</t>
  </si>
  <si>
    <t>Number of projected years to apply fiscal drag modelling in calculating net AOTWE used in NZS rate indexation</t>
  </si>
  <si>
    <t>Percentage of net ordinary time weekly earnings that serves as NZS wage floor</t>
  </si>
  <si>
    <t>Percentage of net ordinary time weekly earnings that serves as NZS wage ceiling</t>
  </si>
  <si>
    <t>Number of years used to calculate average for stable percentage of PP&amp;E assets for each depreciation expense type</t>
  </si>
  <si>
    <t>The first projected year value and the ensuing annual growth rate for the annual increments to both operating and capital allowances are set here.</t>
  </si>
  <si>
    <t>New operating spending annual increment in first projected year ($ billion)</t>
  </si>
  <si>
    <t>Annual growth rate of annual increment to new operating spending in later projected years</t>
  </si>
  <si>
    <t>New capital spending annual increment in first projected year ($ billion)</t>
  </si>
  <si>
    <t>Annual growth rate of annual increment to new capital spending in later projected years</t>
  </si>
  <si>
    <t>Remaining unallocated capital contingencies beyond forecast years ($ billion)</t>
  </si>
  <si>
    <t>New Zealand Superannuation Fund (NZSF) parameters to model interaction of</t>
  </si>
  <si>
    <t>NZSF revenue, assets &amp; liabilities with those of the rest of the core Crown</t>
  </si>
  <si>
    <t>Percentage of NZSF revenue received as interest</t>
  </si>
  <si>
    <t>Percentage of NZSF revenue received as dividends (non-interest/dividend received as other)</t>
  </si>
  <si>
    <t>Percentage of NZSF financial assets excluding receivables and advances as cash and cash equivalents</t>
  </si>
  <si>
    <t>Percentage of NZSF financial assets excluding receivables and advances as share investrnents</t>
  </si>
  <si>
    <t>Percentage of NZSF financial assets excluding receivables and advances as investments in controlled enterprises</t>
  </si>
  <si>
    <t>Percentage of NZSF financial liabilities as borrowings (debt)</t>
  </si>
  <si>
    <t>Assumptions related to allocation of Operating and Capital Allowances and bottom-up projections</t>
  </si>
  <si>
    <t>Allocate operating allowances and bottom-up expense adjustments over forecast years</t>
  </si>
  <si>
    <t>No</t>
  </si>
  <si>
    <t>Yes</t>
  </si>
  <si>
    <t>Allocate operating allowances and bottom-up expense adjustments over projected years</t>
  </si>
  <si>
    <t>Apply bottom-up growth to various expense categories in projected years</t>
  </si>
  <si>
    <t>Number of years used to calculate average for stable percentage of GDP for each bottom-up expense type</t>
  </si>
  <si>
    <t>Transition rate from end-of-forecast to stable percentage of GDP for bottom-up expense types (percentage points per year)</t>
  </si>
  <si>
    <t>Health residual growth factor</t>
  </si>
  <si>
    <t>Education residual growth factor</t>
  </si>
  <si>
    <r>
      <t xml:space="preserve">Key fiscal variable selected from drop-down list box </t>
    </r>
    <r>
      <rPr>
        <b/>
        <sz val="12"/>
        <color indexed="8"/>
        <rFont val="Calibri"/>
        <family val="2"/>
      </rPr>
      <t>↓</t>
    </r>
  </si>
  <si>
    <t>Net core Crown debt excl. NZSF &amp; advances (excludes Crown entity debt)</t>
  </si>
  <si>
    <t>Net debt excluding New Zealand Superannuation Fund</t>
  </si>
  <si>
    <t>Core Crown primary balance</t>
  </si>
  <si>
    <t>FISCAL HISTORICAL AND FORECAST DATA</t>
  </si>
  <si>
    <t>Historical data sourced from Treasury past publications of Financial Statements of the Government of New Zealand for the Year Ended 30 June</t>
  </si>
  <si>
    <t xml:space="preserve">Forecast data sourced from Treasury publication of latest Economic &amp; Fiscal Update </t>
  </si>
  <si>
    <t>STATEMENT OF FINANCIAL PERFORMANCE</t>
  </si>
  <si>
    <t>Taxation revenue</t>
  </si>
  <si>
    <t>NAC</t>
  </si>
  <si>
    <t>Other sovereign revenue</t>
  </si>
  <si>
    <t>UIM</t>
  </si>
  <si>
    <t>Sales of goods and services</t>
  </si>
  <si>
    <t>Interest revenue</t>
  </si>
  <si>
    <t>Other revenue</t>
  </si>
  <si>
    <t>Total revenue (excluding gains)</t>
  </si>
  <si>
    <t>Transfer payments and subsidies</t>
  </si>
  <si>
    <t>Personnel expenses</t>
  </si>
  <si>
    <t>Depreciation</t>
  </si>
  <si>
    <t>Other operating expenses</t>
  </si>
  <si>
    <t>Interest expenses</t>
  </si>
  <si>
    <t>Insurance expenses</t>
  </si>
  <si>
    <t>Forecast new operating spending</t>
  </si>
  <si>
    <t>Total expenses (excluding losses)</t>
  </si>
  <si>
    <t>Net gains/(losses) on financial instruments</t>
  </si>
  <si>
    <t>Net gains/(losses) on non-financial instruments</t>
  </si>
  <si>
    <t>Total gains/(losses)</t>
  </si>
  <si>
    <t>Net surplus/(deficit) from associates and joint ventures</t>
  </si>
  <si>
    <t>Less Minority share of operating balance</t>
  </si>
  <si>
    <t>Operating balance (excludes minority interests)</t>
  </si>
  <si>
    <t>CHECK: Oper Bal (ex MI) = Rev - Exps + Gains (ex MI) + Net surplus - MI share</t>
  </si>
  <si>
    <t>Operating balance (includes minority interests)</t>
  </si>
  <si>
    <t>Minority interest share of net gains/(losses)</t>
  </si>
  <si>
    <t>Operating balance before gains/(losses) [OBEGAL] (excludes minority interests)</t>
  </si>
  <si>
    <t>CHECK: OBEGAL (ex MI) = Op Bal (ex MI) - Tot gain/(loss) - Net surp + MI share gn/(ls)</t>
  </si>
  <si>
    <t>ACC revenue</t>
  </si>
  <si>
    <t>ACC expenses</t>
  </si>
  <si>
    <t>Total Crown OBEGAL excluding the ACC</t>
  </si>
  <si>
    <t>CHECK: OBEGAL excl. ACC = OBEGAL - (ACC revenue - ACC expenses)</t>
  </si>
  <si>
    <t>Total Crown Expenses - By functional classification</t>
  </si>
  <si>
    <t>Total Crown expenses (includes Forecast new operating spend &amp; Top-down adjustment)</t>
  </si>
  <si>
    <t>Core Crown Expenses - By functional classification</t>
  </si>
  <si>
    <t>Core Crown expenses (includes Forecast new operating spend &amp; Top-down adjustment)</t>
  </si>
  <si>
    <t>STATEMENT OF CASH FLOWS</t>
  </si>
  <si>
    <t>Taxation receipts</t>
  </si>
  <si>
    <t>Other sovereign receipts</t>
  </si>
  <si>
    <t>Interest receipts</t>
  </si>
  <si>
    <t>Other operating receipts</t>
  </si>
  <si>
    <t>Total cash provided from operations</t>
  </si>
  <si>
    <t>Personnel and operating payments</t>
  </si>
  <si>
    <t>Interest payments</t>
  </si>
  <si>
    <t>Cash disbursed to ops (includes Forecast new operating spend &amp; Top-down adjustmt)</t>
  </si>
  <si>
    <t>Net cash flows from operations</t>
  </si>
  <si>
    <t>Net sales/(purchase) of physical assets</t>
  </si>
  <si>
    <t>Net sales/(purchase) of shares and other securities</t>
  </si>
  <si>
    <t>Net sales/(purchase) of intangible assets</t>
  </si>
  <si>
    <t xml:space="preserve">Net repayment/(issue) of advances </t>
  </si>
  <si>
    <t>Net divestment/(acquisition) of investments in associates</t>
  </si>
  <si>
    <t>Net cash flow from investing (incl annual Forecast new capital spend &amp; Top-down adj)</t>
  </si>
  <si>
    <t>Net cash flows from operating and investing activities</t>
  </si>
  <si>
    <t>Issues of circulating currency</t>
  </si>
  <si>
    <t xml:space="preserve">Net issue/(repayment) of government stock </t>
  </si>
  <si>
    <t xml:space="preserve">Net issue/(repayment) of foreign-currency borrowings </t>
  </si>
  <si>
    <t xml:space="preserve">Net issue/(repayment) of other New Zealand dollar borrowings </t>
  </si>
  <si>
    <t>Net issue/(purchase) of equity</t>
  </si>
  <si>
    <t>Dividends received from/(paid to) minority interests</t>
  </si>
  <si>
    <t>Net cash flows from financing activities</t>
  </si>
  <si>
    <t>Net movement in cash</t>
  </si>
  <si>
    <t>Foreign exchange gains/(losses) on opening cash balance</t>
  </si>
  <si>
    <t>CHECK: Annual change in Cash asset =Net movement in cash +Forex gains/(losses)</t>
  </si>
  <si>
    <t>Reconciliation: Between Net cash flows from operations and the Operating balance</t>
  </si>
  <si>
    <t>Net cash flows from operations plus Total gains/(losses) and Other interests</t>
  </si>
  <si>
    <t>Amortisation and net impairment of non-financial assets</t>
  </si>
  <si>
    <t>Cost of concessionary lending</t>
  </si>
  <si>
    <t>Impairment on financial assets (excludes receivables)</t>
  </si>
  <si>
    <t>Change in accumulating insurance expenses</t>
  </si>
  <si>
    <t>Change in accumulating pension expenses</t>
  </si>
  <si>
    <t>Total other non-cash items (includes Depreciation &amp; amortisation)</t>
  </si>
  <si>
    <t>Increase/(decrease) in receivables</t>
  </si>
  <si>
    <t>Increase/(decrease) in accrued interest</t>
  </si>
  <si>
    <t>Increase/(decrease) in inventories</t>
  </si>
  <si>
    <t>Increase/(decrease) in prepayments</t>
  </si>
  <si>
    <t>Decrease/(increase) in deferred revenue</t>
  </si>
  <si>
    <t>Decrease/(increase) in payables/provisions</t>
  </si>
  <si>
    <t>Total movements in working capital</t>
  </si>
  <si>
    <t>CHECK: Op Bal (excl Min Ints) = Op cash +Gains +Non-cash items +Movements in WC</t>
  </si>
  <si>
    <t>STATEMENT OF FINANCIAL POSITION</t>
  </si>
  <si>
    <t>Cash and cash equivalents</t>
  </si>
  <si>
    <t>Receivables</t>
  </si>
  <si>
    <t>Marketable securities, deposits and derivatives in gain</t>
  </si>
  <si>
    <t>Share investments</t>
  </si>
  <si>
    <t>Advances</t>
  </si>
  <si>
    <t>Investments in controlled enterprises</t>
  </si>
  <si>
    <t>Inventory</t>
  </si>
  <si>
    <t>Other assets</t>
  </si>
  <si>
    <t xml:space="preserve">Property, plant and equipment </t>
  </si>
  <si>
    <t>Equity accounted investments</t>
  </si>
  <si>
    <t>Intangible assets and goodwill</t>
  </si>
  <si>
    <t>Forecast for new capital spending</t>
  </si>
  <si>
    <t>Top-down capital adjustment</t>
  </si>
  <si>
    <t>Total assets</t>
  </si>
  <si>
    <t>Issued currency</t>
  </si>
  <si>
    <t>Payables</t>
  </si>
  <si>
    <t>Deferred revenue</t>
  </si>
  <si>
    <t>Borrowings</t>
  </si>
  <si>
    <t>Insurance liabilities</t>
  </si>
  <si>
    <t>Retirement plan liabilities</t>
  </si>
  <si>
    <t>Provisions</t>
  </si>
  <si>
    <t>Total liabilities</t>
  </si>
  <si>
    <t>Total net worth</t>
  </si>
  <si>
    <t>CHECK: Net worth =Total assets - Total liabilities</t>
  </si>
  <si>
    <t>Net worth attributable to minority interest</t>
  </si>
  <si>
    <t>STATEMENT OF BORROWINGS</t>
  </si>
  <si>
    <t>Core Crown borrowings</t>
  </si>
  <si>
    <t>Core Crown unsettled purchases of securities</t>
  </si>
  <si>
    <t>Less New Zealand Superannuation Fund (NZSF) borrowings</t>
  </si>
  <si>
    <t>Less Core Crown financial assets (excluding receivables)</t>
  </si>
  <si>
    <t>Less Core Crown unsettled sales of securities</t>
  </si>
  <si>
    <t>NZSF financial assets (excl. receivables) &amp; net unsettled sales/(purchases) of securities</t>
  </si>
  <si>
    <t>Core Crown advances (excluding NZSF advances)</t>
  </si>
  <si>
    <t>Net core Crown debt excluding NZSF &amp; advances</t>
  </si>
  <si>
    <t>Crown entity borrowings</t>
  </si>
  <si>
    <t>Less Kiwi Group Capital Ltd borrowings</t>
  </si>
  <si>
    <t>Net debt excluding NZSF</t>
  </si>
  <si>
    <t>CHECK: Net debt = Value calculated from components</t>
  </si>
  <si>
    <t>Reserve Bank (RB) settlement cash and bills</t>
  </si>
  <si>
    <t>STATEMENT OF SEGMENTS - CORE CROWN SECTION</t>
  </si>
  <si>
    <t>CHECK: CC revenue =Tax +Other sovereign +Sales of g&amp;s +Interest +Other revenue</t>
  </si>
  <si>
    <t>Social assistance and official development assistance</t>
  </si>
  <si>
    <t xml:space="preserve">Personnel expenses </t>
  </si>
  <si>
    <t xml:space="preserve">Other operating expenses </t>
  </si>
  <si>
    <t>CHECK: CC exps =SA&amp;ODA +Persnl +Other op +Int +Insur +Fcst new op spend &amp;T-d adj</t>
  </si>
  <si>
    <t>Total gains/(losses) and other items</t>
  </si>
  <si>
    <t>CHECK: CC op balance =Revenue -Expenses +Total gains/(losses) +Net surp/(def) A&amp;JV</t>
  </si>
  <si>
    <t>Inventory and other assets</t>
  </si>
  <si>
    <t>Core Crown assets</t>
  </si>
  <si>
    <t>CHECK: CC assets =Cash+Rec+MSD+SI+Adv+PPE+EAI+IG+IO+Fcst new cap sp &amp;T-d adj</t>
  </si>
  <si>
    <t>Core Crown liabilities</t>
  </si>
  <si>
    <t>CHECK: CC liabilities =Issued currency +Borrowings +Paybls +Def rev +IL +RPL +Provs</t>
  </si>
  <si>
    <t>STATEMENT OF SEGMENTS -CROWN ENTITY (CE) STATE-OWNED ENTERPRISE (SOE)</t>
  </si>
  <si>
    <t>CE insurance expenses</t>
  </si>
  <si>
    <t>SOE insurance expenses (includes any inter-segment eliminations)</t>
  </si>
  <si>
    <t>CHECK: Insurance expenses in Statement of Financial Performance =Sum of segments</t>
  </si>
  <si>
    <t>CE social security and welfare</t>
  </si>
  <si>
    <t>CE health expenses</t>
  </si>
  <si>
    <t>CE education expenses</t>
  </si>
  <si>
    <t>CE transport and communications expenses</t>
  </si>
  <si>
    <t>SOE transport and communications expenses</t>
  </si>
  <si>
    <t>CE other non-finance expenses (excluding welfare, health, education &amp; transport)</t>
  </si>
  <si>
    <t>SOE other non-finance expenses (excluding welfare, health, education &amp; transport)</t>
  </si>
  <si>
    <t>Inter-segment elimination for other non-finance exps (excl welfare, health, education &amp; transport)</t>
  </si>
  <si>
    <t>CE marketable securities, deposits and derivatives in gain</t>
  </si>
  <si>
    <t>SOE marketable securities, deposits and derivatives in gain</t>
  </si>
  <si>
    <t>CE share investments</t>
  </si>
  <si>
    <t>SOE share investments</t>
  </si>
  <si>
    <t>NOTES TO THE FINANCIAL STATEMENTS</t>
  </si>
  <si>
    <t>Taxation revenue (accrual)</t>
  </si>
  <si>
    <t>Other personal income tax revenue</t>
  </si>
  <si>
    <t>Total goods and services tax (GST)</t>
  </si>
  <si>
    <t>Remaining tax types</t>
  </si>
  <si>
    <t>CHECK: Tax revenue in Statement of Financial Performance =Sum of tax types</t>
  </si>
  <si>
    <t>Other sovereign revenue (accrual)</t>
  </si>
  <si>
    <t>Accident Compensation Corporation (ACC) levies</t>
  </si>
  <si>
    <t>Emissions Trading Scheme (ETS) revenue</t>
  </si>
  <si>
    <t>Remaining other sovereign revenue types</t>
  </si>
  <si>
    <t>CHECK: Other sovereign rev in Statement of Financial Performance =Sum of OSR types</t>
  </si>
  <si>
    <t>Crown entities</t>
  </si>
  <si>
    <t>State-owned Enterprises</t>
  </si>
  <si>
    <t>Inter-segment eliminations</t>
  </si>
  <si>
    <t>CHECK: Interest revenue in Statement of Financial Performance =Sum of segments</t>
  </si>
  <si>
    <t>Dividend revenue (Total Crown)</t>
  </si>
  <si>
    <t>Core Crown</t>
  </si>
  <si>
    <t>CHECK: Total Crown Dividend revenue from Note =Sum of segments</t>
  </si>
  <si>
    <t>New Zealand Superannuation</t>
  </si>
  <si>
    <t>KiwiSaver</t>
  </si>
  <si>
    <t>Official development assistance</t>
  </si>
  <si>
    <t>CHECK: Transfer pmts &amp; subsidies in Statement of Financial Performance =Sum of types</t>
  </si>
  <si>
    <t>CHECK: Personnel expenses in Statement of Financial Performance =Sum of segments</t>
  </si>
  <si>
    <t>CHECK: Depreciation in Statement of Financial Performance =Sum of segments</t>
  </si>
  <si>
    <t>Amortisation</t>
  </si>
  <si>
    <t>Total Crown Amortisation</t>
  </si>
  <si>
    <t>Other Operating expenses (excludes Depreciation)</t>
  </si>
  <si>
    <t>CHECK: Other Oper expenses in Statement of Financial Performance =Sum of segments</t>
  </si>
  <si>
    <t>Finance costs (Interest expenses)</t>
  </si>
  <si>
    <t>CHECK: Interest expenses in Statement of Financial Performance =Sum of segments</t>
  </si>
  <si>
    <t>Accident Compensation Corporation (ACC)</t>
  </si>
  <si>
    <t>Earthquake Commission (EQC)</t>
  </si>
  <si>
    <t>Other (includes inter-segment eliminations)</t>
  </si>
  <si>
    <t>CHECK: Insurance expenses in Statement of Financial Performance =Sum of types</t>
  </si>
  <si>
    <t>Forecast new operating spending for second forecast year</t>
  </si>
  <si>
    <t>Forecast new operating spending for third forecast year</t>
  </si>
  <si>
    <t>Forecast new operating spending for fourth forecast year</t>
  </si>
  <si>
    <t>Forecast new operating spending for fifth forecast year</t>
  </si>
  <si>
    <t>CHECK: Forecast new oper spend in Statement of Financial Performance =Sum of years</t>
  </si>
  <si>
    <t>Forecast new capital spending</t>
  </si>
  <si>
    <t>Unallocated contingencies</t>
  </si>
  <si>
    <t>Forecast new capital spending for second forecast year</t>
  </si>
  <si>
    <t>Forecast new capital spending for third forecast year</t>
  </si>
  <si>
    <t>Forecast new capital spending for fourth forecast year</t>
  </si>
  <si>
    <t>Forecast new capital spending for fifth forecast year</t>
  </si>
  <si>
    <t>CHECK: Forecast new capital spending in Statement of Financial Position =Sum of years</t>
  </si>
  <si>
    <t>Gains and losses on financial instruments</t>
  </si>
  <si>
    <t>State-owned enterprises</t>
  </si>
  <si>
    <t>CHECK: Gain/(loss) on fncl ins in Statement of Financial Performance =Sum of segments</t>
  </si>
  <si>
    <t>Gains and losses on non-financial instruments</t>
  </si>
  <si>
    <t>CHECK: Gain/(loss) on n-f ins in Statement of Financial Performance =Sum of segments</t>
  </si>
  <si>
    <t>Operating balance (excluding Minority interests)</t>
  </si>
  <si>
    <t>CHECK: Oper bal (excl Min ints) in Statement of Financial Performance=Sum of segments</t>
  </si>
  <si>
    <t>Receivables from Financial assets note</t>
  </si>
  <si>
    <t>Tax receivables</t>
  </si>
  <si>
    <t>Trade and other receivables</t>
  </si>
  <si>
    <t>CHECK: Receivables in Statement of Financial Position =Sum of Tax &amp; Trade versions</t>
  </si>
  <si>
    <t>Student Loans and Kiwibank mortgages from Financial assets note</t>
  </si>
  <si>
    <t>Kiwibank mortgages</t>
  </si>
  <si>
    <t>Less initial write-down to fair value</t>
  </si>
  <si>
    <t>Less Repayments made during the year</t>
  </si>
  <si>
    <t>Gains/(losses) and (Impairment)/reversal of impairment</t>
  </si>
  <si>
    <t>Closing book value</t>
  </si>
  <si>
    <t>CHECK: Student Loans in Financial assets note =Closing book value</t>
  </si>
  <si>
    <t>Property, plant and equipment (P,P&amp;E)</t>
  </si>
  <si>
    <t>CHECK: Property, plant &amp; equipmt in Statement of Financial Position =Sum of segments</t>
  </si>
  <si>
    <t>Schedule of movements</t>
  </si>
  <si>
    <t>Additions</t>
  </si>
  <si>
    <t>Disposals</t>
  </si>
  <si>
    <t>Net revaluations</t>
  </si>
  <si>
    <t>Other (mainly transfers to/from other asset categories)</t>
  </si>
  <si>
    <t>Closing balance of cost or valuation</t>
  </si>
  <si>
    <t>Eliminated on disposal</t>
  </si>
  <si>
    <t>Eliminated on revaluation</t>
  </si>
  <si>
    <t>Impairment losses charged to operating balance</t>
  </si>
  <si>
    <t>Depreciation expense</t>
  </si>
  <si>
    <t>Total accumulated depreciation and impairment</t>
  </si>
  <si>
    <t>CHECK: P,P&amp;E in Statement of Financial Position =Closing balance - Accum deprc &amp; impt</t>
  </si>
  <si>
    <t>CHECK: Intangible assets &amp;goodwill in Statement of Financial Position =Sum of segments</t>
  </si>
  <si>
    <t>New Zealand Superannuation Fund (NZSF)</t>
  </si>
  <si>
    <t>Less current tax expense</t>
  </si>
  <si>
    <t>Less other expenses</t>
  </si>
  <si>
    <t>Add gains/(losses)</t>
  </si>
  <si>
    <t>Gross capital contribution from the Crown</t>
  </si>
  <si>
    <t>Closing net worth</t>
  </si>
  <si>
    <t>Financial assets</t>
  </si>
  <si>
    <t>Financial liabilities</t>
  </si>
  <si>
    <t>Net other assets</t>
  </si>
  <si>
    <t>CHECK: Closing net worth =Sum of financial assets less liabilities and net other assets</t>
  </si>
  <si>
    <t>Accounts payable</t>
  </si>
  <si>
    <t>Taxes repayable</t>
  </si>
  <si>
    <t>CHECK: Payables in Statement of Financial Position =Sum of types</t>
  </si>
  <si>
    <t>Emissions Trading Scheme (ETS)</t>
  </si>
  <si>
    <t>ETS auction units</t>
  </si>
  <si>
    <t>ETS revenue</t>
  </si>
  <si>
    <t>ETS expenses</t>
  </si>
  <si>
    <t>ETS gains/(losses)</t>
  </si>
  <si>
    <t>ETS other movements</t>
  </si>
  <si>
    <t>CHECK: Closing provision = Opening + auction units - rev + exps - gains + oth mvts</t>
  </si>
  <si>
    <t>Other (includes inter-segment elimination)</t>
  </si>
  <si>
    <t>CHECK: Insurance liabilities in Statement of Financial Position =Sum of types</t>
  </si>
  <si>
    <t>Core Crown (excluding NZSF) residual cash</t>
  </si>
  <si>
    <t>Tax receipts</t>
  </si>
  <si>
    <t>Sales of goods and services and other receipts</t>
  </si>
  <si>
    <t>Less Transfer payments and subsidies</t>
  </si>
  <si>
    <t>Less Personnel and operating costs</t>
  </si>
  <si>
    <t>Less Finance costs</t>
  </si>
  <si>
    <t>Net core Crown operating cash flows  (incl Forecast new oper spend &amp; Top-down adjust)</t>
  </si>
  <si>
    <t>Net sale/(purchase) of physical assets</t>
  </si>
  <si>
    <t>Net repayment/(issue) of advances</t>
  </si>
  <si>
    <t>Net sale/(purchase) of investments</t>
  </si>
  <si>
    <t>Net CC capital cash flows (incl NZSF contrb, ann. Fcast new cap spend &amp; T-d adjust)</t>
  </si>
  <si>
    <t>Core Crown Residual cash surplus/(deficit)</t>
  </si>
  <si>
    <t>CHECK: Residual cash =Sum of Core Crown operating and capital cash flows</t>
  </si>
  <si>
    <t>Total borrowing cash flows</t>
  </si>
  <si>
    <t>Net sale/(purchase) of marketable securities and deposits</t>
  </si>
  <si>
    <t>Decrease/(increase) in cash</t>
  </si>
  <si>
    <t>Total investing cash flows (incl issues of circ currency from Statement of Cash Flows)</t>
  </si>
  <si>
    <t>Residual cash deficit/(surplus) funding or investing</t>
  </si>
  <si>
    <t>Core Crown education expenses</t>
  </si>
  <si>
    <t>Student Allowances</t>
  </si>
  <si>
    <t>Student Loans write-downs</t>
  </si>
  <si>
    <t>Departmental &amp; non-departmental expenses (includes temporary covid spending)</t>
  </si>
  <si>
    <t>CHECK: Total = Core Crown education</t>
  </si>
  <si>
    <r>
      <t xml:space="preserve">SCENARIO NAME SELECTED IN </t>
    </r>
    <r>
      <rPr>
        <b/>
        <i/>
        <sz val="11"/>
        <color indexed="8"/>
        <rFont val="Arial"/>
        <family val="2"/>
      </rPr>
      <t>ASSUMPTIONS</t>
    </r>
    <r>
      <rPr>
        <b/>
        <sz val="11"/>
        <color indexed="8"/>
        <rFont val="Arial"/>
        <family val="2"/>
      </rPr>
      <t xml:space="preserve"> WORKSHEET WRITTEN HERE </t>
    </r>
    <r>
      <rPr>
        <b/>
        <sz val="11"/>
        <color indexed="8"/>
        <rFont val="Calibri"/>
        <family val="2"/>
      </rPr>
      <t>→</t>
    </r>
  </si>
  <si>
    <r>
      <rPr>
        <i/>
        <sz val="11"/>
        <color indexed="8"/>
        <rFont val="Calibri"/>
        <family val="2"/>
      </rPr>
      <t>←</t>
    </r>
    <r>
      <rPr>
        <i/>
        <sz val="11"/>
        <color indexed="8"/>
        <rFont val="Arial"/>
        <family val="2"/>
      </rPr>
      <t xml:space="preserve"> This number is calculated from Scenario name entry and used in formulae throughout model</t>
    </r>
  </si>
  <si>
    <t>Outturn</t>
  </si>
  <si>
    <r>
      <t xml:space="preserve">Year </t>
    </r>
    <r>
      <rPr>
        <b/>
        <sz val="11"/>
        <color indexed="12"/>
        <rFont val="Calibri"/>
        <family val="2"/>
      </rPr>
      <t>↓</t>
    </r>
  </si>
  <si>
    <t>Forecast years are shaded red</t>
  </si>
  <si>
    <t>Projected years are shaded black</t>
  </si>
  <si>
    <t>2023/25</t>
  </si>
  <si>
    <t>Key fiscal indicator displayed as percentage of nominal GDP</t>
  </si>
  <si>
    <t>ECONOMIC OUTTURNS, FORECASTS AND PROJECTIONS</t>
  </si>
  <si>
    <t>Gross Domestic Product (GDP) measures</t>
  </si>
  <si>
    <t xml:space="preserve">Real GDP (production measure, in 2009/10 dollars) </t>
  </si>
  <si>
    <t>Nominal GDP (expenditure measure)</t>
  </si>
  <si>
    <t>Labour Force and Demographic measures</t>
  </si>
  <si>
    <t xml:space="preserve">Labour Force (LF) (millions) (aggregate) </t>
  </si>
  <si>
    <t>Working-Age Population (WAP) (millions) (aged 15 years &amp; over)</t>
  </si>
  <si>
    <t>Aggregate Labour Force Participation Rate (LFPR) (LF as percentage of WAP)</t>
  </si>
  <si>
    <t>Price measures</t>
  </si>
  <si>
    <t>Consumers Price Index (CPI) (June quarter index number)</t>
  </si>
  <si>
    <t>FISCAL OUTTURNS, FORECASTS AND PROJECTIONS</t>
  </si>
  <si>
    <t>Statement of Financial Performance</t>
  </si>
  <si>
    <t>Total Crown revenue (excluding Gains)</t>
  </si>
  <si>
    <t>Total Crown expenses (excluding Losses)</t>
  </si>
  <si>
    <t>Total Crown total gains/(losses)</t>
  </si>
  <si>
    <t>Minority interest (MI) share of operating balance</t>
  </si>
  <si>
    <t>From Fiscal Forecasts</t>
  </si>
  <si>
    <t>Total Crown operating balance before gains and losses (OBEGAL)</t>
  </si>
  <si>
    <r>
      <t xml:space="preserve">CHECK: Total Crown OBEGAL in </t>
    </r>
    <r>
      <rPr>
        <b/>
        <i/>
        <sz val="11"/>
        <rFont val="Arial"/>
        <family val="2"/>
      </rPr>
      <t>Fiscal Forecasts</t>
    </r>
    <r>
      <rPr>
        <b/>
        <sz val="11"/>
        <rFont val="Arial"/>
        <family val="2"/>
      </rPr>
      <t xml:space="preserve"> worksheet = Calculated value</t>
    </r>
  </si>
  <si>
    <t>Outturn &amp; Forecast only</t>
  </si>
  <si>
    <t>CHECK: Total Crown expenses: Functional classes sum = Operational classes sum</t>
  </si>
  <si>
    <t>Core Crown revenue (excluding Gains)</t>
  </si>
  <si>
    <t>Core Crown expenses (excluding Losses)</t>
  </si>
  <si>
    <r>
      <t xml:space="preserve">CHECK: Core Crown op balance in </t>
    </r>
    <r>
      <rPr>
        <b/>
        <i/>
        <sz val="11"/>
        <rFont val="Arial"/>
        <family val="2"/>
      </rPr>
      <t>Fiscal Forecasts</t>
    </r>
    <r>
      <rPr>
        <b/>
        <sz val="11"/>
        <rFont val="Arial"/>
        <family val="2"/>
      </rPr>
      <t xml:space="preserve"> worksheet = Calculated value</t>
    </r>
  </si>
  <si>
    <t>CHECK: Core Crown expenses: Functional classes sum = Operational classes sum</t>
  </si>
  <si>
    <t>Statement of Financial Position</t>
  </si>
  <si>
    <t>Total Crown assets</t>
  </si>
  <si>
    <t>Total Crown liabilities</t>
  </si>
  <si>
    <t>Net worth attributable to minority interests</t>
  </si>
  <si>
    <r>
      <t xml:space="preserve">CHECK: Total Crown net worth in </t>
    </r>
    <r>
      <rPr>
        <b/>
        <i/>
        <sz val="11"/>
        <rFont val="Arial"/>
        <family val="2"/>
      </rPr>
      <t>Fiscal Forecasts</t>
    </r>
    <r>
      <rPr>
        <b/>
        <sz val="11"/>
        <rFont val="Arial"/>
        <family val="2"/>
      </rPr>
      <t xml:space="preserve"> worksheet = Calculated value</t>
    </r>
  </si>
  <si>
    <t>CHECK: Annual change in Total Crown net worth = Oper. Bal. (incl minority interests)</t>
  </si>
  <si>
    <t>Projected Years only</t>
  </si>
  <si>
    <r>
      <t xml:space="preserve">CHECK: Core Crown net worth in </t>
    </r>
    <r>
      <rPr>
        <b/>
        <i/>
        <sz val="11"/>
        <rFont val="Arial"/>
        <family val="2"/>
      </rPr>
      <t>Fiscal Forecasts</t>
    </r>
    <r>
      <rPr>
        <b/>
        <sz val="11"/>
        <rFont val="Arial"/>
        <family val="2"/>
      </rPr>
      <t xml:space="preserve"> worksheet = Calculated value</t>
    </r>
  </si>
  <si>
    <t>CHECK: Annual change in core Crown net worth = Operating balance</t>
  </si>
  <si>
    <t>Statement of Borrowings</t>
  </si>
  <si>
    <t>Total Crown Borrowings</t>
  </si>
  <si>
    <t>New Zealand Superannuation Fund (NZSF) borrowings</t>
  </si>
  <si>
    <t>Core Crown financial assets (excluding receivables)</t>
  </si>
  <si>
    <t>Core Crown unsettled sales of securities</t>
  </si>
  <si>
    <t>Net core Crown debt excluding NZSF and advances</t>
  </si>
  <si>
    <t>Kiwi Group Capital Ltd borrowings</t>
  </si>
  <si>
    <r>
      <t xml:space="preserve">CHECK: Net debt in </t>
    </r>
    <r>
      <rPr>
        <b/>
        <i/>
        <sz val="11"/>
        <rFont val="Arial"/>
        <family val="2"/>
      </rPr>
      <t>Fiscal Forecasts</t>
    </r>
    <r>
      <rPr>
        <b/>
        <sz val="11"/>
        <rFont val="Arial"/>
        <family val="2"/>
      </rPr>
      <t xml:space="preserve"> worksheet = Calculated value</t>
    </r>
  </si>
  <si>
    <t>Reserve Bank settlement cash and bills</t>
  </si>
  <si>
    <t>Statement of Cash Flows</t>
  </si>
  <si>
    <t>Forecast for future new operating spending and Top-down expense adjustment</t>
  </si>
  <si>
    <t>Total cash disbursed to operations</t>
  </si>
  <si>
    <t>Net cash flow from operations</t>
  </si>
  <si>
    <t>Net purchase/(sale) of physical assets</t>
  </si>
  <si>
    <t>Net purchase/(sale) of shares and other securities</t>
  </si>
  <si>
    <t>Net purchase/(sale) of intangible assets</t>
  </si>
  <si>
    <t>Net issues/(repayment) of advances</t>
  </si>
  <si>
    <t>Net acquisition/(divestment) of investments in associates</t>
  </si>
  <si>
    <t>Forecast for future new capital spending and Top-down capital expense adjustment</t>
  </si>
  <si>
    <t>Net cash flow from investing</t>
  </si>
  <si>
    <t>Net issue/(repayment) of borrowings</t>
  </si>
  <si>
    <t>Dividends paid to/(received from) minority interests</t>
  </si>
  <si>
    <t>Net cash flow from financing</t>
  </si>
  <si>
    <t>Reconciliation between net cash flows from operations and operating balance</t>
  </si>
  <si>
    <t>Total gains/(losses) &amp; Net surplus/(deficit) from assoc less MI share of op balance</t>
  </si>
  <si>
    <t>Impairment on financial assets (excluding receivables)</t>
  </si>
  <si>
    <t>Total other non-cash items</t>
  </si>
  <si>
    <t xml:space="preserve"> Increase/(decrease) in deferred revenue</t>
  </si>
  <si>
    <t xml:space="preserve"> Increase/(decrease) in payables/provisions</t>
  </si>
  <si>
    <t>Operating Balance</t>
  </si>
  <si>
    <t>CHECK: Op Bal (ex MI) = Net cash op+Gains&amp;NS-MI share +Non-cash+Mvmt WC</t>
  </si>
  <si>
    <t>Notes to the Financial Statements</t>
  </si>
  <si>
    <t>Source deductions (mainly PAYE on salaries and wages and transfers)</t>
  </si>
  <si>
    <t>Other personal income tax types</t>
  </si>
  <si>
    <t>Total corporate tax (mainly company tax)</t>
  </si>
  <si>
    <t>Total goods and services tax (consolidated GST)</t>
  </si>
  <si>
    <t>Hypothecated transport taxes (petrol duties, road user charges &amp; vehicle registration fees)</t>
  </si>
  <si>
    <t>Total Crown taxation revenue</t>
  </si>
  <si>
    <t>Inter-segment elimination of tax revenue</t>
  </si>
  <si>
    <t>Core Crown taxation revenue</t>
  </si>
  <si>
    <t>Emissions Trading Scheme (ETS) revenue to reduce ETS provision</t>
  </si>
  <si>
    <t>Other core Crown other sovereign revenue</t>
  </si>
  <si>
    <t>Core Crown other sovereign revenue</t>
  </si>
  <si>
    <t>Other non-core Crown other sovereign revenue</t>
  </si>
  <si>
    <t>Total Crown other sovereign revenue</t>
  </si>
  <si>
    <t>Emissions Trading Scheme (ETS) cash receipts from auctioning units</t>
  </si>
  <si>
    <t>Core Crown sales of goods and services</t>
  </si>
  <si>
    <t>Total Crown sales of goods and services (dominated by SOE sales)</t>
  </si>
  <si>
    <t>New Zealand Superannuation Fund (NZSF) interest revenue</t>
  </si>
  <si>
    <t>Student loans (interest unwind)</t>
  </si>
  <si>
    <t>Other core Crown interest revenue</t>
  </si>
  <si>
    <t>Core Crown interest revenue</t>
  </si>
  <si>
    <t>State-owned enterprises (SOEs)</t>
  </si>
  <si>
    <t>Inter-segment elimination</t>
  </si>
  <si>
    <t>Total Crown interest revenue</t>
  </si>
  <si>
    <t>Dividend revenue</t>
  </si>
  <si>
    <t>New Zealand Superannuation Fund (NZSF) dividend revenue</t>
  </si>
  <si>
    <t>Other core Crown dividend revenue</t>
  </si>
  <si>
    <t>Core Crown dividend revenue</t>
  </si>
  <si>
    <t>Inter-segment elimination (includes any outturn or forecast SOEs' dividend income)</t>
  </si>
  <si>
    <t>Total Crown dividend revenue</t>
  </si>
  <si>
    <t>New Zealand Superannuation Fund (NZSF) non-interest, non-dividend revenue</t>
  </si>
  <si>
    <t>Other core Crown non-interest, non-dividend revenue</t>
  </si>
  <si>
    <t>Core Crown other revenue</t>
  </si>
  <si>
    <t>Total Crown other revenue</t>
  </si>
  <si>
    <t>New Zealand Superannuation (NZS), main public pension</t>
  </si>
  <si>
    <t>Jobseeker support and emergency benefit</t>
  </si>
  <si>
    <t>Welfare benefits (approx. as Total social assist grants minus Student allowances)</t>
  </si>
  <si>
    <t>Total social assistance grants</t>
  </si>
  <si>
    <t>Total Crown transfer payments and subsidies</t>
  </si>
  <si>
    <t>Core Crown transfer payments and subsidies</t>
  </si>
  <si>
    <t>Departmental and non-departmental social security and welfare expenses</t>
  </si>
  <si>
    <t>Core Crown social security and welfare expenses</t>
  </si>
  <si>
    <t>Crown entities social security and welfare expenses (dominated by ACC payments)</t>
  </si>
  <si>
    <t>Inter-segment elimination for social security &amp; welfare exps (Crown share of ACC paymts)</t>
  </si>
  <si>
    <t>Total Crown social security and welfare expenses</t>
  </si>
  <si>
    <t>New Zealand Superannuation &amp; Main working-age benefit projection parameters</t>
  </si>
  <si>
    <t>Gross ordinary time weekly earnings ($ per week)</t>
  </si>
  <si>
    <t>Core Crown personnel expenses</t>
  </si>
  <si>
    <t>Total Crown personnel expenses</t>
  </si>
  <si>
    <t>Core Crown depreciation expenses</t>
  </si>
  <si>
    <t>Total Crown depreciation expenses</t>
  </si>
  <si>
    <t>Core Crown amortisation &amp; impairment of intangible assets expenses</t>
  </si>
  <si>
    <t>Crown entities and SOEs amortisation &amp; impairment of intangible assets expenses</t>
  </si>
  <si>
    <t>Core Crown other operating expenses</t>
  </si>
  <si>
    <t>Total Crown other operating expenses</t>
  </si>
  <si>
    <t>Interest expenses (also called Finance costs)</t>
  </si>
  <si>
    <t>Core Crown interest expenses</t>
  </si>
  <si>
    <t>Total Crown interest expenses</t>
  </si>
  <si>
    <t>Core Crown insurance expenses</t>
  </si>
  <si>
    <t>State-owned enterprises (SOEs) (includes any historical or forecast inter-segment elims)</t>
  </si>
  <si>
    <t>Total Crown insurance expenses</t>
  </si>
  <si>
    <t>ACC</t>
  </si>
  <si>
    <t>EQC and other insurance expenses</t>
  </si>
  <si>
    <t>Operating allowances</t>
  </si>
  <si>
    <t>Annual increment to forecast new operating spending (operating allowance)</t>
  </si>
  <si>
    <t>Government Superannuation Fund (GSF) pension expenses</t>
  </si>
  <si>
    <t>Core Crown GSF pension expenses</t>
  </si>
  <si>
    <t>Total GSF pension expenses</t>
  </si>
  <si>
    <t>Health expenses</t>
  </si>
  <si>
    <t>Core Crown health expenses</t>
  </si>
  <si>
    <t>Total Crown health expenses</t>
  </si>
  <si>
    <t>Education expenses</t>
  </si>
  <si>
    <t>Student loans (initial write-down to fair value)</t>
  </si>
  <si>
    <t>Other core Crown education expenses</t>
  </si>
  <si>
    <t>Total Crown education expenses</t>
  </si>
  <si>
    <t>Core government services expenses</t>
  </si>
  <si>
    <t>NZSF non-tax expenses</t>
  </si>
  <si>
    <t>Official development assistance (ODI)</t>
  </si>
  <si>
    <t>Tax receivable write-downs and impairments</t>
  </si>
  <si>
    <t>From Exogenous</t>
  </si>
  <si>
    <t>Other core Crown core government services expenses</t>
  </si>
  <si>
    <t>Core Crown core government services expenses</t>
  </si>
  <si>
    <t>Total Crown core government services expenses</t>
  </si>
  <si>
    <t>Law and order expenses</t>
  </si>
  <si>
    <t>Core Crown law and order expenses</t>
  </si>
  <si>
    <t>Total Crown law and order expenses</t>
  </si>
  <si>
    <t>Transport and communications expenses</t>
  </si>
  <si>
    <t>Core Crown transport and communications expenses</t>
  </si>
  <si>
    <t>Total Crown transport and communications expenses</t>
  </si>
  <si>
    <t>Economic and industrial services expenses</t>
  </si>
  <si>
    <t>Other core Crown economic and industrial services expenses</t>
  </si>
  <si>
    <t>Core Crown economic and industrial services expenses</t>
  </si>
  <si>
    <t>Total Crown economic and industrial services expenses</t>
  </si>
  <si>
    <t>Defence expenses</t>
  </si>
  <si>
    <t>Core Crown defence expenses</t>
  </si>
  <si>
    <t>Total Crown defence expenses</t>
  </si>
  <si>
    <t>Heritage, culture and recreation expenses</t>
  </si>
  <si>
    <t>Core Crown heritage, culture and recreation expenses</t>
  </si>
  <si>
    <t>Total Crown heritage, culture and recreation expenses</t>
  </si>
  <si>
    <t>Primary services expenses</t>
  </si>
  <si>
    <t>Core Crown primary services expenses</t>
  </si>
  <si>
    <t>Total Crown primary services expenses</t>
  </si>
  <si>
    <t>Housing and community development expenses</t>
  </si>
  <si>
    <t>Core Crown housing and community development expenses</t>
  </si>
  <si>
    <t>Total Crown housing and community development expenses</t>
  </si>
  <si>
    <t>Environmental protection expenses</t>
  </si>
  <si>
    <t>Emissions Trading Scheme (ETS) expenses</t>
  </si>
  <si>
    <t>Other core Crown environmental protection expenses</t>
  </si>
  <si>
    <t>Core Crown environmental protection expenses</t>
  </si>
  <si>
    <t>Total Crown environmental protection expenses</t>
  </si>
  <si>
    <t>Other expenses</t>
  </si>
  <si>
    <t>Core Crown other expenses</t>
  </si>
  <si>
    <t>Total Crown other expenses</t>
  </si>
  <si>
    <t>Parameters to align operational and functional expense classes</t>
  </si>
  <si>
    <t>Core Crown expenses that derive growth from a share of the Operating allowances</t>
  </si>
  <si>
    <t>Functional core Crown expenses allocated to Other operating expenses</t>
  </si>
  <si>
    <t>Non-core Crown expenses excluding welfare, health, education, transport &amp; interest</t>
  </si>
  <si>
    <t>Crown entities (projected as ratio of all category exps except Econ &amp; ind services)</t>
  </si>
  <si>
    <t>State-owned enterprises (projected as ratio of Economic &amp; industrial services)</t>
  </si>
  <si>
    <t>Inter-segment elimination (projected as Total less core Crown less CE &amp; SOE terms)</t>
  </si>
  <si>
    <t>Gains and losses on financial and non-financial instruments</t>
  </si>
  <si>
    <t>NZSF gains/(losses)</t>
  </si>
  <si>
    <t>Other core Crown gains/(losses)</t>
  </si>
  <si>
    <t>Core Crown gains/(losses)</t>
  </si>
  <si>
    <t>Total Crown gains/(losses)</t>
  </si>
  <si>
    <t>Core Crown net surplus/(deficit) from associates and joint ventures</t>
  </si>
  <si>
    <t>Total Crown net surplus/(deficit) from associates and joint ventures</t>
  </si>
  <si>
    <t>NZSF cash and cash equivalents</t>
  </si>
  <si>
    <t>Other core Crown cash and cash equivalents</t>
  </si>
  <si>
    <t>Core Crown cash and cash equivalents</t>
  </si>
  <si>
    <t>Total Crown cash and cash equivalents</t>
  </si>
  <si>
    <t>NZSF receivables</t>
  </si>
  <si>
    <t>Other core Crown receivables</t>
  </si>
  <si>
    <t>Core Crown receivables</t>
  </si>
  <si>
    <t>Total Crown receivables</t>
  </si>
  <si>
    <t>NZSF marketable securities, deposits and derivatives in gain</t>
  </si>
  <si>
    <t>Other core Crown marketable securities, deposits and derivatives in gain</t>
  </si>
  <si>
    <t>Core Crown marketable securities, deposits and derivatives in gain</t>
  </si>
  <si>
    <t>Total Crown marketable securities, deposits and derivatives in gain</t>
  </si>
  <si>
    <t>NZSF share investments</t>
  </si>
  <si>
    <t>Other core Crown share investments</t>
  </si>
  <si>
    <t>Core Crown share investments</t>
  </si>
  <si>
    <t>Total Crown share investments</t>
  </si>
  <si>
    <t>Operating balance of NZSF</t>
  </si>
  <si>
    <t>Capital contribution from/(withdrawal to) the Crown</t>
  </si>
  <si>
    <t>Comprising:</t>
  </si>
  <si>
    <t>Less Financial liabilities</t>
  </si>
  <si>
    <t>Investments in controlled enterprises (there are no Crown entities or SOEs ICEs)</t>
  </si>
  <si>
    <t>NZSF advances</t>
  </si>
  <si>
    <t>Student loans</t>
  </si>
  <si>
    <t>Other core Crown advances</t>
  </si>
  <si>
    <t>Core Crown advances</t>
  </si>
  <si>
    <t>Kiwibank mortgages (Crown entity)</t>
  </si>
  <si>
    <t>Other non-core Crown advances, mainly inter-segment eliminations</t>
  </si>
  <si>
    <t>Total Crown advances</t>
  </si>
  <si>
    <t>Initial write-down to fair value</t>
  </si>
  <si>
    <t>Repayments made during the year</t>
  </si>
  <si>
    <t>Core Crown inventory (approximated)</t>
  </si>
  <si>
    <t>Total Crown inventory</t>
  </si>
  <si>
    <t xml:space="preserve">Other </t>
  </si>
  <si>
    <t>Core Crown other (approximated)</t>
  </si>
  <si>
    <t>Total Crown other</t>
  </si>
  <si>
    <t>Property, plant and equipment</t>
  </si>
  <si>
    <t>Core Crown property, plant and equipment</t>
  </si>
  <si>
    <t>Crown entities property, plant and equipment</t>
  </si>
  <si>
    <t>State-owned enterprise property, plant and equipment</t>
  </si>
  <si>
    <t>Total Crown property, plant and equipment</t>
  </si>
  <si>
    <t>Core Crown equity accounted investments</t>
  </si>
  <si>
    <t>Total Crown equity accounted investments</t>
  </si>
  <si>
    <t>Core Crown intangible assets and goodwill</t>
  </si>
  <si>
    <t>Crown entities and State-owned enterprises (SOEs) (Includes inter-segment elimination)</t>
  </si>
  <si>
    <t>Total Crown intangible assets and goodwill</t>
  </si>
  <si>
    <t>Capital allowances</t>
  </si>
  <si>
    <t>Annual increment to forecast new capital spending (capital allowances)</t>
  </si>
  <si>
    <t>Top-down capital spending adjustment</t>
  </si>
  <si>
    <t xml:space="preserve">Projected annual capital allowance </t>
  </si>
  <si>
    <t>Core Crown (there are no Crown entities or SOEs issued currency liabilities)</t>
  </si>
  <si>
    <t>NZSF payables</t>
  </si>
  <si>
    <t>Other core Crown payables</t>
  </si>
  <si>
    <t>Core Crown payables</t>
  </si>
  <si>
    <t>Total Crown payables</t>
  </si>
  <si>
    <t>Core Crown deferred revenue</t>
  </si>
  <si>
    <t>Total Crown deferred revenue</t>
  </si>
  <si>
    <t>New Zealand Emissions Trading Scheme (ETS)</t>
  </si>
  <si>
    <t>Core Crown Emissions Trading Scheme</t>
  </si>
  <si>
    <t>Total Crown Emissions Trading Scheme</t>
  </si>
  <si>
    <t>Core Crown insurance liabilities</t>
  </si>
  <si>
    <t>Accident Compensation Corporation (ACC), a Crown entity</t>
  </si>
  <si>
    <t>Other non-core Crown insurance liabilities, including inter-segment eliminations</t>
  </si>
  <si>
    <t>Total Crown insurance liabilities</t>
  </si>
  <si>
    <t>Retirement plan liabilities (dominated by Government Superannuation Fund, or GSF)</t>
  </si>
  <si>
    <t>Core Crown retirement plan liabilities</t>
  </si>
  <si>
    <t>Non-core Crown retirement plan liabilities</t>
  </si>
  <si>
    <t>Total Crown retirement plan liabilities</t>
  </si>
  <si>
    <t>NZSF Provisions</t>
  </si>
  <si>
    <t>Other core Crown Provisions</t>
  </si>
  <si>
    <t>Core Crown Provisions</t>
  </si>
  <si>
    <t>Total Crown Provisions</t>
  </si>
  <si>
    <t>Core Crown residual cash (excludes New Zealand Superannuation Fund)</t>
  </si>
  <si>
    <t>Personnel and operating costs</t>
  </si>
  <si>
    <t>Net core Crown operating cash flows</t>
  </si>
  <si>
    <t>Net issue/(repayment) of advances</t>
  </si>
  <si>
    <t>Net purchase/(sale) of investments</t>
  </si>
  <si>
    <t>Capital contribution/(withdrawal) to the NZS Fund</t>
  </si>
  <si>
    <t>Net core Crown capital cash flows</t>
  </si>
  <si>
    <t>Residual cash surplus/(deficit)</t>
  </si>
  <si>
    <r>
      <t xml:space="preserve">CHECK: RC = Negative of annual </t>
    </r>
    <r>
      <rPr>
        <b/>
        <sz val="11"/>
        <color theme="1"/>
        <rFont val="Calibri"/>
        <family val="2"/>
      </rPr>
      <t xml:space="preserve">Δ </t>
    </r>
    <r>
      <rPr>
        <b/>
        <sz val="11"/>
        <color theme="1"/>
        <rFont val="Arial"/>
        <family val="2"/>
      </rPr>
      <t>core Crown net debt &amp; currency issued</t>
    </r>
  </si>
  <si>
    <t>Net purchase/(sale) of marketable securities and deposits (MSDs) and shares</t>
  </si>
  <si>
    <t>Total investing cash flows</t>
  </si>
  <si>
    <t>CHECK: Residual cash s/(d) = Negative of sum of borrowing + investing cash flows</t>
  </si>
  <si>
    <t>Core Crown Statement of Cash Flows (constructed from Residual Cash note)</t>
  </si>
  <si>
    <t>Net cash flow from operations (add back NZS Fund variables, subtract NZS Fund tax)</t>
  </si>
  <si>
    <t>Net cash flow from investing (capital cash + cash from MSDs &amp; shares &amp; NZS Fund cash)</t>
  </si>
  <si>
    <t>Net issue/(repayment) of borrowings = Ann. change in cash - Sum of components above</t>
  </si>
  <si>
    <t>Net movement in core Crown cash and cash equivalents</t>
  </si>
  <si>
    <t>Depreciation and amortisation</t>
  </si>
  <si>
    <t>Cost of concessionary lending and impairment on financial assets (excluding receivables)</t>
  </si>
  <si>
    <t>Increase/(decrease) in insurance liabilities</t>
  </si>
  <si>
    <t>Increase/(decrease) in deferred revenue</t>
  </si>
  <si>
    <t>Increase/(decrease) in payables/provisions</t>
  </si>
  <si>
    <t>Increase/(decrease) in defined benefit retirement plan liabilities</t>
  </si>
  <si>
    <t>CHECK: Core Crown Oper Bal = Net cash oper +Gains +Non-cash +Mvmts wk cap</t>
  </si>
  <si>
    <t>Health expenses by category</t>
  </si>
  <si>
    <t>Personal Health Care - Primary</t>
  </si>
  <si>
    <t>Personal Health Care - Hospital, Community Services</t>
  </si>
  <si>
    <t>Mental Health</t>
  </si>
  <si>
    <t>Health of Older People - Aged Residential Care</t>
  </si>
  <si>
    <t>Health of Older People - Other</t>
  </si>
  <si>
    <t>Primary school education</t>
  </si>
  <si>
    <t>Secondary school education</t>
  </si>
  <si>
    <t>Tertiary education excluding student allowances and loans</t>
  </si>
  <si>
    <t>Departmental and non-departmental education expenses</t>
  </si>
  <si>
    <r>
      <t xml:space="preserve">Adjust fiscal forecasts </t>
    </r>
    <r>
      <rPr>
        <sz val="11"/>
        <color theme="1"/>
        <rFont val="Arial"/>
        <family val="2"/>
      </rPr>
      <t>→</t>
    </r>
  </si>
  <si>
    <r>
      <t xml:space="preserve">Adjust NZSF track </t>
    </r>
    <r>
      <rPr>
        <sz val="11"/>
        <color theme="1"/>
        <rFont val="Arial"/>
        <family val="2"/>
      </rPr>
      <t>→</t>
    </r>
  </si>
  <si>
    <t>Forecast new capital spending entered as Budget addition</t>
  </si>
  <si>
    <r>
      <rPr>
        <sz val="11"/>
        <color theme="1"/>
        <rFont val="Aptos Narrow"/>
        <family val="2"/>
      </rPr>
      <t>↓</t>
    </r>
    <r>
      <rPr>
        <sz val="11"/>
        <color theme="1"/>
        <rFont val="Calibri"/>
        <family val="2"/>
      </rPr>
      <t xml:space="preserve"> </t>
    </r>
    <r>
      <rPr>
        <sz val="11"/>
        <color theme="1"/>
        <rFont val="Aptos Narrow"/>
        <family val="2"/>
        <scheme val="minor"/>
      </rPr>
      <t>Projected year additions</t>
    </r>
  </si>
  <si>
    <t>Latest forecast of New Zealand Superannuation Fund variables</t>
  </si>
  <si>
    <t>Capital contribution</t>
  </si>
  <si>
    <t>Tax expenses</t>
  </si>
  <si>
    <t>Other mvmts in resrvs</t>
  </si>
  <si>
    <t>Closing balance</t>
  </si>
  <si>
    <t>FISCAL STRATEGY MODEL (FSM) - PRE-ELECTION ECONOMIC &amp; FISCAL UPDATE (PREFU) 2026 VERSION</t>
  </si>
  <si>
    <t>Pre-Election Economic and Fiscal Update (PREFU) 2026 data and forecasts</t>
  </si>
  <si>
    <t>PREFU 2026 version</t>
  </si>
  <si>
    <t>2026 update</t>
  </si>
  <si>
    <t>2040/41</t>
  </si>
  <si>
    <t>Pre-Election Economic and Fiscal Update (PREFU) 2026 forecast</t>
  </si>
  <si>
    <t>2025/26 values not shown as these are not fully audited figures at the time of publication of the PREFU 2026</t>
  </si>
  <si>
    <t>Pre-Election Economic and Fiscal Update (PREFU) 2026 projection from 2031/32 onwards</t>
  </si>
  <si>
    <t>PREFU 2026 forecast from 2026/27 onwards</t>
  </si>
  <si>
    <t>Baseline reductions</t>
  </si>
  <si>
    <t>Unallocated contingencies and Baseline reductions</t>
  </si>
  <si>
    <t>Pre-audited</t>
  </si>
  <si>
    <t>Near the bottom of this worksheet are</t>
  </si>
  <si>
    <t xml:space="preserve">(NZS) expenses. </t>
  </si>
  <si>
    <t>PREFU 2026 track produced by the Treasury, based on Half Year EFU 2025 track by the MoE</t>
  </si>
  <si>
    <t>Early projected years from IRD PREFU 2026 track, and modelled by FSM after that ends</t>
  </si>
  <si>
    <t>LABOUR FORCE OF NEW ZEALAND, BY SINGLE YEAR OF AGE AND GENDER, AS AT 30 JUNE, CALIBRATED TO MATCH AGGREGATE TREASURY FORECASTS IN FORECAST YEARS</t>
  </si>
  <si>
    <t>RESIDENT POPULATION OF NEW ZEALAND, BY SINGLE YEAR OF AGE AND GENDER, AS AT 30 JUNE,  CALIBRATED TO MATCH AGGREGATE TREASURY FORECASTS IN FORECAST YEARS</t>
  </si>
  <si>
    <t>Unaudited</t>
  </si>
  <si>
    <t>outturn</t>
  </si>
  <si>
    <r>
      <t xml:space="preserve">year </t>
    </r>
    <r>
      <rPr>
        <b/>
        <sz val="11"/>
        <color theme="1"/>
        <rFont val="Aptos Narrow"/>
        <family val="2"/>
      </rPr>
      <t>↓</t>
    </r>
  </si>
  <si>
    <t>Any year variable used in this worksheet should be a number variable but will refer to a June-end year e.g. enter the number 2030 for the year ended 30 June 2030 or fiscal year 2029/30.</t>
  </si>
  <si>
    <t>Select number of projected years taken for various economic variables to attain their long-run stable values from their end-of-forecast values.</t>
  </si>
  <si>
    <t>the five forecast years and last five outturn years. The annual transition rate for these tax types can also be selected.</t>
  </si>
  <si>
    <t>Operating allowances control most non-welfare, non-interest core Crown expenses' growth. Capital allowances control much of core Crown physical asset growth.</t>
  </si>
  <si>
    <t>The following percentages are related to the New Zealand Superannuation Fund (NZSF). They are based on outturn data and are used</t>
  </si>
  <si>
    <t>mainly to divide up the forecast and projected closing balance of the NZSF among various revenue, asset and liability classes.</t>
  </si>
  <si>
    <t>Percentage of NZSF financial assets excl. receivables and advances as marketable securities, deposits, derivatives in gain</t>
  </si>
  <si>
    <t>Change in New Zealand Emissions Trading Scheme liability</t>
  </si>
  <si>
    <t>New Zealand Emissions Trading Scheme (ETS) liability</t>
  </si>
  <si>
    <t>Depreciation expenses at core Crown, Crown Entity and SOE level are projected as percentages of their respective Property, plant and equipment (PP&amp;E) asset sizes</t>
  </si>
  <si>
    <t>Unallocated contingencies and other targeted new operating spending</t>
  </si>
  <si>
    <t>This worksheet calculates the division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</si>
</sst>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
    <numFmt numFmtId="165" formatCode="0.000"/>
    <numFmt numFmtId="166" formatCode="0.0"/>
    <numFmt numFmtId="167" formatCode="0.0%"/>
    <numFmt numFmtId="168" formatCode="#,##0.0"/>
    <numFmt numFmtId="169" formatCode="0.00000"/>
    <numFmt numFmtId="170" formatCode="&quot;$&quot;#,##0"/>
    <numFmt numFmtId="171" formatCode="#,##0.00000"/>
    <numFmt numFmtId="172" formatCode="&quot;$&quot;#,##0.00"/>
  </numFmts>
  <fonts count="43"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2"/>
      <color theme="1"/>
      <name val="Arial"/>
      <family val="2"/>
    </font>
    <font>
      <sz val="10"/>
      <color theme="1"/>
      <name val="Arial"/>
      <family val="2"/>
    </font>
    <font>
      <i/>
      <sz val="10"/>
      <color theme="1"/>
      <name val="Arial"/>
      <family val="2"/>
    </font>
    <font>
      <b/>
      <i/>
      <sz val="10"/>
      <color theme="1"/>
      <name val="Arial"/>
      <family val="2"/>
    </font>
    <font>
      <sz val="10"/>
      <color indexed="8"/>
      <name val="Arial"/>
      <family val="2"/>
    </font>
    <font>
      <i/>
      <sz val="10"/>
      <color indexed="8"/>
      <name val="Arial"/>
      <family val="2"/>
    </font>
    <font>
      <b/>
      <sz val="10"/>
      <color theme="1"/>
      <name val="Arial"/>
      <family val="2"/>
    </font>
    <font>
      <sz val="10"/>
      <color rgb="FF000000"/>
      <name val="Arial"/>
      <family val="2"/>
    </font>
    <font>
      <u/>
      <sz val="11"/>
      <color theme="10"/>
      <name val="Calibri"/>
      <family val="2"/>
    </font>
    <font>
      <b/>
      <sz val="11"/>
      <color theme="1"/>
      <name val="Arial"/>
      <family val="2"/>
    </font>
    <font>
      <sz val="11"/>
      <color theme="1"/>
      <name val="Arial"/>
      <family val="2"/>
    </font>
    <font>
      <i/>
      <sz val="11"/>
      <color theme="1"/>
      <name val="Arial"/>
      <family val="2"/>
    </font>
    <font>
      <b/>
      <sz val="11"/>
      <color indexed="8"/>
      <name val="Calibri"/>
      <family val="2"/>
    </font>
    <font>
      <b/>
      <sz val="11"/>
      <color rgb="FFFF0000"/>
      <name val="Arial"/>
      <family val="2"/>
    </font>
    <font>
      <b/>
      <sz val="11"/>
      <name val="Arial"/>
      <family val="2"/>
    </font>
    <font>
      <sz val="11"/>
      <color rgb="FF0000FF"/>
      <name val="Arial"/>
      <family val="2"/>
    </font>
    <font>
      <sz val="11"/>
      <color rgb="FFFF0000"/>
      <name val="Arial"/>
      <family val="2"/>
    </font>
    <font>
      <b/>
      <sz val="11"/>
      <color rgb="FF0000FF"/>
      <name val="Arial"/>
      <family val="2"/>
    </font>
    <font>
      <b/>
      <sz val="11"/>
      <color indexed="8"/>
      <name val="Arial"/>
      <family val="2"/>
    </font>
    <font>
      <sz val="11"/>
      <color indexed="8"/>
      <name val="Arial"/>
      <family val="2"/>
    </font>
    <font>
      <b/>
      <sz val="10"/>
      <color theme="1"/>
      <name val="Calibri"/>
      <family val="2"/>
    </font>
    <font>
      <sz val="9"/>
      <color indexed="81"/>
      <name val="Tahoma"/>
      <family val="2"/>
    </font>
    <font>
      <sz val="11"/>
      <color indexed="8"/>
      <name val="Calibri"/>
      <family val="2"/>
    </font>
    <font>
      <i/>
      <sz val="11"/>
      <color indexed="8"/>
      <name val="Arial"/>
      <family val="2"/>
    </font>
    <font>
      <b/>
      <i/>
      <sz val="11"/>
      <color theme="1"/>
      <name val="Arial"/>
      <family val="2"/>
    </font>
    <font>
      <b/>
      <sz val="13"/>
      <color theme="1"/>
      <name val="Arial"/>
      <family val="2"/>
    </font>
    <font>
      <sz val="8"/>
      <name val="Aptos Narrow"/>
      <family val="2"/>
      <scheme val="minor"/>
    </font>
    <font>
      <b/>
      <i/>
      <sz val="12"/>
      <color theme="1"/>
      <name val="Arial"/>
      <family val="2"/>
    </font>
    <font>
      <b/>
      <sz val="12"/>
      <color indexed="8"/>
      <name val="Calibri"/>
      <family val="2"/>
    </font>
    <font>
      <b/>
      <i/>
      <sz val="11"/>
      <color indexed="8"/>
      <name val="Arial"/>
      <family val="2"/>
    </font>
    <font>
      <i/>
      <sz val="11"/>
      <color indexed="8"/>
      <name val="Calibri"/>
      <family val="2"/>
    </font>
    <font>
      <b/>
      <sz val="11"/>
      <color indexed="12"/>
      <name val="Calibri"/>
      <family val="2"/>
    </font>
    <font>
      <sz val="11"/>
      <color rgb="FF0000FF"/>
      <name val="Aptos Narrow"/>
      <family val="2"/>
      <scheme val="minor"/>
    </font>
    <font>
      <b/>
      <i/>
      <sz val="11"/>
      <name val="Arial"/>
      <family val="2"/>
    </font>
    <font>
      <sz val="11"/>
      <name val="Arial"/>
      <family val="2"/>
    </font>
    <font>
      <b/>
      <sz val="11"/>
      <color theme="1"/>
      <name val="Calibri"/>
      <family val="2"/>
    </font>
    <font>
      <sz val="11"/>
      <color theme="1"/>
      <name val="Aptos Narrow"/>
      <family val="2"/>
    </font>
    <font>
      <sz val="11"/>
      <color theme="1"/>
      <name val="Calibri"/>
      <family val="2"/>
    </font>
    <font>
      <b/>
      <sz val="11"/>
      <color theme="1"/>
      <name val="Aptos Narrow"/>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12" fillId="0" borderId="0" applyNumberFormat="0" applyFill="0" applyBorder="0" applyAlignment="0" applyProtection="0">
      <alignment vertical="top"/>
      <protection locked="0"/>
    </xf>
  </cellStyleXfs>
  <cellXfs count="105">
    <xf numFmtId="0" fontId="0" fillId="0" borderId="0" xfId="0"/>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3" fillId="0" borderId="0" xfId="2" applyAlignment="1" applyProtection="1"/>
    <xf numFmtId="0" fontId="9" fillId="0" borderId="0" xfId="0" applyFont="1"/>
    <xf numFmtId="0" fontId="10" fillId="0" borderId="0" xfId="0" applyFont="1"/>
    <xf numFmtId="0" fontId="5" fillId="0" borderId="0" xfId="0" quotePrefix="1" applyFont="1"/>
    <xf numFmtId="0" fontId="12" fillId="0" borderId="0" xfId="3" applyAlignment="1" applyProtection="1"/>
    <xf numFmtId="0" fontId="13" fillId="0" borderId="0" xfId="0" applyFont="1"/>
    <xf numFmtId="0" fontId="14" fillId="0" borderId="0" xfId="0" applyFont="1"/>
    <xf numFmtId="0" fontId="3" fillId="0" borderId="0" xfId="2"/>
    <xf numFmtId="0" fontId="15" fillId="0" borderId="0" xfId="0" applyFont="1"/>
    <xf numFmtId="0" fontId="13" fillId="0" borderId="0" xfId="0" applyFont="1" applyAlignment="1">
      <alignment horizontal="center"/>
    </xf>
    <xf numFmtId="164" fontId="13" fillId="0" borderId="0" xfId="0" applyNumberFormat="1" applyFont="1"/>
    <xf numFmtId="10" fontId="14" fillId="0" borderId="0" xfId="1" applyNumberFormat="1" applyFont="1"/>
    <xf numFmtId="3" fontId="14" fillId="0" borderId="0" xfId="0" applyNumberFormat="1" applyFont="1"/>
    <xf numFmtId="3" fontId="13" fillId="0" borderId="0" xfId="0" applyNumberFormat="1" applyFont="1"/>
    <xf numFmtId="165" fontId="14" fillId="0" borderId="0" xfId="0" applyNumberFormat="1" applyFont="1"/>
    <xf numFmtId="165" fontId="13" fillId="0" borderId="0" xfId="0" applyNumberFormat="1" applyFont="1"/>
    <xf numFmtId="166" fontId="17" fillId="0" borderId="0" xfId="0" applyNumberFormat="1" applyFont="1"/>
    <xf numFmtId="166" fontId="18" fillId="0" borderId="0" xfId="0" applyNumberFormat="1" applyFont="1"/>
    <xf numFmtId="49" fontId="13" fillId="0" borderId="0" xfId="1" applyNumberFormat="1" applyFont="1" applyAlignment="1">
      <alignment horizontal="center"/>
    </xf>
    <xf numFmtId="167" fontId="14" fillId="0" borderId="0" xfId="1" applyNumberFormat="1" applyFont="1"/>
    <xf numFmtId="167" fontId="2" fillId="0" borderId="0" xfId="0" applyNumberFormat="1" applyFont="1"/>
    <xf numFmtId="3" fontId="19" fillId="0" borderId="0" xfId="0" applyNumberFormat="1" applyFont="1"/>
    <xf numFmtId="3" fontId="20" fillId="0" borderId="0" xfId="0" applyNumberFormat="1" applyFont="1"/>
    <xf numFmtId="3" fontId="21" fillId="0" borderId="0" xfId="0" applyNumberFormat="1" applyFont="1"/>
    <xf numFmtId="3" fontId="17" fillId="0" borderId="0" xfId="0" applyNumberFormat="1" applyFont="1"/>
    <xf numFmtId="168" fontId="14" fillId="0" borderId="0" xfId="0" applyNumberFormat="1" applyFont="1"/>
    <xf numFmtId="2" fontId="14" fillId="0" borderId="0" xfId="1" applyNumberFormat="1" applyFont="1"/>
    <xf numFmtId="168" fontId="13" fillId="0" borderId="0" xfId="0" applyNumberFormat="1" applyFont="1"/>
    <xf numFmtId="169" fontId="0" fillId="0" borderId="0" xfId="0" applyNumberFormat="1"/>
    <xf numFmtId="10" fontId="14" fillId="0" borderId="0" xfId="0" applyNumberFormat="1" applyFont="1"/>
    <xf numFmtId="1" fontId="0" fillId="0" borderId="0" xfId="0" applyNumberFormat="1"/>
    <xf numFmtId="165" fontId="5" fillId="0" borderId="0" xfId="0" applyNumberFormat="1" applyFont="1"/>
    <xf numFmtId="167" fontId="14" fillId="0" borderId="0" xfId="0" applyNumberFormat="1" applyFont="1"/>
    <xf numFmtId="167" fontId="13" fillId="0" borderId="0" xfId="0" applyNumberFormat="1" applyFont="1"/>
    <xf numFmtId="170" fontId="14" fillId="0" borderId="0" xfId="0" applyNumberFormat="1" applyFont="1"/>
    <xf numFmtId="0" fontId="10" fillId="0" borderId="0" xfId="0" applyFont="1" applyAlignment="1">
      <alignment horizontal="right"/>
    </xf>
    <xf numFmtId="167" fontId="10" fillId="0" borderId="0" xfId="0" applyNumberFormat="1" applyFont="1"/>
    <xf numFmtId="10" fontId="5" fillId="0" borderId="0" xfId="0" applyNumberFormat="1" applyFont="1"/>
    <xf numFmtId="167" fontId="5" fillId="0" borderId="0" xfId="0" applyNumberFormat="1" applyFont="1"/>
    <xf numFmtId="171" fontId="14" fillId="0" borderId="0" xfId="0" applyNumberFormat="1" applyFont="1"/>
    <xf numFmtId="10" fontId="13" fillId="0" borderId="0" xfId="1" applyNumberFormat="1" applyFont="1"/>
    <xf numFmtId="165" fontId="17" fillId="0" borderId="0" xfId="0" applyNumberFormat="1" applyFont="1"/>
    <xf numFmtId="165" fontId="20" fillId="0" borderId="0" xfId="0" applyNumberFormat="1" applyFont="1"/>
    <xf numFmtId="1" fontId="13" fillId="2" borderId="0" xfId="0" applyNumberFormat="1" applyFont="1" applyFill="1" applyAlignment="1">
      <alignment horizontal="center"/>
    </xf>
    <xf numFmtId="165" fontId="19" fillId="0" borderId="0" xfId="0" applyNumberFormat="1" applyFont="1"/>
    <xf numFmtId="165" fontId="21" fillId="0" borderId="0" xfId="0" applyNumberFormat="1" applyFont="1"/>
    <xf numFmtId="0" fontId="19" fillId="0" borderId="0" xfId="0" applyFont="1" applyAlignment="1">
      <alignment horizontal="center"/>
    </xf>
    <xf numFmtId="0" fontId="20" fillId="0" borderId="0" xfId="0" applyFont="1" applyAlignment="1">
      <alignment horizontal="center"/>
    </xf>
    <xf numFmtId="0" fontId="14" fillId="0" borderId="0" xfId="0" applyFont="1" applyAlignment="1">
      <alignment horizontal="center"/>
    </xf>
    <xf numFmtId="1" fontId="13" fillId="0" borderId="0" xfId="0" applyNumberFormat="1" applyFont="1"/>
    <xf numFmtId="1" fontId="14" fillId="0" borderId="0" xfId="0" applyNumberFormat="1" applyFont="1"/>
    <xf numFmtId="0" fontId="28" fillId="0" borderId="0" xfId="0" applyFont="1"/>
    <xf numFmtId="164" fontId="14" fillId="0" borderId="0" xfId="0" applyNumberFormat="1" applyFont="1"/>
    <xf numFmtId="165" fontId="13" fillId="0" borderId="1" xfId="0" applyNumberFormat="1" applyFont="1" applyBorder="1"/>
    <xf numFmtId="0" fontId="18" fillId="0" borderId="0" xfId="0" applyFont="1"/>
    <xf numFmtId="167" fontId="13" fillId="0" borderId="1" xfId="0" applyNumberFormat="1" applyFont="1" applyBorder="1"/>
    <xf numFmtId="0" fontId="13" fillId="0" borderId="0" xfId="0" applyFont="1" applyAlignment="1">
      <alignment horizontal="right"/>
    </xf>
    <xf numFmtId="0" fontId="29" fillId="0" borderId="0" xfId="0" applyFont="1"/>
    <xf numFmtId="0" fontId="17" fillId="0" borderId="0" xfId="0" applyFont="1"/>
    <xf numFmtId="0" fontId="17" fillId="0" borderId="0" xfId="0" applyFont="1" applyAlignment="1">
      <alignment horizontal="center"/>
    </xf>
    <xf numFmtId="10" fontId="20" fillId="0" borderId="0" xfId="1" applyNumberFormat="1" applyFont="1"/>
    <xf numFmtId="2" fontId="14" fillId="0" borderId="0" xfId="0" applyNumberFormat="1" applyFont="1"/>
    <xf numFmtId="2" fontId="20" fillId="0" borderId="0" xfId="0" applyNumberFormat="1" applyFont="1"/>
    <xf numFmtId="1" fontId="20" fillId="0" borderId="0" xfId="0" applyNumberFormat="1" applyFont="1"/>
    <xf numFmtId="166" fontId="14" fillId="0" borderId="0" xfId="0" applyNumberFormat="1" applyFont="1"/>
    <xf numFmtId="166" fontId="20" fillId="0" borderId="0" xfId="0" applyNumberFormat="1" applyFont="1"/>
    <xf numFmtId="172" fontId="14" fillId="0" borderId="0" xfId="0" applyNumberFormat="1" applyFont="1"/>
    <xf numFmtId="172" fontId="20" fillId="0" borderId="0" xfId="0" applyNumberFormat="1" applyFont="1"/>
    <xf numFmtId="0" fontId="15" fillId="0" borderId="0" xfId="0" applyFont="1" applyAlignment="1">
      <alignment horizontal="left"/>
    </xf>
    <xf numFmtId="9" fontId="14" fillId="0" borderId="0" xfId="0" applyNumberFormat="1" applyFont="1"/>
    <xf numFmtId="0" fontId="31" fillId="0" borderId="0" xfId="0" applyFont="1"/>
    <xf numFmtId="165" fontId="21" fillId="0" borderId="1" xfId="0" applyNumberFormat="1" applyFont="1" applyBorder="1"/>
    <xf numFmtId="165" fontId="13" fillId="0" borderId="1" xfId="0" applyNumberFormat="1" applyFont="1" applyBorder="1" applyAlignment="1">
      <alignment horizontal="center"/>
    </xf>
    <xf numFmtId="0" fontId="14" fillId="3" borderId="0" xfId="0" applyFont="1" applyFill="1"/>
    <xf numFmtId="165" fontId="17" fillId="0" borderId="0" xfId="0" applyNumberFormat="1" applyFont="1" applyAlignment="1">
      <alignment horizontal="center"/>
    </xf>
    <xf numFmtId="165" fontId="13" fillId="2" borderId="1" xfId="0" applyNumberFormat="1" applyFont="1" applyFill="1" applyBorder="1" applyAlignment="1">
      <alignment horizontal="center"/>
    </xf>
    <xf numFmtId="165" fontId="0" fillId="0" borderId="0" xfId="0" applyNumberFormat="1"/>
    <xf numFmtId="0" fontId="21" fillId="0" borderId="0" xfId="0" applyFont="1"/>
    <xf numFmtId="0" fontId="20" fillId="0" borderId="0" xfId="0" applyFont="1"/>
    <xf numFmtId="0" fontId="21" fillId="0" borderId="0" xfId="0" applyFont="1" applyAlignment="1">
      <alignment horizontal="center"/>
    </xf>
    <xf numFmtId="167" fontId="21" fillId="0" borderId="0" xfId="1" applyNumberFormat="1" applyFont="1"/>
    <xf numFmtId="167" fontId="17" fillId="0" borderId="0" xfId="1" applyNumberFormat="1" applyFont="1"/>
    <xf numFmtId="167" fontId="13" fillId="0" borderId="0" xfId="1" applyNumberFormat="1" applyFont="1"/>
    <xf numFmtId="10" fontId="19" fillId="0" borderId="0" xfId="1" applyNumberFormat="1" applyFont="1"/>
    <xf numFmtId="1" fontId="19" fillId="0" borderId="0" xfId="0" applyNumberFormat="1" applyFont="1"/>
    <xf numFmtId="0" fontId="36" fillId="0" borderId="0" xfId="0" applyFont="1"/>
    <xf numFmtId="2" fontId="19" fillId="0" borderId="0" xfId="0" applyNumberFormat="1" applyFont="1"/>
    <xf numFmtId="172" fontId="19" fillId="0" borderId="0" xfId="0" applyNumberFormat="1" applyFont="1"/>
    <xf numFmtId="165" fontId="21" fillId="0" borderId="2" xfId="0" applyNumberFormat="1" applyFont="1" applyBorder="1"/>
    <xf numFmtId="165" fontId="17" fillId="0" borderId="2" xfId="0" applyNumberFormat="1" applyFont="1" applyBorder="1"/>
    <xf numFmtId="165" fontId="13" fillId="0" borderId="2" xfId="0" applyNumberFormat="1" applyFont="1" applyBorder="1"/>
    <xf numFmtId="10" fontId="18" fillId="0" borderId="0" xfId="1" applyNumberFormat="1" applyFont="1" applyAlignment="1">
      <alignment horizontal="center"/>
    </xf>
    <xf numFmtId="9" fontId="21" fillId="0" borderId="0" xfId="1" applyFont="1"/>
    <xf numFmtId="165" fontId="18" fillId="0" borderId="2" xfId="0" applyNumberFormat="1" applyFont="1" applyBorder="1"/>
    <xf numFmtId="10" fontId="13" fillId="0" borderId="0" xfId="1" applyNumberFormat="1" applyFont="1" applyAlignment="1">
      <alignment horizontal="center"/>
    </xf>
    <xf numFmtId="10" fontId="38" fillId="0" borderId="0" xfId="1" applyNumberFormat="1" applyFont="1"/>
    <xf numFmtId="10" fontId="2" fillId="0" borderId="0" xfId="1" applyNumberFormat="1" applyFont="1"/>
    <xf numFmtId="165" fontId="13" fillId="2" borderId="0" xfId="0" applyNumberFormat="1" applyFont="1" applyFill="1"/>
    <xf numFmtId="168" fontId="19" fillId="0" borderId="0" xfId="0" applyNumberFormat="1" applyFont="1"/>
  </cellXfs>
  <cellStyles count="4">
    <cellStyle name="Hyperlink" xfId="2" builtinId="8"/>
    <cellStyle name="Hyperlink 2" xfId="3" xr:uid="{CD338C1B-22D5-4EB8-86E5-4EC74E026C44}"/>
    <cellStyle name="Normal" xfId="0" builtinId="0"/>
    <cellStyle name="Per cent" xfId="1"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Drop" dropLines="19" dropStyle="combo" dx="22" fmlaRange="Display!$A$2:$A$21" noThreeD="1" sel="0" val="0"/>
</file>

<file path=xl/ctrlProps/ctrlProp2.xml><?xml version="1.0" encoding="utf-8"?>
<formControlPr xmlns="http://schemas.microsoft.com/office/spreadsheetml/2009/9/main" objectType="Drop" dropLines="20" dropStyle="combo" dx="22" fmlaLink="Display!$B$1" fmlaRange="Display!$A$2:$A$21" noThreeD="1" sel="3" val="0"/>
</file>

<file path=xl/ctrlProps/ctrlProp3.xml><?xml version="1.0" encoding="utf-8"?>
<formControlPr xmlns="http://schemas.microsoft.com/office/spreadsheetml/2009/9/main" objectType="Drop" dropLines="19" dropStyle="combo" dx="22" fmlaRange="Display!$A$2:$A$21" noThreeD="1" sel="0" val="0"/>
</file>

<file path=xl/ctrlProps/ctrlProp4.xml><?xml version="1.0" encoding="utf-8"?>
<formControlPr xmlns="http://schemas.microsoft.com/office/spreadsheetml/2009/9/main" objectType="Drop" dropLines="20" dropStyle="combo" dx="22" fmlaLink="Display!$B$1" fmlaRange="Display!$A$2:$A$21" noThreeD="1" sel="3" val="0"/>
</file>

<file path=xl/ctrlProps/ctrlProp5.xml><?xml version="1.0" encoding="utf-8"?>
<formControlPr xmlns="http://schemas.microsoft.com/office/spreadsheetml/2009/9/main" objectType="Drop" dropLines="19" dropStyle="combo" dx="22" fmlaRange="Display!$A$2:$A$21" noThreeD="1" sel="0" val="0"/>
</file>

<file path=xl/ctrlProps/ctrlProp6.xml><?xml version="1.0" encoding="utf-8"?>
<formControlPr xmlns="http://schemas.microsoft.com/office/spreadsheetml/2009/9/main" objectType="Drop" dropLines="20" dropStyle="combo" dx="22" fmlaLink="Display!$B$1" fmlaRange="Display!$A$2:$A$21" noThreeD="1" sel="3" val="0"/>
</file>

<file path=xl/ctrlProps/ctrlProp7.xml><?xml version="1.0" encoding="utf-8"?>
<formControlPr xmlns="http://schemas.microsoft.com/office/spreadsheetml/2009/9/main" objectType="Drop" dropLines="19" dropStyle="combo" dx="22" fmlaRange="Display!$A$2:$A$21" noThreeD="1" sel="0" val="0"/>
</file>

<file path=xl/ctrlProps/ctrlProp8.xml><?xml version="1.0" encoding="utf-8"?>
<formControlPr xmlns="http://schemas.microsoft.com/office/spreadsheetml/2009/9/main" objectType="Drop" dropLines="20" dropStyle="combo" dx="22" fmlaLink="Display!$B$1" fmlaRange="Display!$A$2:$A$21" noThreeD="1" sel="3" val="0"/>
</file>

<file path=xl/ctrlProps/ctrlProp9.xml><?xml version="1.0" encoding="utf-8"?>
<formControlPr xmlns="http://schemas.microsoft.com/office/spreadsheetml/2009/9/main" objectType="Drop" dropLines="19" dropStyle="combo" dx="22" fmlaRange="Display!$A$2:$A$21" noThreeD="1" sel="0" val="0"/>
</file>

<file path=xl/ctrlProps/ctrlProp10.xml><?xml version="1.0" encoding="utf-8"?>
<formControlPr xmlns="http://schemas.microsoft.com/office/spreadsheetml/2009/9/main" objectType="Drop" dropLines="20" dropStyle="combo" dx="22" fmlaLink="Display!$B$1" fmlaRange="Display!$A$2:$A$21" noThreeD="1" sel="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0</xdr:col>
          <xdr:colOff>5629275</xdr:colOff>
          <xdr:row>7</xdr:row>
          <xdr:rowOff>9525</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E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1</xdr:col>
          <xdr:colOff>19050</xdr:colOff>
          <xdr:row>7</xdr:row>
          <xdr:rowOff>9525</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E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0</xdr:col>
          <xdr:colOff>5629275</xdr:colOff>
          <xdr:row>7</xdr:row>
          <xdr:rowOff>9525</xdr:rowOff>
        </xdr:to>
        <xdr:sp macro="" textlink="">
          <xdr:nvSpPr>
            <xdr:cNvPr id="36865" name="Drop Down 1" hidden="1">
              <a:extLst>
                <a:ext uri="{63B3BB69-23CF-44E3-9099-C40C66FF867C}">
                  <a14:compatExt spid="_x0000_s36865"/>
                </a:ext>
                <a:ext uri="{FF2B5EF4-FFF2-40B4-BE49-F238E27FC236}">
                  <a16:creationId xmlns:a16="http://schemas.microsoft.com/office/drawing/2014/main" id="{00000000-0008-0000-0F00-000001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1</xdr:col>
          <xdr:colOff>19050</xdr:colOff>
          <xdr:row>7</xdr:row>
          <xdr:rowOff>9525</xdr:rowOff>
        </xdr:to>
        <xdr:sp macro="" textlink="">
          <xdr:nvSpPr>
            <xdr:cNvPr id="36866" name="Drop Down 2" hidden="1">
              <a:extLst>
                <a:ext uri="{63B3BB69-23CF-44E3-9099-C40C66FF867C}">
                  <a14:compatExt spid="_x0000_s36866"/>
                </a:ext>
                <a:ext uri="{FF2B5EF4-FFF2-40B4-BE49-F238E27FC236}">
                  <a16:creationId xmlns:a16="http://schemas.microsoft.com/office/drawing/2014/main" id="{00000000-0008-0000-0F00-000002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0</xdr:col>
          <xdr:colOff>5629275</xdr:colOff>
          <xdr:row>7</xdr:row>
          <xdr:rowOff>9525</xdr:rowOff>
        </xdr:to>
        <xdr:sp macro="" textlink="">
          <xdr:nvSpPr>
            <xdr:cNvPr id="37889" name="Drop Down 1" hidden="1">
              <a:extLst>
                <a:ext uri="{63B3BB69-23CF-44E3-9099-C40C66FF867C}">
                  <a14:compatExt spid="_x0000_s37889"/>
                </a:ext>
                <a:ext uri="{FF2B5EF4-FFF2-40B4-BE49-F238E27FC236}">
                  <a16:creationId xmlns:a16="http://schemas.microsoft.com/office/drawing/2014/main" id="{00000000-0008-0000-1000-0000019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1</xdr:col>
          <xdr:colOff>19050</xdr:colOff>
          <xdr:row>7</xdr:row>
          <xdr:rowOff>9525</xdr:rowOff>
        </xdr:to>
        <xdr:sp macro="" textlink="">
          <xdr:nvSpPr>
            <xdr:cNvPr id="37890" name="Drop Down 2" hidden="1">
              <a:extLst>
                <a:ext uri="{63B3BB69-23CF-44E3-9099-C40C66FF867C}">
                  <a14:compatExt spid="_x0000_s37890"/>
                </a:ext>
                <a:ext uri="{FF2B5EF4-FFF2-40B4-BE49-F238E27FC236}">
                  <a16:creationId xmlns:a16="http://schemas.microsoft.com/office/drawing/2014/main" id="{00000000-0008-0000-1000-0000029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0</xdr:col>
          <xdr:colOff>5629275</xdr:colOff>
          <xdr:row>7</xdr:row>
          <xdr:rowOff>9525</xdr:rowOff>
        </xdr:to>
        <xdr:sp macro="" textlink="">
          <xdr:nvSpPr>
            <xdr:cNvPr id="38913" name="Drop Down 1" hidden="1">
              <a:extLst>
                <a:ext uri="{63B3BB69-23CF-44E3-9099-C40C66FF867C}">
                  <a14:compatExt spid="_x0000_s38913"/>
                </a:ext>
                <a:ext uri="{FF2B5EF4-FFF2-40B4-BE49-F238E27FC236}">
                  <a16:creationId xmlns:a16="http://schemas.microsoft.com/office/drawing/2014/main" id="{00000000-0008-0000-1100-000001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1</xdr:col>
          <xdr:colOff>19050</xdr:colOff>
          <xdr:row>7</xdr:row>
          <xdr:rowOff>9525</xdr:rowOff>
        </xdr:to>
        <xdr:sp macro="" textlink="">
          <xdr:nvSpPr>
            <xdr:cNvPr id="38914" name="Drop Down 2" hidden="1">
              <a:extLst>
                <a:ext uri="{63B3BB69-23CF-44E3-9099-C40C66FF867C}">
                  <a14:compatExt spid="_x0000_s38914"/>
                </a:ext>
                <a:ext uri="{FF2B5EF4-FFF2-40B4-BE49-F238E27FC236}">
                  <a16:creationId xmlns:a16="http://schemas.microsoft.com/office/drawing/2014/main" id="{00000000-0008-0000-1100-000002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0</xdr:col>
          <xdr:colOff>5629275</xdr:colOff>
          <xdr:row>7</xdr:row>
          <xdr:rowOff>9525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12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1</xdr:col>
          <xdr:colOff>19050</xdr:colOff>
          <xdr:row>7</xdr:row>
          <xdr:rowOff>9525</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12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treasury.govt.nz/publications/information-release/archive-new-zealand-superannuation-nzs-fund-contribution-rate-model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reasury.govt.nz/publications/information-release/archive-new-zealand-superannuation-fund-nzsf-contribution-rate-models"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tats.govt.nz/information-releases/national-population-projections-2024base2078/" TargetMode="External"/><Relationship Id="rId1" Type="http://schemas.openxmlformats.org/officeDocument/2006/relationships/hyperlink" Target="https://www.stats.govt.nz/information-releases/national-labour-force-projections-2024base-2078/"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hyperlink" Target="https://treasury.govt.nz/publications/information-release/archive-new-zealand-superannuation-nzs-fund-contribution-rate-models" TargetMode="External"/></Relationships>
</file>

<file path=xl/worksheets/_rels/sheet1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9.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FFCC9-27F8-42F6-B014-F013916EFA67}">
  <dimension ref="A1:C21"/>
  <sheetViews>
    <sheetView workbookViewId="0">
      <selection activeCell="E25" sqref="E25"/>
    </sheetView>
  </sheetViews>
  <sheetFormatPr defaultRowHeight="15" x14ac:dyDescent="0.25"/>
  <cols>
    <col min="1" max="1" width="80.7109375" customWidth="1"/>
  </cols>
  <sheetData>
    <row r="1" spans="1:3" ht="15.75" x14ac:dyDescent="0.25">
      <c r="A1" s="76" t="s">
        <v>854</v>
      </c>
      <c r="B1">
        <v>3</v>
      </c>
      <c r="C1">
        <f ca="1">OFFSET($A$1,$B$1,1)</f>
        <v>78</v>
      </c>
    </row>
    <row r="2" spans="1:3" ht="15.75" x14ac:dyDescent="0.25">
      <c r="A2" s="1" t="s">
        <v>743</v>
      </c>
      <c r="B2" s="18">
        <v>41</v>
      </c>
    </row>
    <row r="3" spans="1:3" ht="15.75" x14ac:dyDescent="0.25">
      <c r="A3" s="1" t="s">
        <v>745</v>
      </c>
      <c r="B3" s="18">
        <v>45</v>
      </c>
    </row>
    <row r="4" spans="1:3" ht="15.75" x14ac:dyDescent="0.25">
      <c r="A4" s="1" t="s">
        <v>855</v>
      </c>
      <c r="B4" s="18">
        <v>78</v>
      </c>
    </row>
    <row r="5" spans="1:3" ht="15.75" x14ac:dyDescent="0.25">
      <c r="A5" s="1" t="s">
        <v>856</v>
      </c>
      <c r="B5" s="18">
        <v>81</v>
      </c>
    </row>
    <row r="6" spans="1:3" ht="15.75" x14ac:dyDescent="0.25">
      <c r="A6" s="1" t="s">
        <v>746</v>
      </c>
      <c r="B6" s="18">
        <v>82</v>
      </c>
    </row>
    <row r="7" spans="1:3" ht="15.75" x14ac:dyDescent="0.25">
      <c r="A7" s="1" t="s">
        <v>749</v>
      </c>
      <c r="B7" s="18">
        <v>51</v>
      </c>
    </row>
    <row r="8" spans="1:3" ht="15.75" x14ac:dyDescent="0.25">
      <c r="A8" s="1" t="s">
        <v>750</v>
      </c>
      <c r="B8" s="18">
        <v>47</v>
      </c>
    </row>
    <row r="9" spans="1:3" ht="15.75" x14ac:dyDescent="0.25">
      <c r="A9" s="1" t="s">
        <v>751</v>
      </c>
      <c r="B9" s="18">
        <v>48</v>
      </c>
    </row>
    <row r="10" spans="1:3" ht="15.75" x14ac:dyDescent="0.25">
      <c r="A10" s="1" t="s">
        <v>752</v>
      </c>
      <c r="B10" s="18">
        <v>49</v>
      </c>
    </row>
    <row r="11" spans="1:3" ht="15.75" x14ac:dyDescent="0.25">
      <c r="A11" s="1" t="s">
        <v>857</v>
      </c>
      <c r="B11" s="18">
        <v>50</v>
      </c>
    </row>
    <row r="12" spans="1:3" ht="15.75" x14ac:dyDescent="0.25">
      <c r="A12" s="1" t="s">
        <v>753</v>
      </c>
      <c r="B12" s="18">
        <v>34</v>
      </c>
    </row>
    <row r="13" spans="1:3" ht="15.75" x14ac:dyDescent="0.25">
      <c r="A13" s="1" t="s">
        <v>754</v>
      </c>
      <c r="B13" s="18">
        <v>35</v>
      </c>
    </row>
    <row r="14" spans="1:3" ht="15.75" x14ac:dyDescent="0.25">
      <c r="A14" s="1" t="s">
        <v>755</v>
      </c>
      <c r="B14" s="18">
        <v>39</v>
      </c>
    </row>
    <row r="15" spans="1:3" ht="15.75" x14ac:dyDescent="0.25">
      <c r="A15" s="1" t="s">
        <v>757</v>
      </c>
      <c r="B15" s="18">
        <v>142</v>
      </c>
    </row>
    <row r="16" spans="1:3" ht="15.75" x14ac:dyDescent="0.25">
      <c r="A16" s="1" t="s">
        <v>758</v>
      </c>
      <c r="B16" s="18">
        <v>140</v>
      </c>
    </row>
    <row r="17" spans="1:2" ht="15.75" x14ac:dyDescent="0.25">
      <c r="A17" s="1" t="s">
        <v>759</v>
      </c>
      <c r="B17" s="18">
        <v>58</v>
      </c>
    </row>
    <row r="18" spans="1:2" ht="15.75" x14ac:dyDescent="0.25">
      <c r="A18" s="1" t="s">
        <v>760</v>
      </c>
      <c r="B18" s="18">
        <v>60</v>
      </c>
    </row>
    <row r="19" spans="1:2" ht="15.75" x14ac:dyDescent="0.25">
      <c r="A19" s="1" t="s">
        <v>761</v>
      </c>
      <c r="B19" s="18">
        <v>65</v>
      </c>
    </row>
    <row r="20" spans="1:2" ht="15.75" x14ac:dyDescent="0.25">
      <c r="A20" s="1" t="s">
        <v>756</v>
      </c>
      <c r="B20" s="18">
        <v>85</v>
      </c>
    </row>
    <row r="21" spans="1:2" ht="15.75" x14ac:dyDescent="0.25">
      <c r="A21" s="1" t="s">
        <v>762</v>
      </c>
      <c r="B21" s="18">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5E0FC-0A48-4519-A397-EDF2132D1CEF}">
  <dimension ref="A1:R171"/>
  <sheetViews>
    <sheetView tabSelected="1" workbookViewId="0"/>
  </sheetViews>
  <sheetFormatPr defaultRowHeight="15" x14ac:dyDescent="0.25"/>
  <sheetData>
    <row r="1" spans="1:18" ht="15.75" x14ac:dyDescent="0.25">
      <c r="A1" s="1" t="s">
        <v>0</v>
      </c>
      <c r="B1" s="2"/>
      <c r="C1" s="2"/>
      <c r="D1" s="2"/>
      <c r="E1" s="2"/>
      <c r="F1" s="2"/>
      <c r="G1" s="2"/>
      <c r="H1" s="2"/>
      <c r="I1" s="2"/>
      <c r="J1" s="2"/>
      <c r="K1" s="2"/>
      <c r="L1" s="2"/>
      <c r="M1" s="2"/>
      <c r="N1" s="2"/>
      <c r="O1" s="2"/>
      <c r="P1" s="2"/>
      <c r="Q1" s="2"/>
      <c r="R1" s="2"/>
    </row>
    <row r="2" spans="1:18" x14ac:dyDescent="0.25">
      <c r="A2" s="3"/>
      <c r="B2" s="2"/>
      <c r="C2" s="2"/>
      <c r="D2" s="2"/>
      <c r="E2" s="2"/>
      <c r="F2" s="2"/>
      <c r="G2" s="2"/>
      <c r="H2" s="2"/>
      <c r="I2" s="2"/>
      <c r="J2" s="2"/>
      <c r="K2" s="2"/>
      <c r="L2" s="2"/>
      <c r="M2" s="2"/>
      <c r="N2" s="2"/>
      <c r="O2" s="2"/>
      <c r="P2" s="2"/>
      <c r="Q2" s="2"/>
      <c r="R2" s="2"/>
    </row>
    <row r="3" spans="1:18" x14ac:dyDescent="0.25">
      <c r="A3" s="4" t="s">
        <v>1</v>
      </c>
      <c r="B3" s="2"/>
      <c r="C3" s="2"/>
      <c r="D3" s="4" t="s">
        <v>2</v>
      </c>
      <c r="E3" s="2"/>
      <c r="F3" s="2"/>
      <c r="G3" s="2"/>
      <c r="H3" s="2"/>
      <c r="I3" s="4" t="s">
        <v>3</v>
      </c>
      <c r="J3" s="2"/>
      <c r="K3" s="2"/>
      <c r="L3" s="2"/>
      <c r="M3" s="2"/>
      <c r="N3" s="4" t="s">
        <v>4</v>
      </c>
      <c r="O3" s="2"/>
      <c r="P3" s="2"/>
      <c r="Q3" s="2"/>
      <c r="R3" s="2"/>
    </row>
    <row r="4" spans="1:18" x14ac:dyDescent="0.25">
      <c r="A4" s="4"/>
      <c r="B4" s="2"/>
      <c r="C4" s="2"/>
      <c r="D4" s="2"/>
      <c r="E4" s="2"/>
      <c r="F4" s="2"/>
      <c r="G4" s="2"/>
      <c r="H4" s="2"/>
      <c r="I4" s="2"/>
      <c r="J4" s="2"/>
      <c r="K4" s="2"/>
      <c r="L4" s="2"/>
      <c r="M4" s="2"/>
      <c r="N4" s="2"/>
      <c r="O4" s="2"/>
      <c r="P4" s="2"/>
      <c r="Q4" s="2"/>
      <c r="R4" s="2"/>
    </row>
    <row r="5" spans="1:18" x14ac:dyDescent="0.25">
      <c r="A5" s="3" t="s">
        <v>5</v>
      </c>
      <c r="B5" s="2"/>
      <c r="C5" s="2"/>
      <c r="D5" s="2" t="s">
        <v>6</v>
      </c>
      <c r="E5" s="2"/>
      <c r="F5" s="2"/>
      <c r="G5" s="2"/>
      <c r="H5" s="2"/>
      <c r="I5" s="2" t="s">
        <v>7</v>
      </c>
      <c r="J5" s="2"/>
      <c r="K5" s="2"/>
      <c r="L5" s="2"/>
      <c r="M5" s="2"/>
      <c r="N5" s="2" t="s">
        <v>8</v>
      </c>
      <c r="O5" s="2"/>
      <c r="P5" s="2"/>
      <c r="Q5" s="2"/>
      <c r="R5" s="2"/>
    </row>
    <row r="6" spans="1:18" x14ac:dyDescent="0.25">
      <c r="A6" s="2"/>
      <c r="B6" s="2"/>
      <c r="C6" s="2"/>
      <c r="D6" s="2" t="s">
        <v>9</v>
      </c>
      <c r="E6" s="2"/>
      <c r="F6" s="2"/>
      <c r="G6" s="2"/>
      <c r="H6" s="2"/>
      <c r="I6" s="2" t="s">
        <v>10</v>
      </c>
      <c r="J6" s="2"/>
      <c r="K6" s="2"/>
      <c r="L6" s="2"/>
      <c r="M6" s="2"/>
      <c r="N6" s="2"/>
      <c r="O6" s="2"/>
      <c r="P6" s="2"/>
      <c r="Q6" s="2"/>
      <c r="R6" s="2"/>
    </row>
    <row r="7" spans="1:18" x14ac:dyDescent="0.25">
      <c r="A7" s="2"/>
      <c r="B7" s="2"/>
      <c r="C7" s="2"/>
      <c r="D7" s="2" t="s">
        <v>11</v>
      </c>
      <c r="E7" s="2"/>
      <c r="F7" s="2"/>
      <c r="G7" s="2"/>
      <c r="H7" s="2"/>
      <c r="I7" s="2" t="s">
        <v>12</v>
      </c>
      <c r="J7" s="2"/>
      <c r="K7" s="2"/>
      <c r="L7" s="2"/>
      <c r="M7" s="2"/>
      <c r="N7" s="2"/>
      <c r="O7" s="2"/>
      <c r="P7" s="2"/>
      <c r="Q7" s="2"/>
      <c r="R7" s="2"/>
    </row>
    <row r="8" spans="1:18" x14ac:dyDescent="0.25">
      <c r="A8" s="2"/>
      <c r="B8" s="2"/>
      <c r="C8" s="2"/>
      <c r="D8" s="2" t="s">
        <v>13</v>
      </c>
      <c r="E8" s="2"/>
      <c r="F8" s="2"/>
      <c r="G8" s="2"/>
      <c r="H8" s="2"/>
      <c r="I8" s="2" t="s">
        <v>14</v>
      </c>
      <c r="J8" s="2"/>
      <c r="K8" s="2"/>
      <c r="L8" s="2"/>
      <c r="M8" s="2"/>
      <c r="N8" s="2"/>
      <c r="O8" s="2"/>
      <c r="P8" s="2"/>
      <c r="Q8" s="2"/>
      <c r="R8" s="2"/>
    </row>
    <row r="9" spans="1:18" x14ac:dyDescent="0.25">
      <c r="A9" s="2"/>
      <c r="B9" s="2"/>
      <c r="C9" s="2"/>
      <c r="D9" s="2"/>
      <c r="E9" s="2"/>
      <c r="F9" s="2"/>
      <c r="G9" s="2"/>
      <c r="H9" s="2"/>
      <c r="I9" s="2" t="s">
        <v>15</v>
      </c>
      <c r="J9" s="2"/>
      <c r="K9" s="2"/>
      <c r="L9" s="2"/>
      <c r="M9" s="2"/>
      <c r="N9" s="2"/>
      <c r="O9" s="2"/>
      <c r="P9" s="2"/>
      <c r="Q9" s="2"/>
      <c r="R9" s="2"/>
    </row>
    <row r="10" spans="1:18" x14ac:dyDescent="0.25">
      <c r="A10" s="2"/>
      <c r="B10" s="2"/>
      <c r="C10" s="2"/>
      <c r="D10" s="2"/>
      <c r="E10" s="2"/>
      <c r="F10" s="2"/>
      <c r="G10" s="2"/>
      <c r="H10" s="2"/>
      <c r="I10" s="2" t="s">
        <v>16</v>
      </c>
      <c r="J10" s="2"/>
      <c r="K10" s="2"/>
      <c r="L10" s="2"/>
      <c r="M10" s="2"/>
      <c r="N10" s="2"/>
      <c r="O10" s="2"/>
      <c r="P10" s="2"/>
      <c r="Q10" s="2"/>
      <c r="R10" s="2"/>
    </row>
    <row r="11" spans="1:18" x14ac:dyDescent="0.25">
      <c r="A11" s="2"/>
      <c r="B11" s="2"/>
      <c r="C11" s="2"/>
      <c r="D11" s="2"/>
      <c r="E11" s="2"/>
      <c r="F11" s="2"/>
      <c r="G11" s="2"/>
      <c r="H11" s="2"/>
      <c r="I11" s="5" t="s">
        <v>17</v>
      </c>
      <c r="J11" s="2"/>
      <c r="K11" s="2"/>
      <c r="L11" s="2"/>
      <c r="M11" s="2"/>
      <c r="N11" s="2"/>
      <c r="O11" s="2"/>
      <c r="P11" s="2"/>
      <c r="Q11" s="2"/>
      <c r="R11" s="2"/>
    </row>
    <row r="12" spans="1:18" x14ac:dyDescent="0.25">
      <c r="A12" s="2"/>
      <c r="B12" s="2"/>
      <c r="C12" s="2"/>
      <c r="D12" s="2"/>
      <c r="E12" s="2"/>
      <c r="F12" s="2"/>
      <c r="G12" s="2"/>
      <c r="H12" s="2"/>
      <c r="I12" s="2"/>
      <c r="J12" s="2"/>
      <c r="K12" s="2"/>
      <c r="L12" s="2"/>
      <c r="M12" s="2"/>
      <c r="N12" s="2"/>
      <c r="O12" s="2"/>
      <c r="P12" s="2"/>
      <c r="Q12" s="2"/>
      <c r="R12" s="2"/>
    </row>
    <row r="13" spans="1:18" x14ac:dyDescent="0.25">
      <c r="A13" s="3" t="s">
        <v>18</v>
      </c>
      <c r="B13" s="2"/>
      <c r="C13" s="2"/>
      <c r="D13" s="2" t="s">
        <v>19</v>
      </c>
      <c r="E13" s="2"/>
      <c r="F13" s="2"/>
      <c r="G13" s="2"/>
      <c r="H13" s="2"/>
      <c r="I13" s="2" t="s">
        <v>20</v>
      </c>
      <c r="J13" s="2"/>
      <c r="K13" s="2"/>
      <c r="L13" s="2"/>
      <c r="M13" s="2"/>
      <c r="N13" s="2" t="s">
        <v>8</v>
      </c>
      <c r="O13" s="2"/>
      <c r="P13" s="2"/>
      <c r="Q13" s="2"/>
      <c r="R13" s="2"/>
    </row>
    <row r="14" spans="1:18" x14ac:dyDescent="0.25">
      <c r="A14" s="2"/>
      <c r="B14" s="2"/>
      <c r="C14" s="2"/>
      <c r="D14" s="2" t="s">
        <v>21</v>
      </c>
      <c r="E14" s="2"/>
      <c r="F14" s="2"/>
      <c r="G14" s="2"/>
      <c r="H14" s="2"/>
      <c r="I14" s="2" t="s">
        <v>22</v>
      </c>
      <c r="J14" s="2"/>
      <c r="K14" s="2"/>
      <c r="L14" s="2"/>
      <c r="M14" s="2"/>
      <c r="N14" s="2"/>
      <c r="O14" s="2"/>
      <c r="P14" s="2"/>
      <c r="Q14" s="2"/>
      <c r="R14" s="2"/>
    </row>
    <row r="15" spans="1:18" x14ac:dyDescent="0.25">
      <c r="A15" s="2"/>
      <c r="B15" s="2"/>
      <c r="C15" s="2"/>
      <c r="D15" s="2" t="s">
        <v>23</v>
      </c>
      <c r="E15" s="2"/>
      <c r="F15" s="2"/>
      <c r="G15" s="2"/>
      <c r="H15" s="2"/>
      <c r="I15" s="2"/>
      <c r="J15" s="2"/>
      <c r="K15" s="2"/>
      <c r="L15" s="2"/>
      <c r="M15" s="2"/>
      <c r="N15" s="2"/>
      <c r="O15" s="2"/>
      <c r="P15" s="2"/>
      <c r="Q15" s="2"/>
      <c r="R15" s="2"/>
    </row>
    <row r="16" spans="1:18" x14ac:dyDescent="0.25">
      <c r="A16" s="2"/>
      <c r="B16" s="2"/>
      <c r="C16" s="2"/>
      <c r="D16" s="2"/>
      <c r="E16" s="2"/>
      <c r="F16" s="2"/>
      <c r="G16" s="2"/>
      <c r="H16" s="2"/>
      <c r="I16" s="2"/>
      <c r="J16" s="2"/>
      <c r="K16" s="2"/>
      <c r="L16" s="2"/>
      <c r="M16" s="2"/>
      <c r="N16" s="2"/>
      <c r="O16" s="2"/>
      <c r="P16" s="2"/>
      <c r="Q16" s="2"/>
      <c r="R16" s="2"/>
    </row>
    <row r="17" spans="1:18" x14ac:dyDescent="0.25">
      <c r="A17" s="3" t="s">
        <v>24</v>
      </c>
      <c r="B17" s="2"/>
      <c r="C17" s="2"/>
      <c r="D17" s="2" t="s">
        <v>25</v>
      </c>
      <c r="E17" s="2"/>
      <c r="F17" s="2"/>
      <c r="G17" s="2"/>
      <c r="H17" s="2"/>
      <c r="I17" s="2" t="s">
        <v>20</v>
      </c>
      <c r="J17" s="2"/>
      <c r="K17" s="2"/>
      <c r="L17" s="2"/>
      <c r="M17" s="2"/>
      <c r="N17" s="2" t="s">
        <v>8</v>
      </c>
      <c r="O17" s="2"/>
      <c r="P17" s="2"/>
      <c r="Q17" s="2"/>
      <c r="R17" s="2"/>
    </row>
    <row r="18" spans="1:18" x14ac:dyDescent="0.25">
      <c r="A18" s="2"/>
      <c r="B18" s="2"/>
      <c r="C18" s="2"/>
      <c r="D18" s="2" t="s">
        <v>26</v>
      </c>
      <c r="E18" s="2"/>
      <c r="F18" s="2"/>
      <c r="G18" s="2"/>
      <c r="H18" s="2"/>
      <c r="I18" s="2" t="s">
        <v>22</v>
      </c>
      <c r="J18" s="2"/>
      <c r="K18" s="2"/>
      <c r="L18" s="2"/>
      <c r="M18" s="2"/>
      <c r="N18" s="2"/>
      <c r="O18" s="2"/>
      <c r="P18" s="2"/>
      <c r="Q18" s="2"/>
      <c r="R18" s="2"/>
    </row>
    <row r="19" spans="1:18" x14ac:dyDescent="0.25">
      <c r="A19" s="2"/>
      <c r="B19" s="2"/>
      <c r="C19" s="2"/>
      <c r="D19" s="2" t="s">
        <v>27</v>
      </c>
      <c r="E19" s="2"/>
      <c r="F19" s="2"/>
      <c r="G19" s="2"/>
      <c r="H19" s="2"/>
      <c r="I19" s="2"/>
      <c r="J19" s="2"/>
      <c r="K19" s="2"/>
      <c r="L19" s="2"/>
      <c r="M19" s="2"/>
      <c r="N19" s="2"/>
      <c r="O19" s="2"/>
      <c r="P19" s="2"/>
      <c r="Q19" s="2"/>
      <c r="R19" s="2"/>
    </row>
    <row r="20" spans="1:18" x14ac:dyDescent="0.25">
      <c r="A20" s="2"/>
      <c r="B20" s="2"/>
      <c r="C20" s="2"/>
      <c r="D20" s="2" t="s">
        <v>28</v>
      </c>
      <c r="E20" s="2"/>
      <c r="F20" s="2"/>
      <c r="G20" s="2"/>
      <c r="H20" s="2"/>
      <c r="I20" s="2"/>
      <c r="J20" s="2"/>
      <c r="K20" s="2"/>
      <c r="L20" s="2"/>
      <c r="M20" s="2"/>
      <c r="N20" s="2"/>
      <c r="O20" s="2"/>
      <c r="P20" s="2"/>
      <c r="Q20" s="2"/>
      <c r="R20" s="2"/>
    </row>
    <row r="21" spans="1:18" x14ac:dyDescent="0.25">
      <c r="A21" s="2"/>
      <c r="B21" s="2"/>
      <c r="C21" s="2"/>
      <c r="D21" s="2" t="s">
        <v>29</v>
      </c>
      <c r="E21" s="2"/>
      <c r="F21" s="2"/>
      <c r="G21" s="2"/>
      <c r="H21" s="2"/>
      <c r="I21" s="2"/>
      <c r="J21" s="2"/>
      <c r="K21" s="2"/>
      <c r="L21" s="2"/>
      <c r="M21" s="2"/>
      <c r="N21" s="2"/>
      <c r="O21" s="2"/>
      <c r="P21" s="2"/>
      <c r="Q21" s="2"/>
      <c r="R21" s="2"/>
    </row>
    <row r="22" spans="1:18" x14ac:dyDescent="0.25">
      <c r="A22" s="2"/>
      <c r="B22" s="2"/>
      <c r="C22" s="2"/>
      <c r="D22" s="2" t="s">
        <v>30</v>
      </c>
      <c r="E22" s="2"/>
      <c r="F22" s="2"/>
      <c r="G22" s="2"/>
      <c r="H22" s="2"/>
      <c r="I22" s="2"/>
      <c r="J22" s="2"/>
      <c r="K22" s="2"/>
      <c r="L22" s="2"/>
      <c r="M22" s="2"/>
      <c r="N22" s="2"/>
      <c r="O22" s="2"/>
      <c r="P22" s="2"/>
      <c r="Q22" s="2"/>
      <c r="R22" s="2"/>
    </row>
    <row r="23" spans="1:18" x14ac:dyDescent="0.25">
      <c r="A23" s="2"/>
      <c r="B23" s="2"/>
      <c r="C23" s="2"/>
      <c r="D23" s="2"/>
      <c r="E23" s="2"/>
      <c r="F23" s="2"/>
      <c r="G23" s="2"/>
      <c r="H23" s="2"/>
      <c r="I23" s="2"/>
      <c r="J23" s="2"/>
      <c r="K23" s="2"/>
      <c r="L23" s="2"/>
      <c r="M23" s="2"/>
      <c r="N23" s="2"/>
      <c r="O23" s="2"/>
      <c r="P23" s="2"/>
      <c r="Q23" s="2"/>
      <c r="R23" s="2"/>
    </row>
    <row r="24" spans="1:18" x14ac:dyDescent="0.25">
      <c r="A24" s="3" t="s">
        <v>31</v>
      </c>
      <c r="B24" s="2"/>
      <c r="C24" s="2"/>
      <c r="D24" s="2" t="s">
        <v>32</v>
      </c>
      <c r="E24" s="2"/>
      <c r="F24" s="2"/>
      <c r="G24" s="2"/>
      <c r="H24" s="2"/>
      <c r="I24" s="2" t="s">
        <v>33</v>
      </c>
      <c r="J24" s="2"/>
      <c r="K24" s="2"/>
      <c r="L24" s="2"/>
      <c r="M24" s="2"/>
      <c r="N24" s="2" t="s">
        <v>8</v>
      </c>
      <c r="O24" s="2"/>
      <c r="P24" s="2"/>
      <c r="Q24" s="2"/>
      <c r="R24" s="2"/>
    </row>
    <row r="25" spans="1:18" x14ac:dyDescent="0.25">
      <c r="A25" s="2"/>
      <c r="B25" s="2"/>
      <c r="C25" s="2"/>
      <c r="D25" s="2" t="s">
        <v>34</v>
      </c>
      <c r="E25" s="2"/>
      <c r="F25" s="2"/>
      <c r="G25" s="2"/>
      <c r="H25" s="2"/>
      <c r="I25" s="2" t="s">
        <v>35</v>
      </c>
      <c r="J25" s="2"/>
      <c r="K25" s="2"/>
      <c r="L25" s="2"/>
      <c r="M25" s="2"/>
      <c r="N25" s="2"/>
      <c r="O25" s="2"/>
      <c r="P25" s="2"/>
      <c r="Q25" s="2"/>
      <c r="R25" s="2"/>
    </row>
    <row r="26" spans="1:18" x14ac:dyDescent="0.25">
      <c r="A26" s="2"/>
      <c r="B26" s="2"/>
      <c r="C26" s="2"/>
      <c r="D26" s="2" t="s">
        <v>36</v>
      </c>
      <c r="E26" s="2"/>
      <c r="F26" s="2"/>
      <c r="G26" s="2"/>
      <c r="H26" s="2"/>
      <c r="I26" s="2" t="s">
        <v>37</v>
      </c>
      <c r="J26" s="2"/>
      <c r="K26" s="2"/>
      <c r="L26" s="2"/>
      <c r="M26" s="2"/>
      <c r="N26" s="2"/>
      <c r="O26" s="2"/>
      <c r="P26" s="2"/>
      <c r="Q26" s="2"/>
      <c r="R26" s="2"/>
    </row>
    <row r="27" spans="1:18" x14ac:dyDescent="0.25">
      <c r="A27" s="2"/>
      <c r="B27" s="2"/>
      <c r="C27" s="2"/>
      <c r="D27" s="2" t="s">
        <v>38</v>
      </c>
      <c r="E27" s="2"/>
      <c r="F27" s="2"/>
      <c r="G27" s="2"/>
      <c r="H27" s="2"/>
      <c r="I27" s="2" t="s">
        <v>39</v>
      </c>
      <c r="J27" s="2"/>
      <c r="K27" s="2"/>
      <c r="L27" s="2"/>
      <c r="M27" s="2"/>
      <c r="N27" s="2"/>
      <c r="O27" s="2"/>
      <c r="P27" s="2"/>
      <c r="Q27" s="2"/>
      <c r="R27" s="2"/>
    </row>
    <row r="28" spans="1:18" x14ac:dyDescent="0.25">
      <c r="A28" s="2"/>
      <c r="B28" s="2"/>
      <c r="C28" s="2"/>
      <c r="D28" s="2" t="s">
        <v>40</v>
      </c>
      <c r="E28" s="2"/>
      <c r="F28" s="2"/>
      <c r="G28" s="2"/>
      <c r="H28" s="2"/>
      <c r="I28" s="2" t="s">
        <v>41</v>
      </c>
      <c r="J28" s="2"/>
      <c r="K28" s="2"/>
      <c r="L28" s="2"/>
      <c r="M28" s="2"/>
      <c r="N28" s="2"/>
      <c r="O28" s="2"/>
      <c r="P28" s="2"/>
      <c r="Q28" s="2"/>
      <c r="R28" s="2"/>
    </row>
    <row r="29" spans="1:18" x14ac:dyDescent="0.25">
      <c r="A29" s="2"/>
      <c r="B29" s="2"/>
      <c r="C29" s="2"/>
      <c r="D29" s="2" t="s">
        <v>42</v>
      </c>
      <c r="E29" s="2"/>
      <c r="F29" s="2"/>
      <c r="G29" s="2"/>
      <c r="H29" s="2"/>
      <c r="I29" s="2" t="s">
        <v>43</v>
      </c>
      <c r="J29" s="2"/>
      <c r="K29" s="2"/>
      <c r="L29" s="2"/>
      <c r="M29" s="2"/>
      <c r="N29" s="2"/>
      <c r="O29" s="2"/>
      <c r="P29" s="2"/>
      <c r="Q29" s="2"/>
      <c r="R29" s="2"/>
    </row>
    <row r="30" spans="1:18" x14ac:dyDescent="0.25">
      <c r="A30" s="2"/>
      <c r="B30" s="2"/>
      <c r="C30" s="2"/>
      <c r="D30" s="2" t="s">
        <v>44</v>
      </c>
      <c r="E30" s="2"/>
      <c r="F30" s="2"/>
      <c r="G30" s="2"/>
      <c r="H30" s="2"/>
      <c r="I30" s="2"/>
      <c r="J30" s="2"/>
      <c r="K30" s="2"/>
      <c r="L30" s="2"/>
      <c r="M30" s="2"/>
      <c r="N30" s="2"/>
      <c r="O30" s="2"/>
      <c r="P30" s="2"/>
      <c r="Q30" s="2"/>
      <c r="R30" s="2"/>
    </row>
    <row r="31" spans="1:18" x14ac:dyDescent="0.25">
      <c r="A31" s="2"/>
      <c r="B31" s="2"/>
      <c r="C31" s="2"/>
      <c r="D31" s="2" t="s">
        <v>45</v>
      </c>
      <c r="E31" s="2"/>
      <c r="F31" s="2"/>
      <c r="G31" s="2"/>
      <c r="H31" s="2"/>
      <c r="I31" s="2"/>
      <c r="J31" s="2"/>
      <c r="K31" s="2"/>
      <c r="L31" s="2"/>
      <c r="M31" s="2"/>
      <c r="N31" s="2"/>
      <c r="O31" s="2"/>
      <c r="P31" s="2"/>
      <c r="Q31" s="2"/>
      <c r="R31" s="2"/>
    </row>
    <row r="32" spans="1:18" x14ac:dyDescent="0.25">
      <c r="A32" s="2"/>
      <c r="B32" s="2"/>
      <c r="C32" s="2"/>
      <c r="D32" s="2" t="s">
        <v>46</v>
      </c>
      <c r="E32" s="2"/>
      <c r="F32" s="2"/>
      <c r="G32" s="2"/>
      <c r="H32" s="2"/>
      <c r="I32" s="2"/>
      <c r="J32" s="2"/>
      <c r="K32" s="2"/>
      <c r="L32" s="2"/>
      <c r="M32" s="2"/>
      <c r="N32" s="2"/>
      <c r="O32" s="2"/>
      <c r="P32" s="2"/>
      <c r="Q32" s="2"/>
      <c r="R32" s="2"/>
    </row>
    <row r="33" spans="1:18" x14ac:dyDescent="0.25">
      <c r="A33" s="2"/>
      <c r="B33" s="2"/>
      <c r="C33" s="2"/>
      <c r="D33" s="2" t="s">
        <v>47</v>
      </c>
      <c r="E33" s="2"/>
      <c r="F33" s="2"/>
      <c r="G33" s="2"/>
      <c r="H33" s="2"/>
      <c r="I33" s="2"/>
      <c r="J33" s="2"/>
      <c r="K33" s="2"/>
      <c r="L33" s="2"/>
      <c r="M33" s="2"/>
      <c r="N33" s="2"/>
      <c r="O33" s="2"/>
      <c r="P33" s="2"/>
      <c r="Q33" s="2"/>
      <c r="R33" s="2"/>
    </row>
    <row r="34" spans="1:18" x14ac:dyDescent="0.25">
      <c r="A34" s="2"/>
      <c r="B34" s="2"/>
      <c r="C34" s="2"/>
      <c r="D34" s="2"/>
      <c r="E34" s="2"/>
      <c r="F34" s="2"/>
      <c r="G34" s="2"/>
      <c r="H34" s="2"/>
      <c r="I34" s="2"/>
      <c r="J34" s="2"/>
      <c r="K34" s="2"/>
      <c r="L34" s="2"/>
      <c r="M34" s="2"/>
      <c r="N34" s="2"/>
      <c r="O34" s="2"/>
      <c r="P34" s="2"/>
      <c r="Q34" s="2"/>
      <c r="R34" s="2"/>
    </row>
    <row r="35" spans="1:18" x14ac:dyDescent="0.25">
      <c r="A35" s="3" t="s">
        <v>48</v>
      </c>
      <c r="B35" s="2"/>
      <c r="C35" s="2"/>
      <c r="D35" s="2" t="s">
        <v>49</v>
      </c>
      <c r="E35" s="2"/>
      <c r="F35" s="2"/>
      <c r="G35" s="2"/>
      <c r="H35" s="2"/>
      <c r="I35" s="2" t="s">
        <v>50</v>
      </c>
      <c r="J35" s="2"/>
      <c r="K35" s="2"/>
      <c r="L35" s="2"/>
      <c r="M35" s="2"/>
      <c r="N35" s="3" t="s">
        <v>31</v>
      </c>
      <c r="O35" s="2"/>
      <c r="P35" s="2"/>
      <c r="Q35" s="2"/>
      <c r="R35" s="2"/>
    </row>
    <row r="36" spans="1:18" x14ac:dyDescent="0.25">
      <c r="A36" s="2"/>
      <c r="B36" s="2"/>
      <c r="C36" s="2"/>
      <c r="D36" s="2" t="s">
        <v>51</v>
      </c>
      <c r="E36" s="2"/>
      <c r="F36" s="2"/>
      <c r="G36" s="2"/>
      <c r="H36" s="2"/>
      <c r="I36" s="2" t="s">
        <v>52</v>
      </c>
      <c r="J36" s="2"/>
      <c r="K36" s="2"/>
      <c r="L36" s="2"/>
      <c r="M36" s="2"/>
      <c r="N36" s="3" t="s">
        <v>53</v>
      </c>
      <c r="O36" s="2"/>
      <c r="P36" s="2"/>
      <c r="Q36" s="2"/>
      <c r="R36" s="2"/>
    </row>
    <row r="37" spans="1:18" x14ac:dyDescent="0.25">
      <c r="A37" s="2"/>
      <c r="B37" s="2"/>
      <c r="C37" s="2"/>
      <c r="D37" s="2" t="s">
        <v>54</v>
      </c>
      <c r="E37" s="2"/>
      <c r="F37" s="2"/>
      <c r="G37" s="2"/>
      <c r="H37" s="2"/>
      <c r="I37" s="2" t="s">
        <v>55</v>
      </c>
      <c r="J37" s="2"/>
      <c r="K37" s="2"/>
      <c r="L37" s="2"/>
      <c r="M37" s="2"/>
      <c r="N37" s="2"/>
      <c r="O37" s="2"/>
      <c r="P37" s="2"/>
      <c r="Q37" s="2"/>
      <c r="R37" s="2"/>
    </row>
    <row r="38" spans="1:18" x14ac:dyDescent="0.25">
      <c r="A38" s="2"/>
      <c r="B38" s="2"/>
      <c r="C38" s="2"/>
      <c r="D38" s="2" t="s">
        <v>56</v>
      </c>
      <c r="E38" s="2"/>
      <c r="F38" s="2"/>
      <c r="G38" s="2"/>
      <c r="H38" s="2"/>
      <c r="I38" s="2" t="s">
        <v>57</v>
      </c>
      <c r="J38" s="2"/>
      <c r="K38" s="2"/>
      <c r="L38" s="2"/>
      <c r="M38" s="2"/>
      <c r="N38" s="2"/>
      <c r="O38" s="2"/>
      <c r="P38" s="2"/>
      <c r="Q38" s="2"/>
      <c r="R38" s="2"/>
    </row>
    <row r="39" spans="1:18" x14ac:dyDescent="0.25">
      <c r="A39" s="2"/>
      <c r="B39" s="2"/>
      <c r="C39" s="2"/>
      <c r="D39" s="2" t="s">
        <v>58</v>
      </c>
      <c r="E39" s="2"/>
      <c r="F39" s="2"/>
      <c r="G39" s="2"/>
      <c r="H39" s="2"/>
      <c r="I39" s="2" t="s">
        <v>59</v>
      </c>
      <c r="J39" s="2"/>
      <c r="K39" s="2"/>
      <c r="L39" s="2"/>
      <c r="M39" s="2"/>
      <c r="N39" s="2"/>
      <c r="O39" s="2"/>
      <c r="P39" s="2"/>
      <c r="Q39" s="2"/>
      <c r="R39" s="2"/>
    </row>
    <row r="40" spans="1:18" x14ac:dyDescent="0.25">
      <c r="A40" s="2"/>
      <c r="B40" s="2"/>
      <c r="C40" s="2"/>
      <c r="D40" s="2" t="s">
        <v>60</v>
      </c>
      <c r="E40" s="2"/>
      <c r="F40" s="2"/>
      <c r="G40" s="2"/>
      <c r="H40" s="2"/>
      <c r="I40" s="2" t="s">
        <v>61</v>
      </c>
      <c r="J40" s="2"/>
      <c r="K40" s="2"/>
      <c r="L40" s="2"/>
      <c r="M40" s="2"/>
      <c r="N40" s="2"/>
      <c r="O40" s="2"/>
      <c r="P40" s="2"/>
      <c r="Q40" s="2"/>
      <c r="R40" s="2"/>
    </row>
    <row r="41" spans="1:18" x14ac:dyDescent="0.25">
      <c r="A41" s="2"/>
      <c r="B41" s="2"/>
      <c r="C41" s="2"/>
      <c r="D41" s="2" t="s">
        <v>62</v>
      </c>
      <c r="E41" s="2"/>
      <c r="F41" s="2"/>
      <c r="G41" s="2"/>
      <c r="H41" s="2"/>
      <c r="I41" s="2" t="s">
        <v>63</v>
      </c>
      <c r="J41" s="2"/>
      <c r="K41" s="2"/>
      <c r="L41" s="2"/>
      <c r="M41" s="2"/>
      <c r="N41" s="2"/>
      <c r="O41" s="2"/>
      <c r="P41" s="2"/>
      <c r="Q41" s="2"/>
      <c r="R41" s="2"/>
    </row>
    <row r="42" spans="1:18" x14ac:dyDescent="0.25">
      <c r="A42" s="2"/>
      <c r="B42" s="2"/>
      <c r="C42" s="2"/>
      <c r="D42" s="2"/>
      <c r="E42" s="2"/>
      <c r="F42" s="2"/>
      <c r="G42" s="2"/>
      <c r="H42" s="2"/>
      <c r="I42" s="2" t="s">
        <v>64</v>
      </c>
      <c r="J42" s="2"/>
      <c r="K42" s="2"/>
      <c r="L42" s="2"/>
      <c r="M42" s="2"/>
      <c r="N42" s="2"/>
      <c r="O42" s="2"/>
      <c r="P42" s="2"/>
      <c r="Q42" s="2"/>
      <c r="R42" s="2"/>
    </row>
    <row r="43" spans="1:18" x14ac:dyDescent="0.25">
      <c r="A43" s="2"/>
      <c r="B43" s="2"/>
      <c r="C43" s="2"/>
      <c r="D43" s="2"/>
      <c r="E43" s="2"/>
      <c r="F43" s="2"/>
      <c r="G43" s="2"/>
      <c r="H43" s="2"/>
      <c r="I43" s="2" t="s">
        <v>65</v>
      </c>
      <c r="J43" s="2"/>
      <c r="K43" s="2"/>
      <c r="L43" s="2"/>
      <c r="M43" s="2"/>
      <c r="N43" s="2"/>
      <c r="O43" s="2"/>
      <c r="P43" s="2"/>
      <c r="Q43" s="2"/>
      <c r="R43" s="2"/>
    </row>
    <row r="44" spans="1:18" x14ac:dyDescent="0.25">
      <c r="A44" s="2"/>
      <c r="B44" s="2"/>
      <c r="C44" s="2"/>
      <c r="D44" s="2"/>
      <c r="E44" s="2"/>
      <c r="F44" s="2"/>
      <c r="G44" s="2"/>
      <c r="H44" s="2"/>
      <c r="I44" s="2" t="s">
        <v>66</v>
      </c>
      <c r="J44" s="2"/>
      <c r="K44" s="2"/>
      <c r="L44" s="2"/>
      <c r="M44" s="2"/>
      <c r="N44" s="2"/>
      <c r="O44" s="2"/>
      <c r="P44" s="2"/>
      <c r="Q44" s="2"/>
      <c r="R44" s="2"/>
    </row>
    <row r="45" spans="1:18" x14ac:dyDescent="0.25">
      <c r="A45" s="2"/>
      <c r="B45" s="2"/>
      <c r="C45" s="2"/>
      <c r="D45" s="2"/>
      <c r="E45" s="2"/>
      <c r="F45" s="2"/>
      <c r="G45" s="2"/>
      <c r="H45" s="2"/>
      <c r="I45" s="2"/>
      <c r="J45" s="2"/>
      <c r="K45" s="2"/>
      <c r="L45" s="2"/>
      <c r="M45" s="2"/>
      <c r="N45" s="2"/>
      <c r="O45" s="2"/>
      <c r="P45" s="2"/>
      <c r="Q45" s="2"/>
      <c r="R45" s="2"/>
    </row>
    <row r="46" spans="1:18" x14ac:dyDescent="0.25">
      <c r="A46" s="3" t="s">
        <v>67</v>
      </c>
      <c r="B46" s="2"/>
      <c r="C46" s="2"/>
      <c r="D46" s="2" t="s">
        <v>49</v>
      </c>
      <c r="E46" s="2"/>
      <c r="F46" s="2"/>
      <c r="G46" s="2"/>
      <c r="H46" s="2"/>
      <c r="I46" s="2" t="s">
        <v>68</v>
      </c>
      <c r="J46" s="2"/>
      <c r="K46" s="2"/>
      <c r="L46" s="2"/>
      <c r="M46" s="2"/>
      <c r="N46" s="3" t="s">
        <v>31</v>
      </c>
      <c r="O46" s="2"/>
      <c r="P46" s="2"/>
      <c r="Q46" s="2"/>
      <c r="R46" s="2"/>
    </row>
    <row r="47" spans="1:18" x14ac:dyDescent="0.25">
      <c r="A47" s="2"/>
      <c r="B47" s="2"/>
      <c r="C47" s="2"/>
      <c r="D47" s="2" t="s">
        <v>69</v>
      </c>
      <c r="E47" s="2"/>
      <c r="F47" s="2"/>
      <c r="G47" s="2"/>
      <c r="H47" s="2"/>
      <c r="I47" s="2" t="s">
        <v>70</v>
      </c>
      <c r="J47" s="2"/>
      <c r="K47" s="2"/>
      <c r="L47" s="2"/>
      <c r="M47" s="2"/>
      <c r="N47" s="3" t="s">
        <v>48</v>
      </c>
      <c r="O47" s="2"/>
      <c r="P47" s="2"/>
      <c r="Q47" s="2"/>
      <c r="R47" s="2"/>
    </row>
    <row r="48" spans="1:18" x14ac:dyDescent="0.25">
      <c r="A48" s="2"/>
      <c r="B48" s="2"/>
      <c r="C48" s="2"/>
      <c r="D48" s="2" t="s">
        <v>54</v>
      </c>
      <c r="E48" s="2"/>
      <c r="F48" s="2"/>
      <c r="G48" s="2"/>
      <c r="H48" s="2"/>
      <c r="I48" s="2" t="s">
        <v>71</v>
      </c>
      <c r="J48" s="2"/>
      <c r="K48" s="2"/>
      <c r="L48" s="2"/>
      <c r="M48" s="2"/>
      <c r="N48" s="3" t="s">
        <v>53</v>
      </c>
      <c r="O48" s="2"/>
      <c r="P48" s="2"/>
      <c r="Q48" s="2"/>
      <c r="R48" s="2"/>
    </row>
    <row r="49" spans="1:18" x14ac:dyDescent="0.25">
      <c r="A49" s="2"/>
      <c r="B49" s="2"/>
      <c r="C49" s="2"/>
      <c r="D49" s="2" t="s">
        <v>56</v>
      </c>
      <c r="E49" s="2"/>
      <c r="F49" s="2"/>
      <c r="G49" s="2"/>
      <c r="H49" s="2"/>
      <c r="I49" s="2" t="s">
        <v>72</v>
      </c>
      <c r="J49" s="2"/>
      <c r="K49" s="2"/>
      <c r="L49" s="2"/>
      <c r="M49" s="2"/>
      <c r="N49" s="2"/>
      <c r="O49" s="2"/>
      <c r="P49" s="2"/>
      <c r="Q49" s="2"/>
      <c r="R49" s="2"/>
    </row>
    <row r="50" spans="1:18" x14ac:dyDescent="0.25">
      <c r="A50" s="2"/>
      <c r="B50" s="2"/>
      <c r="C50" s="2"/>
      <c r="D50" s="2" t="s">
        <v>73</v>
      </c>
      <c r="E50" s="2"/>
      <c r="F50" s="2"/>
      <c r="G50" s="2"/>
      <c r="H50" s="2"/>
      <c r="I50" s="2" t="s">
        <v>74</v>
      </c>
      <c r="J50" s="2"/>
      <c r="K50" s="2"/>
      <c r="L50" s="2"/>
      <c r="M50" s="2"/>
      <c r="N50" s="2"/>
      <c r="O50" s="2"/>
      <c r="P50" s="2"/>
      <c r="Q50" s="2"/>
      <c r="R50" s="2"/>
    </row>
    <row r="51" spans="1:18" x14ac:dyDescent="0.25">
      <c r="A51" s="2"/>
      <c r="B51" s="2"/>
      <c r="C51" s="2"/>
      <c r="D51" s="2" t="s">
        <v>75</v>
      </c>
      <c r="E51" s="2"/>
      <c r="F51" s="2"/>
      <c r="G51" s="2"/>
      <c r="H51" s="2"/>
      <c r="I51" s="2"/>
      <c r="J51" s="2"/>
      <c r="K51" s="2"/>
      <c r="L51" s="2"/>
      <c r="M51" s="2"/>
      <c r="N51" s="2"/>
      <c r="O51" s="2"/>
      <c r="P51" s="2"/>
      <c r="Q51" s="2"/>
      <c r="R51" s="2"/>
    </row>
    <row r="52" spans="1:18" x14ac:dyDescent="0.25">
      <c r="A52" s="2"/>
      <c r="B52" s="2"/>
      <c r="C52" s="2"/>
      <c r="D52" s="2" t="s">
        <v>76</v>
      </c>
      <c r="E52" s="2"/>
      <c r="F52" s="2"/>
      <c r="G52" s="2"/>
      <c r="H52" s="2"/>
      <c r="I52" s="2"/>
      <c r="J52" s="2"/>
      <c r="K52" s="2"/>
      <c r="L52" s="2"/>
      <c r="M52" s="2"/>
      <c r="N52" s="2"/>
      <c r="O52" s="2"/>
      <c r="P52" s="2"/>
      <c r="Q52" s="2"/>
      <c r="R52" s="2"/>
    </row>
    <row r="53" spans="1:18" x14ac:dyDescent="0.25">
      <c r="A53" s="2"/>
      <c r="B53" s="2"/>
      <c r="C53" s="2"/>
      <c r="D53" s="2" t="s">
        <v>77</v>
      </c>
      <c r="E53" s="2"/>
      <c r="F53" s="2"/>
      <c r="G53" s="2"/>
      <c r="H53" s="2"/>
      <c r="I53" s="2"/>
      <c r="J53" s="2"/>
      <c r="K53" s="2"/>
      <c r="L53" s="2"/>
      <c r="M53" s="2"/>
      <c r="N53" s="2"/>
      <c r="O53" s="2"/>
      <c r="P53" s="2"/>
      <c r="Q53" s="2"/>
      <c r="R53" s="2"/>
    </row>
    <row r="54" spans="1:18" x14ac:dyDescent="0.25">
      <c r="A54" s="2"/>
      <c r="B54" s="2"/>
      <c r="C54" s="2"/>
      <c r="D54" s="2" t="s">
        <v>78</v>
      </c>
      <c r="E54" s="2"/>
      <c r="F54" s="2"/>
      <c r="G54" s="2"/>
      <c r="H54" s="2"/>
      <c r="I54" s="2"/>
      <c r="J54" s="2"/>
      <c r="K54" s="2"/>
      <c r="L54" s="2"/>
      <c r="M54" s="2"/>
      <c r="N54" s="2"/>
      <c r="O54" s="2"/>
      <c r="P54" s="2"/>
      <c r="Q54" s="2"/>
      <c r="R54" s="2"/>
    </row>
    <row r="55" spans="1:18" x14ac:dyDescent="0.25">
      <c r="A55" s="2"/>
      <c r="B55" s="2"/>
      <c r="C55" s="2"/>
      <c r="D55" s="2" t="s">
        <v>79</v>
      </c>
      <c r="E55" s="2"/>
      <c r="F55" s="2"/>
      <c r="G55" s="2"/>
      <c r="H55" s="2"/>
      <c r="I55" s="2"/>
      <c r="J55" s="2"/>
      <c r="K55" s="2"/>
      <c r="L55" s="2"/>
      <c r="M55" s="2"/>
      <c r="N55" s="3"/>
      <c r="O55" s="2"/>
      <c r="P55" s="2"/>
      <c r="Q55" s="2"/>
      <c r="R55" s="2"/>
    </row>
    <row r="56" spans="1:18" x14ac:dyDescent="0.25">
      <c r="A56" s="2"/>
      <c r="B56" s="2"/>
      <c r="C56" s="2"/>
      <c r="D56" s="2"/>
      <c r="E56" s="2"/>
      <c r="F56" s="2"/>
      <c r="G56" s="2"/>
      <c r="H56" s="2"/>
      <c r="I56" s="2"/>
      <c r="J56" s="2"/>
      <c r="K56" s="2"/>
      <c r="L56" s="2"/>
      <c r="M56" s="2"/>
      <c r="N56" s="2"/>
      <c r="O56" s="2"/>
      <c r="P56" s="2"/>
      <c r="Q56" s="2"/>
      <c r="R56" s="2"/>
    </row>
    <row r="57" spans="1:18" x14ac:dyDescent="0.25">
      <c r="A57" s="3" t="s">
        <v>80</v>
      </c>
      <c r="B57" s="2"/>
      <c r="C57" s="2"/>
      <c r="D57" s="2" t="s">
        <v>81</v>
      </c>
      <c r="E57" s="2"/>
      <c r="F57" s="2"/>
      <c r="G57" s="2"/>
      <c r="H57" s="2"/>
      <c r="I57" s="2" t="s">
        <v>82</v>
      </c>
      <c r="J57" s="2"/>
      <c r="K57" s="2"/>
      <c r="L57" s="2"/>
      <c r="M57" s="2"/>
      <c r="N57" s="2" t="s">
        <v>8</v>
      </c>
      <c r="O57" s="2"/>
      <c r="P57" s="2"/>
      <c r="Q57" s="2"/>
      <c r="R57" s="2"/>
    </row>
    <row r="58" spans="1:18" x14ac:dyDescent="0.25">
      <c r="A58" s="2"/>
      <c r="B58" s="2"/>
      <c r="C58" s="2"/>
      <c r="D58" s="2" t="s">
        <v>83</v>
      </c>
      <c r="E58" s="2"/>
      <c r="F58" s="2"/>
      <c r="G58" s="2"/>
      <c r="H58" s="2"/>
      <c r="I58" s="2" t="s">
        <v>84</v>
      </c>
      <c r="J58" s="2"/>
      <c r="K58" s="2"/>
      <c r="L58" s="2"/>
      <c r="M58" s="2"/>
      <c r="N58" s="2"/>
      <c r="O58" s="2"/>
      <c r="P58" s="2"/>
      <c r="Q58" s="2"/>
      <c r="R58" s="2"/>
    </row>
    <row r="59" spans="1:18" x14ac:dyDescent="0.25">
      <c r="A59" s="2"/>
      <c r="B59" s="2"/>
      <c r="C59" s="2"/>
      <c r="D59" s="2" t="s">
        <v>85</v>
      </c>
      <c r="E59" s="2"/>
      <c r="F59" s="2"/>
      <c r="G59" s="2"/>
      <c r="H59" s="2"/>
      <c r="I59" s="2" t="s">
        <v>86</v>
      </c>
      <c r="J59" s="2"/>
      <c r="K59" s="2"/>
      <c r="L59" s="2"/>
      <c r="M59" s="2"/>
      <c r="N59" s="2"/>
      <c r="O59" s="2"/>
      <c r="P59" s="2"/>
      <c r="Q59" s="2"/>
      <c r="R59" s="2"/>
    </row>
    <row r="60" spans="1:18" x14ac:dyDescent="0.25">
      <c r="A60" s="2"/>
      <c r="B60" s="2"/>
      <c r="C60" s="2"/>
      <c r="D60" s="2" t="s">
        <v>87</v>
      </c>
      <c r="E60" s="2"/>
      <c r="F60" s="2"/>
      <c r="G60" s="2"/>
      <c r="H60" s="2"/>
      <c r="I60" s="2" t="s">
        <v>88</v>
      </c>
      <c r="J60" s="2"/>
      <c r="K60" s="2"/>
      <c r="L60" s="2"/>
      <c r="M60" s="2"/>
      <c r="N60" s="2"/>
      <c r="O60" s="2"/>
      <c r="P60" s="2"/>
      <c r="Q60" s="2"/>
      <c r="R60" s="2"/>
    </row>
    <row r="61" spans="1:18" x14ac:dyDescent="0.25">
      <c r="A61" s="2"/>
      <c r="B61" s="2"/>
      <c r="C61" s="2"/>
      <c r="D61" s="2" t="s">
        <v>89</v>
      </c>
      <c r="E61" s="2"/>
      <c r="F61" s="2"/>
      <c r="G61" s="2"/>
      <c r="H61" s="2"/>
      <c r="I61" s="2" t="s">
        <v>90</v>
      </c>
      <c r="J61" s="2"/>
      <c r="K61" s="2"/>
      <c r="L61" s="2"/>
      <c r="M61" s="2"/>
      <c r="N61" s="2"/>
      <c r="O61" s="2"/>
      <c r="P61" s="2"/>
      <c r="Q61" s="2"/>
      <c r="R61" s="2"/>
    </row>
    <row r="62" spans="1:18" x14ac:dyDescent="0.25">
      <c r="A62" s="2"/>
      <c r="B62" s="2"/>
      <c r="C62" s="2"/>
      <c r="D62" s="2" t="s">
        <v>91</v>
      </c>
      <c r="E62" s="2"/>
      <c r="F62" s="2"/>
      <c r="G62" s="2"/>
      <c r="H62" s="2"/>
      <c r="I62" s="2" t="s">
        <v>92</v>
      </c>
      <c r="J62" s="2"/>
      <c r="K62" s="2"/>
      <c r="L62" s="2"/>
      <c r="M62" s="2"/>
      <c r="N62" s="2"/>
      <c r="O62" s="2"/>
      <c r="P62" s="2"/>
      <c r="Q62" s="2"/>
      <c r="R62" s="2"/>
    </row>
    <row r="63" spans="1:18" x14ac:dyDescent="0.25">
      <c r="A63" s="2"/>
      <c r="B63" s="2"/>
      <c r="C63" s="2"/>
      <c r="D63" s="2" t="s">
        <v>93</v>
      </c>
      <c r="E63" s="2"/>
      <c r="F63" s="2"/>
      <c r="G63" s="2"/>
      <c r="H63" s="2"/>
      <c r="I63" s="2" t="s">
        <v>94</v>
      </c>
      <c r="J63" s="2"/>
      <c r="K63" s="2"/>
      <c r="L63" s="2"/>
      <c r="M63" s="2"/>
      <c r="N63" s="2"/>
      <c r="O63" s="2"/>
      <c r="P63" s="2"/>
      <c r="Q63" s="2"/>
      <c r="R63" s="2"/>
    </row>
    <row r="64" spans="1:18" x14ac:dyDescent="0.25">
      <c r="A64" s="2"/>
      <c r="B64" s="2"/>
      <c r="C64" s="2"/>
      <c r="D64" s="2" t="s">
        <v>1459</v>
      </c>
      <c r="E64" s="2"/>
      <c r="F64" s="2"/>
      <c r="G64" s="2"/>
      <c r="H64" s="2"/>
      <c r="I64" s="2" t="s">
        <v>95</v>
      </c>
      <c r="J64" s="2"/>
      <c r="K64" s="2"/>
      <c r="L64" s="2"/>
      <c r="M64" s="2"/>
      <c r="N64" s="2"/>
      <c r="O64" s="2"/>
      <c r="P64" s="2"/>
      <c r="Q64" s="2"/>
      <c r="R64" s="2"/>
    </row>
    <row r="65" spans="1:18" x14ac:dyDescent="0.25">
      <c r="A65" s="2"/>
      <c r="B65" s="2"/>
      <c r="C65" s="2"/>
      <c r="D65" s="2" t="s">
        <v>96</v>
      </c>
      <c r="E65" s="2"/>
      <c r="F65" s="2"/>
      <c r="G65" s="2"/>
      <c r="H65" s="2"/>
      <c r="I65" s="2" t="s">
        <v>97</v>
      </c>
      <c r="J65" s="2"/>
      <c r="K65" s="2"/>
      <c r="L65" s="2"/>
      <c r="M65" s="2"/>
      <c r="N65" s="2"/>
      <c r="O65" s="2"/>
      <c r="P65" s="2"/>
      <c r="Q65" s="2"/>
      <c r="R65" s="2"/>
    </row>
    <row r="66" spans="1:18" x14ac:dyDescent="0.25">
      <c r="A66" s="2"/>
      <c r="B66" s="2"/>
      <c r="C66" s="2"/>
      <c r="D66" s="2" t="s">
        <v>98</v>
      </c>
      <c r="E66" s="2"/>
      <c r="F66" s="2"/>
      <c r="G66" s="2"/>
      <c r="H66" s="2"/>
      <c r="I66" s="2" t="s">
        <v>99</v>
      </c>
      <c r="J66" s="2"/>
      <c r="K66" s="2"/>
      <c r="L66" s="2"/>
      <c r="M66" s="2"/>
      <c r="N66" s="2"/>
      <c r="O66" s="2"/>
      <c r="P66" s="2"/>
      <c r="Q66" s="2"/>
      <c r="R66" s="2"/>
    </row>
    <row r="67" spans="1:18" x14ac:dyDescent="0.25">
      <c r="A67" s="2"/>
      <c r="B67" s="2"/>
      <c r="C67" s="2"/>
      <c r="D67" s="2" t="s">
        <v>100</v>
      </c>
      <c r="E67" s="2"/>
      <c r="F67" s="2"/>
      <c r="G67" s="2"/>
      <c r="H67" s="2"/>
      <c r="I67" s="2"/>
      <c r="J67" s="2"/>
      <c r="K67" s="2"/>
      <c r="L67" s="2"/>
      <c r="M67" s="2"/>
      <c r="N67" s="2"/>
      <c r="O67" s="2"/>
      <c r="P67" s="2"/>
      <c r="Q67" s="2"/>
      <c r="R67" s="2"/>
    </row>
    <row r="68" spans="1:18" x14ac:dyDescent="0.25">
      <c r="A68" s="2"/>
      <c r="B68" s="2"/>
      <c r="C68" s="2"/>
      <c r="D68" s="2"/>
      <c r="E68" s="2"/>
      <c r="F68" s="2"/>
      <c r="G68" s="2"/>
      <c r="H68" s="2"/>
      <c r="I68" s="2"/>
      <c r="J68" s="2"/>
      <c r="K68" s="2"/>
      <c r="L68" s="2"/>
      <c r="M68" s="2"/>
      <c r="N68" s="2"/>
      <c r="O68" s="2"/>
      <c r="P68" s="2"/>
      <c r="Q68" s="2"/>
      <c r="R68" s="2"/>
    </row>
    <row r="69" spans="1:18" x14ac:dyDescent="0.25">
      <c r="A69" s="3" t="s">
        <v>101</v>
      </c>
      <c r="B69" s="2"/>
      <c r="C69" s="2"/>
      <c r="D69" s="2" t="s">
        <v>102</v>
      </c>
      <c r="E69" s="2"/>
      <c r="F69" s="2"/>
      <c r="G69" s="2"/>
      <c r="H69" s="2"/>
      <c r="I69" s="2" t="s">
        <v>103</v>
      </c>
      <c r="J69" s="2"/>
      <c r="K69" s="2"/>
      <c r="L69" s="2"/>
      <c r="M69" s="2"/>
      <c r="N69" s="2" t="s">
        <v>104</v>
      </c>
      <c r="O69" s="2"/>
      <c r="P69" s="2"/>
      <c r="Q69" s="2"/>
      <c r="R69" s="2"/>
    </row>
    <row r="70" spans="1:18" x14ac:dyDescent="0.25">
      <c r="A70" s="2"/>
      <c r="B70" s="2"/>
      <c r="C70" s="2"/>
      <c r="D70" s="2" t="s">
        <v>105</v>
      </c>
      <c r="E70" s="2"/>
      <c r="F70" s="2"/>
      <c r="G70" s="2"/>
      <c r="H70" s="2"/>
      <c r="I70" s="2" t="s">
        <v>106</v>
      </c>
      <c r="J70" s="2"/>
      <c r="K70" s="2"/>
      <c r="L70" s="2"/>
      <c r="M70" s="2"/>
      <c r="N70" s="2" t="s">
        <v>107</v>
      </c>
      <c r="O70" s="2"/>
      <c r="P70" s="2"/>
      <c r="Q70" s="2"/>
      <c r="R70" s="2"/>
    </row>
    <row r="71" spans="1:18" x14ac:dyDescent="0.25">
      <c r="A71" s="2"/>
      <c r="B71" s="2"/>
      <c r="C71" s="2"/>
      <c r="D71" s="2" t="s">
        <v>108</v>
      </c>
      <c r="E71" s="2"/>
      <c r="F71" s="2"/>
      <c r="G71" s="2"/>
      <c r="H71" s="2"/>
      <c r="I71" s="2" t="s">
        <v>109</v>
      </c>
      <c r="J71" s="2"/>
      <c r="K71" s="2"/>
      <c r="L71" s="2"/>
      <c r="M71" s="2"/>
      <c r="N71" s="3" t="s">
        <v>110</v>
      </c>
      <c r="O71" s="2"/>
      <c r="P71" s="2"/>
      <c r="Q71" s="2"/>
      <c r="R71" s="2"/>
    </row>
    <row r="72" spans="1:18" x14ac:dyDescent="0.25">
      <c r="A72" s="2"/>
      <c r="B72" s="2"/>
      <c r="C72" s="2"/>
      <c r="D72" s="2" t="s">
        <v>111</v>
      </c>
      <c r="E72" s="2"/>
      <c r="F72" s="2"/>
      <c r="G72" s="2"/>
      <c r="H72" s="2"/>
      <c r="I72" s="2" t="s">
        <v>112</v>
      </c>
      <c r="J72" s="2"/>
      <c r="K72" s="2"/>
      <c r="L72" s="2"/>
      <c r="M72" s="2"/>
      <c r="N72" s="2" t="s">
        <v>113</v>
      </c>
      <c r="O72" s="2"/>
      <c r="P72" s="2"/>
      <c r="Q72" s="2"/>
      <c r="R72" s="2"/>
    </row>
    <row r="73" spans="1:18" x14ac:dyDescent="0.25">
      <c r="A73" s="2"/>
      <c r="B73" s="2"/>
      <c r="C73" s="2"/>
      <c r="D73" s="2" t="s">
        <v>114</v>
      </c>
      <c r="E73" s="2"/>
      <c r="F73" s="2"/>
      <c r="G73" s="2"/>
      <c r="H73" s="2"/>
      <c r="I73" s="2" t="s">
        <v>115</v>
      </c>
      <c r="J73" s="2"/>
      <c r="K73" s="2"/>
      <c r="L73" s="2"/>
      <c r="M73" s="2"/>
      <c r="N73" s="2" t="s">
        <v>116</v>
      </c>
      <c r="O73" s="2"/>
      <c r="P73" s="2"/>
      <c r="Q73" s="2"/>
      <c r="R73" s="2"/>
    </row>
    <row r="74" spans="1:18" x14ac:dyDescent="0.25">
      <c r="A74" s="2"/>
      <c r="B74" s="2"/>
      <c r="C74" s="2"/>
      <c r="D74" s="6" t="s">
        <v>117</v>
      </c>
      <c r="E74" s="2"/>
      <c r="F74" s="2" t="s">
        <v>118</v>
      </c>
      <c r="G74" s="2"/>
      <c r="H74" s="2"/>
      <c r="I74" s="2" t="s">
        <v>119</v>
      </c>
      <c r="J74" s="2"/>
      <c r="K74" s="2"/>
      <c r="L74" s="2"/>
      <c r="M74" s="2"/>
      <c r="N74" s="2" t="s">
        <v>120</v>
      </c>
      <c r="O74" s="2"/>
      <c r="P74" s="2"/>
      <c r="Q74" s="2"/>
      <c r="R74" s="2"/>
    </row>
    <row r="75" spans="1:18" x14ac:dyDescent="0.25">
      <c r="A75" s="2"/>
      <c r="B75" s="2"/>
      <c r="C75" s="2"/>
      <c r="D75" s="2" t="s">
        <v>121</v>
      </c>
      <c r="E75" s="2"/>
      <c r="F75" s="2"/>
      <c r="G75" s="2"/>
      <c r="H75" s="2"/>
      <c r="I75" s="2" t="s">
        <v>122</v>
      </c>
      <c r="J75" s="2"/>
      <c r="K75" s="2"/>
      <c r="L75" s="2"/>
      <c r="M75" s="2"/>
      <c r="N75" s="2" t="s">
        <v>123</v>
      </c>
      <c r="O75" s="2"/>
      <c r="P75" s="2"/>
      <c r="Q75" s="2"/>
      <c r="R75" s="2"/>
    </row>
    <row r="76" spans="1:18" x14ac:dyDescent="0.25">
      <c r="A76" s="2"/>
      <c r="B76" s="2"/>
      <c r="C76" s="2"/>
      <c r="D76" s="2" t="s">
        <v>124</v>
      </c>
      <c r="E76" s="2"/>
      <c r="F76" s="2"/>
      <c r="G76" s="2"/>
      <c r="H76" s="2"/>
      <c r="I76" s="2" t="s">
        <v>125</v>
      </c>
      <c r="J76" s="2"/>
      <c r="K76" s="2"/>
      <c r="L76" s="2"/>
      <c r="M76" s="2"/>
      <c r="N76" s="2" t="s">
        <v>126</v>
      </c>
      <c r="O76" s="2"/>
      <c r="P76" s="2"/>
      <c r="Q76" s="2"/>
      <c r="R76" s="2"/>
    </row>
    <row r="77" spans="1:18" x14ac:dyDescent="0.25">
      <c r="A77" s="2"/>
      <c r="B77" s="2"/>
      <c r="C77" s="2"/>
      <c r="D77" s="2" t="s">
        <v>127</v>
      </c>
      <c r="E77" s="2"/>
      <c r="F77" s="2"/>
      <c r="G77" s="2"/>
      <c r="H77" s="2"/>
      <c r="I77" s="2" t="s">
        <v>128</v>
      </c>
      <c r="J77" s="2"/>
      <c r="K77" s="2"/>
      <c r="L77" s="2"/>
      <c r="M77" s="2"/>
      <c r="N77" s="2" t="s">
        <v>129</v>
      </c>
      <c r="O77" s="2"/>
      <c r="P77" s="2"/>
      <c r="Q77" s="2"/>
      <c r="R77" s="2"/>
    </row>
    <row r="78" spans="1:18" x14ac:dyDescent="0.25">
      <c r="A78" s="2"/>
      <c r="B78" s="2"/>
      <c r="C78" s="2"/>
      <c r="D78" s="2"/>
      <c r="E78" s="2"/>
      <c r="F78" s="2"/>
      <c r="G78" s="2"/>
      <c r="H78" s="2"/>
      <c r="I78" s="2" t="s">
        <v>130</v>
      </c>
      <c r="J78" s="2"/>
      <c r="K78" s="2"/>
      <c r="L78" s="2"/>
      <c r="M78" s="2"/>
      <c r="N78" s="2" t="s">
        <v>131</v>
      </c>
      <c r="O78" s="2"/>
      <c r="P78" s="2"/>
      <c r="Q78" s="2"/>
      <c r="R78" s="2"/>
    </row>
    <row r="79" spans="1:18" x14ac:dyDescent="0.25">
      <c r="A79" s="2"/>
      <c r="B79" s="2"/>
      <c r="C79" s="2"/>
      <c r="D79" s="2"/>
      <c r="E79" s="2"/>
      <c r="F79" s="2"/>
      <c r="G79" s="2"/>
      <c r="H79" s="2"/>
      <c r="I79" s="2"/>
      <c r="J79" s="2"/>
      <c r="K79" s="2"/>
      <c r="L79" s="2"/>
      <c r="M79" s="2"/>
      <c r="N79" s="2" t="s">
        <v>132</v>
      </c>
      <c r="O79" s="2"/>
      <c r="P79" s="2"/>
      <c r="Q79" s="2"/>
      <c r="R79" s="2"/>
    </row>
    <row r="80" spans="1:18" x14ac:dyDescent="0.25">
      <c r="A80" s="2"/>
      <c r="B80" s="2"/>
      <c r="C80" s="2"/>
      <c r="D80" s="2"/>
      <c r="E80" s="2"/>
      <c r="F80" s="2"/>
      <c r="G80" s="2"/>
      <c r="H80" s="2"/>
      <c r="I80" s="2"/>
      <c r="J80" s="2"/>
      <c r="K80" s="2"/>
      <c r="L80" s="2"/>
      <c r="M80" s="2"/>
      <c r="N80" s="2" t="s">
        <v>133</v>
      </c>
      <c r="O80" s="2"/>
      <c r="P80" s="2"/>
      <c r="Q80" s="2"/>
      <c r="R80" s="2"/>
    </row>
    <row r="81" spans="1:18" x14ac:dyDescent="0.25">
      <c r="A81" s="2"/>
      <c r="B81" s="2"/>
      <c r="C81" s="2"/>
      <c r="D81" s="2"/>
      <c r="E81" s="2"/>
      <c r="F81" s="2"/>
      <c r="G81" s="2"/>
      <c r="H81" s="2"/>
      <c r="I81" s="2"/>
      <c r="J81" s="2"/>
      <c r="K81" s="2"/>
      <c r="L81" s="2"/>
      <c r="M81" s="2"/>
      <c r="N81" s="2" t="s">
        <v>134</v>
      </c>
      <c r="O81" s="2"/>
      <c r="P81" s="2"/>
      <c r="Q81" s="2"/>
      <c r="R81" s="2"/>
    </row>
    <row r="82" spans="1:18" x14ac:dyDescent="0.25">
      <c r="A82" s="2"/>
      <c r="B82" s="2"/>
      <c r="C82" s="2"/>
      <c r="D82" s="2"/>
      <c r="E82" s="2"/>
      <c r="F82" s="2"/>
      <c r="G82" s="2"/>
      <c r="H82" s="2"/>
      <c r="I82" s="2"/>
      <c r="J82" s="2"/>
      <c r="K82" s="2"/>
      <c r="L82" s="2"/>
      <c r="M82" s="2"/>
      <c r="N82" s="2" t="s">
        <v>135</v>
      </c>
      <c r="O82" s="2"/>
      <c r="P82" s="2"/>
      <c r="Q82" s="2"/>
      <c r="R82" s="2"/>
    </row>
    <row r="83" spans="1:18" x14ac:dyDescent="0.25">
      <c r="A83" s="2"/>
      <c r="B83" s="2"/>
      <c r="C83" s="2"/>
      <c r="D83" s="2"/>
      <c r="E83" s="2"/>
      <c r="F83" s="2"/>
      <c r="G83" s="2"/>
      <c r="H83" s="2"/>
      <c r="I83" s="2"/>
      <c r="J83" s="2"/>
      <c r="K83" s="2"/>
      <c r="L83" s="2"/>
      <c r="M83" s="2"/>
      <c r="N83" s="2" t="s">
        <v>136</v>
      </c>
      <c r="O83" s="2"/>
      <c r="P83" s="2"/>
      <c r="Q83" s="2"/>
      <c r="R83" s="2"/>
    </row>
    <row r="84" spans="1:18" x14ac:dyDescent="0.25">
      <c r="A84" s="2"/>
      <c r="B84" s="2"/>
      <c r="C84" s="2"/>
      <c r="D84" s="2"/>
      <c r="E84" s="2"/>
      <c r="F84" s="2"/>
      <c r="G84" s="2"/>
      <c r="H84" s="2"/>
      <c r="I84" s="2"/>
      <c r="J84" s="2"/>
      <c r="K84" s="2"/>
      <c r="L84" s="2"/>
      <c r="M84" s="2"/>
      <c r="N84" s="2" t="s">
        <v>137</v>
      </c>
      <c r="O84" s="2"/>
      <c r="P84" s="2"/>
      <c r="Q84" s="2"/>
      <c r="R84" s="2"/>
    </row>
    <row r="85" spans="1:18" x14ac:dyDescent="0.25">
      <c r="A85" s="2"/>
      <c r="B85" s="2"/>
      <c r="C85" s="2"/>
      <c r="D85" s="2"/>
      <c r="E85" s="2"/>
      <c r="F85" s="2"/>
      <c r="G85" s="2"/>
      <c r="H85" s="2"/>
      <c r="I85" s="2"/>
      <c r="J85" s="2"/>
      <c r="K85" s="2"/>
      <c r="L85" s="2"/>
      <c r="M85" s="2"/>
      <c r="N85" s="2"/>
      <c r="O85" s="2"/>
      <c r="P85" s="2"/>
      <c r="Q85" s="2"/>
      <c r="R85" s="2"/>
    </row>
    <row r="86" spans="1:18" x14ac:dyDescent="0.25">
      <c r="A86" s="3" t="s">
        <v>138</v>
      </c>
      <c r="B86" s="2"/>
      <c r="C86" s="2"/>
      <c r="D86" s="2" t="s">
        <v>139</v>
      </c>
      <c r="E86" s="2"/>
      <c r="F86" s="2"/>
      <c r="G86" s="2"/>
      <c r="H86" s="2"/>
      <c r="I86" s="2" t="s">
        <v>140</v>
      </c>
      <c r="J86" s="2"/>
      <c r="K86" s="2"/>
      <c r="L86" s="2"/>
      <c r="M86" s="2"/>
      <c r="N86" s="2" t="s">
        <v>104</v>
      </c>
      <c r="O86" s="2"/>
      <c r="P86" s="2"/>
      <c r="Q86" s="2"/>
      <c r="R86" s="2"/>
    </row>
    <row r="87" spans="1:18" x14ac:dyDescent="0.25">
      <c r="A87" s="2"/>
      <c r="B87" s="2"/>
      <c r="C87" s="2"/>
      <c r="D87" s="2" t="s">
        <v>141</v>
      </c>
      <c r="E87" s="2"/>
      <c r="F87" s="2"/>
      <c r="G87" s="2"/>
      <c r="H87" s="2"/>
      <c r="I87" s="2" t="s">
        <v>142</v>
      </c>
      <c r="J87" s="2"/>
      <c r="K87" s="2"/>
      <c r="L87" s="2"/>
      <c r="M87" s="2"/>
      <c r="N87" s="2" t="s">
        <v>107</v>
      </c>
      <c r="O87" s="2"/>
      <c r="P87" s="2"/>
      <c r="Q87" s="2"/>
      <c r="R87" s="2"/>
    </row>
    <row r="88" spans="1:18" x14ac:dyDescent="0.25">
      <c r="A88" s="2"/>
      <c r="B88" s="2"/>
      <c r="C88" s="2"/>
      <c r="D88" s="2" t="s">
        <v>143</v>
      </c>
      <c r="E88" s="2"/>
      <c r="F88" s="2"/>
      <c r="G88" s="2"/>
      <c r="H88" s="2"/>
      <c r="I88" s="2" t="s">
        <v>144</v>
      </c>
      <c r="J88" s="2"/>
      <c r="K88" s="2"/>
      <c r="L88" s="2"/>
      <c r="M88" s="2"/>
      <c r="N88" s="3" t="s">
        <v>110</v>
      </c>
      <c r="O88" s="2"/>
      <c r="P88" s="2"/>
      <c r="Q88" s="2"/>
      <c r="R88" s="2"/>
    </row>
    <row r="89" spans="1:18" x14ac:dyDescent="0.25">
      <c r="A89" s="2"/>
      <c r="B89" s="2"/>
      <c r="C89" s="2"/>
      <c r="D89" s="2" t="s">
        <v>145</v>
      </c>
      <c r="E89" s="2"/>
      <c r="F89" s="2"/>
      <c r="G89" s="2"/>
      <c r="H89" s="2"/>
      <c r="I89" s="2" t="s">
        <v>112</v>
      </c>
      <c r="J89" s="2"/>
      <c r="K89" s="2"/>
      <c r="L89" s="2"/>
      <c r="M89" s="2"/>
      <c r="N89" s="2" t="s">
        <v>113</v>
      </c>
      <c r="O89" s="2"/>
      <c r="P89" s="2"/>
      <c r="Q89" s="2"/>
      <c r="R89" s="2"/>
    </row>
    <row r="90" spans="1:18" x14ac:dyDescent="0.25">
      <c r="A90" s="2"/>
      <c r="B90" s="2"/>
      <c r="C90" s="2"/>
      <c r="D90" s="2" t="s">
        <v>146</v>
      </c>
      <c r="E90" s="2"/>
      <c r="F90" s="2"/>
      <c r="G90" s="2"/>
      <c r="H90" s="2"/>
      <c r="I90" s="2" t="s">
        <v>147</v>
      </c>
      <c r="J90" s="2"/>
      <c r="K90" s="2"/>
      <c r="L90" s="2"/>
      <c r="M90" s="2"/>
      <c r="N90" s="2" t="s">
        <v>116</v>
      </c>
      <c r="O90" s="2"/>
      <c r="P90" s="2"/>
      <c r="Q90" s="2"/>
      <c r="R90" s="2"/>
    </row>
    <row r="91" spans="1:18" x14ac:dyDescent="0.25">
      <c r="A91" s="2"/>
      <c r="B91" s="2"/>
      <c r="C91" s="2"/>
      <c r="D91" s="2" t="s">
        <v>148</v>
      </c>
      <c r="E91" s="2"/>
      <c r="F91" s="2"/>
      <c r="G91" s="2"/>
      <c r="H91" s="2"/>
      <c r="I91" s="7" t="s">
        <v>149</v>
      </c>
      <c r="J91" s="2"/>
      <c r="K91" s="2"/>
      <c r="L91" s="2"/>
      <c r="M91" s="2"/>
      <c r="N91" s="2" t="s">
        <v>120</v>
      </c>
      <c r="O91" s="2"/>
      <c r="P91" s="2"/>
      <c r="Q91" s="2"/>
      <c r="R91" s="2"/>
    </row>
    <row r="92" spans="1:18" x14ac:dyDescent="0.25">
      <c r="A92" s="2"/>
      <c r="B92" s="2"/>
      <c r="C92" s="2"/>
      <c r="D92" s="2" t="s">
        <v>150</v>
      </c>
      <c r="E92" s="2"/>
      <c r="F92" s="2"/>
      <c r="G92" s="2"/>
      <c r="H92" s="2"/>
      <c r="I92" s="2" t="s">
        <v>151</v>
      </c>
      <c r="J92" s="2"/>
      <c r="K92" s="2"/>
      <c r="L92" s="2"/>
      <c r="M92" s="2"/>
      <c r="N92" s="2" t="s">
        <v>123</v>
      </c>
      <c r="O92" s="2"/>
      <c r="P92" s="2"/>
      <c r="Q92" s="2"/>
      <c r="R92" s="2"/>
    </row>
    <row r="93" spans="1:18" x14ac:dyDescent="0.25">
      <c r="A93" s="2"/>
      <c r="B93" s="2"/>
      <c r="C93" s="2"/>
      <c r="D93" s="2" t="s">
        <v>152</v>
      </c>
      <c r="E93" s="2"/>
      <c r="F93" s="2"/>
      <c r="G93" s="2"/>
      <c r="H93" s="2"/>
      <c r="I93" s="2" t="s">
        <v>153</v>
      </c>
      <c r="J93" s="2"/>
      <c r="K93" s="2"/>
      <c r="L93" s="2"/>
      <c r="M93" s="2"/>
      <c r="N93" s="2"/>
      <c r="O93" s="2"/>
      <c r="P93" s="2"/>
      <c r="Q93" s="2"/>
      <c r="R93" s="2"/>
    </row>
    <row r="94" spans="1:18" x14ac:dyDescent="0.25">
      <c r="A94" s="2"/>
      <c r="B94" s="2"/>
      <c r="C94" s="2"/>
      <c r="D94" s="8" t="s">
        <v>154</v>
      </c>
      <c r="E94" s="2"/>
      <c r="F94" s="2"/>
      <c r="G94" s="2"/>
      <c r="H94" s="2"/>
      <c r="I94" s="2" t="s">
        <v>155</v>
      </c>
      <c r="J94" s="2"/>
      <c r="K94" s="2"/>
      <c r="L94" s="2"/>
      <c r="M94" s="2"/>
      <c r="N94" s="2"/>
      <c r="O94" s="2"/>
      <c r="P94" s="2"/>
      <c r="Q94" s="2"/>
      <c r="R94" s="2"/>
    </row>
    <row r="95" spans="1:18" x14ac:dyDescent="0.25">
      <c r="A95" s="2"/>
      <c r="B95" s="2"/>
      <c r="C95" s="2"/>
      <c r="D95" s="8" t="s">
        <v>156</v>
      </c>
      <c r="E95" s="2"/>
      <c r="F95" s="2"/>
      <c r="G95" s="2"/>
      <c r="H95" s="2"/>
      <c r="I95" s="3" t="s">
        <v>157</v>
      </c>
      <c r="J95" s="2"/>
      <c r="K95" s="2"/>
      <c r="L95" s="2"/>
      <c r="M95" s="2"/>
      <c r="N95" s="2"/>
      <c r="O95" s="2"/>
      <c r="P95" s="2"/>
      <c r="Q95" s="2"/>
      <c r="R95" s="2"/>
    </row>
    <row r="96" spans="1:18" x14ac:dyDescent="0.25">
      <c r="A96" s="2"/>
      <c r="B96" s="2"/>
      <c r="C96" s="2"/>
      <c r="D96" s="2"/>
      <c r="E96" s="2"/>
      <c r="F96" s="2"/>
      <c r="G96" s="2"/>
      <c r="H96" s="2"/>
      <c r="I96" s="2" t="s">
        <v>158</v>
      </c>
      <c r="J96" s="2"/>
      <c r="K96" s="2"/>
      <c r="L96" s="2"/>
      <c r="M96" s="2"/>
      <c r="N96" s="2"/>
      <c r="O96" s="2"/>
      <c r="P96" s="2"/>
      <c r="Q96" s="2"/>
      <c r="R96" s="2"/>
    </row>
    <row r="97" spans="1:18" x14ac:dyDescent="0.25">
      <c r="A97" s="2"/>
      <c r="B97" s="2"/>
      <c r="C97" s="2"/>
      <c r="D97" s="2"/>
      <c r="E97" s="2"/>
      <c r="F97" s="2"/>
      <c r="G97" s="2"/>
      <c r="H97" s="2"/>
      <c r="I97" s="2" t="s">
        <v>159</v>
      </c>
      <c r="J97" s="2"/>
      <c r="K97" s="2"/>
      <c r="L97" s="2"/>
      <c r="M97" s="2"/>
      <c r="N97" s="2"/>
      <c r="O97" s="2"/>
      <c r="P97" s="2"/>
      <c r="Q97" s="2"/>
      <c r="R97" s="2"/>
    </row>
    <row r="98" spans="1:18" x14ac:dyDescent="0.25">
      <c r="A98" s="2"/>
      <c r="B98" s="2"/>
      <c r="C98" s="2"/>
      <c r="D98" s="2"/>
      <c r="E98" s="2"/>
      <c r="F98" s="2"/>
      <c r="G98" s="2"/>
      <c r="H98" s="2"/>
      <c r="I98" s="2"/>
      <c r="J98" s="2"/>
      <c r="K98" s="2"/>
      <c r="L98" s="2"/>
      <c r="M98" s="2"/>
      <c r="N98" s="2"/>
      <c r="O98" s="2"/>
      <c r="P98" s="2"/>
      <c r="Q98" s="2"/>
      <c r="R98" s="2"/>
    </row>
    <row r="99" spans="1:18" x14ac:dyDescent="0.25">
      <c r="A99" s="3" t="s">
        <v>160</v>
      </c>
      <c r="B99" s="2"/>
      <c r="C99" s="2"/>
      <c r="D99" s="2" t="s">
        <v>1479</v>
      </c>
      <c r="E99" s="2"/>
      <c r="F99" s="2"/>
      <c r="G99" s="2"/>
      <c r="H99" s="2"/>
      <c r="I99" s="2" t="s">
        <v>161</v>
      </c>
      <c r="J99" s="2"/>
      <c r="K99" s="2"/>
      <c r="L99" s="2"/>
      <c r="M99" s="2"/>
      <c r="N99" s="2" t="s">
        <v>8</v>
      </c>
      <c r="O99" s="2"/>
      <c r="P99" s="2"/>
      <c r="Q99" s="2"/>
      <c r="R99" s="2"/>
    </row>
    <row r="100" spans="1:18" x14ac:dyDescent="0.25">
      <c r="A100" s="2"/>
      <c r="B100" s="2"/>
      <c r="C100" s="2"/>
      <c r="D100" s="2" t="s">
        <v>162</v>
      </c>
      <c r="E100" s="2"/>
      <c r="F100" s="2"/>
      <c r="G100" s="2"/>
      <c r="H100" s="2"/>
      <c r="I100" s="2" t="s">
        <v>163</v>
      </c>
      <c r="J100" s="2"/>
      <c r="K100" s="2"/>
      <c r="L100" s="2"/>
      <c r="M100" s="2"/>
      <c r="N100" s="2"/>
      <c r="O100" s="2"/>
      <c r="P100" s="2"/>
      <c r="Q100" s="2"/>
      <c r="R100" s="2"/>
    </row>
    <row r="101" spans="1:18" x14ac:dyDescent="0.25">
      <c r="A101" s="2"/>
      <c r="B101" s="2"/>
      <c r="C101" s="2"/>
      <c r="D101" s="2" t="s">
        <v>164</v>
      </c>
      <c r="E101" s="2"/>
      <c r="F101" s="2"/>
      <c r="G101" s="2"/>
      <c r="H101" s="2"/>
      <c r="I101" s="2" t="s">
        <v>165</v>
      </c>
      <c r="J101" s="2"/>
      <c r="K101" s="2"/>
      <c r="L101" s="2"/>
      <c r="M101" s="2"/>
      <c r="N101" s="2"/>
      <c r="O101" s="2"/>
      <c r="P101" s="2"/>
      <c r="Q101" s="2"/>
      <c r="R101" s="2"/>
    </row>
    <row r="102" spans="1:18" x14ac:dyDescent="0.25">
      <c r="A102" s="2"/>
      <c r="B102" s="2"/>
      <c r="C102" s="2"/>
      <c r="D102" s="2" t="s">
        <v>166</v>
      </c>
      <c r="E102" s="2"/>
      <c r="F102" s="2"/>
      <c r="G102" s="2"/>
      <c r="H102" s="2"/>
      <c r="I102" s="2" t="s">
        <v>167</v>
      </c>
      <c r="J102" s="2"/>
      <c r="K102" s="2"/>
      <c r="L102" s="2"/>
      <c r="M102" s="2"/>
      <c r="N102" s="2"/>
      <c r="O102" s="2"/>
      <c r="P102" s="2"/>
      <c r="Q102" s="2"/>
      <c r="R102" s="2"/>
    </row>
    <row r="103" spans="1:18" x14ac:dyDescent="0.25">
      <c r="A103" s="2"/>
      <c r="B103" s="2"/>
      <c r="C103" s="2"/>
      <c r="D103" s="2" t="s">
        <v>168</v>
      </c>
      <c r="E103" s="2"/>
      <c r="F103" s="2"/>
      <c r="G103" s="2"/>
      <c r="H103" s="2"/>
      <c r="I103" s="2" t="s">
        <v>169</v>
      </c>
      <c r="J103" s="2"/>
      <c r="K103" s="2"/>
      <c r="L103" s="2"/>
      <c r="M103" s="2"/>
      <c r="N103" s="2"/>
      <c r="O103" s="2"/>
      <c r="P103" s="2"/>
      <c r="Q103" s="2"/>
      <c r="R103" s="2"/>
    </row>
    <row r="104" spans="1:18" x14ac:dyDescent="0.25">
      <c r="A104" s="2"/>
      <c r="B104" s="2"/>
      <c r="C104" s="2"/>
      <c r="D104" s="2" t="s">
        <v>170</v>
      </c>
      <c r="E104" s="2"/>
      <c r="F104" s="2"/>
      <c r="G104" s="2"/>
      <c r="H104" s="2"/>
      <c r="I104" s="2" t="s">
        <v>171</v>
      </c>
      <c r="J104" s="2"/>
      <c r="K104" s="2"/>
      <c r="L104" s="2"/>
      <c r="M104" s="2"/>
      <c r="N104" s="2"/>
      <c r="O104" s="2"/>
      <c r="P104" s="2"/>
      <c r="Q104" s="2"/>
      <c r="R104" s="2"/>
    </row>
    <row r="105" spans="1:18" x14ac:dyDescent="0.25">
      <c r="A105" s="2"/>
      <c r="B105" s="2"/>
      <c r="C105" s="2"/>
      <c r="D105" s="2" t="s">
        <v>172</v>
      </c>
      <c r="E105" s="2"/>
      <c r="F105" s="2"/>
      <c r="G105" s="2"/>
      <c r="H105" s="2"/>
      <c r="I105" s="2" t="s">
        <v>173</v>
      </c>
      <c r="J105" s="2"/>
      <c r="K105" s="2"/>
      <c r="L105" s="2"/>
      <c r="M105" s="2"/>
      <c r="N105" s="2"/>
      <c r="O105" s="2"/>
      <c r="P105" s="2"/>
      <c r="Q105" s="2"/>
      <c r="R105" s="2"/>
    </row>
    <row r="106" spans="1:18" x14ac:dyDescent="0.25">
      <c r="A106" s="2"/>
      <c r="B106" s="2"/>
      <c r="C106" s="2"/>
      <c r="D106" s="2" t="s">
        <v>174</v>
      </c>
      <c r="E106" s="2"/>
      <c r="F106" s="2"/>
      <c r="G106" s="2"/>
      <c r="H106" s="2"/>
      <c r="I106" s="2" t="s">
        <v>175</v>
      </c>
      <c r="J106" s="2"/>
      <c r="K106" s="2"/>
      <c r="L106" s="2"/>
      <c r="M106" s="2"/>
      <c r="N106" s="2"/>
      <c r="O106" s="2"/>
      <c r="P106" s="2"/>
      <c r="Q106" s="2"/>
      <c r="R106" s="2"/>
    </row>
    <row r="107" spans="1:18" x14ac:dyDescent="0.25">
      <c r="A107" s="2"/>
      <c r="B107" s="2"/>
      <c r="C107" s="2"/>
      <c r="D107" s="2" t="s">
        <v>176</v>
      </c>
      <c r="E107" s="2"/>
      <c r="F107" s="2"/>
      <c r="G107" s="2"/>
      <c r="H107" s="2"/>
      <c r="I107" s="2" t="s">
        <v>177</v>
      </c>
      <c r="J107" s="2"/>
      <c r="K107" s="2"/>
      <c r="L107" s="2"/>
      <c r="M107" s="2"/>
      <c r="N107" s="2"/>
      <c r="O107" s="2"/>
      <c r="P107" s="2"/>
      <c r="Q107" s="2"/>
      <c r="R107" s="2"/>
    </row>
    <row r="108" spans="1:18" x14ac:dyDescent="0.25">
      <c r="A108" s="2"/>
      <c r="B108" s="2"/>
      <c r="C108" s="2"/>
      <c r="D108" s="2" t="s">
        <v>178</v>
      </c>
      <c r="E108" s="2"/>
      <c r="F108" s="2"/>
      <c r="G108" s="2"/>
      <c r="H108" s="2"/>
      <c r="I108" s="2"/>
      <c r="J108" s="2"/>
      <c r="K108" s="2"/>
      <c r="L108" s="2"/>
      <c r="M108" s="2"/>
      <c r="N108" s="2"/>
      <c r="O108" s="2"/>
      <c r="P108" s="2"/>
      <c r="Q108" s="2"/>
      <c r="R108" s="2"/>
    </row>
    <row r="109" spans="1:18" x14ac:dyDescent="0.25">
      <c r="A109" s="2"/>
      <c r="B109" s="2"/>
      <c r="C109" s="2"/>
      <c r="D109" s="2" t="s">
        <v>179</v>
      </c>
      <c r="E109" s="2"/>
      <c r="F109" s="2"/>
      <c r="G109" s="2"/>
      <c r="H109" s="2"/>
      <c r="I109" s="2"/>
      <c r="J109" s="2"/>
      <c r="K109" s="2"/>
      <c r="L109" s="2"/>
      <c r="M109" s="2"/>
      <c r="N109" s="2"/>
      <c r="O109" s="2"/>
      <c r="P109" s="2"/>
      <c r="Q109" s="2"/>
      <c r="R109" s="2"/>
    </row>
    <row r="110" spans="1:18" x14ac:dyDescent="0.25">
      <c r="A110" s="2"/>
      <c r="B110" s="2"/>
      <c r="C110" s="2"/>
      <c r="D110" s="2" t="s">
        <v>180</v>
      </c>
      <c r="E110" s="2"/>
      <c r="F110" s="2"/>
      <c r="G110" s="2"/>
      <c r="H110" s="2"/>
      <c r="I110" s="2"/>
      <c r="J110" s="2"/>
      <c r="K110" s="2"/>
      <c r="L110" s="2"/>
      <c r="M110" s="2"/>
      <c r="N110" s="2"/>
      <c r="O110" s="2"/>
      <c r="P110" s="2"/>
      <c r="Q110" s="2"/>
      <c r="R110" s="2"/>
    </row>
    <row r="111" spans="1:18" x14ac:dyDescent="0.25">
      <c r="A111" s="2"/>
      <c r="B111" s="2"/>
      <c r="C111" s="2"/>
      <c r="D111" s="2" t="s">
        <v>181</v>
      </c>
      <c r="E111" s="2"/>
      <c r="F111" s="2"/>
      <c r="G111" s="2"/>
      <c r="H111" s="2"/>
      <c r="I111" s="2"/>
      <c r="J111" s="2"/>
      <c r="K111" s="2"/>
      <c r="L111" s="2"/>
      <c r="M111" s="2"/>
      <c r="N111" s="2"/>
      <c r="O111" s="2"/>
      <c r="P111" s="2"/>
      <c r="Q111" s="2"/>
      <c r="R111" s="2"/>
    </row>
    <row r="112" spans="1:18" x14ac:dyDescent="0.25">
      <c r="A112" s="2"/>
      <c r="B112" s="2"/>
      <c r="C112" s="2"/>
      <c r="D112" s="2"/>
      <c r="E112" s="2"/>
      <c r="F112" s="2"/>
      <c r="G112" s="2"/>
      <c r="H112" s="2"/>
      <c r="I112" s="2"/>
      <c r="J112" s="2"/>
      <c r="K112" s="2"/>
      <c r="L112" s="2"/>
      <c r="M112" s="2"/>
      <c r="N112" s="2"/>
      <c r="O112" s="2"/>
      <c r="P112" s="2"/>
      <c r="Q112" s="2"/>
      <c r="R112" s="2"/>
    </row>
    <row r="113" spans="1:18" x14ac:dyDescent="0.25">
      <c r="A113" s="3" t="s">
        <v>182</v>
      </c>
      <c r="B113" s="2"/>
      <c r="C113" s="2"/>
      <c r="D113" s="2" t="s">
        <v>183</v>
      </c>
      <c r="E113" s="2"/>
      <c r="F113" s="2"/>
      <c r="G113" s="2"/>
      <c r="H113" s="2"/>
      <c r="I113" s="2" t="s">
        <v>20</v>
      </c>
      <c r="J113" s="2"/>
      <c r="K113" s="2"/>
      <c r="L113" s="2"/>
      <c r="M113" s="2"/>
      <c r="N113" s="2" t="s">
        <v>8</v>
      </c>
      <c r="O113" s="2"/>
      <c r="P113" s="2"/>
      <c r="Q113" s="2"/>
      <c r="R113" s="2"/>
    </row>
    <row r="114" spans="1:18" x14ac:dyDescent="0.25">
      <c r="A114" s="2"/>
      <c r="B114" s="2"/>
      <c r="C114" s="2"/>
      <c r="D114" s="2" t="s">
        <v>184</v>
      </c>
      <c r="E114" s="2"/>
      <c r="F114" s="2"/>
      <c r="G114" s="2"/>
      <c r="H114" s="2"/>
      <c r="I114" s="2" t="s">
        <v>22</v>
      </c>
      <c r="J114" s="2"/>
      <c r="K114" s="2"/>
      <c r="L114" s="2"/>
      <c r="M114" s="2"/>
      <c r="N114" s="2"/>
      <c r="O114" s="2"/>
      <c r="P114" s="2"/>
      <c r="Q114" s="2"/>
      <c r="R114" s="2"/>
    </row>
    <row r="115" spans="1:18" x14ac:dyDescent="0.25">
      <c r="A115" s="2"/>
      <c r="B115" s="2"/>
      <c r="C115" s="2"/>
      <c r="D115" s="2" t="s">
        <v>185</v>
      </c>
      <c r="E115" s="2"/>
      <c r="F115" s="2"/>
      <c r="G115" s="2"/>
      <c r="H115" s="2"/>
      <c r="I115" s="2"/>
      <c r="J115" s="2"/>
      <c r="K115" s="2"/>
      <c r="L115" s="2"/>
      <c r="M115" s="2"/>
      <c r="N115" s="2"/>
      <c r="O115" s="2"/>
      <c r="P115" s="2"/>
      <c r="Q115" s="2"/>
      <c r="R115" s="2"/>
    </row>
    <row r="116" spans="1:18" x14ac:dyDescent="0.25">
      <c r="A116" s="2"/>
      <c r="B116" s="2"/>
      <c r="C116" s="2"/>
      <c r="D116" s="2" t="s">
        <v>186</v>
      </c>
      <c r="E116" s="2"/>
      <c r="F116" s="2"/>
      <c r="G116" s="2"/>
      <c r="H116" s="2"/>
      <c r="I116" s="2"/>
      <c r="J116" s="2"/>
      <c r="K116" s="2"/>
      <c r="L116" s="2"/>
      <c r="M116" s="2"/>
      <c r="N116" s="2"/>
      <c r="O116" s="2"/>
      <c r="P116" s="2"/>
      <c r="Q116" s="2"/>
      <c r="R116" s="2"/>
    </row>
    <row r="117" spans="1:18" x14ac:dyDescent="0.25">
      <c r="A117" s="2"/>
      <c r="B117" s="2"/>
      <c r="C117" s="2"/>
      <c r="D117" s="2" t="s">
        <v>187</v>
      </c>
      <c r="E117" s="2"/>
      <c r="F117" s="2"/>
      <c r="G117" s="2"/>
      <c r="H117" s="2"/>
      <c r="I117" s="2"/>
      <c r="J117" s="2"/>
      <c r="K117" s="2"/>
      <c r="L117" s="2"/>
      <c r="M117" s="2"/>
      <c r="N117" s="2"/>
      <c r="O117" s="2"/>
      <c r="P117" s="2"/>
      <c r="Q117" s="2"/>
      <c r="R117" s="2"/>
    </row>
    <row r="118" spans="1:18" x14ac:dyDescent="0.25">
      <c r="A118" s="2"/>
      <c r="B118" s="2"/>
      <c r="C118" s="2"/>
      <c r="D118" s="2" t="s">
        <v>188</v>
      </c>
      <c r="E118" s="2"/>
      <c r="F118" s="2"/>
      <c r="G118" s="2"/>
      <c r="H118" s="2"/>
      <c r="I118" s="2"/>
      <c r="J118" s="2"/>
      <c r="K118" s="2"/>
      <c r="L118" s="2"/>
      <c r="M118" s="2"/>
      <c r="N118" s="2"/>
      <c r="O118" s="2"/>
      <c r="P118" s="2"/>
      <c r="Q118" s="2"/>
      <c r="R118" s="2"/>
    </row>
    <row r="119" spans="1:18" x14ac:dyDescent="0.25">
      <c r="A119" s="2"/>
      <c r="B119" s="2"/>
      <c r="C119" s="2"/>
      <c r="D119" s="2" t="s">
        <v>189</v>
      </c>
      <c r="E119" s="2"/>
      <c r="F119" s="2"/>
      <c r="G119" s="2"/>
      <c r="H119" s="2"/>
      <c r="I119" s="2"/>
      <c r="J119" s="2"/>
      <c r="K119" s="2"/>
      <c r="L119" s="2"/>
      <c r="M119" s="2"/>
      <c r="N119" s="2"/>
      <c r="O119" s="2"/>
      <c r="P119" s="2"/>
      <c r="Q119" s="2"/>
      <c r="R119" s="2"/>
    </row>
    <row r="120" spans="1:18" x14ac:dyDescent="0.25">
      <c r="A120" s="2"/>
      <c r="B120" s="2"/>
      <c r="C120" s="2"/>
      <c r="D120" s="2" t="s">
        <v>190</v>
      </c>
      <c r="E120" s="2"/>
      <c r="F120" s="2"/>
      <c r="G120" s="2"/>
      <c r="H120" s="2"/>
      <c r="I120" s="2"/>
      <c r="J120" s="2"/>
      <c r="K120" s="2"/>
      <c r="L120" s="2"/>
      <c r="M120" s="2"/>
      <c r="N120" s="2"/>
      <c r="O120" s="2"/>
      <c r="P120" s="2"/>
      <c r="Q120" s="2"/>
      <c r="R120" s="2"/>
    </row>
    <row r="121" spans="1:18" x14ac:dyDescent="0.25">
      <c r="A121" s="2"/>
      <c r="B121" s="2"/>
      <c r="C121" s="2"/>
      <c r="D121" s="2"/>
      <c r="E121" s="2"/>
      <c r="F121" s="2"/>
      <c r="G121" s="2"/>
      <c r="H121" s="2"/>
      <c r="I121" s="2"/>
      <c r="J121" s="2"/>
      <c r="K121" s="2"/>
      <c r="L121" s="2"/>
      <c r="M121" s="2"/>
      <c r="N121" s="2"/>
      <c r="O121" s="2"/>
      <c r="P121" s="2"/>
      <c r="Q121" s="2"/>
      <c r="R121" s="2"/>
    </row>
    <row r="122" spans="1:18" x14ac:dyDescent="0.25">
      <c r="A122" s="3" t="s">
        <v>53</v>
      </c>
      <c r="B122" s="2"/>
      <c r="C122" s="2"/>
      <c r="D122" s="2" t="s">
        <v>191</v>
      </c>
      <c r="E122" s="2"/>
      <c r="F122" s="2"/>
      <c r="G122" s="2"/>
      <c r="H122" s="2"/>
      <c r="I122" s="2" t="s">
        <v>192</v>
      </c>
      <c r="J122" s="2"/>
      <c r="K122" s="2"/>
      <c r="L122" s="2"/>
      <c r="M122" s="2"/>
      <c r="N122" s="2" t="s">
        <v>8</v>
      </c>
      <c r="O122" s="2"/>
      <c r="P122" s="2"/>
      <c r="Q122" s="2"/>
      <c r="R122" s="2"/>
    </row>
    <row r="123" spans="1:18" x14ac:dyDescent="0.25">
      <c r="A123" s="2"/>
      <c r="B123" s="2"/>
      <c r="C123" s="2"/>
      <c r="D123" s="2" t="s">
        <v>193</v>
      </c>
      <c r="E123" s="2"/>
      <c r="F123" s="2"/>
      <c r="G123" s="2"/>
      <c r="H123" s="2"/>
      <c r="I123" s="2" t="s">
        <v>194</v>
      </c>
      <c r="J123" s="2"/>
      <c r="K123" s="2"/>
      <c r="L123" s="2"/>
      <c r="M123" s="2"/>
      <c r="N123" s="2"/>
      <c r="O123" s="2"/>
      <c r="P123" s="2"/>
      <c r="Q123" s="2"/>
      <c r="R123" s="2"/>
    </row>
    <row r="124" spans="1:18" x14ac:dyDescent="0.25">
      <c r="A124" s="2"/>
      <c r="B124" s="2"/>
      <c r="C124" s="2"/>
      <c r="D124" s="2" t="s">
        <v>195</v>
      </c>
      <c r="E124" s="2"/>
      <c r="F124" s="2"/>
      <c r="G124" s="2"/>
      <c r="H124" s="2"/>
      <c r="I124" s="2" t="s">
        <v>196</v>
      </c>
      <c r="J124" s="2"/>
      <c r="K124" s="2"/>
      <c r="L124" s="2"/>
      <c r="M124" s="2"/>
      <c r="N124" s="2"/>
      <c r="O124" s="2"/>
      <c r="P124" s="2"/>
      <c r="Q124" s="2"/>
      <c r="R124" s="2"/>
    </row>
    <row r="125" spans="1:18" x14ac:dyDescent="0.25">
      <c r="A125" s="2"/>
      <c r="B125" s="2"/>
      <c r="C125" s="2"/>
      <c r="D125" s="2" t="s">
        <v>197</v>
      </c>
      <c r="E125" s="2"/>
      <c r="F125" s="2"/>
      <c r="G125" s="2"/>
      <c r="H125" s="2"/>
      <c r="I125" s="2" t="s">
        <v>198</v>
      </c>
      <c r="J125" s="2"/>
      <c r="K125" s="2"/>
      <c r="L125" s="2"/>
      <c r="M125" s="2"/>
      <c r="N125" s="2"/>
      <c r="O125" s="2"/>
      <c r="P125" s="2"/>
      <c r="Q125" s="2"/>
      <c r="R125" s="2"/>
    </row>
    <row r="126" spans="1:18" x14ac:dyDescent="0.25">
      <c r="A126" s="2"/>
      <c r="B126" s="2"/>
      <c r="C126" s="2"/>
      <c r="D126" s="2" t="s">
        <v>199</v>
      </c>
      <c r="E126" s="2"/>
      <c r="F126" s="2"/>
      <c r="G126" s="2"/>
      <c r="H126" s="2"/>
      <c r="I126" s="2" t="s">
        <v>200</v>
      </c>
      <c r="J126" s="2"/>
      <c r="K126" s="2"/>
      <c r="L126" s="2"/>
      <c r="M126" s="2"/>
      <c r="N126" s="2"/>
      <c r="O126" s="2"/>
      <c r="P126" s="2"/>
      <c r="Q126" s="2"/>
      <c r="R126" s="2"/>
    </row>
    <row r="127" spans="1:18" x14ac:dyDescent="0.25">
      <c r="A127" s="2"/>
      <c r="B127" s="2"/>
      <c r="C127" s="2"/>
      <c r="D127" s="2" t="s">
        <v>201</v>
      </c>
      <c r="E127" s="2"/>
      <c r="F127" s="2"/>
      <c r="G127" s="2"/>
      <c r="H127" s="2"/>
      <c r="I127" s="2" t="s">
        <v>202</v>
      </c>
      <c r="J127" s="2"/>
      <c r="K127" s="2"/>
      <c r="L127" s="2"/>
      <c r="M127" s="2"/>
      <c r="N127" s="2"/>
      <c r="O127" s="2"/>
      <c r="P127" s="2"/>
      <c r="Q127" s="2"/>
      <c r="R127" s="2"/>
    </row>
    <row r="128" spans="1:18" x14ac:dyDescent="0.25">
      <c r="A128" s="2"/>
      <c r="B128" s="2"/>
      <c r="C128" s="2"/>
      <c r="D128" s="2" t="s">
        <v>203</v>
      </c>
      <c r="E128" s="2"/>
      <c r="F128" s="2"/>
      <c r="G128" s="2"/>
      <c r="H128" s="2"/>
      <c r="I128" s="2"/>
      <c r="J128" s="2"/>
      <c r="K128" s="2"/>
      <c r="L128" s="2"/>
      <c r="M128" s="2"/>
      <c r="N128" s="2"/>
      <c r="O128" s="2"/>
      <c r="P128" s="2"/>
      <c r="Q128" s="2"/>
      <c r="R128" s="2"/>
    </row>
    <row r="129" spans="1:18" x14ac:dyDescent="0.25">
      <c r="A129" s="2"/>
      <c r="B129" s="2"/>
      <c r="C129" s="2"/>
      <c r="D129" s="2" t="s">
        <v>1460</v>
      </c>
      <c r="E129" s="2"/>
      <c r="F129" s="2"/>
      <c r="G129" s="2"/>
      <c r="H129" s="2"/>
      <c r="I129" s="2"/>
      <c r="J129" s="2"/>
      <c r="K129" s="2"/>
      <c r="L129" s="2"/>
      <c r="M129" s="2"/>
      <c r="N129" s="2"/>
      <c r="O129" s="2"/>
      <c r="P129" s="2"/>
      <c r="Q129" s="2"/>
      <c r="R129" s="2"/>
    </row>
    <row r="130" spans="1:18" x14ac:dyDescent="0.25">
      <c r="A130" s="2"/>
      <c r="B130" s="2"/>
      <c r="C130" s="2"/>
      <c r="D130" s="2"/>
      <c r="E130" s="2"/>
      <c r="F130" s="2"/>
      <c r="G130" s="2"/>
      <c r="H130" s="2"/>
      <c r="I130" s="2"/>
      <c r="J130" s="2"/>
      <c r="K130" s="2"/>
      <c r="L130" s="2"/>
      <c r="M130" s="2"/>
      <c r="N130" s="2"/>
      <c r="O130" s="2"/>
      <c r="P130" s="2"/>
      <c r="Q130" s="2"/>
      <c r="R130" s="2"/>
    </row>
    <row r="131" spans="1:18" x14ac:dyDescent="0.25">
      <c r="A131" s="3" t="s">
        <v>204</v>
      </c>
      <c r="B131" s="2"/>
      <c r="C131" s="2"/>
      <c r="D131" s="2" t="s">
        <v>205</v>
      </c>
      <c r="E131" s="2"/>
      <c r="F131" s="2"/>
      <c r="G131" s="2"/>
      <c r="H131" s="2"/>
      <c r="I131" s="2" t="s">
        <v>206</v>
      </c>
      <c r="J131" s="2"/>
      <c r="K131" s="2"/>
      <c r="L131" s="2"/>
      <c r="M131" s="2"/>
      <c r="N131" s="2" t="s">
        <v>8</v>
      </c>
      <c r="O131" s="2"/>
      <c r="P131" s="2"/>
      <c r="Q131" s="2"/>
      <c r="R131" s="2"/>
    </row>
    <row r="132" spans="1:18" x14ac:dyDescent="0.25">
      <c r="A132" s="2"/>
      <c r="B132" s="2"/>
      <c r="C132" s="2"/>
      <c r="D132" s="2" t="s">
        <v>207</v>
      </c>
      <c r="E132" s="2"/>
      <c r="F132" s="2"/>
      <c r="G132" s="2"/>
      <c r="H132" s="2"/>
      <c r="I132" s="2" t="s">
        <v>208</v>
      </c>
      <c r="J132" s="2"/>
      <c r="K132" s="2"/>
      <c r="L132" s="2"/>
      <c r="M132" s="2"/>
      <c r="N132" s="2"/>
      <c r="O132" s="2"/>
      <c r="P132" s="2"/>
      <c r="Q132" s="2"/>
      <c r="R132" s="2"/>
    </row>
    <row r="133" spans="1:18" x14ac:dyDescent="0.25">
      <c r="A133" s="2"/>
      <c r="B133" s="2"/>
      <c r="C133" s="2"/>
      <c r="D133" s="2" t="s">
        <v>209</v>
      </c>
      <c r="E133" s="2"/>
      <c r="F133" s="2"/>
      <c r="G133" s="2"/>
      <c r="H133" s="2"/>
      <c r="I133" s="2" t="s">
        <v>194</v>
      </c>
      <c r="J133" s="2"/>
      <c r="K133" s="2"/>
      <c r="L133" s="2"/>
      <c r="M133" s="2"/>
      <c r="N133" s="2"/>
      <c r="O133" s="2"/>
      <c r="P133" s="2"/>
      <c r="Q133" s="2"/>
      <c r="R133" s="2"/>
    </row>
    <row r="134" spans="1:18" x14ac:dyDescent="0.25">
      <c r="A134" s="2"/>
      <c r="B134" s="2"/>
      <c r="C134" s="2"/>
      <c r="D134" s="2" t="s">
        <v>210</v>
      </c>
      <c r="E134" s="2"/>
      <c r="F134" s="2"/>
      <c r="G134" s="2"/>
      <c r="H134" s="2"/>
      <c r="I134" s="2" t="s">
        <v>211</v>
      </c>
      <c r="J134" s="2"/>
      <c r="K134" s="2"/>
      <c r="L134" s="2"/>
      <c r="M134" s="2"/>
      <c r="N134" s="2"/>
      <c r="O134" s="2"/>
      <c r="P134" s="2"/>
      <c r="Q134" s="2"/>
      <c r="R134" s="2"/>
    </row>
    <row r="135" spans="1:18" x14ac:dyDescent="0.25">
      <c r="A135" s="2"/>
      <c r="B135" s="2"/>
      <c r="C135" s="2"/>
      <c r="D135" s="2" t="s">
        <v>212</v>
      </c>
      <c r="E135" s="2"/>
      <c r="F135" s="2"/>
      <c r="G135" s="2"/>
      <c r="H135" s="2"/>
      <c r="I135" s="2" t="s">
        <v>213</v>
      </c>
      <c r="J135" s="2"/>
      <c r="K135" s="2"/>
      <c r="L135" s="2"/>
      <c r="M135" s="2"/>
      <c r="N135" s="2"/>
      <c r="O135" s="2"/>
      <c r="P135" s="2"/>
      <c r="Q135" s="2"/>
      <c r="R135" s="2"/>
    </row>
    <row r="136" spans="1:18" x14ac:dyDescent="0.25">
      <c r="A136" s="2"/>
      <c r="B136" s="2"/>
      <c r="C136" s="2"/>
      <c r="D136" s="2" t="s">
        <v>214</v>
      </c>
      <c r="E136" s="2"/>
      <c r="F136" s="2"/>
      <c r="G136" s="2"/>
      <c r="H136" s="2"/>
      <c r="I136" s="2" t="s">
        <v>215</v>
      </c>
      <c r="J136" s="2"/>
      <c r="K136" s="2"/>
      <c r="L136" s="2"/>
      <c r="M136" s="2"/>
      <c r="N136" s="2"/>
      <c r="O136" s="2"/>
      <c r="P136" s="2"/>
      <c r="Q136" s="2"/>
      <c r="R136" s="2"/>
    </row>
    <row r="137" spans="1:18" x14ac:dyDescent="0.25">
      <c r="A137" s="2"/>
      <c r="B137" s="2"/>
      <c r="C137" s="2"/>
      <c r="D137" s="2" t="s">
        <v>216</v>
      </c>
      <c r="E137" s="2"/>
      <c r="F137" s="2"/>
      <c r="G137" s="2"/>
      <c r="H137" s="2"/>
      <c r="I137" s="2" t="s">
        <v>217</v>
      </c>
      <c r="J137" s="2"/>
      <c r="K137" s="2"/>
      <c r="L137" s="2"/>
      <c r="M137" s="2"/>
      <c r="N137" s="2"/>
      <c r="O137" s="2"/>
      <c r="P137" s="2"/>
      <c r="Q137" s="2"/>
      <c r="R137" s="2"/>
    </row>
    <row r="138" spans="1:18" x14ac:dyDescent="0.25">
      <c r="A138" s="2"/>
      <c r="B138" s="2"/>
      <c r="C138" s="2"/>
      <c r="D138" s="2" t="s">
        <v>218</v>
      </c>
      <c r="E138" s="2"/>
      <c r="F138" s="2"/>
      <c r="G138" s="2"/>
      <c r="H138" s="2"/>
      <c r="I138" s="2"/>
      <c r="J138" s="2"/>
      <c r="K138" s="2"/>
      <c r="L138" s="2"/>
      <c r="M138" s="2"/>
      <c r="N138" s="2"/>
      <c r="O138" s="2"/>
      <c r="P138" s="2"/>
      <c r="Q138" s="2"/>
      <c r="R138" s="2"/>
    </row>
    <row r="139" spans="1:18" x14ac:dyDescent="0.25">
      <c r="A139" s="2"/>
      <c r="B139" s="2"/>
      <c r="C139" s="2"/>
      <c r="D139" s="2" t="s">
        <v>219</v>
      </c>
      <c r="E139" s="2"/>
      <c r="F139" s="2"/>
      <c r="G139" s="2"/>
      <c r="H139" s="2"/>
      <c r="I139" s="2"/>
      <c r="J139" s="2"/>
      <c r="K139" s="2"/>
      <c r="L139" s="2"/>
      <c r="M139" s="2"/>
      <c r="N139" s="2"/>
      <c r="O139" s="2"/>
      <c r="P139" s="2"/>
      <c r="Q139" s="2"/>
      <c r="R139" s="2"/>
    </row>
    <row r="140" spans="1:18" x14ac:dyDescent="0.25">
      <c r="A140" s="2"/>
      <c r="B140" s="2"/>
      <c r="C140" s="2"/>
      <c r="D140" s="2" t="s">
        <v>220</v>
      </c>
      <c r="E140" s="2"/>
      <c r="F140" s="2"/>
      <c r="G140" s="2"/>
      <c r="H140" s="2"/>
      <c r="I140" s="2"/>
      <c r="J140" s="2"/>
      <c r="K140" s="2"/>
      <c r="L140" s="2"/>
      <c r="M140" s="2"/>
      <c r="N140" s="2"/>
      <c r="O140" s="2"/>
      <c r="P140" s="2"/>
      <c r="Q140" s="2"/>
      <c r="R140" s="2"/>
    </row>
    <row r="141" spans="1:18" x14ac:dyDescent="0.25">
      <c r="A141" s="2"/>
      <c r="B141" s="2"/>
      <c r="C141" s="2"/>
      <c r="D141" s="2"/>
      <c r="E141" s="2"/>
      <c r="F141" s="2"/>
      <c r="G141" s="2"/>
      <c r="H141" s="2"/>
      <c r="I141" s="2"/>
      <c r="J141" s="2"/>
      <c r="K141" s="2"/>
      <c r="L141" s="2"/>
      <c r="M141" s="2"/>
      <c r="N141" s="2"/>
      <c r="O141" s="2"/>
      <c r="P141" s="2"/>
      <c r="Q141" s="2"/>
      <c r="R141" s="2"/>
    </row>
    <row r="142" spans="1:18" x14ac:dyDescent="0.25">
      <c r="A142" s="3" t="s">
        <v>221</v>
      </c>
      <c r="B142" s="2"/>
      <c r="C142" s="2"/>
      <c r="D142" s="2" t="s">
        <v>222</v>
      </c>
      <c r="E142" s="2"/>
      <c r="F142" s="2"/>
      <c r="G142" s="2"/>
      <c r="H142" s="2"/>
      <c r="I142" s="2" t="s">
        <v>223</v>
      </c>
      <c r="J142" s="2"/>
      <c r="K142" s="2"/>
      <c r="L142" s="2"/>
      <c r="M142" s="2"/>
      <c r="N142" s="2" t="s">
        <v>8</v>
      </c>
      <c r="O142" s="2"/>
      <c r="P142" s="2"/>
      <c r="Q142" s="2"/>
      <c r="R142" s="2"/>
    </row>
    <row r="143" spans="1:18" x14ac:dyDescent="0.25">
      <c r="A143" s="2"/>
      <c r="B143" s="2"/>
      <c r="C143" s="2"/>
      <c r="D143" s="2" t="s">
        <v>224</v>
      </c>
      <c r="E143" s="2"/>
      <c r="F143" s="2"/>
      <c r="G143" s="2"/>
      <c r="H143" s="2"/>
      <c r="I143" s="2" t="s">
        <v>225</v>
      </c>
      <c r="J143" s="2"/>
      <c r="K143" s="2"/>
      <c r="L143" s="2"/>
      <c r="M143" s="2"/>
      <c r="N143" s="2"/>
      <c r="O143" s="2"/>
      <c r="P143" s="2"/>
      <c r="Q143" s="2"/>
      <c r="R143" s="2"/>
    </row>
    <row r="144" spans="1:18" x14ac:dyDescent="0.25">
      <c r="A144" s="2"/>
      <c r="B144" s="2"/>
      <c r="C144" s="2"/>
      <c r="D144" s="2" t="s">
        <v>226</v>
      </c>
      <c r="E144" s="2"/>
      <c r="F144" s="2"/>
      <c r="G144" s="2"/>
      <c r="H144" s="2"/>
      <c r="I144" s="2" t="s">
        <v>227</v>
      </c>
      <c r="J144" s="2"/>
      <c r="K144" s="2"/>
      <c r="L144" s="2"/>
      <c r="M144" s="2"/>
      <c r="N144" s="2"/>
      <c r="O144" s="2"/>
      <c r="P144" s="2"/>
      <c r="Q144" s="2"/>
      <c r="R144" s="2"/>
    </row>
    <row r="145" spans="1:18" x14ac:dyDescent="0.25">
      <c r="A145" s="2"/>
      <c r="B145" s="2"/>
      <c r="C145" s="2"/>
      <c r="D145" s="2" t="s">
        <v>228</v>
      </c>
      <c r="E145" s="2"/>
      <c r="F145" s="2"/>
      <c r="G145" s="2"/>
      <c r="H145" s="2"/>
      <c r="I145" s="2" t="s">
        <v>229</v>
      </c>
      <c r="J145" s="2"/>
      <c r="K145" s="2"/>
      <c r="L145" s="2"/>
      <c r="M145" s="2"/>
      <c r="N145" s="2"/>
      <c r="O145" s="2"/>
      <c r="P145" s="2"/>
      <c r="Q145" s="2"/>
      <c r="R145" s="2"/>
    </row>
    <row r="146" spans="1:18" x14ac:dyDescent="0.25">
      <c r="A146" s="2"/>
      <c r="B146" s="2"/>
      <c r="C146" s="2"/>
      <c r="D146" s="2" t="s">
        <v>230</v>
      </c>
      <c r="E146" s="2"/>
      <c r="F146" s="2"/>
      <c r="G146" s="2"/>
      <c r="H146" s="2"/>
      <c r="I146" s="2" t="s">
        <v>231</v>
      </c>
      <c r="J146" s="2"/>
      <c r="K146" s="2"/>
      <c r="L146" s="2"/>
      <c r="M146" s="2"/>
      <c r="N146" s="2"/>
      <c r="O146" s="2"/>
      <c r="P146" s="2"/>
      <c r="Q146" s="2"/>
      <c r="R146" s="2"/>
    </row>
    <row r="147" spans="1:18" x14ac:dyDescent="0.25">
      <c r="A147" s="2"/>
      <c r="B147" s="2"/>
      <c r="C147" s="2"/>
      <c r="D147" s="2" t="s">
        <v>232</v>
      </c>
      <c r="E147" s="2"/>
      <c r="F147" s="2"/>
      <c r="G147" s="2"/>
      <c r="H147" s="2"/>
      <c r="I147" s="2" t="s">
        <v>233</v>
      </c>
      <c r="J147" s="2"/>
      <c r="K147" s="2"/>
      <c r="L147" s="2"/>
      <c r="M147" s="2"/>
      <c r="N147" s="2"/>
      <c r="O147" s="2"/>
      <c r="P147" s="2"/>
      <c r="Q147" s="2"/>
      <c r="R147" s="2"/>
    </row>
    <row r="148" spans="1:18" x14ac:dyDescent="0.25">
      <c r="A148" s="2"/>
      <c r="B148" s="2"/>
      <c r="C148" s="2"/>
      <c r="D148" s="2" t="s">
        <v>234</v>
      </c>
      <c r="E148" s="2"/>
      <c r="F148" s="2"/>
      <c r="G148" s="2"/>
      <c r="H148" s="2"/>
      <c r="I148" s="2" t="s">
        <v>235</v>
      </c>
      <c r="J148" s="2"/>
      <c r="K148" s="2"/>
      <c r="L148" s="2"/>
      <c r="M148" s="2"/>
      <c r="N148" s="2"/>
      <c r="O148" s="2"/>
      <c r="P148" s="2"/>
      <c r="Q148" s="2"/>
      <c r="R148" s="2"/>
    </row>
    <row r="149" spans="1:18" x14ac:dyDescent="0.25">
      <c r="A149" s="2"/>
      <c r="B149" s="2"/>
      <c r="C149" s="2"/>
      <c r="D149" s="2" t="s">
        <v>236</v>
      </c>
      <c r="E149" s="2"/>
      <c r="F149" s="2"/>
      <c r="G149" s="2"/>
      <c r="H149" s="2"/>
      <c r="I149" s="9" t="s">
        <v>237</v>
      </c>
      <c r="J149" s="2"/>
      <c r="K149" s="2"/>
      <c r="L149" s="2"/>
      <c r="M149" s="2"/>
      <c r="N149" s="2"/>
      <c r="O149" s="2"/>
      <c r="P149" s="2"/>
      <c r="Q149" s="2"/>
      <c r="R149" s="2"/>
    </row>
    <row r="150" spans="1:18" x14ac:dyDescent="0.25">
      <c r="A150" s="2"/>
      <c r="B150" s="2"/>
      <c r="C150" s="2"/>
      <c r="D150" s="2" t="s">
        <v>238</v>
      </c>
      <c r="E150" s="2"/>
      <c r="F150" s="2"/>
      <c r="G150" s="2"/>
      <c r="H150" s="2"/>
      <c r="I150" s="2" t="s">
        <v>239</v>
      </c>
      <c r="J150" s="2"/>
      <c r="K150" s="2"/>
      <c r="L150" s="2"/>
      <c r="M150" s="2"/>
      <c r="N150" s="2"/>
      <c r="O150" s="2"/>
      <c r="P150" s="2"/>
      <c r="Q150" s="2"/>
      <c r="R150" s="2"/>
    </row>
    <row r="151" spans="1:18" x14ac:dyDescent="0.25">
      <c r="A151" s="2"/>
      <c r="B151" s="2"/>
      <c r="C151" s="2"/>
      <c r="D151" s="2" t="s">
        <v>240</v>
      </c>
      <c r="E151" s="2"/>
      <c r="F151" s="2"/>
      <c r="G151" s="2"/>
      <c r="H151" s="2"/>
      <c r="I151" s="2" t="s">
        <v>241</v>
      </c>
      <c r="J151" s="2"/>
      <c r="K151" s="2"/>
      <c r="L151" s="2"/>
      <c r="M151" s="2"/>
      <c r="N151" s="2"/>
      <c r="O151" s="2"/>
      <c r="P151" s="2"/>
      <c r="Q151" s="2"/>
      <c r="R151" s="2"/>
    </row>
    <row r="152" spans="1:18" x14ac:dyDescent="0.25">
      <c r="A152" s="2"/>
      <c r="B152" s="2"/>
      <c r="C152" s="2"/>
      <c r="D152" s="2" t="s">
        <v>242</v>
      </c>
      <c r="E152" s="2"/>
      <c r="F152" s="2"/>
      <c r="G152" s="2"/>
      <c r="H152" s="2"/>
      <c r="I152" s="2" t="s">
        <v>243</v>
      </c>
      <c r="J152" s="2"/>
      <c r="K152" s="2"/>
      <c r="L152" s="2"/>
      <c r="M152" s="2"/>
      <c r="N152" s="2"/>
      <c r="O152" s="2"/>
      <c r="P152" s="2"/>
      <c r="Q152" s="2"/>
      <c r="R152" s="2"/>
    </row>
    <row r="153" spans="1:18" x14ac:dyDescent="0.25">
      <c r="A153" s="2"/>
      <c r="B153" s="2"/>
      <c r="C153" s="2"/>
      <c r="D153" s="2" t="s">
        <v>244</v>
      </c>
      <c r="E153" s="2"/>
      <c r="F153" s="2"/>
      <c r="G153" s="2"/>
      <c r="H153" s="2"/>
      <c r="I153" s="2" t="s">
        <v>245</v>
      </c>
      <c r="J153" s="2"/>
      <c r="K153" s="2"/>
      <c r="L153" s="2"/>
      <c r="M153" s="2"/>
      <c r="N153" s="2"/>
      <c r="O153" s="2"/>
      <c r="P153" s="2"/>
      <c r="Q153" s="2"/>
      <c r="R153" s="2"/>
    </row>
    <row r="154" spans="1:18" x14ac:dyDescent="0.25">
      <c r="A154" s="2"/>
      <c r="B154" s="2"/>
      <c r="C154" s="2"/>
      <c r="D154" s="2" t="s">
        <v>246</v>
      </c>
      <c r="E154" s="2"/>
      <c r="F154" s="2"/>
      <c r="G154" s="2"/>
      <c r="H154" s="2"/>
      <c r="I154" s="2" t="s">
        <v>247</v>
      </c>
      <c r="J154" s="2"/>
      <c r="K154" s="2"/>
      <c r="L154" s="2"/>
      <c r="M154" s="2"/>
      <c r="N154" s="2"/>
      <c r="O154" s="2"/>
      <c r="P154" s="2"/>
      <c r="Q154" s="2"/>
      <c r="R154" s="2"/>
    </row>
    <row r="155" spans="1:18" x14ac:dyDescent="0.25">
      <c r="A155" s="2"/>
      <c r="B155" s="2"/>
      <c r="C155" s="2"/>
      <c r="D155" s="2" t="s">
        <v>248</v>
      </c>
      <c r="E155" s="2"/>
      <c r="F155" s="2"/>
      <c r="G155" s="2"/>
      <c r="H155" s="2"/>
      <c r="I155" s="2" t="s">
        <v>249</v>
      </c>
      <c r="J155" s="2"/>
      <c r="K155" s="2"/>
      <c r="L155" s="2"/>
      <c r="M155" s="2"/>
      <c r="N155" s="2"/>
      <c r="O155" s="2"/>
      <c r="P155" s="2"/>
      <c r="Q155" s="2"/>
      <c r="R155" s="2"/>
    </row>
    <row r="156" spans="1:18" x14ac:dyDescent="0.25">
      <c r="A156" s="2"/>
      <c r="B156" s="2"/>
      <c r="C156" s="2"/>
      <c r="D156" s="2" t="s">
        <v>250</v>
      </c>
      <c r="E156" s="2"/>
      <c r="F156" s="2"/>
      <c r="G156" s="2"/>
      <c r="H156" s="2"/>
      <c r="I156" s="2" t="s">
        <v>251</v>
      </c>
      <c r="J156" s="2"/>
      <c r="K156" s="2"/>
      <c r="L156" s="2"/>
      <c r="M156" s="2"/>
      <c r="N156" s="2"/>
      <c r="O156" s="2"/>
      <c r="P156" s="2"/>
      <c r="Q156" s="2"/>
      <c r="R156" s="2"/>
    </row>
    <row r="157" spans="1:18" x14ac:dyDescent="0.25">
      <c r="A157" s="2"/>
      <c r="B157" s="2"/>
      <c r="C157" s="2"/>
      <c r="D157" s="3" t="s">
        <v>252</v>
      </c>
      <c r="E157" s="2"/>
      <c r="F157" s="2"/>
      <c r="G157" s="2"/>
      <c r="H157" s="2"/>
      <c r="I157" s="2" t="s">
        <v>253</v>
      </c>
      <c r="J157" s="2"/>
      <c r="K157" s="2"/>
      <c r="L157" s="2"/>
      <c r="M157" s="2"/>
      <c r="N157" s="2"/>
      <c r="O157" s="2"/>
      <c r="P157" s="2"/>
      <c r="Q157" s="2"/>
      <c r="R157" s="2"/>
    </row>
    <row r="158" spans="1:18" x14ac:dyDescent="0.25">
      <c r="A158" s="2"/>
      <c r="B158" s="2"/>
      <c r="C158" s="2"/>
      <c r="D158" s="2"/>
      <c r="E158" s="2"/>
      <c r="F158" s="2"/>
      <c r="G158" s="2"/>
      <c r="H158" s="2"/>
      <c r="I158" s="2"/>
      <c r="J158" s="2"/>
      <c r="K158" s="2"/>
      <c r="L158" s="2"/>
      <c r="M158" s="2"/>
      <c r="N158" s="2"/>
      <c r="O158" s="2"/>
      <c r="P158" s="2"/>
      <c r="Q158" s="2"/>
      <c r="R158" s="2"/>
    </row>
    <row r="159" spans="1:18" x14ac:dyDescent="0.25">
      <c r="A159" s="2" t="s">
        <v>254</v>
      </c>
      <c r="B159" s="2"/>
      <c r="C159" s="2"/>
      <c r="D159" s="2" t="s">
        <v>255</v>
      </c>
      <c r="E159" s="2"/>
      <c r="F159" s="2"/>
      <c r="G159" s="2"/>
      <c r="H159" s="2"/>
      <c r="I159" s="2" t="s">
        <v>8</v>
      </c>
      <c r="J159" s="2"/>
      <c r="K159" s="2"/>
      <c r="L159" s="2"/>
      <c r="M159" s="2"/>
      <c r="N159" s="3" t="s">
        <v>5</v>
      </c>
      <c r="O159" s="2"/>
      <c r="P159" s="2"/>
      <c r="Q159" s="2"/>
      <c r="R159" s="2"/>
    </row>
    <row r="160" spans="1:18" x14ac:dyDescent="0.25">
      <c r="A160" s="2" t="s">
        <v>256</v>
      </c>
      <c r="B160" s="2"/>
      <c r="C160" s="2"/>
      <c r="D160" s="2" t="s">
        <v>257</v>
      </c>
      <c r="E160" s="2"/>
      <c r="F160" s="2"/>
      <c r="G160" s="2"/>
      <c r="H160" s="2"/>
      <c r="I160" s="2"/>
      <c r="J160" s="2"/>
      <c r="K160" s="2"/>
      <c r="L160" s="2"/>
      <c r="M160" s="2"/>
      <c r="N160" s="3" t="s">
        <v>48</v>
      </c>
      <c r="O160" s="2"/>
      <c r="P160" s="2"/>
      <c r="Q160" s="2"/>
      <c r="R160" s="2"/>
    </row>
    <row r="161" spans="1:18" x14ac:dyDescent="0.25">
      <c r="A161" s="2" t="s">
        <v>258</v>
      </c>
      <c r="B161" s="2"/>
      <c r="C161" s="2"/>
      <c r="D161" s="2" t="s">
        <v>259</v>
      </c>
      <c r="E161" s="2"/>
      <c r="F161" s="2"/>
      <c r="G161" s="2"/>
      <c r="H161" s="2"/>
      <c r="I161" s="2"/>
      <c r="J161" s="2"/>
      <c r="K161" s="2"/>
      <c r="L161" s="2"/>
      <c r="M161" s="2"/>
      <c r="N161" s="3" t="s">
        <v>67</v>
      </c>
      <c r="O161" s="2"/>
      <c r="P161" s="2"/>
      <c r="Q161" s="2"/>
      <c r="R161" s="2"/>
    </row>
    <row r="162" spans="1:18" x14ac:dyDescent="0.25">
      <c r="A162" s="2" t="s">
        <v>260</v>
      </c>
      <c r="B162" s="2"/>
      <c r="C162" s="2"/>
      <c r="D162" s="2" t="s">
        <v>261</v>
      </c>
      <c r="E162" s="2"/>
      <c r="F162" s="2"/>
      <c r="G162" s="2"/>
      <c r="H162" s="2"/>
      <c r="I162" s="2"/>
      <c r="J162" s="2"/>
      <c r="K162" s="2"/>
      <c r="L162" s="2"/>
      <c r="M162" s="2"/>
      <c r="N162" s="3" t="s">
        <v>80</v>
      </c>
      <c r="O162" s="2"/>
      <c r="P162" s="2"/>
      <c r="Q162" s="2"/>
      <c r="R162" s="2"/>
    </row>
    <row r="163" spans="1:18" x14ac:dyDescent="0.25">
      <c r="A163" s="2" t="s">
        <v>262</v>
      </c>
      <c r="B163" s="2"/>
      <c r="C163" s="2"/>
      <c r="D163" s="2" t="s">
        <v>263</v>
      </c>
      <c r="E163" s="2"/>
      <c r="F163" s="2"/>
      <c r="G163" s="2"/>
      <c r="H163" s="2"/>
      <c r="I163" s="2"/>
      <c r="J163" s="2"/>
      <c r="K163" s="2"/>
      <c r="L163" s="2"/>
      <c r="M163" s="2"/>
      <c r="N163" s="3" t="s">
        <v>264</v>
      </c>
      <c r="O163" s="2"/>
      <c r="P163" s="2"/>
      <c r="Q163" s="2"/>
      <c r="R163" s="2"/>
    </row>
    <row r="164" spans="1:18" x14ac:dyDescent="0.25">
      <c r="A164" s="5" t="s">
        <v>265</v>
      </c>
      <c r="B164" s="2"/>
      <c r="C164" s="2"/>
      <c r="D164" s="2"/>
      <c r="E164" s="2"/>
      <c r="F164" s="2"/>
      <c r="G164" s="2"/>
      <c r="H164" s="2"/>
      <c r="I164" s="2"/>
      <c r="J164" s="2"/>
      <c r="K164" s="2"/>
      <c r="L164" s="2"/>
      <c r="M164" s="2"/>
      <c r="N164" s="7" t="s">
        <v>266</v>
      </c>
      <c r="O164" s="2"/>
      <c r="P164" s="2"/>
      <c r="Q164" s="2"/>
      <c r="R164" s="2"/>
    </row>
    <row r="165" spans="1:18" x14ac:dyDescent="0.25">
      <c r="A165" s="2" t="s">
        <v>267</v>
      </c>
      <c r="B165" s="2"/>
      <c r="C165" s="2"/>
      <c r="D165" s="2"/>
      <c r="E165" s="2"/>
      <c r="F165" s="2"/>
      <c r="G165" s="2"/>
      <c r="H165" s="2"/>
      <c r="I165" s="2"/>
      <c r="J165" s="2"/>
      <c r="K165" s="2"/>
      <c r="L165" s="2"/>
      <c r="M165" s="2"/>
      <c r="N165" s="2" t="s">
        <v>268</v>
      </c>
      <c r="O165" s="2"/>
      <c r="P165" s="2"/>
      <c r="Q165" s="2"/>
      <c r="R165" s="2"/>
    </row>
    <row r="166" spans="1:18" x14ac:dyDescent="0.25">
      <c r="A166" s="7" t="s">
        <v>221</v>
      </c>
      <c r="B166" s="2"/>
      <c r="C166" s="2"/>
      <c r="D166" s="2"/>
      <c r="E166" s="2"/>
      <c r="F166" s="2"/>
      <c r="G166" s="2"/>
      <c r="H166" s="2"/>
      <c r="I166" s="2"/>
      <c r="J166" s="2"/>
      <c r="K166" s="2"/>
      <c r="L166" s="2"/>
      <c r="M166" s="2"/>
      <c r="N166" s="3" t="s">
        <v>53</v>
      </c>
      <c r="O166" s="2"/>
      <c r="P166" s="2"/>
      <c r="Q166" s="2"/>
      <c r="R166" s="2"/>
    </row>
    <row r="167" spans="1:18" x14ac:dyDescent="0.25">
      <c r="A167" s="5" t="s">
        <v>269</v>
      </c>
      <c r="B167" s="2"/>
      <c r="C167" s="2"/>
      <c r="D167" s="2"/>
      <c r="E167" s="2"/>
      <c r="F167" s="2"/>
      <c r="G167" s="2"/>
      <c r="H167" s="2"/>
      <c r="I167" s="2"/>
      <c r="J167" s="2"/>
      <c r="K167" s="2"/>
      <c r="L167" s="2"/>
      <c r="M167" s="2"/>
      <c r="N167" s="3" t="s">
        <v>204</v>
      </c>
      <c r="O167" s="2"/>
      <c r="P167" s="2"/>
      <c r="Q167" s="2"/>
      <c r="R167" s="2"/>
    </row>
    <row r="168" spans="1:18" x14ac:dyDescent="0.25">
      <c r="A168" s="2" t="s">
        <v>270</v>
      </c>
      <c r="B168" s="2"/>
      <c r="C168" s="2"/>
      <c r="D168" s="2"/>
      <c r="E168" s="2"/>
      <c r="F168" s="2"/>
      <c r="G168" s="2"/>
      <c r="H168" s="2"/>
      <c r="I168" s="2"/>
      <c r="J168" s="2"/>
      <c r="K168" s="2"/>
      <c r="L168" s="2"/>
      <c r="M168" s="2"/>
      <c r="N168" s="3" t="s">
        <v>221</v>
      </c>
      <c r="O168" s="2"/>
      <c r="P168" s="2"/>
      <c r="Q168" s="2"/>
      <c r="R168" s="2"/>
    </row>
    <row r="169" spans="1:18" x14ac:dyDescent="0.25">
      <c r="A169" s="2" t="s">
        <v>271</v>
      </c>
      <c r="B169" s="2"/>
      <c r="C169" s="2"/>
      <c r="D169" s="2"/>
      <c r="E169" s="2"/>
      <c r="F169" s="2"/>
      <c r="G169" s="2"/>
      <c r="H169" s="2"/>
      <c r="I169" s="2"/>
      <c r="J169" s="2"/>
      <c r="K169" s="2"/>
      <c r="L169" s="2"/>
      <c r="M169" s="2"/>
      <c r="N169" s="3"/>
      <c r="O169" s="2"/>
      <c r="P169" s="2"/>
      <c r="Q169" s="2"/>
      <c r="R169" s="2"/>
    </row>
    <row r="170" spans="1:18" x14ac:dyDescent="0.25">
      <c r="B170" s="2"/>
      <c r="C170" s="2"/>
      <c r="D170" s="2"/>
      <c r="E170" s="2"/>
      <c r="F170" s="2"/>
      <c r="G170" s="2"/>
      <c r="H170" s="2"/>
      <c r="I170" s="2"/>
      <c r="J170" s="2"/>
      <c r="K170" s="2"/>
      <c r="L170" s="2"/>
      <c r="M170" s="2"/>
      <c r="N170" s="3"/>
      <c r="O170" s="2"/>
      <c r="P170" s="2"/>
      <c r="Q170" s="2"/>
      <c r="R170" s="2"/>
    </row>
    <row r="171" spans="1:18" x14ac:dyDescent="0.25">
      <c r="B171" s="2"/>
      <c r="C171" s="2"/>
      <c r="D171" s="2"/>
      <c r="E171" s="2"/>
      <c r="F171" s="2"/>
      <c r="G171" s="2"/>
      <c r="H171" s="2"/>
      <c r="I171" s="2"/>
      <c r="J171" s="2"/>
      <c r="K171" s="2"/>
      <c r="L171" s="2"/>
      <c r="M171" s="2"/>
      <c r="N171" s="3"/>
      <c r="O171" s="2"/>
      <c r="P171" s="2"/>
      <c r="Q171" s="2"/>
      <c r="R171" s="2"/>
    </row>
  </sheetData>
  <hyperlinks>
    <hyperlink ref="D74" r:id="rId1" xr:uid="{26A585EC-A80B-44CE-8FFA-C406717AAB2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88C2D-3C7D-4531-B2B1-7B31B1813021}">
  <dimension ref="A1:O52"/>
  <sheetViews>
    <sheetView workbookViewId="0"/>
  </sheetViews>
  <sheetFormatPr defaultRowHeight="15" x14ac:dyDescent="0.25"/>
  <sheetData>
    <row r="1" spans="1:15" ht="15.75" x14ac:dyDescent="0.25">
      <c r="A1" s="1" t="s">
        <v>1447</v>
      </c>
      <c r="B1" s="2"/>
      <c r="C1" s="2"/>
      <c r="D1" s="2"/>
      <c r="E1" s="2"/>
      <c r="F1" s="2"/>
      <c r="G1" s="2"/>
      <c r="H1" s="2"/>
      <c r="I1" s="2"/>
      <c r="J1" s="2"/>
      <c r="K1" s="2"/>
      <c r="L1" s="2"/>
      <c r="M1" s="2"/>
      <c r="N1" s="2"/>
      <c r="O1" s="2"/>
    </row>
    <row r="2" spans="1:15" x14ac:dyDescent="0.25">
      <c r="A2" s="3" t="s">
        <v>272</v>
      </c>
      <c r="B2" s="2"/>
      <c r="C2" s="2"/>
      <c r="D2" s="2"/>
      <c r="E2" s="2"/>
      <c r="F2" s="2"/>
      <c r="G2" s="2"/>
      <c r="H2" s="2"/>
      <c r="I2" s="2"/>
      <c r="J2" s="2"/>
      <c r="K2" s="2"/>
      <c r="L2" s="2"/>
      <c r="M2" s="2"/>
      <c r="N2" s="2"/>
      <c r="O2" s="2"/>
    </row>
    <row r="3" spans="1:15" x14ac:dyDescent="0.25">
      <c r="A3" s="3" t="s">
        <v>273</v>
      </c>
      <c r="B3" s="2"/>
      <c r="C3" s="2"/>
      <c r="D3" s="2"/>
      <c r="E3" s="2"/>
      <c r="F3" s="2"/>
      <c r="G3" s="2"/>
      <c r="H3" s="2"/>
      <c r="I3" s="2"/>
      <c r="J3" s="2"/>
      <c r="K3" s="2"/>
      <c r="L3" s="2"/>
      <c r="M3" s="2"/>
      <c r="N3" s="2"/>
      <c r="O3" s="2"/>
    </row>
    <row r="4" spans="1:15" x14ac:dyDescent="0.25">
      <c r="A4" s="3" t="s">
        <v>274</v>
      </c>
      <c r="B4" s="2"/>
      <c r="C4" s="2"/>
      <c r="D4" s="2"/>
      <c r="E4" s="2"/>
      <c r="F4" s="2"/>
      <c r="G4" s="2"/>
      <c r="H4" s="2"/>
      <c r="I4" s="2"/>
      <c r="J4" s="2"/>
      <c r="K4" s="2"/>
      <c r="L4" s="2"/>
      <c r="M4" s="2"/>
      <c r="N4" s="2"/>
      <c r="O4" s="2"/>
    </row>
    <row r="5" spans="1:15" x14ac:dyDescent="0.25">
      <c r="A5" s="2"/>
      <c r="B5" s="2"/>
      <c r="C5" s="2"/>
      <c r="D5" s="2"/>
      <c r="E5" s="2"/>
      <c r="F5" s="2"/>
      <c r="G5" s="2"/>
      <c r="H5" s="2"/>
      <c r="I5" s="2"/>
      <c r="J5" s="2"/>
      <c r="K5" s="2"/>
      <c r="L5" s="2"/>
      <c r="M5" s="2"/>
      <c r="N5" s="2"/>
      <c r="O5" s="2"/>
    </row>
    <row r="6" spans="1:15" x14ac:dyDescent="0.25">
      <c r="A6" s="4" t="s">
        <v>275</v>
      </c>
      <c r="B6" s="2"/>
      <c r="C6" s="2"/>
      <c r="D6" s="2"/>
      <c r="E6" s="2" t="s">
        <v>1448</v>
      </c>
      <c r="F6" s="2"/>
      <c r="G6" s="2"/>
      <c r="H6" s="2"/>
      <c r="I6" s="2"/>
      <c r="J6" s="2"/>
      <c r="K6" s="2"/>
      <c r="L6" s="2"/>
      <c r="M6" s="2"/>
      <c r="N6" s="2"/>
      <c r="O6" s="2"/>
    </row>
    <row r="7" spans="1:15" x14ac:dyDescent="0.25">
      <c r="A7" s="4"/>
      <c r="B7" s="2"/>
      <c r="C7" s="2"/>
      <c r="D7" s="2"/>
      <c r="E7" s="2"/>
      <c r="F7" s="2"/>
      <c r="G7" s="2"/>
      <c r="H7" s="2"/>
      <c r="I7" s="2"/>
      <c r="J7" s="2"/>
      <c r="K7" s="2"/>
      <c r="L7" s="2"/>
      <c r="M7" s="2"/>
      <c r="N7" s="2"/>
      <c r="O7" s="2"/>
    </row>
    <row r="8" spans="1:15" x14ac:dyDescent="0.25">
      <c r="A8" s="2" t="s">
        <v>276</v>
      </c>
      <c r="B8" s="2"/>
      <c r="C8" s="2" t="s">
        <v>277</v>
      </c>
      <c r="D8" s="2"/>
      <c r="E8" s="2" t="s">
        <v>278</v>
      </c>
      <c r="F8" s="2"/>
      <c r="G8" s="2"/>
      <c r="H8" s="2"/>
      <c r="I8" s="2"/>
      <c r="J8" s="2" t="s">
        <v>279</v>
      </c>
      <c r="K8" s="2"/>
      <c r="L8" s="2"/>
      <c r="M8" s="2"/>
      <c r="N8" s="2"/>
      <c r="O8" s="2"/>
    </row>
    <row r="9" spans="1:15" x14ac:dyDescent="0.25">
      <c r="A9" s="2"/>
      <c r="B9" s="2"/>
      <c r="C9" s="2" t="s">
        <v>280</v>
      </c>
      <c r="D9" s="2"/>
      <c r="E9" s="2"/>
      <c r="F9" s="2"/>
      <c r="G9" s="2"/>
      <c r="H9" s="2"/>
      <c r="I9" s="2"/>
      <c r="J9" s="2" t="s">
        <v>1449</v>
      </c>
      <c r="K9" s="2"/>
      <c r="L9" s="2"/>
      <c r="M9" s="2"/>
      <c r="N9" s="2"/>
      <c r="O9" s="2"/>
    </row>
    <row r="10" spans="1:15" x14ac:dyDescent="0.25">
      <c r="A10" s="2"/>
      <c r="B10" s="2"/>
      <c r="C10" s="2"/>
      <c r="D10" s="2"/>
      <c r="E10" s="2"/>
      <c r="F10" s="2"/>
      <c r="G10" s="2"/>
      <c r="H10" s="2"/>
      <c r="I10" s="2"/>
      <c r="J10" s="2"/>
      <c r="K10" s="2"/>
      <c r="L10" s="2"/>
      <c r="M10" s="2"/>
      <c r="N10" s="2"/>
      <c r="O10" s="2"/>
    </row>
    <row r="11" spans="1:15" x14ac:dyDescent="0.25">
      <c r="A11" s="2" t="s">
        <v>281</v>
      </c>
      <c r="B11" s="2"/>
      <c r="C11" s="2" t="s">
        <v>277</v>
      </c>
      <c r="D11" s="2"/>
      <c r="E11" s="2" t="s">
        <v>282</v>
      </c>
      <c r="F11" s="2"/>
      <c r="G11" s="2"/>
      <c r="H11" s="2"/>
      <c r="I11" s="2"/>
      <c r="J11" s="2" t="s">
        <v>283</v>
      </c>
      <c r="K11" s="2"/>
      <c r="L11" s="2"/>
      <c r="M11" s="2"/>
      <c r="N11" s="2"/>
      <c r="O11" s="2"/>
    </row>
    <row r="12" spans="1:15" x14ac:dyDescent="0.25">
      <c r="A12" s="2"/>
      <c r="B12" s="2"/>
      <c r="C12" s="2" t="s">
        <v>280</v>
      </c>
      <c r="D12" s="2"/>
      <c r="E12" s="2"/>
      <c r="F12" s="2"/>
      <c r="G12" s="2"/>
      <c r="H12" s="2"/>
      <c r="I12" s="2"/>
      <c r="J12" s="2" t="s">
        <v>1449</v>
      </c>
      <c r="K12" s="2"/>
      <c r="L12" s="2"/>
      <c r="M12" s="2"/>
      <c r="N12" s="2"/>
      <c r="O12" s="2"/>
    </row>
    <row r="13" spans="1:15" x14ac:dyDescent="0.25">
      <c r="A13" s="2"/>
      <c r="B13" s="2"/>
      <c r="C13" s="2"/>
      <c r="D13" s="2"/>
      <c r="E13" s="2"/>
      <c r="F13" s="2"/>
      <c r="G13" s="2"/>
      <c r="H13" s="2"/>
      <c r="I13" s="2"/>
      <c r="J13" s="2"/>
      <c r="K13" s="2"/>
      <c r="L13" s="2"/>
      <c r="M13" s="2"/>
      <c r="N13" s="2"/>
      <c r="O13" s="2"/>
    </row>
    <row r="14" spans="1:15" x14ac:dyDescent="0.25">
      <c r="A14" s="2" t="s">
        <v>284</v>
      </c>
      <c r="B14" s="2"/>
      <c r="C14" s="2" t="s">
        <v>277</v>
      </c>
      <c r="D14" s="2"/>
      <c r="E14" s="2" t="s">
        <v>285</v>
      </c>
      <c r="F14" s="2"/>
      <c r="G14" s="2"/>
      <c r="H14" s="2"/>
      <c r="I14" s="2"/>
      <c r="J14" s="2" t="s">
        <v>286</v>
      </c>
      <c r="K14" s="2"/>
      <c r="L14" s="2"/>
      <c r="M14" s="2"/>
      <c r="N14" s="2"/>
      <c r="O14" s="2"/>
    </row>
    <row r="15" spans="1:15" x14ac:dyDescent="0.25">
      <c r="A15" s="2" t="s">
        <v>287</v>
      </c>
      <c r="B15" s="2"/>
      <c r="C15" s="2" t="s">
        <v>280</v>
      </c>
      <c r="D15" s="2"/>
      <c r="E15" s="2" t="s">
        <v>288</v>
      </c>
      <c r="F15" s="2"/>
      <c r="G15" s="2"/>
      <c r="H15" s="2"/>
      <c r="I15" s="2"/>
      <c r="J15" s="2" t="s">
        <v>1449</v>
      </c>
      <c r="K15" s="2"/>
      <c r="L15" s="10"/>
      <c r="M15" s="2"/>
      <c r="N15" s="2"/>
      <c r="O15" s="2"/>
    </row>
    <row r="16" spans="1:15" x14ac:dyDescent="0.25">
      <c r="A16" s="2" t="s">
        <v>289</v>
      </c>
      <c r="B16" s="2"/>
      <c r="C16" s="2" t="s">
        <v>290</v>
      </c>
      <c r="D16" s="2"/>
      <c r="E16" s="2" t="s">
        <v>291</v>
      </c>
      <c r="F16" s="2"/>
      <c r="G16" s="2"/>
      <c r="H16" s="2"/>
      <c r="I16" s="2"/>
      <c r="J16" s="2" t="s">
        <v>292</v>
      </c>
      <c r="K16" s="2"/>
      <c r="L16" s="2"/>
      <c r="M16" s="2"/>
      <c r="N16" s="2"/>
      <c r="O16" s="2"/>
    </row>
    <row r="17" spans="1:15" x14ac:dyDescent="0.25">
      <c r="A17" s="2"/>
      <c r="B17" s="2"/>
      <c r="C17" s="2"/>
      <c r="D17" s="2"/>
      <c r="E17" s="2"/>
      <c r="F17" s="2"/>
      <c r="G17" s="2"/>
      <c r="H17" s="2"/>
      <c r="I17" s="2"/>
      <c r="J17" s="2"/>
      <c r="K17" s="2"/>
      <c r="L17" s="2"/>
      <c r="M17" s="2"/>
      <c r="N17" s="2"/>
      <c r="O17" s="2"/>
    </row>
    <row r="18" spans="1:15" x14ac:dyDescent="0.25">
      <c r="A18" s="2" t="s">
        <v>293</v>
      </c>
      <c r="B18" s="2"/>
      <c r="C18" s="2" t="s">
        <v>277</v>
      </c>
      <c r="D18" s="2"/>
      <c r="E18" s="2" t="s">
        <v>285</v>
      </c>
      <c r="F18" s="2"/>
      <c r="G18" s="2"/>
      <c r="H18" s="2"/>
      <c r="I18" s="2"/>
      <c r="J18" s="2" t="s">
        <v>294</v>
      </c>
      <c r="K18" s="2"/>
      <c r="L18" s="2"/>
      <c r="M18" s="2"/>
      <c r="N18" s="2"/>
      <c r="O18" s="2"/>
    </row>
    <row r="19" spans="1:15" x14ac:dyDescent="0.25">
      <c r="A19" s="2" t="s">
        <v>287</v>
      </c>
      <c r="B19" s="2"/>
      <c r="C19" s="2" t="s">
        <v>280</v>
      </c>
      <c r="D19" s="2"/>
      <c r="E19" s="2" t="s">
        <v>295</v>
      </c>
      <c r="F19" s="2"/>
      <c r="G19" s="2"/>
      <c r="H19" s="2"/>
      <c r="I19" s="2"/>
      <c r="J19" s="2" t="s">
        <v>1449</v>
      </c>
      <c r="K19" s="2"/>
      <c r="L19" s="2"/>
      <c r="M19" s="2"/>
      <c r="N19" s="2"/>
      <c r="O19" s="2"/>
    </row>
    <row r="20" spans="1:15" x14ac:dyDescent="0.25">
      <c r="A20" s="2" t="s">
        <v>289</v>
      </c>
      <c r="B20" s="2"/>
      <c r="C20" s="2" t="s">
        <v>290</v>
      </c>
      <c r="D20" s="2"/>
      <c r="E20" s="2" t="s">
        <v>291</v>
      </c>
      <c r="F20" s="2"/>
      <c r="G20" s="2"/>
      <c r="H20" s="2"/>
      <c r="I20" s="2"/>
      <c r="J20" s="2" t="s">
        <v>296</v>
      </c>
      <c r="K20" s="2"/>
      <c r="L20" s="2"/>
      <c r="M20" s="2"/>
      <c r="N20" s="2"/>
      <c r="O20" s="2"/>
    </row>
    <row r="21" spans="1:15" x14ac:dyDescent="0.25">
      <c r="A21" s="2"/>
      <c r="B21" s="2"/>
      <c r="C21" s="2"/>
      <c r="D21" s="2"/>
      <c r="E21" s="2"/>
      <c r="F21" s="2"/>
      <c r="G21" s="2"/>
      <c r="H21" s="2"/>
      <c r="I21" s="2"/>
      <c r="J21" s="2"/>
      <c r="K21" s="2"/>
      <c r="L21" s="2"/>
      <c r="M21" s="2"/>
      <c r="N21" s="2"/>
      <c r="O21" s="2"/>
    </row>
    <row r="22" spans="1:15" x14ac:dyDescent="0.25">
      <c r="A22" s="2" t="s">
        <v>297</v>
      </c>
      <c r="B22" s="2"/>
      <c r="C22" s="2" t="s">
        <v>277</v>
      </c>
      <c r="D22" s="2"/>
      <c r="E22" s="2" t="s">
        <v>282</v>
      </c>
      <c r="F22" s="2"/>
      <c r="G22" s="2"/>
      <c r="H22" s="2"/>
      <c r="I22" s="2"/>
      <c r="J22" s="2" t="s">
        <v>283</v>
      </c>
      <c r="K22" s="2"/>
      <c r="L22" s="2"/>
      <c r="M22" s="2"/>
      <c r="N22" s="2"/>
      <c r="O22" s="2"/>
    </row>
    <row r="23" spans="1:15" x14ac:dyDescent="0.25">
      <c r="A23" s="2" t="s">
        <v>298</v>
      </c>
      <c r="B23" s="2"/>
      <c r="C23" s="2" t="s">
        <v>280</v>
      </c>
      <c r="D23" s="2"/>
      <c r="E23" s="2" t="s">
        <v>299</v>
      </c>
      <c r="F23" s="2"/>
      <c r="G23" s="2"/>
      <c r="H23" s="2"/>
      <c r="I23" s="2"/>
      <c r="J23" s="2" t="s">
        <v>1449</v>
      </c>
      <c r="K23" s="2"/>
      <c r="L23" s="2"/>
      <c r="M23" s="2"/>
      <c r="N23" s="2"/>
      <c r="O23" s="2"/>
    </row>
    <row r="24" spans="1:15" x14ac:dyDescent="0.25">
      <c r="A24" s="2"/>
      <c r="B24" s="2"/>
      <c r="C24" s="2"/>
      <c r="D24" s="2"/>
      <c r="E24" s="2" t="s">
        <v>300</v>
      </c>
      <c r="F24" s="2"/>
      <c r="G24" s="2"/>
      <c r="H24" s="2"/>
      <c r="I24" s="2"/>
      <c r="J24" s="2"/>
      <c r="K24" s="2"/>
      <c r="L24" s="2"/>
      <c r="M24" s="2"/>
      <c r="N24" s="2"/>
      <c r="O24" s="2"/>
    </row>
    <row r="25" spans="1:15" x14ac:dyDescent="0.25">
      <c r="A25" s="2"/>
      <c r="B25" s="2"/>
      <c r="C25" s="2"/>
      <c r="D25" s="2"/>
      <c r="E25" s="2" t="s">
        <v>301</v>
      </c>
      <c r="F25" s="2"/>
      <c r="G25" s="2"/>
      <c r="H25" s="2"/>
      <c r="I25" s="2"/>
      <c r="J25" s="2"/>
      <c r="K25" s="2"/>
      <c r="L25" s="2"/>
      <c r="M25" s="2"/>
      <c r="N25" s="2"/>
      <c r="O25" s="2"/>
    </row>
    <row r="26" spans="1:15" x14ac:dyDescent="0.25">
      <c r="A26" s="2"/>
      <c r="B26" s="2"/>
      <c r="C26" s="2"/>
      <c r="D26" s="2"/>
      <c r="E26" s="2"/>
      <c r="F26" s="2"/>
      <c r="G26" s="2"/>
      <c r="H26" s="2"/>
      <c r="I26" s="2"/>
      <c r="J26" s="2"/>
      <c r="K26" s="2"/>
      <c r="L26" s="2"/>
      <c r="M26" s="2"/>
      <c r="N26" s="2"/>
      <c r="O26" s="2"/>
    </row>
    <row r="27" spans="1:15" x14ac:dyDescent="0.25">
      <c r="A27" s="2" t="s">
        <v>302</v>
      </c>
      <c r="B27" s="2"/>
      <c r="C27" s="2" t="s">
        <v>277</v>
      </c>
      <c r="D27" s="2"/>
      <c r="E27" s="2" t="s">
        <v>282</v>
      </c>
      <c r="F27" s="2"/>
      <c r="G27" s="2"/>
      <c r="H27" s="2"/>
      <c r="I27" s="2"/>
      <c r="J27" s="2" t="s">
        <v>283</v>
      </c>
      <c r="K27" s="2"/>
      <c r="L27" s="2"/>
      <c r="M27" s="2"/>
      <c r="N27" s="2"/>
      <c r="O27" s="2"/>
    </row>
    <row r="28" spans="1:15" x14ac:dyDescent="0.25">
      <c r="A28" s="2" t="s">
        <v>303</v>
      </c>
      <c r="B28" s="2"/>
      <c r="C28" s="2" t="s">
        <v>280</v>
      </c>
      <c r="D28" s="2"/>
      <c r="E28" s="2" t="s">
        <v>304</v>
      </c>
      <c r="F28" s="2"/>
      <c r="G28" s="2"/>
      <c r="H28" s="2"/>
      <c r="I28" s="2"/>
      <c r="J28" s="2" t="s">
        <v>305</v>
      </c>
      <c r="K28" s="2"/>
      <c r="L28" s="2"/>
      <c r="M28" s="2"/>
      <c r="N28" s="2"/>
      <c r="O28" s="2"/>
    </row>
    <row r="29" spans="1:15" x14ac:dyDescent="0.25">
      <c r="A29" s="2" t="s">
        <v>306</v>
      </c>
      <c r="B29" s="2"/>
      <c r="C29" s="2" t="s">
        <v>290</v>
      </c>
      <c r="D29" s="2"/>
      <c r="E29" s="2" t="s">
        <v>307</v>
      </c>
      <c r="F29" s="2"/>
      <c r="G29" s="2"/>
      <c r="H29" s="2"/>
      <c r="I29" s="2"/>
      <c r="J29" s="2" t="s">
        <v>308</v>
      </c>
      <c r="K29" s="6" t="s">
        <v>309</v>
      </c>
      <c r="L29" s="2"/>
      <c r="M29" s="2"/>
      <c r="N29" s="2" t="s">
        <v>1449</v>
      </c>
      <c r="O29" s="2"/>
    </row>
    <row r="30" spans="1:15" x14ac:dyDescent="0.25">
      <c r="A30" s="2"/>
      <c r="B30" s="2"/>
      <c r="C30" s="2"/>
      <c r="D30" s="2"/>
      <c r="E30" s="2"/>
      <c r="F30" s="2"/>
      <c r="G30" s="2"/>
      <c r="H30" s="2"/>
      <c r="I30" s="2"/>
      <c r="J30" s="2"/>
      <c r="K30" s="2"/>
      <c r="L30" s="2"/>
      <c r="M30" s="2"/>
      <c r="N30" s="2"/>
      <c r="O30" s="2"/>
    </row>
    <row r="31" spans="1:15" x14ac:dyDescent="0.25">
      <c r="A31" s="2" t="s">
        <v>310</v>
      </c>
      <c r="B31" s="2"/>
      <c r="C31" s="2" t="s">
        <v>277</v>
      </c>
      <c r="D31" s="2"/>
      <c r="E31" s="2" t="s">
        <v>282</v>
      </c>
      <c r="F31" s="2"/>
      <c r="G31" s="2"/>
      <c r="H31" s="2"/>
      <c r="I31" s="2"/>
      <c r="J31" s="2" t="s">
        <v>283</v>
      </c>
      <c r="K31" s="2"/>
      <c r="L31" s="2"/>
      <c r="M31" s="2"/>
      <c r="N31" s="2"/>
      <c r="O31" s="2"/>
    </row>
    <row r="32" spans="1:15" x14ac:dyDescent="0.25">
      <c r="A32" s="2" t="s">
        <v>311</v>
      </c>
      <c r="B32" s="2"/>
      <c r="C32" s="2" t="s">
        <v>280</v>
      </c>
      <c r="D32" s="2"/>
      <c r="E32" s="2" t="s">
        <v>312</v>
      </c>
      <c r="F32" s="2"/>
      <c r="G32" s="2"/>
      <c r="H32" s="2"/>
      <c r="I32" s="2"/>
      <c r="J32" s="2" t="s">
        <v>1449</v>
      </c>
      <c r="K32" s="2"/>
      <c r="L32" s="2"/>
      <c r="M32" s="2"/>
      <c r="N32" s="2"/>
      <c r="O32" s="2"/>
    </row>
    <row r="33" spans="1:15" x14ac:dyDescent="0.25">
      <c r="A33" s="2" t="s">
        <v>313</v>
      </c>
      <c r="B33" s="2"/>
      <c r="C33" s="2" t="s">
        <v>290</v>
      </c>
      <c r="D33" s="2"/>
      <c r="E33" s="2" t="s">
        <v>314</v>
      </c>
      <c r="F33" s="2"/>
      <c r="G33" s="2"/>
      <c r="H33" s="2"/>
      <c r="I33" s="2"/>
      <c r="J33" s="2" t="s">
        <v>315</v>
      </c>
      <c r="K33" s="2"/>
      <c r="L33" s="2"/>
      <c r="M33" s="2"/>
      <c r="N33" s="2"/>
      <c r="O33" s="2"/>
    </row>
    <row r="34" spans="1:15" x14ac:dyDescent="0.25">
      <c r="A34" s="2"/>
      <c r="B34" s="2"/>
      <c r="C34" s="2"/>
      <c r="D34" s="2"/>
      <c r="E34" s="2"/>
      <c r="F34" s="2"/>
      <c r="G34" s="2"/>
      <c r="H34" s="2"/>
      <c r="I34" s="2"/>
      <c r="J34" s="2"/>
      <c r="K34" s="2"/>
      <c r="L34" s="2"/>
      <c r="M34" s="2"/>
      <c r="N34" s="2"/>
      <c r="O34" s="2"/>
    </row>
    <row r="35" spans="1:15" x14ac:dyDescent="0.25">
      <c r="A35" s="2" t="s">
        <v>316</v>
      </c>
      <c r="B35" s="2"/>
      <c r="C35" s="2" t="s">
        <v>277</v>
      </c>
      <c r="D35" s="2"/>
      <c r="E35" s="2" t="s">
        <v>282</v>
      </c>
      <c r="F35" s="2"/>
      <c r="G35" s="2"/>
      <c r="H35" s="2"/>
      <c r="I35" s="2"/>
      <c r="J35" s="2" t="s">
        <v>283</v>
      </c>
      <c r="K35" s="2"/>
      <c r="L35" s="2"/>
      <c r="M35" s="2"/>
      <c r="N35" s="2"/>
      <c r="O35" s="2"/>
    </row>
    <row r="36" spans="1:15" x14ac:dyDescent="0.25">
      <c r="A36" s="2" t="s">
        <v>317</v>
      </c>
      <c r="B36" s="2"/>
      <c r="C36" s="2" t="s">
        <v>280</v>
      </c>
      <c r="D36" s="2"/>
      <c r="E36" s="2" t="s">
        <v>318</v>
      </c>
      <c r="F36" s="2"/>
      <c r="G36" s="2"/>
      <c r="H36" s="2"/>
      <c r="I36" s="2"/>
      <c r="J36" s="2" t="s">
        <v>1449</v>
      </c>
      <c r="K36" s="2"/>
      <c r="L36" s="2"/>
      <c r="M36" s="2"/>
      <c r="N36" s="2"/>
      <c r="O36" s="2"/>
    </row>
    <row r="37" spans="1:15" x14ac:dyDescent="0.25">
      <c r="A37" s="2"/>
      <c r="B37" s="2"/>
      <c r="C37" s="2"/>
      <c r="D37" s="2"/>
      <c r="E37" s="2" t="s">
        <v>319</v>
      </c>
      <c r="F37" s="2"/>
      <c r="G37" s="2"/>
      <c r="H37" s="2"/>
      <c r="I37" s="2"/>
      <c r="J37" s="2"/>
      <c r="K37" s="2"/>
      <c r="L37" s="2"/>
      <c r="M37" s="2"/>
      <c r="N37" s="2"/>
      <c r="O37" s="2"/>
    </row>
    <row r="38" spans="1:15" x14ac:dyDescent="0.25">
      <c r="A38" s="2"/>
      <c r="B38" s="2"/>
      <c r="C38" s="2" t="s">
        <v>290</v>
      </c>
      <c r="D38" s="2"/>
      <c r="E38" s="2" t="s">
        <v>320</v>
      </c>
      <c r="F38" s="2"/>
      <c r="G38" s="2"/>
      <c r="H38" s="2"/>
      <c r="I38" s="2"/>
      <c r="J38" s="2" t="s">
        <v>1461</v>
      </c>
      <c r="K38" s="2"/>
      <c r="L38" s="2"/>
      <c r="M38" s="2"/>
      <c r="N38" s="2"/>
      <c r="O38" s="2"/>
    </row>
    <row r="39" spans="1:15" x14ac:dyDescent="0.25">
      <c r="A39" s="2"/>
      <c r="B39" s="2"/>
      <c r="C39" s="2"/>
      <c r="D39" s="2"/>
      <c r="E39" s="2"/>
      <c r="F39" s="2"/>
      <c r="G39" s="2"/>
      <c r="H39" s="2"/>
      <c r="I39" s="2"/>
      <c r="J39" s="2"/>
      <c r="K39" s="2"/>
      <c r="L39" s="2"/>
      <c r="M39" s="2"/>
      <c r="N39" s="2"/>
      <c r="O39" s="2"/>
    </row>
    <row r="40" spans="1:15" x14ac:dyDescent="0.25">
      <c r="A40" s="2" t="s">
        <v>321</v>
      </c>
      <c r="B40" s="2"/>
      <c r="C40" s="2" t="s">
        <v>277</v>
      </c>
      <c r="D40" s="2"/>
      <c r="E40" s="2" t="s">
        <v>282</v>
      </c>
      <c r="F40" s="2"/>
      <c r="G40" s="2"/>
      <c r="H40" s="2"/>
      <c r="I40" s="2"/>
      <c r="J40" s="2" t="s">
        <v>283</v>
      </c>
      <c r="K40" s="2"/>
      <c r="L40" s="2"/>
      <c r="M40" s="2"/>
      <c r="N40" s="2"/>
      <c r="O40" s="2"/>
    </row>
    <row r="41" spans="1:15" x14ac:dyDescent="0.25">
      <c r="A41" s="2" t="s">
        <v>322</v>
      </c>
      <c r="B41" s="2"/>
      <c r="C41" s="2" t="s">
        <v>280</v>
      </c>
      <c r="D41" s="2"/>
      <c r="E41" s="2" t="s">
        <v>323</v>
      </c>
      <c r="F41" s="2"/>
      <c r="G41" s="2"/>
      <c r="H41" s="2"/>
      <c r="I41" s="2"/>
      <c r="J41" s="2" t="s">
        <v>1449</v>
      </c>
      <c r="K41" s="2"/>
      <c r="L41" s="2"/>
      <c r="M41" s="2"/>
      <c r="N41" s="2"/>
      <c r="O41" s="2"/>
    </row>
    <row r="42" spans="1:15" x14ac:dyDescent="0.25">
      <c r="A42" s="2" t="s">
        <v>324</v>
      </c>
      <c r="B42" s="2"/>
      <c r="C42" s="2" t="s">
        <v>290</v>
      </c>
      <c r="D42" s="2"/>
      <c r="E42" s="2" t="s">
        <v>325</v>
      </c>
      <c r="F42" s="2"/>
      <c r="G42" s="2"/>
      <c r="H42" s="2"/>
      <c r="I42" s="2"/>
      <c r="J42" s="2" t="s">
        <v>1462</v>
      </c>
      <c r="K42" s="2"/>
      <c r="L42" s="2"/>
      <c r="M42" s="2"/>
      <c r="N42" s="2"/>
      <c r="O42" s="2"/>
    </row>
    <row r="43" spans="1:15" x14ac:dyDescent="0.25">
      <c r="A43" s="2"/>
      <c r="B43" s="2"/>
      <c r="C43" s="2"/>
      <c r="D43" s="2"/>
      <c r="E43" s="2"/>
      <c r="F43" s="2"/>
      <c r="G43" s="2"/>
      <c r="H43" s="2"/>
      <c r="I43" s="2"/>
      <c r="J43" s="2"/>
      <c r="K43" s="2"/>
      <c r="L43" s="2"/>
      <c r="M43" s="2"/>
      <c r="N43" s="2"/>
      <c r="O43" s="2"/>
    </row>
    <row r="44" spans="1:15" x14ac:dyDescent="0.25">
      <c r="A44" s="2" t="s">
        <v>326</v>
      </c>
      <c r="B44" s="2"/>
      <c r="C44" s="2" t="s">
        <v>277</v>
      </c>
      <c r="D44" s="2"/>
      <c r="E44" s="2" t="s">
        <v>282</v>
      </c>
      <c r="F44" s="2"/>
      <c r="G44" s="2"/>
      <c r="H44" s="2"/>
      <c r="I44" s="2"/>
      <c r="J44" s="2" t="s">
        <v>283</v>
      </c>
      <c r="K44" s="2"/>
      <c r="L44" s="2"/>
      <c r="M44" s="2"/>
      <c r="N44" s="2"/>
      <c r="O44" s="2"/>
    </row>
    <row r="45" spans="1:15" x14ac:dyDescent="0.25">
      <c r="A45" s="2" t="s">
        <v>303</v>
      </c>
      <c r="B45" s="2"/>
      <c r="C45" s="2" t="s">
        <v>280</v>
      </c>
      <c r="D45" s="2"/>
      <c r="E45" s="2" t="s">
        <v>327</v>
      </c>
      <c r="F45" s="2"/>
      <c r="G45" s="2"/>
      <c r="H45" s="2"/>
      <c r="I45" s="2"/>
      <c r="J45" s="2" t="s">
        <v>1449</v>
      </c>
      <c r="K45" s="2"/>
      <c r="L45" s="2"/>
      <c r="M45" s="2"/>
      <c r="N45" s="2"/>
      <c r="O45" s="2"/>
    </row>
    <row r="46" spans="1:15" x14ac:dyDescent="0.25">
      <c r="A46" s="2" t="s">
        <v>328</v>
      </c>
      <c r="B46" s="2"/>
      <c r="C46" s="2" t="s">
        <v>290</v>
      </c>
      <c r="D46" s="2"/>
      <c r="E46" s="2" t="s">
        <v>329</v>
      </c>
      <c r="F46" s="2"/>
      <c r="G46" s="2"/>
      <c r="H46" s="2"/>
      <c r="I46" s="2"/>
      <c r="J46" s="2" t="s">
        <v>330</v>
      </c>
      <c r="K46" s="2"/>
      <c r="L46" s="2"/>
      <c r="M46" s="2"/>
      <c r="N46" s="2"/>
      <c r="O46" s="2"/>
    </row>
    <row r="47" spans="1:15" x14ac:dyDescent="0.25">
      <c r="A47" s="2"/>
      <c r="B47" s="2"/>
      <c r="C47" s="2"/>
      <c r="D47" s="2"/>
      <c r="E47" s="2"/>
      <c r="F47" s="2"/>
      <c r="G47" s="2"/>
      <c r="H47" s="2"/>
      <c r="I47" s="2"/>
      <c r="J47" s="2"/>
      <c r="K47" s="2"/>
      <c r="L47" s="2"/>
      <c r="M47" s="2"/>
      <c r="N47" s="2"/>
      <c r="O47" s="2"/>
    </row>
    <row r="48" spans="1:15" x14ac:dyDescent="0.25">
      <c r="A48" s="2" t="s">
        <v>331</v>
      </c>
      <c r="B48" s="2"/>
      <c r="C48" s="2" t="s">
        <v>277</v>
      </c>
      <c r="D48" s="2"/>
      <c r="E48" s="2" t="s">
        <v>282</v>
      </c>
      <c r="F48" s="2"/>
      <c r="G48" s="2"/>
      <c r="H48" s="2"/>
      <c r="I48" s="2"/>
      <c r="J48" s="2" t="s">
        <v>283</v>
      </c>
      <c r="K48" s="2"/>
      <c r="L48" s="2"/>
      <c r="M48" s="2"/>
      <c r="N48" s="2"/>
      <c r="O48" s="2"/>
    </row>
    <row r="49" spans="1:15" x14ac:dyDescent="0.25">
      <c r="A49" s="2" t="s">
        <v>332</v>
      </c>
      <c r="B49" s="2"/>
      <c r="C49" s="2" t="s">
        <v>280</v>
      </c>
      <c r="D49" s="2"/>
      <c r="E49" s="2" t="s">
        <v>323</v>
      </c>
      <c r="F49" s="2"/>
      <c r="G49" s="2"/>
      <c r="H49" s="2"/>
      <c r="I49" s="2"/>
      <c r="J49" s="2" t="s">
        <v>1449</v>
      </c>
      <c r="K49" s="2"/>
      <c r="L49" s="2"/>
      <c r="M49" s="2"/>
      <c r="N49" s="2"/>
      <c r="O49" s="2"/>
    </row>
    <row r="50" spans="1:15" x14ac:dyDescent="0.25">
      <c r="A50" s="2"/>
      <c r="B50" s="2"/>
      <c r="C50" s="2"/>
      <c r="D50" s="2"/>
      <c r="E50" s="2"/>
      <c r="F50" s="2"/>
      <c r="G50" s="2"/>
      <c r="H50" s="2"/>
      <c r="I50" s="2"/>
      <c r="J50" s="2"/>
      <c r="K50" s="2"/>
      <c r="L50" s="2"/>
      <c r="M50" s="2"/>
      <c r="N50" s="2"/>
      <c r="O50" s="2"/>
    </row>
    <row r="51" spans="1:15" x14ac:dyDescent="0.25">
      <c r="A51" s="2" t="s">
        <v>333</v>
      </c>
      <c r="B51" s="2"/>
      <c r="C51" s="2"/>
      <c r="D51" s="2"/>
      <c r="E51" s="2" t="s">
        <v>334</v>
      </c>
      <c r="F51" s="2"/>
      <c r="G51" s="2"/>
      <c r="H51" s="2"/>
      <c r="I51" s="2"/>
      <c r="J51" s="2" t="s">
        <v>1450</v>
      </c>
      <c r="K51" s="2"/>
      <c r="L51" s="2"/>
      <c r="M51" s="2"/>
      <c r="N51" s="2"/>
      <c r="O51" s="2"/>
    </row>
    <row r="52" spans="1:15" x14ac:dyDescent="0.25">
      <c r="A52" s="2" t="s">
        <v>335</v>
      </c>
      <c r="B52" s="2"/>
      <c r="C52" s="2"/>
      <c r="D52" s="2"/>
      <c r="E52" s="2"/>
      <c r="F52" s="2"/>
      <c r="G52" s="2"/>
      <c r="H52" s="2"/>
      <c r="I52" s="2"/>
      <c r="J52" s="2"/>
      <c r="K52" s="2"/>
      <c r="L52" s="2"/>
      <c r="M52" s="2"/>
      <c r="N52" s="2"/>
      <c r="O52" s="2"/>
    </row>
  </sheetData>
  <hyperlinks>
    <hyperlink ref="K29" r:id="rId1" xr:uid="{E8314BAA-609B-412F-8DF0-CB38C63CFF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0EC0B-47F1-434D-AFC5-CFB6EAA7A4E3}">
  <dimension ref="A1:AK491"/>
  <sheetViews>
    <sheetView workbookViewId="0">
      <pane xSplit="1" ySplit="13" topLeftCell="O14" activePane="bottomRight" state="frozen"/>
      <selection activeCell="J44" sqref="J44"/>
      <selection pane="topRight" activeCell="J44" sqref="J44"/>
      <selection pane="bottomLeft" activeCell="J44" sqref="J44"/>
      <selection pane="bottomRight"/>
    </sheetView>
  </sheetViews>
  <sheetFormatPr defaultColWidth="9.140625" defaultRowHeight="15" x14ac:dyDescent="0.25"/>
  <cols>
    <col min="1" max="1" width="30.7109375" customWidth="1"/>
    <col min="2" max="12" width="10.140625" customWidth="1"/>
    <col min="13" max="37" width="10.140625" bestFit="1" customWidth="1"/>
  </cols>
  <sheetData>
    <row r="1" spans="1:37" x14ac:dyDescent="0.25">
      <c r="A1" s="11" t="s">
        <v>336</v>
      </c>
    </row>
    <row r="2" spans="1:37" x14ac:dyDescent="0.25">
      <c r="A2" s="12" t="s">
        <v>337</v>
      </c>
      <c r="B2" s="13" t="s">
        <v>338</v>
      </c>
      <c r="I2" s="12"/>
      <c r="J2" s="12"/>
      <c r="K2" s="12"/>
      <c r="L2" s="12"/>
      <c r="M2" s="12"/>
      <c r="N2" s="12"/>
      <c r="S2" s="12"/>
      <c r="T2" s="12"/>
      <c r="U2" s="12"/>
    </row>
    <row r="3" spans="1:37" x14ac:dyDescent="0.25">
      <c r="A3" s="12" t="s">
        <v>339</v>
      </c>
      <c r="B3" s="6" t="s">
        <v>340</v>
      </c>
      <c r="F3" s="10"/>
      <c r="G3" s="14"/>
      <c r="J3" s="12"/>
      <c r="K3" s="12"/>
      <c r="L3" s="12"/>
      <c r="M3" s="12"/>
      <c r="N3" s="12"/>
      <c r="S3" s="12"/>
      <c r="T3" s="12"/>
      <c r="U3" s="12"/>
    </row>
    <row r="4" spans="1:37" x14ac:dyDescent="0.25">
      <c r="A4" s="11" t="s">
        <v>341</v>
      </c>
      <c r="B4" s="15" t="s">
        <v>342</v>
      </c>
      <c r="C4" s="15" t="s">
        <v>343</v>
      </c>
      <c r="D4" s="15" t="s">
        <v>344</v>
      </c>
      <c r="E4" s="15" t="s">
        <v>345</v>
      </c>
      <c r="F4" s="15" t="s">
        <v>346</v>
      </c>
      <c r="G4" s="15" t="s">
        <v>347</v>
      </c>
      <c r="H4" s="15" t="s">
        <v>348</v>
      </c>
      <c r="I4" s="15" t="s">
        <v>349</v>
      </c>
      <c r="J4" s="15" t="s">
        <v>350</v>
      </c>
      <c r="K4" s="15" t="s">
        <v>351</v>
      </c>
      <c r="L4" s="15" t="s">
        <v>352</v>
      </c>
      <c r="M4" s="15" t="s">
        <v>353</v>
      </c>
      <c r="N4" s="15" t="s">
        <v>354</v>
      </c>
      <c r="O4" s="15" t="s">
        <v>355</v>
      </c>
      <c r="P4" s="15" t="s">
        <v>356</v>
      </c>
      <c r="Q4" s="15" t="s">
        <v>357</v>
      </c>
      <c r="R4" s="15" t="s">
        <v>358</v>
      </c>
      <c r="S4" s="15" t="s">
        <v>359</v>
      </c>
      <c r="T4" s="15" t="s">
        <v>360</v>
      </c>
      <c r="U4" s="15" t="s">
        <v>361</v>
      </c>
      <c r="V4" s="15" t="s">
        <v>362</v>
      </c>
      <c r="W4" s="15" t="s">
        <v>363</v>
      </c>
      <c r="X4" s="15" t="s">
        <v>364</v>
      </c>
      <c r="Y4" s="15" t="s">
        <v>365</v>
      </c>
      <c r="Z4" s="15" t="s">
        <v>366</v>
      </c>
      <c r="AA4" s="15" t="s">
        <v>367</v>
      </c>
      <c r="AB4" s="15" t="s">
        <v>368</v>
      </c>
      <c r="AC4" s="15" t="s">
        <v>369</v>
      </c>
      <c r="AD4" s="15" t="s">
        <v>370</v>
      </c>
      <c r="AE4" s="15" t="s">
        <v>371</v>
      </c>
      <c r="AF4" s="15" t="s">
        <v>372</v>
      </c>
      <c r="AG4" s="15" t="s">
        <v>373</v>
      </c>
      <c r="AH4" s="15" t="s">
        <v>374</v>
      </c>
      <c r="AI4" s="15" t="s">
        <v>375</v>
      </c>
      <c r="AJ4" s="15" t="s">
        <v>376</v>
      </c>
      <c r="AK4" s="15" t="s">
        <v>1451</v>
      </c>
    </row>
    <row r="5" spans="1:37" x14ac:dyDescent="0.25">
      <c r="A5" s="12"/>
      <c r="B5" s="11">
        <v>2006</v>
      </c>
      <c r="C5" s="11">
        <v>2007</v>
      </c>
      <c r="D5" s="11">
        <v>2008</v>
      </c>
      <c r="E5" s="11">
        <v>2009</v>
      </c>
      <c r="F5" s="11">
        <v>2010</v>
      </c>
      <c r="G5" s="11">
        <v>2011</v>
      </c>
      <c r="H5" s="11">
        <v>2012</v>
      </c>
      <c r="I5" s="11">
        <v>2013</v>
      </c>
      <c r="J5" s="11">
        <v>2014</v>
      </c>
      <c r="K5" s="11">
        <v>2015</v>
      </c>
      <c r="L5" s="11">
        <v>2016</v>
      </c>
      <c r="M5" s="11">
        <v>2017</v>
      </c>
      <c r="N5" s="11">
        <v>2018</v>
      </c>
      <c r="O5" s="11">
        <v>2019</v>
      </c>
      <c r="P5" s="11">
        <v>2020</v>
      </c>
      <c r="Q5" s="11">
        <v>2021</v>
      </c>
      <c r="R5" s="11">
        <v>2022</v>
      </c>
      <c r="S5" s="11">
        <v>2023</v>
      </c>
      <c r="T5" s="11">
        <v>2024</v>
      </c>
      <c r="U5" s="11">
        <v>2025</v>
      </c>
      <c r="V5" s="11">
        <v>2026</v>
      </c>
      <c r="W5" s="11">
        <v>2027</v>
      </c>
      <c r="X5" s="11">
        <v>2028</v>
      </c>
      <c r="Y5" s="11">
        <v>2029</v>
      </c>
      <c r="Z5" s="11">
        <v>2030</v>
      </c>
      <c r="AA5" s="11">
        <v>2031</v>
      </c>
      <c r="AB5" s="11">
        <v>2032</v>
      </c>
      <c r="AC5" s="11">
        <v>2033</v>
      </c>
      <c r="AD5" s="11">
        <v>2034</v>
      </c>
      <c r="AE5" s="11">
        <v>2035</v>
      </c>
      <c r="AF5" s="11">
        <v>2036</v>
      </c>
      <c r="AG5" s="11">
        <v>2037</v>
      </c>
      <c r="AH5" s="11">
        <v>2038</v>
      </c>
      <c r="AI5" s="11">
        <v>2039</v>
      </c>
      <c r="AJ5" s="11">
        <v>2040</v>
      </c>
      <c r="AK5" s="11">
        <v>2041</v>
      </c>
    </row>
    <row r="6" spans="1:37" x14ac:dyDescent="0.25">
      <c r="A6" s="11" t="s">
        <v>377</v>
      </c>
      <c r="B6" s="16">
        <f>SUM(B$15:B$110,B$115:B$210)/1000000</f>
        <v>4.1846300000000003</v>
      </c>
      <c r="C6" s="16">
        <f>SUM(C$15:C$110,C$115:C$210)/1000000</f>
        <v>4.2238600000000002</v>
      </c>
      <c r="D6" s="16">
        <f t="shared" ref="D6:AK6" si="0">SUM(D$15:D$110,D$115:D$210)/1000000</f>
        <v>4.2597500000000004</v>
      </c>
      <c r="E6" s="16">
        <f t="shared" si="0"/>
        <v>4.3026</v>
      </c>
      <c r="F6" s="16">
        <f t="shared" si="0"/>
        <v>4.3506499999999999</v>
      </c>
      <c r="G6" s="16">
        <f t="shared" si="0"/>
        <v>4.3839699999999997</v>
      </c>
      <c r="H6" s="16">
        <f t="shared" si="0"/>
        <v>4.4079800000000002</v>
      </c>
      <c r="I6" s="16">
        <f t="shared" si="0"/>
        <v>4.4420999999999999</v>
      </c>
      <c r="J6" s="16">
        <f t="shared" si="0"/>
        <v>4.5164499999999999</v>
      </c>
      <c r="K6" s="16">
        <f t="shared" si="0"/>
        <v>4.6093700000000002</v>
      </c>
      <c r="L6" s="16">
        <f t="shared" si="0"/>
        <v>4.7141299999999999</v>
      </c>
      <c r="M6" s="16">
        <f t="shared" si="0"/>
        <v>4.8135599999999998</v>
      </c>
      <c r="N6" s="16">
        <f t="shared" si="0"/>
        <v>4.9006100000000004</v>
      </c>
      <c r="O6" s="16">
        <f t="shared" si="0"/>
        <v>4.9703600000000003</v>
      </c>
      <c r="P6" s="16">
        <f t="shared" si="0"/>
        <v>5.0724600000000004</v>
      </c>
      <c r="Q6" s="16">
        <f t="shared" si="0"/>
        <v>5.0845900000000004</v>
      </c>
      <c r="R6" s="16">
        <f t="shared" si="0"/>
        <v>5.08169</v>
      </c>
      <c r="S6" s="16">
        <f t="shared" si="0"/>
        <v>5.2001099999999996</v>
      </c>
      <c r="T6" s="16">
        <f t="shared" si="0"/>
        <v>5.2900600000000004</v>
      </c>
      <c r="U6" s="16">
        <f t="shared" si="0"/>
        <v>5.3366899999999999</v>
      </c>
      <c r="V6" s="16">
        <f t="shared" si="0"/>
        <v>5.3877199999999998</v>
      </c>
      <c r="W6" s="16">
        <f t="shared" si="0"/>
        <v>5.4405799999999997</v>
      </c>
      <c r="X6" s="16">
        <f t="shared" si="0"/>
        <v>5.4947600000000003</v>
      </c>
      <c r="Y6" s="16">
        <f t="shared" si="0"/>
        <v>5.5496299999999996</v>
      </c>
      <c r="Z6" s="16">
        <f t="shared" si="0"/>
        <v>5.6047200000000004</v>
      </c>
      <c r="AA6" s="16">
        <f t="shared" si="0"/>
        <v>5.6594499999999996</v>
      </c>
      <c r="AB6" s="16">
        <f t="shared" si="0"/>
        <v>5.7136100000000001</v>
      </c>
      <c r="AC6" s="16">
        <f t="shared" si="0"/>
        <v>5.7672999999999996</v>
      </c>
      <c r="AD6" s="16">
        <f t="shared" si="0"/>
        <v>5.8205099999999996</v>
      </c>
      <c r="AE6" s="16">
        <f t="shared" si="0"/>
        <v>5.8731400000000002</v>
      </c>
      <c r="AF6" s="16">
        <f t="shared" si="0"/>
        <v>5.9256000000000002</v>
      </c>
      <c r="AG6" s="16">
        <f t="shared" si="0"/>
        <v>5.9776300000000004</v>
      </c>
      <c r="AH6" s="16">
        <f t="shared" si="0"/>
        <v>6.0294100000000004</v>
      </c>
      <c r="AI6" s="16">
        <f t="shared" si="0"/>
        <v>6.0808799999999996</v>
      </c>
      <c r="AJ6" s="16">
        <f t="shared" si="0"/>
        <v>6.1321599999999998</v>
      </c>
      <c r="AK6" s="16">
        <f t="shared" si="0"/>
        <v>6.1831300000000002</v>
      </c>
    </row>
    <row r="7" spans="1:37" x14ac:dyDescent="0.25">
      <c r="A7" s="14" t="s">
        <v>378</v>
      </c>
      <c r="B7" s="17"/>
      <c r="C7" s="17">
        <f>C$6/B$6-1</f>
        <v>9.3747834336608271E-3</v>
      </c>
      <c r="D7" s="17">
        <f t="shared" ref="D7:AK7" si="1">D$6/C$6-1</f>
        <v>8.4969672290275966E-3</v>
      </c>
      <c r="E7" s="17">
        <f t="shared" si="1"/>
        <v>1.0059275779094934E-2</v>
      </c>
      <c r="F7" s="17">
        <f t="shared" si="1"/>
        <v>1.1167666062380954E-2</v>
      </c>
      <c r="G7" s="17">
        <f t="shared" si="1"/>
        <v>7.6586257225932375E-3</v>
      </c>
      <c r="H7" s="17">
        <f t="shared" si="1"/>
        <v>5.4767710545464698E-3</v>
      </c>
      <c r="I7" s="17">
        <f t="shared" si="1"/>
        <v>7.7405069895961631E-3</v>
      </c>
      <c r="J7" s="17">
        <f t="shared" si="1"/>
        <v>1.6737579072960918E-2</v>
      </c>
      <c r="K7" s="17">
        <f t="shared" si="1"/>
        <v>2.0573680656267745E-2</v>
      </c>
      <c r="L7" s="17">
        <f t="shared" si="1"/>
        <v>2.2727617874026107E-2</v>
      </c>
      <c r="M7" s="17">
        <f t="shared" si="1"/>
        <v>2.1091908793350989E-2</v>
      </c>
      <c r="N7" s="17">
        <f t="shared" si="1"/>
        <v>1.8084328438827013E-2</v>
      </c>
      <c r="O7" s="17">
        <f t="shared" si="1"/>
        <v>1.4232922023992955E-2</v>
      </c>
      <c r="P7" s="17">
        <f t="shared" si="1"/>
        <v>2.0541771622176297E-2</v>
      </c>
      <c r="Q7" s="17">
        <f t="shared" si="1"/>
        <v>2.3913446335703803E-3</v>
      </c>
      <c r="R7" s="17">
        <f t="shared" si="1"/>
        <v>-5.7035080507972236E-4</v>
      </c>
      <c r="S7" s="17">
        <f t="shared" si="1"/>
        <v>2.330327115585562E-2</v>
      </c>
      <c r="T7" s="17">
        <f t="shared" si="1"/>
        <v>1.7297711009959471E-2</v>
      </c>
      <c r="U7" s="17">
        <f t="shared" si="1"/>
        <v>8.8146448244441622E-3</v>
      </c>
      <c r="V7" s="17">
        <f t="shared" si="1"/>
        <v>9.562106849001939E-3</v>
      </c>
      <c r="W7" s="17">
        <f t="shared" si="1"/>
        <v>9.8112002850927471E-3</v>
      </c>
      <c r="X7" s="17">
        <f t="shared" si="1"/>
        <v>9.9584970720034693E-3</v>
      </c>
      <c r="Y7" s="17">
        <f t="shared" si="1"/>
        <v>9.9858774541561335E-3</v>
      </c>
      <c r="Z7" s="17">
        <f t="shared" si="1"/>
        <v>9.9267879119870894E-3</v>
      </c>
      <c r="AA7" s="17">
        <f t="shared" si="1"/>
        <v>9.7649837993689648E-3</v>
      </c>
      <c r="AB7" s="17">
        <f t="shared" si="1"/>
        <v>9.5698345245562866E-3</v>
      </c>
      <c r="AC7" s="17">
        <f t="shared" si="1"/>
        <v>9.3968611788344258E-3</v>
      </c>
      <c r="AD7" s="17">
        <f t="shared" si="1"/>
        <v>9.2261543529901235E-3</v>
      </c>
      <c r="AE7" s="17">
        <f t="shared" si="1"/>
        <v>9.0421629719732444E-3</v>
      </c>
      <c r="AF7" s="17">
        <f t="shared" si="1"/>
        <v>8.9321895953442532E-3</v>
      </c>
      <c r="AG7" s="17">
        <f t="shared" si="1"/>
        <v>8.7805454299987318E-3</v>
      </c>
      <c r="AH7" s="17">
        <f t="shared" si="1"/>
        <v>8.6622959266464683E-3</v>
      </c>
      <c r="AI7" s="17">
        <f t="shared" si="1"/>
        <v>8.536490303362898E-3</v>
      </c>
      <c r="AJ7" s="17">
        <f t="shared" si="1"/>
        <v>8.4329899619792759E-3</v>
      </c>
      <c r="AK7" s="17">
        <f t="shared" si="1"/>
        <v>8.3119161926630269E-3</v>
      </c>
    </row>
    <row r="8" spans="1:37" x14ac:dyDescent="0.25">
      <c r="A8" s="11" t="s">
        <v>379</v>
      </c>
      <c r="B8" s="16">
        <f>SUM(B$30:B$110,B$130:B$210)/1000000</f>
        <v>3.2963200000000001</v>
      </c>
      <c r="C8" s="16">
        <f>SUM(C$30:C$110,C$130:C$210)/1000000</f>
        <v>3.33256</v>
      </c>
      <c r="D8" s="16">
        <f t="shared" ref="D8:AK8" si="2">SUM(D$30:D$110,D$130:D$210)/1000000</f>
        <v>3.3642400000000001</v>
      </c>
      <c r="E8" s="16">
        <f t="shared" si="2"/>
        <v>3.40144</v>
      </c>
      <c r="F8" s="16">
        <f t="shared" si="2"/>
        <v>3.44251</v>
      </c>
      <c r="G8" s="16">
        <f t="shared" si="2"/>
        <v>3.4732599999999998</v>
      </c>
      <c r="H8" s="16">
        <f t="shared" si="2"/>
        <v>3.49817</v>
      </c>
      <c r="I8" s="16">
        <f t="shared" si="2"/>
        <v>3.5333100000000002</v>
      </c>
      <c r="J8" s="16">
        <f t="shared" si="2"/>
        <v>3.6047400000000001</v>
      </c>
      <c r="K8" s="16">
        <f t="shared" si="2"/>
        <v>3.6932200000000002</v>
      </c>
      <c r="L8" s="16">
        <f t="shared" si="2"/>
        <v>3.7895099999999999</v>
      </c>
      <c r="M8" s="16">
        <f t="shared" si="2"/>
        <v>3.8767299999999998</v>
      </c>
      <c r="N8" s="16">
        <f t="shared" si="2"/>
        <v>3.9541400000000002</v>
      </c>
      <c r="O8" s="16">
        <f t="shared" si="2"/>
        <v>4.0137099999999997</v>
      </c>
      <c r="P8" s="16">
        <f t="shared" si="2"/>
        <v>4.1052299999999997</v>
      </c>
      <c r="Q8" s="16">
        <f t="shared" si="2"/>
        <v>4.1162700000000001</v>
      </c>
      <c r="R8" s="16">
        <f t="shared" si="2"/>
        <v>4.11808</v>
      </c>
      <c r="S8" s="16">
        <f t="shared" si="2"/>
        <v>4.2301399999999996</v>
      </c>
      <c r="T8" s="16">
        <f t="shared" si="2"/>
        <v>4.31325</v>
      </c>
      <c r="U8" s="16">
        <f t="shared" si="2"/>
        <v>4.3679500000000004</v>
      </c>
      <c r="V8" s="16">
        <f t="shared" si="2"/>
        <v>4.4257999999999997</v>
      </c>
      <c r="W8" s="16">
        <f t="shared" si="2"/>
        <v>4.4849300000000003</v>
      </c>
      <c r="X8" s="16">
        <f t="shared" si="2"/>
        <v>4.5449099999999998</v>
      </c>
      <c r="Y8" s="16">
        <f t="shared" si="2"/>
        <v>4.6041699999999999</v>
      </c>
      <c r="Z8" s="16">
        <f t="shared" si="2"/>
        <v>4.6636499999999996</v>
      </c>
      <c r="AA8" s="16">
        <f t="shared" si="2"/>
        <v>4.72201</v>
      </c>
      <c r="AB8" s="16">
        <f t="shared" si="2"/>
        <v>4.7799500000000004</v>
      </c>
      <c r="AC8" s="16">
        <f t="shared" si="2"/>
        <v>4.8364500000000001</v>
      </c>
      <c r="AD8" s="16">
        <f t="shared" si="2"/>
        <v>4.89262</v>
      </c>
      <c r="AE8" s="16">
        <f t="shared" si="2"/>
        <v>4.9468699999999997</v>
      </c>
      <c r="AF8" s="16">
        <f t="shared" si="2"/>
        <v>5.0013300000000003</v>
      </c>
      <c r="AG8" s="16">
        <f t="shared" si="2"/>
        <v>5.05464</v>
      </c>
      <c r="AH8" s="16">
        <f t="shared" si="2"/>
        <v>5.1030800000000003</v>
      </c>
      <c r="AI8" s="16">
        <f t="shared" si="2"/>
        <v>5.1507199999999997</v>
      </c>
      <c r="AJ8" s="16">
        <f t="shared" si="2"/>
        <v>5.1989000000000001</v>
      </c>
      <c r="AK8" s="16">
        <f t="shared" si="2"/>
        <v>5.24641</v>
      </c>
    </row>
    <row r="9" spans="1:37" x14ac:dyDescent="0.25">
      <c r="A9" s="14" t="str">
        <f>$A$7</f>
        <v>Annual growth (%)</v>
      </c>
      <c r="B9" s="17"/>
      <c r="C9" s="17">
        <f>C$8/B$8-1</f>
        <v>1.0994078244830563E-2</v>
      </c>
      <c r="D9" s="17">
        <f t="shared" ref="D9:AK9" si="3">D$8/C$8-1</f>
        <v>9.5062054396619633E-3</v>
      </c>
      <c r="E9" s="17">
        <f t="shared" si="3"/>
        <v>1.105747509095667E-2</v>
      </c>
      <c r="F9" s="17">
        <f t="shared" si="3"/>
        <v>1.2074297944399959E-2</v>
      </c>
      <c r="G9" s="17">
        <f t="shared" si="3"/>
        <v>8.9324359261120367E-3</v>
      </c>
      <c r="H9" s="17">
        <f t="shared" si="3"/>
        <v>7.1719364516333872E-3</v>
      </c>
      <c r="I9" s="17">
        <f t="shared" si="3"/>
        <v>1.0045252231881241E-2</v>
      </c>
      <c r="J9" s="17">
        <f t="shared" si="3"/>
        <v>2.0216171238866654E-2</v>
      </c>
      <c r="K9" s="17">
        <f t="shared" si="3"/>
        <v>2.4545459589318641E-2</v>
      </c>
      <c r="L9" s="17">
        <f t="shared" si="3"/>
        <v>2.6072099685369388E-2</v>
      </c>
      <c r="M9" s="17">
        <f t="shared" si="3"/>
        <v>2.301616831727582E-2</v>
      </c>
      <c r="N9" s="17">
        <f t="shared" si="3"/>
        <v>1.9967859510463759E-2</v>
      </c>
      <c r="O9" s="17">
        <f t="shared" si="3"/>
        <v>1.5065222779163001E-2</v>
      </c>
      <c r="P9" s="17">
        <f t="shared" si="3"/>
        <v>2.2801846670536641E-2</v>
      </c>
      <c r="Q9" s="17">
        <f t="shared" si="3"/>
        <v>2.6892524901163117E-3</v>
      </c>
      <c r="R9" s="17">
        <f t="shared" si="3"/>
        <v>4.3971848299539928E-4</v>
      </c>
      <c r="S9" s="17">
        <f t="shared" si="3"/>
        <v>2.7211710311601411E-2</v>
      </c>
      <c r="T9" s="17">
        <f t="shared" si="3"/>
        <v>1.9647103878358774E-2</v>
      </c>
      <c r="U9" s="17">
        <f t="shared" si="3"/>
        <v>1.268185243146136E-2</v>
      </c>
      <c r="V9" s="17">
        <f t="shared" si="3"/>
        <v>1.3244199223892084E-2</v>
      </c>
      <c r="W9" s="17">
        <f t="shared" si="3"/>
        <v>1.3360296443581055E-2</v>
      </c>
      <c r="X9" s="17">
        <f t="shared" si="3"/>
        <v>1.3373675843324051E-2</v>
      </c>
      <c r="Y9" s="17">
        <f t="shared" si="3"/>
        <v>1.303876204369292E-2</v>
      </c>
      <c r="Z9" s="17">
        <f t="shared" si="3"/>
        <v>1.291872367875202E-2</v>
      </c>
      <c r="AA9" s="17">
        <f t="shared" si="3"/>
        <v>1.2513803565876502E-2</v>
      </c>
      <c r="AB9" s="17">
        <f t="shared" si="3"/>
        <v>1.2270198495979434E-2</v>
      </c>
      <c r="AC9" s="17">
        <f t="shared" si="3"/>
        <v>1.1820207324344301E-2</v>
      </c>
      <c r="AD9" s="17">
        <f t="shared" si="3"/>
        <v>1.161389035346172E-2</v>
      </c>
      <c r="AE9" s="17">
        <f t="shared" si="3"/>
        <v>1.1088128650906803E-2</v>
      </c>
      <c r="AF9" s="17">
        <f t="shared" si="3"/>
        <v>1.100898143674689E-2</v>
      </c>
      <c r="AG9" s="17">
        <f t="shared" si="3"/>
        <v>1.0659164662199849E-2</v>
      </c>
      <c r="AH9" s="17">
        <f t="shared" si="3"/>
        <v>9.5832739819254886E-3</v>
      </c>
      <c r="AI9" s="17">
        <f t="shared" si="3"/>
        <v>9.3355385375106792E-3</v>
      </c>
      <c r="AJ9" s="17">
        <f t="shared" si="3"/>
        <v>9.3540320576541713E-3</v>
      </c>
      <c r="AK9" s="17">
        <f t="shared" si="3"/>
        <v>9.1384715997615551E-3</v>
      </c>
    </row>
    <row r="10" spans="1:37" x14ac:dyDescent="0.25">
      <c r="A10" s="11" t="s">
        <v>380</v>
      </c>
      <c r="M10" s="12"/>
      <c r="N10" s="12"/>
      <c r="O10" s="12"/>
      <c r="P10" s="12"/>
      <c r="Q10" s="12"/>
      <c r="R10" s="12"/>
      <c r="S10" s="12"/>
      <c r="T10" s="16">
        <f t="shared" ref="T10:AK10" si="4">SUM(T$215:T$280,T$285:T$350)/1000000</f>
        <v>3.0710999999999999</v>
      </c>
      <c r="U10" s="16">
        <f t="shared" si="4"/>
        <v>3.1061999999999999</v>
      </c>
      <c r="V10" s="16">
        <f t="shared" si="4"/>
        <v>3.1440999999999999</v>
      </c>
      <c r="W10" s="16">
        <f t="shared" si="4"/>
        <v>3.1829299999999998</v>
      </c>
      <c r="X10" s="16">
        <f t="shared" si="4"/>
        <v>3.2225899999999998</v>
      </c>
      <c r="Y10" s="16">
        <f t="shared" si="4"/>
        <v>3.2622</v>
      </c>
      <c r="Z10" s="16">
        <f t="shared" si="4"/>
        <v>3.3016999999999999</v>
      </c>
      <c r="AA10" s="16">
        <f t="shared" si="4"/>
        <v>3.3405800000000001</v>
      </c>
      <c r="AB10" s="16">
        <f t="shared" si="4"/>
        <v>3.3789899999999999</v>
      </c>
      <c r="AC10" s="16">
        <f t="shared" si="4"/>
        <v>3.41669</v>
      </c>
      <c r="AD10" s="16">
        <f t="shared" si="4"/>
        <v>3.4536799999999999</v>
      </c>
      <c r="AE10" s="16">
        <f t="shared" si="4"/>
        <v>3.4897900000000002</v>
      </c>
      <c r="AF10" s="16">
        <f t="shared" si="4"/>
        <v>3.5254500000000002</v>
      </c>
      <c r="AG10" s="16">
        <f t="shared" si="4"/>
        <v>3.5605699999999998</v>
      </c>
      <c r="AH10" s="16">
        <f t="shared" si="4"/>
        <v>3.5943499999999999</v>
      </c>
      <c r="AI10" s="16">
        <f t="shared" si="4"/>
        <v>3.6269499999999999</v>
      </c>
      <c r="AJ10" s="16">
        <f t="shared" si="4"/>
        <v>3.6589900000000002</v>
      </c>
      <c r="AK10" s="16">
        <f t="shared" si="4"/>
        <v>3.6903800000000002</v>
      </c>
    </row>
    <row r="11" spans="1:37" x14ac:dyDescent="0.25">
      <c r="A11" s="14" t="str">
        <f>$A$7</f>
        <v>Annual growth (%)</v>
      </c>
      <c r="M11" s="12"/>
      <c r="N11" s="12"/>
      <c r="O11" s="12"/>
      <c r="P11" s="12"/>
      <c r="Q11" s="12"/>
      <c r="R11" s="12"/>
      <c r="S11" s="12"/>
      <c r="T11" s="17"/>
      <c r="U11" s="17">
        <f t="shared" ref="U11:AK11" si="5">U$10/T$10-1</f>
        <v>1.1429129627820611E-2</v>
      </c>
      <c r="V11" s="17">
        <f t="shared" si="5"/>
        <v>1.2201403644324316E-2</v>
      </c>
      <c r="W11" s="17">
        <f t="shared" si="5"/>
        <v>1.235011609045511E-2</v>
      </c>
      <c r="X11" s="17">
        <f t="shared" si="5"/>
        <v>1.2460217472580304E-2</v>
      </c>
      <c r="Y11" s="17">
        <f t="shared" si="5"/>
        <v>1.2291355710779328E-2</v>
      </c>
      <c r="Z11" s="17">
        <f t="shared" si="5"/>
        <v>1.2108393108944737E-2</v>
      </c>
      <c r="AA11" s="17">
        <f t="shared" si="5"/>
        <v>1.1775751885392483E-2</v>
      </c>
      <c r="AB11" s="17">
        <f t="shared" si="5"/>
        <v>1.1498003340737251E-2</v>
      </c>
      <c r="AC11" s="17">
        <f t="shared" si="5"/>
        <v>1.1157180104113928E-2</v>
      </c>
      <c r="AD11" s="17">
        <f t="shared" si="5"/>
        <v>1.0826267527929145E-2</v>
      </c>
      <c r="AE11" s="17">
        <f t="shared" si="5"/>
        <v>1.0455514118273834E-2</v>
      </c>
      <c r="AF11" s="17">
        <f t="shared" si="5"/>
        <v>1.0218379902515728E-2</v>
      </c>
      <c r="AG11" s="17">
        <f t="shared" si="5"/>
        <v>9.961848841991694E-3</v>
      </c>
      <c r="AH11" s="17">
        <f t="shared" si="5"/>
        <v>9.4872450197580616E-3</v>
      </c>
      <c r="AI11" s="17">
        <f t="shared" si="5"/>
        <v>9.0697900872203085E-3</v>
      </c>
      <c r="AJ11" s="17">
        <f t="shared" si="5"/>
        <v>8.8338686775391029E-3</v>
      </c>
      <c r="AK11" s="17">
        <f t="shared" si="5"/>
        <v>8.5788701253624033E-3</v>
      </c>
    </row>
    <row r="12" spans="1:37" x14ac:dyDescent="0.25">
      <c r="A12" s="11" t="s">
        <v>381</v>
      </c>
      <c r="M12" s="12"/>
      <c r="N12" s="12"/>
      <c r="O12" s="12"/>
      <c r="P12" s="17"/>
      <c r="Q12" s="17"/>
      <c r="R12" s="17"/>
      <c r="S12" s="17"/>
      <c r="T12" s="17">
        <f t="shared" ref="T12:AK12" si="6">T$10/T$8</f>
        <v>0.71201530168666316</v>
      </c>
      <c r="U12" s="17">
        <f t="shared" si="6"/>
        <v>0.71113451390240268</v>
      </c>
      <c r="V12" s="17">
        <f t="shared" si="6"/>
        <v>0.71040263907090251</v>
      </c>
      <c r="W12" s="17">
        <f t="shared" si="6"/>
        <v>0.70969446568842764</v>
      </c>
      <c r="X12" s="17">
        <f t="shared" si="6"/>
        <v>0.70905474475842201</v>
      </c>
      <c r="Y12" s="17">
        <f t="shared" si="6"/>
        <v>0.70853161373276841</v>
      </c>
      <c r="Z12" s="17">
        <f t="shared" si="6"/>
        <v>0.70796479152595071</v>
      </c>
      <c r="AA12" s="17">
        <f t="shared" si="6"/>
        <v>0.70744873475490311</v>
      </c>
      <c r="AB12" s="17">
        <f t="shared" si="6"/>
        <v>0.70690906808648624</v>
      </c>
      <c r="AC12" s="17">
        <f t="shared" si="6"/>
        <v>0.70644584354226758</v>
      </c>
      <c r="AD12" s="17">
        <f t="shared" si="6"/>
        <v>0.70589581860025918</v>
      </c>
      <c r="AE12" s="17">
        <f t="shared" si="6"/>
        <v>0.70545415586017024</v>
      </c>
      <c r="AF12" s="17">
        <f t="shared" si="6"/>
        <v>0.70490249593608101</v>
      </c>
      <c r="AG12" s="17">
        <f t="shared" si="6"/>
        <v>0.70441614041751732</v>
      </c>
      <c r="AH12" s="17">
        <f t="shared" si="6"/>
        <v>0.70434913816753797</v>
      </c>
      <c r="AI12" s="17">
        <f t="shared" si="6"/>
        <v>0.7041636897365805</v>
      </c>
      <c r="AJ12" s="17">
        <f t="shared" si="6"/>
        <v>0.70380080401623424</v>
      </c>
      <c r="AK12" s="17">
        <f t="shared" si="6"/>
        <v>0.70341052262404202</v>
      </c>
    </row>
    <row r="13" spans="1:37" x14ac:dyDescent="0.25">
      <c r="A13" s="11" t="s">
        <v>382</v>
      </c>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5">
      <c r="A14" s="11" t="s">
        <v>383</v>
      </c>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row>
    <row r="15" spans="1:37" x14ac:dyDescent="0.25">
      <c r="A15" s="12">
        <v>0</v>
      </c>
      <c r="B15" s="18">
        <v>28910</v>
      </c>
      <c r="C15" s="18">
        <v>30230</v>
      </c>
      <c r="D15" s="18">
        <v>31360</v>
      </c>
      <c r="E15" s="18">
        <v>30830</v>
      </c>
      <c r="F15" s="18">
        <v>31510</v>
      </c>
      <c r="G15" s="18">
        <v>30670</v>
      </c>
      <c r="H15" s="18">
        <v>29880</v>
      </c>
      <c r="I15" s="18">
        <v>29370</v>
      </c>
      <c r="J15" s="18">
        <v>28390</v>
      </c>
      <c r="K15" s="18">
        <v>28520</v>
      </c>
      <c r="L15" s="18">
        <v>28790</v>
      </c>
      <c r="M15" s="18">
        <v>29450</v>
      </c>
      <c r="N15" s="18">
        <v>29000</v>
      </c>
      <c r="O15" s="18">
        <v>28900</v>
      </c>
      <c r="P15" s="18">
        <v>29060</v>
      </c>
      <c r="Q15" s="18">
        <v>29540</v>
      </c>
      <c r="R15" s="18">
        <v>29820</v>
      </c>
      <c r="S15" s="18">
        <v>27560</v>
      </c>
      <c r="T15" s="18">
        <v>27820</v>
      </c>
      <c r="U15" s="18">
        <v>28280</v>
      </c>
      <c r="V15" s="18">
        <v>28290</v>
      </c>
      <c r="W15" s="18">
        <v>28280</v>
      </c>
      <c r="X15" s="18">
        <v>28270</v>
      </c>
      <c r="Y15" s="18">
        <v>28250</v>
      </c>
      <c r="Z15" s="18">
        <v>28240</v>
      </c>
      <c r="AA15" s="18">
        <v>28250</v>
      </c>
      <c r="AB15" s="18">
        <v>28270</v>
      </c>
      <c r="AC15" s="18">
        <v>28320</v>
      </c>
      <c r="AD15" s="18">
        <v>28400</v>
      </c>
      <c r="AE15" s="18">
        <v>28520</v>
      </c>
      <c r="AF15" s="18">
        <v>28680</v>
      </c>
      <c r="AG15" s="18">
        <v>28860</v>
      </c>
      <c r="AH15" s="18">
        <v>29070</v>
      </c>
      <c r="AI15" s="18">
        <v>29290</v>
      </c>
      <c r="AJ15" s="18">
        <v>29510</v>
      </c>
      <c r="AK15" s="18">
        <v>29730</v>
      </c>
    </row>
    <row r="16" spans="1:37" x14ac:dyDescent="0.25">
      <c r="A16" s="12">
        <v>1</v>
      </c>
      <c r="B16" s="18">
        <v>27990</v>
      </c>
      <c r="C16" s="18">
        <v>28850</v>
      </c>
      <c r="D16" s="18">
        <v>30110</v>
      </c>
      <c r="E16" s="18">
        <v>31260</v>
      </c>
      <c r="F16" s="18">
        <v>30820</v>
      </c>
      <c r="G16" s="18">
        <v>31460</v>
      </c>
      <c r="H16" s="18">
        <v>30640</v>
      </c>
      <c r="I16" s="18">
        <v>29950</v>
      </c>
      <c r="J16" s="18">
        <v>29510</v>
      </c>
      <c r="K16" s="18">
        <v>28670</v>
      </c>
      <c r="L16" s="18">
        <v>28900</v>
      </c>
      <c r="M16" s="18">
        <v>29040</v>
      </c>
      <c r="N16" s="18">
        <v>29620</v>
      </c>
      <c r="O16" s="18">
        <v>29110</v>
      </c>
      <c r="P16" s="18">
        <v>29080</v>
      </c>
      <c r="Q16" s="18">
        <v>29150</v>
      </c>
      <c r="R16" s="18">
        <v>29470</v>
      </c>
      <c r="S16" s="18">
        <v>30040</v>
      </c>
      <c r="T16" s="18">
        <v>27710</v>
      </c>
      <c r="U16" s="18">
        <v>27790</v>
      </c>
      <c r="V16" s="18">
        <v>28280</v>
      </c>
      <c r="W16" s="18">
        <v>28300</v>
      </c>
      <c r="X16" s="18">
        <v>28310</v>
      </c>
      <c r="Y16" s="18">
        <v>28300</v>
      </c>
      <c r="Z16" s="18">
        <v>28290</v>
      </c>
      <c r="AA16" s="18">
        <v>28290</v>
      </c>
      <c r="AB16" s="18">
        <v>28290</v>
      </c>
      <c r="AC16" s="18">
        <v>28320</v>
      </c>
      <c r="AD16" s="18">
        <v>28370</v>
      </c>
      <c r="AE16" s="18">
        <v>28450</v>
      </c>
      <c r="AF16" s="18">
        <v>28570</v>
      </c>
      <c r="AG16" s="18">
        <v>28730</v>
      </c>
      <c r="AH16" s="18">
        <v>28920</v>
      </c>
      <c r="AI16" s="18">
        <v>29130</v>
      </c>
      <c r="AJ16" s="18">
        <v>29350</v>
      </c>
      <c r="AK16" s="18">
        <v>29580</v>
      </c>
    </row>
    <row r="17" spans="1:37" x14ac:dyDescent="0.25">
      <c r="A17" s="12">
        <v>2</v>
      </c>
      <c r="B17" s="18">
        <v>28180</v>
      </c>
      <c r="C17" s="18">
        <v>28100</v>
      </c>
      <c r="D17" s="18">
        <v>28870</v>
      </c>
      <c r="E17" s="18">
        <v>30220</v>
      </c>
      <c r="F17" s="18">
        <v>31340</v>
      </c>
      <c r="G17" s="18">
        <v>30770</v>
      </c>
      <c r="H17" s="18">
        <v>31310</v>
      </c>
      <c r="I17" s="18">
        <v>30580</v>
      </c>
      <c r="J17" s="18">
        <v>30150</v>
      </c>
      <c r="K17" s="18">
        <v>29890</v>
      </c>
      <c r="L17" s="18">
        <v>29060</v>
      </c>
      <c r="M17" s="18">
        <v>29470</v>
      </c>
      <c r="N17" s="18">
        <v>29470</v>
      </c>
      <c r="O17" s="18">
        <v>29980</v>
      </c>
      <c r="P17" s="18">
        <v>29540</v>
      </c>
      <c r="Q17" s="18">
        <v>29260</v>
      </c>
      <c r="R17" s="18">
        <v>29240</v>
      </c>
      <c r="S17" s="18">
        <v>29840</v>
      </c>
      <c r="T17" s="18">
        <v>30450</v>
      </c>
      <c r="U17" s="18">
        <v>27780</v>
      </c>
      <c r="V17" s="18">
        <v>27890</v>
      </c>
      <c r="W17" s="18">
        <v>28390</v>
      </c>
      <c r="X17" s="18">
        <v>28430</v>
      </c>
      <c r="Y17" s="18">
        <v>28440</v>
      </c>
      <c r="Z17" s="18">
        <v>28440</v>
      </c>
      <c r="AA17" s="18">
        <v>28440</v>
      </c>
      <c r="AB17" s="18">
        <v>28430</v>
      </c>
      <c r="AC17" s="18">
        <v>28440</v>
      </c>
      <c r="AD17" s="18">
        <v>28470</v>
      </c>
      <c r="AE17" s="18">
        <v>28520</v>
      </c>
      <c r="AF17" s="18">
        <v>28610</v>
      </c>
      <c r="AG17" s="18">
        <v>28730</v>
      </c>
      <c r="AH17" s="18">
        <v>28890</v>
      </c>
      <c r="AI17" s="18">
        <v>29070</v>
      </c>
      <c r="AJ17" s="18">
        <v>29280</v>
      </c>
      <c r="AK17" s="18">
        <v>29510</v>
      </c>
    </row>
    <row r="18" spans="1:37" x14ac:dyDescent="0.25">
      <c r="A18" s="12">
        <v>3</v>
      </c>
      <c r="B18" s="18">
        <v>27310</v>
      </c>
      <c r="C18" s="18">
        <v>28260</v>
      </c>
      <c r="D18" s="18">
        <v>28090</v>
      </c>
      <c r="E18" s="18">
        <v>28910</v>
      </c>
      <c r="F18" s="18">
        <v>30280</v>
      </c>
      <c r="G18" s="18">
        <v>31290</v>
      </c>
      <c r="H18" s="18">
        <v>30670</v>
      </c>
      <c r="I18" s="18">
        <v>31320</v>
      </c>
      <c r="J18" s="18">
        <v>30730</v>
      </c>
      <c r="K18" s="18">
        <v>30430</v>
      </c>
      <c r="L18" s="18">
        <v>30460</v>
      </c>
      <c r="M18" s="18">
        <v>29610</v>
      </c>
      <c r="N18" s="18">
        <v>30030</v>
      </c>
      <c r="O18" s="18">
        <v>29920</v>
      </c>
      <c r="P18" s="18">
        <v>30490</v>
      </c>
      <c r="Q18" s="18">
        <v>29680</v>
      </c>
      <c r="R18" s="18">
        <v>29450</v>
      </c>
      <c r="S18" s="18">
        <v>29740</v>
      </c>
      <c r="T18" s="18">
        <v>30340</v>
      </c>
      <c r="U18" s="18">
        <v>30570</v>
      </c>
      <c r="V18" s="18">
        <v>27930</v>
      </c>
      <c r="W18" s="18">
        <v>28060</v>
      </c>
      <c r="X18" s="18">
        <v>28580</v>
      </c>
      <c r="Y18" s="18">
        <v>28620</v>
      </c>
      <c r="Z18" s="18">
        <v>28640</v>
      </c>
      <c r="AA18" s="18">
        <v>28650</v>
      </c>
      <c r="AB18" s="18">
        <v>28640</v>
      </c>
      <c r="AC18" s="18">
        <v>28640</v>
      </c>
      <c r="AD18" s="18">
        <v>28650</v>
      </c>
      <c r="AE18" s="18">
        <v>28680</v>
      </c>
      <c r="AF18" s="18">
        <v>28730</v>
      </c>
      <c r="AG18" s="18">
        <v>28820</v>
      </c>
      <c r="AH18" s="18">
        <v>28950</v>
      </c>
      <c r="AI18" s="18">
        <v>29110</v>
      </c>
      <c r="AJ18" s="18">
        <v>29300</v>
      </c>
      <c r="AK18" s="18">
        <v>29510</v>
      </c>
    </row>
    <row r="19" spans="1:37" x14ac:dyDescent="0.25">
      <c r="A19" s="12">
        <v>4</v>
      </c>
      <c r="B19" s="18">
        <v>27400</v>
      </c>
      <c r="C19" s="18">
        <v>27460</v>
      </c>
      <c r="D19" s="18">
        <v>28310</v>
      </c>
      <c r="E19" s="18">
        <v>28190</v>
      </c>
      <c r="F19" s="18">
        <v>29030</v>
      </c>
      <c r="G19" s="18">
        <v>30250</v>
      </c>
      <c r="H19" s="18">
        <v>31140</v>
      </c>
      <c r="I19" s="18">
        <v>30550</v>
      </c>
      <c r="J19" s="18">
        <v>31460</v>
      </c>
      <c r="K19" s="18">
        <v>31040</v>
      </c>
      <c r="L19" s="18">
        <v>30880</v>
      </c>
      <c r="M19" s="18">
        <v>30980</v>
      </c>
      <c r="N19" s="18">
        <v>30100</v>
      </c>
      <c r="O19" s="18">
        <v>30500</v>
      </c>
      <c r="P19" s="18">
        <v>30420</v>
      </c>
      <c r="Q19" s="18">
        <v>30610</v>
      </c>
      <c r="R19" s="18">
        <v>29800</v>
      </c>
      <c r="S19" s="18">
        <v>30210</v>
      </c>
      <c r="T19" s="18">
        <v>30430</v>
      </c>
      <c r="U19" s="18">
        <v>30500</v>
      </c>
      <c r="V19" s="18">
        <v>30770</v>
      </c>
      <c r="W19" s="18">
        <v>28150</v>
      </c>
      <c r="X19" s="18">
        <v>28290</v>
      </c>
      <c r="Y19" s="18">
        <v>28820</v>
      </c>
      <c r="Z19" s="18">
        <v>28870</v>
      </c>
      <c r="AA19" s="18">
        <v>28900</v>
      </c>
      <c r="AB19" s="18">
        <v>28910</v>
      </c>
      <c r="AC19" s="18">
        <v>28900</v>
      </c>
      <c r="AD19" s="18">
        <v>28900</v>
      </c>
      <c r="AE19" s="18">
        <v>28910</v>
      </c>
      <c r="AF19" s="18">
        <v>28940</v>
      </c>
      <c r="AG19" s="18">
        <v>29000</v>
      </c>
      <c r="AH19" s="18">
        <v>29090</v>
      </c>
      <c r="AI19" s="18">
        <v>29220</v>
      </c>
      <c r="AJ19" s="18">
        <v>29380</v>
      </c>
      <c r="AK19" s="18">
        <v>29570</v>
      </c>
    </row>
    <row r="20" spans="1:37" x14ac:dyDescent="0.25">
      <c r="A20" s="12">
        <v>5</v>
      </c>
      <c r="B20" s="18">
        <v>28370</v>
      </c>
      <c r="C20" s="18">
        <v>27650</v>
      </c>
      <c r="D20" s="18">
        <v>27610</v>
      </c>
      <c r="E20" s="18">
        <v>28410</v>
      </c>
      <c r="F20" s="18">
        <v>28320</v>
      </c>
      <c r="G20" s="18">
        <v>29050</v>
      </c>
      <c r="H20" s="18">
        <v>30120</v>
      </c>
      <c r="I20" s="18">
        <v>31090</v>
      </c>
      <c r="J20" s="18">
        <v>30700</v>
      </c>
      <c r="K20" s="18">
        <v>31720</v>
      </c>
      <c r="L20" s="18">
        <v>31400</v>
      </c>
      <c r="M20" s="18">
        <v>31390</v>
      </c>
      <c r="N20" s="18">
        <v>31470</v>
      </c>
      <c r="O20" s="18">
        <v>30590</v>
      </c>
      <c r="P20" s="18">
        <v>30990</v>
      </c>
      <c r="Q20" s="18">
        <v>30490</v>
      </c>
      <c r="R20" s="18">
        <v>30660</v>
      </c>
      <c r="S20" s="18">
        <v>30490</v>
      </c>
      <c r="T20" s="18">
        <v>31010</v>
      </c>
      <c r="U20" s="18">
        <v>30610</v>
      </c>
      <c r="V20" s="18">
        <v>30720</v>
      </c>
      <c r="W20" s="18">
        <v>31000</v>
      </c>
      <c r="X20" s="18">
        <v>28400</v>
      </c>
      <c r="Y20" s="18">
        <v>28560</v>
      </c>
      <c r="Z20" s="18">
        <v>29090</v>
      </c>
      <c r="AA20" s="18">
        <v>29150</v>
      </c>
      <c r="AB20" s="18">
        <v>29180</v>
      </c>
      <c r="AC20" s="18">
        <v>29180</v>
      </c>
      <c r="AD20" s="18">
        <v>29180</v>
      </c>
      <c r="AE20" s="18">
        <v>29180</v>
      </c>
      <c r="AF20" s="18">
        <v>29200</v>
      </c>
      <c r="AG20" s="18">
        <v>29230</v>
      </c>
      <c r="AH20" s="18">
        <v>29290</v>
      </c>
      <c r="AI20" s="18">
        <v>29380</v>
      </c>
      <c r="AJ20" s="18">
        <v>29510</v>
      </c>
      <c r="AK20" s="18">
        <v>29670</v>
      </c>
    </row>
    <row r="21" spans="1:37" x14ac:dyDescent="0.25">
      <c r="A21" s="12">
        <v>6</v>
      </c>
      <c r="B21" s="18">
        <v>28910</v>
      </c>
      <c r="C21" s="18">
        <v>28620</v>
      </c>
      <c r="D21" s="18">
        <v>27860</v>
      </c>
      <c r="E21" s="18">
        <v>27770</v>
      </c>
      <c r="F21" s="18">
        <v>28550</v>
      </c>
      <c r="G21" s="18">
        <v>28290</v>
      </c>
      <c r="H21" s="18">
        <v>28900</v>
      </c>
      <c r="I21" s="18">
        <v>30050</v>
      </c>
      <c r="J21" s="18">
        <v>31180</v>
      </c>
      <c r="K21" s="18">
        <v>30870</v>
      </c>
      <c r="L21" s="18">
        <v>31990</v>
      </c>
      <c r="M21" s="18">
        <v>31750</v>
      </c>
      <c r="N21" s="18">
        <v>31830</v>
      </c>
      <c r="O21" s="18">
        <v>31890</v>
      </c>
      <c r="P21" s="18">
        <v>31080</v>
      </c>
      <c r="Q21" s="18">
        <v>31090</v>
      </c>
      <c r="R21" s="18">
        <v>30550</v>
      </c>
      <c r="S21" s="18">
        <v>31420</v>
      </c>
      <c r="T21" s="18">
        <v>31240</v>
      </c>
      <c r="U21" s="18">
        <v>31200</v>
      </c>
      <c r="V21" s="18">
        <v>30840</v>
      </c>
      <c r="W21" s="18">
        <v>30970</v>
      </c>
      <c r="X21" s="18">
        <v>31270</v>
      </c>
      <c r="Y21" s="18">
        <v>28680</v>
      </c>
      <c r="Z21" s="18">
        <v>28840</v>
      </c>
      <c r="AA21" s="18">
        <v>29380</v>
      </c>
      <c r="AB21" s="18">
        <v>29440</v>
      </c>
      <c r="AC21" s="18">
        <v>29470</v>
      </c>
      <c r="AD21" s="18">
        <v>29480</v>
      </c>
      <c r="AE21" s="18">
        <v>29480</v>
      </c>
      <c r="AF21" s="18">
        <v>29490</v>
      </c>
      <c r="AG21" s="18">
        <v>29500</v>
      </c>
      <c r="AH21" s="18">
        <v>29530</v>
      </c>
      <c r="AI21" s="18">
        <v>29600</v>
      </c>
      <c r="AJ21" s="18">
        <v>29690</v>
      </c>
      <c r="AK21" s="18">
        <v>29820</v>
      </c>
    </row>
    <row r="22" spans="1:37" x14ac:dyDescent="0.25">
      <c r="A22" s="12">
        <v>7</v>
      </c>
      <c r="B22" s="18">
        <v>27980</v>
      </c>
      <c r="C22" s="18">
        <v>29160</v>
      </c>
      <c r="D22" s="18">
        <v>28760</v>
      </c>
      <c r="E22" s="18">
        <v>27990</v>
      </c>
      <c r="F22" s="18">
        <v>27850</v>
      </c>
      <c r="G22" s="18">
        <v>28600</v>
      </c>
      <c r="H22" s="18">
        <v>28200</v>
      </c>
      <c r="I22" s="18">
        <v>28790</v>
      </c>
      <c r="J22" s="18">
        <v>30150</v>
      </c>
      <c r="K22" s="18">
        <v>31310</v>
      </c>
      <c r="L22" s="18">
        <v>31080</v>
      </c>
      <c r="M22" s="18">
        <v>32270</v>
      </c>
      <c r="N22" s="18">
        <v>32050</v>
      </c>
      <c r="O22" s="18">
        <v>32190</v>
      </c>
      <c r="P22" s="18">
        <v>32370</v>
      </c>
      <c r="Q22" s="18">
        <v>31220</v>
      </c>
      <c r="R22" s="18">
        <v>31170</v>
      </c>
      <c r="S22" s="18">
        <v>31190</v>
      </c>
      <c r="T22" s="18">
        <v>32120</v>
      </c>
      <c r="U22" s="18">
        <v>31440</v>
      </c>
      <c r="V22" s="18">
        <v>31440</v>
      </c>
      <c r="W22" s="18">
        <v>31100</v>
      </c>
      <c r="X22" s="18">
        <v>31250</v>
      </c>
      <c r="Y22" s="18">
        <v>31560</v>
      </c>
      <c r="Z22" s="18">
        <v>28980</v>
      </c>
      <c r="AA22" s="18">
        <v>29140</v>
      </c>
      <c r="AB22" s="18">
        <v>29690</v>
      </c>
      <c r="AC22" s="18">
        <v>29750</v>
      </c>
      <c r="AD22" s="18">
        <v>29780</v>
      </c>
      <c r="AE22" s="18">
        <v>29790</v>
      </c>
      <c r="AF22" s="18">
        <v>29790</v>
      </c>
      <c r="AG22" s="18">
        <v>29800</v>
      </c>
      <c r="AH22" s="18">
        <v>29820</v>
      </c>
      <c r="AI22" s="18">
        <v>29850</v>
      </c>
      <c r="AJ22" s="18">
        <v>29920</v>
      </c>
      <c r="AK22" s="18">
        <v>30010</v>
      </c>
    </row>
    <row r="23" spans="1:37" x14ac:dyDescent="0.25">
      <c r="A23" s="12">
        <v>8</v>
      </c>
      <c r="B23" s="18">
        <v>28620</v>
      </c>
      <c r="C23" s="18">
        <v>28230</v>
      </c>
      <c r="D23" s="18">
        <v>29340</v>
      </c>
      <c r="E23" s="18">
        <v>28950</v>
      </c>
      <c r="F23" s="18">
        <v>28120</v>
      </c>
      <c r="G23" s="18">
        <v>27910</v>
      </c>
      <c r="H23" s="18">
        <v>28490</v>
      </c>
      <c r="I23" s="18">
        <v>28140</v>
      </c>
      <c r="J23" s="18">
        <v>28910</v>
      </c>
      <c r="K23" s="18">
        <v>30320</v>
      </c>
      <c r="L23" s="18">
        <v>31560</v>
      </c>
      <c r="M23" s="18">
        <v>31380</v>
      </c>
      <c r="N23" s="18">
        <v>32500</v>
      </c>
      <c r="O23" s="18">
        <v>32460</v>
      </c>
      <c r="P23" s="18">
        <v>32650</v>
      </c>
      <c r="Q23" s="18">
        <v>32520</v>
      </c>
      <c r="R23" s="18">
        <v>31310</v>
      </c>
      <c r="S23" s="18">
        <v>31870</v>
      </c>
      <c r="T23" s="18">
        <v>31910</v>
      </c>
      <c r="U23" s="18">
        <v>32320</v>
      </c>
      <c r="V23" s="18">
        <v>31680</v>
      </c>
      <c r="W23" s="18">
        <v>31700</v>
      </c>
      <c r="X23" s="18">
        <v>31380</v>
      </c>
      <c r="Y23" s="18">
        <v>31540</v>
      </c>
      <c r="Z23" s="18">
        <v>31860</v>
      </c>
      <c r="AA23" s="18">
        <v>29280</v>
      </c>
      <c r="AB23" s="18">
        <v>29450</v>
      </c>
      <c r="AC23" s="18">
        <v>29990</v>
      </c>
      <c r="AD23" s="18">
        <v>30050</v>
      </c>
      <c r="AE23" s="18">
        <v>30090</v>
      </c>
      <c r="AF23" s="18">
        <v>30100</v>
      </c>
      <c r="AG23" s="18">
        <v>30110</v>
      </c>
      <c r="AH23" s="18">
        <v>30110</v>
      </c>
      <c r="AI23" s="18">
        <v>30130</v>
      </c>
      <c r="AJ23" s="18">
        <v>30170</v>
      </c>
      <c r="AK23" s="18">
        <v>30240</v>
      </c>
    </row>
    <row r="24" spans="1:37" x14ac:dyDescent="0.25">
      <c r="A24" s="12">
        <v>9</v>
      </c>
      <c r="B24" s="18">
        <v>28770</v>
      </c>
      <c r="C24" s="18">
        <v>28910</v>
      </c>
      <c r="D24" s="18">
        <v>28390</v>
      </c>
      <c r="E24" s="18">
        <v>29550</v>
      </c>
      <c r="F24" s="18">
        <v>29150</v>
      </c>
      <c r="G24" s="18">
        <v>28210</v>
      </c>
      <c r="H24" s="18">
        <v>27850</v>
      </c>
      <c r="I24" s="18">
        <v>28430</v>
      </c>
      <c r="J24" s="18">
        <v>28290</v>
      </c>
      <c r="K24" s="18">
        <v>29120</v>
      </c>
      <c r="L24" s="18">
        <v>30590</v>
      </c>
      <c r="M24" s="18">
        <v>31900</v>
      </c>
      <c r="N24" s="18">
        <v>31640</v>
      </c>
      <c r="O24" s="18">
        <v>32820</v>
      </c>
      <c r="P24" s="18">
        <v>32920</v>
      </c>
      <c r="Q24" s="18">
        <v>32770</v>
      </c>
      <c r="R24" s="18">
        <v>32570</v>
      </c>
      <c r="S24" s="18">
        <v>32040</v>
      </c>
      <c r="T24" s="18">
        <v>32620</v>
      </c>
      <c r="U24" s="18">
        <v>32110</v>
      </c>
      <c r="V24" s="18">
        <v>32570</v>
      </c>
      <c r="W24" s="18">
        <v>31940</v>
      </c>
      <c r="X24" s="18">
        <v>31980</v>
      </c>
      <c r="Y24" s="18">
        <v>31660</v>
      </c>
      <c r="Z24" s="18">
        <v>31830</v>
      </c>
      <c r="AA24" s="18">
        <v>32160</v>
      </c>
      <c r="AB24" s="18">
        <v>29580</v>
      </c>
      <c r="AC24" s="18">
        <v>29750</v>
      </c>
      <c r="AD24" s="18">
        <v>30300</v>
      </c>
      <c r="AE24" s="18">
        <v>30360</v>
      </c>
      <c r="AF24" s="18">
        <v>30400</v>
      </c>
      <c r="AG24" s="18">
        <v>30410</v>
      </c>
      <c r="AH24" s="18">
        <v>30420</v>
      </c>
      <c r="AI24" s="18">
        <v>30430</v>
      </c>
      <c r="AJ24" s="18">
        <v>30450</v>
      </c>
      <c r="AK24" s="18">
        <v>30490</v>
      </c>
    </row>
    <row r="25" spans="1:37" x14ac:dyDescent="0.25">
      <c r="A25" s="12">
        <v>10</v>
      </c>
      <c r="B25" s="18">
        <v>29250</v>
      </c>
      <c r="C25" s="18">
        <v>28990</v>
      </c>
      <c r="D25" s="18">
        <v>29090</v>
      </c>
      <c r="E25" s="18">
        <v>28550</v>
      </c>
      <c r="F25" s="18">
        <v>29770</v>
      </c>
      <c r="G25" s="18">
        <v>29310</v>
      </c>
      <c r="H25" s="18">
        <v>28210</v>
      </c>
      <c r="I25" s="18">
        <v>27900</v>
      </c>
      <c r="J25" s="18">
        <v>28540</v>
      </c>
      <c r="K25" s="18">
        <v>28530</v>
      </c>
      <c r="L25" s="18">
        <v>29430</v>
      </c>
      <c r="M25" s="18">
        <v>30950</v>
      </c>
      <c r="N25" s="18">
        <v>32130</v>
      </c>
      <c r="O25" s="18">
        <v>31950</v>
      </c>
      <c r="P25" s="18">
        <v>33220</v>
      </c>
      <c r="Q25" s="18">
        <v>33040</v>
      </c>
      <c r="R25" s="18">
        <v>32810</v>
      </c>
      <c r="S25" s="18">
        <v>33270</v>
      </c>
      <c r="T25" s="18">
        <v>32820</v>
      </c>
      <c r="U25" s="18">
        <v>32830</v>
      </c>
      <c r="V25" s="18">
        <v>32370</v>
      </c>
      <c r="W25" s="18">
        <v>32840</v>
      </c>
      <c r="X25" s="18">
        <v>32230</v>
      </c>
      <c r="Y25" s="18">
        <v>32280</v>
      </c>
      <c r="Z25" s="18">
        <v>31970</v>
      </c>
      <c r="AA25" s="18">
        <v>32140</v>
      </c>
      <c r="AB25" s="18">
        <v>32470</v>
      </c>
      <c r="AC25" s="18">
        <v>29900</v>
      </c>
      <c r="AD25" s="18">
        <v>30070</v>
      </c>
      <c r="AE25" s="18">
        <v>30620</v>
      </c>
      <c r="AF25" s="18">
        <v>30680</v>
      </c>
      <c r="AG25" s="18">
        <v>30720</v>
      </c>
      <c r="AH25" s="18">
        <v>30740</v>
      </c>
      <c r="AI25" s="18">
        <v>30750</v>
      </c>
      <c r="AJ25" s="18">
        <v>30760</v>
      </c>
      <c r="AK25" s="18">
        <v>30780</v>
      </c>
    </row>
    <row r="26" spans="1:37" x14ac:dyDescent="0.25">
      <c r="A26" s="12">
        <v>11</v>
      </c>
      <c r="B26" s="18">
        <v>29970</v>
      </c>
      <c r="C26" s="18">
        <v>29430</v>
      </c>
      <c r="D26" s="18">
        <v>29180</v>
      </c>
      <c r="E26" s="18">
        <v>29270</v>
      </c>
      <c r="F26" s="18">
        <v>28700</v>
      </c>
      <c r="G26" s="18">
        <v>29880</v>
      </c>
      <c r="H26" s="18">
        <v>29380</v>
      </c>
      <c r="I26" s="18">
        <v>28280</v>
      </c>
      <c r="J26" s="18">
        <v>28040</v>
      </c>
      <c r="K26" s="18">
        <v>28740</v>
      </c>
      <c r="L26" s="18">
        <v>28830</v>
      </c>
      <c r="M26" s="18">
        <v>29750</v>
      </c>
      <c r="N26" s="18">
        <v>31280</v>
      </c>
      <c r="O26" s="18">
        <v>32550</v>
      </c>
      <c r="P26" s="18">
        <v>32410</v>
      </c>
      <c r="Q26" s="18">
        <v>33350</v>
      </c>
      <c r="R26" s="18">
        <v>33060</v>
      </c>
      <c r="S26" s="18">
        <v>33500</v>
      </c>
      <c r="T26" s="18">
        <v>33950</v>
      </c>
      <c r="U26" s="18">
        <v>33030</v>
      </c>
      <c r="V26" s="18">
        <v>33080</v>
      </c>
      <c r="W26" s="18">
        <v>32640</v>
      </c>
      <c r="X26" s="18">
        <v>33120</v>
      </c>
      <c r="Y26" s="18">
        <v>32530</v>
      </c>
      <c r="Z26" s="18">
        <v>32580</v>
      </c>
      <c r="AA26" s="18">
        <v>32280</v>
      </c>
      <c r="AB26" s="18">
        <v>32460</v>
      </c>
      <c r="AC26" s="18">
        <v>32780</v>
      </c>
      <c r="AD26" s="18">
        <v>30210</v>
      </c>
      <c r="AE26" s="18">
        <v>30390</v>
      </c>
      <c r="AF26" s="18">
        <v>30940</v>
      </c>
      <c r="AG26" s="18">
        <v>31000</v>
      </c>
      <c r="AH26" s="18">
        <v>31040</v>
      </c>
      <c r="AI26" s="18">
        <v>31060</v>
      </c>
      <c r="AJ26" s="18">
        <v>31080</v>
      </c>
      <c r="AK26" s="18">
        <v>31090</v>
      </c>
    </row>
    <row r="27" spans="1:37" x14ac:dyDescent="0.25">
      <c r="A27" s="12">
        <v>12</v>
      </c>
      <c r="B27" s="18">
        <v>29990</v>
      </c>
      <c r="C27" s="18">
        <v>30090</v>
      </c>
      <c r="D27" s="18">
        <v>29510</v>
      </c>
      <c r="E27" s="18">
        <v>29370</v>
      </c>
      <c r="F27" s="18">
        <v>29520</v>
      </c>
      <c r="G27" s="18">
        <v>28870</v>
      </c>
      <c r="H27" s="18">
        <v>29910</v>
      </c>
      <c r="I27" s="18">
        <v>29480</v>
      </c>
      <c r="J27" s="18">
        <v>28500</v>
      </c>
      <c r="K27" s="18">
        <v>28330</v>
      </c>
      <c r="L27" s="18">
        <v>29080</v>
      </c>
      <c r="M27" s="18">
        <v>29200</v>
      </c>
      <c r="N27" s="18">
        <v>30080</v>
      </c>
      <c r="O27" s="18">
        <v>31710</v>
      </c>
      <c r="P27" s="18">
        <v>33040</v>
      </c>
      <c r="Q27" s="18">
        <v>32520</v>
      </c>
      <c r="R27" s="18">
        <v>33380</v>
      </c>
      <c r="S27" s="18">
        <v>33760</v>
      </c>
      <c r="T27" s="18">
        <v>34220</v>
      </c>
      <c r="U27" s="18">
        <v>34170</v>
      </c>
      <c r="V27" s="18">
        <v>33290</v>
      </c>
      <c r="W27" s="18">
        <v>33360</v>
      </c>
      <c r="X27" s="18">
        <v>32930</v>
      </c>
      <c r="Y27" s="18">
        <v>33430</v>
      </c>
      <c r="Z27" s="18">
        <v>32840</v>
      </c>
      <c r="AA27" s="18">
        <v>32890</v>
      </c>
      <c r="AB27" s="18">
        <v>32590</v>
      </c>
      <c r="AC27" s="18">
        <v>32770</v>
      </c>
      <c r="AD27" s="18">
        <v>33100</v>
      </c>
      <c r="AE27" s="18">
        <v>30530</v>
      </c>
      <c r="AF27" s="18">
        <v>30710</v>
      </c>
      <c r="AG27" s="18">
        <v>31260</v>
      </c>
      <c r="AH27" s="18">
        <v>31330</v>
      </c>
      <c r="AI27" s="18">
        <v>31370</v>
      </c>
      <c r="AJ27" s="18">
        <v>31390</v>
      </c>
      <c r="AK27" s="18">
        <v>31410</v>
      </c>
    </row>
    <row r="28" spans="1:37" x14ac:dyDescent="0.25">
      <c r="A28" s="12">
        <v>13</v>
      </c>
      <c r="B28" s="18">
        <v>30750</v>
      </c>
      <c r="C28" s="18">
        <v>30090</v>
      </c>
      <c r="D28" s="18">
        <v>30120</v>
      </c>
      <c r="E28" s="18">
        <v>29630</v>
      </c>
      <c r="F28" s="18">
        <v>29590</v>
      </c>
      <c r="G28" s="18">
        <v>29630</v>
      </c>
      <c r="H28" s="18">
        <v>28910</v>
      </c>
      <c r="I28" s="18">
        <v>29930</v>
      </c>
      <c r="J28" s="18">
        <v>29630</v>
      </c>
      <c r="K28" s="18">
        <v>28800</v>
      </c>
      <c r="L28" s="18">
        <v>28640</v>
      </c>
      <c r="M28" s="18">
        <v>29400</v>
      </c>
      <c r="N28" s="18">
        <v>29590</v>
      </c>
      <c r="O28" s="18">
        <v>30530</v>
      </c>
      <c r="P28" s="18">
        <v>32240</v>
      </c>
      <c r="Q28" s="18">
        <v>33230</v>
      </c>
      <c r="R28" s="18">
        <v>32540</v>
      </c>
      <c r="S28" s="18">
        <v>34020</v>
      </c>
      <c r="T28" s="18">
        <v>34440</v>
      </c>
      <c r="U28" s="18">
        <v>34470</v>
      </c>
      <c r="V28" s="18">
        <v>34450</v>
      </c>
      <c r="W28" s="18">
        <v>33590</v>
      </c>
      <c r="X28" s="18">
        <v>33670</v>
      </c>
      <c r="Y28" s="18">
        <v>33250</v>
      </c>
      <c r="Z28" s="18">
        <v>33760</v>
      </c>
      <c r="AA28" s="18">
        <v>33170</v>
      </c>
      <c r="AB28" s="18">
        <v>33230</v>
      </c>
      <c r="AC28" s="18">
        <v>32940</v>
      </c>
      <c r="AD28" s="18">
        <v>33110</v>
      </c>
      <c r="AE28" s="18">
        <v>33440</v>
      </c>
      <c r="AF28" s="18">
        <v>30880</v>
      </c>
      <c r="AG28" s="18">
        <v>31060</v>
      </c>
      <c r="AH28" s="18">
        <v>31610</v>
      </c>
      <c r="AI28" s="18">
        <v>31680</v>
      </c>
      <c r="AJ28" s="18">
        <v>31720</v>
      </c>
      <c r="AK28" s="18">
        <v>31750</v>
      </c>
    </row>
    <row r="29" spans="1:37" x14ac:dyDescent="0.25">
      <c r="A29" s="12">
        <v>14</v>
      </c>
      <c r="B29" s="18">
        <v>30960</v>
      </c>
      <c r="C29" s="18">
        <v>30780</v>
      </c>
      <c r="D29" s="18">
        <v>30110</v>
      </c>
      <c r="E29" s="18">
        <v>30170</v>
      </c>
      <c r="F29" s="18">
        <v>29830</v>
      </c>
      <c r="G29" s="18">
        <v>29790</v>
      </c>
      <c r="H29" s="18">
        <v>29700</v>
      </c>
      <c r="I29" s="18">
        <v>29000</v>
      </c>
      <c r="J29" s="18">
        <v>30030</v>
      </c>
      <c r="K29" s="18">
        <v>29920</v>
      </c>
      <c r="L29" s="18">
        <v>29200</v>
      </c>
      <c r="M29" s="18">
        <v>29100</v>
      </c>
      <c r="N29" s="18">
        <v>29750</v>
      </c>
      <c r="O29" s="18">
        <v>30050</v>
      </c>
      <c r="P29" s="18">
        <v>30990</v>
      </c>
      <c r="Q29" s="18">
        <v>32440</v>
      </c>
      <c r="R29" s="18">
        <v>33300</v>
      </c>
      <c r="S29" s="18">
        <v>33270</v>
      </c>
      <c r="T29" s="18">
        <v>34740</v>
      </c>
      <c r="U29" s="18">
        <v>34710</v>
      </c>
      <c r="V29" s="18">
        <v>34780</v>
      </c>
      <c r="W29" s="18">
        <v>34770</v>
      </c>
      <c r="X29" s="18">
        <v>33930</v>
      </c>
      <c r="Y29" s="18">
        <v>34030</v>
      </c>
      <c r="Z29" s="18">
        <v>33610</v>
      </c>
      <c r="AA29" s="18">
        <v>34120</v>
      </c>
      <c r="AB29" s="18">
        <v>33540</v>
      </c>
      <c r="AC29" s="18">
        <v>33600</v>
      </c>
      <c r="AD29" s="18">
        <v>33310</v>
      </c>
      <c r="AE29" s="18">
        <v>33490</v>
      </c>
      <c r="AF29" s="18">
        <v>33820</v>
      </c>
      <c r="AG29" s="18">
        <v>31260</v>
      </c>
      <c r="AH29" s="18">
        <v>31430</v>
      </c>
      <c r="AI29" s="18">
        <v>31990</v>
      </c>
      <c r="AJ29" s="18">
        <v>32060</v>
      </c>
      <c r="AK29" s="18">
        <v>32110</v>
      </c>
    </row>
    <row r="30" spans="1:37" x14ac:dyDescent="0.25">
      <c r="A30" s="12">
        <v>15</v>
      </c>
      <c r="B30" s="18">
        <v>32030</v>
      </c>
      <c r="C30" s="18">
        <v>31100</v>
      </c>
      <c r="D30" s="18">
        <v>30870</v>
      </c>
      <c r="E30" s="18">
        <v>30230</v>
      </c>
      <c r="F30" s="18">
        <v>30410</v>
      </c>
      <c r="G30" s="18">
        <v>29940</v>
      </c>
      <c r="H30" s="18">
        <v>30020</v>
      </c>
      <c r="I30" s="18">
        <v>29930</v>
      </c>
      <c r="J30" s="18">
        <v>29310</v>
      </c>
      <c r="K30" s="18">
        <v>30390</v>
      </c>
      <c r="L30" s="18">
        <v>30490</v>
      </c>
      <c r="M30" s="18">
        <v>29850</v>
      </c>
      <c r="N30" s="18">
        <v>29620</v>
      </c>
      <c r="O30" s="18">
        <v>30320</v>
      </c>
      <c r="P30" s="18">
        <v>30680</v>
      </c>
      <c r="Q30" s="18">
        <v>31200</v>
      </c>
      <c r="R30" s="18">
        <v>32650</v>
      </c>
      <c r="S30" s="18">
        <v>34160</v>
      </c>
      <c r="T30" s="18">
        <v>34100</v>
      </c>
      <c r="U30" s="18">
        <v>35060</v>
      </c>
      <c r="V30" s="18">
        <v>35060</v>
      </c>
      <c r="W30" s="18">
        <v>35150</v>
      </c>
      <c r="X30" s="18">
        <v>35160</v>
      </c>
      <c r="Y30" s="18">
        <v>34330</v>
      </c>
      <c r="Z30" s="18">
        <v>34430</v>
      </c>
      <c r="AA30" s="18">
        <v>34020</v>
      </c>
      <c r="AB30" s="18">
        <v>34530</v>
      </c>
      <c r="AC30" s="18">
        <v>33950</v>
      </c>
      <c r="AD30" s="18">
        <v>34010</v>
      </c>
      <c r="AE30" s="18">
        <v>33720</v>
      </c>
      <c r="AF30" s="18">
        <v>33900</v>
      </c>
      <c r="AG30" s="18">
        <v>34240</v>
      </c>
      <c r="AH30" s="18">
        <v>31670</v>
      </c>
      <c r="AI30" s="18">
        <v>31860</v>
      </c>
      <c r="AJ30" s="18">
        <v>32410</v>
      </c>
      <c r="AK30" s="18">
        <v>32490</v>
      </c>
    </row>
    <row r="31" spans="1:37" x14ac:dyDescent="0.25">
      <c r="A31" s="12">
        <v>16</v>
      </c>
      <c r="B31" s="18">
        <v>31990</v>
      </c>
      <c r="C31" s="18">
        <v>32170</v>
      </c>
      <c r="D31" s="18">
        <v>31150</v>
      </c>
      <c r="E31" s="18">
        <v>31080</v>
      </c>
      <c r="F31" s="18">
        <v>30550</v>
      </c>
      <c r="G31" s="18">
        <v>30730</v>
      </c>
      <c r="H31" s="18">
        <v>30160</v>
      </c>
      <c r="I31" s="18">
        <v>30350</v>
      </c>
      <c r="J31" s="18">
        <v>30230</v>
      </c>
      <c r="K31" s="18">
        <v>29800</v>
      </c>
      <c r="L31" s="18">
        <v>30940</v>
      </c>
      <c r="M31" s="18">
        <v>31110</v>
      </c>
      <c r="N31" s="18">
        <v>30440</v>
      </c>
      <c r="O31" s="18">
        <v>30130</v>
      </c>
      <c r="P31" s="18">
        <v>30960</v>
      </c>
      <c r="Q31" s="18">
        <v>30830</v>
      </c>
      <c r="R31" s="18">
        <v>31340</v>
      </c>
      <c r="S31" s="18">
        <v>33580</v>
      </c>
      <c r="T31" s="18">
        <v>35070</v>
      </c>
      <c r="U31" s="18">
        <v>34430</v>
      </c>
      <c r="V31" s="18">
        <v>35410</v>
      </c>
      <c r="W31" s="18">
        <v>35430</v>
      </c>
      <c r="X31" s="18">
        <v>35530</v>
      </c>
      <c r="Y31" s="18">
        <v>35550</v>
      </c>
      <c r="Z31" s="18">
        <v>34720</v>
      </c>
      <c r="AA31" s="18">
        <v>34830</v>
      </c>
      <c r="AB31" s="18">
        <v>34420</v>
      </c>
      <c r="AC31" s="18">
        <v>34930</v>
      </c>
      <c r="AD31" s="18">
        <v>34350</v>
      </c>
      <c r="AE31" s="18">
        <v>34420</v>
      </c>
      <c r="AF31" s="18">
        <v>34130</v>
      </c>
      <c r="AG31" s="18">
        <v>34310</v>
      </c>
      <c r="AH31" s="18">
        <v>34650</v>
      </c>
      <c r="AI31" s="18">
        <v>32090</v>
      </c>
      <c r="AJ31" s="18">
        <v>32270</v>
      </c>
      <c r="AK31" s="18">
        <v>32830</v>
      </c>
    </row>
    <row r="32" spans="1:37" x14ac:dyDescent="0.25">
      <c r="A32" s="12">
        <v>17</v>
      </c>
      <c r="B32" s="18">
        <v>30880</v>
      </c>
      <c r="C32" s="18">
        <v>32080</v>
      </c>
      <c r="D32" s="18">
        <v>32330</v>
      </c>
      <c r="E32" s="18">
        <v>31430</v>
      </c>
      <c r="F32" s="18">
        <v>31420</v>
      </c>
      <c r="G32" s="18">
        <v>30830</v>
      </c>
      <c r="H32" s="18">
        <v>30890</v>
      </c>
      <c r="I32" s="18">
        <v>30440</v>
      </c>
      <c r="J32" s="18">
        <v>30680</v>
      </c>
      <c r="K32" s="18">
        <v>30680</v>
      </c>
      <c r="L32" s="18">
        <v>30340</v>
      </c>
      <c r="M32" s="18">
        <v>31460</v>
      </c>
      <c r="N32" s="18">
        <v>31530</v>
      </c>
      <c r="O32" s="18">
        <v>30820</v>
      </c>
      <c r="P32" s="18">
        <v>30510</v>
      </c>
      <c r="Q32" s="18">
        <v>31020</v>
      </c>
      <c r="R32" s="18">
        <v>31000</v>
      </c>
      <c r="S32" s="18">
        <v>32090</v>
      </c>
      <c r="T32" s="18">
        <v>34300</v>
      </c>
      <c r="U32" s="18">
        <v>35330</v>
      </c>
      <c r="V32" s="18">
        <v>34720</v>
      </c>
      <c r="W32" s="18">
        <v>35720</v>
      </c>
      <c r="X32" s="18">
        <v>35750</v>
      </c>
      <c r="Y32" s="18">
        <v>35860</v>
      </c>
      <c r="Z32" s="18">
        <v>35890</v>
      </c>
      <c r="AA32" s="18">
        <v>35070</v>
      </c>
      <c r="AB32" s="18">
        <v>35170</v>
      </c>
      <c r="AC32" s="18">
        <v>34770</v>
      </c>
      <c r="AD32" s="18">
        <v>35280</v>
      </c>
      <c r="AE32" s="18">
        <v>34700</v>
      </c>
      <c r="AF32" s="18">
        <v>34770</v>
      </c>
      <c r="AG32" s="18">
        <v>34480</v>
      </c>
      <c r="AH32" s="18">
        <v>34660</v>
      </c>
      <c r="AI32" s="18">
        <v>35000</v>
      </c>
      <c r="AJ32" s="18">
        <v>32440</v>
      </c>
      <c r="AK32" s="18">
        <v>32630</v>
      </c>
    </row>
    <row r="33" spans="1:37" x14ac:dyDescent="0.25">
      <c r="A33" s="12">
        <v>18</v>
      </c>
      <c r="B33" s="18">
        <v>30180</v>
      </c>
      <c r="C33" s="18">
        <v>30570</v>
      </c>
      <c r="D33" s="18">
        <v>31740</v>
      </c>
      <c r="E33" s="18">
        <v>32180</v>
      </c>
      <c r="F33" s="18">
        <v>31390</v>
      </c>
      <c r="G33" s="18">
        <v>31250</v>
      </c>
      <c r="H33" s="18">
        <v>30590</v>
      </c>
      <c r="I33" s="18">
        <v>30770</v>
      </c>
      <c r="J33" s="18">
        <v>30640</v>
      </c>
      <c r="K33" s="18">
        <v>30950</v>
      </c>
      <c r="L33" s="18">
        <v>30960</v>
      </c>
      <c r="M33" s="18">
        <v>30710</v>
      </c>
      <c r="N33" s="18">
        <v>31660</v>
      </c>
      <c r="O33" s="18">
        <v>31700</v>
      </c>
      <c r="P33" s="18">
        <v>31070</v>
      </c>
      <c r="Q33" s="18">
        <v>30340</v>
      </c>
      <c r="R33" s="18">
        <v>30900</v>
      </c>
      <c r="S33" s="18">
        <v>31380</v>
      </c>
      <c r="T33" s="18">
        <v>32400</v>
      </c>
      <c r="U33" s="18">
        <v>34460</v>
      </c>
      <c r="V33" s="18">
        <v>35530</v>
      </c>
      <c r="W33" s="18">
        <v>34930</v>
      </c>
      <c r="X33" s="18">
        <v>35940</v>
      </c>
      <c r="Y33" s="18">
        <v>35980</v>
      </c>
      <c r="Z33" s="18">
        <v>36100</v>
      </c>
      <c r="AA33" s="18">
        <v>36130</v>
      </c>
      <c r="AB33" s="18">
        <v>35310</v>
      </c>
      <c r="AC33" s="18">
        <v>35420</v>
      </c>
      <c r="AD33" s="18">
        <v>35010</v>
      </c>
      <c r="AE33" s="18">
        <v>35530</v>
      </c>
      <c r="AF33" s="18">
        <v>34950</v>
      </c>
      <c r="AG33" s="18">
        <v>35020</v>
      </c>
      <c r="AH33" s="18">
        <v>34730</v>
      </c>
      <c r="AI33" s="18">
        <v>34920</v>
      </c>
      <c r="AJ33" s="18">
        <v>35260</v>
      </c>
      <c r="AK33" s="18">
        <v>32700</v>
      </c>
    </row>
    <row r="34" spans="1:37" x14ac:dyDescent="0.25">
      <c r="A34" s="12">
        <v>19</v>
      </c>
      <c r="B34" s="18">
        <v>29070</v>
      </c>
      <c r="C34" s="18">
        <v>30050</v>
      </c>
      <c r="D34" s="18">
        <v>30440</v>
      </c>
      <c r="E34" s="18">
        <v>31800</v>
      </c>
      <c r="F34" s="18">
        <v>32490</v>
      </c>
      <c r="G34" s="18">
        <v>31470</v>
      </c>
      <c r="H34" s="18">
        <v>31340</v>
      </c>
      <c r="I34" s="18">
        <v>30840</v>
      </c>
      <c r="J34" s="18">
        <v>31180</v>
      </c>
      <c r="K34" s="18">
        <v>31190</v>
      </c>
      <c r="L34" s="18">
        <v>31530</v>
      </c>
      <c r="M34" s="18">
        <v>31390</v>
      </c>
      <c r="N34" s="18">
        <v>31000</v>
      </c>
      <c r="O34" s="18">
        <v>32000</v>
      </c>
      <c r="P34" s="18">
        <v>31970</v>
      </c>
      <c r="Q34" s="18">
        <v>30800</v>
      </c>
      <c r="R34" s="18">
        <v>30120</v>
      </c>
      <c r="S34" s="18">
        <v>31590</v>
      </c>
      <c r="T34" s="18">
        <v>31930</v>
      </c>
      <c r="U34" s="18">
        <v>32530</v>
      </c>
      <c r="V34" s="18">
        <v>34620</v>
      </c>
      <c r="W34" s="18">
        <v>35700</v>
      </c>
      <c r="X34" s="18">
        <v>35110</v>
      </c>
      <c r="Y34" s="18">
        <v>36130</v>
      </c>
      <c r="Z34" s="18">
        <v>36180</v>
      </c>
      <c r="AA34" s="18">
        <v>36300</v>
      </c>
      <c r="AB34" s="18">
        <v>36330</v>
      </c>
      <c r="AC34" s="18">
        <v>35510</v>
      </c>
      <c r="AD34" s="18">
        <v>35620</v>
      </c>
      <c r="AE34" s="18">
        <v>35220</v>
      </c>
      <c r="AF34" s="18">
        <v>35740</v>
      </c>
      <c r="AG34" s="18">
        <v>35160</v>
      </c>
      <c r="AH34" s="18">
        <v>35230</v>
      </c>
      <c r="AI34" s="18">
        <v>34940</v>
      </c>
      <c r="AJ34" s="18">
        <v>35130</v>
      </c>
      <c r="AK34" s="18">
        <v>35470</v>
      </c>
    </row>
    <row r="35" spans="1:37" x14ac:dyDescent="0.25">
      <c r="A35" s="12">
        <v>20</v>
      </c>
      <c r="B35" s="18">
        <v>29720</v>
      </c>
      <c r="C35" s="18">
        <v>29030</v>
      </c>
      <c r="D35" s="18">
        <v>30070</v>
      </c>
      <c r="E35" s="18">
        <v>30550</v>
      </c>
      <c r="F35" s="18">
        <v>32200</v>
      </c>
      <c r="G35" s="18">
        <v>32780</v>
      </c>
      <c r="H35" s="18">
        <v>31580</v>
      </c>
      <c r="I35" s="18">
        <v>31590</v>
      </c>
      <c r="J35" s="18">
        <v>31230</v>
      </c>
      <c r="K35" s="18">
        <v>31650</v>
      </c>
      <c r="L35" s="18">
        <v>31800</v>
      </c>
      <c r="M35" s="18">
        <v>31820</v>
      </c>
      <c r="N35" s="18">
        <v>31850</v>
      </c>
      <c r="O35" s="18">
        <v>31150</v>
      </c>
      <c r="P35" s="18">
        <v>32380</v>
      </c>
      <c r="Q35" s="18">
        <v>31660</v>
      </c>
      <c r="R35" s="18">
        <v>30520</v>
      </c>
      <c r="S35" s="18">
        <v>30940</v>
      </c>
      <c r="T35" s="18">
        <v>32060</v>
      </c>
      <c r="U35" s="18">
        <v>32020</v>
      </c>
      <c r="V35" s="18">
        <v>32660</v>
      </c>
      <c r="W35" s="18">
        <v>34770</v>
      </c>
      <c r="X35" s="18">
        <v>35860</v>
      </c>
      <c r="Y35" s="18">
        <v>35290</v>
      </c>
      <c r="Z35" s="18">
        <v>36310</v>
      </c>
      <c r="AA35" s="18">
        <v>36370</v>
      </c>
      <c r="AB35" s="18">
        <v>36490</v>
      </c>
      <c r="AC35" s="18">
        <v>36520</v>
      </c>
      <c r="AD35" s="18">
        <v>35700</v>
      </c>
      <c r="AE35" s="18">
        <v>35810</v>
      </c>
      <c r="AF35" s="18">
        <v>35420</v>
      </c>
      <c r="AG35" s="18">
        <v>35930</v>
      </c>
      <c r="AH35" s="18">
        <v>35360</v>
      </c>
      <c r="AI35" s="18">
        <v>35430</v>
      </c>
      <c r="AJ35" s="18">
        <v>35150</v>
      </c>
      <c r="AK35" s="18">
        <v>35340</v>
      </c>
    </row>
    <row r="36" spans="1:37" x14ac:dyDescent="0.25">
      <c r="A36" s="12">
        <v>21</v>
      </c>
      <c r="B36" s="18">
        <v>29650</v>
      </c>
      <c r="C36" s="18">
        <v>29360</v>
      </c>
      <c r="D36" s="18">
        <v>28760</v>
      </c>
      <c r="E36" s="18">
        <v>29990</v>
      </c>
      <c r="F36" s="18">
        <v>30640</v>
      </c>
      <c r="G36" s="18">
        <v>32110</v>
      </c>
      <c r="H36" s="18">
        <v>32450</v>
      </c>
      <c r="I36" s="18">
        <v>31430</v>
      </c>
      <c r="J36" s="18">
        <v>31840</v>
      </c>
      <c r="K36" s="18">
        <v>31570</v>
      </c>
      <c r="L36" s="18">
        <v>32260</v>
      </c>
      <c r="M36" s="18">
        <v>32190</v>
      </c>
      <c r="N36" s="18">
        <v>32100</v>
      </c>
      <c r="O36" s="18">
        <v>32000</v>
      </c>
      <c r="P36" s="18">
        <v>31530</v>
      </c>
      <c r="Q36" s="18">
        <v>32150</v>
      </c>
      <c r="R36" s="18">
        <v>31380</v>
      </c>
      <c r="S36" s="18">
        <v>31120</v>
      </c>
      <c r="T36" s="18">
        <v>31230</v>
      </c>
      <c r="U36" s="18">
        <v>31990</v>
      </c>
      <c r="V36" s="18">
        <v>32000</v>
      </c>
      <c r="W36" s="18">
        <v>32650</v>
      </c>
      <c r="X36" s="18">
        <v>34780</v>
      </c>
      <c r="Y36" s="18">
        <v>35890</v>
      </c>
      <c r="Z36" s="18">
        <v>35320</v>
      </c>
      <c r="AA36" s="18">
        <v>36350</v>
      </c>
      <c r="AB36" s="18">
        <v>36410</v>
      </c>
      <c r="AC36" s="18">
        <v>36530</v>
      </c>
      <c r="AD36" s="18">
        <v>36570</v>
      </c>
      <c r="AE36" s="18">
        <v>35750</v>
      </c>
      <c r="AF36" s="18">
        <v>35870</v>
      </c>
      <c r="AG36" s="18">
        <v>35470</v>
      </c>
      <c r="AH36" s="18">
        <v>35990</v>
      </c>
      <c r="AI36" s="18">
        <v>35420</v>
      </c>
      <c r="AJ36" s="18">
        <v>35500</v>
      </c>
      <c r="AK36" s="18">
        <v>35210</v>
      </c>
    </row>
    <row r="37" spans="1:37" x14ac:dyDescent="0.25">
      <c r="A37" s="12">
        <v>22</v>
      </c>
      <c r="B37" s="18">
        <v>29240</v>
      </c>
      <c r="C37" s="18">
        <v>29060</v>
      </c>
      <c r="D37" s="18">
        <v>28760</v>
      </c>
      <c r="E37" s="18">
        <v>28500</v>
      </c>
      <c r="F37" s="18">
        <v>29830</v>
      </c>
      <c r="G37" s="18">
        <v>30220</v>
      </c>
      <c r="H37" s="18">
        <v>31400</v>
      </c>
      <c r="I37" s="18">
        <v>32070</v>
      </c>
      <c r="J37" s="18">
        <v>31610</v>
      </c>
      <c r="K37" s="18">
        <v>32160</v>
      </c>
      <c r="L37" s="18">
        <v>32150</v>
      </c>
      <c r="M37" s="18">
        <v>32700</v>
      </c>
      <c r="N37" s="18">
        <v>32420</v>
      </c>
      <c r="O37" s="18">
        <v>32330</v>
      </c>
      <c r="P37" s="18">
        <v>32570</v>
      </c>
      <c r="Q37" s="18">
        <v>31130</v>
      </c>
      <c r="R37" s="18">
        <v>31790</v>
      </c>
      <c r="S37" s="18">
        <v>31770</v>
      </c>
      <c r="T37" s="18">
        <v>31350</v>
      </c>
      <c r="U37" s="18">
        <v>31140</v>
      </c>
      <c r="V37" s="18">
        <v>31950</v>
      </c>
      <c r="W37" s="18">
        <v>31990</v>
      </c>
      <c r="X37" s="18">
        <v>32670</v>
      </c>
      <c r="Y37" s="18">
        <v>34810</v>
      </c>
      <c r="Z37" s="18">
        <v>35930</v>
      </c>
      <c r="AA37" s="18">
        <v>35370</v>
      </c>
      <c r="AB37" s="18">
        <v>36400</v>
      </c>
      <c r="AC37" s="18">
        <v>36460</v>
      </c>
      <c r="AD37" s="18">
        <v>36580</v>
      </c>
      <c r="AE37" s="18">
        <v>36620</v>
      </c>
      <c r="AF37" s="18">
        <v>35810</v>
      </c>
      <c r="AG37" s="18">
        <v>35930</v>
      </c>
      <c r="AH37" s="18">
        <v>35530</v>
      </c>
      <c r="AI37" s="18">
        <v>36060</v>
      </c>
      <c r="AJ37" s="18">
        <v>35490</v>
      </c>
      <c r="AK37" s="18">
        <v>35570</v>
      </c>
    </row>
    <row r="38" spans="1:37" x14ac:dyDescent="0.25">
      <c r="A38" s="12">
        <v>23</v>
      </c>
      <c r="B38" s="18">
        <v>28880</v>
      </c>
      <c r="C38" s="18">
        <v>28650</v>
      </c>
      <c r="D38" s="18">
        <v>28520</v>
      </c>
      <c r="E38" s="18">
        <v>28380</v>
      </c>
      <c r="F38" s="18">
        <v>28400</v>
      </c>
      <c r="G38" s="18">
        <v>29440</v>
      </c>
      <c r="H38" s="18">
        <v>29730</v>
      </c>
      <c r="I38" s="18">
        <v>31030</v>
      </c>
      <c r="J38" s="18">
        <v>32380</v>
      </c>
      <c r="K38" s="18">
        <v>32550</v>
      </c>
      <c r="L38" s="18">
        <v>33150</v>
      </c>
      <c r="M38" s="18">
        <v>32990</v>
      </c>
      <c r="N38" s="18">
        <v>33250</v>
      </c>
      <c r="O38" s="18">
        <v>32860</v>
      </c>
      <c r="P38" s="18">
        <v>33150</v>
      </c>
      <c r="Q38" s="18">
        <v>32160</v>
      </c>
      <c r="R38" s="18">
        <v>30610</v>
      </c>
      <c r="S38" s="18">
        <v>32450</v>
      </c>
      <c r="T38" s="18">
        <v>32180</v>
      </c>
      <c r="U38" s="18">
        <v>31310</v>
      </c>
      <c r="V38" s="18">
        <v>31160</v>
      </c>
      <c r="W38" s="18">
        <v>32000</v>
      </c>
      <c r="X38" s="18">
        <v>32060</v>
      </c>
      <c r="Y38" s="18">
        <v>32760</v>
      </c>
      <c r="Z38" s="18">
        <v>34910</v>
      </c>
      <c r="AA38" s="18">
        <v>36040</v>
      </c>
      <c r="AB38" s="18">
        <v>35480</v>
      </c>
      <c r="AC38" s="18">
        <v>36520</v>
      </c>
      <c r="AD38" s="18">
        <v>36580</v>
      </c>
      <c r="AE38" s="18">
        <v>36710</v>
      </c>
      <c r="AF38" s="18">
        <v>36750</v>
      </c>
      <c r="AG38" s="18">
        <v>35940</v>
      </c>
      <c r="AH38" s="18">
        <v>36060</v>
      </c>
      <c r="AI38" s="18">
        <v>35670</v>
      </c>
      <c r="AJ38" s="18">
        <v>36200</v>
      </c>
      <c r="AK38" s="18">
        <v>35630</v>
      </c>
    </row>
    <row r="39" spans="1:37" x14ac:dyDescent="0.25">
      <c r="A39" s="12">
        <v>24</v>
      </c>
      <c r="B39" s="18">
        <v>27860</v>
      </c>
      <c r="C39" s="18">
        <v>28440</v>
      </c>
      <c r="D39" s="18">
        <v>28250</v>
      </c>
      <c r="E39" s="18">
        <v>28310</v>
      </c>
      <c r="F39" s="18">
        <v>28250</v>
      </c>
      <c r="G39" s="18">
        <v>28180</v>
      </c>
      <c r="H39" s="18">
        <v>29140</v>
      </c>
      <c r="I39" s="18">
        <v>29620</v>
      </c>
      <c r="J39" s="18">
        <v>31650</v>
      </c>
      <c r="K39" s="18">
        <v>33350</v>
      </c>
      <c r="L39" s="18">
        <v>33860</v>
      </c>
      <c r="M39" s="18">
        <v>34130</v>
      </c>
      <c r="N39" s="18">
        <v>33660</v>
      </c>
      <c r="O39" s="18">
        <v>33650</v>
      </c>
      <c r="P39" s="18">
        <v>33920</v>
      </c>
      <c r="Q39" s="18">
        <v>32710</v>
      </c>
      <c r="R39" s="18">
        <v>31630</v>
      </c>
      <c r="S39" s="18">
        <v>31280</v>
      </c>
      <c r="T39" s="18">
        <v>32810</v>
      </c>
      <c r="U39" s="18">
        <v>32290</v>
      </c>
      <c r="V39" s="18">
        <v>31490</v>
      </c>
      <c r="W39" s="18">
        <v>31370</v>
      </c>
      <c r="X39" s="18">
        <v>32240</v>
      </c>
      <c r="Y39" s="18">
        <v>32330</v>
      </c>
      <c r="Z39" s="18">
        <v>33040</v>
      </c>
      <c r="AA39" s="18">
        <v>35200</v>
      </c>
      <c r="AB39" s="18">
        <v>36320</v>
      </c>
      <c r="AC39" s="18">
        <v>35770</v>
      </c>
      <c r="AD39" s="18">
        <v>36810</v>
      </c>
      <c r="AE39" s="18">
        <v>36870</v>
      </c>
      <c r="AF39" s="18">
        <v>37010</v>
      </c>
      <c r="AG39" s="18">
        <v>37050</v>
      </c>
      <c r="AH39" s="18">
        <v>36250</v>
      </c>
      <c r="AI39" s="18">
        <v>36370</v>
      </c>
      <c r="AJ39" s="18">
        <v>35990</v>
      </c>
      <c r="AK39" s="18">
        <v>36520</v>
      </c>
    </row>
    <row r="40" spans="1:37" x14ac:dyDescent="0.25">
      <c r="A40" s="12">
        <v>25</v>
      </c>
      <c r="B40" s="18">
        <v>27140</v>
      </c>
      <c r="C40" s="18">
        <v>27660</v>
      </c>
      <c r="D40" s="18">
        <v>28050</v>
      </c>
      <c r="E40" s="18">
        <v>28170</v>
      </c>
      <c r="F40" s="18">
        <v>28260</v>
      </c>
      <c r="G40" s="18">
        <v>28120</v>
      </c>
      <c r="H40" s="18">
        <v>28030</v>
      </c>
      <c r="I40" s="18">
        <v>29240</v>
      </c>
      <c r="J40" s="18">
        <v>30410</v>
      </c>
      <c r="K40" s="18">
        <v>32720</v>
      </c>
      <c r="L40" s="18">
        <v>34770</v>
      </c>
      <c r="M40" s="18">
        <v>35010</v>
      </c>
      <c r="N40" s="18">
        <v>34980</v>
      </c>
      <c r="O40" s="18">
        <v>34260</v>
      </c>
      <c r="P40" s="18">
        <v>35010</v>
      </c>
      <c r="Q40" s="18">
        <v>33430</v>
      </c>
      <c r="R40" s="18">
        <v>32100</v>
      </c>
      <c r="S40" s="18">
        <v>32710</v>
      </c>
      <c r="T40" s="18">
        <v>31730</v>
      </c>
      <c r="U40" s="18">
        <v>33100</v>
      </c>
      <c r="V40" s="18">
        <v>32640</v>
      </c>
      <c r="W40" s="18">
        <v>31880</v>
      </c>
      <c r="X40" s="18">
        <v>31790</v>
      </c>
      <c r="Y40" s="18">
        <v>32680</v>
      </c>
      <c r="Z40" s="18">
        <v>32780</v>
      </c>
      <c r="AA40" s="18">
        <v>33500</v>
      </c>
      <c r="AB40" s="18">
        <v>35660</v>
      </c>
      <c r="AC40" s="18">
        <v>36790</v>
      </c>
      <c r="AD40" s="18">
        <v>36240</v>
      </c>
      <c r="AE40" s="18">
        <v>37290</v>
      </c>
      <c r="AF40" s="18">
        <v>37350</v>
      </c>
      <c r="AG40" s="18">
        <v>37490</v>
      </c>
      <c r="AH40" s="18">
        <v>37540</v>
      </c>
      <c r="AI40" s="18">
        <v>36740</v>
      </c>
      <c r="AJ40" s="18">
        <v>36870</v>
      </c>
      <c r="AK40" s="18">
        <v>36480</v>
      </c>
    </row>
    <row r="41" spans="1:37" x14ac:dyDescent="0.25">
      <c r="A41" s="12">
        <v>26</v>
      </c>
      <c r="B41" s="18">
        <v>26810</v>
      </c>
      <c r="C41" s="18">
        <v>27200</v>
      </c>
      <c r="D41" s="18">
        <v>27510</v>
      </c>
      <c r="E41" s="18">
        <v>28030</v>
      </c>
      <c r="F41" s="18">
        <v>28290</v>
      </c>
      <c r="G41" s="18">
        <v>28060</v>
      </c>
      <c r="H41" s="18">
        <v>27980</v>
      </c>
      <c r="I41" s="18">
        <v>28240</v>
      </c>
      <c r="J41" s="18">
        <v>30290</v>
      </c>
      <c r="K41" s="18">
        <v>31610</v>
      </c>
      <c r="L41" s="18">
        <v>34330</v>
      </c>
      <c r="M41" s="18">
        <v>36180</v>
      </c>
      <c r="N41" s="18">
        <v>36260</v>
      </c>
      <c r="O41" s="18">
        <v>35810</v>
      </c>
      <c r="P41" s="18">
        <v>35760</v>
      </c>
      <c r="Q41" s="18">
        <v>34620</v>
      </c>
      <c r="R41" s="18">
        <v>32760</v>
      </c>
      <c r="S41" s="18">
        <v>33400</v>
      </c>
      <c r="T41" s="18">
        <v>33400</v>
      </c>
      <c r="U41" s="18">
        <v>32140</v>
      </c>
      <c r="V41" s="18">
        <v>33580</v>
      </c>
      <c r="W41" s="18">
        <v>33160</v>
      </c>
      <c r="X41" s="18">
        <v>32420</v>
      </c>
      <c r="Y41" s="18">
        <v>32360</v>
      </c>
      <c r="Z41" s="18">
        <v>33270</v>
      </c>
      <c r="AA41" s="18">
        <v>33370</v>
      </c>
      <c r="AB41" s="18">
        <v>34090</v>
      </c>
      <c r="AC41" s="18">
        <v>36260</v>
      </c>
      <c r="AD41" s="18">
        <v>37390</v>
      </c>
      <c r="AE41" s="18">
        <v>36850</v>
      </c>
      <c r="AF41" s="18">
        <v>37900</v>
      </c>
      <c r="AG41" s="18">
        <v>37970</v>
      </c>
      <c r="AH41" s="18">
        <v>38110</v>
      </c>
      <c r="AI41" s="18">
        <v>38160</v>
      </c>
      <c r="AJ41" s="18">
        <v>37360</v>
      </c>
      <c r="AK41" s="18">
        <v>37490</v>
      </c>
    </row>
    <row r="42" spans="1:37" x14ac:dyDescent="0.25">
      <c r="A42" s="12">
        <v>27</v>
      </c>
      <c r="B42" s="18">
        <v>26790</v>
      </c>
      <c r="C42" s="18">
        <v>26970</v>
      </c>
      <c r="D42" s="18">
        <v>27250</v>
      </c>
      <c r="E42" s="18">
        <v>27710</v>
      </c>
      <c r="F42" s="18">
        <v>28270</v>
      </c>
      <c r="G42" s="18">
        <v>28130</v>
      </c>
      <c r="H42" s="18">
        <v>28050</v>
      </c>
      <c r="I42" s="18">
        <v>28080</v>
      </c>
      <c r="J42" s="18">
        <v>29200</v>
      </c>
      <c r="K42" s="18">
        <v>31710</v>
      </c>
      <c r="L42" s="18">
        <v>33250</v>
      </c>
      <c r="M42" s="18">
        <v>35750</v>
      </c>
      <c r="N42" s="18">
        <v>37440</v>
      </c>
      <c r="O42" s="18">
        <v>37060</v>
      </c>
      <c r="P42" s="18">
        <v>37520</v>
      </c>
      <c r="Q42" s="18">
        <v>35430</v>
      </c>
      <c r="R42" s="18">
        <v>34050</v>
      </c>
      <c r="S42" s="18">
        <v>34390</v>
      </c>
      <c r="T42" s="18">
        <v>34410</v>
      </c>
      <c r="U42" s="18">
        <v>33920</v>
      </c>
      <c r="V42" s="18">
        <v>32730</v>
      </c>
      <c r="W42" s="18">
        <v>34210</v>
      </c>
      <c r="X42" s="18">
        <v>33820</v>
      </c>
      <c r="Y42" s="18">
        <v>33100</v>
      </c>
      <c r="Z42" s="18">
        <v>33050</v>
      </c>
      <c r="AA42" s="18">
        <v>33960</v>
      </c>
      <c r="AB42" s="18">
        <v>34070</v>
      </c>
      <c r="AC42" s="18">
        <v>34800</v>
      </c>
      <c r="AD42" s="18">
        <v>36960</v>
      </c>
      <c r="AE42" s="18">
        <v>38100</v>
      </c>
      <c r="AF42" s="18">
        <v>37560</v>
      </c>
      <c r="AG42" s="18">
        <v>38610</v>
      </c>
      <c r="AH42" s="18">
        <v>38690</v>
      </c>
      <c r="AI42" s="18">
        <v>38830</v>
      </c>
      <c r="AJ42" s="18">
        <v>38890</v>
      </c>
      <c r="AK42" s="18">
        <v>38090</v>
      </c>
    </row>
    <row r="43" spans="1:37" x14ac:dyDescent="0.25">
      <c r="A43" s="12">
        <v>28</v>
      </c>
      <c r="B43" s="18">
        <v>26050</v>
      </c>
      <c r="C43" s="18">
        <v>27100</v>
      </c>
      <c r="D43" s="18">
        <v>27180</v>
      </c>
      <c r="E43" s="18">
        <v>27540</v>
      </c>
      <c r="F43" s="18">
        <v>27920</v>
      </c>
      <c r="G43" s="18">
        <v>28350</v>
      </c>
      <c r="H43" s="18">
        <v>28130</v>
      </c>
      <c r="I43" s="18">
        <v>28290</v>
      </c>
      <c r="J43" s="18">
        <v>28990</v>
      </c>
      <c r="K43" s="18">
        <v>30500</v>
      </c>
      <c r="L43" s="18">
        <v>33430</v>
      </c>
      <c r="M43" s="18">
        <v>34890</v>
      </c>
      <c r="N43" s="18">
        <v>37090</v>
      </c>
      <c r="O43" s="18">
        <v>38040</v>
      </c>
      <c r="P43" s="18">
        <v>38660</v>
      </c>
      <c r="Q43" s="18">
        <v>37070</v>
      </c>
      <c r="R43" s="18">
        <v>34790</v>
      </c>
      <c r="S43" s="18">
        <v>36030</v>
      </c>
      <c r="T43" s="18">
        <v>35290</v>
      </c>
      <c r="U43" s="18">
        <v>34970</v>
      </c>
      <c r="V43" s="18">
        <v>34550</v>
      </c>
      <c r="W43" s="18">
        <v>33390</v>
      </c>
      <c r="X43" s="18">
        <v>34890</v>
      </c>
      <c r="Y43" s="18">
        <v>34520</v>
      </c>
      <c r="Z43" s="18">
        <v>33820</v>
      </c>
      <c r="AA43" s="18">
        <v>33780</v>
      </c>
      <c r="AB43" s="18">
        <v>34690</v>
      </c>
      <c r="AC43" s="18">
        <v>34800</v>
      </c>
      <c r="AD43" s="18">
        <v>35530</v>
      </c>
      <c r="AE43" s="18">
        <v>37700</v>
      </c>
      <c r="AF43" s="18">
        <v>38840</v>
      </c>
      <c r="AG43" s="18">
        <v>38310</v>
      </c>
      <c r="AH43" s="18">
        <v>39360</v>
      </c>
      <c r="AI43" s="18">
        <v>39440</v>
      </c>
      <c r="AJ43" s="18">
        <v>39580</v>
      </c>
      <c r="AK43" s="18">
        <v>39640</v>
      </c>
    </row>
    <row r="44" spans="1:37" x14ac:dyDescent="0.25">
      <c r="A44" s="12">
        <v>29</v>
      </c>
      <c r="B44" s="18">
        <v>26810</v>
      </c>
      <c r="C44" s="18">
        <v>26550</v>
      </c>
      <c r="D44" s="18">
        <v>27440</v>
      </c>
      <c r="E44" s="18">
        <v>27550</v>
      </c>
      <c r="F44" s="18">
        <v>27810</v>
      </c>
      <c r="G44" s="18">
        <v>28140</v>
      </c>
      <c r="H44" s="18">
        <v>28370</v>
      </c>
      <c r="I44" s="18">
        <v>28300</v>
      </c>
      <c r="J44" s="18">
        <v>29250</v>
      </c>
      <c r="K44" s="18">
        <v>30240</v>
      </c>
      <c r="L44" s="18">
        <v>32000</v>
      </c>
      <c r="M44" s="18">
        <v>34950</v>
      </c>
      <c r="N44" s="18">
        <v>36090</v>
      </c>
      <c r="O44" s="18">
        <v>38090</v>
      </c>
      <c r="P44" s="18">
        <v>39640</v>
      </c>
      <c r="Q44" s="18">
        <v>38300</v>
      </c>
      <c r="R44" s="18">
        <v>36560</v>
      </c>
      <c r="S44" s="18">
        <v>36850</v>
      </c>
      <c r="T44" s="18">
        <v>37060</v>
      </c>
      <c r="U44" s="18">
        <v>35860</v>
      </c>
      <c r="V44" s="18">
        <v>35600</v>
      </c>
      <c r="W44" s="18">
        <v>35200</v>
      </c>
      <c r="X44" s="18">
        <v>34070</v>
      </c>
      <c r="Y44" s="18">
        <v>35590</v>
      </c>
      <c r="Z44" s="18">
        <v>35230</v>
      </c>
      <c r="AA44" s="18">
        <v>34530</v>
      </c>
      <c r="AB44" s="18">
        <v>34500</v>
      </c>
      <c r="AC44" s="18">
        <v>35410</v>
      </c>
      <c r="AD44" s="18">
        <v>35530</v>
      </c>
      <c r="AE44" s="18">
        <v>36260</v>
      </c>
      <c r="AF44" s="18">
        <v>38430</v>
      </c>
      <c r="AG44" s="18">
        <v>39580</v>
      </c>
      <c r="AH44" s="18">
        <v>39040</v>
      </c>
      <c r="AI44" s="18">
        <v>40100</v>
      </c>
      <c r="AJ44" s="18">
        <v>40180</v>
      </c>
      <c r="AK44" s="18">
        <v>40330</v>
      </c>
    </row>
    <row r="45" spans="1:37" x14ac:dyDescent="0.25">
      <c r="A45" s="12">
        <v>30</v>
      </c>
      <c r="B45" s="18">
        <v>27080</v>
      </c>
      <c r="C45" s="18">
        <v>27260</v>
      </c>
      <c r="D45" s="18">
        <v>26940</v>
      </c>
      <c r="E45" s="18">
        <v>27910</v>
      </c>
      <c r="F45" s="18">
        <v>28010</v>
      </c>
      <c r="G45" s="18">
        <v>27920</v>
      </c>
      <c r="H45" s="18">
        <v>28260</v>
      </c>
      <c r="I45" s="18">
        <v>28630</v>
      </c>
      <c r="J45" s="18">
        <v>29160</v>
      </c>
      <c r="K45" s="18">
        <v>30360</v>
      </c>
      <c r="L45" s="18">
        <v>31640</v>
      </c>
      <c r="M45" s="18">
        <v>33300</v>
      </c>
      <c r="N45" s="18">
        <v>36170</v>
      </c>
      <c r="O45" s="18">
        <v>36980</v>
      </c>
      <c r="P45" s="18">
        <v>39390</v>
      </c>
      <c r="Q45" s="18">
        <v>39440</v>
      </c>
      <c r="R45" s="18">
        <v>37840</v>
      </c>
      <c r="S45" s="18">
        <v>38720</v>
      </c>
      <c r="T45" s="18">
        <v>38030</v>
      </c>
      <c r="U45" s="18">
        <v>37600</v>
      </c>
      <c r="V45" s="18">
        <v>36460</v>
      </c>
      <c r="W45" s="18">
        <v>36230</v>
      </c>
      <c r="X45" s="18">
        <v>35850</v>
      </c>
      <c r="Y45" s="18">
        <v>34740</v>
      </c>
      <c r="Z45" s="18">
        <v>36270</v>
      </c>
      <c r="AA45" s="18">
        <v>35920</v>
      </c>
      <c r="AB45" s="18">
        <v>35220</v>
      </c>
      <c r="AC45" s="18">
        <v>35190</v>
      </c>
      <c r="AD45" s="18">
        <v>36110</v>
      </c>
      <c r="AE45" s="18">
        <v>36230</v>
      </c>
      <c r="AF45" s="18">
        <v>36960</v>
      </c>
      <c r="AG45" s="18">
        <v>39130</v>
      </c>
      <c r="AH45" s="18">
        <v>40280</v>
      </c>
      <c r="AI45" s="18">
        <v>39750</v>
      </c>
      <c r="AJ45" s="18">
        <v>40810</v>
      </c>
      <c r="AK45" s="18">
        <v>40890</v>
      </c>
    </row>
    <row r="46" spans="1:37" x14ac:dyDescent="0.25">
      <c r="A46" s="12">
        <v>31</v>
      </c>
      <c r="B46" s="18">
        <v>28670</v>
      </c>
      <c r="C46" s="18">
        <v>27610</v>
      </c>
      <c r="D46" s="18">
        <v>27590</v>
      </c>
      <c r="E46" s="18">
        <v>27380</v>
      </c>
      <c r="F46" s="18">
        <v>28230</v>
      </c>
      <c r="G46" s="18">
        <v>28200</v>
      </c>
      <c r="H46" s="18">
        <v>28030</v>
      </c>
      <c r="I46" s="18">
        <v>28510</v>
      </c>
      <c r="J46" s="18">
        <v>29310</v>
      </c>
      <c r="K46" s="18">
        <v>30210</v>
      </c>
      <c r="L46" s="18">
        <v>31760</v>
      </c>
      <c r="M46" s="18">
        <v>32830</v>
      </c>
      <c r="N46" s="18">
        <v>34380</v>
      </c>
      <c r="O46" s="18">
        <v>37000</v>
      </c>
      <c r="P46" s="18">
        <v>38150</v>
      </c>
      <c r="Q46" s="18">
        <v>39270</v>
      </c>
      <c r="R46" s="18">
        <v>39140</v>
      </c>
      <c r="S46" s="18">
        <v>39810</v>
      </c>
      <c r="T46" s="18">
        <v>39970</v>
      </c>
      <c r="U46" s="18">
        <v>38550</v>
      </c>
      <c r="V46" s="18">
        <v>38190</v>
      </c>
      <c r="W46" s="18">
        <v>37070</v>
      </c>
      <c r="X46" s="18">
        <v>36860</v>
      </c>
      <c r="Y46" s="18">
        <v>36500</v>
      </c>
      <c r="Z46" s="18">
        <v>35400</v>
      </c>
      <c r="AA46" s="18">
        <v>36930</v>
      </c>
      <c r="AB46" s="18">
        <v>36580</v>
      </c>
      <c r="AC46" s="18">
        <v>35890</v>
      </c>
      <c r="AD46" s="18">
        <v>35860</v>
      </c>
      <c r="AE46" s="18">
        <v>36780</v>
      </c>
      <c r="AF46" s="18">
        <v>36900</v>
      </c>
      <c r="AG46" s="18">
        <v>37640</v>
      </c>
      <c r="AH46" s="18">
        <v>39820</v>
      </c>
      <c r="AI46" s="18">
        <v>40970</v>
      </c>
      <c r="AJ46" s="18">
        <v>40440</v>
      </c>
      <c r="AK46" s="18">
        <v>41500</v>
      </c>
    </row>
    <row r="47" spans="1:37" x14ac:dyDescent="0.25">
      <c r="A47" s="12">
        <v>32</v>
      </c>
      <c r="B47" s="18">
        <v>29960</v>
      </c>
      <c r="C47" s="18">
        <v>28990</v>
      </c>
      <c r="D47" s="18">
        <v>27810</v>
      </c>
      <c r="E47" s="18">
        <v>27780</v>
      </c>
      <c r="F47" s="18">
        <v>27520</v>
      </c>
      <c r="G47" s="18">
        <v>28300</v>
      </c>
      <c r="H47" s="18">
        <v>28140</v>
      </c>
      <c r="I47" s="18">
        <v>28010</v>
      </c>
      <c r="J47" s="18">
        <v>29000</v>
      </c>
      <c r="K47" s="18">
        <v>30000</v>
      </c>
      <c r="L47" s="18">
        <v>31270</v>
      </c>
      <c r="M47" s="18">
        <v>32790</v>
      </c>
      <c r="N47" s="18">
        <v>33890</v>
      </c>
      <c r="O47" s="18">
        <v>35100</v>
      </c>
      <c r="P47" s="18">
        <v>38010</v>
      </c>
      <c r="Q47" s="18">
        <v>38130</v>
      </c>
      <c r="R47" s="18">
        <v>39050</v>
      </c>
      <c r="S47" s="18">
        <v>40860</v>
      </c>
      <c r="T47" s="18">
        <v>41040</v>
      </c>
      <c r="U47" s="18">
        <v>40490</v>
      </c>
      <c r="V47" s="18">
        <v>39120</v>
      </c>
      <c r="W47" s="18">
        <v>38780</v>
      </c>
      <c r="X47" s="18">
        <v>37690</v>
      </c>
      <c r="Y47" s="18">
        <v>37490</v>
      </c>
      <c r="Z47" s="18">
        <v>37150</v>
      </c>
      <c r="AA47" s="18">
        <v>36050</v>
      </c>
      <c r="AB47" s="18">
        <v>37590</v>
      </c>
      <c r="AC47" s="18">
        <v>37240</v>
      </c>
      <c r="AD47" s="18">
        <v>36550</v>
      </c>
      <c r="AE47" s="18">
        <v>36520</v>
      </c>
      <c r="AF47" s="18">
        <v>37450</v>
      </c>
      <c r="AG47" s="18">
        <v>37570</v>
      </c>
      <c r="AH47" s="18">
        <v>38310</v>
      </c>
      <c r="AI47" s="18">
        <v>40490</v>
      </c>
      <c r="AJ47" s="18">
        <v>41640</v>
      </c>
      <c r="AK47" s="18">
        <v>41120</v>
      </c>
    </row>
    <row r="48" spans="1:37" x14ac:dyDescent="0.25">
      <c r="A48" s="12">
        <v>33</v>
      </c>
      <c r="B48" s="18">
        <v>31240</v>
      </c>
      <c r="C48" s="18">
        <v>30280</v>
      </c>
      <c r="D48" s="18">
        <v>29200</v>
      </c>
      <c r="E48" s="18">
        <v>27960</v>
      </c>
      <c r="F48" s="18">
        <v>27980</v>
      </c>
      <c r="G48" s="18">
        <v>27550</v>
      </c>
      <c r="H48" s="18">
        <v>28290</v>
      </c>
      <c r="I48" s="18">
        <v>28140</v>
      </c>
      <c r="J48" s="18">
        <v>28580</v>
      </c>
      <c r="K48" s="18">
        <v>29740</v>
      </c>
      <c r="L48" s="18">
        <v>30900</v>
      </c>
      <c r="M48" s="18">
        <v>32230</v>
      </c>
      <c r="N48" s="18">
        <v>33520</v>
      </c>
      <c r="O48" s="18">
        <v>34440</v>
      </c>
      <c r="P48" s="18">
        <v>35930</v>
      </c>
      <c r="Q48" s="18">
        <v>37990</v>
      </c>
      <c r="R48" s="18">
        <v>37940</v>
      </c>
      <c r="S48" s="18">
        <v>40670</v>
      </c>
      <c r="T48" s="18">
        <v>42100</v>
      </c>
      <c r="U48" s="18">
        <v>41550</v>
      </c>
      <c r="V48" s="18">
        <v>41050</v>
      </c>
      <c r="W48" s="18">
        <v>39710</v>
      </c>
      <c r="X48" s="18">
        <v>39390</v>
      </c>
      <c r="Y48" s="18">
        <v>38320</v>
      </c>
      <c r="Z48" s="18">
        <v>38130</v>
      </c>
      <c r="AA48" s="18">
        <v>37790</v>
      </c>
      <c r="AB48" s="18">
        <v>36700</v>
      </c>
      <c r="AC48" s="18">
        <v>38230</v>
      </c>
      <c r="AD48" s="18">
        <v>37890</v>
      </c>
      <c r="AE48" s="18">
        <v>37210</v>
      </c>
      <c r="AF48" s="18">
        <v>37180</v>
      </c>
      <c r="AG48" s="18">
        <v>38110</v>
      </c>
      <c r="AH48" s="18">
        <v>38240</v>
      </c>
      <c r="AI48" s="18">
        <v>38980</v>
      </c>
      <c r="AJ48" s="18">
        <v>41160</v>
      </c>
      <c r="AK48" s="18">
        <v>42310</v>
      </c>
    </row>
    <row r="49" spans="1:37" x14ac:dyDescent="0.25">
      <c r="A49" s="12">
        <v>34</v>
      </c>
      <c r="B49" s="18">
        <v>32740</v>
      </c>
      <c r="C49" s="18">
        <v>31520</v>
      </c>
      <c r="D49" s="18">
        <v>30510</v>
      </c>
      <c r="E49" s="18">
        <v>29420</v>
      </c>
      <c r="F49" s="18">
        <v>28160</v>
      </c>
      <c r="G49" s="18">
        <v>28030</v>
      </c>
      <c r="H49" s="18">
        <v>27560</v>
      </c>
      <c r="I49" s="18">
        <v>28290</v>
      </c>
      <c r="J49" s="18">
        <v>28590</v>
      </c>
      <c r="K49" s="18">
        <v>29240</v>
      </c>
      <c r="L49" s="18">
        <v>30520</v>
      </c>
      <c r="M49" s="18">
        <v>31720</v>
      </c>
      <c r="N49" s="18">
        <v>33060</v>
      </c>
      <c r="O49" s="18">
        <v>34150</v>
      </c>
      <c r="P49" s="18">
        <v>35200</v>
      </c>
      <c r="Q49" s="18">
        <v>36010</v>
      </c>
      <c r="R49" s="18">
        <v>37840</v>
      </c>
      <c r="S49" s="18">
        <v>39510</v>
      </c>
      <c r="T49" s="18">
        <v>41910</v>
      </c>
      <c r="U49" s="18">
        <v>42580</v>
      </c>
      <c r="V49" s="18">
        <v>42080</v>
      </c>
      <c r="W49" s="18">
        <v>41610</v>
      </c>
      <c r="X49" s="18">
        <v>40300</v>
      </c>
      <c r="Y49" s="18">
        <v>39990</v>
      </c>
      <c r="Z49" s="18">
        <v>38930</v>
      </c>
      <c r="AA49" s="18">
        <v>38750</v>
      </c>
      <c r="AB49" s="18">
        <v>38410</v>
      </c>
      <c r="AC49" s="18">
        <v>37320</v>
      </c>
      <c r="AD49" s="18">
        <v>38860</v>
      </c>
      <c r="AE49" s="18">
        <v>38520</v>
      </c>
      <c r="AF49" s="18">
        <v>37840</v>
      </c>
      <c r="AG49" s="18">
        <v>37820</v>
      </c>
      <c r="AH49" s="18">
        <v>38750</v>
      </c>
      <c r="AI49" s="18">
        <v>38880</v>
      </c>
      <c r="AJ49" s="18">
        <v>39620</v>
      </c>
      <c r="AK49" s="18">
        <v>41800</v>
      </c>
    </row>
    <row r="50" spans="1:37" x14ac:dyDescent="0.25">
      <c r="A50" s="12">
        <v>35</v>
      </c>
      <c r="B50" s="18">
        <v>33360</v>
      </c>
      <c r="C50" s="18">
        <v>33040</v>
      </c>
      <c r="D50" s="18">
        <v>31710</v>
      </c>
      <c r="E50" s="18">
        <v>30800</v>
      </c>
      <c r="F50" s="18">
        <v>29620</v>
      </c>
      <c r="G50" s="18">
        <v>28240</v>
      </c>
      <c r="H50" s="18">
        <v>28000</v>
      </c>
      <c r="I50" s="18">
        <v>27630</v>
      </c>
      <c r="J50" s="18">
        <v>28690</v>
      </c>
      <c r="K50" s="18">
        <v>29080</v>
      </c>
      <c r="L50" s="18">
        <v>29850</v>
      </c>
      <c r="M50" s="18">
        <v>31280</v>
      </c>
      <c r="N50" s="18">
        <v>32510</v>
      </c>
      <c r="O50" s="18">
        <v>33660</v>
      </c>
      <c r="P50" s="18">
        <v>34970</v>
      </c>
      <c r="Q50" s="18">
        <v>35210</v>
      </c>
      <c r="R50" s="18">
        <v>36000</v>
      </c>
      <c r="S50" s="18">
        <v>39150</v>
      </c>
      <c r="T50" s="18">
        <v>40780</v>
      </c>
      <c r="U50" s="18">
        <v>42370</v>
      </c>
      <c r="V50" s="18">
        <v>43080</v>
      </c>
      <c r="W50" s="18">
        <v>42620</v>
      </c>
      <c r="X50" s="18">
        <v>42170</v>
      </c>
      <c r="Y50" s="18">
        <v>40870</v>
      </c>
      <c r="Z50" s="18">
        <v>40580</v>
      </c>
      <c r="AA50" s="18">
        <v>39530</v>
      </c>
      <c r="AB50" s="18">
        <v>39350</v>
      </c>
      <c r="AC50" s="18">
        <v>39010</v>
      </c>
      <c r="AD50" s="18">
        <v>37930</v>
      </c>
      <c r="AE50" s="18">
        <v>39470</v>
      </c>
      <c r="AF50" s="18">
        <v>39130</v>
      </c>
      <c r="AG50" s="18">
        <v>38460</v>
      </c>
      <c r="AH50" s="18">
        <v>38440</v>
      </c>
      <c r="AI50" s="18">
        <v>39370</v>
      </c>
      <c r="AJ50" s="18">
        <v>39500</v>
      </c>
      <c r="AK50" s="18">
        <v>40250</v>
      </c>
    </row>
    <row r="51" spans="1:37" x14ac:dyDescent="0.25">
      <c r="A51" s="12">
        <v>36</v>
      </c>
      <c r="B51" s="18">
        <v>32520</v>
      </c>
      <c r="C51" s="18">
        <v>33680</v>
      </c>
      <c r="D51" s="18">
        <v>33230</v>
      </c>
      <c r="E51" s="18">
        <v>31930</v>
      </c>
      <c r="F51" s="18">
        <v>30980</v>
      </c>
      <c r="G51" s="18">
        <v>29690</v>
      </c>
      <c r="H51" s="18">
        <v>28210</v>
      </c>
      <c r="I51" s="18">
        <v>28060</v>
      </c>
      <c r="J51" s="18">
        <v>27970</v>
      </c>
      <c r="K51" s="18">
        <v>29170</v>
      </c>
      <c r="L51" s="18">
        <v>29740</v>
      </c>
      <c r="M51" s="18">
        <v>30510</v>
      </c>
      <c r="N51" s="18">
        <v>31930</v>
      </c>
      <c r="O51" s="18">
        <v>33130</v>
      </c>
      <c r="P51" s="18">
        <v>34340</v>
      </c>
      <c r="Q51" s="18">
        <v>35040</v>
      </c>
      <c r="R51" s="18">
        <v>35130</v>
      </c>
      <c r="S51" s="18">
        <v>37380</v>
      </c>
      <c r="T51" s="18">
        <v>40330</v>
      </c>
      <c r="U51" s="18">
        <v>41210</v>
      </c>
      <c r="V51" s="18">
        <v>42850</v>
      </c>
      <c r="W51" s="18">
        <v>43600</v>
      </c>
      <c r="X51" s="18">
        <v>43150</v>
      </c>
      <c r="Y51" s="18">
        <v>42720</v>
      </c>
      <c r="Z51" s="18">
        <v>41440</v>
      </c>
      <c r="AA51" s="18">
        <v>41150</v>
      </c>
      <c r="AB51" s="18">
        <v>40100</v>
      </c>
      <c r="AC51" s="18">
        <v>39930</v>
      </c>
      <c r="AD51" s="18">
        <v>39590</v>
      </c>
      <c r="AE51" s="18">
        <v>38510</v>
      </c>
      <c r="AF51" s="18">
        <v>40060</v>
      </c>
      <c r="AG51" s="18">
        <v>39720</v>
      </c>
      <c r="AH51" s="18">
        <v>39050</v>
      </c>
      <c r="AI51" s="18">
        <v>39030</v>
      </c>
      <c r="AJ51" s="18">
        <v>39970</v>
      </c>
      <c r="AK51" s="18">
        <v>40100</v>
      </c>
    </row>
    <row r="52" spans="1:37" x14ac:dyDescent="0.25">
      <c r="A52" s="12">
        <v>37</v>
      </c>
      <c r="B52" s="18">
        <v>32870</v>
      </c>
      <c r="C52" s="18">
        <v>32750</v>
      </c>
      <c r="D52" s="18">
        <v>33850</v>
      </c>
      <c r="E52" s="18">
        <v>33430</v>
      </c>
      <c r="F52" s="18">
        <v>32100</v>
      </c>
      <c r="G52" s="18">
        <v>30990</v>
      </c>
      <c r="H52" s="18">
        <v>29700</v>
      </c>
      <c r="I52" s="18">
        <v>28300</v>
      </c>
      <c r="J52" s="18">
        <v>28390</v>
      </c>
      <c r="K52" s="18">
        <v>28340</v>
      </c>
      <c r="L52" s="18">
        <v>29740</v>
      </c>
      <c r="M52" s="18">
        <v>30380</v>
      </c>
      <c r="N52" s="18">
        <v>31080</v>
      </c>
      <c r="O52" s="18">
        <v>32540</v>
      </c>
      <c r="P52" s="18">
        <v>33840</v>
      </c>
      <c r="Q52" s="18">
        <v>34360</v>
      </c>
      <c r="R52" s="18">
        <v>35040</v>
      </c>
      <c r="S52" s="18">
        <v>36260</v>
      </c>
      <c r="T52" s="18">
        <v>38560</v>
      </c>
      <c r="U52" s="18">
        <v>40720</v>
      </c>
      <c r="V52" s="18">
        <v>41660</v>
      </c>
      <c r="W52" s="18">
        <v>43330</v>
      </c>
      <c r="X52" s="18">
        <v>44100</v>
      </c>
      <c r="Y52" s="18">
        <v>43670</v>
      </c>
      <c r="Z52" s="18">
        <v>43250</v>
      </c>
      <c r="AA52" s="18">
        <v>41970</v>
      </c>
      <c r="AB52" s="18">
        <v>41690</v>
      </c>
      <c r="AC52" s="18">
        <v>40640</v>
      </c>
      <c r="AD52" s="18">
        <v>40470</v>
      </c>
      <c r="AE52" s="18">
        <v>40140</v>
      </c>
      <c r="AF52" s="18">
        <v>39070</v>
      </c>
      <c r="AG52" s="18">
        <v>40610</v>
      </c>
      <c r="AH52" s="18">
        <v>40280</v>
      </c>
      <c r="AI52" s="18">
        <v>39610</v>
      </c>
      <c r="AJ52" s="18">
        <v>39600</v>
      </c>
      <c r="AK52" s="18">
        <v>40530</v>
      </c>
    </row>
    <row r="53" spans="1:37" x14ac:dyDescent="0.25">
      <c r="A53" s="12">
        <v>38</v>
      </c>
      <c r="B53" s="18">
        <v>32450</v>
      </c>
      <c r="C53" s="18">
        <v>33080</v>
      </c>
      <c r="D53" s="18">
        <v>32830</v>
      </c>
      <c r="E53" s="18">
        <v>34000</v>
      </c>
      <c r="F53" s="18">
        <v>33580</v>
      </c>
      <c r="G53" s="18">
        <v>32190</v>
      </c>
      <c r="H53" s="18">
        <v>30960</v>
      </c>
      <c r="I53" s="18">
        <v>29790</v>
      </c>
      <c r="J53" s="18">
        <v>28530</v>
      </c>
      <c r="K53" s="18">
        <v>28830</v>
      </c>
      <c r="L53" s="18">
        <v>28910</v>
      </c>
      <c r="M53" s="18">
        <v>30270</v>
      </c>
      <c r="N53" s="18">
        <v>30910</v>
      </c>
      <c r="O53" s="18">
        <v>31650</v>
      </c>
      <c r="P53" s="18">
        <v>33180</v>
      </c>
      <c r="Q53" s="18">
        <v>33930</v>
      </c>
      <c r="R53" s="18">
        <v>34260</v>
      </c>
      <c r="S53" s="18">
        <v>36150</v>
      </c>
      <c r="T53" s="18">
        <v>37350</v>
      </c>
      <c r="U53" s="18">
        <v>38910</v>
      </c>
      <c r="V53" s="18">
        <v>41120</v>
      </c>
      <c r="W53" s="18">
        <v>42080</v>
      </c>
      <c r="X53" s="18">
        <v>43770</v>
      </c>
      <c r="Y53" s="18">
        <v>44560</v>
      </c>
      <c r="Z53" s="18">
        <v>44140</v>
      </c>
      <c r="AA53" s="18">
        <v>43730</v>
      </c>
      <c r="AB53" s="18">
        <v>42460</v>
      </c>
      <c r="AC53" s="18">
        <v>42180</v>
      </c>
      <c r="AD53" s="18">
        <v>41130</v>
      </c>
      <c r="AE53" s="18">
        <v>40960</v>
      </c>
      <c r="AF53" s="18">
        <v>40640</v>
      </c>
      <c r="AG53" s="18">
        <v>39560</v>
      </c>
      <c r="AH53" s="18">
        <v>41110</v>
      </c>
      <c r="AI53" s="18">
        <v>40780</v>
      </c>
      <c r="AJ53" s="18">
        <v>40120</v>
      </c>
      <c r="AK53" s="18">
        <v>40110</v>
      </c>
    </row>
    <row r="54" spans="1:37" x14ac:dyDescent="0.25">
      <c r="A54" s="12">
        <v>39</v>
      </c>
      <c r="B54" s="18">
        <v>32220</v>
      </c>
      <c r="C54" s="18">
        <v>32560</v>
      </c>
      <c r="D54" s="18">
        <v>33200</v>
      </c>
      <c r="E54" s="18">
        <v>32960</v>
      </c>
      <c r="F54" s="18">
        <v>34140</v>
      </c>
      <c r="G54" s="18">
        <v>33600</v>
      </c>
      <c r="H54" s="18">
        <v>32280</v>
      </c>
      <c r="I54" s="18">
        <v>31070</v>
      </c>
      <c r="J54" s="18">
        <v>30010</v>
      </c>
      <c r="K54" s="18">
        <v>28830</v>
      </c>
      <c r="L54" s="18">
        <v>29270</v>
      </c>
      <c r="M54" s="18">
        <v>29420</v>
      </c>
      <c r="N54" s="18">
        <v>30700</v>
      </c>
      <c r="O54" s="18">
        <v>31380</v>
      </c>
      <c r="P54" s="18">
        <v>32230</v>
      </c>
      <c r="Q54" s="18">
        <v>33260</v>
      </c>
      <c r="R54" s="18">
        <v>33870</v>
      </c>
      <c r="S54" s="18">
        <v>35240</v>
      </c>
      <c r="T54" s="18">
        <v>37090</v>
      </c>
      <c r="U54" s="18">
        <v>37670</v>
      </c>
      <c r="V54" s="18">
        <v>39270</v>
      </c>
      <c r="W54" s="18">
        <v>41510</v>
      </c>
      <c r="X54" s="18">
        <v>42490</v>
      </c>
      <c r="Y54" s="18">
        <v>44200</v>
      </c>
      <c r="Z54" s="18">
        <v>44990</v>
      </c>
      <c r="AA54" s="18">
        <v>44580</v>
      </c>
      <c r="AB54" s="18">
        <v>44170</v>
      </c>
      <c r="AC54" s="18">
        <v>42900</v>
      </c>
      <c r="AD54" s="18">
        <v>42620</v>
      </c>
      <c r="AE54" s="18">
        <v>41580</v>
      </c>
      <c r="AF54" s="18">
        <v>41420</v>
      </c>
      <c r="AG54" s="18">
        <v>41090</v>
      </c>
      <c r="AH54" s="18">
        <v>40020</v>
      </c>
      <c r="AI54" s="18">
        <v>41570</v>
      </c>
      <c r="AJ54" s="18">
        <v>41250</v>
      </c>
      <c r="AK54" s="18">
        <v>40590</v>
      </c>
    </row>
    <row r="55" spans="1:37" x14ac:dyDescent="0.25">
      <c r="A55" s="12">
        <v>40</v>
      </c>
      <c r="B55" s="18">
        <v>32020</v>
      </c>
      <c r="C55" s="18">
        <v>32380</v>
      </c>
      <c r="D55" s="18">
        <v>32680</v>
      </c>
      <c r="E55" s="18">
        <v>33300</v>
      </c>
      <c r="F55" s="18">
        <v>33100</v>
      </c>
      <c r="G55" s="18">
        <v>34190</v>
      </c>
      <c r="H55" s="18">
        <v>33550</v>
      </c>
      <c r="I55" s="18">
        <v>32360</v>
      </c>
      <c r="J55" s="18">
        <v>31360</v>
      </c>
      <c r="K55" s="18">
        <v>30330</v>
      </c>
      <c r="L55" s="18">
        <v>29240</v>
      </c>
      <c r="M55" s="18">
        <v>29740</v>
      </c>
      <c r="N55" s="18">
        <v>29870</v>
      </c>
      <c r="O55" s="18">
        <v>31120</v>
      </c>
      <c r="P55" s="18">
        <v>31930</v>
      </c>
      <c r="Q55" s="18">
        <v>32340</v>
      </c>
      <c r="R55" s="18">
        <v>33200</v>
      </c>
      <c r="S55" s="18">
        <v>34840</v>
      </c>
      <c r="T55" s="18">
        <v>36090</v>
      </c>
      <c r="U55" s="18">
        <v>37370</v>
      </c>
      <c r="V55" s="18">
        <v>37990</v>
      </c>
      <c r="W55" s="18">
        <v>39610</v>
      </c>
      <c r="X55" s="18">
        <v>41870</v>
      </c>
      <c r="Y55" s="18">
        <v>42870</v>
      </c>
      <c r="Z55" s="18">
        <v>44580</v>
      </c>
      <c r="AA55" s="18">
        <v>45380</v>
      </c>
      <c r="AB55" s="18">
        <v>44970</v>
      </c>
      <c r="AC55" s="18">
        <v>44560</v>
      </c>
      <c r="AD55" s="18">
        <v>43300</v>
      </c>
      <c r="AE55" s="18">
        <v>43020</v>
      </c>
      <c r="AF55" s="18">
        <v>41980</v>
      </c>
      <c r="AG55" s="18">
        <v>41820</v>
      </c>
      <c r="AH55" s="18">
        <v>41500</v>
      </c>
      <c r="AI55" s="18">
        <v>40440</v>
      </c>
      <c r="AJ55" s="18">
        <v>41990</v>
      </c>
      <c r="AK55" s="18">
        <v>41670</v>
      </c>
    </row>
    <row r="56" spans="1:37" x14ac:dyDescent="0.25">
      <c r="A56" s="12">
        <v>41</v>
      </c>
      <c r="B56" s="18">
        <v>32420</v>
      </c>
      <c r="C56" s="18">
        <v>32110</v>
      </c>
      <c r="D56" s="18">
        <v>32440</v>
      </c>
      <c r="E56" s="18">
        <v>32740</v>
      </c>
      <c r="F56" s="18">
        <v>33370</v>
      </c>
      <c r="G56" s="18">
        <v>33100</v>
      </c>
      <c r="H56" s="18">
        <v>34190</v>
      </c>
      <c r="I56" s="18">
        <v>33550</v>
      </c>
      <c r="J56" s="18">
        <v>32480</v>
      </c>
      <c r="K56" s="18">
        <v>31700</v>
      </c>
      <c r="L56" s="18">
        <v>30750</v>
      </c>
      <c r="M56" s="18">
        <v>29630</v>
      </c>
      <c r="N56" s="18">
        <v>30090</v>
      </c>
      <c r="O56" s="18">
        <v>30210</v>
      </c>
      <c r="P56" s="18">
        <v>31580</v>
      </c>
      <c r="Q56" s="18">
        <v>31980</v>
      </c>
      <c r="R56" s="18">
        <v>32220</v>
      </c>
      <c r="S56" s="18">
        <v>34100</v>
      </c>
      <c r="T56" s="18">
        <v>35670</v>
      </c>
      <c r="U56" s="18">
        <v>36320</v>
      </c>
      <c r="V56" s="18">
        <v>37640</v>
      </c>
      <c r="W56" s="18">
        <v>38290</v>
      </c>
      <c r="X56" s="18">
        <v>39930</v>
      </c>
      <c r="Y56" s="18">
        <v>42200</v>
      </c>
      <c r="Z56" s="18">
        <v>43200</v>
      </c>
      <c r="AA56" s="18">
        <v>44920</v>
      </c>
      <c r="AB56" s="18">
        <v>45720</v>
      </c>
      <c r="AC56" s="18">
        <v>45310</v>
      </c>
      <c r="AD56" s="18">
        <v>44900</v>
      </c>
      <c r="AE56" s="18">
        <v>43640</v>
      </c>
      <c r="AF56" s="18">
        <v>43370</v>
      </c>
      <c r="AG56" s="18">
        <v>42340</v>
      </c>
      <c r="AH56" s="18">
        <v>42180</v>
      </c>
      <c r="AI56" s="18">
        <v>41860</v>
      </c>
      <c r="AJ56" s="18">
        <v>40800</v>
      </c>
      <c r="AK56" s="18">
        <v>42350</v>
      </c>
    </row>
    <row r="57" spans="1:37" x14ac:dyDescent="0.25">
      <c r="A57" s="12">
        <v>42</v>
      </c>
      <c r="B57" s="18">
        <v>33510</v>
      </c>
      <c r="C57" s="18">
        <v>32510</v>
      </c>
      <c r="D57" s="18">
        <v>32160</v>
      </c>
      <c r="E57" s="18">
        <v>32460</v>
      </c>
      <c r="F57" s="18">
        <v>32800</v>
      </c>
      <c r="G57" s="18">
        <v>33360</v>
      </c>
      <c r="H57" s="18">
        <v>33050</v>
      </c>
      <c r="I57" s="18">
        <v>34240</v>
      </c>
      <c r="J57" s="18">
        <v>33770</v>
      </c>
      <c r="K57" s="18">
        <v>32710</v>
      </c>
      <c r="L57" s="18">
        <v>32070</v>
      </c>
      <c r="M57" s="18">
        <v>31110</v>
      </c>
      <c r="N57" s="18">
        <v>29920</v>
      </c>
      <c r="O57" s="18">
        <v>30400</v>
      </c>
      <c r="P57" s="18">
        <v>30590</v>
      </c>
      <c r="Q57" s="18">
        <v>31590</v>
      </c>
      <c r="R57" s="18">
        <v>31840</v>
      </c>
      <c r="S57" s="18">
        <v>33080</v>
      </c>
      <c r="T57" s="18">
        <v>34810</v>
      </c>
      <c r="U57" s="18">
        <v>35870</v>
      </c>
      <c r="V57" s="18">
        <v>36560</v>
      </c>
      <c r="W57" s="18">
        <v>37900</v>
      </c>
      <c r="X57" s="18">
        <v>38560</v>
      </c>
      <c r="Y57" s="18">
        <v>40210</v>
      </c>
      <c r="Z57" s="18">
        <v>42490</v>
      </c>
      <c r="AA57" s="18">
        <v>43490</v>
      </c>
      <c r="AB57" s="18">
        <v>45210</v>
      </c>
      <c r="AC57" s="18">
        <v>46010</v>
      </c>
      <c r="AD57" s="18">
        <v>45610</v>
      </c>
      <c r="AE57" s="18">
        <v>45210</v>
      </c>
      <c r="AF57" s="18">
        <v>43950</v>
      </c>
      <c r="AG57" s="18">
        <v>43680</v>
      </c>
      <c r="AH57" s="18">
        <v>42650</v>
      </c>
      <c r="AI57" s="18">
        <v>42490</v>
      </c>
      <c r="AJ57" s="18">
        <v>42180</v>
      </c>
      <c r="AK57" s="18">
        <v>41120</v>
      </c>
    </row>
    <row r="58" spans="1:37" x14ac:dyDescent="0.25">
      <c r="A58" s="12">
        <v>43</v>
      </c>
      <c r="B58" s="18">
        <v>34420</v>
      </c>
      <c r="C58" s="18">
        <v>33610</v>
      </c>
      <c r="D58" s="18">
        <v>32450</v>
      </c>
      <c r="E58" s="18">
        <v>32140</v>
      </c>
      <c r="F58" s="18">
        <v>32540</v>
      </c>
      <c r="G58" s="18">
        <v>32750</v>
      </c>
      <c r="H58" s="18">
        <v>33270</v>
      </c>
      <c r="I58" s="18">
        <v>33070</v>
      </c>
      <c r="J58" s="18">
        <v>34380</v>
      </c>
      <c r="K58" s="18">
        <v>34030</v>
      </c>
      <c r="L58" s="18">
        <v>32950</v>
      </c>
      <c r="M58" s="18">
        <v>32390</v>
      </c>
      <c r="N58" s="18">
        <v>31330</v>
      </c>
      <c r="O58" s="18">
        <v>30210</v>
      </c>
      <c r="P58" s="18">
        <v>30760</v>
      </c>
      <c r="Q58" s="18">
        <v>30640</v>
      </c>
      <c r="R58" s="18">
        <v>31460</v>
      </c>
      <c r="S58" s="18">
        <v>32540</v>
      </c>
      <c r="T58" s="18">
        <v>33730</v>
      </c>
      <c r="U58" s="18">
        <v>34980</v>
      </c>
      <c r="V58" s="18">
        <v>36070</v>
      </c>
      <c r="W58" s="18">
        <v>36780</v>
      </c>
      <c r="X58" s="18">
        <v>38130</v>
      </c>
      <c r="Y58" s="18">
        <v>38800</v>
      </c>
      <c r="Z58" s="18">
        <v>40460</v>
      </c>
      <c r="AA58" s="18">
        <v>42740</v>
      </c>
      <c r="AB58" s="18">
        <v>43750</v>
      </c>
      <c r="AC58" s="18">
        <v>45460</v>
      </c>
      <c r="AD58" s="18">
        <v>46270</v>
      </c>
      <c r="AE58" s="18">
        <v>45870</v>
      </c>
      <c r="AF58" s="18">
        <v>45470</v>
      </c>
      <c r="AG58" s="18">
        <v>44220</v>
      </c>
      <c r="AH58" s="18">
        <v>43950</v>
      </c>
      <c r="AI58" s="18">
        <v>42920</v>
      </c>
      <c r="AJ58" s="18">
        <v>42770</v>
      </c>
      <c r="AK58" s="18">
        <v>42460</v>
      </c>
    </row>
    <row r="59" spans="1:37" x14ac:dyDescent="0.25">
      <c r="A59" s="12">
        <v>44</v>
      </c>
      <c r="B59" s="18">
        <v>34170</v>
      </c>
      <c r="C59" s="18">
        <v>34490</v>
      </c>
      <c r="D59" s="18">
        <v>33560</v>
      </c>
      <c r="E59" s="18">
        <v>32440</v>
      </c>
      <c r="F59" s="18">
        <v>32160</v>
      </c>
      <c r="G59" s="18">
        <v>32530</v>
      </c>
      <c r="H59" s="18">
        <v>32680</v>
      </c>
      <c r="I59" s="18">
        <v>33180</v>
      </c>
      <c r="J59" s="18">
        <v>33230</v>
      </c>
      <c r="K59" s="18">
        <v>34610</v>
      </c>
      <c r="L59" s="18">
        <v>34330</v>
      </c>
      <c r="M59" s="18">
        <v>33220</v>
      </c>
      <c r="N59" s="18">
        <v>32670</v>
      </c>
      <c r="O59" s="18">
        <v>31530</v>
      </c>
      <c r="P59" s="18">
        <v>30520</v>
      </c>
      <c r="Q59" s="18">
        <v>30800</v>
      </c>
      <c r="R59" s="18">
        <v>30510</v>
      </c>
      <c r="S59" s="18">
        <v>32050</v>
      </c>
      <c r="T59" s="18">
        <v>33130</v>
      </c>
      <c r="U59" s="18">
        <v>33840</v>
      </c>
      <c r="V59" s="18">
        <v>35130</v>
      </c>
      <c r="W59" s="18">
        <v>36230</v>
      </c>
      <c r="X59" s="18">
        <v>36960</v>
      </c>
      <c r="Y59" s="18">
        <v>38320</v>
      </c>
      <c r="Z59" s="18">
        <v>39000</v>
      </c>
      <c r="AA59" s="18">
        <v>40660</v>
      </c>
      <c r="AB59" s="18">
        <v>42940</v>
      </c>
      <c r="AC59" s="18">
        <v>43950</v>
      </c>
      <c r="AD59" s="18">
        <v>45670</v>
      </c>
      <c r="AE59" s="18">
        <v>46470</v>
      </c>
      <c r="AF59" s="18">
        <v>46080</v>
      </c>
      <c r="AG59" s="18">
        <v>45680</v>
      </c>
      <c r="AH59" s="18">
        <v>44430</v>
      </c>
      <c r="AI59" s="18">
        <v>44170</v>
      </c>
      <c r="AJ59" s="18">
        <v>43140</v>
      </c>
      <c r="AK59" s="18">
        <v>42990</v>
      </c>
    </row>
    <row r="60" spans="1:37" x14ac:dyDescent="0.25">
      <c r="A60" s="12">
        <v>45</v>
      </c>
      <c r="B60" s="18">
        <v>33510</v>
      </c>
      <c r="C60" s="18">
        <v>34170</v>
      </c>
      <c r="D60" s="18">
        <v>34370</v>
      </c>
      <c r="E60" s="18">
        <v>33510</v>
      </c>
      <c r="F60" s="18">
        <v>32390</v>
      </c>
      <c r="G60" s="18">
        <v>32090</v>
      </c>
      <c r="H60" s="18">
        <v>32440</v>
      </c>
      <c r="I60" s="18">
        <v>32650</v>
      </c>
      <c r="J60" s="18">
        <v>33280</v>
      </c>
      <c r="K60" s="18">
        <v>33410</v>
      </c>
      <c r="L60" s="18">
        <v>34850</v>
      </c>
      <c r="M60" s="18">
        <v>34620</v>
      </c>
      <c r="N60" s="18">
        <v>33450</v>
      </c>
      <c r="O60" s="18">
        <v>32810</v>
      </c>
      <c r="P60" s="18">
        <v>31800</v>
      </c>
      <c r="Q60" s="18">
        <v>30490</v>
      </c>
      <c r="R60" s="18">
        <v>30710</v>
      </c>
      <c r="S60" s="18">
        <v>31010</v>
      </c>
      <c r="T60" s="18">
        <v>32560</v>
      </c>
      <c r="U60" s="18">
        <v>33200</v>
      </c>
      <c r="V60" s="18">
        <v>33950</v>
      </c>
      <c r="W60" s="18">
        <v>35240</v>
      </c>
      <c r="X60" s="18">
        <v>36360</v>
      </c>
      <c r="Y60" s="18">
        <v>37090</v>
      </c>
      <c r="Z60" s="18">
        <v>38460</v>
      </c>
      <c r="AA60" s="18">
        <v>39140</v>
      </c>
      <c r="AB60" s="18">
        <v>40800</v>
      </c>
      <c r="AC60" s="18">
        <v>43080</v>
      </c>
      <c r="AD60" s="18">
        <v>44090</v>
      </c>
      <c r="AE60" s="18">
        <v>45810</v>
      </c>
      <c r="AF60" s="18">
        <v>46620</v>
      </c>
      <c r="AG60" s="18">
        <v>46230</v>
      </c>
      <c r="AH60" s="18">
        <v>45830</v>
      </c>
      <c r="AI60" s="18">
        <v>44590</v>
      </c>
      <c r="AJ60" s="18">
        <v>44330</v>
      </c>
      <c r="AK60" s="18">
        <v>43300</v>
      </c>
    </row>
    <row r="61" spans="1:37" x14ac:dyDescent="0.25">
      <c r="A61" s="12">
        <v>46</v>
      </c>
      <c r="B61" s="18">
        <v>31920</v>
      </c>
      <c r="C61" s="18">
        <v>33480</v>
      </c>
      <c r="D61" s="18">
        <v>34110</v>
      </c>
      <c r="E61" s="18">
        <v>34280</v>
      </c>
      <c r="F61" s="18">
        <v>33480</v>
      </c>
      <c r="G61" s="18">
        <v>32280</v>
      </c>
      <c r="H61" s="18">
        <v>31920</v>
      </c>
      <c r="I61" s="18">
        <v>32390</v>
      </c>
      <c r="J61" s="18">
        <v>32750</v>
      </c>
      <c r="K61" s="18">
        <v>33380</v>
      </c>
      <c r="L61" s="18">
        <v>33560</v>
      </c>
      <c r="M61" s="18">
        <v>35030</v>
      </c>
      <c r="N61" s="18">
        <v>34820</v>
      </c>
      <c r="O61" s="18">
        <v>33570</v>
      </c>
      <c r="P61" s="18">
        <v>33030</v>
      </c>
      <c r="Q61" s="18">
        <v>31780</v>
      </c>
      <c r="R61" s="18">
        <v>30370</v>
      </c>
      <c r="S61" s="18">
        <v>31140</v>
      </c>
      <c r="T61" s="18">
        <v>31390</v>
      </c>
      <c r="U61" s="18">
        <v>32580</v>
      </c>
      <c r="V61" s="18">
        <v>33240</v>
      </c>
      <c r="W61" s="18">
        <v>34000</v>
      </c>
      <c r="X61" s="18">
        <v>35310</v>
      </c>
      <c r="Y61" s="18">
        <v>36440</v>
      </c>
      <c r="Z61" s="18">
        <v>37180</v>
      </c>
      <c r="AA61" s="18">
        <v>38540</v>
      </c>
      <c r="AB61" s="18">
        <v>39230</v>
      </c>
      <c r="AC61" s="18">
        <v>40890</v>
      </c>
      <c r="AD61" s="18">
        <v>43170</v>
      </c>
      <c r="AE61" s="18">
        <v>44180</v>
      </c>
      <c r="AF61" s="18">
        <v>45900</v>
      </c>
      <c r="AG61" s="18">
        <v>46710</v>
      </c>
      <c r="AH61" s="18">
        <v>46320</v>
      </c>
      <c r="AI61" s="18">
        <v>45920</v>
      </c>
      <c r="AJ61" s="18">
        <v>44680</v>
      </c>
      <c r="AK61" s="18">
        <v>44420</v>
      </c>
    </row>
    <row r="62" spans="1:37" x14ac:dyDescent="0.25">
      <c r="A62" s="12">
        <v>47</v>
      </c>
      <c r="B62" s="18">
        <v>31370</v>
      </c>
      <c r="C62" s="18">
        <v>31900</v>
      </c>
      <c r="D62" s="18">
        <v>33410</v>
      </c>
      <c r="E62" s="18">
        <v>34030</v>
      </c>
      <c r="F62" s="18">
        <v>34240</v>
      </c>
      <c r="G62" s="18">
        <v>33400</v>
      </c>
      <c r="H62" s="18">
        <v>32110</v>
      </c>
      <c r="I62" s="18">
        <v>31790</v>
      </c>
      <c r="J62" s="18">
        <v>32370</v>
      </c>
      <c r="K62" s="18">
        <v>32860</v>
      </c>
      <c r="L62" s="18">
        <v>33560</v>
      </c>
      <c r="M62" s="18">
        <v>33690</v>
      </c>
      <c r="N62" s="18">
        <v>35110</v>
      </c>
      <c r="O62" s="18">
        <v>34820</v>
      </c>
      <c r="P62" s="18">
        <v>33810</v>
      </c>
      <c r="Q62" s="18">
        <v>32980</v>
      </c>
      <c r="R62" s="18">
        <v>31640</v>
      </c>
      <c r="S62" s="18">
        <v>30750</v>
      </c>
      <c r="T62" s="18">
        <v>31400</v>
      </c>
      <c r="U62" s="18">
        <v>31370</v>
      </c>
      <c r="V62" s="18">
        <v>32570</v>
      </c>
      <c r="W62" s="18">
        <v>33250</v>
      </c>
      <c r="X62" s="18">
        <v>34020</v>
      </c>
      <c r="Y62" s="18">
        <v>35330</v>
      </c>
      <c r="Z62" s="18">
        <v>36460</v>
      </c>
      <c r="AA62" s="18">
        <v>37200</v>
      </c>
      <c r="AB62" s="18">
        <v>38570</v>
      </c>
      <c r="AC62" s="18">
        <v>39260</v>
      </c>
      <c r="AD62" s="18">
        <v>40920</v>
      </c>
      <c r="AE62" s="18">
        <v>43200</v>
      </c>
      <c r="AF62" s="18">
        <v>44210</v>
      </c>
      <c r="AG62" s="18">
        <v>45930</v>
      </c>
      <c r="AH62" s="18">
        <v>46740</v>
      </c>
      <c r="AI62" s="18">
        <v>46350</v>
      </c>
      <c r="AJ62" s="18">
        <v>45960</v>
      </c>
      <c r="AK62" s="18">
        <v>44720</v>
      </c>
    </row>
    <row r="63" spans="1:37" x14ac:dyDescent="0.25">
      <c r="A63" s="12">
        <v>48</v>
      </c>
      <c r="B63" s="18">
        <v>29970</v>
      </c>
      <c r="C63" s="18">
        <v>31320</v>
      </c>
      <c r="D63" s="18">
        <v>31780</v>
      </c>
      <c r="E63" s="18">
        <v>33320</v>
      </c>
      <c r="F63" s="18">
        <v>33960</v>
      </c>
      <c r="G63" s="18">
        <v>34130</v>
      </c>
      <c r="H63" s="18">
        <v>33190</v>
      </c>
      <c r="I63" s="18">
        <v>31970</v>
      </c>
      <c r="J63" s="18">
        <v>31760</v>
      </c>
      <c r="K63" s="18">
        <v>32450</v>
      </c>
      <c r="L63" s="18">
        <v>33030</v>
      </c>
      <c r="M63" s="18">
        <v>33730</v>
      </c>
      <c r="N63" s="18">
        <v>33740</v>
      </c>
      <c r="O63" s="18">
        <v>35170</v>
      </c>
      <c r="P63" s="18">
        <v>34870</v>
      </c>
      <c r="Q63" s="18">
        <v>33790</v>
      </c>
      <c r="R63" s="18">
        <v>32770</v>
      </c>
      <c r="S63" s="18">
        <v>31880</v>
      </c>
      <c r="T63" s="18">
        <v>30950</v>
      </c>
      <c r="U63" s="18">
        <v>31330</v>
      </c>
      <c r="V63" s="18">
        <v>31320</v>
      </c>
      <c r="W63" s="18">
        <v>32530</v>
      </c>
      <c r="X63" s="18">
        <v>33220</v>
      </c>
      <c r="Y63" s="18">
        <v>33990</v>
      </c>
      <c r="Z63" s="18">
        <v>35310</v>
      </c>
      <c r="AA63" s="18">
        <v>36440</v>
      </c>
      <c r="AB63" s="18">
        <v>37180</v>
      </c>
      <c r="AC63" s="18">
        <v>38550</v>
      </c>
      <c r="AD63" s="18">
        <v>39240</v>
      </c>
      <c r="AE63" s="18">
        <v>40900</v>
      </c>
      <c r="AF63" s="18">
        <v>43180</v>
      </c>
      <c r="AG63" s="18">
        <v>44190</v>
      </c>
      <c r="AH63" s="18">
        <v>45910</v>
      </c>
      <c r="AI63" s="18">
        <v>46720</v>
      </c>
      <c r="AJ63" s="18">
        <v>46340</v>
      </c>
      <c r="AK63" s="18">
        <v>45950</v>
      </c>
    </row>
    <row r="64" spans="1:37" x14ac:dyDescent="0.25">
      <c r="A64" s="12">
        <v>49</v>
      </c>
      <c r="B64" s="18">
        <v>29280</v>
      </c>
      <c r="C64" s="18">
        <v>29840</v>
      </c>
      <c r="D64" s="18">
        <v>31230</v>
      </c>
      <c r="E64" s="18">
        <v>31700</v>
      </c>
      <c r="F64" s="18">
        <v>33260</v>
      </c>
      <c r="G64" s="18">
        <v>33830</v>
      </c>
      <c r="H64" s="18">
        <v>33930</v>
      </c>
      <c r="I64" s="18">
        <v>33100</v>
      </c>
      <c r="J64" s="18">
        <v>32010</v>
      </c>
      <c r="K64" s="18">
        <v>31800</v>
      </c>
      <c r="L64" s="18">
        <v>32510</v>
      </c>
      <c r="M64" s="18">
        <v>33180</v>
      </c>
      <c r="N64" s="18">
        <v>33830</v>
      </c>
      <c r="O64" s="18">
        <v>33690</v>
      </c>
      <c r="P64" s="18">
        <v>35250</v>
      </c>
      <c r="Q64" s="18">
        <v>34770</v>
      </c>
      <c r="R64" s="18">
        <v>33650</v>
      </c>
      <c r="S64" s="18">
        <v>32880</v>
      </c>
      <c r="T64" s="18">
        <v>32010</v>
      </c>
      <c r="U64" s="18">
        <v>30850</v>
      </c>
      <c r="V64" s="18">
        <v>31250</v>
      </c>
      <c r="W64" s="18">
        <v>31250</v>
      </c>
      <c r="X64" s="18">
        <v>32470</v>
      </c>
      <c r="Y64" s="18">
        <v>33160</v>
      </c>
      <c r="Z64" s="18">
        <v>33940</v>
      </c>
      <c r="AA64" s="18">
        <v>35260</v>
      </c>
      <c r="AB64" s="18">
        <v>36390</v>
      </c>
      <c r="AC64" s="18">
        <v>37130</v>
      </c>
      <c r="AD64" s="18">
        <v>38500</v>
      </c>
      <c r="AE64" s="18">
        <v>39190</v>
      </c>
      <c r="AF64" s="18">
        <v>40850</v>
      </c>
      <c r="AG64" s="18">
        <v>43120</v>
      </c>
      <c r="AH64" s="18">
        <v>44140</v>
      </c>
      <c r="AI64" s="18">
        <v>45860</v>
      </c>
      <c r="AJ64" s="18">
        <v>46670</v>
      </c>
      <c r="AK64" s="18">
        <v>46290</v>
      </c>
    </row>
    <row r="65" spans="1:37" x14ac:dyDescent="0.25">
      <c r="A65" s="12">
        <v>50</v>
      </c>
      <c r="B65" s="18">
        <v>28580</v>
      </c>
      <c r="C65" s="18">
        <v>29200</v>
      </c>
      <c r="D65" s="18">
        <v>29730</v>
      </c>
      <c r="E65" s="18">
        <v>31150</v>
      </c>
      <c r="F65" s="18">
        <v>31650</v>
      </c>
      <c r="G65" s="18">
        <v>33090</v>
      </c>
      <c r="H65" s="18">
        <v>33640</v>
      </c>
      <c r="I65" s="18">
        <v>33790</v>
      </c>
      <c r="J65" s="18">
        <v>33120</v>
      </c>
      <c r="K65" s="18">
        <v>32140</v>
      </c>
      <c r="L65" s="18">
        <v>31890</v>
      </c>
      <c r="M65" s="18">
        <v>32560</v>
      </c>
      <c r="N65" s="18">
        <v>33230</v>
      </c>
      <c r="O65" s="18">
        <v>33810</v>
      </c>
      <c r="P65" s="18">
        <v>33800</v>
      </c>
      <c r="Q65" s="18">
        <v>35150</v>
      </c>
      <c r="R65" s="18">
        <v>34570</v>
      </c>
      <c r="S65" s="18">
        <v>33720</v>
      </c>
      <c r="T65" s="18">
        <v>32970</v>
      </c>
      <c r="U65" s="18">
        <v>31890</v>
      </c>
      <c r="V65" s="18">
        <v>30750</v>
      </c>
      <c r="W65" s="18">
        <v>31150</v>
      </c>
      <c r="X65" s="18">
        <v>31160</v>
      </c>
      <c r="Y65" s="18">
        <v>32380</v>
      </c>
      <c r="Z65" s="18">
        <v>33080</v>
      </c>
      <c r="AA65" s="18">
        <v>33860</v>
      </c>
      <c r="AB65" s="18">
        <v>35180</v>
      </c>
      <c r="AC65" s="18">
        <v>36310</v>
      </c>
      <c r="AD65" s="18">
        <v>37060</v>
      </c>
      <c r="AE65" s="18">
        <v>38420</v>
      </c>
      <c r="AF65" s="18">
        <v>39110</v>
      </c>
      <c r="AG65" s="18">
        <v>40770</v>
      </c>
      <c r="AH65" s="18">
        <v>43050</v>
      </c>
      <c r="AI65" s="18">
        <v>44060</v>
      </c>
      <c r="AJ65" s="18">
        <v>45780</v>
      </c>
      <c r="AK65" s="18">
        <v>46590</v>
      </c>
    </row>
    <row r="66" spans="1:37" x14ac:dyDescent="0.25">
      <c r="A66" s="12">
        <v>51</v>
      </c>
      <c r="B66" s="18">
        <v>27550</v>
      </c>
      <c r="C66" s="18">
        <v>28490</v>
      </c>
      <c r="D66" s="18">
        <v>29090</v>
      </c>
      <c r="E66" s="18">
        <v>29610</v>
      </c>
      <c r="F66" s="18">
        <v>31090</v>
      </c>
      <c r="G66" s="18">
        <v>31520</v>
      </c>
      <c r="H66" s="18">
        <v>32950</v>
      </c>
      <c r="I66" s="18">
        <v>33500</v>
      </c>
      <c r="J66" s="18">
        <v>33770</v>
      </c>
      <c r="K66" s="18">
        <v>33210</v>
      </c>
      <c r="L66" s="18">
        <v>32330</v>
      </c>
      <c r="M66" s="18">
        <v>31980</v>
      </c>
      <c r="N66" s="18">
        <v>32580</v>
      </c>
      <c r="O66" s="18">
        <v>33130</v>
      </c>
      <c r="P66" s="18">
        <v>33900</v>
      </c>
      <c r="Q66" s="18">
        <v>33650</v>
      </c>
      <c r="R66" s="18">
        <v>34900</v>
      </c>
      <c r="S66" s="18">
        <v>34590</v>
      </c>
      <c r="T66" s="18">
        <v>33750</v>
      </c>
      <c r="U66" s="18">
        <v>32850</v>
      </c>
      <c r="V66" s="18">
        <v>31780</v>
      </c>
      <c r="W66" s="18">
        <v>30650</v>
      </c>
      <c r="X66" s="18">
        <v>31060</v>
      </c>
      <c r="Y66" s="18">
        <v>31080</v>
      </c>
      <c r="Z66" s="18">
        <v>32300</v>
      </c>
      <c r="AA66" s="18">
        <v>33000</v>
      </c>
      <c r="AB66" s="18">
        <v>33780</v>
      </c>
      <c r="AC66" s="18">
        <v>35100</v>
      </c>
      <c r="AD66" s="18">
        <v>36230</v>
      </c>
      <c r="AE66" s="18">
        <v>36970</v>
      </c>
      <c r="AF66" s="18">
        <v>38340</v>
      </c>
      <c r="AG66" s="18">
        <v>39030</v>
      </c>
      <c r="AH66" s="18">
        <v>40690</v>
      </c>
      <c r="AI66" s="18">
        <v>42960</v>
      </c>
      <c r="AJ66" s="18">
        <v>43980</v>
      </c>
      <c r="AK66" s="18">
        <v>45700</v>
      </c>
    </row>
    <row r="67" spans="1:37" x14ac:dyDescent="0.25">
      <c r="A67" s="12">
        <v>52</v>
      </c>
      <c r="B67" s="18">
        <v>26780</v>
      </c>
      <c r="C67" s="18">
        <v>27430</v>
      </c>
      <c r="D67" s="18">
        <v>28360</v>
      </c>
      <c r="E67" s="18">
        <v>28970</v>
      </c>
      <c r="F67" s="18">
        <v>29570</v>
      </c>
      <c r="G67" s="18">
        <v>30970</v>
      </c>
      <c r="H67" s="18">
        <v>31340</v>
      </c>
      <c r="I67" s="18">
        <v>32770</v>
      </c>
      <c r="J67" s="18">
        <v>33490</v>
      </c>
      <c r="K67" s="18">
        <v>33830</v>
      </c>
      <c r="L67" s="18">
        <v>33280</v>
      </c>
      <c r="M67" s="18">
        <v>32430</v>
      </c>
      <c r="N67" s="18">
        <v>32030</v>
      </c>
      <c r="O67" s="18">
        <v>32450</v>
      </c>
      <c r="P67" s="18">
        <v>33240</v>
      </c>
      <c r="Q67" s="18">
        <v>33730</v>
      </c>
      <c r="R67" s="18">
        <v>33430</v>
      </c>
      <c r="S67" s="18">
        <v>34870</v>
      </c>
      <c r="T67" s="18">
        <v>34510</v>
      </c>
      <c r="U67" s="18">
        <v>33620</v>
      </c>
      <c r="V67" s="18">
        <v>32740</v>
      </c>
      <c r="W67" s="18">
        <v>31690</v>
      </c>
      <c r="X67" s="18">
        <v>30560</v>
      </c>
      <c r="Y67" s="18">
        <v>30980</v>
      </c>
      <c r="Z67" s="18">
        <v>31000</v>
      </c>
      <c r="AA67" s="18">
        <v>32220</v>
      </c>
      <c r="AB67" s="18">
        <v>32920</v>
      </c>
      <c r="AC67" s="18">
        <v>33700</v>
      </c>
      <c r="AD67" s="18">
        <v>35020</v>
      </c>
      <c r="AE67" s="18">
        <v>36150</v>
      </c>
      <c r="AF67" s="18">
        <v>36900</v>
      </c>
      <c r="AG67" s="18">
        <v>38260</v>
      </c>
      <c r="AH67" s="18">
        <v>38960</v>
      </c>
      <c r="AI67" s="18">
        <v>40610</v>
      </c>
      <c r="AJ67" s="18">
        <v>42880</v>
      </c>
      <c r="AK67" s="18">
        <v>43900</v>
      </c>
    </row>
    <row r="68" spans="1:37" x14ac:dyDescent="0.25">
      <c r="A68" s="12">
        <v>53</v>
      </c>
      <c r="B68" s="18">
        <v>25610</v>
      </c>
      <c r="C68" s="18">
        <v>26710</v>
      </c>
      <c r="D68" s="18">
        <v>27350</v>
      </c>
      <c r="E68" s="18">
        <v>28270</v>
      </c>
      <c r="F68" s="18">
        <v>28970</v>
      </c>
      <c r="G68" s="18">
        <v>29410</v>
      </c>
      <c r="H68" s="18">
        <v>30830</v>
      </c>
      <c r="I68" s="18">
        <v>31240</v>
      </c>
      <c r="J68" s="18">
        <v>32740</v>
      </c>
      <c r="K68" s="18">
        <v>33520</v>
      </c>
      <c r="L68" s="18">
        <v>33960</v>
      </c>
      <c r="M68" s="18">
        <v>33370</v>
      </c>
      <c r="N68" s="18">
        <v>32560</v>
      </c>
      <c r="O68" s="18">
        <v>31900</v>
      </c>
      <c r="P68" s="18">
        <v>32570</v>
      </c>
      <c r="Q68" s="18">
        <v>32970</v>
      </c>
      <c r="R68" s="18">
        <v>33390</v>
      </c>
      <c r="S68" s="18">
        <v>33370</v>
      </c>
      <c r="T68" s="18">
        <v>34830</v>
      </c>
      <c r="U68" s="18">
        <v>34390</v>
      </c>
      <c r="V68" s="18">
        <v>33520</v>
      </c>
      <c r="W68" s="18">
        <v>32650</v>
      </c>
      <c r="X68" s="18">
        <v>31600</v>
      </c>
      <c r="Y68" s="18">
        <v>30490</v>
      </c>
      <c r="Z68" s="18">
        <v>30910</v>
      </c>
      <c r="AA68" s="18">
        <v>30930</v>
      </c>
      <c r="AB68" s="18">
        <v>32150</v>
      </c>
      <c r="AC68" s="18">
        <v>32850</v>
      </c>
      <c r="AD68" s="18">
        <v>33630</v>
      </c>
      <c r="AE68" s="18">
        <v>34950</v>
      </c>
      <c r="AF68" s="18">
        <v>36080</v>
      </c>
      <c r="AG68" s="18">
        <v>36830</v>
      </c>
      <c r="AH68" s="18">
        <v>38190</v>
      </c>
      <c r="AI68" s="18">
        <v>38890</v>
      </c>
      <c r="AJ68" s="18">
        <v>40540</v>
      </c>
      <c r="AK68" s="18">
        <v>42810</v>
      </c>
    </row>
    <row r="69" spans="1:37" x14ac:dyDescent="0.25">
      <c r="A69" s="12">
        <v>54</v>
      </c>
      <c r="B69" s="18">
        <v>25210</v>
      </c>
      <c r="C69" s="18">
        <v>25540</v>
      </c>
      <c r="D69" s="18">
        <v>26610</v>
      </c>
      <c r="E69" s="18">
        <v>27230</v>
      </c>
      <c r="F69" s="18">
        <v>28220</v>
      </c>
      <c r="G69" s="18">
        <v>28900</v>
      </c>
      <c r="H69" s="18">
        <v>29320</v>
      </c>
      <c r="I69" s="18">
        <v>30700</v>
      </c>
      <c r="J69" s="18">
        <v>31200</v>
      </c>
      <c r="K69" s="18">
        <v>32760</v>
      </c>
      <c r="L69" s="18">
        <v>33550</v>
      </c>
      <c r="M69" s="18">
        <v>34060</v>
      </c>
      <c r="N69" s="18">
        <v>33430</v>
      </c>
      <c r="O69" s="18">
        <v>32340</v>
      </c>
      <c r="P69" s="18">
        <v>31960</v>
      </c>
      <c r="Q69" s="18">
        <v>32390</v>
      </c>
      <c r="R69" s="18">
        <v>32650</v>
      </c>
      <c r="S69" s="18">
        <v>33290</v>
      </c>
      <c r="T69" s="18">
        <v>33270</v>
      </c>
      <c r="U69" s="18">
        <v>34730</v>
      </c>
      <c r="V69" s="18">
        <v>34300</v>
      </c>
      <c r="W69" s="18">
        <v>33440</v>
      </c>
      <c r="X69" s="18">
        <v>32580</v>
      </c>
      <c r="Y69" s="18">
        <v>31540</v>
      </c>
      <c r="Z69" s="18">
        <v>30430</v>
      </c>
      <c r="AA69" s="18">
        <v>30850</v>
      </c>
      <c r="AB69" s="18">
        <v>30870</v>
      </c>
      <c r="AC69" s="18">
        <v>32100</v>
      </c>
      <c r="AD69" s="18">
        <v>32800</v>
      </c>
      <c r="AE69" s="18">
        <v>33580</v>
      </c>
      <c r="AF69" s="18">
        <v>34890</v>
      </c>
      <c r="AG69" s="18">
        <v>36020</v>
      </c>
      <c r="AH69" s="18">
        <v>36770</v>
      </c>
      <c r="AI69" s="18">
        <v>38140</v>
      </c>
      <c r="AJ69" s="18">
        <v>38830</v>
      </c>
      <c r="AK69" s="18">
        <v>40490</v>
      </c>
    </row>
    <row r="70" spans="1:37" x14ac:dyDescent="0.25">
      <c r="A70" s="12">
        <v>55</v>
      </c>
      <c r="B70" s="18">
        <v>24770</v>
      </c>
      <c r="C70" s="18">
        <v>25110</v>
      </c>
      <c r="D70" s="18">
        <v>25500</v>
      </c>
      <c r="E70" s="18">
        <v>26580</v>
      </c>
      <c r="F70" s="18">
        <v>27210</v>
      </c>
      <c r="G70" s="18">
        <v>28110</v>
      </c>
      <c r="H70" s="18">
        <v>28840</v>
      </c>
      <c r="I70" s="18">
        <v>29230</v>
      </c>
      <c r="J70" s="18">
        <v>30670</v>
      </c>
      <c r="K70" s="18">
        <v>31220</v>
      </c>
      <c r="L70" s="18">
        <v>32800</v>
      </c>
      <c r="M70" s="18">
        <v>33570</v>
      </c>
      <c r="N70" s="18">
        <v>34120</v>
      </c>
      <c r="O70" s="18">
        <v>33270</v>
      </c>
      <c r="P70" s="18">
        <v>32460</v>
      </c>
      <c r="Q70" s="18">
        <v>31640</v>
      </c>
      <c r="R70" s="18">
        <v>32150</v>
      </c>
      <c r="S70" s="18">
        <v>32480</v>
      </c>
      <c r="T70" s="18">
        <v>33170</v>
      </c>
      <c r="U70" s="18">
        <v>33180</v>
      </c>
      <c r="V70" s="18">
        <v>34650</v>
      </c>
      <c r="W70" s="18">
        <v>34230</v>
      </c>
      <c r="X70" s="18">
        <v>33380</v>
      </c>
      <c r="Y70" s="18">
        <v>32530</v>
      </c>
      <c r="Z70" s="18">
        <v>31490</v>
      </c>
      <c r="AA70" s="18">
        <v>30390</v>
      </c>
      <c r="AB70" s="18">
        <v>30810</v>
      </c>
      <c r="AC70" s="18">
        <v>30840</v>
      </c>
      <c r="AD70" s="18">
        <v>32060</v>
      </c>
      <c r="AE70" s="18">
        <v>32760</v>
      </c>
      <c r="AF70" s="18">
        <v>33540</v>
      </c>
      <c r="AG70" s="18">
        <v>34860</v>
      </c>
      <c r="AH70" s="18">
        <v>35990</v>
      </c>
      <c r="AI70" s="18">
        <v>36730</v>
      </c>
      <c r="AJ70" s="18">
        <v>38100</v>
      </c>
      <c r="AK70" s="18">
        <v>38790</v>
      </c>
    </row>
    <row r="71" spans="1:37" x14ac:dyDescent="0.25">
      <c r="A71" s="12">
        <v>56</v>
      </c>
      <c r="B71" s="18">
        <v>24930</v>
      </c>
      <c r="C71" s="18">
        <v>24730</v>
      </c>
      <c r="D71" s="18">
        <v>25040</v>
      </c>
      <c r="E71" s="18">
        <v>25500</v>
      </c>
      <c r="F71" s="18">
        <v>26570</v>
      </c>
      <c r="G71" s="18">
        <v>27160</v>
      </c>
      <c r="H71" s="18">
        <v>28040</v>
      </c>
      <c r="I71" s="18">
        <v>28790</v>
      </c>
      <c r="J71" s="18">
        <v>29280</v>
      </c>
      <c r="K71" s="18">
        <v>30710</v>
      </c>
      <c r="L71" s="18">
        <v>31300</v>
      </c>
      <c r="M71" s="18">
        <v>32860</v>
      </c>
      <c r="N71" s="18">
        <v>33590</v>
      </c>
      <c r="O71" s="18">
        <v>33930</v>
      </c>
      <c r="P71" s="18">
        <v>33340</v>
      </c>
      <c r="Q71" s="18">
        <v>32120</v>
      </c>
      <c r="R71" s="18">
        <v>31290</v>
      </c>
      <c r="S71" s="18">
        <v>31970</v>
      </c>
      <c r="T71" s="18">
        <v>32340</v>
      </c>
      <c r="U71" s="18">
        <v>33100</v>
      </c>
      <c r="V71" s="18">
        <v>33120</v>
      </c>
      <c r="W71" s="18">
        <v>34590</v>
      </c>
      <c r="X71" s="18">
        <v>34180</v>
      </c>
      <c r="Y71" s="18">
        <v>33340</v>
      </c>
      <c r="Z71" s="18">
        <v>32490</v>
      </c>
      <c r="AA71" s="18">
        <v>31460</v>
      </c>
      <c r="AB71" s="18">
        <v>30360</v>
      </c>
      <c r="AC71" s="18">
        <v>30790</v>
      </c>
      <c r="AD71" s="18">
        <v>30810</v>
      </c>
      <c r="AE71" s="18">
        <v>32030</v>
      </c>
      <c r="AF71" s="18">
        <v>32740</v>
      </c>
      <c r="AG71" s="18">
        <v>33520</v>
      </c>
      <c r="AH71" s="18">
        <v>34830</v>
      </c>
      <c r="AI71" s="18">
        <v>35960</v>
      </c>
      <c r="AJ71" s="18">
        <v>36710</v>
      </c>
      <c r="AK71" s="18">
        <v>38070</v>
      </c>
    </row>
    <row r="72" spans="1:37" x14ac:dyDescent="0.25">
      <c r="A72" s="12">
        <v>57</v>
      </c>
      <c r="B72" s="18">
        <v>24090</v>
      </c>
      <c r="C72" s="18">
        <v>24850</v>
      </c>
      <c r="D72" s="18">
        <v>24680</v>
      </c>
      <c r="E72" s="18">
        <v>25000</v>
      </c>
      <c r="F72" s="18">
        <v>25510</v>
      </c>
      <c r="G72" s="18">
        <v>26540</v>
      </c>
      <c r="H72" s="18">
        <v>27140</v>
      </c>
      <c r="I72" s="18">
        <v>27970</v>
      </c>
      <c r="J72" s="18">
        <v>28700</v>
      </c>
      <c r="K72" s="18">
        <v>29360</v>
      </c>
      <c r="L72" s="18">
        <v>30770</v>
      </c>
      <c r="M72" s="18">
        <v>31310</v>
      </c>
      <c r="N72" s="18">
        <v>32830</v>
      </c>
      <c r="O72" s="18">
        <v>33480</v>
      </c>
      <c r="P72" s="18">
        <v>34060</v>
      </c>
      <c r="Q72" s="18">
        <v>32990</v>
      </c>
      <c r="R72" s="18">
        <v>31730</v>
      </c>
      <c r="S72" s="18">
        <v>31150</v>
      </c>
      <c r="T72" s="18">
        <v>31860</v>
      </c>
      <c r="U72" s="18">
        <v>32280</v>
      </c>
      <c r="V72" s="18">
        <v>33050</v>
      </c>
      <c r="W72" s="18">
        <v>33080</v>
      </c>
      <c r="X72" s="18">
        <v>34550</v>
      </c>
      <c r="Y72" s="18">
        <v>34150</v>
      </c>
      <c r="Z72" s="18">
        <v>33310</v>
      </c>
      <c r="AA72" s="18">
        <v>32460</v>
      </c>
      <c r="AB72" s="18">
        <v>31440</v>
      </c>
      <c r="AC72" s="18">
        <v>30350</v>
      </c>
      <c r="AD72" s="18">
        <v>30770</v>
      </c>
      <c r="AE72" s="18">
        <v>30800</v>
      </c>
      <c r="AF72" s="18">
        <v>32020</v>
      </c>
      <c r="AG72" s="18">
        <v>32730</v>
      </c>
      <c r="AH72" s="18">
        <v>33510</v>
      </c>
      <c r="AI72" s="18">
        <v>34820</v>
      </c>
      <c r="AJ72" s="18">
        <v>35950</v>
      </c>
      <c r="AK72" s="18">
        <v>36700</v>
      </c>
    </row>
    <row r="73" spans="1:37" x14ac:dyDescent="0.25">
      <c r="A73" s="12">
        <v>58</v>
      </c>
      <c r="B73" s="18">
        <v>24480</v>
      </c>
      <c r="C73" s="18">
        <v>24050</v>
      </c>
      <c r="D73" s="18">
        <v>24700</v>
      </c>
      <c r="E73" s="18">
        <v>24570</v>
      </c>
      <c r="F73" s="18">
        <v>25000</v>
      </c>
      <c r="G73" s="18">
        <v>25480</v>
      </c>
      <c r="H73" s="18">
        <v>26530</v>
      </c>
      <c r="I73" s="18">
        <v>27100</v>
      </c>
      <c r="J73" s="18">
        <v>27920</v>
      </c>
      <c r="K73" s="18">
        <v>28670</v>
      </c>
      <c r="L73" s="18">
        <v>29450</v>
      </c>
      <c r="M73" s="18">
        <v>30810</v>
      </c>
      <c r="N73" s="18">
        <v>31290</v>
      </c>
      <c r="O73" s="18">
        <v>32620</v>
      </c>
      <c r="P73" s="18">
        <v>33650</v>
      </c>
      <c r="Q73" s="18">
        <v>33630</v>
      </c>
      <c r="R73" s="18">
        <v>32550</v>
      </c>
      <c r="S73" s="18">
        <v>31510</v>
      </c>
      <c r="T73" s="18">
        <v>31020</v>
      </c>
      <c r="U73" s="18">
        <v>31810</v>
      </c>
      <c r="V73" s="18">
        <v>32240</v>
      </c>
      <c r="W73" s="18">
        <v>33010</v>
      </c>
      <c r="X73" s="18">
        <v>33050</v>
      </c>
      <c r="Y73" s="18">
        <v>34520</v>
      </c>
      <c r="Z73" s="18">
        <v>34120</v>
      </c>
      <c r="AA73" s="18">
        <v>33290</v>
      </c>
      <c r="AB73" s="18">
        <v>32450</v>
      </c>
      <c r="AC73" s="18">
        <v>31430</v>
      </c>
      <c r="AD73" s="18">
        <v>30350</v>
      </c>
      <c r="AE73" s="18">
        <v>30780</v>
      </c>
      <c r="AF73" s="18">
        <v>30810</v>
      </c>
      <c r="AG73" s="18">
        <v>32030</v>
      </c>
      <c r="AH73" s="18">
        <v>32730</v>
      </c>
      <c r="AI73" s="18">
        <v>33510</v>
      </c>
      <c r="AJ73" s="18">
        <v>34820</v>
      </c>
      <c r="AK73" s="18">
        <v>35950</v>
      </c>
    </row>
    <row r="74" spans="1:37" x14ac:dyDescent="0.25">
      <c r="A74" s="12">
        <v>59</v>
      </c>
      <c r="B74" s="18">
        <v>24660</v>
      </c>
      <c r="C74" s="18">
        <v>24450</v>
      </c>
      <c r="D74" s="18">
        <v>23980</v>
      </c>
      <c r="E74" s="18">
        <v>24630</v>
      </c>
      <c r="F74" s="18">
        <v>24500</v>
      </c>
      <c r="G74" s="18">
        <v>24970</v>
      </c>
      <c r="H74" s="18">
        <v>25480</v>
      </c>
      <c r="I74" s="18">
        <v>26490</v>
      </c>
      <c r="J74" s="18">
        <v>27060</v>
      </c>
      <c r="K74" s="18">
        <v>27920</v>
      </c>
      <c r="L74" s="18">
        <v>28700</v>
      </c>
      <c r="M74" s="18">
        <v>29560</v>
      </c>
      <c r="N74" s="18">
        <v>30780</v>
      </c>
      <c r="O74" s="18">
        <v>31150</v>
      </c>
      <c r="P74" s="18">
        <v>32710</v>
      </c>
      <c r="Q74" s="18">
        <v>33290</v>
      </c>
      <c r="R74" s="18">
        <v>33190</v>
      </c>
      <c r="S74" s="18">
        <v>32300</v>
      </c>
      <c r="T74" s="18">
        <v>31360</v>
      </c>
      <c r="U74" s="18">
        <v>30980</v>
      </c>
      <c r="V74" s="18">
        <v>31770</v>
      </c>
      <c r="W74" s="18">
        <v>32210</v>
      </c>
      <c r="X74" s="18">
        <v>32990</v>
      </c>
      <c r="Y74" s="18">
        <v>33030</v>
      </c>
      <c r="Z74" s="18">
        <v>34500</v>
      </c>
      <c r="AA74" s="18">
        <v>34110</v>
      </c>
      <c r="AB74" s="18">
        <v>33280</v>
      </c>
      <c r="AC74" s="18">
        <v>32450</v>
      </c>
      <c r="AD74" s="18">
        <v>31440</v>
      </c>
      <c r="AE74" s="18">
        <v>30360</v>
      </c>
      <c r="AF74" s="18">
        <v>30790</v>
      </c>
      <c r="AG74" s="18">
        <v>30820</v>
      </c>
      <c r="AH74" s="18">
        <v>32040</v>
      </c>
      <c r="AI74" s="18">
        <v>32740</v>
      </c>
      <c r="AJ74" s="18">
        <v>33520</v>
      </c>
      <c r="AK74" s="18">
        <v>34830</v>
      </c>
    </row>
    <row r="75" spans="1:37" x14ac:dyDescent="0.25">
      <c r="A75" s="12">
        <v>60</v>
      </c>
      <c r="B75" s="18">
        <v>20800</v>
      </c>
      <c r="C75" s="18">
        <v>24570</v>
      </c>
      <c r="D75" s="18">
        <v>24410</v>
      </c>
      <c r="E75" s="18">
        <v>23930</v>
      </c>
      <c r="F75" s="18">
        <v>24560</v>
      </c>
      <c r="G75" s="18">
        <v>24490</v>
      </c>
      <c r="H75" s="18">
        <v>24980</v>
      </c>
      <c r="I75" s="18">
        <v>25490</v>
      </c>
      <c r="J75" s="18">
        <v>26470</v>
      </c>
      <c r="K75" s="18">
        <v>27100</v>
      </c>
      <c r="L75" s="18">
        <v>27930</v>
      </c>
      <c r="M75" s="18">
        <v>28670</v>
      </c>
      <c r="N75" s="18">
        <v>29560</v>
      </c>
      <c r="O75" s="18">
        <v>30620</v>
      </c>
      <c r="P75" s="18">
        <v>31310</v>
      </c>
      <c r="Q75" s="18">
        <v>32280</v>
      </c>
      <c r="R75" s="18">
        <v>32940</v>
      </c>
      <c r="S75" s="18">
        <v>32930</v>
      </c>
      <c r="T75" s="18">
        <v>32200</v>
      </c>
      <c r="U75" s="18">
        <v>31300</v>
      </c>
      <c r="V75" s="18">
        <v>30940</v>
      </c>
      <c r="W75" s="18">
        <v>31740</v>
      </c>
      <c r="X75" s="18">
        <v>32180</v>
      </c>
      <c r="Y75" s="18">
        <v>32960</v>
      </c>
      <c r="Z75" s="18">
        <v>33010</v>
      </c>
      <c r="AA75" s="18">
        <v>34480</v>
      </c>
      <c r="AB75" s="18">
        <v>34090</v>
      </c>
      <c r="AC75" s="18">
        <v>33270</v>
      </c>
      <c r="AD75" s="18">
        <v>32440</v>
      </c>
      <c r="AE75" s="18">
        <v>31440</v>
      </c>
      <c r="AF75" s="18">
        <v>30370</v>
      </c>
      <c r="AG75" s="18">
        <v>30790</v>
      </c>
      <c r="AH75" s="18">
        <v>30830</v>
      </c>
      <c r="AI75" s="18">
        <v>32050</v>
      </c>
      <c r="AJ75" s="18">
        <v>32750</v>
      </c>
      <c r="AK75" s="18">
        <v>33540</v>
      </c>
    </row>
    <row r="76" spans="1:37" x14ac:dyDescent="0.25">
      <c r="A76" s="12">
        <v>61</v>
      </c>
      <c r="B76" s="18">
        <v>19700</v>
      </c>
      <c r="C76" s="18">
        <v>20750</v>
      </c>
      <c r="D76" s="18">
        <v>24470</v>
      </c>
      <c r="E76" s="18">
        <v>24340</v>
      </c>
      <c r="F76" s="18">
        <v>23890</v>
      </c>
      <c r="G76" s="18">
        <v>24540</v>
      </c>
      <c r="H76" s="18">
        <v>24440</v>
      </c>
      <c r="I76" s="18">
        <v>24970</v>
      </c>
      <c r="J76" s="18">
        <v>25470</v>
      </c>
      <c r="K76" s="18">
        <v>26430</v>
      </c>
      <c r="L76" s="18">
        <v>27220</v>
      </c>
      <c r="M76" s="18">
        <v>27870</v>
      </c>
      <c r="N76" s="18">
        <v>28610</v>
      </c>
      <c r="O76" s="18">
        <v>29460</v>
      </c>
      <c r="P76" s="18">
        <v>30770</v>
      </c>
      <c r="Q76" s="18">
        <v>30830</v>
      </c>
      <c r="R76" s="18">
        <v>31790</v>
      </c>
      <c r="S76" s="18">
        <v>32630</v>
      </c>
      <c r="T76" s="18">
        <v>32800</v>
      </c>
      <c r="U76" s="18">
        <v>32140</v>
      </c>
      <c r="V76" s="18">
        <v>31260</v>
      </c>
      <c r="W76" s="18">
        <v>30910</v>
      </c>
      <c r="X76" s="18">
        <v>31710</v>
      </c>
      <c r="Y76" s="18">
        <v>32160</v>
      </c>
      <c r="Z76" s="18">
        <v>32940</v>
      </c>
      <c r="AA76" s="18">
        <v>32990</v>
      </c>
      <c r="AB76" s="18">
        <v>34460</v>
      </c>
      <c r="AC76" s="18">
        <v>34080</v>
      </c>
      <c r="AD76" s="18">
        <v>33260</v>
      </c>
      <c r="AE76" s="18">
        <v>32440</v>
      </c>
      <c r="AF76" s="18">
        <v>31440</v>
      </c>
      <c r="AG76" s="18">
        <v>30380</v>
      </c>
      <c r="AH76" s="18">
        <v>30810</v>
      </c>
      <c r="AI76" s="18">
        <v>30850</v>
      </c>
      <c r="AJ76" s="18">
        <v>32060</v>
      </c>
      <c r="AK76" s="18">
        <v>32770</v>
      </c>
    </row>
    <row r="77" spans="1:37" x14ac:dyDescent="0.25">
      <c r="A77" s="12">
        <v>62</v>
      </c>
      <c r="B77" s="18">
        <v>18680</v>
      </c>
      <c r="C77" s="18">
        <v>19610</v>
      </c>
      <c r="D77" s="18">
        <v>20680</v>
      </c>
      <c r="E77" s="18">
        <v>24370</v>
      </c>
      <c r="F77" s="18">
        <v>24280</v>
      </c>
      <c r="G77" s="18">
        <v>23840</v>
      </c>
      <c r="H77" s="18">
        <v>24510</v>
      </c>
      <c r="I77" s="18">
        <v>24380</v>
      </c>
      <c r="J77" s="18">
        <v>24920</v>
      </c>
      <c r="K77" s="18">
        <v>25430</v>
      </c>
      <c r="L77" s="18">
        <v>26400</v>
      </c>
      <c r="M77" s="18">
        <v>27180</v>
      </c>
      <c r="N77" s="18">
        <v>27820</v>
      </c>
      <c r="O77" s="18">
        <v>28520</v>
      </c>
      <c r="P77" s="18">
        <v>29640</v>
      </c>
      <c r="Q77" s="18">
        <v>30390</v>
      </c>
      <c r="R77" s="18">
        <v>30380</v>
      </c>
      <c r="S77" s="18">
        <v>31510</v>
      </c>
      <c r="T77" s="18">
        <v>32450</v>
      </c>
      <c r="U77" s="18">
        <v>32730</v>
      </c>
      <c r="V77" s="18">
        <v>32080</v>
      </c>
      <c r="W77" s="18">
        <v>31220</v>
      </c>
      <c r="X77" s="18">
        <v>30870</v>
      </c>
      <c r="Y77" s="18">
        <v>31680</v>
      </c>
      <c r="Z77" s="18">
        <v>32130</v>
      </c>
      <c r="AA77" s="18">
        <v>32910</v>
      </c>
      <c r="AB77" s="18">
        <v>32970</v>
      </c>
      <c r="AC77" s="18">
        <v>34430</v>
      </c>
      <c r="AD77" s="18">
        <v>34060</v>
      </c>
      <c r="AE77" s="18">
        <v>33250</v>
      </c>
      <c r="AF77" s="18">
        <v>32440</v>
      </c>
      <c r="AG77" s="18">
        <v>31440</v>
      </c>
      <c r="AH77" s="18">
        <v>30390</v>
      </c>
      <c r="AI77" s="18">
        <v>30820</v>
      </c>
      <c r="AJ77" s="18">
        <v>30860</v>
      </c>
      <c r="AK77" s="18">
        <v>32070</v>
      </c>
    </row>
    <row r="78" spans="1:37" x14ac:dyDescent="0.25">
      <c r="A78" s="12">
        <v>63</v>
      </c>
      <c r="B78" s="18">
        <v>16840</v>
      </c>
      <c r="C78" s="18">
        <v>18600</v>
      </c>
      <c r="D78" s="18">
        <v>19540</v>
      </c>
      <c r="E78" s="18">
        <v>20580</v>
      </c>
      <c r="F78" s="18">
        <v>24270</v>
      </c>
      <c r="G78" s="18">
        <v>24200</v>
      </c>
      <c r="H78" s="18">
        <v>23820</v>
      </c>
      <c r="I78" s="18">
        <v>24470</v>
      </c>
      <c r="J78" s="18">
        <v>24270</v>
      </c>
      <c r="K78" s="18">
        <v>24920</v>
      </c>
      <c r="L78" s="18">
        <v>25420</v>
      </c>
      <c r="M78" s="18">
        <v>26370</v>
      </c>
      <c r="N78" s="18">
        <v>27120</v>
      </c>
      <c r="O78" s="18">
        <v>27760</v>
      </c>
      <c r="P78" s="18">
        <v>28730</v>
      </c>
      <c r="Q78" s="18">
        <v>29220</v>
      </c>
      <c r="R78" s="18">
        <v>29890</v>
      </c>
      <c r="S78" s="18">
        <v>30120</v>
      </c>
      <c r="T78" s="18">
        <v>31370</v>
      </c>
      <c r="U78" s="18">
        <v>32360</v>
      </c>
      <c r="V78" s="18">
        <v>32650</v>
      </c>
      <c r="W78" s="18">
        <v>32020</v>
      </c>
      <c r="X78" s="18">
        <v>31170</v>
      </c>
      <c r="Y78" s="18">
        <v>30830</v>
      </c>
      <c r="Z78" s="18">
        <v>31640</v>
      </c>
      <c r="AA78" s="18">
        <v>32090</v>
      </c>
      <c r="AB78" s="18">
        <v>32870</v>
      </c>
      <c r="AC78" s="18">
        <v>32930</v>
      </c>
      <c r="AD78" s="18">
        <v>34390</v>
      </c>
      <c r="AE78" s="18">
        <v>34020</v>
      </c>
      <c r="AF78" s="18">
        <v>33230</v>
      </c>
      <c r="AG78" s="18">
        <v>32420</v>
      </c>
      <c r="AH78" s="18">
        <v>31430</v>
      </c>
      <c r="AI78" s="18">
        <v>30380</v>
      </c>
      <c r="AJ78" s="18">
        <v>30810</v>
      </c>
      <c r="AK78" s="18">
        <v>30860</v>
      </c>
    </row>
    <row r="79" spans="1:37" x14ac:dyDescent="0.25">
      <c r="A79" s="12">
        <v>64</v>
      </c>
      <c r="B79" s="18">
        <v>18730</v>
      </c>
      <c r="C79" s="18">
        <v>16750</v>
      </c>
      <c r="D79" s="18">
        <v>18530</v>
      </c>
      <c r="E79" s="18">
        <v>19490</v>
      </c>
      <c r="F79" s="18">
        <v>20520</v>
      </c>
      <c r="G79" s="18">
        <v>24170</v>
      </c>
      <c r="H79" s="18">
        <v>24150</v>
      </c>
      <c r="I79" s="18">
        <v>23800</v>
      </c>
      <c r="J79" s="18">
        <v>24370</v>
      </c>
      <c r="K79" s="18">
        <v>24140</v>
      </c>
      <c r="L79" s="18">
        <v>24830</v>
      </c>
      <c r="M79" s="18">
        <v>25400</v>
      </c>
      <c r="N79" s="18">
        <v>26240</v>
      </c>
      <c r="O79" s="18">
        <v>26990</v>
      </c>
      <c r="P79" s="18">
        <v>28000</v>
      </c>
      <c r="Q79" s="18">
        <v>28380</v>
      </c>
      <c r="R79" s="18">
        <v>28800</v>
      </c>
      <c r="S79" s="18">
        <v>29610</v>
      </c>
      <c r="T79" s="18">
        <v>29960</v>
      </c>
      <c r="U79" s="18">
        <v>31260</v>
      </c>
      <c r="V79" s="18">
        <v>32260</v>
      </c>
      <c r="W79" s="18">
        <v>32560</v>
      </c>
      <c r="X79" s="18">
        <v>31940</v>
      </c>
      <c r="Y79" s="18">
        <v>31090</v>
      </c>
      <c r="Z79" s="18">
        <v>30760</v>
      </c>
      <c r="AA79" s="18">
        <v>31570</v>
      </c>
      <c r="AB79" s="18">
        <v>32020</v>
      </c>
      <c r="AC79" s="18">
        <v>32810</v>
      </c>
      <c r="AD79" s="18">
        <v>32870</v>
      </c>
      <c r="AE79" s="18">
        <v>34330</v>
      </c>
      <c r="AF79" s="18">
        <v>33970</v>
      </c>
      <c r="AG79" s="18">
        <v>33180</v>
      </c>
      <c r="AH79" s="18">
        <v>32380</v>
      </c>
      <c r="AI79" s="18">
        <v>31400</v>
      </c>
      <c r="AJ79" s="18">
        <v>30360</v>
      </c>
      <c r="AK79" s="18">
        <v>30790</v>
      </c>
    </row>
    <row r="80" spans="1:37" x14ac:dyDescent="0.25">
      <c r="A80" s="12">
        <v>65</v>
      </c>
      <c r="B80" s="18">
        <v>18400</v>
      </c>
      <c r="C80" s="18">
        <v>18630</v>
      </c>
      <c r="D80" s="18">
        <v>16670</v>
      </c>
      <c r="E80" s="18">
        <v>18440</v>
      </c>
      <c r="F80" s="18">
        <v>19440</v>
      </c>
      <c r="G80" s="18">
        <v>20450</v>
      </c>
      <c r="H80" s="18">
        <v>24040</v>
      </c>
      <c r="I80" s="18">
        <v>24050</v>
      </c>
      <c r="J80" s="18">
        <v>23620</v>
      </c>
      <c r="K80" s="18">
        <v>24270</v>
      </c>
      <c r="L80" s="18">
        <v>24050</v>
      </c>
      <c r="M80" s="18">
        <v>24720</v>
      </c>
      <c r="N80" s="18">
        <v>25300</v>
      </c>
      <c r="O80" s="18">
        <v>26070</v>
      </c>
      <c r="P80" s="18">
        <v>27150</v>
      </c>
      <c r="Q80" s="18">
        <v>27620</v>
      </c>
      <c r="R80" s="18">
        <v>27950</v>
      </c>
      <c r="S80" s="18">
        <v>28510</v>
      </c>
      <c r="T80" s="18">
        <v>29430</v>
      </c>
      <c r="U80" s="18">
        <v>29840</v>
      </c>
      <c r="V80" s="18">
        <v>31140</v>
      </c>
      <c r="W80" s="18">
        <v>32140</v>
      </c>
      <c r="X80" s="18">
        <v>32440</v>
      </c>
      <c r="Y80" s="18">
        <v>31830</v>
      </c>
      <c r="Z80" s="18">
        <v>31000</v>
      </c>
      <c r="AA80" s="18">
        <v>30680</v>
      </c>
      <c r="AB80" s="18">
        <v>31490</v>
      </c>
      <c r="AC80" s="18">
        <v>31940</v>
      </c>
      <c r="AD80" s="18">
        <v>32730</v>
      </c>
      <c r="AE80" s="18">
        <v>32790</v>
      </c>
      <c r="AF80" s="18">
        <v>34250</v>
      </c>
      <c r="AG80" s="18">
        <v>33890</v>
      </c>
      <c r="AH80" s="18">
        <v>33110</v>
      </c>
      <c r="AI80" s="18">
        <v>32320</v>
      </c>
      <c r="AJ80" s="18">
        <v>31350</v>
      </c>
      <c r="AK80" s="18">
        <v>30310</v>
      </c>
    </row>
    <row r="81" spans="1:37" x14ac:dyDescent="0.25">
      <c r="A81" s="12">
        <v>66</v>
      </c>
      <c r="B81" s="18">
        <v>16900</v>
      </c>
      <c r="C81" s="18">
        <v>18240</v>
      </c>
      <c r="D81" s="18">
        <v>18470</v>
      </c>
      <c r="E81" s="18">
        <v>16570</v>
      </c>
      <c r="F81" s="18">
        <v>18340</v>
      </c>
      <c r="G81" s="18">
        <v>19330</v>
      </c>
      <c r="H81" s="18">
        <v>20350</v>
      </c>
      <c r="I81" s="18">
        <v>23940</v>
      </c>
      <c r="J81" s="18">
        <v>23910</v>
      </c>
      <c r="K81" s="18">
        <v>23450</v>
      </c>
      <c r="L81" s="18">
        <v>24090</v>
      </c>
      <c r="M81" s="18">
        <v>23950</v>
      </c>
      <c r="N81" s="18">
        <v>24570</v>
      </c>
      <c r="O81" s="18">
        <v>25070</v>
      </c>
      <c r="P81" s="18">
        <v>26220</v>
      </c>
      <c r="Q81" s="18">
        <v>26740</v>
      </c>
      <c r="R81" s="18">
        <v>27170</v>
      </c>
      <c r="S81" s="18">
        <v>27730</v>
      </c>
      <c r="T81" s="18">
        <v>28350</v>
      </c>
      <c r="U81" s="18">
        <v>29280</v>
      </c>
      <c r="V81" s="18">
        <v>29700</v>
      </c>
      <c r="W81" s="18">
        <v>31000</v>
      </c>
      <c r="X81" s="18">
        <v>32000</v>
      </c>
      <c r="Y81" s="18">
        <v>32310</v>
      </c>
      <c r="Z81" s="18">
        <v>31710</v>
      </c>
      <c r="AA81" s="18">
        <v>30890</v>
      </c>
      <c r="AB81" s="18">
        <v>30570</v>
      </c>
      <c r="AC81" s="18">
        <v>31380</v>
      </c>
      <c r="AD81" s="18">
        <v>31840</v>
      </c>
      <c r="AE81" s="18">
        <v>32630</v>
      </c>
      <c r="AF81" s="18">
        <v>32690</v>
      </c>
      <c r="AG81" s="18">
        <v>34150</v>
      </c>
      <c r="AH81" s="18">
        <v>33800</v>
      </c>
      <c r="AI81" s="18">
        <v>33020</v>
      </c>
      <c r="AJ81" s="18">
        <v>32240</v>
      </c>
      <c r="AK81" s="18">
        <v>31270</v>
      </c>
    </row>
    <row r="82" spans="1:37" x14ac:dyDescent="0.25">
      <c r="A82" s="12">
        <v>67</v>
      </c>
      <c r="B82" s="18">
        <v>15620</v>
      </c>
      <c r="C82" s="18">
        <v>16740</v>
      </c>
      <c r="D82" s="18">
        <v>18050</v>
      </c>
      <c r="E82" s="18">
        <v>18370</v>
      </c>
      <c r="F82" s="18">
        <v>16430</v>
      </c>
      <c r="G82" s="18">
        <v>18210</v>
      </c>
      <c r="H82" s="18">
        <v>19190</v>
      </c>
      <c r="I82" s="18">
        <v>20190</v>
      </c>
      <c r="J82" s="18">
        <v>23730</v>
      </c>
      <c r="K82" s="18">
        <v>23720</v>
      </c>
      <c r="L82" s="18">
        <v>23280</v>
      </c>
      <c r="M82" s="18">
        <v>23910</v>
      </c>
      <c r="N82" s="18">
        <v>23710</v>
      </c>
      <c r="O82" s="18">
        <v>24360</v>
      </c>
      <c r="P82" s="18">
        <v>25120</v>
      </c>
      <c r="Q82" s="18">
        <v>25740</v>
      </c>
      <c r="R82" s="18">
        <v>26230</v>
      </c>
      <c r="S82" s="18">
        <v>26840</v>
      </c>
      <c r="T82" s="18">
        <v>27440</v>
      </c>
      <c r="U82" s="18">
        <v>28180</v>
      </c>
      <c r="V82" s="18">
        <v>29120</v>
      </c>
      <c r="W82" s="18">
        <v>29540</v>
      </c>
      <c r="X82" s="18">
        <v>30840</v>
      </c>
      <c r="Y82" s="18">
        <v>31840</v>
      </c>
      <c r="Z82" s="18">
        <v>32160</v>
      </c>
      <c r="AA82" s="18">
        <v>31560</v>
      </c>
      <c r="AB82" s="18">
        <v>30750</v>
      </c>
      <c r="AC82" s="18">
        <v>30440</v>
      </c>
      <c r="AD82" s="18">
        <v>31250</v>
      </c>
      <c r="AE82" s="18">
        <v>31710</v>
      </c>
      <c r="AF82" s="18">
        <v>32500</v>
      </c>
      <c r="AG82" s="18">
        <v>32570</v>
      </c>
      <c r="AH82" s="18">
        <v>34020</v>
      </c>
      <c r="AI82" s="18">
        <v>33680</v>
      </c>
      <c r="AJ82" s="18">
        <v>32910</v>
      </c>
      <c r="AK82" s="18">
        <v>32130</v>
      </c>
    </row>
    <row r="83" spans="1:37" x14ac:dyDescent="0.25">
      <c r="A83" s="12">
        <v>68</v>
      </c>
      <c r="B83" s="18">
        <v>14760</v>
      </c>
      <c r="C83" s="18">
        <v>15410</v>
      </c>
      <c r="D83" s="18">
        <v>16570</v>
      </c>
      <c r="E83" s="18">
        <v>17860</v>
      </c>
      <c r="F83" s="18">
        <v>18190</v>
      </c>
      <c r="G83" s="18">
        <v>16290</v>
      </c>
      <c r="H83" s="18">
        <v>18050</v>
      </c>
      <c r="I83" s="18">
        <v>19110</v>
      </c>
      <c r="J83" s="18">
        <v>20010</v>
      </c>
      <c r="K83" s="18">
        <v>23460</v>
      </c>
      <c r="L83" s="18">
        <v>23510</v>
      </c>
      <c r="M83" s="18">
        <v>23070</v>
      </c>
      <c r="N83" s="18">
        <v>23680</v>
      </c>
      <c r="O83" s="18">
        <v>23470</v>
      </c>
      <c r="P83" s="18">
        <v>24360</v>
      </c>
      <c r="Q83" s="18">
        <v>24680</v>
      </c>
      <c r="R83" s="18">
        <v>25280</v>
      </c>
      <c r="S83" s="18">
        <v>25820</v>
      </c>
      <c r="T83" s="18">
        <v>26610</v>
      </c>
      <c r="U83" s="18">
        <v>27250</v>
      </c>
      <c r="V83" s="18">
        <v>28000</v>
      </c>
      <c r="W83" s="18">
        <v>28930</v>
      </c>
      <c r="X83" s="18">
        <v>29360</v>
      </c>
      <c r="Y83" s="18">
        <v>30650</v>
      </c>
      <c r="Z83" s="18">
        <v>31660</v>
      </c>
      <c r="AA83" s="18">
        <v>31970</v>
      </c>
      <c r="AB83" s="18">
        <v>31390</v>
      </c>
      <c r="AC83" s="18">
        <v>30590</v>
      </c>
      <c r="AD83" s="18">
        <v>30290</v>
      </c>
      <c r="AE83" s="18">
        <v>31100</v>
      </c>
      <c r="AF83" s="18">
        <v>31560</v>
      </c>
      <c r="AG83" s="18">
        <v>32350</v>
      </c>
      <c r="AH83" s="18">
        <v>32420</v>
      </c>
      <c r="AI83" s="18">
        <v>33870</v>
      </c>
      <c r="AJ83" s="18">
        <v>33530</v>
      </c>
      <c r="AK83" s="18">
        <v>32770</v>
      </c>
    </row>
    <row r="84" spans="1:37" x14ac:dyDescent="0.25">
      <c r="A84" s="12">
        <v>69</v>
      </c>
      <c r="B84" s="18">
        <v>14230</v>
      </c>
      <c r="C84" s="18">
        <v>14600</v>
      </c>
      <c r="D84" s="18">
        <v>15220</v>
      </c>
      <c r="E84" s="18">
        <v>16380</v>
      </c>
      <c r="F84" s="18">
        <v>17680</v>
      </c>
      <c r="G84" s="18">
        <v>18000</v>
      </c>
      <c r="H84" s="18">
        <v>16110</v>
      </c>
      <c r="I84" s="18">
        <v>17900</v>
      </c>
      <c r="J84" s="18">
        <v>18880</v>
      </c>
      <c r="K84" s="18">
        <v>19780</v>
      </c>
      <c r="L84" s="18">
        <v>23170</v>
      </c>
      <c r="M84" s="18">
        <v>23270</v>
      </c>
      <c r="N84" s="18">
        <v>22740</v>
      </c>
      <c r="O84" s="18">
        <v>23440</v>
      </c>
      <c r="P84" s="18">
        <v>23430</v>
      </c>
      <c r="Q84" s="18">
        <v>23960</v>
      </c>
      <c r="R84" s="18">
        <v>24210</v>
      </c>
      <c r="S84" s="18">
        <v>24980</v>
      </c>
      <c r="T84" s="18">
        <v>25560</v>
      </c>
      <c r="U84" s="18">
        <v>26400</v>
      </c>
      <c r="V84" s="18">
        <v>27040</v>
      </c>
      <c r="W84" s="18">
        <v>27790</v>
      </c>
      <c r="X84" s="18">
        <v>28720</v>
      </c>
      <c r="Y84" s="18">
        <v>29160</v>
      </c>
      <c r="Z84" s="18">
        <v>30450</v>
      </c>
      <c r="AA84" s="18">
        <v>31450</v>
      </c>
      <c r="AB84" s="18">
        <v>31770</v>
      </c>
      <c r="AC84" s="18">
        <v>31200</v>
      </c>
      <c r="AD84" s="18">
        <v>30410</v>
      </c>
      <c r="AE84" s="18">
        <v>30110</v>
      </c>
      <c r="AF84" s="18">
        <v>30920</v>
      </c>
      <c r="AG84" s="18">
        <v>31390</v>
      </c>
      <c r="AH84" s="18">
        <v>32170</v>
      </c>
      <c r="AI84" s="18">
        <v>32260</v>
      </c>
      <c r="AJ84" s="18">
        <v>33700</v>
      </c>
      <c r="AK84" s="18">
        <v>33370</v>
      </c>
    </row>
    <row r="85" spans="1:37" x14ac:dyDescent="0.25">
      <c r="A85" s="12">
        <v>70</v>
      </c>
      <c r="B85" s="18">
        <v>13460</v>
      </c>
      <c r="C85" s="18">
        <v>13990</v>
      </c>
      <c r="D85" s="18">
        <v>14400</v>
      </c>
      <c r="E85" s="18">
        <v>15000</v>
      </c>
      <c r="F85" s="18">
        <v>16170</v>
      </c>
      <c r="G85" s="18">
        <v>17450</v>
      </c>
      <c r="H85" s="18">
        <v>17790</v>
      </c>
      <c r="I85" s="18">
        <v>15930</v>
      </c>
      <c r="J85" s="18">
        <v>17690</v>
      </c>
      <c r="K85" s="18">
        <v>18640</v>
      </c>
      <c r="L85" s="18">
        <v>19550</v>
      </c>
      <c r="M85" s="18">
        <v>22870</v>
      </c>
      <c r="N85" s="18">
        <v>22970</v>
      </c>
      <c r="O85" s="18">
        <v>22460</v>
      </c>
      <c r="P85" s="18">
        <v>23360</v>
      </c>
      <c r="Q85" s="18">
        <v>23010</v>
      </c>
      <c r="R85" s="18">
        <v>23480</v>
      </c>
      <c r="S85" s="18">
        <v>23820</v>
      </c>
      <c r="T85" s="18">
        <v>24690</v>
      </c>
      <c r="U85" s="18">
        <v>25340</v>
      </c>
      <c r="V85" s="18">
        <v>26180</v>
      </c>
      <c r="W85" s="18">
        <v>26820</v>
      </c>
      <c r="X85" s="18">
        <v>27570</v>
      </c>
      <c r="Y85" s="18">
        <v>28510</v>
      </c>
      <c r="Z85" s="18">
        <v>28940</v>
      </c>
      <c r="AA85" s="18">
        <v>30230</v>
      </c>
      <c r="AB85" s="18">
        <v>31230</v>
      </c>
      <c r="AC85" s="18">
        <v>31550</v>
      </c>
      <c r="AD85" s="18">
        <v>30990</v>
      </c>
      <c r="AE85" s="18">
        <v>30210</v>
      </c>
      <c r="AF85" s="18">
        <v>29920</v>
      </c>
      <c r="AG85" s="18">
        <v>30730</v>
      </c>
      <c r="AH85" s="18">
        <v>31200</v>
      </c>
      <c r="AI85" s="18">
        <v>31980</v>
      </c>
      <c r="AJ85" s="18">
        <v>32070</v>
      </c>
      <c r="AK85" s="18">
        <v>33510</v>
      </c>
    </row>
    <row r="86" spans="1:37" x14ac:dyDescent="0.25">
      <c r="A86" s="12">
        <v>71</v>
      </c>
      <c r="B86" s="18">
        <v>12650</v>
      </c>
      <c r="C86" s="18">
        <v>13250</v>
      </c>
      <c r="D86" s="18">
        <v>13770</v>
      </c>
      <c r="E86" s="18">
        <v>14190</v>
      </c>
      <c r="F86" s="18">
        <v>14780</v>
      </c>
      <c r="G86" s="18">
        <v>15900</v>
      </c>
      <c r="H86" s="18">
        <v>17210</v>
      </c>
      <c r="I86" s="18">
        <v>17570</v>
      </c>
      <c r="J86" s="18">
        <v>15700</v>
      </c>
      <c r="K86" s="18">
        <v>17460</v>
      </c>
      <c r="L86" s="18">
        <v>18370</v>
      </c>
      <c r="M86" s="18">
        <v>19290</v>
      </c>
      <c r="N86" s="18">
        <v>22520</v>
      </c>
      <c r="O86" s="18">
        <v>22640</v>
      </c>
      <c r="P86" s="18">
        <v>22340</v>
      </c>
      <c r="Q86" s="18">
        <v>22970</v>
      </c>
      <c r="R86" s="18">
        <v>22540</v>
      </c>
      <c r="S86" s="18">
        <v>23100</v>
      </c>
      <c r="T86" s="18">
        <v>23540</v>
      </c>
      <c r="U86" s="18">
        <v>24440</v>
      </c>
      <c r="V86" s="18">
        <v>25090</v>
      </c>
      <c r="W86" s="18">
        <v>25930</v>
      </c>
      <c r="X86" s="18">
        <v>26580</v>
      </c>
      <c r="Y86" s="18">
        <v>27330</v>
      </c>
      <c r="Z86" s="18">
        <v>28260</v>
      </c>
      <c r="AA86" s="18">
        <v>28700</v>
      </c>
      <c r="AB86" s="18">
        <v>29980</v>
      </c>
      <c r="AC86" s="18">
        <v>30980</v>
      </c>
      <c r="AD86" s="18">
        <v>31310</v>
      </c>
      <c r="AE86" s="18">
        <v>30750</v>
      </c>
      <c r="AF86" s="18">
        <v>29990</v>
      </c>
      <c r="AG86" s="18">
        <v>29710</v>
      </c>
      <c r="AH86" s="18">
        <v>30520</v>
      </c>
      <c r="AI86" s="18">
        <v>30980</v>
      </c>
      <c r="AJ86" s="18">
        <v>31770</v>
      </c>
      <c r="AK86" s="18">
        <v>31860</v>
      </c>
    </row>
    <row r="87" spans="1:37" x14ac:dyDescent="0.25">
      <c r="A87" s="12">
        <v>72</v>
      </c>
      <c r="B87" s="18">
        <v>12410</v>
      </c>
      <c r="C87" s="18">
        <v>12440</v>
      </c>
      <c r="D87" s="18">
        <v>13040</v>
      </c>
      <c r="E87" s="18">
        <v>13540</v>
      </c>
      <c r="F87" s="18">
        <v>14000</v>
      </c>
      <c r="G87" s="18">
        <v>14570</v>
      </c>
      <c r="H87" s="18">
        <v>15680</v>
      </c>
      <c r="I87" s="18">
        <v>16960</v>
      </c>
      <c r="J87" s="18">
        <v>17320</v>
      </c>
      <c r="K87" s="18">
        <v>15460</v>
      </c>
      <c r="L87" s="18">
        <v>17180</v>
      </c>
      <c r="M87" s="18">
        <v>18070</v>
      </c>
      <c r="N87" s="18">
        <v>18980</v>
      </c>
      <c r="O87" s="18">
        <v>22220</v>
      </c>
      <c r="P87" s="18">
        <v>22470</v>
      </c>
      <c r="Q87" s="18">
        <v>21880</v>
      </c>
      <c r="R87" s="18">
        <v>22500</v>
      </c>
      <c r="S87" s="18">
        <v>22150</v>
      </c>
      <c r="T87" s="18">
        <v>22810</v>
      </c>
      <c r="U87" s="18">
        <v>23270</v>
      </c>
      <c r="V87" s="18">
        <v>24180</v>
      </c>
      <c r="W87" s="18">
        <v>24830</v>
      </c>
      <c r="X87" s="18">
        <v>25660</v>
      </c>
      <c r="Y87" s="18">
        <v>26310</v>
      </c>
      <c r="Z87" s="18">
        <v>27060</v>
      </c>
      <c r="AA87" s="18">
        <v>27990</v>
      </c>
      <c r="AB87" s="18">
        <v>28430</v>
      </c>
      <c r="AC87" s="18">
        <v>29710</v>
      </c>
      <c r="AD87" s="18">
        <v>30700</v>
      </c>
      <c r="AE87" s="18">
        <v>31030</v>
      </c>
      <c r="AF87" s="18">
        <v>30490</v>
      </c>
      <c r="AG87" s="18">
        <v>29740</v>
      </c>
      <c r="AH87" s="18">
        <v>29470</v>
      </c>
      <c r="AI87" s="18">
        <v>30280</v>
      </c>
      <c r="AJ87" s="18">
        <v>30740</v>
      </c>
      <c r="AK87" s="18">
        <v>31530</v>
      </c>
    </row>
    <row r="88" spans="1:37" x14ac:dyDescent="0.25">
      <c r="A88" s="12">
        <v>73</v>
      </c>
      <c r="B88" s="18">
        <v>12300</v>
      </c>
      <c r="C88" s="18">
        <v>12150</v>
      </c>
      <c r="D88" s="18">
        <v>12180</v>
      </c>
      <c r="E88" s="18">
        <v>12780</v>
      </c>
      <c r="F88" s="18">
        <v>13280</v>
      </c>
      <c r="G88" s="18">
        <v>13760</v>
      </c>
      <c r="H88" s="18">
        <v>14350</v>
      </c>
      <c r="I88" s="18">
        <v>15490</v>
      </c>
      <c r="J88" s="18">
        <v>16700</v>
      </c>
      <c r="K88" s="18">
        <v>17050</v>
      </c>
      <c r="L88" s="18">
        <v>15210</v>
      </c>
      <c r="M88" s="18">
        <v>16840</v>
      </c>
      <c r="N88" s="18">
        <v>17720</v>
      </c>
      <c r="O88" s="18">
        <v>18600</v>
      </c>
      <c r="P88" s="18">
        <v>22040</v>
      </c>
      <c r="Q88" s="18">
        <v>22000</v>
      </c>
      <c r="R88" s="18">
        <v>21380</v>
      </c>
      <c r="S88" s="18">
        <v>22130</v>
      </c>
      <c r="T88" s="18">
        <v>21830</v>
      </c>
      <c r="U88" s="18">
        <v>22520</v>
      </c>
      <c r="V88" s="18">
        <v>22990</v>
      </c>
      <c r="W88" s="18">
        <v>23890</v>
      </c>
      <c r="X88" s="18">
        <v>24540</v>
      </c>
      <c r="Y88" s="18">
        <v>25370</v>
      </c>
      <c r="Z88" s="18">
        <v>26020</v>
      </c>
      <c r="AA88" s="18">
        <v>26770</v>
      </c>
      <c r="AB88" s="18">
        <v>27700</v>
      </c>
      <c r="AC88" s="18">
        <v>28140</v>
      </c>
      <c r="AD88" s="18">
        <v>29410</v>
      </c>
      <c r="AE88" s="18">
        <v>30400</v>
      </c>
      <c r="AF88" s="18">
        <v>30740</v>
      </c>
      <c r="AG88" s="18">
        <v>30210</v>
      </c>
      <c r="AH88" s="18">
        <v>29470</v>
      </c>
      <c r="AI88" s="18">
        <v>29200</v>
      </c>
      <c r="AJ88" s="18">
        <v>30010</v>
      </c>
      <c r="AK88" s="18">
        <v>30480</v>
      </c>
    </row>
    <row r="89" spans="1:37" x14ac:dyDescent="0.25">
      <c r="A89" s="12">
        <v>74</v>
      </c>
      <c r="B89" s="18">
        <v>11960</v>
      </c>
      <c r="C89" s="18">
        <v>12030</v>
      </c>
      <c r="D89" s="18">
        <v>11880</v>
      </c>
      <c r="E89" s="18">
        <v>11930</v>
      </c>
      <c r="F89" s="18">
        <v>12500</v>
      </c>
      <c r="G89" s="18">
        <v>13050</v>
      </c>
      <c r="H89" s="18">
        <v>13510</v>
      </c>
      <c r="I89" s="18">
        <v>14060</v>
      </c>
      <c r="J89" s="18">
        <v>15230</v>
      </c>
      <c r="K89" s="18">
        <v>16370</v>
      </c>
      <c r="L89" s="18">
        <v>16740</v>
      </c>
      <c r="M89" s="18">
        <v>14900</v>
      </c>
      <c r="N89" s="18">
        <v>16490</v>
      </c>
      <c r="O89" s="18">
        <v>17350</v>
      </c>
      <c r="P89" s="18">
        <v>18400</v>
      </c>
      <c r="Q89" s="18">
        <v>21620</v>
      </c>
      <c r="R89" s="18">
        <v>21510</v>
      </c>
      <c r="S89" s="18">
        <v>20970</v>
      </c>
      <c r="T89" s="18">
        <v>21790</v>
      </c>
      <c r="U89" s="18">
        <v>21520</v>
      </c>
      <c r="V89" s="18">
        <v>22210</v>
      </c>
      <c r="W89" s="18">
        <v>22680</v>
      </c>
      <c r="X89" s="18">
        <v>23570</v>
      </c>
      <c r="Y89" s="18">
        <v>24230</v>
      </c>
      <c r="Z89" s="18">
        <v>25060</v>
      </c>
      <c r="AA89" s="18">
        <v>25700</v>
      </c>
      <c r="AB89" s="18">
        <v>26450</v>
      </c>
      <c r="AC89" s="18">
        <v>27370</v>
      </c>
      <c r="AD89" s="18">
        <v>27810</v>
      </c>
      <c r="AE89" s="18">
        <v>29080</v>
      </c>
      <c r="AF89" s="18">
        <v>30070</v>
      </c>
      <c r="AG89" s="18">
        <v>30410</v>
      </c>
      <c r="AH89" s="18">
        <v>29890</v>
      </c>
      <c r="AI89" s="18">
        <v>29170</v>
      </c>
      <c r="AJ89" s="18">
        <v>28910</v>
      </c>
      <c r="AK89" s="18">
        <v>29720</v>
      </c>
    </row>
    <row r="90" spans="1:37" x14ac:dyDescent="0.25">
      <c r="A90" s="12">
        <v>75</v>
      </c>
      <c r="B90" s="18">
        <v>12130</v>
      </c>
      <c r="C90" s="18">
        <v>11650</v>
      </c>
      <c r="D90" s="18">
        <v>11720</v>
      </c>
      <c r="E90" s="18">
        <v>11580</v>
      </c>
      <c r="F90" s="18">
        <v>11660</v>
      </c>
      <c r="G90" s="18">
        <v>12210</v>
      </c>
      <c r="H90" s="18">
        <v>12750</v>
      </c>
      <c r="I90" s="18">
        <v>13220</v>
      </c>
      <c r="J90" s="18">
        <v>13800</v>
      </c>
      <c r="K90" s="18">
        <v>14950</v>
      </c>
      <c r="L90" s="18">
        <v>16050</v>
      </c>
      <c r="M90" s="18">
        <v>16380</v>
      </c>
      <c r="N90" s="18">
        <v>14540</v>
      </c>
      <c r="O90" s="18">
        <v>16140</v>
      </c>
      <c r="P90" s="18">
        <v>17110</v>
      </c>
      <c r="Q90" s="18">
        <v>17960</v>
      </c>
      <c r="R90" s="18">
        <v>21080</v>
      </c>
      <c r="S90" s="18">
        <v>20960</v>
      </c>
      <c r="T90" s="18">
        <v>20570</v>
      </c>
      <c r="U90" s="18">
        <v>21440</v>
      </c>
      <c r="V90" s="18">
        <v>21180</v>
      </c>
      <c r="W90" s="18">
        <v>21870</v>
      </c>
      <c r="X90" s="18">
        <v>22340</v>
      </c>
      <c r="Y90" s="18">
        <v>23230</v>
      </c>
      <c r="Z90" s="18">
        <v>23880</v>
      </c>
      <c r="AA90" s="18">
        <v>24710</v>
      </c>
      <c r="AB90" s="18">
        <v>25350</v>
      </c>
      <c r="AC90" s="18">
        <v>26100</v>
      </c>
      <c r="AD90" s="18">
        <v>27020</v>
      </c>
      <c r="AE90" s="18">
        <v>27460</v>
      </c>
      <c r="AF90" s="18">
        <v>28720</v>
      </c>
      <c r="AG90" s="18">
        <v>29700</v>
      </c>
      <c r="AH90" s="18">
        <v>30050</v>
      </c>
      <c r="AI90" s="18">
        <v>29550</v>
      </c>
      <c r="AJ90" s="18">
        <v>28840</v>
      </c>
      <c r="AK90" s="18">
        <v>28590</v>
      </c>
    </row>
    <row r="91" spans="1:37" x14ac:dyDescent="0.25">
      <c r="A91" s="12">
        <v>76</v>
      </c>
      <c r="B91" s="18">
        <v>11810</v>
      </c>
      <c r="C91" s="18">
        <v>11810</v>
      </c>
      <c r="D91" s="18">
        <v>11370</v>
      </c>
      <c r="E91" s="18">
        <v>11450</v>
      </c>
      <c r="F91" s="18">
        <v>11320</v>
      </c>
      <c r="G91" s="18">
        <v>11380</v>
      </c>
      <c r="H91" s="18">
        <v>11880</v>
      </c>
      <c r="I91" s="18">
        <v>12470</v>
      </c>
      <c r="J91" s="18">
        <v>12930</v>
      </c>
      <c r="K91" s="18">
        <v>13500</v>
      </c>
      <c r="L91" s="18">
        <v>14640</v>
      </c>
      <c r="M91" s="18">
        <v>15680</v>
      </c>
      <c r="N91" s="18">
        <v>16020</v>
      </c>
      <c r="O91" s="18">
        <v>14210</v>
      </c>
      <c r="P91" s="18">
        <v>15870</v>
      </c>
      <c r="Q91" s="18">
        <v>16670</v>
      </c>
      <c r="R91" s="18">
        <v>17430</v>
      </c>
      <c r="S91" s="18">
        <v>20590</v>
      </c>
      <c r="T91" s="18">
        <v>20550</v>
      </c>
      <c r="U91" s="18">
        <v>20200</v>
      </c>
      <c r="V91" s="18">
        <v>21060</v>
      </c>
      <c r="W91" s="18">
        <v>20820</v>
      </c>
      <c r="X91" s="18">
        <v>21500</v>
      </c>
      <c r="Y91" s="18">
        <v>21970</v>
      </c>
      <c r="Z91" s="18">
        <v>22860</v>
      </c>
      <c r="AA91" s="18">
        <v>23510</v>
      </c>
      <c r="AB91" s="18">
        <v>24330</v>
      </c>
      <c r="AC91" s="18">
        <v>24970</v>
      </c>
      <c r="AD91" s="18">
        <v>25720</v>
      </c>
      <c r="AE91" s="18">
        <v>26630</v>
      </c>
      <c r="AF91" s="18">
        <v>27080</v>
      </c>
      <c r="AG91" s="18">
        <v>28320</v>
      </c>
      <c r="AH91" s="18">
        <v>29300</v>
      </c>
      <c r="AI91" s="18">
        <v>29650</v>
      </c>
      <c r="AJ91" s="18">
        <v>29160</v>
      </c>
      <c r="AK91" s="18">
        <v>28470</v>
      </c>
    </row>
    <row r="92" spans="1:37" x14ac:dyDescent="0.25">
      <c r="A92" s="12">
        <v>77</v>
      </c>
      <c r="B92" s="18">
        <v>11080</v>
      </c>
      <c r="C92" s="18">
        <v>11460</v>
      </c>
      <c r="D92" s="18">
        <v>11470</v>
      </c>
      <c r="E92" s="18">
        <v>11050</v>
      </c>
      <c r="F92" s="18">
        <v>11120</v>
      </c>
      <c r="G92" s="18">
        <v>11050</v>
      </c>
      <c r="H92" s="18">
        <v>11070</v>
      </c>
      <c r="I92" s="18">
        <v>11540</v>
      </c>
      <c r="J92" s="18">
        <v>12120</v>
      </c>
      <c r="K92" s="18">
        <v>12620</v>
      </c>
      <c r="L92" s="18">
        <v>13180</v>
      </c>
      <c r="M92" s="18">
        <v>14290</v>
      </c>
      <c r="N92" s="18">
        <v>15250</v>
      </c>
      <c r="O92" s="18">
        <v>15590</v>
      </c>
      <c r="P92" s="18">
        <v>13980</v>
      </c>
      <c r="Q92" s="18">
        <v>15470</v>
      </c>
      <c r="R92" s="18">
        <v>16130</v>
      </c>
      <c r="S92" s="18">
        <v>16920</v>
      </c>
      <c r="T92" s="18">
        <v>20130</v>
      </c>
      <c r="U92" s="18">
        <v>20130</v>
      </c>
      <c r="V92" s="18">
        <v>19800</v>
      </c>
      <c r="W92" s="18">
        <v>20650</v>
      </c>
      <c r="X92" s="18">
        <v>20420</v>
      </c>
      <c r="Y92" s="18">
        <v>21100</v>
      </c>
      <c r="Z92" s="18">
        <v>21580</v>
      </c>
      <c r="AA92" s="18">
        <v>22450</v>
      </c>
      <c r="AB92" s="18">
        <v>23100</v>
      </c>
      <c r="AC92" s="18">
        <v>23920</v>
      </c>
      <c r="AD92" s="18">
        <v>24560</v>
      </c>
      <c r="AE92" s="18">
        <v>25300</v>
      </c>
      <c r="AF92" s="18">
        <v>26200</v>
      </c>
      <c r="AG92" s="18">
        <v>26650</v>
      </c>
      <c r="AH92" s="18">
        <v>27890</v>
      </c>
      <c r="AI92" s="18">
        <v>28860</v>
      </c>
      <c r="AJ92" s="18">
        <v>29210</v>
      </c>
      <c r="AK92" s="18">
        <v>28740</v>
      </c>
    </row>
    <row r="93" spans="1:37" x14ac:dyDescent="0.25">
      <c r="A93" s="12">
        <v>78</v>
      </c>
      <c r="B93" s="18">
        <v>10800</v>
      </c>
      <c r="C93" s="18">
        <v>10740</v>
      </c>
      <c r="D93" s="18">
        <v>11110</v>
      </c>
      <c r="E93" s="18">
        <v>11130</v>
      </c>
      <c r="F93" s="18">
        <v>10710</v>
      </c>
      <c r="G93" s="18">
        <v>10800</v>
      </c>
      <c r="H93" s="18">
        <v>10750</v>
      </c>
      <c r="I93" s="18">
        <v>10730</v>
      </c>
      <c r="J93" s="18">
        <v>11180</v>
      </c>
      <c r="K93" s="18">
        <v>11750</v>
      </c>
      <c r="L93" s="18">
        <v>12220</v>
      </c>
      <c r="M93" s="18">
        <v>12840</v>
      </c>
      <c r="N93" s="18">
        <v>13860</v>
      </c>
      <c r="O93" s="18">
        <v>14840</v>
      </c>
      <c r="P93" s="18">
        <v>15220</v>
      </c>
      <c r="Q93" s="18">
        <v>13610</v>
      </c>
      <c r="R93" s="18">
        <v>14950</v>
      </c>
      <c r="S93" s="18">
        <v>15660</v>
      </c>
      <c r="T93" s="18">
        <v>16530</v>
      </c>
      <c r="U93" s="18">
        <v>19660</v>
      </c>
      <c r="V93" s="18">
        <v>19680</v>
      </c>
      <c r="W93" s="18">
        <v>19360</v>
      </c>
      <c r="X93" s="18">
        <v>20210</v>
      </c>
      <c r="Y93" s="18">
        <v>19990</v>
      </c>
      <c r="Z93" s="18">
        <v>20670</v>
      </c>
      <c r="AA93" s="18">
        <v>21140</v>
      </c>
      <c r="AB93" s="18">
        <v>22010</v>
      </c>
      <c r="AC93" s="18">
        <v>22650</v>
      </c>
      <c r="AD93" s="18">
        <v>23460</v>
      </c>
      <c r="AE93" s="18">
        <v>24100</v>
      </c>
      <c r="AF93" s="18">
        <v>24830</v>
      </c>
      <c r="AG93" s="18">
        <v>25730</v>
      </c>
      <c r="AH93" s="18">
        <v>26180</v>
      </c>
      <c r="AI93" s="18">
        <v>27410</v>
      </c>
      <c r="AJ93" s="18">
        <v>28370</v>
      </c>
      <c r="AK93" s="18">
        <v>28730</v>
      </c>
    </row>
    <row r="94" spans="1:37" x14ac:dyDescent="0.25">
      <c r="A94" s="12">
        <v>79</v>
      </c>
      <c r="B94" s="18">
        <v>10220</v>
      </c>
      <c r="C94" s="18">
        <v>10390</v>
      </c>
      <c r="D94" s="18">
        <v>10360</v>
      </c>
      <c r="E94" s="18">
        <v>10710</v>
      </c>
      <c r="F94" s="18">
        <v>10800</v>
      </c>
      <c r="G94" s="18">
        <v>10360</v>
      </c>
      <c r="H94" s="18">
        <v>10460</v>
      </c>
      <c r="I94" s="18">
        <v>10380</v>
      </c>
      <c r="J94" s="18">
        <v>10380</v>
      </c>
      <c r="K94" s="18">
        <v>10830</v>
      </c>
      <c r="L94" s="18">
        <v>11340</v>
      </c>
      <c r="M94" s="18">
        <v>11830</v>
      </c>
      <c r="N94" s="18">
        <v>12410</v>
      </c>
      <c r="O94" s="18">
        <v>13400</v>
      </c>
      <c r="P94" s="18">
        <v>14460</v>
      </c>
      <c r="Q94" s="18">
        <v>14720</v>
      </c>
      <c r="R94" s="18">
        <v>13160</v>
      </c>
      <c r="S94" s="18">
        <v>14410</v>
      </c>
      <c r="T94" s="18">
        <v>15170</v>
      </c>
      <c r="U94" s="18">
        <v>16090</v>
      </c>
      <c r="V94" s="18">
        <v>19150</v>
      </c>
      <c r="W94" s="18">
        <v>19180</v>
      </c>
      <c r="X94" s="18">
        <v>18880</v>
      </c>
      <c r="Y94" s="18">
        <v>19720</v>
      </c>
      <c r="Z94" s="18">
        <v>19520</v>
      </c>
      <c r="AA94" s="18">
        <v>20190</v>
      </c>
      <c r="AB94" s="18">
        <v>20660</v>
      </c>
      <c r="AC94" s="18">
        <v>21520</v>
      </c>
      <c r="AD94" s="18">
        <v>22160</v>
      </c>
      <c r="AE94" s="18">
        <v>22960</v>
      </c>
      <c r="AF94" s="18">
        <v>23590</v>
      </c>
      <c r="AG94" s="18">
        <v>24320</v>
      </c>
      <c r="AH94" s="18">
        <v>25210</v>
      </c>
      <c r="AI94" s="18">
        <v>25660</v>
      </c>
      <c r="AJ94" s="18">
        <v>26870</v>
      </c>
      <c r="AK94" s="18">
        <v>27830</v>
      </c>
    </row>
    <row r="95" spans="1:37" x14ac:dyDescent="0.25">
      <c r="A95" s="12">
        <v>80</v>
      </c>
      <c r="B95" s="18">
        <v>9890</v>
      </c>
      <c r="C95" s="18">
        <v>9830</v>
      </c>
      <c r="D95" s="18">
        <v>9990</v>
      </c>
      <c r="E95" s="18">
        <v>9950</v>
      </c>
      <c r="F95" s="18">
        <v>10300</v>
      </c>
      <c r="G95" s="18">
        <v>10410</v>
      </c>
      <c r="H95" s="18">
        <v>9930</v>
      </c>
      <c r="I95" s="18">
        <v>10090</v>
      </c>
      <c r="J95" s="18">
        <v>10000</v>
      </c>
      <c r="K95" s="18">
        <v>10010</v>
      </c>
      <c r="L95" s="18">
        <v>10420</v>
      </c>
      <c r="M95" s="18">
        <v>10940</v>
      </c>
      <c r="N95" s="18">
        <v>11400</v>
      </c>
      <c r="O95" s="18">
        <v>11970</v>
      </c>
      <c r="P95" s="18">
        <v>12960</v>
      </c>
      <c r="Q95" s="18">
        <v>13990</v>
      </c>
      <c r="R95" s="18">
        <v>14140</v>
      </c>
      <c r="S95" s="18">
        <v>12670</v>
      </c>
      <c r="T95" s="18">
        <v>13920</v>
      </c>
      <c r="U95" s="18">
        <v>14710</v>
      </c>
      <c r="V95" s="18">
        <v>15620</v>
      </c>
      <c r="W95" s="18">
        <v>18600</v>
      </c>
      <c r="X95" s="18">
        <v>18640</v>
      </c>
      <c r="Y95" s="18">
        <v>18360</v>
      </c>
      <c r="Z95" s="18">
        <v>19180</v>
      </c>
      <c r="AA95" s="18">
        <v>19000</v>
      </c>
      <c r="AB95" s="18">
        <v>19660</v>
      </c>
      <c r="AC95" s="18">
        <v>20130</v>
      </c>
      <c r="AD95" s="18">
        <v>20970</v>
      </c>
      <c r="AE95" s="18">
        <v>21610</v>
      </c>
      <c r="AF95" s="18">
        <v>22400</v>
      </c>
      <c r="AG95" s="18">
        <v>23030</v>
      </c>
      <c r="AH95" s="18">
        <v>23750</v>
      </c>
      <c r="AI95" s="18">
        <v>24630</v>
      </c>
      <c r="AJ95" s="18">
        <v>25080</v>
      </c>
      <c r="AK95" s="18">
        <v>26270</v>
      </c>
    </row>
    <row r="96" spans="1:37" x14ac:dyDescent="0.25">
      <c r="A96" s="12">
        <v>81</v>
      </c>
      <c r="B96" s="18">
        <v>9610</v>
      </c>
      <c r="C96" s="18">
        <v>9450</v>
      </c>
      <c r="D96" s="18">
        <v>9380</v>
      </c>
      <c r="E96" s="18">
        <v>9540</v>
      </c>
      <c r="F96" s="18">
        <v>9510</v>
      </c>
      <c r="G96" s="18">
        <v>9820</v>
      </c>
      <c r="H96" s="18">
        <v>9960</v>
      </c>
      <c r="I96" s="18">
        <v>9520</v>
      </c>
      <c r="J96" s="18">
        <v>9660</v>
      </c>
      <c r="K96" s="18">
        <v>9590</v>
      </c>
      <c r="L96" s="18">
        <v>9630</v>
      </c>
      <c r="M96" s="18">
        <v>9970</v>
      </c>
      <c r="N96" s="18">
        <v>10460</v>
      </c>
      <c r="O96" s="18">
        <v>10890</v>
      </c>
      <c r="P96" s="18">
        <v>11530</v>
      </c>
      <c r="Q96" s="18">
        <v>12480</v>
      </c>
      <c r="R96" s="18">
        <v>13380</v>
      </c>
      <c r="S96" s="18">
        <v>13500</v>
      </c>
      <c r="T96" s="18">
        <v>12170</v>
      </c>
      <c r="U96" s="18">
        <v>13440</v>
      </c>
      <c r="V96" s="18">
        <v>14210</v>
      </c>
      <c r="W96" s="18">
        <v>15100</v>
      </c>
      <c r="X96" s="18">
        <v>18000</v>
      </c>
      <c r="Y96" s="18">
        <v>18040</v>
      </c>
      <c r="Z96" s="18">
        <v>17780</v>
      </c>
      <c r="AA96" s="18">
        <v>18590</v>
      </c>
      <c r="AB96" s="18">
        <v>18420</v>
      </c>
      <c r="AC96" s="18">
        <v>19080</v>
      </c>
      <c r="AD96" s="18">
        <v>19540</v>
      </c>
      <c r="AE96" s="18">
        <v>20370</v>
      </c>
      <c r="AF96" s="18">
        <v>21000</v>
      </c>
      <c r="AG96" s="18">
        <v>21780</v>
      </c>
      <c r="AH96" s="18">
        <v>22400</v>
      </c>
      <c r="AI96" s="18">
        <v>23110</v>
      </c>
      <c r="AJ96" s="18">
        <v>23980</v>
      </c>
      <c r="AK96" s="18">
        <v>24430</v>
      </c>
    </row>
    <row r="97" spans="1:37" x14ac:dyDescent="0.25">
      <c r="A97" s="12">
        <v>82</v>
      </c>
      <c r="B97" s="18">
        <v>8770</v>
      </c>
      <c r="C97" s="18">
        <v>9110</v>
      </c>
      <c r="D97" s="18">
        <v>8970</v>
      </c>
      <c r="E97" s="18">
        <v>8930</v>
      </c>
      <c r="F97" s="18">
        <v>9080</v>
      </c>
      <c r="G97" s="18">
        <v>9040</v>
      </c>
      <c r="H97" s="18">
        <v>9340</v>
      </c>
      <c r="I97" s="18">
        <v>9530</v>
      </c>
      <c r="J97" s="18">
        <v>9070</v>
      </c>
      <c r="K97" s="18">
        <v>9160</v>
      </c>
      <c r="L97" s="18">
        <v>9150</v>
      </c>
      <c r="M97" s="18">
        <v>9180</v>
      </c>
      <c r="N97" s="18">
        <v>9480</v>
      </c>
      <c r="O97" s="18">
        <v>9970</v>
      </c>
      <c r="P97" s="18">
        <v>10500</v>
      </c>
      <c r="Q97" s="18">
        <v>10990</v>
      </c>
      <c r="R97" s="18">
        <v>11860</v>
      </c>
      <c r="S97" s="18">
        <v>12710</v>
      </c>
      <c r="T97" s="18">
        <v>12970</v>
      </c>
      <c r="U97" s="18">
        <v>11680</v>
      </c>
      <c r="V97" s="18">
        <v>12920</v>
      </c>
      <c r="W97" s="18">
        <v>13670</v>
      </c>
      <c r="X97" s="18">
        <v>14540</v>
      </c>
      <c r="Y97" s="18">
        <v>17330</v>
      </c>
      <c r="Z97" s="18">
        <v>17390</v>
      </c>
      <c r="AA97" s="18">
        <v>17150</v>
      </c>
      <c r="AB97" s="18">
        <v>17940</v>
      </c>
      <c r="AC97" s="18">
        <v>17790</v>
      </c>
      <c r="AD97" s="18">
        <v>18430</v>
      </c>
      <c r="AE97" s="18">
        <v>18890</v>
      </c>
      <c r="AF97" s="18">
        <v>19700</v>
      </c>
      <c r="AG97" s="18">
        <v>20320</v>
      </c>
      <c r="AH97" s="18">
        <v>21080</v>
      </c>
      <c r="AI97" s="18">
        <v>21700</v>
      </c>
      <c r="AJ97" s="18">
        <v>22400</v>
      </c>
      <c r="AK97" s="18">
        <v>23250</v>
      </c>
    </row>
    <row r="98" spans="1:37" x14ac:dyDescent="0.25">
      <c r="A98" s="12">
        <v>83</v>
      </c>
      <c r="B98" s="18">
        <v>8030</v>
      </c>
      <c r="C98" s="18">
        <v>8270</v>
      </c>
      <c r="D98" s="18">
        <v>8570</v>
      </c>
      <c r="E98" s="18">
        <v>8440</v>
      </c>
      <c r="F98" s="18">
        <v>8400</v>
      </c>
      <c r="G98" s="18">
        <v>8590</v>
      </c>
      <c r="H98" s="18">
        <v>8550</v>
      </c>
      <c r="I98" s="18">
        <v>8820</v>
      </c>
      <c r="J98" s="18">
        <v>9020</v>
      </c>
      <c r="K98" s="18">
        <v>8550</v>
      </c>
      <c r="L98" s="18">
        <v>8690</v>
      </c>
      <c r="M98" s="18">
        <v>8680</v>
      </c>
      <c r="N98" s="18">
        <v>8700</v>
      </c>
      <c r="O98" s="18">
        <v>9010</v>
      </c>
      <c r="P98" s="18">
        <v>9450</v>
      </c>
      <c r="Q98" s="18">
        <v>9940</v>
      </c>
      <c r="R98" s="18">
        <v>10370</v>
      </c>
      <c r="S98" s="18">
        <v>11220</v>
      </c>
      <c r="T98" s="18">
        <v>12100</v>
      </c>
      <c r="U98" s="18">
        <v>12380</v>
      </c>
      <c r="V98" s="18">
        <v>11160</v>
      </c>
      <c r="W98" s="18">
        <v>12350</v>
      </c>
      <c r="X98" s="18">
        <v>13080</v>
      </c>
      <c r="Y98" s="18">
        <v>13920</v>
      </c>
      <c r="Z98" s="18">
        <v>16600</v>
      </c>
      <c r="AA98" s="18">
        <v>16670</v>
      </c>
      <c r="AB98" s="18">
        <v>16450</v>
      </c>
      <c r="AC98" s="18">
        <v>17220</v>
      </c>
      <c r="AD98" s="18">
        <v>17090</v>
      </c>
      <c r="AE98" s="18">
        <v>17710</v>
      </c>
      <c r="AF98" s="18">
        <v>18160</v>
      </c>
      <c r="AG98" s="18">
        <v>18960</v>
      </c>
      <c r="AH98" s="18">
        <v>19560</v>
      </c>
      <c r="AI98" s="18">
        <v>20310</v>
      </c>
      <c r="AJ98" s="18">
        <v>20910</v>
      </c>
      <c r="AK98" s="18">
        <v>21600</v>
      </c>
    </row>
    <row r="99" spans="1:37" x14ac:dyDescent="0.25">
      <c r="A99" s="12">
        <v>84</v>
      </c>
      <c r="B99" s="18">
        <v>7700</v>
      </c>
      <c r="C99" s="18">
        <v>7490</v>
      </c>
      <c r="D99" s="18">
        <v>7730</v>
      </c>
      <c r="E99" s="18">
        <v>8040</v>
      </c>
      <c r="F99" s="18">
        <v>7890</v>
      </c>
      <c r="G99" s="18">
        <v>7870</v>
      </c>
      <c r="H99" s="18">
        <v>7980</v>
      </c>
      <c r="I99" s="18">
        <v>8060</v>
      </c>
      <c r="J99" s="18">
        <v>8350</v>
      </c>
      <c r="K99" s="18">
        <v>8450</v>
      </c>
      <c r="L99" s="18">
        <v>8090</v>
      </c>
      <c r="M99" s="18">
        <v>8140</v>
      </c>
      <c r="N99" s="18">
        <v>8170</v>
      </c>
      <c r="O99" s="18">
        <v>8190</v>
      </c>
      <c r="P99" s="18">
        <v>8540</v>
      </c>
      <c r="Q99" s="18">
        <v>8950</v>
      </c>
      <c r="R99" s="18">
        <v>9330</v>
      </c>
      <c r="S99" s="18">
        <v>9740</v>
      </c>
      <c r="T99" s="18">
        <v>10620</v>
      </c>
      <c r="U99" s="18">
        <v>11460</v>
      </c>
      <c r="V99" s="18">
        <v>11730</v>
      </c>
      <c r="W99" s="18">
        <v>10590</v>
      </c>
      <c r="X99" s="18">
        <v>11730</v>
      </c>
      <c r="Y99" s="18">
        <v>12430</v>
      </c>
      <c r="Z99" s="18">
        <v>13240</v>
      </c>
      <c r="AA99" s="18">
        <v>15810</v>
      </c>
      <c r="AB99" s="18">
        <v>15880</v>
      </c>
      <c r="AC99" s="18">
        <v>15680</v>
      </c>
      <c r="AD99" s="18">
        <v>16430</v>
      </c>
      <c r="AE99" s="18">
        <v>16310</v>
      </c>
      <c r="AF99" s="18">
        <v>16920</v>
      </c>
      <c r="AG99" s="18">
        <v>17360</v>
      </c>
      <c r="AH99" s="18">
        <v>18130</v>
      </c>
      <c r="AI99" s="18">
        <v>18720</v>
      </c>
      <c r="AJ99" s="18">
        <v>19450</v>
      </c>
      <c r="AK99" s="18">
        <v>20040</v>
      </c>
    </row>
    <row r="100" spans="1:37" x14ac:dyDescent="0.25">
      <c r="A100" s="12">
        <v>85</v>
      </c>
      <c r="B100" s="18">
        <v>6940</v>
      </c>
      <c r="C100" s="18">
        <v>7130</v>
      </c>
      <c r="D100" s="18">
        <v>6960</v>
      </c>
      <c r="E100" s="18">
        <v>7160</v>
      </c>
      <c r="F100" s="18">
        <v>7480</v>
      </c>
      <c r="G100" s="18">
        <v>7290</v>
      </c>
      <c r="H100" s="18">
        <v>7350</v>
      </c>
      <c r="I100" s="18">
        <v>7380</v>
      </c>
      <c r="J100" s="18">
        <v>7510</v>
      </c>
      <c r="K100" s="18">
        <v>7750</v>
      </c>
      <c r="L100" s="18">
        <v>7850</v>
      </c>
      <c r="M100" s="18">
        <v>7530</v>
      </c>
      <c r="N100" s="18">
        <v>7600</v>
      </c>
      <c r="O100" s="18">
        <v>7620</v>
      </c>
      <c r="P100" s="18">
        <v>7650</v>
      </c>
      <c r="Q100" s="18">
        <v>8030</v>
      </c>
      <c r="R100" s="18">
        <v>8330</v>
      </c>
      <c r="S100" s="18">
        <v>8670</v>
      </c>
      <c r="T100" s="18">
        <v>9160</v>
      </c>
      <c r="U100" s="18">
        <v>9970</v>
      </c>
      <c r="V100" s="18">
        <v>10770</v>
      </c>
      <c r="W100" s="18">
        <v>11040</v>
      </c>
      <c r="X100" s="18">
        <v>9980</v>
      </c>
      <c r="Y100" s="18">
        <v>11050</v>
      </c>
      <c r="Z100" s="18">
        <v>11730</v>
      </c>
      <c r="AA100" s="18">
        <v>12500</v>
      </c>
      <c r="AB100" s="18">
        <v>14930</v>
      </c>
      <c r="AC100" s="18">
        <v>15010</v>
      </c>
      <c r="AD100" s="18">
        <v>14840</v>
      </c>
      <c r="AE100" s="18">
        <v>15550</v>
      </c>
      <c r="AF100" s="18">
        <v>15450</v>
      </c>
      <c r="AG100" s="18">
        <v>16040</v>
      </c>
      <c r="AH100" s="18">
        <v>16470</v>
      </c>
      <c r="AI100" s="18">
        <v>17220</v>
      </c>
      <c r="AJ100" s="18">
        <v>17790</v>
      </c>
      <c r="AK100" s="18">
        <v>18490</v>
      </c>
    </row>
    <row r="101" spans="1:37" x14ac:dyDescent="0.25">
      <c r="A101" s="12">
        <v>86</v>
      </c>
      <c r="B101" s="18">
        <v>6240</v>
      </c>
      <c r="C101" s="18">
        <v>6390</v>
      </c>
      <c r="D101" s="18">
        <v>6540</v>
      </c>
      <c r="E101" s="18">
        <v>6380</v>
      </c>
      <c r="F101" s="18">
        <v>6560</v>
      </c>
      <c r="G101" s="18">
        <v>6900</v>
      </c>
      <c r="H101" s="18">
        <v>6650</v>
      </c>
      <c r="I101" s="18">
        <v>6750</v>
      </c>
      <c r="J101" s="18">
        <v>6850</v>
      </c>
      <c r="K101" s="18">
        <v>6940</v>
      </c>
      <c r="L101" s="18">
        <v>7160</v>
      </c>
      <c r="M101" s="18">
        <v>7200</v>
      </c>
      <c r="N101" s="18">
        <v>6930</v>
      </c>
      <c r="O101" s="18">
        <v>7000</v>
      </c>
      <c r="P101" s="18">
        <v>7090</v>
      </c>
      <c r="Q101" s="18">
        <v>7100</v>
      </c>
      <c r="R101" s="18">
        <v>7440</v>
      </c>
      <c r="S101" s="18">
        <v>7680</v>
      </c>
      <c r="T101" s="18">
        <v>8060</v>
      </c>
      <c r="U101" s="18">
        <v>8520</v>
      </c>
      <c r="V101" s="18">
        <v>9280</v>
      </c>
      <c r="W101" s="18">
        <v>10040</v>
      </c>
      <c r="X101" s="18">
        <v>10300</v>
      </c>
      <c r="Y101" s="18">
        <v>9310</v>
      </c>
      <c r="Z101" s="18">
        <v>10330</v>
      </c>
      <c r="AA101" s="18">
        <v>10960</v>
      </c>
      <c r="AB101" s="18">
        <v>11690</v>
      </c>
      <c r="AC101" s="18">
        <v>13980</v>
      </c>
      <c r="AD101" s="18">
        <v>14070</v>
      </c>
      <c r="AE101" s="18">
        <v>13920</v>
      </c>
      <c r="AF101" s="18">
        <v>14600</v>
      </c>
      <c r="AG101" s="18">
        <v>14520</v>
      </c>
      <c r="AH101" s="18">
        <v>15080</v>
      </c>
      <c r="AI101" s="18">
        <v>15500</v>
      </c>
      <c r="AJ101" s="18">
        <v>16210</v>
      </c>
      <c r="AK101" s="18">
        <v>16760</v>
      </c>
    </row>
    <row r="102" spans="1:37" x14ac:dyDescent="0.25">
      <c r="A102" s="12">
        <v>87</v>
      </c>
      <c r="B102" s="18">
        <v>4700</v>
      </c>
      <c r="C102" s="18">
        <v>5630</v>
      </c>
      <c r="D102" s="18">
        <v>5730</v>
      </c>
      <c r="E102" s="18">
        <v>5900</v>
      </c>
      <c r="F102" s="18">
        <v>5790</v>
      </c>
      <c r="G102" s="18">
        <v>5930</v>
      </c>
      <c r="H102" s="18">
        <v>6250</v>
      </c>
      <c r="I102" s="18">
        <v>6040</v>
      </c>
      <c r="J102" s="18">
        <v>6210</v>
      </c>
      <c r="K102" s="18">
        <v>6250</v>
      </c>
      <c r="L102" s="18">
        <v>6360</v>
      </c>
      <c r="M102" s="18">
        <v>6550</v>
      </c>
      <c r="N102" s="18">
        <v>6560</v>
      </c>
      <c r="O102" s="18">
        <v>6310</v>
      </c>
      <c r="P102" s="18">
        <v>6420</v>
      </c>
      <c r="Q102" s="18">
        <v>6510</v>
      </c>
      <c r="R102" s="18">
        <v>6450</v>
      </c>
      <c r="S102" s="18">
        <v>6770</v>
      </c>
      <c r="T102" s="18">
        <v>7020</v>
      </c>
      <c r="U102" s="18">
        <v>7400</v>
      </c>
      <c r="V102" s="18">
        <v>7830</v>
      </c>
      <c r="W102" s="18">
        <v>8540</v>
      </c>
      <c r="X102" s="18">
        <v>9250</v>
      </c>
      <c r="Y102" s="18">
        <v>9500</v>
      </c>
      <c r="Z102" s="18">
        <v>8600</v>
      </c>
      <c r="AA102" s="18">
        <v>9550</v>
      </c>
      <c r="AB102" s="18">
        <v>10140</v>
      </c>
      <c r="AC102" s="18">
        <v>10830</v>
      </c>
      <c r="AD102" s="18">
        <v>12960</v>
      </c>
      <c r="AE102" s="18">
        <v>13050</v>
      </c>
      <c r="AF102" s="18">
        <v>12920</v>
      </c>
      <c r="AG102" s="18">
        <v>13560</v>
      </c>
      <c r="AH102" s="18">
        <v>13500</v>
      </c>
      <c r="AI102" s="18">
        <v>14030</v>
      </c>
      <c r="AJ102" s="18">
        <v>14430</v>
      </c>
      <c r="AK102" s="18">
        <v>15110</v>
      </c>
    </row>
    <row r="103" spans="1:37" x14ac:dyDescent="0.25">
      <c r="A103" s="12">
        <v>88</v>
      </c>
      <c r="B103" s="18">
        <v>4260</v>
      </c>
      <c r="C103" s="18">
        <v>4210</v>
      </c>
      <c r="D103" s="18">
        <v>4990</v>
      </c>
      <c r="E103" s="18">
        <v>5140</v>
      </c>
      <c r="F103" s="18">
        <v>5280</v>
      </c>
      <c r="G103" s="18">
        <v>5170</v>
      </c>
      <c r="H103" s="18">
        <v>5280</v>
      </c>
      <c r="I103" s="18">
        <v>5610</v>
      </c>
      <c r="J103" s="18">
        <v>5470</v>
      </c>
      <c r="K103" s="18">
        <v>5590</v>
      </c>
      <c r="L103" s="18">
        <v>5620</v>
      </c>
      <c r="M103" s="18">
        <v>5750</v>
      </c>
      <c r="N103" s="18">
        <v>5890</v>
      </c>
      <c r="O103" s="18">
        <v>5930</v>
      </c>
      <c r="P103" s="18">
        <v>5720</v>
      </c>
      <c r="Q103" s="18">
        <v>5800</v>
      </c>
      <c r="R103" s="18">
        <v>5850</v>
      </c>
      <c r="S103" s="18">
        <v>5800</v>
      </c>
      <c r="T103" s="18">
        <v>6150</v>
      </c>
      <c r="U103" s="18">
        <v>6360</v>
      </c>
      <c r="V103" s="18">
        <v>6720</v>
      </c>
      <c r="W103" s="18">
        <v>7110</v>
      </c>
      <c r="X103" s="18">
        <v>7770</v>
      </c>
      <c r="Y103" s="18">
        <v>8420</v>
      </c>
      <c r="Z103" s="18">
        <v>8650</v>
      </c>
      <c r="AA103" s="18">
        <v>7840</v>
      </c>
      <c r="AB103" s="18">
        <v>8710</v>
      </c>
      <c r="AC103" s="18">
        <v>9270</v>
      </c>
      <c r="AD103" s="18">
        <v>9900</v>
      </c>
      <c r="AE103" s="18">
        <v>11860</v>
      </c>
      <c r="AF103" s="18">
        <v>11960</v>
      </c>
      <c r="AG103" s="18">
        <v>11850</v>
      </c>
      <c r="AH103" s="18">
        <v>12450</v>
      </c>
      <c r="AI103" s="18">
        <v>12400</v>
      </c>
      <c r="AJ103" s="18">
        <v>12900</v>
      </c>
      <c r="AK103" s="18">
        <v>13280</v>
      </c>
    </row>
    <row r="104" spans="1:37" x14ac:dyDescent="0.25">
      <c r="A104" s="12">
        <v>89</v>
      </c>
      <c r="B104" s="18">
        <v>3770</v>
      </c>
      <c r="C104" s="18">
        <v>3750</v>
      </c>
      <c r="D104" s="18">
        <v>3720</v>
      </c>
      <c r="E104" s="18">
        <v>4400</v>
      </c>
      <c r="F104" s="18">
        <v>4520</v>
      </c>
      <c r="G104" s="18">
        <v>4660</v>
      </c>
      <c r="H104" s="18">
        <v>4540</v>
      </c>
      <c r="I104" s="18">
        <v>4660</v>
      </c>
      <c r="J104" s="18">
        <v>5010</v>
      </c>
      <c r="K104" s="18">
        <v>4890</v>
      </c>
      <c r="L104" s="18">
        <v>4990</v>
      </c>
      <c r="M104" s="18">
        <v>4950</v>
      </c>
      <c r="N104" s="18">
        <v>5110</v>
      </c>
      <c r="O104" s="18">
        <v>5240</v>
      </c>
      <c r="P104" s="18">
        <v>5280</v>
      </c>
      <c r="Q104" s="18">
        <v>5120</v>
      </c>
      <c r="R104" s="18">
        <v>5190</v>
      </c>
      <c r="S104" s="18">
        <v>5140</v>
      </c>
      <c r="T104" s="18">
        <v>5150</v>
      </c>
      <c r="U104" s="18">
        <v>5480</v>
      </c>
      <c r="V104" s="18">
        <v>5680</v>
      </c>
      <c r="W104" s="18">
        <v>6000</v>
      </c>
      <c r="X104" s="18">
        <v>6370</v>
      </c>
      <c r="Y104" s="18">
        <v>6960</v>
      </c>
      <c r="Z104" s="18">
        <v>7550</v>
      </c>
      <c r="AA104" s="18">
        <v>7770</v>
      </c>
      <c r="AB104" s="18">
        <v>7050</v>
      </c>
      <c r="AC104" s="18">
        <v>7840</v>
      </c>
      <c r="AD104" s="18">
        <v>8350</v>
      </c>
      <c r="AE104" s="18">
        <v>8930</v>
      </c>
      <c r="AF104" s="18">
        <v>10700</v>
      </c>
      <c r="AG104" s="18">
        <v>10800</v>
      </c>
      <c r="AH104" s="18">
        <v>10710</v>
      </c>
      <c r="AI104" s="18">
        <v>11270</v>
      </c>
      <c r="AJ104" s="18">
        <v>11230</v>
      </c>
      <c r="AK104" s="18">
        <v>11700</v>
      </c>
    </row>
    <row r="105" spans="1:37" x14ac:dyDescent="0.25">
      <c r="A105" s="12">
        <v>90</v>
      </c>
      <c r="B105" s="18">
        <v>3250</v>
      </c>
      <c r="C105" s="18">
        <v>3250</v>
      </c>
      <c r="D105" s="18">
        <v>3240</v>
      </c>
      <c r="E105" s="18">
        <v>3190</v>
      </c>
      <c r="F105" s="18">
        <v>3800</v>
      </c>
      <c r="G105" s="18">
        <v>3930</v>
      </c>
      <c r="H105" s="18">
        <v>4010</v>
      </c>
      <c r="I105" s="18">
        <v>3930</v>
      </c>
      <c r="J105" s="18">
        <v>4070</v>
      </c>
      <c r="K105" s="18">
        <v>4410</v>
      </c>
      <c r="L105" s="18">
        <v>4240</v>
      </c>
      <c r="M105" s="18">
        <v>4340</v>
      </c>
      <c r="N105" s="18">
        <v>4320</v>
      </c>
      <c r="O105" s="18">
        <v>4470</v>
      </c>
      <c r="P105" s="18">
        <v>4600</v>
      </c>
      <c r="Q105" s="18">
        <v>4660</v>
      </c>
      <c r="R105" s="18">
        <v>4470</v>
      </c>
      <c r="S105" s="18">
        <v>4480</v>
      </c>
      <c r="T105" s="18">
        <v>4490</v>
      </c>
      <c r="U105" s="18">
        <v>4510</v>
      </c>
      <c r="V105" s="18">
        <v>4810</v>
      </c>
      <c r="W105" s="18">
        <v>4990</v>
      </c>
      <c r="X105" s="18">
        <v>5280</v>
      </c>
      <c r="Y105" s="18">
        <v>5600</v>
      </c>
      <c r="Z105" s="18">
        <v>6130</v>
      </c>
      <c r="AA105" s="18">
        <v>6660</v>
      </c>
      <c r="AB105" s="18">
        <v>6860</v>
      </c>
      <c r="AC105" s="18">
        <v>6230</v>
      </c>
      <c r="AD105" s="18">
        <v>6940</v>
      </c>
      <c r="AE105" s="18">
        <v>7390</v>
      </c>
      <c r="AF105" s="18">
        <v>7920</v>
      </c>
      <c r="AG105" s="18">
        <v>9500</v>
      </c>
      <c r="AH105" s="18">
        <v>9600</v>
      </c>
      <c r="AI105" s="18">
        <v>9530</v>
      </c>
      <c r="AJ105" s="18">
        <v>10030</v>
      </c>
      <c r="AK105" s="18">
        <v>10010</v>
      </c>
    </row>
    <row r="106" spans="1:37" x14ac:dyDescent="0.25">
      <c r="A106" s="12">
        <v>91</v>
      </c>
      <c r="B106" s="18">
        <v>2700</v>
      </c>
      <c r="C106" s="18">
        <v>2720</v>
      </c>
      <c r="D106" s="18">
        <v>2760</v>
      </c>
      <c r="E106" s="18">
        <v>2730</v>
      </c>
      <c r="F106" s="18">
        <v>2700</v>
      </c>
      <c r="G106" s="18">
        <v>3200</v>
      </c>
      <c r="H106" s="18">
        <v>3320</v>
      </c>
      <c r="I106" s="18">
        <v>3410</v>
      </c>
      <c r="J106" s="18">
        <v>3370</v>
      </c>
      <c r="K106" s="18">
        <v>3510</v>
      </c>
      <c r="L106" s="18">
        <v>3740</v>
      </c>
      <c r="M106" s="18">
        <v>3660</v>
      </c>
      <c r="N106" s="18">
        <v>3690</v>
      </c>
      <c r="O106" s="18">
        <v>3680</v>
      </c>
      <c r="P106" s="18">
        <v>3850</v>
      </c>
      <c r="Q106" s="18">
        <v>3990</v>
      </c>
      <c r="R106" s="18">
        <v>3930</v>
      </c>
      <c r="S106" s="18">
        <v>3810</v>
      </c>
      <c r="T106" s="18">
        <v>3840</v>
      </c>
      <c r="U106" s="18">
        <v>3850</v>
      </c>
      <c r="V106" s="18">
        <v>3880</v>
      </c>
      <c r="W106" s="18">
        <v>4140</v>
      </c>
      <c r="X106" s="18">
        <v>4300</v>
      </c>
      <c r="Y106" s="18">
        <v>4550</v>
      </c>
      <c r="Z106" s="18">
        <v>4840</v>
      </c>
      <c r="AA106" s="18">
        <v>5310</v>
      </c>
      <c r="AB106" s="18">
        <v>5770</v>
      </c>
      <c r="AC106" s="18">
        <v>5950</v>
      </c>
      <c r="AD106" s="18">
        <v>5410</v>
      </c>
      <c r="AE106" s="18">
        <v>6030</v>
      </c>
      <c r="AF106" s="18">
        <v>6430</v>
      </c>
      <c r="AG106" s="18">
        <v>6890</v>
      </c>
      <c r="AH106" s="18">
        <v>8280</v>
      </c>
      <c r="AI106" s="18">
        <v>8370</v>
      </c>
      <c r="AJ106" s="18">
        <v>8320</v>
      </c>
      <c r="AK106" s="18">
        <v>8770</v>
      </c>
    </row>
    <row r="107" spans="1:37" x14ac:dyDescent="0.25">
      <c r="A107" s="12">
        <v>92</v>
      </c>
      <c r="B107" s="18">
        <v>2080</v>
      </c>
      <c r="C107" s="18">
        <v>2240</v>
      </c>
      <c r="D107" s="18">
        <v>2290</v>
      </c>
      <c r="E107" s="18">
        <v>2290</v>
      </c>
      <c r="F107" s="18">
        <v>2300</v>
      </c>
      <c r="G107" s="18">
        <v>2240</v>
      </c>
      <c r="H107" s="18">
        <v>2650</v>
      </c>
      <c r="I107" s="18">
        <v>2740</v>
      </c>
      <c r="J107" s="18">
        <v>2890</v>
      </c>
      <c r="K107" s="18">
        <v>2840</v>
      </c>
      <c r="L107" s="18">
        <v>2970</v>
      </c>
      <c r="M107" s="18">
        <v>3170</v>
      </c>
      <c r="N107" s="18">
        <v>3090</v>
      </c>
      <c r="O107" s="18">
        <v>3060</v>
      </c>
      <c r="P107" s="18">
        <v>3100</v>
      </c>
      <c r="Q107" s="18">
        <v>3280</v>
      </c>
      <c r="R107" s="18">
        <v>3310</v>
      </c>
      <c r="S107" s="18">
        <v>3270</v>
      </c>
      <c r="T107" s="18">
        <v>3160</v>
      </c>
      <c r="U107" s="18">
        <v>3220</v>
      </c>
      <c r="V107" s="18">
        <v>3230</v>
      </c>
      <c r="W107" s="18">
        <v>3260</v>
      </c>
      <c r="X107" s="18">
        <v>3490</v>
      </c>
      <c r="Y107" s="18">
        <v>3630</v>
      </c>
      <c r="Z107" s="18">
        <v>3850</v>
      </c>
      <c r="AA107" s="18">
        <v>4100</v>
      </c>
      <c r="AB107" s="18">
        <v>4500</v>
      </c>
      <c r="AC107" s="18">
        <v>4900</v>
      </c>
      <c r="AD107" s="18">
        <v>5050</v>
      </c>
      <c r="AE107" s="18">
        <v>4600</v>
      </c>
      <c r="AF107" s="18">
        <v>5130</v>
      </c>
      <c r="AG107" s="18">
        <v>5480</v>
      </c>
      <c r="AH107" s="18">
        <v>5880</v>
      </c>
      <c r="AI107" s="18">
        <v>7070</v>
      </c>
      <c r="AJ107" s="18">
        <v>7160</v>
      </c>
      <c r="AK107" s="18">
        <v>7120</v>
      </c>
    </row>
    <row r="108" spans="1:37" x14ac:dyDescent="0.25">
      <c r="A108" s="12">
        <v>93</v>
      </c>
      <c r="B108" s="18">
        <v>1740</v>
      </c>
      <c r="C108" s="18">
        <v>1660</v>
      </c>
      <c r="D108" s="18">
        <v>1830</v>
      </c>
      <c r="E108" s="18">
        <v>1880</v>
      </c>
      <c r="F108" s="18">
        <v>1870</v>
      </c>
      <c r="G108" s="18">
        <v>1880</v>
      </c>
      <c r="H108" s="18">
        <v>1790</v>
      </c>
      <c r="I108" s="18">
        <v>2150</v>
      </c>
      <c r="J108" s="18">
        <v>2270</v>
      </c>
      <c r="K108" s="18">
        <v>2370</v>
      </c>
      <c r="L108" s="18">
        <v>2360</v>
      </c>
      <c r="M108" s="18">
        <v>2500</v>
      </c>
      <c r="N108" s="18">
        <v>2610</v>
      </c>
      <c r="O108" s="18">
        <v>2520</v>
      </c>
      <c r="P108" s="18">
        <v>2530</v>
      </c>
      <c r="Q108" s="18">
        <v>2560</v>
      </c>
      <c r="R108" s="18">
        <v>2700</v>
      </c>
      <c r="S108" s="18">
        <v>2700</v>
      </c>
      <c r="T108" s="18">
        <v>2640</v>
      </c>
      <c r="U108" s="18">
        <v>2590</v>
      </c>
      <c r="V108" s="18">
        <v>2650</v>
      </c>
      <c r="W108" s="18">
        <v>2660</v>
      </c>
      <c r="X108" s="18">
        <v>2690</v>
      </c>
      <c r="Y108" s="18">
        <v>2880</v>
      </c>
      <c r="Z108" s="18">
        <v>3000</v>
      </c>
      <c r="AA108" s="18">
        <v>3180</v>
      </c>
      <c r="AB108" s="18">
        <v>3390</v>
      </c>
      <c r="AC108" s="18">
        <v>3730</v>
      </c>
      <c r="AD108" s="18">
        <v>4070</v>
      </c>
      <c r="AE108" s="18">
        <v>4200</v>
      </c>
      <c r="AF108" s="18">
        <v>3830</v>
      </c>
      <c r="AG108" s="18">
        <v>4280</v>
      </c>
      <c r="AH108" s="18">
        <v>4570</v>
      </c>
      <c r="AI108" s="18">
        <v>4910</v>
      </c>
      <c r="AJ108" s="18">
        <v>5910</v>
      </c>
      <c r="AK108" s="18">
        <v>5990</v>
      </c>
    </row>
    <row r="109" spans="1:37" x14ac:dyDescent="0.25">
      <c r="A109" s="12">
        <v>94</v>
      </c>
      <c r="B109" s="18">
        <v>1310</v>
      </c>
      <c r="C109" s="18">
        <v>1370</v>
      </c>
      <c r="D109" s="18">
        <v>1330</v>
      </c>
      <c r="E109" s="18">
        <v>1450</v>
      </c>
      <c r="F109" s="18">
        <v>1480</v>
      </c>
      <c r="G109" s="18">
        <v>1480</v>
      </c>
      <c r="H109" s="18">
        <v>1480</v>
      </c>
      <c r="I109" s="18">
        <v>1400</v>
      </c>
      <c r="J109" s="18">
        <v>1740</v>
      </c>
      <c r="K109" s="18">
        <v>1830</v>
      </c>
      <c r="L109" s="18">
        <v>1920</v>
      </c>
      <c r="M109" s="18">
        <v>1940</v>
      </c>
      <c r="N109" s="18">
        <v>2000</v>
      </c>
      <c r="O109" s="18">
        <v>2070</v>
      </c>
      <c r="P109" s="18">
        <v>2050</v>
      </c>
      <c r="Q109" s="18">
        <v>2070</v>
      </c>
      <c r="R109" s="18">
        <v>1990</v>
      </c>
      <c r="S109" s="18">
        <v>2120</v>
      </c>
      <c r="T109" s="18">
        <v>2190</v>
      </c>
      <c r="U109" s="18">
        <v>2110</v>
      </c>
      <c r="V109" s="18">
        <v>2080</v>
      </c>
      <c r="W109" s="18">
        <v>2130</v>
      </c>
      <c r="X109" s="18">
        <v>2140</v>
      </c>
      <c r="Y109" s="18">
        <v>2170</v>
      </c>
      <c r="Z109" s="18">
        <v>2320</v>
      </c>
      <c r="AA109" s="18">
        <v>2420</v>
      </c>
      <c r="AB109" s="18">
        <v>2580</v>
      </c>
      <c r="AC109" s="18">
        <v>2750</v>
      </c>
      <c r="AD109" s="18">
        <v>3020</v>
      </c>
      <c r="AE109" s="18">
        <v>3300</v>
      </c>
      <c r="AF109" s="18">
        <v>3410</v>
      </c>
      <c r="AG109" s="18">
        <v>3120</v>
      </c>
      <c r="AH109" s="18">
        <v>3480</v>
      </c>
      <c r="AI109" s="18">
        <v>3730</v>
      </c>
      <c r="AJ109" s="18">
        <v>4010</v>
      </c>
      <c r="AK109" s="18">
        <v>4830</v>
      </c>
    </row>
    <row r="110" spans="1:37" x14ac:dyDescent="0.25">
      <c r="A110" s="12" t="s">
        <v>384</v>
      </c>
      <c r="B110" s="18">
        <v>2960</v>
      </c>
      <c r="C110" s="18">
        <v>3090</v>
      </c>
      <c r="D110" s="18">
        <v>3260</v>
      </c>
      <c r="E110" s="18">
        <v>3310</v>
      </c>
      <c r="F110" s="18">
        <v>3590</v>
      </c>
      <c r="G110" s="18">
        <v>3710</v>
      </c>
      <c r="H110" s="18">
        <v>3780</v>
      </c>
      <c r="I110" s="18">
        <v>3810</v>
      </c>
      <c r="J110" s="18">
        <v>3860</v>
      </c>
      <c r="K110" s="18">
        <v>4120</v>
      </c>
      <c r="L110" s="18">
        <v>4390</v>
      </c>
      <c r="M110" s="18">
        <v>4710</v>
      </c>
      <c r="N110" s="18">
        <v>4980</v>
      </c>
      <c r="O110" s="18">
        <v>5180</v>
      </c>
      <c r="P110" s="18">
        <v>5330</v>
      </c>
      <c r="Q110" s="18">
        <v>5510</v>
      </c>
      <c r="R110" s="18">
        <v>5380</v>
      </c>
      <c r="S110" s="18">
        <v>5140</v>
      </c>
      <c r="T110" s="18">
        <v>5280</v>
      </c>
      <c r="U110" s="18">
        <v>5600</v>
      </c>
      <c r="V110" s="18">
        <v>5800</v>
      </c>
      <c r="W110" s="18">
        <v>5920</v>
      </c>
      <c r="X110" s="18">
        <v>6040</v>
      </c>
      <c r="Y110" s="18">
        <v>6140</v>
      </c>
      <c r="Z110" s="18">
        <v>6230</v>
      </c>
      <c r="AA110" s="18">
        <v>6430</v>
      </c>
      <c r="AB110" s="18">
        <v>6660</v>
      </c>
      <c r="AC110" s="18">
        <v>6950</v>
      </c>
      <c r="AD110" s="18">
        <v>7320</v>
      </c>
      <c r="AE110" s="18">
        <v>7810</v>
      </c>
      <c r="AF110" s="18">
        <v>8410</v>
      </c>
      <c r="AG110" s="18">
        <v>8960</v>
      </c>
      <c r="AH110" s="18">
        <v>9140</v>
      </c>
      <c r="AI110" s="18">
        <v>9560</v>
      </c>
      <c r="AJ110" s="18">
        <v>10080</v>
      </c>
      <c r="AK110" s="18">
        <v>10690</v>
      </c>
    </row>
    <row r="111" spans="1:37" x14ac:dyDescent="0.25">
      <c r="A111" s="11" t="s">
        <v>385</v>
      </c>
      <c r="B111" s="19">
        <f>SUM(B$15:B$110)</f>
        <v>2136250</v>
      </c>
      <c r="C111" s="19">
        <f t="shared" ref="C111:AK111" si="7">SUM(C$15:C$110)</f>
        <v>2157380</v>
      </c>
      <c r="D111" s="19">
        <f t="shared" si="7"/>
        <v>2176330</v>
      </c>
      <c r="E111" s="19">
        <f t="shared" si="7"/>
        <v>2197940</v>
      </c>
      <c r="F111" s="19">
        <f t="shared" si="7"/>
        <v>2222910</v>
      </c>
      <c r="G111" s="19">
        <f t="shared" si="7"/>
        <v>2240420</v>
      </c>
      <c r="H111" s="19">
        <f t="shared" si="7"/>
        <v>2252990</v>
      </c>
      <c r="I111" s="19">
        <f t="shared" si="7"/>
        <v>2269940</v>
      </c>
      <c r="J111" s="19">
        <f t="shared" si="7"/>
        <v>2300720</v>
      </c>
      <c r="K111" s="19">
        <f t="shared" si="7"/>
        <v>2339290</v>
      </c>
      <c r="L111" s="19">
        <f t="shared" si="7"/>
        <v>2385590</v>
      </c>
      <c r="M111" s="19">
        <f t="shared" si="7"/>
        <v>2430960</v>
      </c>
      <c r="N111" s="19">
        <f t="shared" si="7"/>
        <v>2470450</v>
      </c>
      <c r="O111" s="19">
        <f t="shared" si="7"/>
        <v>2503330</v>
      </c>
      <c r="P111" s="19">
        <f t="shared" si="7"/>
        <v>2553480</v>
      </c>
      <c r="Q111" s="19">
        <f t="shared" si="7"/>
        <v>2559850</v>
      </c>
      <c r="R111" s="19">
        <f t="shared" si="7"/>
        <v>2558580</v>
      </c>
      <c r="S111" s="19">
        <f t="shared" si="7"/>
        <v>2610040</v>
      </c>
      <c r="T111" s="19">
        <f t="shared" si="7"/>
        <v>2655820</v>
      </c>
      <c r="U111" s="19">
        <f t="shared" si="7"/>
        <v>2679180</v>
      </c>
      <c r="V111" s="19">
        <f t="shared" si="7"/>
        <v>2704680</v>
      </c>
      <c r="W111" s="19">
        <f t="shared" si="7"/>
        <v>2730980</v>
      </c>
      <c r="X111" s="19">
        <f t="shared" si="7"/>
        <v>2757940</v>
      </c>
      <c r="Y111" s="19">
        <f t="shared" si="7"/>
        <v>2785200</v>
      </c>
      <c r="Z111" s="19">
        <f t="shared" si="7"/>
        <v>2812540</v>
      </c>
      <c r="AA111" s="19">
        <f t="shared" si="7"/>
        <v>2839720</v>
      </c>
      <c r="AB111" s="19">
        <f t="shared" si="7"/>
        <v>2866560</v>
      </c>
      <c r="AC111" s="19">
        <f t="shared" si="7"/>
        <v>2893160</v>
      </c>
      <c r="AD111" s="19">
        <f t="shared" si="7"/>
        <v>2919460</v>
      </c>
      <c r="AE111" s="19">
        <f t="shared" si="7"/>
        <v>2945480</v>
      </c>
      <c r="AF111" s="19">
        <f t="shared" si="7"/>
        <v>2971390</v>
      </c>
      <c r="AG111" s="19">
        <f t="shared" si="7"/>
        <v>2997010</v>
      </c>
      <c r="AH111" s="19">
        <f t="shared" si="7"/>
        <v>3022440</v>
      </c>
      <c r="AI111" s="19">
        <f t="shared" si="7"/>
        <v>3047710</v>
      </c>
      <c r="AJ111" s="19">
        <f t="shared" si="7"/>
        <v>3072780</v>
      </c>
      <c r="AK111" s="19">
        <f t="shared" si="7"/>
        <v>3097670</v>
      </c>
    </row>
    <row r="112" spans="1:37" x14ac:dyDescent="0.25">
      <c r="A112" s="11"/>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row>
    <row r="113" spans="1:37" x14ac:dyDescent="0.25">
      <c r="A113" s="11"/>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row>
    <row r="114" spans="1:37" x14ac:dyDescent="0.25">
      <c r="A114" s="11" t="s">
        <v>386</v>
      </c>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row>
    <row r="115" spans="1:37" x14ac:dyDescent="0.25">
      <c r="A115" s="12">
        <f>$A$15</f>
        <v>0</v>
      </c>
      <c r="B115" s="18">
        <v>30150</v>
      </c>
      <c r="C115" s="18">
        <v>31900</v>
      </c>
      <c r="D115" s="18">
        <v>33050</v>
      </c>
      <c r="E115" s="18">
        <v>33060</v>
      </c>
      <c r="F115" s="18">
        <v>33020</v>
      </c>
      <c r="G115" s="18">
        <v>32130</v>
      </c>
      <c r="H115" s="18">
        <v>31320</v>
      </c>
      <c r="I115" s="18">
        <v>30890</v>
      </c>
      <c r="J115" s="18">
        <v>30140</v>
      </c>
      <c r="K115" s="18">
        <v>30350</v>
      </c>
      <c r="L115" s="18">
        <v>30610</v>
      </c>
      <c r="M115" s="18">
        <v>30690</v>
      </c>
      <c r="N115" s="18">
        <v>30530</v>
      </c>
      <c r="O115" s="18">
        <v>30740</v>
      </c>
      <c r="P115" s="18">
        <v>30270</v>
      </c>
      <c r="Q115" s="18">
        <v>31310</v>
      </c>
      <c r="R115" s="18">
        <v>30520</v>
      </c>
      <c r="S115" s="18">
        <v>29280</v>
      </c>
      <c r="T115" s="18">
        <v>29270</v>
      </c>
      <c r="U115" s="18">
        <v>29840</v>
      </c>
      <c r="V115" s="18">
        <v>29850</v>
      </c>
      <c r="W115" s="18">
        <v>29850</v>
      </c>
      <c r="X115" s="18">
        <v>29830</v>
      </c>
      <c r="Y115" s="18">
        <v>29820</v>
      </c>
      <c r="Z115" s="18">
        <v>29810</v>
      </c>
      <c r="AA115" s="18">
        <v>29810</v>
      </c>
      <c r="AB115" s="18">
        <v>29830</v>
      </c>
      <c r="AC115" s="18">
        <v>29890</v>
      </c>
      <c r="AD115" s="18">
        <v>29980</v>
      </c>
      <c r="AE115" s="18">
        <v>30100</v>
      </c>
      <c r="AF115" s="18">
        <v>30270</v>
      </c>
      <c r="AG115" s="18">
        <v>30460</v>
      </c>
      <c r="AH115" s="18">
        <v>30680</v>
      </c>
      <c r="AI115" s="18">
        <v>30910</v>
      </c>
      <c r="AJ115" s="18">
        <v>31150</v>
      </c>
      <c r="AK115" s="18">
        <v>31380</v>
      </c>
    </row>
    <row r="116" spans="1:37" x14ac:dyDescent="0.25">
      <c r="A116" s="12">
        <f>$A$16</f>
        <v>1</v>
      </c>
      <c r="B116" s="18">
        <v>29380</v>
      </c>
      <c r="C116" s="18">
        <v>30170</v>
      </c>
      <c r="D116" s="18">
        <v>31780</v>
      </c>
      <c r="E116" s="18">
        <v>32980</v>
      </c>
      <c r="F116" s="18">
        <v>33130</v>
      </c>
      <c r="G116" s="18">
        <v>33060</v>
      </c>
      <c r="H116" s="18">
        <v>32050</v>
      </c>
      <c r="I116" s="18">
        <v>31410</v>
      </c>
      <c r="J116" s="18">
        <v>31010</v>
      </c>
      <c r="K116" s="18">
        <v>30350</v>
      </c>
      <c r="L116" s="18">
        <v>30650</v>
      </c>
      <c r="M116" s="18">
        <v>30930</v>
      </c>
      <c r="N116" s="18">
        <v>30900</v>
      </c>
      <c r="O116" s="18">
        <v>30640</v>
      </c>
      <c r="P116" s="18">
        <v>31000</v>
      </c>
      <c r="Q116" s="18">
        <v>30370</v>
      </c>
      <c r="R116" s="18">
        <v>31240</v>
      </c>
      <c r="S116" s="18">
        <v>30750</v>
      </c>
      <c r="T116" s="18">
        <v>29490</v>
      </c>
      <c r="U116" s="18">
        <v>29240</v>
      </c>
      <c r="V116" s="18">
        <v>29840</v>
      </c>
      <c r="W116" s="18">
        <v>29860</v>
      </c>
      <c r="X116" s="18">
        <v>29870</v>
      </c>
      <c r="Y116" s="18">
        <v>29860</v>
      </c>
      <c r="Z116" s="18">
        <v>29850</v>
      </c>
      <c r="AA116" s="18">
        <v>29840</v>
      </c>
      <c r="AB116" s="18">
        <v>29850</v>
      </c>
      <c r="AC116" s="18">
        <v>29880</v>
      </c>
      <c r="AD116" s="18">
        <v>29930</v>
      </c>
      <c r="AE116" s="18">
        <v>30020</v>
      </c>
      <c r="AF116" s="18">
        <v>30150</v>
      </c>
      <c r="AG116" s="18">
        <v>30310</v>
      </c>
      <c r="AH116" s="18">
        <v>30510</v>
      </c>
      <c r="AI116" s="18">
        <v>30730</v>
      </c>
      <c r="AJ116" s="18">
        <v>30970</v>
      </c>
      <c r="AK116" s="18">
        <v>31200</v>
      </c>
    </row>
    <row r="117" spans="1:37" x14ac:dyDescent="0.25">
      <c r="A117" s="12">
        <f>$A$17</f>
        <v>2</v>
      </c>
      <c r="B117" s="18">
        <v>29510</v>
      </c>
      <c r="C117" s="18">
        <v>29490</v>
      </c>
      <c r="D117" s="18">
        <v>30170</v>
      </c>
      <c r="E117" s="18">
        <v>31800</v>
      </c>
      <c r="F117" s="18">
        <v>33070</v>
      </c>
      <c r="G117" s="18">
        <v>33070</v>
      </c>
      <c r="H117" s="18">
        <v>32930</v>
      </c>
      <c r="I117" s="18">
        <v>31970</v>
      </c>
      <c r="J117" s="18">
        <v>31670</v>
      </c>
      <c r="K117" s="18">
        <v>31400</v>
      </c>
      <c r="L117" s="18">
        <v>30920</v>
      </c>
      <c r="M117" s="18">
        <v>31290</v>
      </c>
      <c r="N117" s="18">
        <v>31420</v>
      </c>
      <c r="O117" s="18">
        <v>31310</v>
      </c>
      <c r="P117" s="18">
        <v>31070</v>
      </c>
      <c r="Q117" s="18">
        <v>31160</v>
      </c>
      <c r="R117" s="18">
        <v>30440</v>
      </c>
      <c r="S117" s="18">
        <v>31660</v>
      </c>
      <c r="T117" s="18">
        <v>31270</v>
      </c>
      <c r="U117" s="18">
        <v>29590</v>
      </c>
      <c r="V117" s="18">
        <v>29370</v>
      </c>
      <c r="W117" s="18">
        <v>29980</v>
      </c>
      <c r="X117" s="18">
        <v>30020</v>
      </c>
      <c r="Y117" s="18">
        <v>30030</v>
      </c>
      <c r="Z117" s="18">
        <v>30030</v>
      </c>
      <c r="AA117" s="18">
        <v>30030</v>
      </c>
      <c r="AB117" s="18">
        <v>30020</v>
      </c>
      <c r="AC117" s="18">
        <v>30030</v>
      </c>
      <c r="AD117" s="18">
        <v>30060</v>
      </c>
      <c r="AE117" s="18">
        <v>30110</v>
      </c>
      <c r="AF117" s="18">
        <v>30200</v>
      </c>
      <c r="AG117" s="18">
        <v>30340</v>
      </c>
      <c r="AH117" s="18">
        <v>30500</v>
      </c>
      <c r="AI117" s="18">
        <v>30700</v>
      </c>
      <c r="AJ117" s="18">
        <v>30920</v>
      </c>
      <c r="AK117" s="18">
        <v>31160</v>
      </c>
    </row>
    <row r="118" spans="1:37" x14ac:dyDescent="0.25">
      <c r="A118" s="12">
        <f>$A$18</f>
        <v>3</v>
      </c>
      <c r="B118" s="18">
        <v>28800</v>
      </c>
      <c r="C118" s="18">
        <v>29680</v>
      </c>
      <c r="D118" s="18">
        <v>29550</v>
      </c>
      <c r="E118" s="18">
        <v>30280</v>
      </c>
      <c r="F118" s="18">
        <v>31860</v>
      </c>
      <c r="G118" s="18">
        <v>32950</v>
      </c>
      <c r="H118" s="18">
        <v>32970</v>
      </c>
      <c r="I118" s="18">
        <v>32960</v>
      </c>
      <c r="J118" s="18">
        <v>32220</v>
      </c>
      <c r="K118" s="18">
        <v>32020</v>
      </c>
      <c r="L118" s="18">
        <v>31970</v>
      </c>
      <c r="M118" s="18">
        <v>31570</v>
      </c>
      <c r="N118" s="18">
        <v>31850</v>
      </c>
      <c r="O118" s="18">
        <v>31860</v>
      </c>
      <c r="P118" s="18">
        <v>31920</v>
      </c>
      <c r="Q118" s="18">
        <v>31240</v>
      </c>
      <c r="R118" s="18">
        <v>31390</v>
      </c>
      <c r="S118" s="18">
        <v>31090</v>
      </c>
      <c r="T118" s="18">
        <v>32200</v>
      </c>
      <c r="U118" s="18">
        <v>31410</v>
      </c>
      <c r="V118" s="18">
        <v>29770</v>
      </c>
      <c r="W118" s="18">
        <v>29560</v>
      </c>
      <c r="X118" s="18">
        <v>30190</v>
      </c>
      <c r="Y118" s="18">
        <v>30240</v>
      </c>
      <c r="Z118" s="18">
        <v>30260</v>
      </c>
      <c r="AA118" s="18">
        <v>30260</v>
      </c>
      <c r="AB118" s="18">
        <v>30260</v>
      </c>
      <c r="AC118" s="18">
        <v>30250</v>
      </c>
      <c r="AD118" s="18">
        <v>30260</v>
      </c>
      <c r="AE118" s="18">
        <v>30290</v>
      </c>
      <c r="AF118" s="18">
        <v>30350</v>
      </c>
      <c r="AG118" s="18">
        <v>30450</v>
      </c>
      <c r="AH118" s="18">
        <v>30580</v>
      </c>
      <c r="AI118" s="18">
        <v>30750</v>
      </c>
      <c r="AJ118" s="18">
        <v>30950</v>
      </c>
      <c r="AK118" s="18">
        <v>31170</v>
      </c>
    </row>
    <row r="119" spans="1:37" x14ac:dyDescent="0.25">
      <c r="A119" s="12">
        <f>$A$19</f>
        <v>4</v>
      </c>
      <c r="B119" s="18">
        <v>28370</v>
      </c>
      <c r="C119" s="18">
        <v>28970</v>
      </c>
      <c r="D119" s="18">
        <v>29740</v>
      </c>
      <c r="E119" s="18">
        <v>29670</v>
      </c>
      <c r="F119" s="18">
        <v>30290</v>
      </c>
      <c r="G119" s="18">
        <v>31810</v>
      </c>
      <c r="H119" s="18">
        <v>32820</v>
      </c>
      <c r="I119" s="18">
        <v>32930</v>
      </c>
      <c r="J119" s="18">
        <v>33110</v>
      </c>
      <c r="K119" s="18">
        <v>32540</v>
      </c>
      <c r="L119" s="18">
        <v>32460</v>
      </c>
      <c r="M119" s="18">
        <v>32480</v>
      </c>
      <c r="N119" s="18">
        <v>32120</v>
      </c>
      <c r="O119" s="18">
        <v>32360</v>
      </c>
      <c r="P119" s="18">
        <v>32360</v>
      </c>
      <c r="Q119" s="18">
        <v>32020</v>
      </c>
      <c r="R119" s="18">
        <v>31360</v>
      </c>
      <c r="S119" s="18">
        <v>32140</v>
      </c>
      <c r="T119" s="18">
        <v>31840</v>
      </c>
      <c r="U119" s="18">
        <v>32380</v>
      </c>
      <c r="V119" s="18">
        <v>31630</v>
      </c>
      <c r="W119" s="18">
        <v>30010</v>
      </c>
      <c r="X119" s="18">
        <v>29820</v>
      </c>
      <c r="Y119" s="18">
        <v>30460</v>
      </c>
      <c r="Z119" s="18">
        <v>30510</v>
      </c>
      <c r="AA119" s="18">
        <v>30540</v>
      </c>
      <c r="AB119" s="18">
        <v>30550</v>
      </c>
      <c r="AC119" s="18">
        <v>30540</v>
      </c>
      <c r="AD119" s="18">
        <v>30540</v>
      </c>
      <c r="AE119" s="18">
        <v>30550</v>
      </c>
      <c r="AF119" s="18">
        <v>30580</v>
      </c>
      <c r="AG119" s="18">
        <v>30640</v>
      </c>
      <c r="AH119" s="18">
        <v>30740</v>
      </c>
      <c r="AI119" s="18">
        <v>30870</v>
      </c>
      <c r="AJ119" s="18">
        <v>31050</v>
      </c>
      <c r="AK119" s="18">
        <v>31250</v>
      </c>
    </row>
    <row r="120" spans="1:37" x14ac:dyDescent="0.25">
      <c r="A120" s="12">
        <f>$A$20</f>
        <v>5</v>
      </c>
      <c r="B120" s="18">
        <v>29670</v>
      </c>
      <c r="C120" s="18">
        <v>28590</v>
      </c>
      <c r="D120" s="18">
        <v>29100</v>
      </c>
      <c r="E120" s="18">
        <v>29870</v>
      </c>
      <c r="F120" s="18">
        <v>29760</v>
      </c>
      <c r="G120" s="18">
        <v>30240</v>
      </c>
      <c r="H120" s="18">
        <v>31670</v>
      </c>
      <c r="I120" s="18">
        <v>32730</v>
      </c>
      <c r="J120" s="18">
        <v>33050</v>
      </c>
      <c r="K120" s="18">
        <v>33360</v>
      </c>
      <c r="L120" s="18">
        <v>32990</v>
      </c>
      <c r="M120" s="18">
        <v>32950</v>
      </c>
      <c r="N120" s="18">
        <v>32960</v>
      </c>
      <c r="O120" s="18">
        <v>32680</v>
      </c>
      <c r="P120" s="18">
        <v>32910</v>
      </c>
      <c r="Q120" s="18">
        <v>32500</v>
      </c>
      <c r="R120" s="18">
        <v>32050</v>
      </c>
      <c r="S120" s="18">
        <v>32120</v>
      </c>
      <c r="T120" s="18">
        <v>32920</v>
      </c>
      <c r="U120" s="18">
        <v>32030</v>
      </c>
      <c r="V120" s="18">
        <v>32610</v>
      </c>
      <c r="W120" s="18">
        <v>31880</v>
      </c>
      <c r="X120" s="18">
        <v>30280</v>
      </c>
      <c r="Y120" s="18">
        <v>30100</v>
      </c>
      <c r="Z120" s="18">
        <v>30750</v>
      </c>
      <c r="AA120" s="18">
        <v>30800</v>
      </c>
      <c r="AB120" s="18">
        <v>30830</v>
      </c>
      <c r="AC120" s="18">
        <v>30840</v>
      </c>
      <c r="AD120" s="18">
        <v>30840</v>
      </c>
      <c r="AE120" s="18">
        <v>30840</v>
      </c>
      <c r="AF120" s="18">
        <v>30850</v>
      </c>
      <c r="AG120" s="18">
        <v>30890</v>
      </c>
      <c r="AH120" s="18">
        <v>30950</v>
      </c>
      <c r="AI120" s="18">
        <v>31050</v>
      </c>
      <c r="AJ120" s="18">
        <v>31180</v>
      </c>
      <c r="AK120" s="18">
        <v>31360</v>
      </c>
    </row>
    <row r="121" spans="1:37" x14ac:dyDescent="0.25">
      <c r="A121" s="12">
        <f>$A$21</f>
        <v>6</v>
      </c>
      <c r="B121" s="18">
        <v>30280</v>
      </c>
      <c r="C121" s="18">
        <v>29980</v>
      </c>
      <c r="D121" s="18">
        <v>28760</v>
      </c>
      <c r="E121" s="18">
        <v>29210</v>
      </c>
      <c r="F121" s="18">
        <v>29950</v>
      </c>
      <c r="G121" s="18">
        <v>29730</v>
      </c>
      <c r="H121" s="18">
        <v>30080</v>
      </c>
      <c r="I121" s="18">
        <v>31520</v>
      </c>
      <c r="J121" s="18">
        <v>32870</v>
      </c>
      <c r="K121" s="18">
        <v>33280</v>
      </c>
      <c r="L121" s="18">
        <v>33630</v>
      </c>
      <c r="M121" s="18">
        <v>33450</v>
      </c>
      <c r="N121" s="18">
        <v>33340</v>
      </c>
      <c r="O121" s="18">
        <v>33330</v>
      </c>
      <c r="P121" s="18">
        <v>33180</v>
      </c>
      <c r="Q121" s="18">
        <v>32980</v>
      </c>
      <c r="R121" s="18">
        <v>32530</v>
      </c>
      <c r="S121" s="18">
        <v>32760</v>
      </c>
      <c r="T121" s="18">
        <v>32910</v>
      </c>
      <c r="U121" s="18">
        <v>33130</v>
      </c>
      <c r="V121" s="18">
        <v>32280</v>
      </c>
      <c r="W121" s="18">
        <v>32880</v>
      </c>
      <c r="X121" s="18">
        <v>32170</v>
      </c>
      <c r="Y121" s="18">
        <v>30580</v>
      </c>
      <c r="Z121" s="18">
        <v>30410</v>
      </c>
      <c r="AA121" s="18">
        <v>31060</v>
      </c>
      <c r="AB121" s="18">
        <v>31120</v>
      </c>
      <c r="AC121" s="18">
        <v>31150</v>
      </c>
      <c r="AD121" s="18">
        <v>31160</v>
      </c>
      <c r="AE121" s="18">
        <v>31160</v>
      </c>
      <c r="AF121" s="18">
        <v>31160</v>
      </c>
      <c r="AG121" s="18">
        <v>31180</v>
      </c>
      <c r="AH121" s="18">
        <v>31210</v>
      </c>
      <c r="AI121" s="18">
        <v>31280</v>
      </c>
      <c r="AJ121" s="18">
        <v>31380</v>
      </c>
      <c r="AK121" s="18">
        <v>31520</v>
      </c>
    </row>
    <row r="122" spans="1:37" x14ac:dyDescent="0.25">
      <c r="A122" s="12">
        <f>$A$22</f>
        <v>7</v>
      </c>
      <c r="B122" s="18">
        <v>29500</v>
      </c>
      <c r="C122" s="18">
        <v>30570</v>
      </c>
      <c r="D122" s="18">
        <v>30180</v>
      </c>
      <c r="E122" s="18">
        <v>28890</v>
      </c>
      <c r="F122" s="18">
        <v>29340</v>
      </c>
      <c r="G122" s="18">
        <v>29910</v>
      </c>
      <c r="H122" s="18">
        <v>29610</v>
      </c>
      <c r="I122" s="18">
        <v>29960</v>
      </c>
      <c r="J122" s="18">
        <v>31670</v>
      </c>
      <c r="K122" s="18">
        <v>33060</v>
      </c>
      <c r="L122" s="18">
        <v>33510</v>
      </c>
      <c r="M122" s="18">
        <v>33970</v>
      </c>
      <c r="N122" s="18">
        <v>33780</v>
      </c>
      <c r="O122" s="18">
        <v>33750</v>
      </c>
      <c r="P122" s="18">
        <v>33740</v>
      </c>
      <c r="Q122" s="18">
        <v>33350</v>
      </c>
      <c r="R122" s="18">
        <v>33010</v>
      </c>
      <c r="S122" s="18">
        <v>33250</v>
      </c>
      <c r="T122" s="18">
        <v>33470</v>
      </c>
      <c r="U122" s="18">
        <v>33130</v>
      </c>
      <c r="V122" s="18">
        <v>33390</v>
      </c>
      <c r="W122" s="18">
        <v>32560</v>
      </c>
      <c r="X122" s="18">
        <v>33180</v>
      </c>
      <c r="Y122" s="18">
        <v>32480</v>
      </c>
      <c r="Z122" s="18">
        <v>30900</v>
      </c>
      <c r="AA122" s="18">
        <v>30730</v>
      </c>
      <c r="AB122" s="18">
        <v>31390</v>
      </c>
      <c r="AC122" s="18">
        <v>31450</v>
      </c>
      <c r="AD122" s="18">
        <v>31480</v>
      </c>
      <c r="AE122" s="18">
        <v>31490</v>
      </c>
      <c r="AF122" s="18">
        <v>31500</v>
      </c>
      <c r="AG122" s="18">
        <v>31500</v>
      </c>
      <c r="AH122" s="18">
        <v>31520</v>
      </c>
      <c r="AI122" s="18">
        <v>31560</v>
      </c>
      <c r="AJ122" s="18">
        <v>31620</v>
      </c>
      <c r="AK122" s="18">
        <v>31720</v>
      </c>
    </row>
    <row r="123" spans="1:37" x14ac:dyDescent="0.25">
      <c r="A123" s="12">
        <f>$A$23</f>
        <v>8</v>
      </c>
      <c r="B123" s="18">
        <v>29960</v>
      </c>
      <c r="C123" s="18">
        <v>29810</v>
      </c>
      <c r="D123" s="18">
        <v>30860</v>
      </c>
      <c r="E123" s="18">
        <v>30370</v>
      </c>
      <c r="F123" s="18">
        <v>29120</v>
      </c>
      <c r="G123" s="18">
        <v>29410</v>
      </c>
      <c r="H123" s="18">
        <v>29840</v>
      </c>
      <c r="I123" s="18">
        <v>29550</v>
      </c>
      <c r="J123" s="18">
        <v>30110</v>
      </c>
      <c r="K123" s="18">
        <v>31880</v>
      </c>
      <c r="L123" s="18">
        <v>33360</v>
      </c>
      <c r="M123" s="18">
        <v>33860</v>
      </c>
      <c r="N123" s="18">
        <v>34200</v>
      </c>
      <c r="O123" s="18">
        <v>34170</v>
      </c>
      <c r="P123" s="18">
        <v>34210</v>
      </c>
      <c r="Q123" s="18">
        <v>33870</v>
      </c>
      <c r="R123" s="18">
        <v>33350</v>
      </c>
      <c r="S123" s="18">
        <v>33740</v>
      </c>
      <c r="T123" s="18">
        <v>34050</v>
      </c>
      <c r="U123" s="18">
        <v>33700</v>
      </c>
      <c r="V123" s="18">
        <v>33400</v>
      </c>
      <c r="W123" s="18">
        <v>33680</v>
      </c>
      <c r="X123" s="18">
        <v>32870</v>
      </c>
      <c r="Y123" s="18">
        <v>33500</v>
      </c>
      <c r="Z123" s="18">
        <v>32810</v>
      </c>
      <c r="AA123" s="18">
        <v>31230</v>
      </c>
      <c r="AB123" s="18">
        <v>31060</v>
      </c>
      <c r="AC123" s="18">
        <v>31720</v>
      </c>
      <c r="AD123" s="18">
        <v>31790</v>
      </c>
      <c r="AE123" s="18">
        <v>31820</v>
      </c>
      <c r="AF123" s="18">
        <v>31840</v>
      </c>
      <c r="AG123" s="18">
        <v>31840</v>
      </c>
      <c r="AH123" s="18">
        <v>31850</v>
      </c>
      <c r="AI123" s="18">
        <v>31870</v>
      </c>
      <c r="AJ123" s="18">
        <v>31910</v>
      </c>
      <c r="AK123" s="18">
        <v>31980</v>
      </c>
    </row>
    <row r="124" spans="1:37" x14ac:dyDescent="0.25">
      <c r="A124" s="12">
        <f>$A$24</f>
        <v>9</v>
      </c>
      <c r="B124" s="18">
        <v>29820</v>
      </c>
      <c r="C124" s="18">
        <v>30270</v>
      </c>
      <c r="D124" s="18">
        <v>30090</v>
      </c>
      <c r="E124" s="18">
        <v>31080</v>
      </c>
      <c r="F124" s="18">
        <v>30610</v>
      </c>
      <c r="G124" s="18">
        <v>29220</v>
      </c>
      <c r="H124" s="18">
        <v>29330</v>
      </c>
      <c r="I124" s="18">
        <v>29810</v>
      </c>
      <c r="J124" s="18">
        <v>29700</v>
      </c>
      <c r="K124" s="18">
        <v>30340</v>
      </c>
      <c r="L124" s="18">
        <v>32240</v>
      </c>
      <c r="M124" s="18">
        <v>33630</v>
      </c>
      <c r="N124" s="18">
        <v>34150</v>
      </c>
      <c r="O124" s="18">
        <v>34610</v>
      </c>
      <c r="P124" s="18">
        <v>34590</v>
      </c>
      <c r="Q124" s="18">
        <v>34310</v>
      </c>
      <c r="R124" s="18">
        <v>33920</v>
      </c>
      <c r="S124" s="18">
        <v>34030</v>
      </c>
      <c r="T124" s="18">
        <v>34600</v>
      </c>
      <c r="U124" s="18">
        <v>34290</v>
      </c>
      <c r="V124" s="18">
        <v>33970</v>
      </c>
      <c r="W124" s="18">
        <v>33690</v>
      </c>
      <c r="X124" s="18">
        <v>33990</v>
      </c>
      <c r="Y124" s="18">
        <v>33190</v>
      </c>
      <c r="Z124" s="18">
        <v>33830</v>
      </c>
      <c r="AA124" s="18">
        <v>33140</v>
      </c>
      <c r="AB124" s="18">
        <v>31570</v>
      </c>
      <c r="AC124" s="18">
        <v>31400</v>
      </c>
      <c r="AD124" s="18">
        <v>32060</v>
      </c>
      <c r="AE124" s="18">
        <v>32130</v>
      </c>
      <c r="AF124" s="18">
        <v>32170</v>
      </c>
      <c r="AG124" s="18">
        <v>32180</v>
      </c>
      <c r="AH124" s="18">
        <v>32190</v>
      </c>
      <c r="AI124" s="18">
        <v>32200</v>
      </c>
      <c r="AJ124" s="18">
        <v>32220</v>
      </c>
      <c r="AK124" s="18">
        <v>32260</v>
      </c>
    </row>
    <row r="125" spans="1:37" x14ac:dyDescent="0.25">
      <c r="A125" s="12">
        <f>$A$25</f>
        <v>10</v>
      </c>
      <c r="B125" s="18">
        <v>31100</v>
      </c>
      <c r="C125" s="18">
        <v>30190</v>
      </c>
      <c r="D125" s="18">
        <v>30480</v>
      </c>
      <c r="E125" s="18">
        <v>30320</v>
      </c>
      <c r="F125" s="18">
        <v>31360</v>
      </c>
      <c r="G125" s="18">
        <v>30720</v>
      </c>
      <c r="H125" s="18">
        <v>29220</v>
      </c>
      <c r="I125" s="18">
        <v>29330</v>
      </c>
      <c r="J125" s="18">
        <v>29960</v>
      </c>
      <c r="K125" s="18">
        <v>29980</v>
      </c>
      <c r="L125" s="18">
        <v>30710</v>
      </c>
      <c r="M125" s="18">
        <v>32680</v>
      </c>
      <c r="N125" s="18">
        <v>33930</v>
      </c>
      <c r="O125" s="18">
        <v>34530</v>
      </c>
      <c r="P125" s="18">
        <v>35100</v>
      </c>
      <c r="Q125" s="18">
        <v>34700</v>
      </c>
      <c r="R125" s="18">
        <v>34360</v>
      </c>
      <c r="S125" s="18">
        <v>34700</v>
      </c>
      <c r="T125" s="18">
        <v>34830</v>
      </c>
      <c r="U125" s="18">
        <v>34830</v>
      </c>
      <c r="V125" s="18">
        <v>34560</v>
      </c>
      <c r="W125" s="18">
        <v>34270</v>
      </c>
      <c r="X125" s="18">
        <v>34000</v>
      </c>
      <c r="Y125" s="18">
        <v>34310</v>
      </c>
      <c r="Z125" s="18">
        <v>33530</v>
      </c>
      <c r="AA125" s="18">
        <v>34170</v>
      </c>
      <c r="AB125" s="18">
        <v>33480</v>
      </c>
      <c r="AC125" s="18">
        <v>31910</v>
      </c>
      <c r="AD125" s="18">
        <v>31750</v>
      </c>
      <c r="AE125" s="18">
        <v>32410</v>
      </c>
      <c r="AF125" s="18">
        <v>32480</v>
      </c>
      <c r="AG125" s="18">
        <v>32520</v>
      </c>
      <c r="AH125" s="18">
        <v>32540</v>
      </c>
      <c r="AI125" s="18">
        <v>32550</v>
      </c>
      <c r="AJ125" s="18">
        <v>32560</v>
      </c>
      <c r="AK125" s="18">
        <v>32580</v>
      </c>
    </row>
    <row r="126" spans="1:37" x14ac:dyDescent="0.25">
      <c r="A126" s="12">
        <f>$A$26</f>
        <v>11</v>
      </c>
      <c r="B126" s="18">
        <v>31570</v>
      </c>
      <c r="C126" s="18">
        <v>31310</v>
      </c>
      <c r="D126" s="18">
        <v>30420</v>
      </c>
      <c r="E126" s="18">
        <v>30690</v>
      </c>
      <c r="F126" s="18">
        <v>30620</v>
      </c>
      <c r="G126" s="18">
        <v>31500</v>
      </c>
      <c r="H126" s="18">
        <v>30790</v>
      </c>
      <c r="I126" s="18">
        <v>29240</v>
      </c>
      <c r="J126" s="18">
        <v>29600</v>
      </c>
      <c r="K126" s="18">
        <v>30160</v>
      </c>
      <c r="L126" s="18">
        <v>30300</v>
      </c>
      <c r="M126" s="18">
        <v>31150</v>
      </c>
      <c r="N126" s="18">
        <v>33010</v>
      </c>
      <c r="O126" s="18">
        <v>34340</v>
      </c>
      <c r="P126" s="18">
        <v>34870</v>
      </c>
      <c r="Q126" s="18">
        <v>35210</v>
      </c>
      <c r="R126" s="18">
        <v>34760</v>
      </c>
      <c r="S126" s="18">
        <v>35040</v>
      </c>
      <c r="T126" s="18">
        <v>35460</v>
      </c>
      <c r="U126" s="18">
        <v>35070</v>
      </c>
      <c r="V126" s="18">
        <v>35110</v>
      </c>
      <c r="W126" s="18">
        <v>34860</v>
      </c>
      <c r="X126" s="18">
        <v>34590</v>
      </c>
      <c r="Y126" s="18">
        <v>34330</v>
      </c>
      <c r="Z126" s="18">
        <v>34650</v>
      </c>
      <c r="AA126" s="18">
        <v>33870</v>
      </c>
      <c r="AB126" s="18">
        <v>34520</v>
      </c>
      <c r="AC126" s="18">
        <v>33830</v>
      </c>
      <c r="AD126" s="18">
        <v>32260</v>
      </c>
      <c r="AE126" s="18">
        <v>32100</v>
      </c>
      <c r="AF126" s="18">
        <v>32770</v>
      </c>
      <c r="AG126" s="18">
        <v>32840</v>
      </c>
      <c r="AH126" s="18">
        <v>32880</v>
      </c>
      <c r="AI126" s="18">
        <v>32900</v>
      </c>
      <c r="AJ126" s="18">
        <v>32910</v>
      </c>
      <c r="AK126" s="18">
        <v>32920</v>
      </c>
    </row>
    <row r="127" spans="1:37" x14ac:dyDescent="0.25">
      <c r="A127" s="12">
        <f>$A$27</f>
        <v>12</v>
      </c>
      <c r="B127" s="18">
        <v>31640</v>
      </c>
      <c r="C127" s="18">
        <v>31640</v>
      </c>
      <c r="D127" s="18">
        <v>31450</v>
      </c>
      <c r="E127" s="18">
        <v>30620</v>
      </c>
      <c r="F127" s="18">
        <v>30980</v>
      </c>
      <c r="G127" s="18">
        <v>30730</v>
      </c>
      <c r="H127" s="18">
        <v>31640</v>
      </c>
      <c r="I127" s="18">
        <v>30870</v>
      </c>
      <c r="J127" s="18">
        <v>29490</v>
      </c>
      <c r="K127" s="18">
        <v>29980</v>
      </c>
      <c r="L127" s="18">
        <v>30450</v>
      </c>
      <c r="M127" s="18">
        <v>30710</v>
      </c>
      <c r="N127" s="18">
        <v>31540</v>
      </c>
      <c r="O127" s="18">
        <v>33560</v>
      </c>
      <c r="P127" s="18">
        <v>34840</v>
      </c>
      <c r="Q127" s="18">
        <v>35020</v>
      </c>
      <c r="R127" s="18">
        <v>35240</v>
      </c>
      <c r="S127" s="18">
        <v>35440</v>
      </c>
      <c r="T127" s="18">
        <v>35780</v>
      </c>
      <c r="U127" s="18">
        <v>35700</v>
      </c>
      <c r="V127" s="18">
        <v>35350</v>
      </c>
      <c r="W127" s="18">
        <v>35420</v>
      </c>
      <c r="X127" s="18">
        <v>35180</v>
      </c>
      <c r="Y127" s="18">
        <v>34920</v>
      </c>
      <c r="Z127" s="18">
        <v>34670</v>
      </c>
      <c r="AA127" s="18">
        <v>35000</v>
      </c>
      <c r="AB127" s="18">
        <v>34210</v>
      </c>
      <c r="AC127" s="18">
        <v>34860</v>
      </c>
      <c r="AD127" s="18">
        <v>34180</v>
      </c>
      <c r="AE127" s="18">
        <v>32610</v>
      </c>
      <c r="AF127" s="18">
        <v>32460</v>
      </c>
      <c r="AG127" s="18">
        <v>33120</v>
      </c>
      <c r="AH127" s="18">
        <v>33190</v>
      </c>
      <c r="AI127" s="18">
        <v>33240</v>
      </c>
      <c r="AJ127" s="18">
        <v>33260</v>
      </c>
      <c r="AK127" s="18">
        <v>33270</v>
      </c>
    </row>
    <row r="128" spans="1:37" x14ac:dyDescent="0.25">
      <c r="A128" s="12">
        <f>$A$28</f>
        <v>13</v>
      </c>
      <c r="B128" s="18">
        <v>32400</v>
      </c>
      <c r="C128" s="18">
        <v>31620</v>
      </c>
      <c r="D128" s="18">
        <v>31620</v>
      </c>
      <c r="E128" s="18">
        <v>31610</v>
      </c>
      <c r="F128" s="18">
        <v>30840</v>
      </c>
      <c r="G128" s="18">
        <v>31190</v>
      </c>
      <c r="H128" s="18">
        <v>30830</v>
      </c>
      <c r="I128" s="18">
        <v>31780</v>
      </c>
      <c r="J128" s="18">
        <v>31050</v>
      </c>
      <c r="K128" s="18">
        <v>29880</v>
      </c>
      <c r="L128" s="18">
        <v>30500</v>
      </c>
      <c r="M128" s="18">
        <v>30750</v>
      </c>
      <c r="N128" s="18">
        <v>31040</v>
      </c>
      <c r="O128" s="18">
        <v>32050</v>
      </c>
      <c r="P128" s="18">
        <v>34110</v>
      </c>
      <c r="Q128" s="18">
        <v>35090</v>
      </c>
      <c r="R128" s="18">
        <v>35090</v>
      </c>
      <c r="S128" s="18">
        <v>35950</v>
      </c>
      <c r="T128" s="18">
        <v>36220</v>
      </c>
      <c r="U128" s="18">
        <v>36050</v>
      </c>
      <c r="V128" s="18">
        <v>36010</v>
      </c>
      <c r="W128" s="18">
        <v>35680</v>
      </c>
      <c r="X128" s="18">
        <v>35760</v>
      </c>
      <c r="Y128" s="18">
        <v>35540</v>
      </c>
      <c r="Z128" s="18">
        <v>35280</v>
      </c>
      <c r="AA128" s="18">
        <v>35040</v>
      </c>
      <c r="AB128" s="18">
        <v>35360</v>
      </c>
      <c r="AC128" s="18">
        <v>34580</v>
      </c>
      <c r="AD128" s="18">
        <v>35230</v>
      </c>
      <c r="AE128" s="18">
        <v>34550</v>
      </c>
      <c r="AF128" s="18">
        <v>32990</v>
      </c>
      <c r="AG128" s="18">
        <v>32830</v>
      </c>
      <c r="AH128" s="18">
        <v>33500</v>
      </c>
      <c r="AI128" s="18">
        <v>33570</v>
      </c>
      <c r="AJ128" s="18">
        <v>33620</v>
      </c>
      <c r="AK128" s="18">
        <v>33640</v>
      </c>
    </row>
    <row r="129" spans="1:37" x14ac:dyDescent="0.25">
      <c r="A129" s="12">
        <f>$A$29</f>
        <v>14</v>
      </c>
      <c r="B129" s="18">
        <v>32800</v>
      </c>
      <c r="C129" s="18">
        <v>32260</v>
      </c>
      <c r="D129" s="18">
        <v>31550</v>
      </c>
      <c r="E129" s="18">
        <v>31640</v>
      </c>
      <c r="F129" s="18">
        <v>31810</v>
      </c>
      <c r="G129" s="18">
        <v>31060</v>
      </c>
      <c r="H129" s="18">
        <v>31400</v>
      </c>
      <c r="I129" s="18">
        <v>30980</v>
      </c>
      <c r="J129" s="18">
        <v>31850</v>
      </c>
      <c r="K129" s="18">
        <v>31360</v>
      </c>
      <c r="L129" s="18">
        <v>30430</v>
      </c>
      <c r="M129" s="18">
        <v>31080</v>
      </c>
      <c r="N129" s="18">
        <v>31160</v>
      </c>
      <c r="O129" s="18">
        <v>31570</v>
      </c>
      <c r="P129" s="18">
        <v>32560</v>
      </c>
      <c r="Q129" s="18">
        <v>34280</v>
      </c>
      <c r="R129" s="18">
        <v>35220</v>
      </c>
      <c r="S129" s="18">
        <v>35800</v>
      </c>
      <c r="T129" s="18">
        <v>36680</v>
      </c>
      <c r="U129" s="18">
        <v>36540</v>
      </c>
      <c r="V129" s="18">
        <v>36400</v>
      </c>
      <c r="W129" s="18">
        <v>36380</v>
      </c>
      <c r="X129" s="18">
        <v>36060</v>
      </c>
      <c r="Y129" s="18">
        <v>36150</v>
      </c>
      <c r="Z129" s="18">
        <v>35940</v>
      </c>
      <c r="AA129" s="18">
        <v>35680</v>
      </c>
      <c r="AB129" s="18">
        <v>35440</v>
      </c>
      <c r="AC129" s="18">
        <v>35770</v>
      </c>
      <c r="AD129" s="18">
        <v>34990</v>
      </c>
      <c r="AE129" s="18">
        <v>35640</v>
      </c>
      <c r="AF129" s="18">
        <v>34960</v>
      </c>
      <c r="AG129" s="18">
        <v>33400</v>
      </c>
      <c r="AH129" s="18">
        <v>33250</v>
      </c>
      <c r="AI129" s="18">
        <v>33920</v>
      </c>
      <c r="AJ129" s="18">
        <v>33990</v>
      </c>
      <c r="AK129" s="18">
        <v>34040</v>
      </c>
    </row>
    <row r="130" spans="1:37" x14ac:dyDescent="0.25">
      <c r="A130" s="12">
        <f>$A$30</f>
        <v>15</v>
      </c>
      <c r="B130" s="18">
        <v>33590</v>
      </c>
      <c r="C130" s="18">
        <v>32590</v>
      </c>
      <c r="D130" s="18">
        <v>32100</v>
      </c>
      <c r="E130" s="18">
        <v>31480</v>
      </c>
      <c r="F130" s="18">
        <v>31790</v>
      </c>
      <c r="G130" s="18">
        <v>31950</v>
      </c>
      <c r="H130" s="18">
        <v>31310</v>
      </c>
      <c r="I130" s="18">
        <v>31620</v>
      </c>
      <c r="J130" s="18">
        <v>31200</v>
      </c>
      <c r="K130" s="18">
        <v>32200</v>
      </c>
      <c r="L130" s="18">
        <v>31970</v>
      </c>
      <c r="M130" s="18">
        <v>31110</v>
      </c>
      <c r="N130" s="18">
        <v>31730</v>
      </c>
      <c r="O130" s="18">
        <v>31760</v>
      </c>
      <c r="P130" s="18">
        <v>32140</v>
      </c>
      <c r="Q130" s="18">
        <v>32720</v>
      </c>
      <c r="R130" s="18">
        <v>34490</v>
      </c>
      <c r="S130" s="18">
        <v>36160</v>
      </c>
      <c r="T130" s="18">
        <v>36610</v>
      </c>
      <c r="U130" s="18">
        <v>37050</v>
      </c>
      <c r="V130" s="18">
        <v>36940</v>
      </c>
      <c r="W130" s="18">
        <v>36820</v>
      </c>
      <c r="X130" s="18">
        <v>36810</v>
      </c>
      <c r="Y130" s="18">
        <v>36510</v>
      </c>
      <c r="Z130" s="18">
        <v>36600</v>
      </c>
      <c r="AA130" s="18">
        <v>36390</v>
      </c>
      <c r="AB130" s="18">
        <v>36140</v>
      </c>
      <c r="AC130" s="18">
        <v>35900</v>
      </c>
      <c r="AD130" s="18">
        <v>36230</v>
      </c>
      <c r="AE130" s="18">
        <v>35450</v>
      </c>
      <c r="AF130" s="18">
        <v>36110</v>
      </c>
      <c r="AG130" s="18">
        <v>35430</v>
      </c>
      <c r="AH130" s="18">
        <v>33870</v>
      </c>
      <c r="AI130" s="18">
        <v>33720</v>
      </c>
      <c r="AJ130" s="18">
        <v>34390</v>
      </c>
      <c r="AK130" s="18">
        <v>34470</v>
      </c>
    </row>
    <row r="131" spans="1:37" x14ac:dyDescent="0.25">
      <c r="A131" s="12">
        <f>$A$31</f>
        <v>16</v>
      </c>
      <c r="B131" s="18">
        <v>32610</v>
      </c>
      <c r="C131" s="18">
        <v>33310</v>
      </c>
      <c r="D131" s="18">
        <v>32300</v>
      </c>
      <c r="E131" s="18">
        <v>32050</v>
      </c>
      <c r="F131" s="18">
        <v>31680</v>
      </c>
      <c r="G131" s="18">
        <v>31980</v>
      </c>
      <c r="H131" s="18">
        <v>32180</v>
      </c>
      <c r="I131" s="18">
        <v>31650</v>
      </c>
      <c r="J131" s="18">
        <v>31920</v>
      </c>
      <c r="K131" s="18">
        <v>31620</v>
      </c>
      <c r="L131" s="18">
        <v>32770</v>
      </c>
      <c r="M131" s="18">
        <v>32690</v>
      </c>
      <c r="N131" s="18">
        <v>31800</v>
      </c>
      <c r="O131" s="18">
        <v>32190</v>
      </c>
      <c r="P131" s="18">
        <v>32350</v>
      </c>
      <c r="Q131" s="18">
        <v>32320</v>
      </c>
      <c r="R131" s="18">
        <v>32920</v>
      </c>
      <c r="S131" s="18">
        <v>35350</v>
      </c>
      <c r="T131" s="18">
        <v>37080</v>
      </c>
      <c r="U131" s="18">
        <v>37080</v>
      </c>
      <c r="V131" s="18">
        <v>37560</v>
      </c>
      <c r="W131" s="18">
        <v>37460</v>
      </c>
      <c r="X131" s="18">
        <v>37360</v>
      </c>
      <c r="Y131" s="18">
        <v>37370</v>
      </c>
      <c r="Z131" s="18">
        <v>37070</v>
      </c>
      <c r="AA131" s="18">
        <v>37170</v>
      </c>
      <c r="AB131" s="18">
        <v>36960</v>
      </c>
      <c r="AC131" s="18">
        <v>36710</v>
      </c>
      <c r="AD131" s="18">
        <v>36480</v>
      </c>
      <c r="AE131" s="18">
        <v>36810</v>
      </c>
      <c r="AF131" s="18">
        <v>36030</v>
      </c>
      <c r="AG131" s="18">
        <v>36690</v>
      </c>
      <c r="AH131" s="18">
        <v>36010</v>
      </c>
      <c r="AI131" s="18">
        <v>34450</v>
      </c>
      <c r="AJ131" s="18">
        <v>34310</v>
      </c>
      <c r="AK131" s="18">
        <v>34980</v>
      </c>
    </row>
    <row r="132" spans="1:37" x14ac:dyDescent="0.25">
      <c r="A132" s="12">
        <f>$A$32</f>
        <v>17</v>
      </c>
      <c r="B132" s="18">
        <v>31820</v>
      </c>
      <c r="C132" s="18">
        <v>32260</v>
      </c>
      <c r="D132" s="18">
        <v>33160</v>
      </c>
      <c r="E132" s="18">
        <v>32180</v>
      </c>
      <c r="F132" s="18">
        <v>32210</v>
      </c>
      <c r="G132" s="18">
        <v>31800</v>
      </c>
      <c r="H132" s="18">
        <v>32120</v>
      </c>
      <c r="I132" s="18">
        <v>32430</v>
      </c>
      <c r="J132" s="18">
        <v>31970</v>
      </c>
      <c r="K132" s="18">
        <v>32340</v>
      </c>
      <c r="L132" s="18">
        <v>32150</v>
      </c>
      <c r="M132" s="18">
        <v>33240</v>
      </c>
      <c r="N132" s="18">
        <v>33240</v>
      </c>
      <c r="O132" s="18">
        <v>32050</v>
      </c>
      <c r="P132" s="18">
        <v>32410</v>
      </c>
      <c r="Q132" s="18">
        <v>32410</v>
      </c>
      <c r="R132" s="18">
        <v>32480</v>
      </c>
      <c r="S132" s="18">
        <v>33660</v>
      </c>
      <c r="T132" s="18">
        <v>36040</v>
      </c>
      <c r="U132" s="18">
        <v>37630</v>
      </c>
      <c r="V132" s="18">
        <v>37680</v>
      </c>
      <c r="W132" s="18">
        <v>38190</v>
      </c>
      <c r="X132" s="18">
        <v>38120</v>
      </c>
      <c r="Y132" s="18">
        <v>38030</v>
      </c>
      <c r="Z132" s="18">
        <v>38050</v>
      </c>
      <c r="AA132" s="18">
        <v>37760</v>
      </c>
      <c r="AB132" s="18">
        <v>37860</v>
      </c>
      <c r="AC132" s="18">
        <v>37660</v>
      </c>
      <c r="AD132" s="18">
        <v>37410</v>
      </c>
      <c r="AE132" s="18">
        <v>37180</v>
      </c>
      <c r="AF132" s="18">
        <v>37510</v>
      </c>
      <c r="AG132" s="18">
        <v>36740</v>
      </c>
      <c r="AH132" s="18">
        <v>37400</v>
      </c>
      <c r="AI132" s="18">
        <v>36730</v>
      </c>
      <c r="AJ132" s="18">
        <v>35170</v>
      </c>
      <c r="AK132" s="18">
        <v>35030</v>
      </c>
    </row>
    <row r="133" spans="1:37" x14ac:dyDescent="0.25">
      <c r="A133" s="12">
        <f>$A$33</f>
        <v>18</v>
      </c>
      <c r="B133" s="18">
        <v>31140</v>
      </c>
      <c r="C133" s="18">
        <v>31370</v>
      </c>
      <c r="D133" s="18">
        <v>31770</v>
      </c>
      <c r="E133" s="18">
        <v>32780</v>
      </c>
      <c r="F133" s="18">
        <v>32130</v>
      </c>
      <c r="G133" s="18">
        <v>32140</v>
      </c>
      <c r="H133" s="18">
        <v>31760</v>
      </c>
      <c r="I133" s="18">
        <v>32160</v>
      </c>
      <c r="J133" s="18">
        <v>32870</v>
      </c>
      <c r="K133" s="18">
        <v>32580</v>
      </c>
      <c r="L133" s="18">
        <v>32900</v>
      </c>
      <c r="M133" s="18">
        <v>32440</v>
      </c>
      <c r="N133" s="18">
        <v>33440</v>
      </c>
      <c r="O133" s="18">
        <v>33280</v>
      </c>
      <c r="P133" s="18">
        <v>32230</v>
      </c>
      <c r="Q133" s="18">
        <v>32100</v>
      </c>
      <c r="R133" s="18">
        <v>32260</v>
      </c>
      <c r="S133" s="18">
        <v>32990</v>
      </c>
      <c r="T133" s="18">
        <v>34000</v>
      </c>
      <c r="U133" s="18">
        <v>36600</v>
      </c>
      <c r="V133" s="18">
        <v>38250</v>
      </c>
      <c r="W133" s="18">
        <v>38330</v>
      </c>
      <c r="X133" s="18">
        <v>38870</v>
      </c>
      <c r="Y133" s="18">
        <v>38820</v>
      </c>
      <c r="Z133" s="18">
        <v>38750</v>
      </c>
      <c r="AA133" s="18">
        <v>38770</v>
      </c>
      <c r="AB133" s="18">
        <v>38480</v>
      </c>
      <c r="AC133" s="18">
        <v>38590</v>
      </c>
      <c r="AD133" s="18">
        <v>38390</v>
      </c>
      <c r="AE133" s="18">
        <v>38140</v>
      </c>
      <c r="AF133" s="18">
        <v>37910</v>
      </c>
      <c r="AG133" s="18">
        <v>38250</v>
      </c>
      <c r="AH133" s="18">
        <v>37480</v>
      </c>
      <c r="AI133" s="18">
        <v>38150</v>
      </c>
      <c r="AJ133" s="18">
        <v>37480</v>
      </c>
      <c r="AK133" s="18">
        <v>35930</v>
      </c>
    </row>
    <row r="134" spans="1:37" x14ac:dyDescent="0.25">
      <c r="A134" s="12">
        <f>$A$34</f>
        <v>19</v>
      </c>
      <c r="B134" s="18">
        <v>30250</v>
      </c>
      <c r="C134" s="18">
        <v>30770</v>
      </c>
      <c r="D134" s="18">
        <v>31170</v>
      </c>
      <c r="E134" s="18">
        <v>31800</v>
      </c>
      <c r="F134" s="18">
        <v>33050</v>
      </c>
      <c r="G134" s="18">
        <v>32460</v>
      </c>
      <c r="H134" s="18">
        <v>32470</v>
      </c>
      <c r="I134" s="18">
        <v>32290</v>
      </c>
      <c r="J134" s="18">
        <v>33320</v>
      </c>
      <c r="K134" s="18">
        <v>34130</v>
      </c>
      <c r="L134" s="18">
        <v>33640</v>
      </c>
      <c r="M134" s="18">
        <v>33610</v>
      </c>
      <c r="N134" s="18">
        <v>32890</v>
      </c>
      <c r="O134" s="18">
        <v>33760</v>
      </c>
      <c r="P134" s="18">
        <v>33740</v>
      </c>
      <c r="Q134" s="18">
        <v>31810</v>
      </c>
      <c r="R134" s="18">
        <v>31740</v>
      </c>
      <c r="S134" s="18">
        <v>33010</v>
      </c>
      <c r="T134" s="18">
        <v>33790</v>
      </c>
      <c r="U134" s="18">
        <v>34500</v>
      </c>
      <c r="V134" s="18">
        <v>37170</v>
      </c>
      <c r="W134" s="18">
        <v>38850</v>
      </c>
      <c r="X134" s="18">
        <v>38960</v>
      </c>
      <c r="Y134" s="18">
        <v>39520</v>
      </c>
      <c r="Z134" s="18">
        <v>39480</v>
      </c>
      <c r="AA134" s="18">
        <v>39420</v>
      </c>
      <c r="AB134" s="18">
        <v>39450</v>
      </c>
      <c r="AC134" s="18">
        <v>39160</v>
      </c>
      <c r="AD134" s="18">
        <v>39270</v>
      </c>
      <c r="AE134" s="18">
        <v>39080</v>
      </c>
      <c r="AF134" s="18">
        <v>38840</v>
      </c>
      <c r="AG134" s="18">
        <v>38610</v>
      </c>
      <c r="AH134" s="18">
        <v>38950</v>
      </c>
      <c r="AI134" s="18">
        <v>38190</v>
      </c>
      <c r="AJ134" s="18">
        <v>38860</v>
      </c>
      <c r="AK134" s="18">
        <v>38190</v>
      </c>
    </row>
    <row r="135" spans="1:37" x14ac:dyDescent="0.25">
      <c r="A135" s="12">
        <f>$A$35</f>
        <v>20</v>
      </c>
      <c r="B135" s="18">
        <v>29830</v>
      </c>
      <c r="C135" s="18">
        <v>29900</v>
      </c>
      <c r="D135" s="18">
        <v>30470</v>
      </c>
      <c r="E135" s="18">
        <v>31180</v>
      </c>
      <c r="F135" s="18">
        <v>32100</v>
      </c>
      <c r="G135" s="18">
        <v>33380</v>
      </c>
      <c r="H135" s="18">
        <v>32580</v>
      </c>
      <c r="I135" s="18">
        <v>32810</v>
      </c>
      <c r="J135" s="18">
        <v>33360</v>
      </c>
      <c r="K135" s="18">
        <v>34710</v>
      </c>
      <c r="L135" s="18">
        <v>35250</v>
      </c>
      <c r="M135" s="18">
        <v>34280</v>
      </c>
      <c r="N135" s="18">
        <v>34130</v>
      </c>
      <c r="O135" s="18">
        <v>33130</v>
      </c>
      <c r="P135" s="18">
        <v>34400</v>
      </c>
      <c r="Q135" s="18">
        <v>33190</v>
      </c>
      <c r="R135" s="18">
        <v>31430</v>
      </c>
      <c r="S135" s="18">
        <v>32620</v>
      </c>
      <c r="T135" s="18">
        <v>34030</v>
      </c>
      <c r="U135" s="18">
        <v>34210</v>
      </c>
      <c r="V135" s="18">
        <v>35000</v>
      </c>
      <c r="W135" s="18">
        <v>37700</v>
      </c>
      <c r="X135" s="18">
        <v>39420</v>
      </c>
      <c r="Y135" s="18">
        <v>39550</v>
      </c>
      <c r="Z135" s="18">
        <v>40120</v>
      </c>
      <c r="AA135" s="18">
        <v>40100</v>
      </c>
      <c r="AB135" s="18">
        <v>40040</v>
      </c>
      <c r="AC135" s="18">
        <v>40070</v>
      </c>
      <c r="AD135" s="18">
        <v>39790</v>
      </c>
      <c r="AE135" s="18">
        <v>39900</v>
      </c>
      <c r="AF135" s="18">
        <v>39710</v>
      </c>
      <c r="AG135" s="18">
        <v>39470</v>
      </c>
      <c r="AH135" s="18">
        <v>39250</v>
      </c>
      <c r="AI135" s="18">
        <v>39600</v>
      </c>
      <c r="AJ135" s="18">
        <v>38840</v>
      </c>
      <c r="AK135" s="18">
        <v>39510</v>
      </c>
    </row>
    <row r="136" spans="1:37" x14ac:dyDescent="0.25">
      <c r="A136" s="12">
        <f>$A$36</f>
        <v>21</v>
      </c>
      <c r="B136" s="18">
        <v>29560</v>
      </c>
      <c r="C136" s="18">
        <v>29170</v>
      </c>
      <c r="D136" s="18">
        <v>29450</v>
      </c>
      <c r="E136" s="18">
        <v>30280</v>
      </c>
      <c r="F136" s="18">
        <v>31170</v>
      </c>
      <c r="G136" s="18">
        <v>32090</v>
      </c>
      <c r="H136" s="18">
        <v>33060</v>
      </c>
      <c r="I136" s="18">
        <v>32490</v>
      </c>
      <c r="J136" s="18">
        <v>33640</v>
      </c>
      <c r="K136" s="18">
        <v>34560</v>
      </c>
      <c r="L136" s="18">
        <v>35630</v>
      </c>
      <c r="M136" s="18">
        <v>35580</v>
      </c>
      <c r="N136" s="18">
        <v>34500</v>
      </c>
      <c r="O136" s="18">
        <v>34400</v>
      </c>
      <c r="P136" s="18">
        <v>33810</v>
      </c>
      <c r="Q136" s="18">
        <v>33920</v>
      </c>
      <c r="R136" s="18">
        <v>32710</v>
      </c>
      <c r="S136" s="18">
        <v>32360</v>
      </c>
      <c r="T136" s="18">
        <v>33420</v>
      </c>
      <c r="U136" s="18">
        <v>34220</v>
      </c>
      <c r="V136" s="18">
        <v>34470</v>
      </c>
      <c r="W136" s="18">
        <v>35290</v>
      </c>
      <c r="X136" s="18">
        <v>38030</v>
      </c>
      <c r="Y136" s="18">
        <v>39760</v>
      </c>
      <c r="Z136" s="18">
        <v>39910</v>
      </c>
      <c r="AA136" s="18">
        <v>40490</v>
      </c>
      <c r="AB136" s="18">
        <v>40470</v>
      </c>
      <c r="AC136" s="18">
        <v>40410</v>
      </c>
      <c r="AD136" s="18">
        <v>40450</v>
      </c>
      <c r="AE136" s="18">
        <v>40170</v>
      </c>
      <c r="AF136" s="18">
        <v>40290</v>
      </c>
      <c r="AG136" s="18">
        <v>40100</v>
      </c>
      <c r="AH136" s="18">
        <v>39870</v>
      </c>
      <c r="AI136" s="18">
        <v>39660</v>
      </c>
      <c r="AJ136" s="18">
        <v>40000</v>
      </c>
      <c r="AK136" s="18">
        <v>39250</v>
      </c>
    </row>
    <row r="137" spans="1:37" x14ac:dyDescent="0.25">
      <c r="A137" s="12">
        <f>$A$37</f>
        <v>22</v>
      </c>
      <c r="B137" s="18">
        <v>29400</v>
      </c>
      <c r="C137" s="18">
        <v>28750</v>
      </c>
      <c r="D137" s="18">
        <v>28560</v>
      </c>
      <c r="E137" s="18">
        <v>29170</v>
      </c>
      <c r="F137" s="18">
        <v>30130</v>
      </c>
      <c r="G137" s="18">
        <v>30860</v>
      </c>
      <c r="H137" s="18">
        <v>31510</v>
      </c>
      <c r="I137" s="18">
        <v>32760</v>
      </c>
      <c r="J137" s="18">
        <v>33500</v>
      </c>
      <c r="K137" s="18">
        <v>35130</v>
      </c>
      <c r="L137" s="18">
        <v>35470</v>
      </c>
      <c r="M137" s="18">
        <v>35840</v>
      </c>
      <c r="N137" s="18">
        <v>35600</v>
      </c>
      <c r="O137" s="18">
        <v>34550</v>
      </c>
      <c r="P137" s="18">
        <v>34890</v>
      </c>
      <c r="Q137" s="18">
        <v>33310</v>
      </c>
      <c r="R137" s="18">
        <v>33450</v>
      </c>
      <c r="S137" s="18">
        <v>33470</v>
      </c>
      <c r="T137" s="18">
        <v>33000</v>
      </c>
      <c r="U137" s="18">
        <v>33510</v>
      </c>
      <c r="V137" s="18">
        <v>34380</v>
      </c>
      <c r="W137" s="18">
        <v>34670</v>
      </c>
      <c r="X137" s="18">
        <v>35520</v>
      </c>
      <c r="Y137" s="18">
        <v>38280</v>
      </c>
      <c r="Z137" s="18">
        <v>40030</v>
      </c>
      <c r="AA137" s="18">
        <v>40190</v>
      </c>
      <c r="AB137" s="18">
        <v>40770</v>
      </c>
      <c r="AC137" s="18">
        <v>40750</v>
      </c>
      <c r="AD137" s="18">
        <v>40700</v>
      </c>
      <c r="AE137" s="18">
        <v>40740</v>
      </c>
      <c r="AF137" s="18">
        <v>40470</v>
      </c>
      <c r="AG137" s="18">
        <v>40590</v>
      </c>
      <c r="AH137" s="18">
        <v>40410</v>
      </c>
      <c r="AI137" s="18">
        <v>40180</v>
      </c>
      <c r="AJ137" s="18">
        <v>39970</v>
      </c>
      <c r="AK137" s="18">
        <v>40320</v>
      </c>
    </row>
    <row r="138" spans="1:37" x14ac:dyDescent="0.25">
      <c r="A138" s="12">
        <f>$A$38</f>
        <v>23</v>
      </c>
      <c r="B138" s="18">
        <v>29090</v>
      </c>
      <c r="C138" s="18">
        <v>28510</v>
      </c>
      <c r="D138" s="18">
        <v>28050</v>
      </c>
      <c r="E138" s="18">
        <v>28280</v>
      </c>
      <c r="F138" s="18">
        <v>28950</v>
      </c>
      <c r="G138" s="18">
        <v>29690</v>
      </c>
      <c r="H138" s="18">
        <v>30250</v>
      </c>
      <c r="I138" s="18">
        <v>31220</v>
      </c>
      <c r="J138" s="18">
        <v>33600</v>
      </c>
      <c r="K138" s="18">
        <v>35270</v>
      </c>
      <c r="L138" s="18">
        <v>36570</v>
      </c>
      <c r="M138" s="18">
        <v>36110</v>
      </c>
      <c r="N138" s="18">
        <v>36120</v>
      </c>
      <c r="O138" s="18">
        <v>35810</v>
      </c>
      <c r="P138" s="18">
        <v>35380</v>
      </c>
      <c r="Q138" s="18">
        <v>34290</v>
      </c>
      <c r="R138" s="18">
        <v>32750</v>
      </c>
      <c r="S138" s="18">
        <v>34240</v>
      </c>
      <c r="T138" s="18">
        <v>34000</v>
      </c>
      <c r="U138" s="18">
        <v>33050</v>
      </c>
      <c r="V138" s="18">
        <v>33640</v>
      </c>
      <c r="W138" s="18">
        <v>34560</v>
      </c>
      <c r="X138" s="18">
        <v>34880</v>
      </c>
      <c r="Y138" s="18">
        <v>35750</v>
      </c>
      <c r="Z138" s="18">
        <v>38530</v>
      </c>
      <c r="AA138" s="18">
        <v>40280</v>
      </c>
      <c r="AB138" s="18">
        <v>40450</v>
      </c>
      <c r="AC138" s="18">
        <v>41030</v>
      </c>
      <c r="AD138" s="18">
        <v>41020</v>
      </c>
      <c r="AE138" s="18">
        <v>40970</v>
      </c>
      <c r="AF138" s="18">
        <v>41010</v>
      </c>
      <c r="AG138" s="18">
        <v>40750</v>
      </c>
      <c r="AH138" s="18">
        <v>40880</v>
      </c>
      <c r="AI138" s="18">
        <v>40690</v>
      </c>
      <c r="AJ138" s="18">
        <v>40470</v>
      </c>
      <c r="AK138" s="18">
        <v>40260</v>
      </c>
    </row>
    <row r="139" spans="1:37" x14ac:dyDescent="0.25">
      <c r="A139" s="12">
        <f>$A$39</f>
        <v>24</v>
      </c>
      <c r="B139" s="18">
        <v>27970</v>
      </c>
      <c r="C139" s="18">
        <v>28320</v>
      </c>
      <c r="D139" s="18">
        <v>27860</v>
      </c>
      <c r="E139" s="18">
        <v>27710</v>
      </c>
      <c r="F139" s="18">
        <v>28100</v>
      </c>
      <c r="G139" s="18">
        <v>28460</v>
      </c>
      <c r="H139" s="18">
        <v>28950</v>
      </c>
      <c r="I139" s="18">
        <v>29910</v>
      </c>
      <c r="J139" s="18">
        <v>32200</v>
      </c>
      <c r="K139" s="18">
        <v>35200</v>
      </c>
      <c r="L139" s="18">
        <v>36820</v>
      </c>
      <c r="M139" s="18">
        <v>37470</v>
      </c>
      <c r="N139" s="18">
        <v>36450</v>
      </c>
      <c r="O139" s="18">
        <v>36340</v>
      </c>
      <c r="P139" s="18">
        <v>36870</v>
      </c>
      <c r="Q139" s="18">
        <v>34730</v>
      </c>
      <c r="R139" s="18">
        <v>33700</v>
      </c>
      <c r="S139" s="18">
        <v>33590</v>
      </c>
      <c r="T139" s="18">
        <v>34620</v>
      </c>
      <c r="U139" s="18">
        <v>34050</v>
      </c>
      <c r="V139" s="18">
        <v>33180</v>
      </c>
      <c r="W139" s="18">
        <v>33810</v>
      </c>
      <c r="X139" s="18">
        <v>34750</v>
      </c>
      <c r="Y139" s="18">
        <v>35100</v>
      </c>
      <c r="Z139" s="18">
        <v>35990</v>
      </c>
      <c r="AA139" s="18">
        <v>38770</v>
      </c>
      <c r="AB139" s="18">
        <v>40530</v>
      </c>
      <c r="AC139" s="18">
        <v>40700</v>
      </c>
      <c r="AD139" s="18">
        <v>41290</v>
      </c>
      <c r="AE139" s="18">
        <v>41280</v>
      </c>
      <c r="AF139" s="18">
        <v>41230</v>
      </c>
      <c r="AG139" s="18">
        <v>41280</v>
      </c>
      <c r="AH139" s="18">
        <v>41020</v>
      </c>
      <c r="AI139" s="18">
        <v>41150</v>
      </c>
      <c r="AJ139" s="18">
        <v>40980</v>
      </c>
      <c r="AK139" s="18">
        <v>40760</v>
      </c>
    </row>
    <row r="140" spans="1:37" x14ac:dyDescent="0.25">
      <c r="A140" s="12">
        <f>$A$40</f>
        <v>25</v>
      </c>
      <c r="B140" s="18">
        <v>26850</v>
      </c>
      <c r="C140" s="18">
        <v>27330</v>
      </c>
      <c r="D140" s="18">
        <v>27690</v>
      </c>
      <c r="E140" s="18">
        <v>27550</v>
      </c>
      <c r="F140" s="18">
        <v>27400</v>
      </c>
      <c r="G140" s="18">
        <v>27490</v>
      </c>
      <c r="H140" s="18">
        <v>27780</v>
      </c>
      <c r="I140" s="18">
        <v>28550</v>
      </c>
      <c r="J140" s="18">
        <v>30780</v>
      </c>
      <c r="K140" s="18">
        <v>33840</v>
      </c>
      <c r="L140" s="18">
        <v>36740</v>
      </c>
      <c r="M140" s="18">
        <v>37940</v>
      </c>
      <c r="N140" s="18">
        <v>37990</v>
      </c>
      <c r="O140" s="18">
        <v>36610</v>
      </c>
      <c r="P140" s="18">
        <v>37410</v>
      </c>
      <c r="Q140" s="18">
        <v>36230</v>
      </c>
      <c r="R140" s="18">
        <v>34050</v>
      </c>
      <c r="S140" s="18">
        <v>34530</v>
      </c>
      <c r="T140" s="18">
        <v>33850</v>
      </c>
      <c r="U140" s="18">
        <v>34660</v>
      </c>
      <c r="V140" s="18">
        <v>34170</v>
      </c>
      <c r="W140" s="18">
        <v>33330</v>
      </c>
      <c r="X140" s="18">
        <v>33990</v>
      </c>
      <c r="Y140" s="18">
        <v>34960</v>
      </c>
      <c r="Z140" s="18">
        <v>35320</v>
      </c>
      <c r="AA140" s="18">
        <v>36220</v>
      </c>
      <c r="AB140" s="18">
        <v>39000</v>
      </c>
      <c r="AC140" s="18">
        <v>40760</v>
      </c>
      <c r="AD140" s="18">
        <v>40930</v>
      </c>
      <c r="AE140" s="18">
        <v>41530</v>
      </c>
      <c r="AF140" s="18">
        <v>41520</v>
      </c>
      <c r="AG140" s="18">
        <v>41480</v>
      </c>
      <c r="AH140" s="18">
        <v>41540</v>
      </c>
      <c r="AI140" s="18">
        <v>41280</v>
      </c>
      <c r="AJ140" s="18">
        <v>41410</v>
      </c>
      <c r="AK140" s="18">
        <v>41240</v>
      </c>
    </row>
    <row r="141" spans="1:37" x14ac:dyDescent="0.25">
      <c r="A141" s="12">
        <f>$A$41</f>
        <v>26</v>
      </c>
      <c r="B141" s="18">
        <v>25810</v>
      </c>
      <c r="C141" s="18">
        <v>26520</v>
      </c>
      <c r="D141" s="18">
        <v>26680</v>
      </c>
      <c r="E141" s="18">
        <v>27300</v>
      </c>
      <c r="F141" s="18">
        <v>27360</v>
      </c>
      <c r="G141" s="18">
        <v>26870</v>
      </c>
      <c r="H141" s="18">
        <v>26900</v>
      </c>
      <c r="I141" s="18">
        <v>27500</v>
      </c>
      <c r="J141" s="18">
        <v>29490</v>
      </c>
      <c r="K141" s="18">
        <v>32170</v>
      </c>
      <c r="L141" s="18">
        <v>35490</v>
      </c>
      <c r="M141" s="18">
        <v>37790</v>
      </c>
      <c r="N141" s="18">
        <v>38730</v>
      </c>
      <c r="O141" s="18">
        <v>38220</v>
      </c>
      <c r="P141" s="18">
        <v>37780</v>
      </c>
      <c r="Q141" s="18">
        <v>36690</v>
      </c>
      <c r="R141" s="18">
        <v>35310</v>
      </c>
      <c r="S141" s="18">
        <v>35000</v>
      </c>
      <c r="T141" s="18">
        <v>34780</v>
      </c>
      <c r="U141" s="18">
        <v>33920</v>
      </c>
      <c r="V141" s="18">
        <v>34790</v>
      </c>
      <c r="W141" s="18">
        <v>34330</v>
      </c>
      <c r="X141" s="18">
        <v>33530</v>
      </c>
      <c r="Y141" s="18">
        <v>34210</v>
      </c>
      <c r="Z141" s="18">
        <v>35190</v>
      </c>
      <c r="AA141" s="18">
        <v>35560</v>
      </c>
      <c r="AB141" s="18">
        <v>36460</v>
      </c>
      <c r="AC141" s="18">
        <v>39240</v>
      </c>
      <c r="AD141" s="18">
        <v>41010</v>
      </c>
      <c r="AE141" s="18">
        <v>41190</v>
      </c>
      <c r="AF141" s="18">
        <v>41780</v>
      </c>
      <c r="AG141" s="18">
        <v>41780</v>
      </c>
      <c r="AH141" s="18">
        <v>41750</v>
      </c>
      <c r="AI141" s="18">
        <v>41800</v>
      </c>
      <c r="AJ141" s="18">
        <v>41550</v>
      </c>
      <c r="AK141" s="18">
        <v>41690</v>
      </c>
    </row>
    <row r="142" spans="1:37" x14ac:dyDescent="0.25">
      <c r="A142" s="12">
        <f>$A$42</f>
        <v>27</v>
      </c>
      <c r="B142" s="18">
        <v>24950</v>
      </c>
      <c r="C142" s="18">
        <v>25500</v>
      </c>
      <c r="D142" s="18">
        <v>26180</v>
      </c>
      <c r="E142" s="18">
        <v>26500</v>
      </c>
      <c r="F142" s="18">
        <v>27160</v>
      </c>
      <c r="G142" s="18">
        <v>26830</v>
      </c>
      <c r="H142" s="18">
        <v>26330</v>
      </c>
      <c r="I142" s="18">
        <v>26710</v>
      </c>
      <c r="J142" s="18">
        <v>28440</v>
      </c>
      <c r="K142" s="18">
        <v>31000</v>
      </c>
      <c r="L142" s="18">
        <v>33600</v>
      </c>
      <c r="M142" s="18">
        <v>36760</v>
      </c>
      <c r="N142" s="18">
        <v>38680</v>
      </c>
      <c r="O142" s="18">
        <v>39030</v>
      </c>
      <c r="P142" s="18">
        <v>39300</v>
      </c>
      <c r="Q142" s="18">
        <v>37130</v>
      </c>
      <c r="R142" s="18">
        <v>35860</v>
      </c>
      <c r="S142" s="18">
        <v>36560</v>
      </c>
      <c r="T142" s="18">
        <v>35260</v>
      </c>
      <c r="U142" s="18">
        <v>34910</v>
      </c>
      <c r="V142" s="18">
        <v>34110</v>
      </c>
      <c r="W142" s="18">
        <v>35020</v>
      </c>
      <c r="X142" s="18">
        <v>34590</v>
      </c>
      <c r="Y142" s="18">
        <v>33800</v>
      </c>
      <c r="Z142" s="18">
        <v>34500</v>
      </c>
      <c r="AA142" s="18">
        <v>35480</v>
      </c>
      <c r="AB142" s="18">
        <v>35850</v>
      </c>
      <c r="AC142" s="18">
        <v>36760</v>
      </c>
      <c r="AD142" s="18">
        <v>39550</v>
      </c>
      <c r="AE142" s="18">
        <v>41310</v>
      </c>
      <c r="AF142" s="18">
        <v>41490</v>
      </c>
      <c r="AG142" s="18">
        <v>42090</v>
      </c>
      <c r="AH142" s="18">
        <v>42100</v>
      </c>
      <c r="AI142" s="18">
        <v>42060</v>
      </c>
      <c r="AJ142" s="18">
        <v>42120</v>
      </c>
      <c r="AK142" s="18">
        <v>41880</v>
      </c>
    </row>
    <row r="143" spans="1:37" x14ac:dyDescent="0.25">
      <c r="A143" s="12">
        <f>$A$43</f>
        <v>28</v>
      </c>
      <c r="B143" s="18">
        <v>24310</v>
      </c>
      <c r="C143" s="18">
        <v>25050</v>
      </c>
      <c r="D143" s="18">
        <v>25420</v>
      </c>
      <c r="E143" s="18">
        <v>26210</v>
      </c>
      <c r="F143" s="18">
        <v>26400</v>
      </c>
      <c r="G143" s="18">
        <v>26740</v>
      </c>
      <c r="H143" s="18">
        <v>26420</v>
      </c>
      <c r="I143" s="18">
        <v>26240</v>
      </c>
      <c r="J143" s="18">
        <v>27720</v>
      </c>
      <c r="K143" s="18">
        <v>29900</v>
      </c>
      <c r="L143" s="18">
        <v>32600</v>
      </c>
      <c r="M143" s="18">
        <v>34940</v>
      </c>
      <c r="N143" s="18">
        <v>37910</v>
      </c>
      <c r="O143" s="18">
        <v>39120</v>
      </c>
      <c r="P143" s="18">
        <v>40080</v>
      </c>
      <c r="Q143" s="18">
        <v>38540</v>
      </c>
      <c r="R143" s="18">
        <v>36380</v>
      </c>
      <c r="S143" s="18">
        <v>37510</v>
      </c>
      <c r="T143" s="18">
        <v>37090</v>
      </c>
      <c r="U143" s="18">
        <v>35470</v>
      </c>
      <c r="V143" s="18">
        <v>35180</v>
      </c>
      <c r="W143" s="18">
        <v>34420</v>
      </c>
      <c r="X143" s="18">
        <v>35350</v>
      </c>
      <c r="Y143" s="18">
        <v>34940</v>
      </c>
      <c r="Z143" s="18">
        <v>34170</v>
      </c>
      <c r="AA143" s="18">
        <v>34870</v>
      </c>
      <c r="AB143" s="18">
        <v>35860</v>
      </c>
      <c r="AC143" s="18">
        <v>36240</v>
      </c>
      <c r="AD143" s="18">
        <v>37150</v>
      </c>
      <c r="AE143" s="18">
        <v>39930</v>
      </c>
      <c r="AF143" s="18">
        <v>41700</v>
      </c>
      <c r="AG143" s="18">
        <v>41890</v>
      </c>
      <c r="AH143" s="18">
        <v>42490</v>
      </c>
      <c r="AI143" s="18">
        <v>42500</v>
      </c>
      <c r="AJ143" s="18">
        <v>42470</v>
      </c>
      <c r="AK143" s="18">
        <v>42530</v>
      </c>
    </row>
    <row r="144" spans="1:37" x14ac:dyDescent="0.25">
      <c r="A144" s="12">
        <f>$A$44</f>
        <v>29</v>
      </c>
      <c r="B144" s="18">
        <v>24860</v>
      </c>
      <c r="C144" s="18">
        <v>24580</v>
      </c>
      <c r="D144" s="18">
        <v>25170</v>
      </c>
      <c r="E144" s="18">
        <v>25650</v>
      </c>
      <c r="F144" s="18">
        <v>26170</v>
      </c>
      <c r="G144" s="18">
        <v>26150</v>
      </c>
      <c r="H144" s="18">
        <v>26520</v>
      </c>
      <c r="I144" s="18">
        <v>26330</v>
      </c>
      <c r="J144" s="18">
        <v>27110</v>
      </c>
      <c r="K144" s="18">
        <v>29070</v>
      </c>
      <c r="L144" s="18">
        <v>31620</v>
      </c>
      <c r="M144" s="18">
        <v>34150</v>
      </c>
      <c r="N144" s="18">
        <v>36030</v>
      </c>
      <c r="O144" s="18">
        <v>38510</v>
      </c>
      <c r="P144" s="18">
        <v>40340</v>
      </c>
      <c r="Q144" s="18">
        <v>39410</v>
      </c>
      <c r="R144" s="18">
        <v>37670</v>
      </c>
      <c r="S144" s="18">
        <v>38060</v>
      </c>
      <c r="T144" s="18">
        <v>38040</v>
      </c>
      <c r="U144" s="18">
        <v>37380</v>
      </c>
      <c r="V144" s="18">
        <v>35820</v>
      </c>
      <c r="W144" s="18">
        <v>35560</v>
      </c>
      <c r="X144" s="18">
        <v>34820</v>
      </c>
      <c r="Y144" s="18">
        <v>35780</v>
      </c>
      <c r="Z144" s="18">
        <v>35380</v>
      </c>
      <c r="AA144" s="18">
        <v>34610</v>
      </c>
      <c r="AB144" s="18">
        <v>35320</v>
      </c>
      <c r="AC144" s="18">
        <v>36310</v>
      </c>
      <c r="AD144" s="18">
        <v>36690</v>
      </c>
      <c r="AE144" s="18">
        <v>37600</v>
      </c>
      <c r="AF144" s="18">
        <v>40390</v>
      </c>
      <c r="AG144" s="18">
        <v>42160</v>
      </c>
      <c r="AH144" s="18">
        <v>42350</v>
      </c>
      <c r="AI144" s="18">
        <v>42960</v>
      </c>
      <c r="AJ144" s="18">
        <v>42970</v>
      </c>
      <c r="AK144" s="18">
        <v>42940</v>
      </c>
    </row>
    <row r="145" spans="1:37" x14ac:dyDescent="0.25">
      <c r="A145" s="12">
        <f>$A$45</f>
        <v>30</v>
      </c>
      <c r="B145" s="18">
        <v>25180</v>
      </c>
      <c r="C145" s="18">
        <v>25160</v>
      </c>
      <c r="D145" s="18">
        <v>24780</v>
      </c>
      <c r="E145" s="18">
        <v>25430</v>
      </c>
      <c r="F145" s="18">
        <v>25770</v>
      </c>
      <c r="G145" s="18">
        <v>26150</v>
      </c>
      <c r="H145" s="18">
        <v>26000</v>
      </c>
      <c r="I145" s="18">
        <v>26530</v>
      </c>
      <c r="J145" s="18">
        <v>27330</v>
      </c>
      <c r="K145" s="18">
        <v>28470</v>
      </c>
      <c r="L145" s="18">
        <v>30500</v>
      </c>
      <c r="M145" s="18">
        <v>33140</v>
      </c>
      <c r="N145" s="18">
        <v>35420</v>
      </c>
      <c r="O145" s="18">
        <v>36740</v>
      </c>
      <c r="P145" s="18">
        <v>39650</v>
      </c>
      <c r="Q145" s="18">
        <v>39820</v>
      </c>
      <c r="R145" s="18">
        <v>38760</v>
      </c>
      <c r="S145" s="18">
        <v>39660</v>
      </c>
      <c r="T145" s="18">
        <v>38920</v>
      </c>
      <c r="U145" s="18">
        <v>38380</v>
      </c>
      <c r="V145" s="18">
        <v>37780</v>
      </c>
      <c r="W145" s="18">
        <v>36250</v>
      </c>
      <c r="X145" s="18">
        <v>36020</v>
      </c>
      <c r="Y145" s="18">
        <v>35300</v>
      </c>
      <c r="Z145" s="18">
        <v>36270</v>
      </c>
      <c r="AA145" s="18">
        <v>35870</v>
      </c>
      <c r="AB145" s="18">
        <v>35110</v>
      </c>
      <c r="AC145" s="18">
        <v>35820</v>
      </c>
      <c r="AD145" s="18">
        <v>36810</v>
      </c>
      <c r="AE145" s="18">
        <v>37200</v>
      </c>
      <c r="AF145" s="18">
        <v>38110</v>
      </c>
      <c r="AG145" s="18">
        <v>40900</v>
      </c>
      <c r="AH145" s="18">
        <v>42680</v>
      </c>
      <c r="AI145" s="18">
        <v>42870</v>
      </c>
      <c r="AJ145" s="18">
        <v>43480</v>
      </c>
      <c r="AK145" s="18">
        <v>43490</v>
      </c>
    </row>
    <row r="146" spans="1:37" x14ac:dyDescent="0.25">
      <c r="A146" s="12">
        <f>$A$46</f>
        <v>31</v>
      </c>
      <c r="B146" s="18">
        <v>26120</v>
      </c>
      <c r="C146" s="18">
        <v>25420</v>
      </c>
      <c r="D146" s="18">
        <v>25480</v>
      </c>
      <c r="E146" s="18">
        <v>25060</v>
      </c>
      <c r="F146" s="18">
        <v>25520</v>
      </c>
      <c r="G146" s="18">
        <v>25770</v>
      </c>
      <c r="H146" s="18">
        <v>26110</v>
      </c>
      <c r="I146" s="18">
        <v>26060</v>
      </c>
      <c r="J146" s="18">
        <v>27460</v>
      </c>
      <c r="K146" s="18">
        <v>28560</v>
      </c>
      <c r="L146" s="18">
        <v>29760</v>
      </c>
      <c r="M146" s="18">
        <v>31930</v>
      </c>
      <c r="N146" s="18">
        <v>34380</v>
      </c>
      <c r="O146" s="18">
        <v>36180</v>
      </c>
      <c r="P146" s="18">
        <v>38030</v>
      </c>
      <c r="Q146" s="18">
        <v>39100</v>
      </c>
      <c r="R146" s="18">
        <v>39310</v>
      </c>
      <c r="S146" s="18">
        <v>40880</v>
      </c>
      <c r="T146" s="18">
        <v>40550</v>
      </c>
      <c r="U146" s="18">
        <v>39270</v>
      </c>
      <c r="V146" s="18">
        <v>38780</v>
      </c>
      <c r="W146" s="18">
        <v>38210</v>
      </c>
      <c r="X146" s="18">
        <v>36700</v>
      </c>
      <c r="Y146" s="18">
        <v>36490</v>
      </c>
      <c r="Z146" s="18">
        <v>35780</v>
      </c>
      <c r="AA146" s="18">
        <v>36750</v>
      </c>
      <c r="AB146" s="18">
        <v>36360</v>
      </c>
      <c r="AC146" s="18">
        <v>35600</v>
      </c>
      <c r="AD146" s="18">
        <v>36310</v>
      </c>
      <c r="AE146" s="18">
        <v>37310</v>
      </c>
      <c r="AF146" s="18">
        <v>37690</v>
      </c>
      <c r="AG146" s="18">
        <v>38610</v>
      </c>
      <c r="AH146" s="18">
        <v>41410</v>
      </c>
      <c r="AI146" s="18">
        <v>43180</v>
      </c>
      <c r="AJ146" s="18">
        <v>43370</v>
      </c>
      <c r="AK146" s="18">
        <v>43990</v>
      </c>
    </row>
    <row r="147" spans="1:37" x14ac:dyDescent="0.25">
      <c r="A147" s="12">
        <f>$A$47</f>
        <v>32</v>
      </c>
      <c r="B147" s="18">
        <v>27080</v>
      </c>
      <c r="C147" s="18">
        <v>26350</v>
      </c>
      <c r="D147" s="18">
        <v>25550</v>
      </c>
      <c r="E147" s="18">
        <v>25630</v>
      </c>
      <c r="F147" s="18">
        <v>25140</v>
      </c>
      <c r="G147" s="18">
        <v>25470</v>
      </c>
      <c r="H147" s="18">
        <v>25610</v>
      </c>
      <c r="I147" s="18">
        <v>26030</v>
      </c>
      <c r="J147" s="18">
        <v>26910</v>
      </c>
      <c r="K147" s="18">
        <v>28440</v>
      </c>
      <c r="L147" s="18">
        <v>29910</v>
      </c>
      <c r="M147" s="18">
        <v>31030</v>
      </c>
      <c r="N147" s="18">
        <v>33060</v>
      </c>
      <c r="O147" s="18">
        <v>35140</v>
      </c>
      <c r="P147" s="18">
        <v>37340</v>
      </c>
      <c r="Q147" s="18">
        <v>37690</v>
      </c>
      <c r="R147" s="18">
        <v>38630</v>
      </c>
      <c r="S147" s="18">
        <v>41530</v>
      </c>
      <c r="T147" s="18">
        <v>41920</v>
      </c>
      <c r="U147" s="18">
        <v>40890</v>
      </c>
      <c r="V147" s="18">
        <v>39660</v>
      </c>
      <c r="W147" s="18">
        <v>39200</v>
      </c>
      <c r="X147" s="18">
        <v>38640</v>
      </c>
      <c r="Y147" s="18">
        <v>37150</v>
      </c>
      <c r="Z147" s="18">
        <v>36950</v>
      </c>
      <c r="AA147" s="18">
        <v>36250</v>
      </c>
      <c r="AB147" s="18">
        <v>37220</v>
      </c>
      <c r="AC147" s="18">
        <v>36840</v>
      </c>
      <c r="AD147" s="18">
        <v>36080</v>
      </c>
      <c r="AE147" s="18">
        <v>36790</v>
      </c>
      <c r="AF147" s="18">
        <v>37790</v>
      </c>
      <c r="AG147" s="18">
        <v>38180</v>
      </c>
      <c r="AH147" s="18">
        <v>39100</v>
      </c>
      <c r="AI147" s="18">
        <v>41900</v>
      </c>
      <c r="AJ147" s="18">
        <v>43670</v>
      </c>
      <c r="AK147" s="18">
        <v>43870</v>
      </c>
    </row>
    <row r="148" spans="1:37" x14ac:dyDescent="0.25">
      <c r="A148" s="12">
        <f>$A$48</f>
        <v>33</v>
      </c>
      <c r="B148" s="18">
        <v>28270</v>
      </c>
      <c r="C148" s="18">
        <v>27360</v>
      </c>
      <c r="D148" s="18">
        <v>26460</v>
      </c>
      <c r="E148" s="18">
        <v>25700</v>
      </c>
      <c r="F148" s="18">
        <v>25670</v>
      </c>
      <c r="G148" s="18">
        <v>25030</v>
      </c>
      <c r="H148" s="18">
        <v>25340</v>
      </c>
      <c r="I148" s="18">
        <v>25570</v>
      </c>
      <c r="J148" s="18">
        <v>26780</v>
      </c>
      <c r="K148" s="18">
        <v>27870</v>
      </c>
      <c r="L148" s="18">
        <v>29590</v>
      </c>
      <c r="M148" s="18">
        <v>31100</v>
      </c>
      <c r="N148" s="18">
        <v>32140</v>
      </c>
      <c r="O148" s="18">
        <v>33860</v>
      </c>
      <c r="P148" s="18">
        <v>36230</v>
      </c>
      <c r="Q148" s="18">
        <v>37180</v>
      </c>
      <c r="R148" s="18">
        <v>37370</v>
      </c>
      <c r="S148" s="18">
        <v>40990</v>
      </c>
      <c r="T148" s="18">
        <v>42440</v>
      </c>
      <c r="U148" s="18">
        <v>42270</v>
      </c>
      <c r="V148" s="18">
        <v>41290</v>
      </c>
      <c r="W148" s="18">
        <v>40090</v>
      </c>
      <c r="X148" s="18">
        <v>39640</v>
      </c>
      <c r="Y148" s="18">
        <v>39110</v>
      </c>
      <c r="Z148" s="18">
        <v>37630</v>
      </c>
      <c r="AA148" s="18">
        <v>37440</v>
      </c>
      <c r="AB148" s="18">
        <v>36730</v>
      </c>
      <c r="AC148" s="18">
        <v>37710</v>
      </c>
      <c r="AD148" s="18">
        <v>37330</v>
      </c>
      <c r="AE148" s="18">
        <v>36580</v>
      </c>
      <c r="AF148" s="18">
        <v>37290</v>
      </c>
      <c r="AG148" s="18">
        <v>38290</v>
      </c>
      <c r="AH148" s="18">
        <v>38680</v>
      </c>
      <c r="AI148" s="18">
        <v>39610</v>
      </c>
      <c r="AJ148" s="18">
        <v>42400</v>
      </c>
      <c r="AK148" s="18">
        <v>44180</v>
      </c>
    </row>
    <row r="149" spans="1:37" x14ac:dyDescent="0.25">
      <c r="A149" s="12">
        <f>$A$49</f>
        <v>34</v>
      </c>
      <c r="B149" s="18">
        <v>29670</v>
      </c>
      <c r="C149" s="18">
        <v>28570</v>
      </c>
      <c r="D149" s="18">
        <v>27580</v>
      </c>
      <c r="E149" s="18">
        <v>26650</v>
      </c>
      <c r="F149" s="18">
        <v>25770</v>
      </c>
      <c r="G149" s="18">
        <v>25700</v>
      </c>
      <c r="H149" s="18">
        <v>24980</v>
      </c>
      <c r="I149" s="18">
        <v>25320</v>
      </c>
      <c r="J149" s="18">
        <v>26290</v>
      </c>
      <c r="K149" s="18">
        <v>27700</v>
      </c>
      <c r="L149" s="18">
        <v>28960</v>
      </c>
      <c r="M149" s="18">
        <v>30720</v>
      </c>
      <c r="N149" s="18">
        <v>32190</v>
      </c>
      <c r="O149" s="18">
        <v>32930</v>
      </c>
      <c r="P149" s="18">
        <v>34780</v>
      </c>
      <c r="Q149" s="18">
        <v>36150</v>
      </c>
      <c r="R149" s="18">
        <v>37020</v>
      </c>
      <c r="S149" s="18">
        <v>39800</v>
      </c>
      <c r="T149" s="18">
        <v>42130</v>
      </c>
      <c r="U149" s="18">
        <v>42790</v>
      </c>
      <c r="V149" s="18">
        <v>42660</v>
      </c>
      <c r="W149" s="18">
        <v>41710</v>
      </c>
      <c r="X149" s="18">
        <v>40530</v>
      </c>
      <c r="Y149" s="18">
        <v>40110</v>
      </c>
      <c r="Z149" s="18">
        <v>39590</v>
      </c>
      <c r="AA149" s="18">
        <v>38110</v>
      </c>
      <c r="AB149" s="18">
        <v>37920</v>
      </c>
      <c r="AC149" s="18">
        <v>37220</v>
      </c>
      <c r="AD149" s="18">
        <v>38200</v>
      </c>
      <c r="AE149" s="18">
        <v>37820</v>
      </c>
      <c r="AF149" s="18">
        <v>37070</v>
      </c>
      <c r="AG149" s="18">
        <v>37790</v>
      </c>
      <c r="AH149" s="18">
        <v>38800</v>
      </c>
      <c r="AI149" s="18">
        <v>39190</v>
      </c>
      <c r="AJ149" s="18">
        <v>40110</v>
      </c>
      <c r="AK149" s="18">
        <v>42910</v>
      </c>
    </row>
    <row r="150" spans="1:37" x14ac:dyDescent="0.25">
      <c r="A150" s="12">
        <f>$A$50</f>
        <v>35</v>
      </c>
      <c r="B150" s="18">
        <v>30140</v>
      </c>
      <c r="C150" s="18">
        <v>29910</v>
      </c>
      <c r="D150" s="18">
        <v>28640</v>
      </c>
      <c r="E150" s="18">
        <v>27750</v>
      </c>
      <c r="F150" s="18">
        <v>26780</v>
      </c>
      <c r="G150" s="18">
        <v>25730</v>
      </c>
      <c r="H150" s="18">
        <v>25670</v>
      </c>
      <c r="I150" s="18">
        <v>24970</v>
      </c>
      <c r="J150" s="18">
        <v>25980</v>
      </c>
      <c r="K150" s="18">
        <v>27190</v>
      </c>
      <c r="L150" s="18">
        <v>28680</v>
      </c>
      <c r="M150" s="18">
        <v>30040</v>
      </c>
      <c r="N150" s="18">
        <v>31710</v>
      </c>
      <c r="O150" s="18">
        <v>32960</v>
      </c>
      <c r="P150" s="18">
        <v>34060</v>
      </c>
      <c r="Q150" s="18">
        <v>34860</v>
      </c>
      <c r="R150" s="18">
        <v>36130</v>
      </c>
      <c r="S150" s="18">
        <v>39320</v>
      </c>
      <c r="T150" s="18">
        <v>40830</v>
      </c>
      <c r="U150" s="18">
        <v>42480</v>
      </c>
      <c r="V150" s="18">
        <v>43190</v>
      </c>
      <c r="W150" s="18">
        <v>43100</v>
      </c>
      <c r="X150" s="18">
        <v>42170</v>
      </c>
      <c r="Y150" s="18">
        <v>41010</v>
      </c>
      <c r="Z150" s="18">
        <v>40600</v>
      </c>
      <c r="AA150" s="18">
        <v>40080</v>
      </c>
      <c r="AB150" s="18">
        <v>38610</v>
      </c>
      <c r="AC150" s="18">
        <v>38420</v>
      </c>
      <c r="AD150" s="18">
        <v>37730</v>
      </c>
      <c r="AE150" s="18">
        <v>38710</v>
      </c>
      <c r="AF150" s="18">
        <v>38330</v>
      </c>
      <c r="AG150" s="18">
        <v>37590</v>
      </c>
      <c r="AH150" s="18">
        <v>38310</v>
      </c>
      <c r="AI150" s="18">
        <v>39320</v>
      </c>
      <c r="AJ150" s="18">
        <v>39710</v>
      </c>
      <c r="AK150" s="18">
        <v>40640</v>
      </c>
    </row>
    <row r="151" spans="1:37" x14ac:dyDescent="0.25">
      <c r="A151" s="12">
        <f>$A$51</f>
        <v>36</v>
      </c>
      <c r="B151" s="18">
        <v>29680</v>
      </c>
      <c r="C151" s="18">
        <v>30320</v>
      </c>
      <c r="D151" s="18">
        <v>30070</v>
      </c>
      <c r="E151" s="18">
        <v>28790</v>
      </c>
      <c r="F151" s="18">
        <v>27890</v>
      </c>
      <c r="G151" s="18">
        <v>26800</v>
      </c>
      <c r="H151" s="18">
        <v>25710</v>
      </c>
      <c r="I151" s="18">
        <v>25740</v>
      </c>
      <c r="J151" s="18">
        <v>25570</v>
      </c>
      <c r="K151" s="18">
        <v>26830</v>
      </c>
      <c r="L151" s="18">
        <v>28100</v>
      </c>
      <c r="M151" s="18">
        <v>29670</v>
      </c>
      <c r="N151" s="18">
        <v>31090</v>
      </c>
      <c r="O151" s="18">
        <v>32550</v>
      </c>
      <c r="P151" s="18">
        <v>33910</v>
      </c>
      <c r="Q151" s="18">
        <v>34040</v>
      </c>
      <c r="R151" s="18">
        <v>34850</v>
      </c>
      <c r="S151" s="18">
        <v>38490</v>
      </c>
      <c r="T151" s="18">
        <v>40500</v>
      </c>
      <c r="U151" s="18">
        <v>41180</v>
      </c>
      <c r="V151" s="18">
        <v>42880</v>
      </c>
      <c r="W151" s="18">
        <v>43630</v>
      </c>
      <c r="X151" s="18">
        <v>43550</v>
      </c>
      <c r="Y151" s="18">
        <v>42650</v>
      </c>
      <c r="Z151" s="18">
        <v>41500</v>
      </c>
      <c r="AA151" s="18">
        <v>41090</v>
      </c>
      <c r="AB151" s="18">
        <v>40570</v>
      </c>
      <c r="AC151" s="18">
        <v>39110</v>
      </c>
      <c r="AD151" s="18">
        <v>38930</v>
      </c>
      <c r="AE151" s="18">
        <v>38240</v>
      </c>
      <c r="AF151" s="18">
        <v>39220</v>
      </c>
      <c r="AG151" s="18">
        <v>38850</v>
      </c>
      <c r="AH151" s="18">
        <v>38110</v>
      </c>
      <c r="AI151" s="18">
        <v>38830</v>
      </c>
      <c r="AJ151" s="18">
        <v>39840</v>
      </c>
      <c r="AK151" s="18">
        <v>40240</v>
      </c>
    </row>
    <row r="152" spans="1:37" x14ac:dyDescent="0.25">
      <c r="A152" s="12">
        <f>$A$52</f>
        <v>37</v>
      </c>
      <c r="B152" s="18">
        <v>30040</v>
      </c>
      <c r="C152" s="18">
        <v>29860</v>
      </c>
      <c r="D152" s="18">
        <v>30480</v>
      </c>
      <c r="E152" s="18">
        <v>30200</v>
      </c>
      <c r="F152" s="18">
        <v>28920</v>
      </c>
      <c r="G152" s="18">
        <v>27960</v>
      </c>
      <c r="H152" s="18">
        <v>26770</v>
      </c>
      <c r="I152" s="18">
        <v>25830</v>
      </c>
      <c r="J152" s="18">
        <v>26230</v>
      </c>
      <c r="K152" s="18">
        <v>26280</v>
      </c>
      <c r="L152" s="18">
        <v>27720</v>
      </c>
      <c r="M152" s="18">
        <v>29140</v>
      </c>
      <c r="N152" s="18">
        <v>30600</v>
      </c>
      <c r="O152" s="18">
        <v>31900</v>
      </c>
      <c r="P152" s="18">
        <v>33520</v>
      </c>
      <c r="Q152" s="18">
        <v>33930</v>
      </c>
      <c r="R152" s="18">
        <v>34010</v>
      </c>
      <c r="S152" s="18">
        <v>37020</v>
      </c>
      <c r="T152" s="18">
        <v>39680</v>
      </c>
      <c r="U152" s="18">
        <v>40830</v>
      </c>
      <c r="V152" s="18">
        <v>41560</v>
      </c>
      <c r="W152" s="18">
        <v>43290</v>
      </c>
      <c r="X152" s="18">
        <v>44060</v>
      </c>
      <c r="Y152" s="18">
        <v>44000</v>
      </c>
      <c r="Z152" s="18">
        <v>43110</v>
      </c>
      <c r="AA152" s="18">
        <v>41960</v>
      </c>
      <c r="AB152" s="18">
        <v>41560</v>
      </c>
      <c r="AC152" s="18">
        <v>41050</v>
      </c>
      <c r="AD152" s="18">
        <v>39590</v>
      </c>
      <c r="AE152" s="18">
        <v>39410</v>
      </c>
      <c r="AF152" s="18">
        <v>38720</v>
      </c>
      <c r="AG152" s="18">
        <v>39710</v>
      </c>
      <c r="AH152" s="18">
        <v>39340</v>
      </c>
      <c r="AI152" s="18">
        <v>38600</v>
      </c>
      <c r="AJ152" s="18">
        <v>39330</v>
      </c>
      <c r="AK152" s="18">
        <v>40340</v>
      </c>
    </row>
    <row r="153" spans="1:37" x14ac:dyDescent="0.25">
      <c r="A153" s="12">
        <f>$A$53</f>
        <v>38</v>
      </c>
      <c r="B153" s="18">
        <v>29710</v>
      </c>
      <c r="C153" s="18">
        <v>30220</v>
      </c>
      <c r="D153" s="18">
        <v>29910</v>
      </c>
      <c r="E153" s="18">
        <v>30610</v>
      </c>
      <c r="F153" s="18">
        <v>30300</v>
      </c>
      <c r="G153" s="18">
        <v>28910</v>
      </c>
      <c r="H153" s="18">
        <v>27940</v>
      </c>
      <c r="I153" s="18">
        <v>26840</v>
      </c>
      <c r="J153" s="18">
        <v>26360</v>
      </c>
      <c r="K153" s="18">
        <v>26880</v>
      </c>
      <c r="L153" s="18">
        <v>27080</v>
      </c>
      <c r="M153" s="18">
        <v>28640</v>
      </c>
      <c r="N153" s="18">
        <v>30040</v>
      </c>
      <c r="O153" s="18">
        <v>31220</v>
      </c>
      <c r="P153" s="18">
        <v>32640</v>
      </c>
      <c r="Q153" s="18">
        <v>33520</v>
      </c>
      <c r="R153" s="18">
        <v>33910</v>
      </c>
      <c r="S153" s="18">
        <v>36150</v>
      </c>
      <c r="T153" s="18">
        <v>37960</v>
      </c>
      <c r="U153" s="18">
        <v>39990</v>
      </c>
      <c r="V153" s="18">
        <v>41200</v>
      </c>
      <c r="W153" s="18">
        <v>41960</v>
      </c>
      <c r="X153" s="18">
        <v>43710</v>
      </c>
      <c r="Y153" s="18">
        <v>44490</v>
      </c>
      <c r="Z153" s="18">
        <v>44440</v>
      </c>
      <c r="AA153" s="18">
        <v>43550</v>
      </c>
      <c r="AB153" s="18">
        <v>42410</v>
      </c>
      <c r="AC153" s="18">
        <v>42020</v>
      </c>
      <c r="AD153" s="18">
        <v>41510</v>
      </c>
      <c r="AE153" s="18">
        <v>40050</v>
      </c>
      <c r="AF153" s="18">
        <v>39880</v>
      </c>
      <c r="AG153" s="18">
        <v>39190</v>
      </c>
      <c r="AH153" s="18">
        <v>40180</v>
      </c>
      <c r="AI153" s="18">
        <v>39810</v>
      </c>
      <c r="AJ153" s="18">
        <v>39080</v>
      </c>
      <c r="AK153" s="18">
        <v>39810</v>
      </c>
    </row>
    <row r="154" spans="1:37" x14ac:dyDescent="0.25">
      <c r="A154" s="12">
        <f>$A$54</f>
        <v>39</v>
      </c>
      <c r="B154" s="18">
        <v>29570</v>
      </c>
      <c r="C154" s="18">
        <v>29890</v>
      </c>
      <c r="D154" s="18">
        <v>30260</v>
      </c>
      <c r="E154" s="18">
        <v>30030</v>
      </c>
      <c r="F154" s="18">
        <v>30640</v>
      </c>
      <c r="G154" s="18">
        <v>30250</v>
      </c>
      <c r="H154" s="18">
        <v>28910</v>
      </c>
      <c r="I154" s="18">
        <v>28120</v>
      </c>
      <c r="J154" s="18">
        <v>27310</v>
      </c>
      <c r="K154" s="18">
        <v>27010</v>
      </c>
      <c r="L154" s="18">
        <v>27580</v>
      </c>
      <c r="M154" s="18">
        <v>27870</v>
      </c>
      <c r="N154" s="18">
        <v>29500</v>
      </c>
      <c r="O154" s="18">
        <v>30730</v>
      </c>
      <c r="P154" s="18">
        <v>32010</v>
      </c>
      <c r="Q154" s="18">
        <v>32580</v>
      </c>
      <c r="R154" s="18">
        <v>33360</v>
      </c>
      <c r="S154" s="18">
        <v>35930</v>
      </c>
      <c r="T154" s="18">
        <v>37120</v>
      </c>
      <c r="U154" s="18">
        <v>38240</v>
      </c>
      <c r="V154" s="18">
        <v>40330</v>
      </c>
      <c r="W154" s="18">
        <v>41560</v>
      </c>
      <c r="X154" s="18">
        <v>42340</v>
      </c>
      <c r="Y154" s="18">
        <v>44100</v>
      </c>
      <c r="Z154" s="18">
        <v>44890</v>
      </c>
      <c r="AA154" s="18">
        <v>44850</v>
      </c>
      <c r="AB154" s="18">
        <v>43970</v>
      </c>
      <c r="AC154" s="18">
        <v>42830</v>
      </c>
      <c r="AD154" s="18">
        <v>42440</v>
      </c>
      <c r="AE154" s="18">
        <v>41930</v>
      </c>
      <c r="AF154" s="18">
        <v>40490</v>
      </c>
      <c r="AG154" s="18">
        <v>40310</v>
      </c>
      <c r="AH154" s="18">
        <v>39630</v>
      </c>
      <c r="AI154" s="18">
        <v>40620</v>
      </c>
      <c r="AJ154" s="18">
        <v>40260</v>
      </c>
      <c r="AK154" s="18">
        <v>39530</v>
      </c>
    </row>
    <row r="155" spans="1:37" x14ac:dyDescent="0.25">
      <c r="A155" s="12">
        <f>$A$55</f>
        <v>40</v>
      </c>
      <c r="B155" s="18">
        <v>29920</v>
      </c>
      <c r="C155" s="18">
        <v>29750</v>
      </c>
      <c r="D155" s="18">
        <v>29950</v>
      </c>
      <c r="E155" s="18">
        <v>30360</v>
      </c>
      <c r="F155" s="18">
        <v>30050</v>
      </c>
      <c r="G155" s="18">
        <v>30610</v>
      </c>
      <c r="H155" s="18">
        <v>30210</v>
      </c>
      <c r="I155" s="18">
        <v>29000</v>
      </c>
      <c r="J155" s="18">
        <v>28540</v>
      </c>
      <c r="K155" s="18">
        <v>27880</v>
      </c>
      <c r="L155" s="18">
        <v>27730</v>
      </c>
      <c r="M155" s="18">
        <v>28340</v>
      </c>
      <c r="N155" s="18">
        <v>28670</v>
      </c>
      <c r="O155" s="18">
        <v>30090</v>
      </c>
      <c r="P155" s="18">
        <v>31440</v>
      </c>
      <c r="Q155" s="18">
        <v>32070</v>
      </c>
      <c r="R155" s="18">
        <v>32430</v>
      </c>
      <c r="S155" s="18">
        <v>35210</v>
      </c>
      <c r="T155" s="18">
        <v>36830</v>
      </c>
      <c r="U155" s="18">
        <v>37360</v>
      </c>
      <c r="V155" s="18">
        <v>38530</v>
      </c>
      <c r="W155" s="18">
        <v>40640</v>
      </c>
      <c r="X155" s="18">
        <v>41890</v>
      </c>
      <c r="Y155" s="18">
        <v>42680</v>
      </c>
      <c r="Z155" s="18">
        <v>44450</v>
      </c>
      <c r="AA155" s="18">
        <v>45250</v>
      </c>
      <c r="AB155" s="18">
        <v>45210</v>
      </c>
      <c r="AC155" s="18">
        <v>44330</v>
      </c>
      <c r="AD155" s="18">
        <v>43200</v>
      </c>
      <c r="AE155" s="18">
        <v>42810</v>
      </c>
      <c r="AF155" s="18">
        <v>42310</v>
      </c>
      <c r="AG155" s="18">
        <v>40860</v>
      </c>
      <c r="AH155" s="18">
        <v>40690</v>
      </c>
      <c r="AI155" s="18">
        <v>40010</v>
      </c>
      <c r="AJ155" s="18">
        <v>41010</v>
      </c>
      <c r="AK155" s="18">
        <v>40650</v>
      </c>
    </row>
    <row r="156" spans="1:37" x14ac:dyDescent="0.25">
      <c r="A156" s="12">
        <f>$A$56</f>
        <v>41</v>
      </c>
      <c r="B156" s="18">
        <v>30380</v>
      </c>
      <c r="C156" s="18">
        <v>30040</v>
      </c>
      <c r="D156" s="18">
        <v>29780</v>
      </c>
      <c r="E156" s="18">
        <v>30010</v>
      </c>
      <c r="F156" s="18">
        <v>30420</v>
      </c>
      <c r="G156" s="18">
        <v>30010</v>
      </c>
      <c r="H156" s="18">
        <v>30580</v>
      </c>
      <c r="I156" s="18">
        <v>30270</v>
      </c>
      <c r="J156" s="18">
        <v>29570</v>
      </c>
      <c r="K156" s="18">
        <v>29050</v>
      </c>
      <c r="L156" s="18">
        <v>28500</v>
      </c>
      <c r="M156" s="18">
        <v>28400</v>
      </c>
      <c r="N156" s="18">
        <v>29020</v>
      </c>
      <c r="O156" s="18">
        <v>29160</v>
      </c>
      <c r="P156" s="18">
        <v>30680</v>
      </c>
      <c r="Q156" s="18">
        <v>31450</v>
      </c>
      <c r="R156" s="18">
        <v>31950</v>
      </c>
      <c r="S156" s="18">
        <v>34140</v>
      </c>
      <c r="T156" s="18">
        <v>36090</v>
      </c>
      <c r="U156" s="18">
        <v>37050</v>
      </c>
      <c r="V156" s="18">
        <v>37620</v>
      </c>
      <c r="W156" s="18">
        <v>38810</v>
      </c>
      <c r="X156" s="18">
        <v>40940</v>
      </c>
      <c r="Y156" s="18">
        <v>42200</v>
      </c>
      <c r="Z156" s="18">
        <v>43000</v>
      </c>
      <c r="AA156" s="18">
        <v>44780</v>
      </c>
      <c r="AB156" s="18">
        <v>45570</v>
      </c>
      <c r="AC156" s="18">
        <v>45540</v>
      </c>
      <c r="AD156" s="18">
        <v>44670</v>
      </c>
      <c r="AE156" s="18">
        <v>43540</v>
      </c>
      <c r="AF156" s="18">
        <v>43150</v>
      </c>
      <c r="AG156" s="18">
        <v>42650</v>
      </c>
      <c r="AH156" s="18">
        <v>41210</v>
      </c>
      <c r="AI156" s="18">
        <v>41040</v>
      </c>
      <c r="AJ156" s="18">
        <v>40370</v>
      </c>
      <c r="AK156" s="18">
        <v>41360</v>
      </c>
    </row>
    <row r="157" spans="1:37" x14ac:dyDescent="0.25">
      <c r="A157" s="12">
        <f>$A$57</f>
        <v>42</v>
      </c>
      <c r="B157" s="18">
        <v>31600</v>
      </c>
      <c r="C157" s="18">
        <v>30480</v>
      </c>
      <c r="D157" s="18">
        <v>30040</v>
      </c>
      <c r="E157" s="18">
        <v>29810</v>
      </c>
      <c r="F157" s="18">
        <v>30060</v>
      </c>
      <c r="G157" s="18">
        <v>30400</v>
      </c>
      <c r="H157" s="18">
        <v>29940</v>
      </c>
      <c r="I157" s="18">
        <v>30650</v>
      </c>
      <c r="J157" s="18">
        <v>30730</v>
      </c>
      <c r="K157" s="18">
        <v>30140</v>
      </c>
      <c r="L157" s="18">
        <v>29640</v>
      </c>
      <c r="M157" s="18">
        <v>29160</v>
      </c>
      <c r="N157" s="18">
        <v>29050</v>
      </c>
      <c r="O157" s="18">
        <v>29590</v>
      </c>
      <c r="P157" s="18">
        <v>29730</v>
      </c>
      <c r="Q157" s="18">
        <v>30660</v>
      </c>
      <c r="R157" s="18">
        <v>31300</v>
      </c>
      <c r="S157" s="18">
        <v>33460</v>
      </c>
      <c r="T157" s="18">
        <v>34890</v>
      </c>
      <c r="U157" s="18">
        <v>36270</v>
      </c>
      <c r="V157" s="18">
        <v>37260</v>
      </c>
      <c r="W157" s="18">
        <v>37860</v>
      </c>
      <c r="X157" s="18">
        <v>39070</v>
      </c>
      <c r="Y157" s="18">
        <v>41200</v>
      </c>
      <c r="Z157" s="18">
        <v>42470</v>
      </c>
      <c r="AA157" s="18">
        <v>43280</v>
      </c>
      <c r="AB157" s="18">
        <v>45050</v>
      </c>
      <c r="AC157" s="18">
        <v>45850</v>
      </c>
      <c r="AD157" s="18">
        <v>45820</v>
      </c>
      <c r="AE157" s="18">
        <v>44950</v>
      </c>
      <c r="AF157" s="18">
        <v>43830</v>
      </c>
      <c r="AG157" s="18">
        <v>43440</v>
      </c>
      <c r="AH157" s="18">
        <v>42950</v>
      </c>
      <c r="AI157" s="18">
        <v>41510</v>
      </c>
      <c r="AJ157" s="18">
        <v>41350</v>
      </c>
      <c r="AK157" s="18">
        <v>40680</v>
      </c>
    </row>
    <row r="158" spans="1:37" x14ac:dyDescent="0.25">
      <c r="A158" s="12">
        <f>$A$58</f>
        <v>43</v>
      </c>
      <c r="B158" s="18">
        <v>31940</v>
      </c>
      <c r="C158" s="18">
        <v>31630</v>
      </c>
      <c r="D158" s="18">
        <v>30470</v>
      </c>
      <c r="E158" s="18">
        <v>30040</v>
      </c>
      <c r="F158" s="18">
        <v>29760</v>
      </c>
      <c r="G158" s="18">
        <v>30010</v>
      </c>
      <c r="H158" s="18">
        <v>30300</v>
      </c>
      <c r="I158" s="18">
        <v>29990</v>
      </c>
      <c r="J158" s="18">
        <v>31110</v>
      </c>
      <c r="K158" s="18">
        <v>31310</v>
      </c>
      <c r="L158" s="18">
        <v>30820</v>
      </c>
      <c r="M158" s="18">
        <v>30240</v>
      </c>
      <c r="N158" s="18">
        <v>29770</v>
      </c>
      <c r="O158" s="18">
        <v>29500</v>
      </c>
      <c r="P158" s="18">
        <v>30100</v>
      </c>
      <c r="Q158" s="18">
        <v>29670</v>
      </c>
      <c r="R158" s="18">
        <v>30480</v>
      </c>
      <c r="S158" s="18">
        <v>32720</v>
      </c>
      <c r="T158" s="18">
        <v>34120</v>
      </c>
      <c r="U158" s="18">
        <v>35030</v>
      </c>
      <c r="V158" s="18">
        <v>36440</v>
      </c>
      <c r="W158" s="18">
        <v>37460</v>
      </c>
      <c r="X158" s="18">
        <v>38070</v>
      </c>
      <c r="Y158" s="18">
        <v>39290</v>
      </c>
      <c r="Z158" s="18">
        <v>41430</v>
      </c>
      <c r="AA158" s="18">
        <v>42700</v>
      </c>
      <c r="AB158" s="18">
        <v>43510</v>
      </c>
      <c r="AC158" s="18">
        <v>45290</v>
      </c>
      <c r="AD158" s="18">
        <v>46090</v>
      </c>
      <c r="AE158" s="18">
        <v>46060</v>
      </c>
      <c r="AF158" s="18">
        <v>45190</v>
      </c>
      <c r="AG158" s="18">
        <v>44070</v>
      </c>
      <c r="AH158" s="18">
        <v>43690</v>
      </c>
      <c r="AI158" s="18">
        <v>43200</v>
      </c>
      <c r="AJ158" s="18">
        <v>41770</v>
      </c>
      <c r="AK158" s="18">
        <v>41600</v>
      </c>
    </row>
    <row r="159" spans="1:37" x14ac:dyDescent="0.25">
      <c r="A159" s="12">
        <f>$A$59</f>
        <v>44</v>
      </c>
      <c r="B159" s="18">
        <v>32110</v>
      </c>
      <c r="C159" s="18">
        <v>31970</v>
      </c>
      <c r="D159" s="18">
        <v>31540</v>
      </c>
      <c r="E159" s="18">
        <v>30420</v>
      </c>
      <c r="F159" s="18">
        <v>30060</v>
      </c>
      <c r="G159" s="18">
        <v>29670</v>
      </c>
      <c r="H159" s="18">
        <v>29920</v>
      </c>
      <c r="I159" s="18">
        <v>30260</v>
      </c>
      <c r="J159" s="18">
        <v>30470</v>
      </c>
      <c r="K159" s="18">
        <v>31570</v>
      </c>
      <c r="L159" s="18">
        <v>31930</v>
      </c>
      <c r="M159" s="18">
        <v>31430</v>
      </c>
      <c r="N159" s="18">
        <v>30790</v>
      </c>
      <c r="O159" s="18">
        <v>30130</v>
      </c>
      <c r="P159" s="18">
        <v>29960</v>
      </c>
      <c r="Q159" s="18">
        <v>30130</v>
      </c>
      <c r="R159" s="18">
        <v>29490</v>
      </c>
      <c r="S159" s="18">
        <v>31720</v>
      </c>
      <c r="T159" s="18">
        <v>33250</v>
      </c>
      <c r="U159" s="18">
        <v>34210</v>
      </c>
      <c r="V159" s="18">
        <v>35150</v>
      </c>
      <c r="W159" s="18">
        <v>36580</v>
      </c>
      <c r="X159" s="18">
        <v>37610</v>
      </c>
      <c r="Y159" s="18">
        <v>38230</v>
      </c>
      <c r="Z159" s="18">
        <v>39450</v>
      </c>
      <c r="AA159" s="18">
        <v>41600</v>
      </c>
      <c r="AB159" s="18">
        <v>42870</v>
      </c>
      <c r="AC159" s="18">
        <v>43680</v>
      </c>
      <c r="AD159" s="18">
        <v>45460</v>
      </c>
      <c r="AE159" s="18">
        <v>46260</v>
      </c>
      <c r="AF159" s="18">
        <v>46240</v>
      </c>
      <c r="AG159" s="18">
        <v>45370</v>
      </c>
      <c r="AH159" s="18">
        <v>44260</v>
      </c>
      <c r="AI159" s="18">
        <v>43880</v>
      </c>
      <c r="AJ159" s="18">
        <v>43390</v>
      </c>
      <c r="AK159" s="18">
        <v>41960</v>
      </c>
    </row>
    <row r="160" spans="1:37" x14ac:dyDescent="0.25">
      <c r="A160" s="12">
        <f>$A$60</f>
        <v>45</v>
      </c>
      <c r="B160" s="18">
        <v>31490</v>
      </c>
      <c r="C160" s="18">
        <v>32140</v>
      </c>
      <c r="D160" s="18">
        <v>31920</v>
      </c>
      <c r="E160" s="18">
        <v>31530</v>
      </c>
      <c r="F160" s="18">
        <v>30400</v>
      </c>
      <c r="G160" s="18">
        <v>29970</v>
      </c>
      <c r="H160" s="18">
        <v>29530</v>
      </c>
      <c r="I160" s="18">
        <v>29930</v>
      </c>
      <c r="J160" s="18">
        <v>30650</v>
      </c>
      <c r="K160" s="18">
        <v>30940</v>
      </c>
      <c r="L160" s="18">
        <v>32060</v>
      </c>
      <c r="M160" s="18">
        <v>32500</v>
      </c>
      <c r="N160" s="18">
        <v>32030</v>
      </c>
      <c r="O160" s="18">
        <v>31110</v>
      </c>
      <c r="P160" s="18">
        <v>30480</v>
      </c>
      <c r="Q160" s="18">
        <v>29940</v>
      </c>
      <c r="R160" s="18">
        <v>29970</v>
      </c>
      <c r="S160" s="18">
        <v>30510</v>
      </c>
      <c r="T160" s="18">
        <v>32190</v>
      </c>
      <c r="U160" s="18">
        <v>33300</v>
      </c>
      <c r="V160" s="18">
        <v>34290</v>
      </c>
      <c r="W160" s="18">
        <v>35240</v>
      </c>
      <c r="X160" s="18">
        <v>36690</v>
      </c>
      <c r="Y160" s="18">
        <v>37720</v>
      </c>
      <c r="Z160" s="18">
        <v>38350</v>
      </c>
      <c r="AA160" s="18">
        <v>39580</v>
      </c>
      <c r="AB160" s="18">
        <v>41720</v>
      </c>
      <c r="AC160" s="18">
        <v>42990</v>
      </c>
      <c r="AD160" s="18">
        <v>43810</v>
      </c>
      <c r="AE160" s="18">
        <v>45580</v>
      </c>
      <c r="AF160" s="18">
        <v>46390</v>
      </c>
      <c r="AG160" s="18">
        <v>46370</v>
      </c>
      <c r="AH160" s="18">
        <v>45500</v>
      </c>
      <c r="AI160" s="18">
        <v>44390</v>
      </c>
      <c r="AJ160" s="18">
        <v>44020</v>
      </c>
      <c r="AK160" s="18">
        <v>43530</v>
      </c>
    </row>
    <row r="161" spans="1:37" x14ac:dyDescent="0.25">
      <c r="A161" s="12">
        <f>$A$61</f>
        <v>46</v>
      </c>
      <c r="B161" s="18">
        <v>30540</v>
      </c>
      <c r="C161" s="18">
        <v>31420</v>
      </c>
      <c r="D161" s="18">
        <v>32070</v>
      </c>
      <c r="E161" s="18">
        <v>31870</v>
      </c>
      <c r="F161" s="18">
        <v>31460</v>
      </c>
      <c r="G161" s="18">
        <v>30290</v>
      </c>
      <c r="H161" s="18">
        <v>29820</v>
      </c>
      <c r="I161" s="18">
        <v>29520</v>
      </c>
      <c r="J161" s="18">
        <v>30230</v>
      </c>
      <c r="K161" s="18">
        <v>31090</v>
      </c>
      <c r="L161" s="18">
        <v>31460</v>
      </c>
      <c r="M161" s="18">
        <v>32560</v>
      </c>
      <c r="N161" s="18">
        <v>33000</v>
      </c>
      <c r="O161" s="18">
        <v>32250</v>
      </c>
      <c r="P161" s="18">
        <v>31470</v>
      </c>
      <c r="Q161" s="18">
        <v>30400</v>
      </c>
      <c r="R161" s="18">
        <v>29730</v>
      </c>
      <c r="S161" s="18">
        <v>30820</v>
      </c>
      <c r="T161" s="18">
        <v>30860</v>
      </c>
      <c r="U161" s="18">
        <v>32200</v>
      </c>
      <c r="V161" s="18">
        <v>33330</v>
      </c>
      <c r="W161" s="18">
        <v>34330</v>
      </c>
      <c r="X161" s="18">
        <v>35300</v>
      </c>
      <c r="Y161" s="18">
        <v>36750</v>
      </c>
      <c r="Z161" s="18">
        <v>37790</v>
      </c>
      <c r="AA161" s="18">
        <v>38420</v>
      </c>
      <c r="AB161" s="18">
        <v>39650</v>
      </c>
      <c r="AC161" s="18">
        <v>41790</v>
      </c>
      <c r="AD161" s="18">
        <v>43060</v>
      </c>
      <c r="AE161" s="18">
        <v>43880</v>
      </c>
      <c r="AF161" s="18">
        <v>45660</v>
      </c>
      <c r="AG161" s="18">
        <v>46460</v>
      </c>
      <c r="AH161" s="18">
        <v>46440</v>
      </c>
      <c r="AI161" s="18">
        <v>45580</v>
      </c>
      <c r="AJ161" s="18">
        <v>44480</v>
      </c>
      <c r="AK161" s="18">
        <v>44100</v>
      </c>
    </row>
    <row r="162" spans="1:37" x14ac:dyDescent="0.25">
      <c r="A162" s="12">
        <f>$A$62</f>
        <v>47</v>
      </c>
      <c r="B162" s="18">
        <v>30080</v>
      </c>
      <c r="C162" s="18">
        <v>30470</v>
      </c>
      <c r="D162" s="18">
        <v>31270</v>
      </c>
      <c r="E162" s="18">
        <v>31960</v>
      </c>
      <c r="F162" s="18">
        <v>31720</v>
      </c>
      <c r="G162" s="18">
        <v>31300</v>
      </c>
      <c r="H162" s="18">
        <v>30150</v>
      </c>
      <c r="I162" s="18">
        <v>29680</v>
      </c>
      <c r="J162" s="18">
        <v>29780</v>
      </c>
      <c r="K162" s="18">
        <v>30590</v>
      </c>
      <c r="L162" s="18">
        <v>31490</v>
      </c>
      <c r="M162" s="18">
        <v>31920</v>
      </c>
      <c r="N162" s="18">
        <v>33000</v>
      </c>
      <c r="O162" s="18">
        <v>33200</v>
      </c>
      <c r="P162" s="18">
        <v>32490</v>
      </c>
      <c r="Q162" s="18">
        <v>31370</v>
      </c>
      <c r="R162" s="18">
        <v>30170</v>
      </c>
      <c r="S162" s="18">
        <v>30450</v>
      </c>
      <c r="T162" s="18">
        <v>31110</v>
      </c>
      <c r="U162" s="18">
        <v>30830</v>
      </c>
      <c r="V162" s="18">
        <v>32200</v>
      </c>
      <c r="W162" s="18">
        <v>33340</v>
      </c>
      <c r="X162" s="18">
        <v>34350</v>
      </c>
      <c r="Y162" s="18">
        <v>35330</v>
      </c>
      <c r="Z162" s="18">
        <v>36780</v>
      </c>
      <c r="AA162" s="18">
        <v>37820</v>
      </c>
      <c r="AB162" s="18">
        <v>38450</v>
      </c>
      <c r="AC162" s="18">
        <v>39680</v>
      </c>
      <c r="AD162" s="18">
        <v>41820</v>
      </c>
      <c r="AE162" s="18">
        <v>43100</v>
      </c>
      <c r="AF162" s="18">
        <v>43910</v>
      </c>
      <c r="AG162" s="18">
        <v>45690</v>
      </c>
      <c r="AH162" s="18">
        <v>46500</v>
      </c>
      <c r="AI162" s="18">
        <v>46480</v>
      </c>
      <c r="AJ162" s="18">
        <v>45630</v>
      </c>
      <c r="AK162" s="18">
        <v>44520</v>
      </c>
    </row>
    <row r="163" spans="1:37" x14ac:dyDescent="0.25">
      <c r="A163" s="12">
        <f>$A$63</f>
        <v>48</v>
      </c>
      <c r="B163" s="18">
        <v>28610</v>
      </c>
      <c r="C163" s="18">
        <v>30010</v>
      </c>
      <c r="D163" s="18">
        <v>30340</v>
      </c>
      <c r="E163" s="18">
        <v>31240</v>
      </c>
      <c r="F163" s="18">
        <v>31890</v>
      </c>
      <c r="G163" s="18">
        <v>31530</v>
      </c>
      <c r="H163" s="18">
        <v>31110</v>
      </c>
      <c r="I163" s="18">
        <v>30000</v>
      </c>
      <c r="J163" s="18">
        <v>29900</v>
      </c>
      <c r="K163" s="18">
        <v>30080</v>
      </c>
      <c r="L163" s="18">
        <v>31030</v>
      </c>
      <c r="M163" s="18">
        <v>31900</v>
      </c>
      <c r="N163" s="18">
        <v>32290</v>
      </c>
      <c r="O163" s="18">
        <v>33190</v>
      </c>
      <c r="P163" s="18">
        <v>33360</v>
      </c>
      <c r="Q163" s="18">
        <v>32400</v>
      </c>
      <c r="R163" s="18">
        <v>31200</v>
      </c>
      <c r="S163" s="18">
        <v>30640</v>
      </c>
      <c r="T163" s="18">
        <v>30670</v>
      </c>
      <c r="U163" s="18">
        <v>31040</v>
      </c>
      <c r="V163" s="18">
        <v>30790</v>
      </c>
      <c r="W163" s="18">
        <v>32170</v>
      </c>
      <c r="X163" s="18">
        <v>33320</v>
      </c>
      <c r="Y163" s="18">
        <v>34340</v>
      </c>
      <c r="Z163" s="18">
        <v>35320</v>
      </c>
      <c r="AA163" s="18">
        <v>36770</v>
      </c>
      <c r="AB163" s="18">
        <v>37820</v>
      </c>
      <c r="AC163" s="18">
        <v>38450</v>
      </c>
      <c r="AD163" s="18">
        <v>39680</v>
      </c>
      <c r="AE163" s="18">
        <v>41810</v>
      </c>
      <c r="AF163" s="18">
        <v>43090</v>
      </c>
      <c r="AG163" s="18">
        <v>43910</v>
      </c>
      <c r="AH163" s="18">
        <v>45680</v>
      </c>
      <c r="AI163" s="18">
        <v>46490</v>
      </c>
      <c r="AJ163" s="18">
        <v>46480</v>
      </c>
      <c r="AK163" s="18">
        <v>45630</v>
      </c>
    </row>
    <row r="164" spans="1:37" x14ac:dyDescent="0.25">
      <c r="A164" s="12">
        <f>$A$64</f>
        <v>49</v>
      </c>
      <c r="B164" s="18">
        <v>28400</v>
      </c>
      <c r="C164" s="18">
        <v>28490</v>
      </c>
      <c r="D164" s="18">
        <v>29860</v>
      </c>
      <c r="E164" s="18">
        <v>30220</v>
      </c>
      <c r="F164" s="18">
        <v>31130</v>
      </c>
      <c r="G164" s="18">
        <v>31760</v>
      </c>
      <c r="H164" s="18">
        <v>31330</v>
      </c>
      <c r="I164" s="18">
        <v>30960</v>
      </c>
      <c r="J164" s="18">
        <v>30200</v>
      </c>
      <c r="K164" s="18">
        <v>30140</v>
      </c>
      <c r="L164" s="18">
        <v>30360</v>
      </c>
      <c r="M164" s="18">
        <v>31360</v>
      </c>
      <c r="N164" s="18">
        <v>32290</v>
      </c>
      <c r="O164" s="18">
        <v>32420</v>
      </c>
      <c r="P164" s="18">
        <v>33360</v>
      </c>
      <c r="Q164" s="18">
        <v>33200</v>
      </c>
      <c r="R164" s="18">
        <v>32130</v>
      </c>
      <c r="S164" s="18">
        <v>31570</v>
      </c>
      <c r="T164" s="18">
        <v>30730</v>
      </c>
      <c r="U164" s="18">
        <v>30570</v>
      </c>
      <c r="V164" s="18">
        <v>30970</v>
      </c>
      <c r="W164" s="18">
        <v>30730</v>
      </c>
      <c r="X164" s="18">
        <v>32110</v>
      </c>
      <c r="Y164" s="18">
        <v>33270</v>
      </c>
      <c r="Z164" s="18">
        <v>34300</v>
      </c>
      <c r="AA164" s="18">
        <v>35270</v>
      </c>
      <c r="AB164" s="18">
        <v>36730</v>
      </c>
      <c r="AC164" s="18">
        <v>37770</v>
      </c>
      <c r="AD164" s="18">
        <v>38400</v>
      </c>
      <c r="AE164" s="18">
        <v>39630</v>
      </c>
      <c r="AF164" s="18">
        <v>41770</v>
      </c>
      <c r="AG164" s="18">
        <v>43050</v>
      </c>
      <c r="AH164" s="18">
        <v>43860</v>
      </c>
      <c r="AI164" s="18">
        <v>45640</v>
      </c>
      <c r="AJ164" s="18">
        <v>46450</v>
      </c>
      <c r="AK164" s="18">
        <v>46440</v>
      </c>
    </row>
    <row r="165" spans="1:37" x14ac:dyDescent="0.25">
      <c r="A165" s="12">
        <f>$A$65</f>
        <v>50</v>
      </c>
      <c r="B165" s="18">
        <v>27750</v>
      </c>
      <c r="C165" s="18">
        <v>28300</v>
      </c>
      <c r="D165" s="18">
        <v>28330</v>
      </c>
      <c r="E165" s="18">
        <v>29730</v>
      </c>
      <c r="F165" s="18">
        <v>30080</v>
      </c>
      <c r="G165" s="18">
        <v>30940</v>
      </c>
      <c r="H165" s="18">
        <v>31520</v>
      </c>
      <c r="I165" s="18">
        <v>31200</v>
      </c>
      <c r="J165" s="18">
        <v>31150</v>
      </c>
      <c r="K165" s="18">
        <v>30470</v>
      </c>
      <c r="L165" s="18">
        <v>30440</v>
      </c>
      <c r="M165" s="18">
        <v>30640</v>
      </c>
      <c r="N165" s="18">
        <v>31660</v>
      </c>
      <c r="O165" s="18">
        <v>32300</v>
      </c>
      <c r="P165" s="18">
        <v>32540</v>
      </c>
      <c r="Q165" s="18">
        <v>33310</v>
      </c>
      <c r="R165" s="18">
        <v>32920</v>
      </c>
      <c r="S165" s="18">
        <v>32370</v>
      </c>
      <c r="T165" s="18">
        <v>31620</v>
      </c>
      <c r="U165" s="18">
        <v>30610</v>
      </c>
      <c r="V165" s="18">
        <v>30470</v>
      </c>
      <c r="W165" s="18">
        <v>30880</v>
      </c>
      <c r="X165" s="18">
        <v>30650</v>
      </c>
      <c r="Y165" s="18">
        <v>32040</v>
      </c>
      <c r="Z165" s="18">
        <v>33200</v>
      </c>
      <c r="AA165" s="18">
        <v>34230</v>
      </c>
      <c r="AB165" s="18">
        <v>35200</v>
      </c>
      <c r="AC165" s="18">
        <v>36660</v>
      </c>
      <c r="AD165" s="18">
        <v>37700</v>
      </c>
      <c r="AE165" s="18">
        <v>38340</v>
      </c>
      <c r="AF165" s="18">
        <v>39570</v>
      </c>
      <c r="AG165" s="18">
        <v>41700</v>
      </c>
      <c r="AH165" s="18">
        <v>42980</v>
      </c>
      <c r="AI165" s="18">
        <v>43800</v>
      </c>
      <c r="AJ165" s="18">
        <v>45570</v>
      </c>
      <c r="AK165" s="18">
        <v>46380</v>
      </c>
    </row>
    <row r="166" spans="1:37" x14ac:dyDescent="0.25">
      <c r="A166" s="12">
        <f>$A$66</f>
        <v>51</v>
      </c>
      <c r="B166" s="18">
        <v>26550</v>
      </c>
      <c r="C166" s="18">
        <v>27630</v>
      </c>
      <c r="D166" s="18">
        <v>28160</v>
      </c>
      <c r="E166" s="18">
        <v>28190</v>
      </c>
      <c r="F166" s="18">
        <v>29630</v>
      </c>
      <c r="G166" s="18">
        <v>29880</v>
      </c>
      <c r="H166" s="18">
        <v>30740</v>
      </c>
      <c r="I166" s="18">
        <v>31370</v>
      </c>
      <c r="J166" s="18">
        <v>31370</v>
      </c>
      <c r="K166" s="18">
        <v>31310</v>
      </c>
      <c r="L166" s="18">
        <v>30700</v>
      </c>
      <c r="M166" s="18">
        <v>30660</v>
      </c>
      <c r="N166" s="18">
        <v>30900</v>
      </c>
      <c r="O166" s="18">
        <v>31600</v>
      </c>
      <c r="P166" s="18">
        <v>32400</v>
      </c>
      <c r="Q166" s="18">
        <v>32350</v>
      </c>
      <c r="R166" s="18">
        <v>33040</v>
      </c>
      <c r="S166" s="18">
        <v>33030</v>
      </c>
      <c r="T166" s="18">
        <v>32270</v>
      </c>
      <c r="U166" s="18">
        <v>31480</v>
      </c>
      <c r="V166" s="18">
        <v>30490</v>
      </c>
      <c r="W166" s="18">
        <v>30360</v>
      </c>
      <c r="X166" s="18">
        <v>30780</v>
      </c>
      <c r="Y166" s="18">
        <v>30560</v>
      </c>
      <c r="Z166" s="18">
        <v>31950</v>
      </c>
      <c r="AA166" s="18">
        <v>33110</v>
      </c>
      <c r="AB166" s="18">
        <v>34140</v>
      </c>
      <c r="AC166" s="18">
        <v>35110</v>
      </c>
      <c r="AD166" s="18">
        <v>36570</v>
      </c>
      <c r="AE166" s="18">
        <v>37610</v>
      </c>
      <c r="AF166" s="18">
        <v>38250</v>
      </c>
      <c r="AG166" s="18">
        <v>39480</v>
      </c>
      <c r="AH166" s="18">
        <v>41610</v>
      </c>
      <c r="AI166" s="18">
        <v>42880</v>
      </c>
      <c r="AJ166" s="18">
        <v>43700</v>
      </c>
      <c r="AK166" s="18">
        <v>45480</v>
      </c>
    </row>
    <row r="167" spans="1:37" x14ac:dyDescent="0.25">
      <c r="A167" s="12">
        <f>$A$67</f>
        <v>52</v>
      </c>
      <c r="B167" s="18">
        <v>25810</v>
      </c>
      <c r="C167" s="18">
        <v>26450</v>
      </c>
      <c r="D167" s="18">
        <v>27420</v>
      </c>
      <c r="E167" s="18">
        <v>27980</v>
      </c>
      <c r="F167" s="18">
        <v>28050</v>
      </c>
      <c r="G167" s="18">
        <v>29430</v>
      </c>
      <c r="H167" s="18">
        <v>29630</v>
      </c>
      <c r="I167" s="18">
        <v>30570</v>
      </c>
      <c r="J167" s="18">
        <v>31440</v>
      </c>
      <c r="K167" s="18">
        <v>31620</v>
      </c>
      <c r="L167" s="18">
        <v>31560</v>
      </c>
      <c r="M167" s="18">
        <v>30960</v>
      </c>
      <c r="N167" s="18">
        <v>30800</v>
      </c>
      <c r="O167" s="18">
        <v>30820</v>
      </c>
      <c r="P167" s="18">
        <v>31600</v>
      </c>
      <c r="Q167" s="18">
        <v>32220</v>
      </c>
      <c r="R167" s="18">
        <v>32060</v>
      </c>
      <c r="S167" s="18">
        <v>33110</v>
      </c>
      <c r="T167" s="18">
        <v>32980</v>
      </c>
      <c r="U167" s="18">
        <v>32110</v>
      </c>
      <c r="V167" s="18">
        <v>31350</v>
      </c>
      <c r="W167" s="18">
        <v>30370</v>
      </c>
      <c r="X167" s="18">
        <v>30250</v>
      </c>
      <c r="Y167" s="18">
        <v>30680</v>
      </c>
      <c r="Z167" s="18">
        <v>30460</v>
      </c>
      <c r="AA167" s="18">
        <v>31850</v>
      </c>
      <c r="AB167" s="18">
        <v>33010</v>
      </c>
      <c r="AC167" s="18">
        <v>34030</v>
      </c>
      <c r="AD167" s="18">
        <v>35010</v>
      </c>
      <c r="AE167" s="18">
        <v>36470</v>
      </c>
      <c r="AF167" s="18">
        <v>37510</v>
      </c>
      <c r="AG167" s="18">
        <v>38140</v>
      </c>
      <c r="AH167" s="18">
        <v>39370</v>
      </c>
      <c r="AI167" s="18">
        <v>41500</v>
      </c>
      <c r="AJ167" s="18">
        <v>42780</v>
      </c>
      <c r="AK167" s="18">
        <v>43600</v>
      </c>
    </row>
    <row r="168" spans="1:37" x14ac:dyDescent="0.25">
      <c r="A168" s="12">
        <f>$A$68</f>
        <v>53</v>
      </c>
      <c r="B168" s="18">
        <v>25070</v>
      </c>
      <c r="C168" s="18">
        <v>25680</v>
      </c>
      <c r="D168" s="18">
        <v>26270</v>
      </c>
      <c r="E168" s="18">
        <v>27290</v>
      </c>
      <c r="F168" s="18">
        <v>27870</v>
      </c>
      <c r="G168" s="18">
        <v>27840</v>
      </c>
      <c r="H168" s="18">
        <v>29190</v>
      </c>
      <c r="I168" s="18">
        <v>29500</v>
      </c>
      <c r="J168" s="18">
        <v>30590</v>
      </c>
      <c r="K168" s="18">
        <v>31550</v>
      </c>
      <c r="L168" s="18">
        <v>31810</v>
      </c>
      <c r="M168" s="18">
        <v>31740</v>
      </c>
      <c r="N168" s="18">
        <v>31150</v>
      </c>
      <c r="O168" s="18">
        <v>30770</v>
      </c>
      <c r="P168" s="18">
        <v>30920</v>
      </c>
      <c r="Q168" s="18">
        <v>31440</v>
      </c>
      <c r="R168" s="18">
        <v>31950</v>
      </c>
      <c r="S168" s="18">
        <v>32010</v>
      </c>
      <c r="T168" s="18">
        <v>33070</v>
      </c>
      <c r="U168" s="18">
        <v>32820</v>
      </c>
      <c r="V168" s="18">
        <v>31970</v>
      </c>
      <c r="W168" s="18">
        <v>31220</v>
      </c>
      <c r="X168" s="18">
        <v>30260</v>
      </c>
      <c r="Y168" s="18">
        <v>30140</v>
      </c>
      <c r="Z168" s="18">
        <v>30570</v>
      </c>
      <c r="AA168" s="18">
        <v>30360</v>
      </c>
      <c r="AB168" s="18">
        <v>31740</v>
      </c>
      <c r="AC168" s="18">
        <v>32910</v>
      </c>
      <c r="AD168" s="18">
        <v>33930</v>
      </c>
      <c r="AE168" s="18">
        <v>34910</v>
      </c>
      <c r="AF168" s="18">
        <v>36360</v>
      </c>
      <c r="AG168" s="18">
        <v>37400</v>
      </c>
      <c r="AH168" s="18">
        <v>38040</v>
      </c>
      <c r="AI168" s="18">
        <v>39270</v>
      </c>
      <c r="AJ168" s="18">
        <v>41400</v>
      </c>
      <c r="AK168" s="18">
        <v>42670</v>
      </c>
    </row>
    <row r="169" spans="1:37" x14ac:dyDescent="0.25">
      <c r="A169" s="12">
        <f>$A$69</f>
        <v>54</v>
      </c>
      <c r="B169" s="18">
        <v>24750</v>
      </c>
      <c r="C169" s="18">
        <v>24910</v>
      </c>
      <c r="D169" s="18">
        <v>25610</v>
      </c>
      <c r="E169" s="18">
        <v>26170</v>
      </c>
      <c r="F169" s="18">
        <v>27170</v>
      </c>
      <c r="G169" s="18">
        <v>27700</v>
      </c>
      <c r="H169" s="18">
        <v>27670</v>
      </c>
      <c r="I169" s="18">
        <v>29030</v>
      </c>
      <c r="J169" s="18">
        <v>29500</v>
      </c>
      <c r="K169" s="18">
        <v>30660</v>
      </c>
      <c r="L169" s="18">
        <v>31700</v>
      </c>
      <c r="M169" s="18">
        <v>31980</v>
      </c>
      <c r="N169" s="18">
        <v>31840</v>
      </c>
      <c r="O169" s="18">
        <v>31080</v>
      </c>
      <c r="P169" s="18">
        <v>30850</v>
      </c>
      <c r="Q169" s="18">
        <v>30730</v>
      </c>
      <c r="R169" s="18">
        <v>31150</v>
      </c>
      <c r="S169" s="18">
        <v>31830</v>
      </c>
      <c r="T169" s="18">
        <v>31770</v>
      </c>
      <c r="U169" s="18">
        <v>32910</v>
      </c>
      <c r="V169" s="18">
        <v>32680</v>
      </c>
      <c r="W169" s="18">
        <v>31850</v>
      </c>
      <c r="X169" s="18">
        <v>31110</v>
      </c>
      <c r="Y169" s="18">
        <v>30150</v>
      </c>
      <c r="Z169" s="18">
        <v>30040</v>
      </c>
      <c r="AA169" s="18">
        <v>30470</v>
      </c>
      <c r="AB169" s="18">
        <v>30260</v>
      </c>
      <c r="AC169" s="18">
        <v>31650</v>
      </c>
      <c r="AD169" s="18">
        <v>32810</v>
      </c>
      <c r="AE169" s="18">
        <v>33830</v>
      </c>
      <c r="AF169" s="18">
        <v>34810</v>
      </c>
      <c r="AG169" s="18">
        <v>36260</v>
      </c>
      <c r="AH169" s="18">
        <v>37310</v>
      </c>
      <c r="AI169" s="18">
        <v>37940</v>
      </c>
      <c r="AJ169" s="18">
        <v>39170</v>
      </c>
      <c r="AK169" s="18">
        <v>41300</v>
      </c>
    </row>
    <row r="170" spans="1:37" x14ac:dyDescent="0.25">
      <c r="A170" s="12">
        <f>$A$70</f>
        <v>55</v>
      </c>
      <c r="B170" s="18">
        <v>24160</v>
      </c>
      <c r="C170" s="18">
        <v>24590</v>
      </c>
      <c r="D170" s="18">
        <v>24710</v>
      </c>
      <c r="E170" s="18">
        <v>25530</v>
      </c>
      <c r="F170" s="18">
        <v>26030</v>
      </c>
      <c r="G170" s="18">
        <v>26960</v>
      </c>
      <c r="H170" s="18">
        <v>27520</v>
      </c>
      <c r="I170" s="18">
        <v>27530</v>
      </c>
      <c r="J170" s="18">
        <v>29070</v>
      </c>
      <c r="K170" s="18">
        <v>29640</v>
      </c>
      <c r="L170" s="18">
        <v>30710</v>
      </c>
      <c r="M170" s="18">
        <v>31770</v>
      </c>
      <c r="N170" s="18">
        <v>32110</v>
      </c>
      <c r="O170" s="18">
        <v>31730</v>
      </c>
      <c r="P170" s="18">
        <v>31160</v>
      </c>
      <c r="Q170" s="18">
        <v>30680</v>
      </c>
      <c r="R170" s="18">
        <v>30450</v>
      </c>
      <c r="S170" s="18">
        <v>31030</v>
      </c>
      <c r="T170" s="18">
        <v>31630</v>
      </c>
      <c r="U170" s="18">
        <v>31630</v>
      </c>
      <c r="V170" s="18">
        <v>32780</v>
      </c>
      <c r="W170" s="18">
        <v>32560</v>
      </c>
      <c r="X170" s="18">
        <v>31740</v>
      </c>
      <c r="Y170" s="18">
        <v>31000</v>
      </c>
      <c r="Z170" s="18">
        <v>30060</v>
      </c>
      <c r="AA170" s="18">
        <v>29950</v>
      </c>
      <c r="AB170" s="18">
        <v>30390</v>
      </c>
      <c r="AC170" s="18">
        <v>30180</v>
      </c>
      <c r="AD170" s="18">
        <v>31560</v>
      </c>
      <c r="AE170" s="18">
        <v>32730</v>
      </c>
      <c r="AF170" s="18">
        <v>33750</v>
      </c>
      <c r="AG170" s="18">
        <v>34730</v>
      </c>
      <c r="AH170" s="18">
        <v>36180</v>
      </c>
      <c r="AI170" s="18">
        <v>37220</v>
      </c>
      <c r="AJ170" s="18">
        <v>37860</v>
      </c>
      <c r="AK170" s="18">
        <v>39080</v>
      </c>
    </row>
    <row r="171" spans="1:37" x14ac:dyDescent="0.25">
      <c r="A171" s="12">
        <f>$A$71</f>
        <v>56</v>
      </c>
      <c r="B171" s="18">
        <v>24180</v>
      </c>
      <c r="C171" s="18">
        <v>24100</v>
      </c>
      <c r="D171" s="18">
        <v>24450</v>
      </c>
      <c r="E171" s="18">
        <v>24570</v>
      </c>
      <c r="F171" s="18">
        <v>25410</v>
      </c>
      <c r="G171" s="18">
        <v>25870</v>
      </c>
      <c r="H171" s="18">
        <v>26760</v>
      </c>
      <c r="I171" s="18">
        <v>27380</v>
      </c>
      <c r="J171" s="18">
        <v>27590</v>
      </c>
      <c r="K171" s="18">
        <v>29150</v>
      </c>
      <c r="L171" s="18">
        <v>29730</v>
      </c>
      <c r="M171" s="18">
        <v>30730</v>
      </c>
      <c r="N171" s="18">
        <v>31810</v>
      </c>
      <c r="O171" s="18">
        <v>31970</v>
      </c>
      <c r="P171" s="18">
        <v>31770</v>
      </c>
      <c r="Q171" s="18">
        <v>30940</v>
      </c>
      <c r="R171" s="18">
        <v>30350</v>
      </c>
      <c r="S171" s="18">
        <v>30240</v>
      </c>
      <c r="T171" s="18">
        <v>30790</v>
      </c>
      <c r="U171" s="18">
        <v>31490</v>
      </c>
      <c r="V171" s="18">
        <v>31500</v>
      </c>
      <c r="W171" s="18">
        <v>32660</v>
      </c>
      <c r="X171" s="18">
        <v>32450</v>
      </c>
      <c r="Y171" s="18">
        <v>31640</v>
      </c>
      <c r="Z171" s="18">
        <v>30910</v>
      </c>
      <c r="AA171" s="18">
        <v>29970</v>
      </c>
      <c r="AB171" s="18">
        <v>29870</v>
      </c>
      <c r="AC171" s="18">
        <v>30310</v>
      </c>
      <c r="AD171" s="18">
        <v>30100</v>
      </c>
      <c r="AE171" s="18">
        <v>31480</v>
      </c>
      <c r="AF171" s="18">
        <v>32650</v>
      </c>
      <c r="AG171" s="18">
        <v>33670</v>
      </c>
      <c r="AH171" s="18">
        <v>34650</v>
      </c>
      <c r="AI171" s="18">
        <v>36090</v>
      </c>
      <c r="AJ171" s="18">
        <v>37130</v>
      </c>
      <c r="AK171" s="18">
        <v>37770</v>
      </c>
    </row>
    <row r="172" spans="1:37" x14ac:dyDescent="0.25">
      <c r="A172" s="12">
        <f>$A$72</f>
        <v>57</v>
      </c>
      <c r="B172" s="18">
        <v>23830</v>
      </c>
      <c r="C172" s="18">
        <v>24030</v>
      </c>
      <c r="D172" s="18">
        <v>23970</v>
      </c>
      <c r="E172" s="18">
        <v>24310</v>
      </c>
      <c r="F172" s="18">
        <v>24480</v>
      </c>
      <c r="G172" s="18">
        <v>25290</v>
      </c>
      <c r="H172" s="18">
        <v>25730</v>
      </c>
      <c r="I172" s="18">
        <v>26620</v>
      </c>
      <c r="J172" s="18">
        <v>27330</v>
      </c>
      <c r="K172" s="18">
        <v>27690</v>
      </c>
      <c r="L172" s="18">
        <v>29250</v>
      </c>
      <c r="M172" s="18">
        <v>29850</v>
      </c>
      <c r="N172" s="18">
        <v>30770</v>
      </c>
      <c r="O172" s="18">
        <v>31640</v>
      </c>
      <c r="P172" s="18">
        <v>32040</v>
      </c>
      <c r="Q172" s="18">
        <v>31570</v>
      </c>
      <c r="R172" s="18">
        <v>30630</v>
      </c>
      <c r="S172" s="18">
        <v>30150</v>
      </c>
      <c r="T172" s="18">
        <v>30020</v>
      </c>
      <c r="U172" s="18">
        <v>30660</v>
      </c>
      <c r="V172" s="18">
        <v>31370</v>
      </c>
      <c r="W172" s="18">
        <v>31390</v>
      </c>
      <c r="X172" s="18">
        <v>32550</v>
      </c>
      <c r="Y172" s="18">
        <v>32340</v>
      </c>
      <c r="Z172" s="18">
        <v>31540</v>
      </c>
      <c r="AA172" s="18">
        <v>30830</v>
      </c>
      <c r="AB172" s="18">
        <v>29890</v>
      </c>
      <c r="AC172" s="18">
        <v>29800</v>
      </c>
      <c r="AD172" s="18">
        <v>30230</v>
      </c>
      <c r="AE172" s="18">
        <v>30030</v>
      </c>
      <c r="AF172" s="18">
        <v>31410</v>
      </c>
      <c r="AG172" s="18">
        <v>32570</v>
      </c>
      <c r="AH172" s="18">
        <v>33590</v>
      </c>
      <c r="AI172" s="18">
        <v>34570</v>
      </c>
      <c r="AJ172" s="18">
        <v>36020</v>
      </c>
      <c r="AK172" s="18">
        <v>37060</v>
      </c>
    </row>
    <row r="173" spans="1:37" x14ac:dyDescent="0.25">
      <c r="A173" s="12">
        <f>$A$73</f>
        <v>58</v>
      </c>
      <c r="B173" s="18">
        <v>23890</v>
      </c>
      <c r="C173" s="18">
        <v>23710</v>
      </c>
      <c r="D173" s="18">
        <v>23900</v>
      </c>
      <c r="E173" s="18">
        <v>23870</v>
      </c>
      <c r="F173" s="18">
        <v>24240</v>
      </c>
      <c r="G173" s="18">
        <v>24350</v>
      </c>
      <c r="H173" s="18">
        <v>25160</v>
      </c>
      <c r="I173" s="18">
        <v>25610</v>
      </c>
      <c r="J173" s="18">
        <v>26590</v>
      </c>
      <c r="K173" s="18">
        <v>27240</v>
      </c>
      <c r="L173" s="18">
        <v>27750</v>
      </c>
      <c r="M173" s="18">
        <v>29280</v>
      </c>
      <c r="N173" s="18">
        <v>29880</v>
      </c>
      <c r="O173" s="18">
        <v>30660</v>
      </c>
      <c r="P173" s="18">
        <v>31700</v>
      </c>
      <c r="Q173" s="18">
        <v>31840</v>
      </c>
      <c r="R173" s="18">
        <v>31250</v>
      </c>
      <c r="S173" s="18">
        <v>30370</v>
      </c>
      <c r="T173" s="18">
        <v>29900</v>
      </c>
      <c r="U173" s="18">
        <v>29890</v>
      </c>
      <c r="V173" s="18">
        <v>30540</v>
      </c>
      <c r="W173" s="18">
        <v>31260</v>
      </c>
      <c r="X173" s="18">
        <v>31290</v>
      </c>
      <c r="Y173" s="18">
        <v>32450</v>
      </c>
      <c r="Z173" s="18">
        <v>32250</v>
      </c>
      <c r="AA173" s="18">
        <v>31460</v>
      </c>
      <c r="AB173" s="18">
        <v>30750</v>
      </c>
      <c r="AC173" s="18">
        <v>29820</v>
      </c>
      <c r="AD173" s="18">
        <v>29730</v>
      </c>
      <c r="AE173" s="18">
        <v>30160</v>
      </c>
      <c r="AF173" s="18">
        <v>29970</v>
      </c>
      <c r="AG173" s="18">
        <v>31350</v>
      </c>
      <c r="AH173" s="18">
        <v>32510</v>
      </c>
      <c r="AI173" s="18">
        <v>33530</v>
      </c>
      <c r="AJ173" s="18">
        <v>34500</v>
      </c>
      <c r="AK173" s="18">
        <v>35950</v>
      </c>
    </row>
    <row r="174" spans="1:37" x14ac:dyDescent="0.25">
      <c r="A174" s="12">
        <f>$A$74</f>
        <v>59</v>
      </c>
      <c r="B174" s="18">
        <v>24020</v>
      </c>
      <c r="C174" s="18">
        <v>23810</v>
      </c>
      <c r="D174" s="18">
        <v>23610</v>
      </c>
      <c r="E174" s="18">
        <v>23740</v>
      </c>
      <c r="F174" s="18">
        <v>23780</v>
      </c>
      <c r="G174" s="18">
        <v>24060</v>
      </c>
      <c r="H174" s="18">
        <v>24210</v>
      </c>
      <c r="I174" s="18">
        <v>25030</v>
      </c>
      <c r="J174" s="18">
        <v>25570</v>
      </c>
      <c r="K174" s="18">
        <v>26540</v>
      </c>
      <c r="L174" s="18">
        <v>27260</v>
      </c>
      <c r="M174" s="18">
        <v>27800</v>
      </c>
      <c r="N174" s="18">
        <v>29260</v>
      </c>
      <c r="O174" s="18">
        <v>29720</v>
      </c>
      <c r="P174" s="18">
        <v>30710</v>
      </c>
      <c r="Q174" s="18">
        <v>31470</v>
      </c>
      <c r="R174" s="18">
        <v>31510</v>
      </c>
      <c r="S174" s="18">
        <v>30970</v>
      </c>
      <c r="T174" s="18">
        <v>30130</v>
      </c>
      <c r="U174" s="18">
        <v>29780</v>
      </c>
      <c r="V174" s="18">
        <v>29780</v>
      </c>
      <c r="W174" s="18">
        <v>30440</v>
      </c>
      <c r="X174" s="18">
        <v>31160</v>
      </c>
      <c r="Y174" s="18">
        <v>31200</v>
      </c>
      <c r="Z174" s="18">
        <v>32360</v>
      </c>
      <c r="AA174" s="18">
        <v>32160</v>
      </c>
      <c r="AB174" s="18">
        <v>31380</v>
      </c>
      <c r="AC174" s="18">
        <v>30670</v>
      </c>
      <c r="AD174" s="18">
        <v>29760</v>
      </c>
      <c r="AE174" s="18">
        <v>29670</v>
      </c>
      <c r="AF174" s="18">
        <v>30110</v>
      </c>
      <c r="AG174" s="18">
        <v>29920</v>
      </c>
      <c r="AH174" s="18">
        <v>31290</v>
      </c>
      <c r="AI174" s="18">
        <v>32450</v>
      </c>
      <c r="AJ174" s="18">
        <v>33470</v>
      </c>
      <c r="AK174" s="18">
        <v>34450</v>
      </c>
    </row>
    <row r="175" spans="1:37" x14ac:dyDescent="0.25">
      <c r="A175" s="12">
        <f>$A$75</f>
        <v>60</v>
      </c>
      <c r="B175" s="18">
        <v>20160</v>
      </c>
      <c r="C175" s="18">
        <v>23860</v>
      </c>
      <c r="D175" s="18">
        <v>23690</v>
      </c>
      <c r="E175" s="18">
        <v>23510</v>
      </c>
      <c r="F175" s="18">
        <v>23680</v>
      </c>
      <c r="G175" s="18">
        <v>23700</v>
      </c>
      <c r="H175" s="18">
        <v>23950</v>
      </c>
      <c r="I175" s="18">
        <v>24120</v>
      </c>
      <c r="J175" s="18">
        <v>24970</v>
      </c>
      <c r="K175" s="18">
        <v>25620</v>
      </c>
      <c r="L175" s="18">
        <v>26540</v>
      </c>
      <c r="M175" s="18">
        <v>27210</v>
      </c>
      <c r="N175" s="18">
        <v>27840</v>
      </c>
      <c r="O175" s="18">
        <v>29140</v>
      </c>
      <c r="P175" s="18">
        <v>29740</v>
      </c>
      <c r="Q175" s="18">
        <v>30510</v>
      </c>
      <c r="R175" s="18">
        <v>31170</v>
      </c>
      <c r="S175" s="18">
        <v>31200</v>
      </c>
      <c r="T175" s="18">
        <v>30730</v>
      </c>
      <c r="U175" s="18">
        <v>30000</v>
      </c>
      <c r="V175" s="18">
        <v>29660</v>
      </c>
      <c r="W175" s="18">
        <v>29680</v>
      </c>
      <c r="X175" s="18">
        <v>30340</v>
      </c>
      <c r="Y175" s="18">
        <v>31070</v>
      </c>
      <c r="Z175" s="18">
        <v>31110</v>
      </c>
      <c r="AA175" s="18">
        <v>32270</v>
      </c>
      <c r="AB175" s="18">
        <v>32080</v>
      </c>
      <c r="AC175" s="18">
        <v>31300</v>
      </c>
      <c r="AD175" s="18">
        <v>30600</v>
      </c>
      <c r="AE175" s="18">
        <v>29690</v>
      </c>
      <c r="AF175" s="18">
        <v>29610</v>
      </c>
      <c r="AG175" s="18">
        <v>30050</v>
      </c>
      <c r="AH175" s="18">
        <v>29860</v>
      </c>
      <c r="AI175" s="18">
        <v>31240</v>
      </c>
      <c r="AJ175" s="18">
        <v>32390</v>
      </c>
      <c r="AK175" s="18">
        <v>33410</v>
      </c>
    </row>
    <row r="176" spans="1:37" x14ac:dyDescent="0.25">
      <c r="A176" s="12">
        <f>$A$76</f>
        <v>61</v>
      </c>
      <c r="B176" s="18">
        <v>19140</v>
      </c>
      <c r="C176" s="18">
        <v>20030</v>
      </c>
      <c r="D176" s="18">
        <v>23700</v>
      </c>
      <c r="E176" s="18">
        <v>23550</v>
      </c>
      <c r="F176" s="18">
        <v>23420</v>
      </c>
      <c r="G176" s="18">
        <v>23540</v>
      </c>
      <c r="H176" s="18">
        <v>23580</v>
      </c>
      <c r="I176" s="18">
        <v>23850</v>
      </c>
      <c r="J176" s="18">
        <v>24110</v>
      </c>
      <c r="K176" s="18">
        <v>24960</v>
      </c>
      <c r="L176" s="18">
        <v>25640</v>
      </c>
      <c r="M176" s="18">
        <v>26510</v>
      </c>
      <c r="N176" s="18">
        <v>27110</v>
      </c>
      <c r="O176" s="18">
        <v>27720</v>
      </c>
      <c r="P176" s="18">
        <v>29200</v>
      </c>
      <c r="Q176" s="18">
        <v>29490</v>
      </c>
      <c r="R176" s="18">
        <v>30290</v>
      </c>
      <c r="S176" s="18">
        <v>30880</v>
      </c>
      <c r="T176" s="18">
        <v>30950</v>
      </c>
      <c r="U176" s="18">
        <v>30590</v>
      </c>
      <c r="V176" s="18">
        <v>29880</v>
      </c>
      <c r="W176" s="18">
        <v>29560</v>
      </c>
      <c r="X176" s="18">
        <v>29580</v>
      </c>
      <c r="Y176" s="18">
        <v>30240</v>
      </c>
      <c r="Z176" s="18">
        <v>30970</v>
      </c>
      <c r="AA176" s="18">
        <v>31020</v>
      </c>
      <c r="AB176" s="18">
        <v>32180</v>
      </c>
      <c r="AC176" s="18">
        <v>31990</v>
      </c>
      <c r="AD176" s="18">
        <v>31230</v>
      </c>
      <c r="AE176" s="18">
        <v>30540</v>
      </c>
      <c r="AF176" s="18">
        <v>29640</v>
      </c>
      <c r="AG176" s="18">
        <v>29560</v>
      </c>
      <c r="AH176" s="18">
        <v>30000</v>
      </c>
      <c r="AI176" s="18">
        <v>29820</v>
      </c>
      <c r="AJ176" s="18">
        <v>31180</v>
      </c>
      <c r="AK176" s="18">
        <v>32340</v>
      </c>
    </row>
    <row r="177" spans="1:37" x14ac:dyDescent="0.25">
      <c r="A177" s="12">
        <f>$A$77</f>
        <v>62</v>
      </c>
      <c r="B177" s="18">
        <v>18400</v>
      </c>
      <c r="C177" s="18">
        <v>19020</v>
      </c>
      <c r="D177" s="18">
        <v>19890</v>
      </c>
      <c r="E177" s="18">
        <v>23560</v>
      </c>
      <c r="F177" s="18">
        <v>23450</v>
      </c>
      <c r="G177" s="18">
        <v>23330</v>
      </c>
      <c r="H177" s="18">
        <v>23410</v>
      </c>
      <c r="I177" s="18">
        <v>23520</v>
      </c>
      <c r="J177" s="18">
        <v>23840</v>
      </c>
      <c r="K177" s="18">
        <v>24130</v>
      </c>
      <c r="L177" s="18">
        <v>24930</v>
      </c>
      <c r="M177" s="18">
        <v>25610</v>
      </c>
      <c r="N177" s="18">
        <v>26400</v>
      </c>
      <c r="O177" s="18">
        <v>27010</v>
      </c>
      <c r="P177" s="18">
        <v>27840</v>
      </c>
      <c r="Q177" s="18">
        <v>28820</v>
      </c>
      <c r="R177" s="18">
        <v>29080</v>
      </c>
      <c r="S177" s="18">
        <v>30090</v>
      </c>
      <c r="T177" s="18">
        <v>30610</v>
      </c>
      <c r="U177" s="18">
        <v>30800</v>
      </c>
      <c r="V177" s="18">
        <v>30460</v>
      </c>
      <c r="W177" s="18">
        <v>29770</v>
      </c>
      <c r="X177" s="18">
        <v>29450</v>
      </c>
      <c r="Y177" s="18">
        <v>29480</v>
      </c>
      <c r="Z177" s="18">
        <v>30150</v>
      </c>
      <c r="AA177" s="18">
        <v>30880</v>
      </c>
      <c r="AB177" s="18">
        <v>30930</v>
      </c>
      <c r="AC177" s="18">
        <v>32090</v>
      </c>
      <c r="AD177" s="18">
        <v>31910</v>
      </c>
      <c r="AE177" s="18">
        <v>31150</v>
      </c>
      <c r="AF177" s="18">
        <v>30470</v>
      </c>
      <c r="AG177" s="18">
        <v>29580</v>
      </c>
      <c r="AH177" s="18">
        <v>29500</v>
      </c>
      <c r="AI177" s="18">
        <v>29940</v>
      </c>
      <c r="AJ177" s="18">
        <v>29770</v>
      </c>
      <c r="AK177" s="18">
        <v>31130</v>
      </c>
    </row>
    <row r="178" spans="1:37" x14ac:dyDescent="0.25">
      <c r="A178" s="12">
        <f>$A$78</f>
        <v>63</v>
      </c>
      <c r="B178" s="18">
        <v>16270</v>
      </c>
      <c r="C178" s="18">
        <v>18230</v>
      </c>
      <c r="D178" s="18">
        <v>18890</v>
      </c>
      <c r="E178" s="18">
        <v>19760</v>
      </c>
      <c r="F178" s="18">
        <v>23410</v>
      </c>
      <c r="G178" s="18">
        <v>23320</v>
      </c>
      <c r="H178" s="18">
        <v>23240</v>
      </c>
      <c r="I178" s="18">
        <v>23270</v>
      </c>
      <c r="J178" s="18">
        <v>23440</v>
      </c>
      <c r="K178" s="18">
        <v>23800</v>
      </c>
      <c r="L178" s="18">
        <v>24090</v>
      </c>
      <c r="M178" s="18">
        <v>24890</v>
      </c>
      <c r="N178" s="18">
        <v>25430</v>
      </c>
      <c r="O178" s="18">
        <v>26250</v>
      </c>
      <c r="P178" s="18">
        <v>27090</v>
      </c>
      <c r="Q178" s="18">
        <v>27570</v>
      </c>
      <c r="R178" s="18">
        <v>28500</v>
      </c>
      <c r="S178" s="18">
        <v>28780</v>
      </c>
      <c r="T178" s="18">
        <v>29840</v>
      </c>
      <c r="U178" s="18">
        <v>30450</v>
      </c>
      <c r="V178" s="18">
        <v>30660</v>
      </c>
      <c r="W178" s="18">
        <v>30330</v>
      </c>
      <c r="X178" s="18">
        <v>29650</v>
      </c>
      <c r="Y178" s="18">
        <v>29340</v>
      </c>
      <c r="Z178" s="18">
        <v>29380</v>
      </c>
      <c r="AA178" s="18">
        <v>30050</v>
      </c>
      <c r="AB178" s="18">
        <v>30780</v>
      </c>
      <c r="AC178" s="18">
        <v>30840</v>
      </c>
      <c r="AD178" s="18">
        <v>31990</v>
      </c>
      <c r="AE178" s="18">
        <v>31820</v>
      </c>
      <c r="AF178" s="18">
        <v>31070</v>
      </c>
      <c r="AG178" s="18">
        <v>30390</v>
      </c>
      <c r="AH178" s="18">
        <v>29510</v>
      </c>
      <c r="AI178" s="18">
        <v>29440</v>
      </c>
      <c r="AJ178" s="18">
        <v>29880</v>
      </c>
      <c r="AK178" s="18">
        <v>29710</v>
      </c>
    </row>
    <row r="179" spans="1:37" x14ac:dyDescent="0.25">
      <c r="A179" s="12">
        <f>$A$79</f>
        <v>64</v>
      </c>
      <c r="B179" s="18">
        <v>17930</v>
      </c>
      <c r="C179" s="18">
        <v>16110</v>
      </c>
      <c r="D179" s="18">
        <v>18080</v>
      </c>
      <c r="E179" s="18">
        <v>18740</v>
      </c>
      <c r="F179" s="18">
        <v>19670</v>
      </c>
      <c r="G179" s="18">
        <v>23280</v>
      </c>
      <c r="H179" s="18">
        <v>23190</v>
      </c>
      <c r="I179" s="18">
        <v>23140</v>
      </c>
      <c r="J179" s="18">
        <v>23170</v>
      </c>
      <c r="K179" s="18">
        <v>23360</v>
      </c>
      <c r="L179" s="18">
        <v>23780</v>
      </c>
      <c r="M179" s="18">
        <v>24050</v>
      </c>
      <c r="N179" s="18">
        <v>24810</v>
      </c>
      <c r="O179" s="18">
        <v>25410</v>
      </c>
      <c r="P179" s="18">
        <v>26340</v>
      </c>
      <c r="Q179" s="18">
        <v>26810</v>
      </c>
      <c r="R179" s="18">
        <v>27210</v>
      </c>
      <c r="S179" s="18">
        <v>28200</v>
      </c>
      <c r="T179" s="18">
        <v>28500</v>
      </c>
      <c r="U179" s="18">
        <v>29660</v>
      </c>
      <c r="V179" s="18">
        <v>30280</v>
      </c>
      <c r="W179" s="18">
        <v>30500</v>
      </c>
      <c r="X179" s="18">
        <v>30180</v>
      </c>
      <c r="Y179" s="18">
        <v>29520</v>
      </c>
      <c r="Z179" s="18">
        <v>29220</v>
      </c>
      <c r="AA179" s="18">
        <v>29260</v>
      </c>
      <c r="AB179" s="18">
        <v>29930</v>
      </c>
      <c r="AC179" s="18">
        <v>30670</v>
      </c>
      <c r="AD179" s="18">
        <v>30720</v>
      </c>
      <c r="AE179" s="18">
        <v>31880</v>
      </c>
      <c r="AF179" s="18">
        <v>31710</v>
      </c>
      <c r="AG179" s="18">
        <v>30970</v>
      </c>
      <c r="AH179" s="18">
        <v>30310</v>
      </c>
      <c r="AI179" s="18">
        <v>29430</v>
      </c>
      <c r="AJ179" s="18">
        <v>29370</v>
      </c>
      <c r="AK179" s="18">
        <v>29810</v>
      </c>
    </row>
    <row r="180" spans="1:37" x14ac:dyDescent="0.25">
      <c r="A180" s="12">
        <f>$A$80</f>
        <v>65</v>
      </c>
      <c r="B180" s="18">
        <v>17660</v>
      </c>
      <c r="C180" s="18">
        <v>17780</v>
      </c>
      <c r="D180" s="18">
        <v>15980</v>
      </c>
      <c r="E180" s="18">
        <v>17930</v>
      </c>
      <c r="F180" s="18">
        <v>18590</v>
      </c>
      <c r="G180" s="18">
        <v>19590</v>
      </c>
      <c r="H180" s="18">
        <v>23200</v>
      </c>
      <c r="I180" s="18">
        <v>23070</v>
      </c>
      <c r="J180" s="18">
        <v>23060</v>
      </c>
      <c r="K180" s="18">
        <v>23100</v>
      </c>
      <c r="L180" s="18">
        <v>23280</v>
      </c>
      <c r="M180" s="18">
        <v>23710</v>
      </c>
      <c r="N180" s="18">
        <v>24020</v>
      </c>
      <c r="O180" s="18">
        <v>24660</v>
      </c>
      <c r="P180" s="18">
        <v>25540</v>
      </c>
      <c r="Q180" s="18">
        <v>26000</v>
      </c>
      <c r="R180" s="18">
        <v>26450</v>
      </c>
      <c r="S180" s="18">
        <v>26960</v>
      </c>
      <c r="T180" s="18">
        <v>27950</v>
      </c>
      <c r="U180" s="18">
        <v>28310</v>
      </c>
      <c r="V180" s="18">
        <v>29480</v>
      </c>
      <c r="W180" s="18">
        <v>30110</v>
      </c>
      <c r="X180" s="18">
        <v>30330</v>
      </c>
      <c r="Y180" s="18">
        <v>30020</v>
      </c>
      <c r="Z180" s="18">
        <v>29370</v>
      </c>
      <c r="AA180" s="18">
        <v>29080</v>
      </c>
      <c r="AB180" s="18">
        <v>29130</v>
      </c>
      <c r="AC180" s="18">
        <v>29800</v>
      </c>
      <c r="AD180" s="18">
        <v>30530</v>
      </c>
      <c r="AE180" s="18">
        <v>30600</v>
      </c>
      <c r="AF180" s="18">
        <v>31750</v>
      </c>
      <c r="AG180" s="18">
        <v>31590</v>
      </c>
      <c r="AH180" s="18">
        <v>30860</v>
      </c>
      <c r="AI180" s="18">
        <v>30200</v>
      </c>
      <c r="AJ180" s="18">
        <v>29340</v>
      </c>
      <c r="AK180" s="18">
        <v>29270</v>
      </c>
    </row>
    <row r="181" spans="1:37" x14ac:dyDescent="0.25">
      <c r="A181" s="12">
        <f>$A$81</f>
        <v>66</v>
      </c>
      <c r="B181" s="18">
        <v>16280</v>
      </c>
      <c r="C181" s="18">
        <v>17430</v>
      </c>
      <c r="D181" s="18">
        <v>17580</v>
      </c>
      <c r="E181" s="18">
        <v>15830</v>
      </c>
      <c r="F181" s="18">
        <v>17790</v>
      </c>
      <c r="G181" s="18">
        <v>18420</v>
      </c>
      <c r="H181" s="18">
        <v>19390</v>
      </c>
      <c r="I181" s="18">
        <v>23050</v>
      </c>
      <c r="J181" s="18">
        <v>22850</v>
      </c>
      <c r="K181" s="18">
        <v>22840</v>
      </c>
      <c r="L181" s="18">
        <v>22960</v>
      </c>
      <c r="M181" s="18">
        <v>23100</v>
      </c>
      <c r="N181" s="18">
        <v>23520</v>
      </c>
      <c r="O181" s="18">
        <v>23790</v>
      </c>
      <c r="P181" s="18">
        <v>24690</v>
      </c>
      <c r="Q181" s="18">
        <v>25160</v>
      </c>
      <c r="R181" s="18">
        <v>25550</v>
      </c>
      <c r="S181" s="18">
        <v>26120</v>
      </c>
      <c r="T181" s="18">
        <v>26680</v>
      </c>
      <c r="U181" s="18">
        <v>27740</v>
      </c>
      <c r="V181" s="18">
        <v>28110</v>
      </c>
      <c r="W181" s="18">
        <v>29280</v>
      </c>
      <c r="X181" s="18">
        <v>29910</v>
      </c>
      <c r="Y181" s="18">
        <v>30140</v>
      </c>
      <c r="Z181" s="18">
        <v>29850</v>
      </c>
      <c r="AA181" s="18">
        <v>29200</v>
      </c>
      <c r="AB181" s="18">
        <v>28930</v>
      </c>
      <c r="AC181" s="18">
        <v>28980</v>
      </c>
      <c r="AD181" s="18">
        <v>29650</v>
      </c>
      <c r="AE181" s="18">
        <v>30380</v>
      </c>
      <c r="AF181" s="18">
        <v>30450</v>
      </c>
      <c r="AG181" s="18">
        <v>31600</v>
      </c>
      <c r="AH181" s="18">
        <v>31450</v>
      </c>
      <c r="AI181" s="18">
        <v>30720</v>
      </c>
      <c r="AJ181" s="18">
        <v>30080</v>
      </c>
      <c r="AK181" s="18">
        <v>29220</v>
      </c>
    </row>
    <row r="182" spans="1:37" x14ac:dyDescent="0.25">
      <c r="A182" s="12">
        <f>$A$82</f>
        <v>67</v>
      </c>
      <c r="B182" s="18">
        <v>14490</v>
      </c>
      <c r="C182" s="18">
        <v>16080</v>
      </c>
      <c r="D182" s="18">
        <v>17200</v>
      </c>
      <c r="E182" s="18">
        <v>17370</v>
      </c>
      <c r="F182" s="18">
        <v>15630</v>
      </c>
      <c r="G182" s="18">
        <v>17630</v>
      </c>
      <c r="H182" s="18">
        <v>18190</v>
      </c>
      <c r="I182" s="18">
        <v>19250</v>
      </c>
      <c r="J182" s="18">
        <v>22790</v>
      </c>
      <c r="K182" s="18">
        <v>22630</v>
      </c>
      <c r="L182" s="18">
        <v>22650</v>
      </c>
      <c r="M182" s="18">
        <v>22790</v>
      </c>
      <c r="N182" s="18">
        <v>22870</v>
      </c>
      <c r="O182" s="18">
        <v>23280</v>
      </c>
      <c r="P182" s="18">
        <v>23690</v>
      </c>
      <c r="Q182" s="18">
        <v>24320</v>
      </c>
      <c r="R182" s="18">
        <v>24630</v>
      </c>
      <c r="S182" s="18">
        <v>25230</v>
      </c>
      <c r="T182" s="18">
        <v>25770</v>
      </c>
      <c r="U182" s="18">
        <v>26450</v>
      </c>
      <c r="V182" s="18">
        <v>27520</v>
      </c>
      <c r="W182" s="18">
        <v>27890</v>
      </c>
      <c r="X182" s="18">
        <v>29060</v>
      </c>
      <c r="Y182" s="18">
        <v>29690</v>
      </c>
      <c r="Z182" s="18">
        <v>29930</v>
      </c>
      <c r="AA182" s="18">
        <v>29640</v>
      </c>
      <c r="AB182" s="18">
        <v>29010</v>
      </c>
      <c r="AC182" s="18">
        <v>28740</v>
      </c>
      <c r="AD182" s="18">
        <v>28800</v>
      </c>
      <c r="AE182" s="18">
        <v>29470</v>
      </c>
      <c r="AF182" s="18">
        <v>30200</v>
      </c>
      <c r="AG182" s="18">
        <v>30280</v>
      </c>
      <c r="AH182" s="18">
        <v>31420</v>
      </c>
      <c r="AI182" s="18">
        <v>31270</v>
      </c>
      <c r="AJ182" s="18">
        <v>30570</v>
      </c>
      <c r="AK182" s="18">
        <v>29930</v>
      </c>
    </row>
    <row r="183" spans="1:37" x14ac:dyDescent="0.25">
      <c r="A183" s="12">
        <f>$A$83</f>
        <v>68</v>
      </c>
      <c r="B183" s="18">
        <v>13990</v>
      </c>
      <c r="C183" s="18">
        <v>14260</v>
      </c>
      <c r="D183" s="18">
        <v>15840</v>
      </c>
      <c r="E183" s="18">
        <v>16980</v>
      </c>
      <c r="F183" s="18">
        <v>17180</v>
      </c>
      <c r="G183" s="18">
        <v>15460</v>
      </c>
      <c r="H183" s="18">
        <v>17420</v>
      </c>
      <c r="I183" s="18">
        <v>18010</v>
      </c>
      <c r="J183" s="18">
        <v>19040</v>
      </c>
      <c r="K183" s="18">
        <v>22450</v>
      </c>
      <c r="L183" s="18">
        <v>22440</v>
      </c>
      <c r="M183" s="18">
        <v>22410</v>
      </c>
      <c r="N183" s="18">
        <v>22540</v>
      </c>
      <c r="O183" s="18">
        <v>22590</v>
      </c>
      <c r="P183" s="18">
        <v>23180</v>
      </c>
      <c r="Q183" s="18">
        <v>23260</v>
      </c>
      <c r="R183" s="18">
        <v>23900</v>
      </c>
      <c r="S183" s="18">
        <v>24330</v>
      </c>
      <c r="T183" s="18">
        <v>24920</v>
      </c>
      <c r="U183" s="18">
        <v>25520</v>
      </c>
      <c r="V183" s="18">
        <v>26200</v>
      </c>
      <c r="W183" s="18">
        <v>27260</v>
      </c>
      <c r="X183" s="18">
        <v>27640</v>
      </c>
      <c r="Y183" s="18">
        <v>28800</v>
      </c>
      <c r="Z183" s="18">
        <v>29440</v>
      </c>
      <c r="AA183" s="18">
        <v>29680</v>
      </c>
      <c r="AB183" s="18">
        <v>29410</v>
      </c>
      <c r="AC183" s="18">
        <v>28790</v>
      </c>
      <c r="AD183" s="18">
        <v>28530</v>
      </c>
      <c r="AE183" s="18">
        <v>28590</v>
      </c>
      <c r="AF183" s="18">
        <v>29260</v>
      </c>
      <c r="AG183" s="18">
        <v>29990</v>
      </c>
      <c r="AH183" s="18">
        <v>30070</v>
      </c>
      <c r="AI183" s="18">
        <v>31220</v>
      </c>
      <c r="AJ183" s="18">
        <v>31070</v>
      </c>
      <c r="AK183" s="18">
        <v>30380</v>
      </c>
    </row>
    <row r="184" spans="1:37" x14ac:dyDescent="0.25">
      <c r="A184" s="12">
        <f>$A$84</f>
        <v>69</v>
      </c>
      <c r="B184" s="18">
        <v>13200</v>
      </c>
      <c r="C184" s="18">
        <v>13760</v>
      </c>
      <c r="D184" s="18">
        <v>14020</v>
      </c>
      <c r="E184" s="18">
        <v>15590</v>
      </c>
      <c r="F184" s="18">
        <v>16690</v>
      </c>
      <c r="G184" s="18">
        <v>16960</v>
      </c>
      <c r="H184" s="18">
        <v>15240</v>
      </c>
      <c r="I184" s="18">
        <v>17190</v>
      </c>
      <c r="J184" s="18">
        <v>17730</v>
      </c>
      <c r="K184" s="18">
        <v>18770</v>
      </c>
      <c r="L184" s="18">
        <v>22160</v>
      </c>
      <c r="M184" s="18">
        <v>22100</v>
      </c>
      <c r="N184" s="18">
        <v>22140</v>
      </c>
      <c r="O184" s="18">
        <v>22240</v>
      </c>
      <c r="P184" s="18">
        <v>22510</v>
      </c>
      <c r="Q184" s="18">
        <v>22710</v>
      </c>
      <c r="R184" s="18">
        <v>22730</v>
      </c>
      <c r="S184" s="18">
        <v>23480</v>
      </c>
      <c r="T184" s="18">
        <v>23950</v>
      </c>
      <c r="U184" s="18">
        <v>24640</v>
      </c>
      <c r="V184" s="18">
        <v>25240</v>
      </c>
      <c r="W184" s="18">
        <v>25930</v>
      </c>
      <c r="X184" s="18">
        <v>26980</v>
      </c>
      <c r="Y184" s="18">
        <v>27370</v>
      </c>
      <c r="Z184" s="18">
        <v>28520</v>
      </c>
      <c r="AA184" s="18">
        <v>29160</v>
      </c>
      <c r="AB184" s="18">
        <v>29410</v>
      </c>
      <c r="AC184" s="18">
        <v>29140</v>
      </c>
      <c r="AD184" s="18">
        <v>28540</v>
      </c>
      <c r="AE184" s="18">
        <v>28290</v>
      </c>
      <c r="AF184" s="18">
        <v>28360</v>
      </c>
      <c r="AG184" s="18">
        <v>29030</v>
      </c>
      <c r="AH184" s="18">
        <v>29760</v>
      </c>
      <c r="AI184" s="18">
        <v>29840</v>
      </c>
      <c r="AJ184" s="18">
        <v>30980</v>
      </c>
      <c r="AK184" s="18">
        <v>30850</v>
      </c>
    </row>
    <row r="185" spans="1:37" x14ac:dyDescent="0.25">
      <c r="A185" s="12">
        <f>$A$85</f>
        <v>70</v>
      </c>
      <c r="B185" s="18">
        <v>12400</v>
      </c>
      <c r="C185" s="18">
        <v>12920</v>
      </c>
      <c r="D185" s="18">
        <v>13480</v>
      </c>
      <c r="E185" s="18">
        <v>13750</v>
      </c>
      <c r="F185" s="18">
        <v>15340</v>
      </c>
      <c r="G185" s="18">
        <v>16390</v>
      </c>
      <c r="H185" s="18">
        <v>16680</v>
      </c>
      <c r="I185" s="18">
        <v>14990</v>
      </c>
      <c r="J185" s="18">
        <v>16930</v>
      </c>
      <c r="K185" s="18">
        <v>17460</v>
      </c>
      <c r="L185" s="18">
        <v>18500</v>
      </c>
      <c r="M185" s="18">
        <v>21800</v>
      </c>
      <c r="N185" s="18">
        <v>21730</v>
      </c>
      <c r="O185" s="18">
        <v>21730</v>
      </c>
      <c r="P185" s="18">
        <v>22090</v>
      </c>
      <c r="Q185" s="18">
        <v>22020</v>
      </c>
      <c r="R185" s="18">
        <v>22210</v>
      </c>
      <c r="S185" s="18">
        <v>22350</v>
      </c>
      <c r="T185" s="18">
        <v>23130</v>
      </c>
      <c r="U185" s="18">
        <v>23640</v>
      </c>
      <c r="V185" s="18">
        <v>24330</v>
      </c>
      <c r="W185" s="18">
        <v>24940</v>
      </c>
      <c r="X185" s="18">
        <v>25630</v>
      </c>
      <c r="Y185" s="18">
        <v>26680</v>
      </c>
      <c r="Z185" s="18">
        <v>27060</v>
      </c>
      <c r="AA185" s="18">
        <v>28210</v>
      </c>
      <c r="AB185" s="18">
        <v>28850</v>
      </c>
      <c r="AC185" s="18">
        <v>29100</v>
      </c>
      <c r="AD185" s="18">
        <v>28850</v>
      </c>
      <c r="AE185" s="18">
        <v>28260</v>
      </c>
      <c r="AF185" s="18">
        <v>28010</v>
      </c>
      <c r="AG185" s="18">
        <v>28090</v>
      </c>
      <c r="AH185" s="18">
        <v>28760</v>
      </c>
      <c r="AI185" s="18">
        <v>29490</v>
      </c>
      <c r="AJ185" s="18">
        <v>29580</v>
      </c>
      <c r="AK185" s="18">
        <v>30710</v>
      </c>
    </row>
    <row r="186" spans="1:37" x14ac:dyDescent="0.25">
      <c r="A186" s="12">
        <f>$A$86</f>
        <v>71</v>
      </c>
      <c r="B186" s="18">
        <v>11940</v>
      </c>
      <c r="C186" s="18">
        <v>12080</v>
      </c>
      <c r="D186" s="18">
        <v>12600</v>
      </c>
      <c r="E186" s="18">
        <v>13170</v>
      </c>
      <c r="F186" s="18">
        <v>13490</v>
      </c>
      <c r="G186" s="18">
        <v>15030</v>
      </c>
      <c r="H186" s="18">
        <v>16060</v>
      </c>
      <c r="I186" s="18">
        <v>16410</v>
      </c>
      <c r="J186" s="18">
        <v>14720</v>
      </c>
      <c r="K186" s="18">
        <v>16580</v>
      </c>
      <c r="L186" s="18">
        <v>17190</v>
      </c>
      <c r="M186" s="18">
        <v>18220</v>
      </c>
      <c r="N186" s="18">
        <v>21400</v>
      </c>
      <c r="O186" s="18">
        <v>21370</v>
      </c>
      <c r="P186" s="18">
        <v>21450</v>
      </c>
      <c r="Q186" s="18">
        <v>21630</v>
      </c>
      <c r="R186" s="18">
        <v>21490</v>
      </c>
      <c r="S186" s="18">
        <v>21700</v>
      </c>
      <c r="T186" s="18">
        <v>21970</v>
      </c>
      <c r="U186" s="18">
        <v>22780</v>
      </c>
      <c r="V186" s="18">
        <v>23300</v>
      </c>
      <c r="W186" s="18">
        <v>23990</v>
      </c>
      <c r="X186" s="18">
        <v>24600</v>
      </c>
      <c r="Y186" s="18">
        <v>25290</v>
      </c>
      <c r="Z186" s="18">
        <v>26330</v>
      </c>
      <c r="AA186" s="18">
        <v>26720</v>
      </c>
      <c r="AB186" s="18">
        <v>27860</v>
      </c>
      <c r="AC186" s="18">
        <v>28500</v>
      </c>
      <c r="AD186" s="18">
        <v>28760</v>
      </c>
      <c r="AE186" s="18">
        <v>28510</v>
      </c>
      <c r="AF186" s="18">
        <v>27940</v>
      </c>
      <c r="AG186" s="18">
        <v>27700</v>
      </c>
      <c r="AH186" s="18">
        <v>27790</v>
      </c>
      <c r="AI186" s="18">
        <v>28460</v>
      </c>
      <c r="AJ186" s="18">
        <v>29190</v>
      </c>
      <c r="AK186" s="18">
        <v>29280</v>
      </c>
    </row>
    <row r="187" spans="1:37" x14ac:dyDescent="0.25">
      <c r="A187" s="12">
        <f>$A$87</f>
        <v>72</v>
      </c>
      <c r="B187" s="18">
        <v>11370</v>
      </c>
      <c r="C187" s="18">
        <v>11660</v>
      </c>
      <c r="D187" s="18">
        <v>11800</v>
      </c>
      <c r="E187" s="18">
        <v>12290</v>
      </c>
      <c r="F187" s="18">
        <v>12880</v>
      </c>
      <c r="G187" s="18">
        <v>13170</v>
      </c>
      <c r="H187" s="18">
        <v>14710</v>
      </c>
      <c r="I187" s="18">
        <v>15750</v>
      </c>
      <c r="J187" s="18">
        <v>16070</v>
      </c>
      <c r="K187" s="18">
        <v>14420</v>
      </c>
      <c r="L187" s="18">
        <v>16260</v>
      </c>
      <c r="M187" s="18">
        <v>16840</v>
      </c>
      <c r="N187" s="18">
        <v>17870</v>
      </c>
      <c r="O187" s="18">
        <v>20970</v>
      </c>
      <c r="P187" s="18">
        <v>21130</v>
      </c>
      <c r="Q187" s="18">
        <v>20890</v>
      </c>
      <c r="R187" s="18">
        <v>21040</v>
      </c>
      <c r="S187" s="18">
        <v>21050</v>
      </c>
      <c r="T187" s="18">
        <v>21260</v>
      </c>
      <c r="U187" s="18">
        <v>21610</v>
      </c>
      <c r="V187" s="18">
        <v>22420</v>
      </c>
      <c r="W187" s="18">
        <v>22940</v>
      </c>
      <c r="X187" s="18">
        <v>23630</v>
      </c>
      <c r="Y187" s="18">
        <v>24230</v>
      </c>
      <c r="Z187" s="18">
        <v>24920</v>
      </c>
      <c r="AA187" s="18">
        <v>25950</v>
      </c>
      <c r="AB187" s="18">
        <v>26350</v>
      </c>
      <c r="AC187" s="18">
        <v>27480</v>
      </c>
      <c r="AD187" s="18">
        <v>28120</v>
      </c>
      <c r="AE187" s="18">
        <v>28380</v>
      </c>
      <c r="AF187" s="18">
        <v>28150</v>
      </c>
      <c r="AG187" s="18">
        <v>27590</v>
      </c>
      <c r="AH187" s="18">
        <v>27370</v>
      </c>
      <c r="AI187" s="18">
        <v>27460</v>
      </c>
      <c r="AJ187" s="18">
        <v>28120</v>
      </c>
      <c r="AK187" s="18">
        <v>28850</v>
      </c>
    </row>
    <row r="188" spans="1:37" x14ac:dyDescent="0.25">
      <c r="A188" s="12">
        <f>$A$88</f>
        <v>73</v>
      </c>
      <c r="B188" s="18">
        <v>10890</v>
      </c>
      <c r="C188" s="18">
        <v>11030</v>
      </c>
      <c r="D188" s="18">
        <v>11360</v>
      </c>
      <c r="E188" s="18">
        <v>11460</v>
      </c>
      <c r="F188" s="18">
        <v>11980</v>
      </c>
      <c r="G188" s="18">
        <v>12540</v>
      </c>
      <c r="H188" s="18">
        <v>12830</v>
      </c>
      <c r="I188" s="18">
        <v>14360</v>
      </c>
      <c r="J188" s="18">
        <v>15350</v>
      </c>
      <c r="K188" s="18">
        <v>15670</v>
      </c>
      <c r="L188" s="18">
        <v>14100</v>
      </c>
      <c r="M188" s="18">
        <v>15900</v>
      </c>
      <c r="N188" s="18">
        <v>16460</v>
      </c>
      <c r="O188" s="18">
        <v>17420</v>
      </c>
      <c r="P188" s="18">
        <v>20680</v>
      </c>
      <c r="Q188" s="18">
        <v>20600</v>
      </c>
      <c r="R188" s="18">
        <v>20280</v>
      </c>
      <c r="S188" s="18">
        <v>20570</v>
      </c>
      <c r="T188" s="18">
        <v>20560</v>
      </c>
      <c r="U188" s="18">
        <v>20860</v>
      </c>
      <c r="V188" s="18">
        <v>21220</v>
      </c>
      <c r="W188" s="18">
        <v>22020</v>
      </c>
      <c r="X188" s="18">
        <v>22540</v>
      </c>
      <c r="Y188" s="18">
        <v>23230</v>
      </c>
      <c r="Z188" s="18">
        <v>23830</v>
      </c>
      <c r="AA188" s="18">
        <v>24510</v>
      </c>
      <c r="AB188" s="18">
        <v>25540</v>
      </c>
      <c r="AC188" s="18">
        <v>25940</v>
      </c>
      <c r="AD188" s="18">
        <v>27070</v>
      </c>
      <c r="AE188" s="18">
        <v>27700</v>
      </c>
      <c r="AF188" s="18">
        <v>27970</v>
      </c>
      <c r="AG188" s="18">
        <v>27750</v>
      </c>
      <c r="AH188" s="18">
        <v>27200</v>
      </c>
      <c r="AI188" s="18">
        <v>26990</v>
      </c>
      <c r="AJ188" s="18">
        <v>27090</v>
      </c>
      <c r="AK188" s="18">
        <v>27760</v>
      </c>
    </row>
    <row r="189" spans="1:37" x14ac:dyDescent="0.25">
      <c r="A189" s="12">
        <f>$A$89</f>
        <v>74</v>
      </c>
      <c r="B189" s="18">
        <v>10790</v>
      </c>
      <c r="C189" s="18">
        <v>10530</v>
      </c>
      <c r="D189" s="18">
        <v>10700</v>
      </c>
      <c r="E189" s="18">
        <v>11010</v>
      </c>
      <c r="F189" s="18">
        <v>11130</v>
      </c>
      <c r="G189" s="18">
        <v>11670</v>
      </c>
      <c r="H189" s="18">
        <v>12190</v>
      </c>
      <c r="I189" s="18">
        <v>12520</v>
      </c>
      <c r="J189" s="18">
        <v>13970</v>
      </c>
      <c r="K189" s="18">
        <v>14970</v>
      </c>
      <c r="L189" s="18">
        <v>15210</v>
      </c>
      <c r="M189" s="18">
        <v>13760</v>
      </c>
      <c r="N189" s="18">
        <v>15520</v>
      </c>
      <c r="O189" s="18">
        <v>16040</v>
      </c>
      <c r="P189" s="18">
        <v>17100</v>
      </c>
      <c r="Q189" s="18">
        <v>20130</v>
      </c>
      <c r="R189" s="18">
        <v>19980</v>
      </c>
      <c r="S189" s="18">
        <v>19710</v>
      </c>
      <c r="T189" s="18">
        <v>20100</v>
      </c>
      <c r="U189" s="18">
        <v>20120</v>
      </c>
      <c r="V189" s="18">
        <v>20430</v>
      </c>
      <c r="W189" s="18">
        <v>20790</v>
      </c>
      <c r="X189" s="18">
        <v>21590</v>
      </c>
      <c r="Y189" s="18">
        <v>22110</v>
      </c>
      <c r="Z189" s="18">
        <v>22790</v>
      </c>
      <c r="AA189" s="18">
        <v>23390</v>
      </c>
      <c r="AB189" s="18">
        <v>24070</v>
      </c>
      <c r="AC189" s="18">
        <v>25090</v>
      </c>
      <c r="AD189" s="18">
        <v>25490</v>
      </c>
      <c r="AE189" s="18">
        <v>26610</v>
      </c>
      <c r="AF189" s="18">
        <v>27250</v>
      </c>
      <c r="AG189" s="18">
        <v>27520</v>
      </c>
      <c r="AH189" s="18">
        <v>27310</v>
      </c>
      <c r="AI189" s="18">
        <v>26780</v>
      </c>
      <c r="AJ189" s="18">
        <v>26590</v>
      </c>
      <c r="AK189" s="18">
        <v>26690</v>
      </c>
    </row>
    <row r="190" spans="1:37" x14ac:dyDescent="0.25">
      <c r="A190" s="12">
        <f>$A$90</f>
        <v>75</v>
      </c>
      <c r="B190" s="18">
        <v>10770</v>
      </c>
      <c r="C190" s="18">
        <v>10450</v>
      </c>
      <c r="D190" s="18">
        <v>10190</v>
      </c>
      <c r="E190" s="18">
        <v>10350</v>
      </c>
      <c r="F190" s="18">
        <v>10640</v>
      </c>
      <c r="G190" s="18">
        <v>10790</v>
      </c>
      <c r="H190" s="18">
        <v>11310</v>
      </c>
      <c r="I190" s="18">
        <v>11820</v>
      </c>
      <c r="J190" s="18">
        <v>12190</v>
      </c>
      <c r="K190" s="18">
        <v>13560</v>
      </c>
      <c r="L190" s="18">
        <v>14520</v>
      </c>
      <c r="M190" s="18">
        <v>14800</v>
      </c>
      <c r="N190" s="18">
        <v>13350</v>
      </c>
      <c r="O190" s="18">
        <v>15090</v>
      </c>
      <c r="P190" s="18">
        <v>15680</v>
      </c>
      <c r="Q190" s="18">
        <v>16570</v>
      </c>
      <c r="R190" s="18">
        <v>19500</v>
      </c>
      <c r="S190" s="18">
        <v>19350</v>
      </c>
      <c r="T190" s="18">
        <v>19160</v>
      </c>
      <c r="U190" s="18">
        <v>19620</v>
      </c>
      <c r="V190" s="18">
        <v>19660</v>
      </c>
      <c r="W190" s="18">
        <v>19970</v>
      </c>
      <c r="X190" s="18">
        <v>20330</v>
      </c>
      <c r="Y190" s="18">
        <v>21120</v>
      </c>
      <c r="Z190" s="18">
        <v>21640</v>
      </c>
      <c r="AA190" s="18">
        <v>22320</v>
      </c>
      <c r="AB190" s="18">
        <v>22920</v>
      </c>
      <c r="AC190" s="18">
        <v>23590</v>
      </c>
      <c r="AD190" s="18">
        <v>24610</v>
      </c>
      <c r="AE190" s="18">
        <v>25010</v>
      </c>
      <c r="AF190" s="18">
        <v>26110</v>
      </c>
      <c r="AG190" s="18">
        <v>26750</v>
      </c>
      <c r="AH190" s="18">
        <v>27030</v>
      </c>
      <c r="AI190" s="18">
        <v>26830</v>
      </c>
      <c r="AJ190" s="18">
        <v>26320</v>
      </c>
      <c r="AK190" s="18">
        <v>26140</v>
      </c>
    </row>
    <row r="191" spans="1:37" x14ac:dyDescent="0.25">
      <c r="A191" s="12">
        <f>$A$91</f>
        <v>76</v>
      </c>
      <c r="B191" s="18">
        <v>10040</v>
      </c>
      <c r="C191" s="18">
        <v>10380</v>
      </c>
      <c r="D191" s="18">
        <v>10070</v>
      </c>
      <c r="E191" s="18">
        <v>9830</v>
      </c>
      <c r="F191" s="18">
        <v>9980</v>
      </c>
      <c r="G191" s="18">
        <v>10290</v>
      </c>
      <c r="H191" s="18">
        <v>10410</v>
      </c>
      <c r="I191" s="18">
        <v>10910</v>
      </c>
      <c r="J191" s="18">
        <v>11440</v>
      </c>
      <c r="K191" s="18">
        <v>11770</v>
      </c>
      <c r="L191" s="18">
        <v>13120</v>
      </c>
      <c r="M191" s="18">
        <v>14050</v>
      </c>
      <c r="N191" s="18">
        <v>14300</v>
      </c>
      <c r="O191" s="18">
        <v>12880</v>
      </c>
      <c r="P191" s="18">
        <v>14700</v>
      </c>
      <c r="Q191" s="18">
        <v>15190</v>
      </c>
      <c r="R191" s="18">
        <v>15920</v>
      </c>
      <c r="S191" s="18">
        <v>18860</v>
      </c>
      <c r="T191" s="18">
        <v>18790</v>
      </c>
      <c r="U191" s="18">
        <v>18650</v>
      </c>
      <c r="V191" s="18">
        <v>19110</v>
      </c>
      <c r="W191" s="18">
        <v>19160</v>
      </c>
      <c r="X191" s="18">
        <v>19470</v>
      </c>
      <c r="Y191" s="18">
        <v>19830</v>
      </c>
      <c r="Z191" s="18">
        <v>20620</v>
      </c>
      <c r="AA191" s="18">
        <v>21130</v>
      </c>
      <c r="AB191" s="18">
        <v>21810</v>
      </c>
      <c r="AC191" s="18">
        <v>22400</v>
      </c>
      <c r="AD191" s="18">
        <v>23080</v>
      </c>
      <c r="AE191" s="18">
        <v>24070</v>
      </c>
      <c r="AF191" s="18">
        <v>24480</v>
      </c>
      <c r="AG191" s="18">
        <v>25570</v>
      </c>
      <c r="AH191" s="18">
        <v>26200</v>
      </c>
      <c r="AI191" s="18">
        <v>26490</v>
      </c>
      <c r="AJ191" s="18">
        <v>26310</v>
      </c>
      <c r="AK191" s="18">
        <v>25820</v>
      </c>
    </row>
    <row r="192" spans="1:37" x14ac:dyDescent="0.25">
      <c r="A192" s="12">
        <f>$A$92</f>
        <v>77</v>
      </c>
      <c r="B192" s="18">
        <v>9480</v>
      </c>
      <c r="C192" s="18">
        <v>9590</v>
      </c>
      <c r="D192" s="18">
        <v>9950</v>
      </c>
      <c r="E192" s="18">
        <v>9670</v>
      </c>
      <c r="F192" s="18">
        <v>9460</v>
      </c>
      <c r="G192" s="18">
        <v>9610</v>
      </c>
      <c r="H192" s="18">
        <v>9880</v>
      </c>
      <c r="I192" s="18">
        <v>10020</v>
      </c>
      <c r="J192" s="18">
        <v>10540</v>
      </c>
      <c r="K192" s="18">
        <v>11040</v>
      </c>
      <c r="L192" s="18">
        <v>11370</v>
      </c>
      <c r="M192" s="18">
        <v>12630</v>
      </c>
      <c r="N192" s="18">
        <v>13550</v>
      </c>
      <c r="O192" s="18">
        <v>13830</v>
      </c>
      <c r="P192" s="18">
        <v>12480</v>
      </c>
      <c r="Q192" s="18">
        <v>14180</v>
      </c>
      <c r="R192" s="18">
        <v>14580</v>
      </c>
      <c r="S192" s="18">
        <v>15290</v>
      </c>
      <c r="T192" s="18">
        <v>18280</v>
      </c>
      <c r="U192" s="18">
        <v>18230</v>
      </c>
      <c r="V192" s="18">
        <v>18100</v>
      </c>
      <c r="W192" s="18">
        <v>18560</v>
      </c>
      <c r="X192" s="18">
        <v>18610</v>
      </c>
      <c r="Y192" s="18">
        <v>18930</v>
      </c>
      <c r="Z192" s="18">
        <v>19300</v>
      </c>
      <c r="AA192" s="18">
        <v>20070</v>
      </c>
      <c r="AB192" s="18">
        <v>20580</v>
      </c>
      <c r="AC192" s="18">
        <v>21250</v>
      </c>
      <c r="AD192" s="18">
        <v>21840</v>
      </c>
      <c r="AE192" s="18">
        <v>22510</v>
      </c>
      <c r="AF192" s="18">
        <v>23490</v>
      </c>
      <c r="AG192" s="18">
        <v>23900</v>
      </c>
      <c r="AH192" s="18">
        <v>24980</v>
      </c>
      <c r="AI192" s="18">
        <v>25610</v>
      </c>
      <c r="AJ192" s="18">
        <v>25900</v>
      </c>
      <c r="AK192" s="18">
        <v>25730</v>
      </c>
    </row>
    <row r="193" spans="1:37" x14ac:dyDescent="0.25">
      <c r="A193" s="12">
        <f>$A$93</f>
        <v>78</v>
      </c>
      <c r="B193" s="18">
        <v>9060</v>
      </c>
      <c r="C193" s="18">
        <v>9040</v>
      </c>
      <c r="D193" s="18">
        <v>9120</v>
      </c>
      <c r="E193" s="18">
        <v>9480</v>
      </c>
      <c r="F193" s="18">
        <v>9290</v>
      </c>
      <c r="G193" s="18">
        <v>8990</v>
      </c>
      <c r="H193" s="18">
        <v>9200</v>
      </c>
      <c r="I193" s="18">
        <v>9480</v>
      </c>
      <c r="J193" s="18">
        <v>9600</v>
      </c>
      <c r="K193" s="18">
        <v>10100</v>
      </c>
      <c r="L193" s="18">
        <v>10560</v>
      </c>
      <c r="M193" s="18">
        <v>10970</v>
      </c>
      <c r="N193" s="18">
        <v>12090</v>
      </c>
      <c r="O193" s="18">
        <v>13030</v>
      </c>
      <c r="P193" s="18">
        <v>13360</v>
      </c>
      <c r="Q193" s="18">
        <v>11920</v>
      </c>
      <c r="R193" s="18">
        <v>13570</v>
      </c>
      <c r="S193" s="18">
        <v>13960</v>
      </c>
      <c r="T193" s="18">
        <v>14750</v>
      </c>
      <c r="U193" s="18">
        <v>17650</v>
      </c>
      <c r="V193" s="18">
        <v>17620</v>
      </c>
      <c r="W193" s="18">
        <v>17510</v>
      </c>
      <c r="X193" s="18">
        <v>17960</v>
      </c>
      <c r="Y193" s="18">
        <v>18030</v>
      </c>
      <c r="Z193" s="18">
        <v>18350</v>
      </c>
      <c r="AA193" s="18">
        <v>18710</v>
      </c>
      <c r="AB193" s="18">
        <v>19470</v>
      </c>
      <c r="AC193" s="18">
        <v>19990</v>
      </c>
      <c r="AD193" s="18">
        <v>20640</v>
      </c>
      <c r="AE193" s="18">
        <v>21230</v>
      </c>
      <c r="AF193" s="18">
        <v>21890</v>
      </c>
      <c r="AG193" s="18">
        <v>22860</v>
      </c>
      <c r="AH193" s="18">
        <v>23270</v>
      </c>
      <c r="AI193" s="18">
        <v>24330</v>
      </c>
      <c r="AJ193" s="18">
        <v>24960</v>
      </c>
      <c r="AK193" s="18">
        <v>25250</v>
      </c>
    </row>
    <row r="194" spans="1:37" x14ac:dyDescent="0.25">
      <c r="A194" s="12">
        <f>$A$94</f>
        <v>79</v>
      </c>
      <c r="B194" s="18">
        <v>8220</v>
      </c>
      <c r="C194" s="18">
        <v>8550</v>
      </c>
      <c r="D194" s="18">
        <v>8580</v>
      </c>
      <c r="E194" s="18">
        <v>8610</v>
      </c>
      <c r="F194" s="18">
        <v>9030</v>
      </c>
      <c r="G194" s="18">
        <v>8850</v>
      </c>
      <c r="H194" s="18">
        <v>8550</v>
      </c>
      <c r="I194" s="18">
        <v>8780</v>
      </c>
      <c r="J194" s="18">
        <v>9020</v>
      </c>
      <c r="K194" s="18">
        <v>9180</v>
      </c>
      <c r="L194" s="18">
        <v>9650</v>
      </c>
      <c r="M194" s="18">
        <v>10060</v>
      </c>
      <c r="N194" s="18">
        <v>10510</v>
      </c>
      <c r="O194" s="18">
        <v>11550</v>
      </c>
      <c r="P194" s="18">
        <v>12530</v>
      </c>
      <c r="Q194" s="18">
        <v>12790</v>
      </c>
      <c r="R194" s="18">
        <v>11310</v>
      </c>
      <c r="S194" s="18">
        <v>12960</v>
      </c>
      <c r="T194" s="18">
        <v>13390</v>
      </c>
      <c r="U194" s="18">
        <v>14180</v>
      </c>
      <c r="V194" s="18">
        <v>16990</v>
      </c>
      <c r="W194" s="18">
        <v>16970</v>
      </c>
      <c r="X194" s="18">
        <v>16870</v>
      </c>
      <c r="Y194" s="18">
        <v>17320</v>
      </c>
      <c r="Z194" s="18">
        <v>17400</v>
      </c>
      <c r="AA194" s="18">
        <v>17720</v>
      </c>
      <c r="AB194" s="18">
        <v>18080</v>
      </c>
      <c r="AC194" s="18">
        <v>18830</v>
      </c>
      <c r="AD194" s="18">
        <v>19340</v>
      </c>
      <c r="AE194" s="18">
        <v>19990</v>
      </c>
      <c r="AF194" s="18">
        <v>20570</v>
      </c>
      <c r="AG194" s="18">
        <v>21220</v>
      </c>
      <c r="AH194" s="18">
        <v>22170</v>
      </c>
      <c r="AI194" s="18">
        <v>22580</v>
      </c>
      <c r="AJ194" s="18">
        <v>23620</v>
      </c>
      <c r="AK194" s="18">
        <v>24240</v>
      </c>
    </row>
    <row r="195" spans="1:37" x14ac:dyDescent="0.25">
      <c r="A195" s="12">
        <f>$A$95</f>
        <v>80</v>
      </c>
      <c r="B195" s="18">
        <v>7520</v>
      </c>
      <c r="C195" s="18">
        <v>7750</v>
      </c>
      <c r="D195" s="18">
        <v>8010</v>
      </c>
      <c r="E195" s="18">
        <v>8070</v>
      </c>
      <c r="F195" s="18">
        <v>8120</v>
      </c>
      <c r="G195" s="18">
        <v>8560</v>
      </c>
      <c r="H195" s="18">
        <v>8390</v>
      </c>
      <c r="I195" s="18">
        <v>8100</v>
      </c>
      <c r="J195" s="18">
        <v>8340</v>
      </c>
      <c r="K195" s="18">
        <v>8550</v>
      </c>
      <c r="L195" s="18">
        <v>8730</v>
      </c>
      <c r="M195" s="18">
        <v>9160</v>
      </c>
      <c r="N195" s="18">
        <v>9570</v>
      </c>
      <c r="O195" s="18">
        <v>9990</v>
      </c>
      <c r="P195" s="18">
        <v>11060</v>
      </c>
      <c r="Q195" s="18">
        <v>11940</v>
      </c>
      <c r="R195" s="18">
        <v>12170</v>
      </c>
      <c r="S195" s="18">
        <v>10700</v>
      </c>
      <c r="T195" s="18">
        <v>12380</v>
      </c>
      <c r="U195" s="18">
        <v>12810</v>
      </c>
      <c r="V195" s="18">
        <v>13580</v>
      </c>
      <c r="W195" s="18">
        <v>16280</v>
      </c>
      <c r="X195" s="18">
        <v>16270</v>
      </c>
      <c r="Y195" s="18">
        <v>16190</v>
      </c>
      <c r="Z195" s="18">
        <v>16630</v>
      </c>
      <c r="AA195" s="18">
        <v>16720</v>
      </c>
      <c r="AB195" s="18">
        <v>17040</v>
      </c>
      <c r="AC195" s="18">
        <v>17400</v>
      </c>
      <c r="AD195" s="18">
        <v>18130</v>
      </c>
      <c r="AE195" s="18">
        <v>18630</v>
      </c>
      <c r="AF195" s="18">
        <v>19270</v>
      </c>
      <c r="AG195" s="18">
        <v>19850</v>
      </c>
      <c r="AH195" s="18">
        <v>20490</v>
      </c>
      <c r="AI195" s="18">
        <v>21420</v>
      </c>
      <c r="AJ195" s="18">
        <v>21830</v>
      </c>
      <c r="AK195" s="18">
        <v>22850</v>
      </c>
    </row>
    <row r="196" spans="1:37" x14ac:dyDescent="0.25">
      <c r="A196" s="12">
        <f>$A$96</f>
        <v>81</v>
      </c>
      <c r="B196" s="18">
        <v>6900</v>
      </c>
      <c r="C196" s="18">
        <v>6990</v>
      </c>
      <c r="D196" s="18">
        <v>7210</v>
      </c>
      <c r="E196" s="18">
        <v>7500</v>
      </c>
      <c r="F196" s="18">
        <v>7560</v>
      </c>
      <c r="G196" s="18">
        <v>7650</v>
      </c>
      <c r="H196" s="18">
        <v>8040</v>
      </c>
      <c r="I196" s="18">
        <v>7900</v>
      </c>
      <c r="J196" s="18">
        <v>7640</v>
      </c>
      <c r="K196" s="18">
        <v>7870</v>
      </c>
      <c r="L196" s="18">
        <v>8080</v>
      </c>
      <c r="M196" s="18">
        <v>8180</v>
      </c>
      <c r="N196" s="18">
        <v>8610</v>
      </c>
      <c r="O196" s="18">
        <v>9020</v>
      </c>
      <c r="P196" s="18">
        <v>9460</v>
      </c>
      <c r="Q196" s="18">
        <v>10460</v>
      </c>
      <c r="R196" s="18">
        <v>11270</v>
      </c>
      <c r="S196" s="18">
        <v>11490</v>
      </c>
      <c r="T196" s="18">
        <v>10170</v>
      </c>
      <c r="U196" s="18">
        <v>11770</v>
      </c>
      <c r="V196" s="18">
        <v>12190</v>
      </c>
      <c r="W196" s="18">
        <v>12930</v>
      </c>
      <c r="X196" s="18">
        <v>15520</v>
      </c>
      <c r="Y196" s="18">
        <v>15520</v>
      </c>
      <c r="Z196" s="18">
        <v>15460</v>
      </c>
      <c r="AA196" s="18">
        <v>15900</v>
      </c>
      <c r="AB196" s="18">
        <v>15990</v>
      </c>
      <c r="AC196" s="18">
        <v>16310</v>
      </c>
      <c r="AD196" s="18">
        <v>16670</v>
      </c>
      <c r="AE196" s="18">
        <v>17380</v>
      </c>
      <c r="AF196" s="18">
        <v>17870</v>
      </c>
      <c r="AG196" s="18">
        <v>18500</v>
      </c>
      <c r="AH196" s="18">
        <v>19060</v>
      </c>
      <c r="AI196" s="18">
        <v>19690</v>
      </c>
      <c r="AJ196" s="18">
        <v>20600</v>
      </c>
      <c r="AK196" s="18">
        <v>21000</v>
      </c>
    </row>
    <row r="197" spans="1:37" x14ac:dyDescent="0.25">
      <c r="A197" s="12">
        <f>$A$97</f>
        <v>82</v>
      </c>
      <c r="B197" s="18">
        <v>5900</v>
      </c>
      <c r="C197" s="18">
        <v>6400</v>
      </c>
      <c r="D197" s="18">
        <v>6460</v>
      </c>
      <c r="E197" s="18">
        <v>6720</v>
      </c>
      <c r="F197" s="18">
        <v>6960</v>
      </c>
      <c r="G197" s="18">
        <v>7040</v>
      </c>
      <c r="H197" s="18">
        <v>7130</v>
      </c>
      <c r="I197" s="18">
        <v>7540</v>
      </c>
      <c r="J197" s="18">
        <v>7360</v>
      </c>
      <c r="K197" s="18">
        <v>7100</v>
      </c>
      <c r="L197" s="18">
        <v>7370</v>
      </c>
      <c r="M197" s="18">
        <v>7560</v>
      </c>
      <c r="N197" s="18">
        <v>7630</v>
      </c>
      <c r="O197" s="18">
        <v>8060</v>
      </c>
      <c r="P197" s="18">
        <v>8490</v>
      </c>
      <c r="Q197" s="18">
        <v>8900</v>
      </c>
      <c r="R197" s="18">
        <v>9790</v>
      </c>
      <c r="S197" s="18">
        <v>10590</v>
      </c>
      <c r="T197" s="18">
        <v>10780</v>
      </c>
      <c r="U197" s="18">
        <v>9600</v>
      </c>
      <c r="V197" s="18">
        <v>11120</v>
      </c>
      <c r="W197" s="18">
        <v>11530</v>
      </c>
      <c r="X197" s="18">
        <v>12250</v>
      </c>
      <c r="Y197" s="18">
        <v>14700</v>
      </c>
      <c r="Z197" s="18">
        <v>14720</v>
      </c>
      <c r="AA197" s="18">
        <v>14680</v>
      </c>
      <c r="AB197" s="18">
        <v>15100</v>
      </c>
      <c r="AC197" s="18">
        <v>15210</v>
      </c>
      <c r="AD197" s="18">
        <v>15520</v>
      </c>
      <c r="AE197" s="18">
        <v>15880</v>
      </c>
      <c r="AF197" s="18">
        <v>16570</v>
      </c>
      <c r="AG197" s="18">
        <v>17050</v>
      </c>
      <c r="AH197" s="18">
        <v>17660</v>
      </c>
      <c r="AI197" s="18">
        <v>18210</v>
      </c>
      <c r="AJ197" s="18">
        <v>18820</v>
      </c>
      <c r="AK197" s="18">
        <v>19710</v>
      </c>
    </row>
    <row r="198" spans="1:37" x14ac:dyDescent="0.25">
      <c r="A198" s="12">
        <f>$A$98</f>
        <v>83</v>
      </c>
      <c r="B198" s="18">
        <v>5210</v>
      </c>
      <c r="C198" s="18">
        <v>5440</v>
      </c>
      <c r="D198" s="18">
        <v>5830</v>
      </c>
      <c r="E198" s="18">
        <v>5940</v>
      </c>
      <c r="F198" s="18">
        <v>6210</v>
      </c>
      <c r="G198" s="18">
        <v>6400</v>
      </c>
      <c r="H198" s="18">
        <v>6540</v>
      </c>
      <c r="I198" s="18">
        <v>6570</v>
      </c>
      <c r="J198" s="18">
        <v>7000</v>
      </c>
      <c r="K198" s="18">
        <v>6820</v>
      </c>
      <c r="L198" s="18">
        <v>6610</v>
      </c>
      <c r="M198" s="18">
        <v>6860</v>
      </c>
      <c r="N198" s="18">
        <v>7010</v>
      </c>
      <c r="O198" s="18">
        <v>7060</v>
      </c>
      <c r="P198" s="18">
        <v>7550</v>
      </c>
      <c r="Q198" s="18">
        <v>7900</v>
      </c>
      <c r="R198" s="18">
        <v>8260</v>
      </c>
      <c r="S198" s="18">
        <v>9110</v>
      </c>
      <c r="T198" s="18">
        <v>9850</v>
      </c>
      <c r="U198" s="18">
        <v>10100</v>
      </c>
      <c r="V198" s="18">
        <v>9000</v>
      </c>
      <c r="W198" s="18">
        <v>10440</v>
      </c>
      <c r="X198" s="18">
        <v>10830</v>
      </c>
      <c r="Y198" s="18">
        <v>11520</v>
      </c>
      <c r="Z198" s="18">
        <v>13840</v>
      </c>
      <c r="AA198" s="18">
        <v>13870</v>
      </c>
      <c r="AB198" s="18">
        <v>13840</v>
      </c>
      <c r="AC198" s="18">
        <v>14250</v>
      </c>
      <c r="AD198" s="18">
        <v>14360</v>
      </c>
      <c r="AE198" s="18">
        <v>14670</v>
      </c>
      <c r="AF198" s="18">
        <v>15020</v>
      </c>
      <c r="AG198" s="18">
        <v>15690</v>
      </c>
      <c r="AH198" s="18">
        <v>16160</v>
      </c>
      <c r="AI198" s="18">
        <v>16750</v>
      </c>
      <c r="AJ198" s="18">
        <v>17280</v>
      </c>
      <c r="AK198" s="18">
        <v>17880</v>
      </c>
    </row>
    <row r="199" spans="1:37" x14ac:dyDescent="0.25">
      <c r="A199" s="12">
        <f>$A$99</f>
        <v>84</v>
      </c>
      <c r="B199" s="18">
        <v>4650</v>
      </c>
      <c r="C199" s="18">
        <v>4730</v>
      </c>
      <c r="D199" s="18">
        <v>4950</v>
      </c>
      <c r="E199" s="18">
        <v>5290</v>
      </c>
      <c r="F199" s="18">
        <v>5380</v>
      </c>
      <c r="G199" s="18">
        <v>5700</v>
      </c>
      <c r="H199" s="18">
        <v>5860</v>
      </c>
      <c r="I199" s="18">
        <v>6000</v>
      </c>
      <c r="J199" s="18">
        <v>5990</v>
      </c>
      <c r="K199" s="18">
        <v>6480</v>
      </c>
      <c r="L199" s="18">
        <v>6250</v>
      </c>
      <c r="M199" s="18">
        <v>6040</v>
      </c>
      <c r="N199" s="18">
        <v>6300</v>
      </c>
      <c r="O199" s="18">
        <v>6460</v>
      </c>
      <c r="P199" s="18">
        <v>6570</v>
      </c>
      <c r="Q199" s="18">
        <v>6950</v>
      </c>
      <c r="R199" s="18">
        <v>7290</v>
      </c>
      <c r="S199" s="18">
        <v>7560</v>
      </c>
      <c r="T199" s="18">
        <v>8410</v>
      </c>
      <c r="U199" s="18">
        <v>9140</v>
      </c>
      <c r="V199" s="18">
        <v>9380</v>
      </c>
      <c r="W199" s="18">
        <v>8370</v>
      </c>
      <c r="X199" s="18">
        <v>9720</v>
      </c>
      <c r="Y199" s="18">
        <v>10100</v>
      </c>
      <c r="Z199" s="18">
        <v>10740</v>
      </c>
      <c r="AA199" s="18">
        <v>12920</v>
      </c>
      <c r="AB199" s="18">
        <v>12960</v>
      </c>
      <c r="AC199" s="18">
        <v>12950</v>
      </c>
      <c r="AD199" s="18">
        <v>13350</v>
      </c>
      <c r="AE199" s="18">
        <v>13460</v>
      </c>
      <c r="AF199" s="18">
        <v>13760</v>
      </c>
      <c r="AG199" s="18">
        <v>14100</v>
      </c>
      <c r="AH199" s="18">
        <v>14740</v>
      </c>
      <c r="AI199" s="18">
        <v>15200</v>
      </c>
      <c r="AJ199" s="18">
        <v>15760</v>
      </c>
      <c r="AK199" s="18">
        <v>16280</v>
      </c>
    </row>
    <row r="200" spans="1:37" x14ac:dyDescent="0.25">
      <c r="A200" s="12">
        <f>$A$100</f>
        <v>85</v>
      </c>
      <c r="B200" s="18">
        <v>3850</v>
      </c>
      <c r="C200" s="18">
        <v>4140</v>
      </c>
      <c r="D200" s="18">
        <v>4250</v>
      </c>
      <c r="E200" s="18">
        <v>4440</v>
      </c>
      <c r="F200" s="18">
        <v>4760</v>
      </c>
      <c r="G200" s="18">
        <v>4830</v>
      </c>
      <c r="H200" s="18">
        <v>5160</v>
      </c>
      <c r="I200" s="18">
        <v>5280</v>
      </c>
      <c r="J200" s="18">
        <v>5440</v>
      </c>
      <c r="K200" s="18">
        <v>5450</v>
      </c>
      <c r="L200" s="18">
        <v>5910</v>
      </c>
      <c r="M200" s="18">
        <v>5620</v>
      </c>
      <c r="N200" s="18">
        <v>5480</v>
      </c>
      <c r="O200" s="18">
        <v>5760</v>
      </c>
      <c r="P200" s="18">
        <v>5930</v>
      </c>
      <c r="Q200" s="18">
        <v>6020</v>
      </c>
      <c r="R200" s="18">
        <v>6270</v>
      </c>
      <c r="S200" s="18">
        <v>6620</v>
      </c>
      <c r="T200" s="18">
        <v>6930</v>
      </c>
      <c r="U200" s="18">
        <v>7720</v>
      </c>
      <c r="V200" s="18">
        <v>8400</v>
      </c>
      <c r="W200" s="18">
        <v>8630</v>
      </c>
      <c r="X200" s="18">
        <v>7710</v>
      </c>
      <c r="Y200" s="18">
        <v>8960</v>
      </c>
      <c r="Z200" s="18">
        <v>9320</v>
      </c>
      <c r="AA200" s="18">
        <v>9930</v>
      </c>
      <c r="AB200" s="18">
        <v>11960</v>
      </c>
      <c r="AC200" s="18">
        <v>12010</v>
      </c>
      <c r="AD200" s="18">
        <v>12000</v>
      </c>
      <c r="AE200" s="18">
        <v>12380</v>
      </c>
      <c r="AF200" s="18">
        <v>12500</v>
      </c>
      <c r="AG200" s="18">
        <v>12800</v>
      </c>
      <c r="AH200" s="18">
        <v>13120</v>
      </c>
      <c r="AI200" s="18">
        <v>13730</v>
      </c>
      <c r="AJ200" s="18">
        <v>14160</v>
      </c>
      <c r="AK200" s="18">
        <v>14710</v>
      </c>
    </row>
    <row r="201" spans="1:37" x14ac:dyDescent="0.25">
      <c r="A201" s="12">
        <f>$A$101</f>
        <v>86</v>
      </c>
      <c r="B201" s="18">
        <v>3290</v>
      </c>
      <c r="C201" s="18">
        <v>3420</v>
      </c>
      <c r="D201" s="18">
        <v>3640</v>
      </c>
      <c r="E201" s="18">
        <v>3790</v>
      </c>
      <c r="F201" s="18">
        <v>3970</v>
      </c>
      <c r="G201" s="18">
        <v>4250</v>
      </c>
      <c r="H201" s="18">
        <v>4310</v>
      </c>
      <c r="I201" s="18">
        <v>4610</v>
      </c>
      <c r="J201" s="18">
        <v>4730</v>
      </c>
      <c r="K201" s="18">
        <v>4860</v>
      </c>
      <c r="L201" s="18">
        <v>4890</v>
      </c>
      <c r="M201" s="18">
        <v>5290</v>
      </c>
      <c r="N201" s="18">
        <v>5020</v>
      </c>
      <c r="O201" s="18">
        <v>4960</v>
      </c>
      <c r="P201" s="18">
        <v>5220</v>
      </c>
      <c r="Q201" s="18">
        <v>5380</v>
      </c>
      <c r="R201" s="18">
        <v>5420</v>
      </c>
      <c r="S201" s="18">
        <v>5640</v>
      </c>
      <c r="T201" s="18">
        <v>6010</v>
      </c>
      <c r="U201" s="18">
        <v>6280</v>
      </c>
      <c r="V201" s="18">
        <v>7010</v>
      </c>
      <c r="W201" s="18">
        <v>7630</v>
      </c>
      <c r="X201" s="18">
        <v>7860</v>
      </c>
      <c r="Y201" s="18">
        <v>7030</v>
      </c>
      <c r="Z201" s="18">
        <v>8180</v>
      </c>
      <c r="AA201" s="18">
        <v>8510</v>
      </c>
      <c r="AB201" s="18">
        <v>9080</v>
      </c>
      <c r="AC201" s="18">
        <v>10940</v>
      </c>
      <c r="AD201" s="18">
        <v>11000</v>
      </c>
      <c r="AE201" s="18">
        <v>11010</v>
      </c>
      <c r="AF201" s="18">
        <v>11370</v>
      </c>
      <c r="AG201" s="18">
        <v>11490</v>
      </c>
      <c r="AH201" s="18">
        <v>11770</v>
      </c>
      <c r="AI201" s="18">
        <v>12080</v>
      </c>
      <c r="AJ201" s="18">
        <v>12660</v>
      </c>
      <c r="AK201" s="18">
        <v>13070</v>
      </c>
    </row>
    <row r="202" spans="1:37" x14ac:dyDescent="0.25">
      <c r="A202" s="12">
        <f>$A$102</f>
        <v>87</v>
      </c>
      <c r="B202" s="18">
        <v>2380</v>
      </c>
      <c r="C202" s="18">
        <v>2850</v>
      </c>
      <c r="D202" s="18">
        <v>2980</v>
      </c>
      <c r="E202" s="18">
        <v>3200</v>
      </c>
      <c r="F202" s="18">
        <v>3330</v>
      </c>
      <c r="G202" s="18">
        <v>3480</v>
      </c>
      <c r="H202" s="18">
        <v>3760</v>
      </c>
      <c r="I202" s="18">
        <v>3760</v>
      </c>
      <c r="J202" s="18">
        <v>4060</v>
      </c>
      <c r="K202" s="18">
        <v>4120</v>
      </c>
      <c r="L202" s="18">
        <v>4320</v>
      </c>
      <c r="M202" s="18">
        <v>4350</v>
      </c>
      <c r="N202" s="18">
        <v>4640</v>
      </c>
      <c r="O202" s="18">
        <v>4500</v>
      </c>
      <c r="P202" s="18">
        <v>4410</v>
      </c>
      <c r="Q202" s="18">
        <v>4690</v>
      </c>
      <c r="R202" s="18">
        <v>4810</v>
      </c>
      <c r="S202" s="18">
        <v>4810</v>
      </c>
      <c r="T202" s="18">
        <v>5030</v>
      </c>
      <c r="U202" s="18">
        <v>5370</v>
      </c>
      <c r="V202" s="18">
        <v>5630</v>
      </c>
      <c r="W202" s="18">
        <v>6290</v>
      </c>
      <c r="X202" s="18">
        <v>6850</v>
      </c>
      <c r="Y202" s="18">
        <v>7060</v>
      </c>
      <c r="Z202" s="18">
        <v>6320</v>
      </c>
      <c r="AA202" s="18">
        <v>7370</v>
      </c>
      <c r="AB202" s="18">
        <v>7680</v>
      </c>
      <c r="AC202" s="18">
        <v>8200</v>
      </c>
      <c r="AD202" s="18">
        <v>9890</v>
      </c>
      <c r="AE202" s="18">
        <v>9950</v>
      </c>
      <c r="AF202" s="18">
        <v>9970</v>
      </c>
      <c r="AG202" s="18">
        <v>10310</v>
      </c>
      <c r="AH202" s="18">
        <v>10430</v>
      </c>
      <c r="AI202" s="18">
        <v>10700</v>
      </c>
      <c r="AJ202" s="18">
        <v>10990</v>
      </c>
      <c r="AK202" s="18">
        <v>11520</v>
      </c>
    </row>
    <row r="203" spans="1:37" x14ac:dyDescent="0.25">
      <c r="A203" s="12">
        <f>$A$103</f>
        <v>88</v>
      </c>
      <c r="B203" s="18">
        <v>1930</v>
      </c>
      <c r="C203" s="18">
        <v>2020</v>
      </c>
      <c r="D203" s="18">
        <v>2480</v>
      </c>
      <c r="E203" s="18">
        <v>2590</v>
      </c>
      <c r="F203" s="18">
        <v>2790</v>
      </c>
      <c r="G203" s="18">
        <v>2920</v>
      </c>
      <c r="H203" s="18">
        <v>2990</v>
      </c>
      <c r="I203" s="18">
        <v>3210</v>
      </c>
      <c r="J203" s="18">
        <v>3300</v>
      </c>
      <c r="K203" s="18">
        <v>3500</v>
      </c>
      <c r="L203" s="18">
        <v>3610</v>
      </c>
      <c r="M203" s="18">
        <v>3770</v>
      </c>
      <c r="N203" s="18">
        <v>3780</v>
      </c>
      <c r="O203" s="18">
        <v>4040</v>
      </c>
      <c r="P203" s="18">
        <v>3950</v>
      </c>
      <c r="Q203" s="18">
        <v>3880</v>
      </c>
      <c r="R203" s="18">
        <v>4110</v>
      </c>
      <c r="S203" s="18">
        <v>4170</v>
      </c>
      <c r="T203" s="18">
        <v>4220</v>
      </c>
      <c r="U203" s="18">
        <v>4420</v>
      </c>
      <c r="V203" s="18">
        <v>4730</v>
      </c>
      <c r="W203" s="18">
        <v>4960</v>
      </c>
      <c r="X203" s="18">
        <v>5550</v>
      </c>
      <c r="Y203" s="18">
        <v>6060</v>
      </c>
      <c r="Z203" s="18">
        <v>6250</v>
      </c>
      <c r="AA203" s="18">
        <v>5610</v>
      </c>
      <c r="AB203" s="18">
        <v>6540</v>
      </c>
      <c r="AC203" s="18">
        <v>6820</v>
      </c>
      <c r="AD203" s="18">
        <v>7290</v>
      </c>
      <c r="AE203" s="18">
        <v>8810</v>
      </c>
      <c r="AF203" s="18">
        <v>8880</v>
      </c>
      <c r="AG203" s="18">
        <v>8900</v>
      </c>
      <c r="AH203" s="18">
        <v>9220</v>
      </c>
      <c r="AI203" s="18">
        <v>9330</v>
      </c>
      <c r="AJ203" s="18">
        <v>9580</v>
      </c>
      <c r="AK203" s="18">
        <v>9860</v>
      </c>
    </row>
    <row r="204" spans="1:37" x14ac:dyDescent="0.25">
      <c r="A204" s="12">
        <f>$A$104</f>
        <v>89</v>
      </c>
      <c r="B204" s="18">
        <v>1720</v>
      </c>
      <c r="C204" s="18">
        <v>1620</v>
      </c>
      <c r="D204" s="18">
        <v>1720</v>
      </c>
      <c r="E204" s="18">
        <v>2130</v>
      </c>
      <c r="F204" s="18">
        <v>2190</v>
      </c>
      <c r="G204" s="18">
        <v>2360</v>
      </c>
      <c r="H204" s="18">
        <v>2460</v>
      </c>
      <c r="I204" s="18">
        <v>2470</v>
      </c>
      <c r="J204" s="18">
        <v>2760</v>
      </c>
      <c r="K204" s="18">
        <v>2810</v>
      </c>
      <c r="L204" s="18">
        <v>3010</v>
      </c>
      <c r="M204" s="18">
        <v>3100</v>
      </c>
      <c r="N204" s="18">
        <v>3260</v>
      </c>
      <c r="O204" s="18">
        <v>3240</v>
      </c>
      <c r="P204" s="18">
        <v>3460</v>
      </c>
      <c r="Q204" s="18">
        <v>3410</v>
      </c>
      <c r="R204" s="18">
        <v>3310</v>
      </c>
      <c r="S204" s="18">
        <v>3520</v>
      </c>
      <c r="T204" s="18">
        <v>3530</v>
      </c>
      <c r="U204" s="18">
        <v>3650</v>
      </c>
      <c r="V204" s="18">
        <v>3830</v>
      </c>
      <c r="W204" s="18">
        <v>4100</v>
      </c>
      <c r="X204" s="18">
        <v>4300</v>
      </c>
      <c r="Y204" s="18">
        <v>4820</v>
      </c>
      <c r="Z204" s="18">
        <v>5270</v>
      </c>
      <c r="AA204" s="18">
        <v>5440</v>
      </c>
      <c r="AB204" s="18">
        <v>4890</v>
      </c>
      <c r="AC204" s="18">
        <v>5710</v>
      </c>
      <c r="AD204" s="18">
        <v>5970</v>
      </c>
      <c r="AE204" s="18">
        <v>6380</v>
      </c>
      <c r="AF204" s="18">
        <v>7720</v>
      </c>
      <c r="AG204" s="18">
        <v>7790</v>
      </c>
      <c r="AH204" s="18">
        <v>7820</v>
      </c>
      <c r="AI204" s="18">
        <v>8100</v>
      </c>
      <c r="AJ204" s="18">
        <v>8220</v>
      </c>
      <c r="AK204" s="18">
        <v>8440</v>
      </c>
    </row>
    <row r="205" spans="1:37" x14ac:dyDescent="0.25">
      <c r="A205" s="12">
        <f>$A$105</f>
        <v>90</v>
      </c>
      <c r="B205" s="18">
        <v>1380</v>
      </c>
      <c r="C205" s="18">
        <v>1400</v>
      </c>
      <c r="D205" s="18">
        <v>1320</v>
      </c>
      <c r="E205" s="18">
        <v>1430</v>
      </c>
      <c r="F205" s="18">
        <v>1770</v>
      </c>
      <c r="G205" s="18">
        <v>1830</v>
      </c>
      <c r="H205" s="18">
        <v>1960</v>
      </c>
      <c r="I205" s="18">
        <v>2060</v>
      </c>
      <c r="J205" s="18">
        <v>2110</v>
      </c>
      <c r="K205" s="18">
        <v>2330</v>
      </c>
      <c r="L205" s="18">
        <v>2340</v>
      </c>
      <c r="M205" s="18">
        <v>2540</v>
      </c>
      <c r="N205" s="18">
        <v>2560</v>
      </c>
      <c r="O205" s="18">
        <v>2750</v>
      </c>
      <c r="P205" s="18">
        <v>2790</v>
      </c>
      <c r="Q205" s="18">
        <v>2970</v>
      </c>
      <c r="R205" s="18">
        <v>2830</v>
      </c>
      <c r="S205" s="18">
        <v>2790</v>
      </c>
      <c r="T205" s="18">
        <v>2960</v>
      </c>
      <c r="U205" s="18">
        <v>2990</v>
      </c>
      <c r="V205" s="18">
        <v>3090</v>
      </c>
      <c r="W205" s="18">
        <v>3250</v>
      </c>
      <c r="X205" s="18">
        <v>3480</v>
      </c>
      <c r="Y205" s="18">
        <v>3660</v>
      </c>
      <c r="Z205" s="18">
        <v>4110</v>
      </c>
      <c r="AA205" s="18">
        <v>4500</v>
      </c>
      <c r="AB205" s="18">
        <v>4650</v>
      </c>
      <c r="AC205" s="18">
        <v>4180</v>
      </c>
      <c r="AD205" s="18">
        <v>4890</v>
      </c>
      <c r="AE205" s="18">
        <v>5120</v>
      </c>
      <c r="AF205" s="18">
        <v>5480</v>
      </c>
      <c r="AG205" s="18">
        <v>6640</v>
      </c>
      <c r="AH205" s="18">
        <v>6710</v>
      </c>
      <c r="AI205" s="18">
        <v>6740</v>
      </c>
      <c r="AJ205" s="18">
        <v>7000</v>
      </c>
      <c r="AK205" s="18">
        <v>7100</v>
      </c>
    </row>
    <row r="206" spans="1:37" x14ac:dyDescent="0.25">
      <c r="A206" s="12">
        <f>$A$106</f>
        <v>91</v>
      </c>
      <c r="B206" s="18">
        <v>1020</v>
      </c>
      <c r="C206" s="18">
        <v>1130</v>
      </c>
      <c r="D206" s="18">
        <v>1150</v>
      </c>
      <c r="E206" s="18">
        <v>1080</v>
      </c>
      <c r="F206" s="18">
        <v>1150</v>
      </c>
      <c r="G206" s="18">
        <v>1440</v>
      </c>
      <c r="H206" s="18">
        <v>1480</v>
      </c>
      <c r="I206" s="18">
        <v>1590</v>
      </c>
      <c r="J206" s="18">
        <v>1710</v>
      </c>
      <c r="K206" s="18">
        <v>1720</v>
      </c>
      <c r="L206" s="18">
        <v>1920</v>
      </c>
      <c r="M206" s="18">
        <v>1920</v>
      </c>
      <c r="N206" s="18">
        <v>2070</v>
      </c>
      <c r="O206" s="18">
        <v>2100</v>
      </c>
      <c r="P206" s="18">
        <v>2280</v>
      </c>
      <c r="Q206" s="18">
        <v>2360</v>
      </c>
      <c r="R206" s="18">
        <v>2450</v>
      </c>
      <c r="S206" s="18">
        <v>2350</v>
      </c>
      <c r="T206" s="18">
        <v>2290</v>
      </c>
      <c r="U206" s="18">
        <v>2440</v>
      </c>
      <c r="V206" s="18">
        <v>2470</v>
      </c>
      <c r="W206" s="18">
        <v>2560</v>
      </c>
      <c r="X206" s="18">
        <v>2700</v>
      </c>
      <c r="Y206" s="18">
        <v>2900</v>
      </c>
      <c r="Z206" s="18">
        <v>3050</v>
      </c>
      <c r="AA206" s="18">
        <v>3430</v>
      </c>
      <c r="AB206" s="18">
        <v>3760</v>
      </c>
      <c r="AC206" s="18">
        <v>3900</v>
      </c>
      <c r="AD206" s="18">
        <v>3510</v>
      </c>
      <c r="AE206" s="18">
        <v>4110</v>
      </c>
      <c r="AF206" s="18">
        <v>4300</v>
      </c>
      <c r="AG206" s="18">
        <v>4620</v>
      </c>
      <c r="AH206" s="18">
        <v>5600</v>
      </c>
      <c r="AI206" s="18">
        <v>5660</v>
      </c>
      <c r="AJ206" s="18">
        <v>5700</v>
      </c>
      <c r="AK206" s="18">
        <v>5920</v>
      </c>
    </row>
    <row r="207" spans="1:37" x14ac:dyDescent="0.25">
      <c r="A207" s="12">
        <f>$A$107</f>
        <v>92</v>
      </c>
      <c r="B207" s="18">
        <v>790</v>
      </c>
      <c r="C207" s="18">
        <v>810</v>
      </c>
      <c r="D207" s="18">
        <v>890</v>
      </c>
      <c r="E207" s="18">
        <v>920</v>
      </c>
      <c r="F207" s="18">
        <v>860</v>
      </c>
      <c r="G207" s="18">
        <v>930</v>
      </c>
      <c r="H207" s="18">
        <v>1140</v>
      </c>
      <c r="I207" s="18">
        <v>1180</v>
      </c>
      <c r="J207" s="18">
        <v>1290</v>
      </c>
      <c r="K207" s="18">
        <v>1350</v>
      </c>
      <c r="L207" s="18">
        <v>1400</v>
      </c>
      <c r="M207" s="18">
        <v>1550</v>
      </c>
      <c r="N207" s="18">
        <v>1550</v>
      </c>
      <c r="O207" s="18">
        <v>1670</v>
      </c>
      <c r="P207" s="18">
        <v>1700</v>
      </c>
      <c r="Q207" s="18">
        <v>1870</v>
      </c>
      <c r="R207" s="18">
        <v>1880</v>
      </c>
      <c r="S207" s="18">
        <v>1930</v>
      </c>
      <c r="T207" s="18">
        <v>1870</v>
      </c>
      <c r="U207" s="18">
        <v>1850</v>
      </c>
      <c r="V207" s="18">
        <v>1980</v>
      </c>
      <c r="W207" s="18">
        <v>2000</v>
      </c>
      <c r="X207" s="18">
        <v>2080</v>
      </c>
      <c r="Y207" s="18">
        <v>2190</v>
      </c>
      <c r="Z207" s="18">
        <v>2360</v>
      </c>
      <c r="AA207" s="18">
        <v>2490</v>
      </c>
      <c r="AB207" s="18">
        <v>2800</v>
      </c>
      <c r="AC207" s="18">
        <v>3080</v>
      </c>
      <c r="AD207" s="18">
        <v>3190</v>
      </c>
      <c r="AE207" s="18">
        <v>2880</v>
      </c>
      <c r="AF207" s="18">
        <v>3370</v>
      </c>
      <c r="AG207" s="18">
        <v>3540</v>
      </c>
      <c r="AH207" s="18">
        <v>3800</v>
      </c>
      <c r="AI207" s="18">
        <v>4610</v>
      </c>
      <c r="AJ207" s="18">
        <v>4670</v>
      </c>
      <c r="AK207" s="18">
        <v>4710</v>
      </c>
    </row>
    <row r="208" spans="1:37" x14ac:dyDescent="0.25">
      <c r="A208" s="12">
        <f>$A$108</f>
        <v>93</v>
      </c>
      <c r="B208" s="18">
        <v>580</v>
      </c>
      <c r="C208" s="18">
        <v>600</v>
      </c>
      <c r="D208" s="18">
        <v>670</v>
      </c>
      <c r="E208" s="18">
        <v>690</v>
      </c>
      <c r="F208" s="18">
        <v>720</v>
      </c>
      <c r="G208" s="18">
        <v>670</v>
      </c>
      <c r="H208" s="18">
        <v>730</v>
      </c>
      <c r="I208" s="18">
        <v>910</v>
      </c>
      <c r="J208" s="18">
        <v>970</v>
      </c>
      <c r="K208" s="18">
        <v>1040</v>
      </c>
      <c r="L208" s="18">
        <v>1080</v>
      </c>
      <c r="M208" s="18">
        <v>1100</v>
      </c>
      <c r="N208" s="18">
        <v>1210</v>
      </c>
      <c r="O208" s="18">
        <v>1190</v>
      </c>
      <c r="P208" s="18">
        <v>1330</v>
      </c>
      <c r="Q208" s="18">
        <v>1350</v>
      </c>
      <c r="R208" s="18">
        <v>1480</v>
      </c>
      <c r="S208" s="18">
        <v>1490</v>
      </c>
      <c r="T208" s="18">
        <v>1540</v>
      </c>
      <c r="U208" s="18">
        <v>1470</v>
      </c>
      <c r="V208" s="18">
        <v>1460</v>
      </c>
      <c r="W208" s="18">
        <v>1560</v>
      </c>
      <c r="X208" s="18">
        <v>1590</v>
      </c>
      <c r="Y208" s="18">
        <v>1650</v>
      </c>
      <c r="Z208" s="18">
        <v>1740</v>
      </c>
      <c r="AA208" s="18">
        <v>1880</v>
      </c>
      <c r="AB208" s="18">
        <v>1980</v>
      </c>
      <c r="AC208" s="18">
        <v>2240</v>
      </c>
      <c r="AD208" s="18">
        <v>2460</v>
      </c>
      <c r="AE208" s="18">
        <v>2550</v>
      </c>
      <c r="AF208" s="18">
        <v>2310</v>
      </c>
      <c r="AG208" s="18">
        <v>2710</v>
      </c>
      <c r="AH208" s="18">
        <v>2840</v>
      </c>
      <c r="AI208" s="18">
        <v>3060</v>
      </c>
      <c r="AJ208" s="18">
        <v>3720</v>
      </c>
      <c r="AK208" s="18">
        <v>3770</v>
      </c>
    </row>
    <row r="209" spans="1:37" x14ac:dyDescent="0.25">
      <c r="A209" s="12">
        <f>$A$109</f>
        <v>94</v>
      </c>
      <c r="B209" s="18">
        <v>400</v>
      </c>
      <c r="C209" s="18">
        <v>460</v>
      </c>
      <c r="D209" s="18">
        <v>450</v>
      </c>
      <c r="E209" s="18">
        <v>510</v>
      </c>
      <c r="F209" s="18">
        <v>530</v>
      </c>
      <c r="G209" s="18">
        <v>550</v>
      </c>
      <c r="H209" s="18">
        <v>520</v>
      </c>
      <c r="I209" s="18">
        <v>560</v>
      </c>
      <c r="J209" s="18">
        <v>730</v>
      </c>
      <c r="K209" s="18">
        <v>750</v>
      </c>
      <c r="L209" s="18">
        <v>800</v>
      </c>
      <c r="M209" s="18">
        <v>820</v>
      </c>
      <c r="N209" s="18">
        <v>840</v>
      </c>
      <c r="O209" s="18">
        <v>930</v>
      </c>
      <c r="P209" s="18">
        <v>910</v>
      </c>
      <c r="Q209" s="18">
        <v>1010</v>
      </c>
      <c r="R209" s="18">
        <v>1030</v>
      </c>
      <c r="S209" s="18">
        <v>1110</v>
      </c>
      <c r="T209" s="18">
        <v>1110</v>
      </c>
      <c r="U209" s="18">
        <v>1190</v>
      </c>
      <c r="V209" s="18">
        <v>1130</v>
      </c>
      <c r="W209" s="18">
        <v>1120</v>
      </c>
      <c r="X209" s="18">
        <v>1210</v>
      </c>
      <c r="Y209" s="18">
        <v>1230</v>
      </c>
      <c r="Z209" s="18">
        <v>1280</v>
      </c>
      <c r="AA209" s="18">
        <v>1350</v>
      </c>
      <c r="AB209" s="18">
        <v>1460</v>
      </c>
      <c r="AC209" s="18">
        <v>1540</v>
      </c>
      <c r="AD209" s="18">
        <v>1740</v>
      </c>
      <c r="AE209" s="18">
        <v>1920</v>
      </c>
      <c r="AF209" s="18">
        <v>1990</v>
      </c>
      <c r="AG209" s="18">
        <v>1800</v>
      </c>
      <c r="AH209" s="18">
        <v>2120</v>
      </c>
      <c r="AI209" s="18">
        <v>2230</v>
      </c>
      <c r="AJ209" s="18">
        <v>2400</v>
      </c>
      <c r="AK209" s="18">
        <v>2920</v>
      </c>
    </row>
    <row r="210" spans="1:37" x14ac:dyDescent="0.25">
      <c r="A210" s="12" t="str">
        <f>$A$110</f>
        <v>95 &amp; over</v>
      </c>
      <c r="B210" s="18">
        <v>850</v>
      </c>
      <c r="C210" s="18">
        <v>880</v>
      </c>
      <c r="D210" s="18">
        <v>980</v>
      </c>
      <c r="E210" s="18">
        <v>1020</v>
      </c>
      <c r="F210" s="18">
        <v>1060</v>
      </c>
      <c r="G210" s="18">
        <v>1120</v>
      </c>
      <c r="H210" s="18">
        <v>1190</v>
      </c>
      <c r="I210" s="18">
        <v>1200</v>
      </c>
      <c r="J210" s="18">
        <v>1250</v>
      </c>
      <c r="K210" s="18">
        <v>1370</v>
      </c>
      <c r="L210" s="18">
        <v>1510</v>
      </c>
      <c r="M210" s="18">
        <v>1690</v>
      </c>
      <c r="N210" s="18">
        <v>1780</v>
      </c>
      <c r="O210" s="18">
        <v>1900</v>
      </c>
      <c r="P210" s="18">
        <v>2060</v>
      </c>
      <c r="Q210" s="18">
        <v>2160</v>
      </c>
      <c r="R210" s="18">
        <v>2160</v>
      </c>
      <c r="S210" s="18">
        <v>2140</v>
      </c>
      <c r="T210" s="18">
        <v>2300</v>
      </c>
      <c r="U210" s="18">
        <v>2480</v>
      </c>
      <c r="V210" s="18">
        <v>2650</v>
      </c>
      <c r="W210" s="18">
        <v>2740</v>
      </c>
      <c r="X210" s="18">
        <v>2790</v>
      </c>
      <c r="Y210" s="18">
        <v>2890</v>
      </c>
      <c r="Z210" s="18">
        <v>2970</v>
      </c>
      <c r="AA210" s="18">
        <v>3070</v>
      </c>
      <c r="AB210" s="18">
        <v>3200</v>
      </c>
      <c r="AC210" s="18">
        <v>3370</v>
      </c>
      <c r="AD210" s="18">
        <v>3570</v>
      </c>
      <c r="AE210" s="18">
        <v>3860</v>
      </c>
      <c r="AF210" s="18">
        <v>4210</v>
      </c>
      <c r="AG210" s="18">
        <v>4520</v>
      </c>
      <c r="AH210" s="18">
        <v>4600</v>
      </c>
      <c r="AI210" s="18">
        <v>4900</v>
      </c>
      <c r="AJ210" s="18">
        <v>5200</v>
      </c>
      <c r="AK210" s="18">
        <v>5560</v>
      </c>
    </row>
    <row r="211" spans="1:37" x14ac:dyDescent="0.25">
      <c r="A211" s="11" t="s">
        <v>387</v>
      </c>
      <c r="B211" s="19">
        <f>SUM(B$115:B$210)</f>
        <v>2048380</v>
      </c>
      <c r="C211" s="19">
        <f t="shared" ref="C211:AK211" si="8">SUM(C$115:C$210)</f>
        <v>2066480</v>
      </c>
      <c r="D211" s="19">
        <f t="shared" si="8"/>
        <v>2083420</v>
      </c>
      <c r="E211" s="19">
        <f t="shared" si="8"/>
        <v>2104660</v>
      </c>
      <c r="F211" s="19">
        <f t="shared" si="8"/>
        <v>2127740</v>
      </c>
      <c r="G211" s="19">
        <f t="shared" si="8"/>
        <v>2143550</v>
      </c>
      <c r="H211" s="19">
        <f t="shared" si="8"/>
        <v>2154990</v>
      </c>
      <c r="I211" s="19">
        <f t="shared" si="8"/>
        <v>2172160</v>
      </c>
      <c r="J211" s="19">
        <f t="shared" si="8"/>
        <v>2215730</v>
      </c>
      <c r="K211" s="19">
        <f t="shared" si="8"/>
        <v>2270080</v>
      </c>
      <c r="L211" s="19">
        <f t="shared" si="8"/>
        <v>2328540</v>
      </c>
      <c r="M211" s="19">
        <f t="shared" si="8"/>
        <v>2382600</v>
      </c>
      <c r="N211" s="19">
        <f t="shared" si="8"/>
        <v>2430160</v>
      </c>
      <c r="O211" s="19">
        <f t="shared" si="8"/>
        <v>2467030</v>
      </c>
      <c r="P211" s="19">
        <f t="shared" si="8"/>
        <v>2518980</v>
      </c>
      <c r="Q211" s="19">
        <f t="shared" si="8"/>
        <v>2524740</v>
      </c>
      <c r="R211" s="19">
        <f t="shared" si="8"/>
        <v>2523110</v>
      </c>
      <c r="S211" s="19">
        <f t="shared" si="8"/>
        <v>2590070</v>
      </c>
      <c r="T211" s="19">
        <f t="shared" si="8"/>
        <v>2634240</v>
      </c>
      <c r="U211" s="19">
        <f t="shared" si="8"/>
        <v>2657510</v>
      </c>
      <c r="V211" s="19">
        <f t="shared" si="8"/>
        <v>2683040</v>
      </c>
      <c r="W211" s="19">
        <f t="shared" si="8"/>
        <v>2709600</v>
      </c>
      <c r="X211" s="19">
        <f t="shared" si="8"/>
        <v>2736820</v>
      </c>
      <c r="Y211" s="19">
        <f t="shared" si="8"/>
        <v>2764430</v>
      </c>
      <c r="Z211" s="19">
        <f t="shared" si="8"/>
        <v>2792180</v>
      </c>
      <c r="AA211" s="19">
        <f t="shared" si="8"/>
        <v>2819730</v>
      </c>
      <c r="AB211" s="19">
        <f t="shared" si="8"/>
        <v>2847050</v>
      </c>
      <c r="AC211" s="19">
        <f t="shared" si="8"/>
        <v>2874140</v>
      </c>
      <c r="AD211" s="19">
        <f t="shared" si="8"/>
        <v>2901050</v>
      </c>
      <c r="AE211" s="19">
        <f t="shared" si="8"/>
        <v>2927660</v>
      </c>
      <c r="AF211" s="19">
        <f t="shared" si="8"/>
        <v>2954210</v>
      </c>
      <c r="AG211" s="19">
        <f t="shared" si="8"/>
        <v>2980620</v>
      </c>
      <c r="AH211" s="19">
        <f t="shared" si="8"/>
        <v>3006970</v>
      </c>
      <c r="AI211" s="19">
        <f t="shared" si="8"/>
        <v>3033170</v>
      </c>
      <c r="AJ211" s="19">
        <f t="shared" si="8"/>
        <v>3059380</v>
      </c>
      <c r="AK211" s="19">
        <f t="shared" si="8"/>
        <v>3085460</v>
      </c>
    </row>
    <row r="212" spans="1:37" x14ac:dyDescent="0.25">
      <c r="A212" s="11"/>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row>
    <row r="213" spans="1:37" x14ac:dyDescent="0.25">
      <c r="A213" s="11"/>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row>
    <row r="214" spans="1:37" x14ac:dyDescent="0.25">
      <c r="A214" s="11" t="s">
        <v>388</v>
      </c>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row>
    <row r="215" spans="1:37" x14ac:dyDescent="0.25">
      <c r="A215" s="12">
        <f>$A$30</f>
        <v>15</v>
      </c>
      <c r="M215" s="12"/>
      <c r="N215" s="12"/>
      <c r="O215" s="12"/>
      <c r="P215" s="12"/>
      <c r="Q215" s="12"/>
      <c r="R215" s="12"/>
      <c r="S215" s="12"/>
      <c r="T215" s="18">
        <v>8740</v>
      </c>
      <c r="U215" s="18">
        <v>8990</v>
      </c>
      <c r="V215" s="18">
        <v>8990</v>
      </c>
      <c r="W215" s="18">
        <v>9010</v>
      </c>
      <c r="X215" s="18">
        <v>9020</v>
      </c>
      <c r="Y215" s="18">
        <v>8800</v>
      </c>
      <c r="Z215" s="18">
        <v>8830</v>
      </c>
      <c r="AA215" s="18">
        <v>8720</v>
      </c>
      <c r="AB215" s="18">
        <v>8850</v>
      </c>
      <c r="AC215" s="18">
        <v>8710</v>
      </c>
      <c r="AD215" s="18">
        <v>8720</v>
      </c>
      <c r="AE215" s="18">
        <v>8650</v>
      </c>
      <c r="AF215" s="18">
        <v>8690</v>
      </c>
      <c r="AG215" s="18">
        <v>8780</v>
      </c>
      <c r="AH215" s="18">
        <v>8120</v>
      </c>
      <c r="AI215" s="18">
        <v>8170</v>
      </c>
      <c r="AJ215" s="18">
        <v>8310</v>
      </c>
      <c r="AK215" s="18">
        <v>8330</v>
      </c>
    </row>
    <row r="216" spans="1:37" x14ac:dyDescent="0.25">
      <c r="A216" s="12">
        <f>$A$31</f>
        <v>16</v>
      </c>
      <c r="M216" s="12"/>
      <c r="N216" s="12"/>
      <c r="O216" s="12"/>
      <c r="P216" s="12"/>
      <c r="Q216" s="12"/>
      <c r="R216" s="12"/>
      <c r="S216" s="12"/>
      <c r="T216" s="18">
        <v>15400</v>
      </c>
      <c r="U216" s="18">
        <v>15120</v>
      </c>
      <c r="V216" s="18">
        <v>15550</v>
      </c>
      <c r="W216" s="18">
        <v>15560</v>
      </c>
      <c r="X216" s="18">
        <v>15600</v>
      </c>
      <c r="Y216" s="18">
        <v>15610</v>
      </c>
      <c r="Z216" s="18">
        <v>15250</v>
      </c>
      <c r="AA216" s="18">
        <v>15290</v>
      </c>
      <c r="AB216" s="18">
        <v>15110</v>
      </c>
      <c r="AC216" s="18">
        <v>15340</v>
      </c>
      <c r="AD216" s="18">
        <v>15080</v>
      </c>
      <c r="AE216" s="18">
        <v>15110</v>
      </c>
      <c r="AF216" s="18">
        <v>14980</v>
      </c>
      <c r="AG216" s="18">
        <v>15060</v>
      </c>
      <c r="AH216" s="18">
        <v>15210</v>
      </c>
      <c r="AI216" s="18">
        <v>14090</v>
      </c>
      <c r="AJ216" s="18">
        <v>14170</v>
      </c>
      <c r="AK216" s="18">
        <v>14410</v>
      </c>
    </row>
    <row r="217" spans="1:37" x14ac:dyDescent="0.25">
      <c r="A217" s="12">
        <f>$A$32</f>
        <v>17</v>
      </c>
      <c r="M217" s="12"/>
      <c r="N217" s="12"/>
      <c r="O217" s="12"/>
      <c r="P217" s="12"/>
      <c r="Q217" s="12"/>
      <c r="R217" s="12"/>
      <c r="S217" s="12"/>
      <c r="T217" s="18">
        <v>20160</v>
      </c>
      <c r="U217" s="18">
        <v>20770</v>
      </c>
      <c r="V217" s="18">
        <v>20410</v>
      </c>
      <c r="W217" s="18">
        <v>20990</v>
      </c>
      <c r="X217" s="18">
        <v>21010</v>
      </c>
      <c r="Y217" s="18">
        <v>21080</v>
      </c>
      <c r="Z217" s="18">
        <v>21090</v>
      </c>
      <c r="AA217" s="18">
        <v>20610</v>
      </c>
      <c r="AB217" s="18">
        <v>20670</v>
      </c>
      <c r="AC217" s="18">
        <v>20440</v>
      </c>
      <c r="AD217" s="18">
        <v>20740</v>
      </c>
      <c r="AE217" s="18">
        <v>20400</v>
      </c>
      <c r="AF217" s="18">
        <v>20440</v>
      </c>
      <c r="AG217" s="18">
        <v>20270</v>
      </c>
      <c r="AH217" s="18">
        <v>20380</v>
      </c>
      <c r="AI217" s="18">
        <v>20570</v>
      </c>
      <c r="AJ217" s="18">
        <v>19070</v>
      </c>
      <c r="AK217" s="18">
        <v>19180</v>
      </c>
    </row>
    <row r="218" spans="1:37" x14ac:dyDescent="0.25">
      <c r="A218" s="12">
        <f>$A$33</f>
        <v>18</v>
      </c>
      <c r="M218" s="12"/>
      <c r="N218" s="12"/>
      <c r="O218" s="12"/>
      <c r="P218" s="12"/>
      <c r="Q218" s="12"/>
      <c r="R218" s="12"/>
      <c r="S218" s="12"/>
      <c r="T218" s="18">
        <v>22030</v>
      </c>
      <c r="U218" s="18">
        <v>23440</v>
      </c>
      <c r="V218" s="18">
        <v>24160</v>
      </c>
      <c r="W218" s="18">
        <v>23750</v>
      </c>
      <c r="X218" s="18">
        <v>24440</v>
      </c>
      <c r="Y218" s="18">
        <v>24470</v>
      </c>
      <c r="Z218" s="18">
        <v>24550</v>
      </c>
      <c r="AA218" s="18">
        <v>24570</v>
      </c>
      <c r="AB218" s="18">
        <v>24010</v>
      </c>
      <c r="AC218" s="18">
        <v>24080</v>
      </c>
      <c r="AD218" s="18">
        <v>23810</v>
      </c>
      <c r="AE218" s="18">
        <v>24160</v>
      </c>
      <c r="AF218" s="18">
        <v>23770</v>
      </c>
      <c r="AG218" s="18">
        <v>23820</v>
      </c>
      <c r="AH218" s="18">
        <v>23620</v>
      </c>
      <c r="AI218" s="18">
        <v>23750</v>
      </c>
      <c r="AJ218" s="18">
        <v>23980</v>
      </c>
      <c r="AK218" s="18">
        <v>22240</v>
      </c>
    </row>
    <row r="219" spans="1:37" x14ac:dyDescent="0.25">
      <c r="A219" s="12">
        <f>$A$34</f>
        <v>19</v>
      </c>
      <c r="M219" s="12"/>
      <c r="N219" s="12"/>
      <c r="O219" s="12"/>
      <c r="P219" s="12"/>
      <c r="Q219" s="12"/>
      <c r="R219" s="12"/>
      <c r="S219" s="12"/>
      <c r="T219" s="18">
        <v>23340</v>
      </c>
      <c r="U219" s="18">
        <v>23780</v>
      </c>
      <c r="V219" s="18">
        <v>25300</v>
      </c>
      <c r="W219" s="18">
        <v>26100</v>
      </c>
      <c r="X219" s="18">
        <v>25670</v>
      </c>
      <c r="Y219" s="18">
        <v>26410</v>
      </c>
      <c r="Z219" s="18">
        <v>26450</v>
      </c>
      <c r="AA219" s="18">
        <v>26530</v>
      </c>
      <c r="AB219" s="18">
        <v>26560</v>
      </c>
      <c r="AC219" s="18">
        <v>25960</v>
      </c>
      <c r="AD219" s="18">
        <v>26040</v>
      </c>
      <c r="AE219" s="18">
        <v>25750</v>
      </c>
      <c r="AF219" s="18">
        <v>26120</v>
      </c>
      <c r="AG219" s="18">
        <v>25700</v>
      </c>
      <c r="AH219" s="18">
        <v>25760</v>
      </c>
      <c r="AI219" s="18">
        <v>25550</v>
      </c>
      <c r="AJ219" s="18">
        <v>25680</v>
      </c>
      <c r="AK219" s="18">
        <v>25930</v>
      </c>
    </row>
    <row r="220" spans="1:37" x14ac:dyDescent="0.25">
      <c r="A220" s="12">
        <f>$A$35</f>
        <v>20</v>
      </c>
      <c r="M220" s="12"/>
      <c r="N220" s="12"/>
      <c r="O220" s="12"/>
      <c r="P220" s="12"/>
      <c r="Q220" s="12"/>
      <c r="R220" s="12"/>
      <c r="S220" s="12"/>
      <c r="T220" s="18">
        <v>23930</v>
      </c>
      <c r="U220" s="18">
        <v>23930</v>
      </c>
      <c r="V220" s="18">
        <v>24420</v>
      </c>
      <c r="W220" s="18">
        <v>26010</v>
      </c>
      <c r="X220" s="18">
        <v>26840</v>
      </c>
      <c r="Y220" s="18">
        <v>26430</v>
      </c>
      <c r="Z220" s="18">
        <v>27210</v>
      </c>
      <c r="AA220" s="18">
        <v>27260</v>
      </c>
      <c r="AB220" s="18">
        <v>27370</v>
      </c>
      <c r="AC220" s="18">
        <v>27400</v>
      </c>
      <c r="AD220" s="18">
        <v>26800</v>
      </c>
      <c r="AE220" s="18">
        <v>26890</v>
      </c>
      <c r="AF220" s="18">
        <v>26600</v>
      </c>
      <c r="AG220" s="18">
        <v>27000</v>
      </c>
      <c r="AH220" s="18">
        <v>26580</v>
      </c>
      <c r="AI220" s="18">
        <v>26640</v>
      </c>
      <c r="AJ220" s="18">
        <v>26430</v>
      </c>
      <c r="AK220" s="18">
        <v>26580</v>
      </c>
    </row>
    <row r="221" spans="1:37" x14ac:dyDescent="0.25">
      <c r="A221" s="12">
        <f>$A$36</f>
        <v>21</v>
      </c>
      <c r="M221" s="12"/>
      <c r="N221" s="12"/>
      <c r="O221" s="12"/>
      <c r="P221" s="12"/>
      <c r="Q221" s="12"/>
      <c r="R221" s="12"/>
      <c r="S221" s="12"/>
      <c r="T221" s="18">
        <v>24130</v>
      </c>
      <c r="U221" s="18">
        <v>24740</v>
      </c>
      <c r="V221" s="18">
        <v>24780</v>
      </c>
      <c r="W221" s="18">
        <v>25310</v>
      </c>
      <c r="X221" s="18">
        <v>26990</v>
      </c>
      <c r="Y221" s="18">
        <v>27870</v>
      </c>
      <c r="Z221" s="18">
        <v>27460</v>
      </c>
      <c r="AA221" s="18">
        <v>28280</v>
      </c>
      <c r="AB221" s="18">
        <v>28350</v>
      </c>
      <c r="AC221" s="18">
        <v>28460</v>
      </c>
      <c r="AD221" s="18">
        <v>28510</v>
      </c>
      <c r="AE221" s="18">
        <v>27890</v>
      </c>
      <c r="AF221" s="18">
        <v>28000</v>
      </c>
      <c r="AG221" s="18">
        <v>27700</v>
      </c>
      <c r="AH221" s="18">
        <v>28120</v>
      </c>
      <c r="AI221" s="18">
        <v>27690</v>
      </c>
      <c r="AJ221" s="18">
        <v>27760</v>
      </c>
      <c r="AK221" s="18">
        <v>27550</v>
      </c>
    </row>
    <row r="222" spans="1:37" x14ac:dyDescent="0.25">
      <c r="A222" s="12">
        <f>$A$37</f>
        <v>22</v>
      </c>
      <c r="M222" s="12"/>
      <c r="N222" s="12"/>
      <c r="O222" s="12"/>
      <c r="P222" s="12"/>
      <c r="Q222" s="12"/>
      <c r="R222" s="12"/>
      <c r="S222" s="12"/>
      <c r="T222" s="18">
        <v>25110</v>
      </c>
      <c r="U222" s="18">
        <v>24970</v>
      </c>
      <c r="V222" s="18">
        <v>25650</v>
      </c>
      <c r="W222" s="18">
        <v>25710</v>
      </c>
      <c r="X222" s="18">
        <v>26290</v>
      </c>
      <c r="Y222" s="18">
        <v>28040</v>
      </c>
      <c r="Z222" s="18">
        <v>28970</v>
      </c>
      <c r="AA222" s="18">
        <v>28540</v>
      </c>
      <c r="AB222" s="18">
        <v>29400</v>
      </c>
      <c r="AC222" s="18">
        <v>29470</v>
      </c>
      <c r="AD222" s="18">
        <v>29590</v>
      </c>
      <c r="AE222" s="18">
        <v>29640</v>
      </c>
      <c r="AF222" s="18">
        <v>29000</v>
      </c>
      <c r="AG222" s="18">
        <v>29120</v>
      </c>
      <c r="AH222" s="18">
        <v>28810</v>
      </c>
      <c r="AI222" s="18">
        <v>29250</v>
      </c>
      <c r="AJ222" s="18">
        <v>28810</v>
      </c>
      <c r="AK222" s="18">
        <v>28880</v>
      </c>
    </row>
    <row r="223" spans="1:37" x14ac:dyDescent="0.25">
      <c r="A223" s="12">
        <f>$A$38</f>
        <v>23</v>
      </c>
      <c r="M223" s="12"/>
      <c r="N223" s="12"/>
      <c r="O223" s="12"/>
      <c r="P223" s="12"/>
      <c r="Q223" s="12"/>
      <c r="R223" s="12"/>
      <c r="S223" s="12"/>
      <c r="T223" s="18">
        <v>26240</v>
      </c>
      <c r="U223" s="18">
        <v>25590</v>
      </c>
      <c r="V223" s="18">
        <v>25520</v>
      </c>
      <c r="W223" s="18">
        <v>26260</v>
      </c>
      <c r="X223" s="18">
        <v>26360</v>
      </c>
      <c r="Y223" s="18">
        <v>26970</v>
      </c>
      <c r="Z223" s="18">
        <v>28790</v>
      </c>
      <c r="AA223" s="18">
        <v>29760</v>
      </c>
      <c r="AB223" s="18">
        <v>29340</v>
      </c>
      <c r="AC223" s="18">
        <v>30240</v>
      </c>
      <c r="AD223" s="18">
        <v>30330</v>
      </c>
      <c r="AE223" s="18">
        <v>30470</v>
      </c>
      <c r="AF223" s="18">
        <v>30530</v>
      </c>
      <c r="AG223" s="18">
        <v>29890</v>
      </c>
      <c r="AH223" s="18">
        <v>30020</v>
      </c>
      <c r="AI223" s="18">
        <v>29720</v>
      </c>
      <c r="AJ223" s="18">
        <v>30180</v>
      </c>
      <c r="AK223" s="18">
        <v>29730</v>
      </c>
    </row>
    <row r="224" spans="1:37" x14ac:dyDescent="0.25">
      <c r="A224" s="12">
        <f>$A$39</f>
        <v>24</v>
      </c>
      <c r="M224" s="12"/>
      <c r="N224" s="12"/>
      <c r="O224" s="12"/>
      <c r="P224" s="12"/>
      <c r="Q224" s="12"/>
      <c r="R224" s="12"/>
      <c r="S224" s="12"/>
      <c r="T224" s="18">
        <v>26890</v>
      </c>
      <c r="U224" s="18">
        <v>26550</v>
      </c>
      <c r="V224" s="18">
        <v>25980</v>
      </c>
      <c r="W224" s="18">
        <v>25970</v>
      </c>
      <c r="X224" s="18">
        <v>26760</v>
      </c>
      <c r="Y224" s="18">
        <v>26910</v>
      </c>
      <c r="Z224" s="18">
        <v>27570</v>
      </c>
      <c r="AA224" s="18">
        <v>29440</v>
      </c>
      <c r="AB224" s="18">
        <v>30450</v>
      </c>
      <c r="AC224" s="18">
        <v>30050</v>
      </c>
      <c r="AD224" s="18">
        <v>30980</v>
      </c>
      <c r="AE224" s="18">
        <v>31090</v>
      </c>
      <c r="AF224" s="18">
        <v>31260</v>
      </c>
      <c r="AG224" s="18">
        <v>31340</v>
      </c>
      <c r="AH224" s="18">
        <v>30710</v>
      </c>
      <c r="AI224" s="18">
        <v>30850</v>
      </c>
      <c r="AJ224" s="18">
        <v>30560</v>
      </c>
      <c r="AK224" s="18">
        <v>31050</v>
      </c>
    </row>
    <row r="225" spans="1:37" x14ac:dyDescent="0.25">
      <c r="A225" s="12">
        <f>$A$40</f>
        <v>25</v>
      </c>
      <c r="M225" s="12"/>
      <c r="N225" s="12"/>
      <c r="O225" s="12"/>
      <c r="P225" s="12"/>
      <c r="Q225" s="12"/>
      <c r="R225" s="12"/>
      <c r="S225" s="12"/>
      <c r="T225" s="18">
        <v>26180</v>
      </c>
      <c r="U225" s="18">
        <v>27430</v>
      </c>
      <c r="V225" s="18">
        <v>27160</v>
      </c>
      <c r="W225" s="18">
        <v>26620</v>
      </c>
      <c r="X225" s="18">
        <v>26640</v>
      </c>
      <c r="Y225" s="18">
        <v>27480</v>
      </c>
      <c r="Z225" s="18">
        <v>27650</v>
      </c>
      <c r="AA225" s="18">
        <v>28330</v>
      </c>
      <c r="AB225" s="18">
        <v>30240</v>
      </c>
      <c r="AC225" s="18">
        <v>31280</v>
      </c>
      <c r="AD225" s="18">
        <v>30890</v>
      </c>
      <c r="AE225" s="18">
        <v>31850</v>
      </c>
      <c r="AF225" s="18">
        <v>31970</v>
      </c>
      <c r="AG225" s="18">
        <v>32150</v>
      </c>
      <c r="AH225" s="18">
        <v>32240</v>
      </c>
      <c r="AI225" s="18">
        <v>31610</v>
      </c>
      <c r="AJ225" s="18">
        <v>31770</v>
      </c>
      <c r="AK225" s="18">
        <v>31480</v>
      </c>
    </row>
    <row r="226" spans="1:37" x14ac:dyDescent="0.25">
      <c r="A226" s="12">
        <f>$A$41</f>
        <v>26</v>
      </c>
      <c r="M226" s="12"/>
      <c r="N226" s="12"/>
      <c r="O226" s="12"/>
      <c r="P226" s="12"/>
      <c r="Q226" s="12"/>
      <c r="R226" s="12"/>
      <c r="S226" s="12"/>
      <c r="T226" s="18">
        <v>27420</v>
      </c>
      <c r="U226" s="18">
        <v>26510</v>
      </c>
      <c r="V226" s="18">
        <v>27830</v>
      </c>
      <c r="W226" s="18">
        <v>27600</v>
      </c>
      <c r="X226" s="18">
        <v>27090</v>
      </c>
      <c r="Y226" s="18">
        <v>27140</v>
      </c>
      <c r="Z226" s="18">
        <v>28000</v>
      </c>
      <c r="AA226" s="18">
        <v>28180</v>
      </c>
      <c r="AB226" s="18">
        <v>28880</v>
      </c>
      <c r="AC226" s="18">
        <v>30800</v>
      </c>
      <c r="AD226" s="18">
        <v>31850</v>
      </c>
      <c r="AE226" s="18">
        <v>31470</v>
      </c>
      <c r="AF226" s="18">
        <v>32440</v>
      </c>
      <c r="AG226" s="18">
        <v>32570</v>
      </c>
      <c r="AH226" s="18">
        <v>32760</v>
      </c>
      <c r="AI226" s="18">
        <v>32860</v>
      </c>
      <c r="AJ226" s="18">
        <v>32230</v>
      </c>
      <c r="AK226" s="18">
        <v>32400</v>
      </c>
    </row>
    <row r="227" spans="1:37" x14ac:dyDescent="0.25">
      <c r="A227" s="12">
        <f>$A$42</f>
        <v>27</v>
      </c>
      <c r="M227" s="12"/>
      <c r="N227" s="12"/>
      <c r="O227" s="12"/>
      <c r="P227" s="12"/>
      <c r="Q227" s="12"/>
      <c r="R227" s="12"/>
      <c r="S227" s="12"/>
      <c r="T227" s="18">
        <v>28150</v>
      </c>
      <c r="U227" s="18">
        <v>27890</v>
      </c>
      <c r="V227" s="18">
        <v>27040</v>
      </c>
      <c r="W227" s="18">
        <v>28390</v>
      </c>
      <c r="X227" s="18">
        <v>28190</v>
      </c>
      <c r="Y227" s="18">
        <v>27700</v>
      </c>
      <c r="Z227" s="18">
        <v>27760</v>
      </c>
      <c r="AA227" s="18">
        <v>28630</v>
      </c>
      <c r="AB227" s="18">
        <v>28820</v>
      </c>
      <c r="AC227" s="18">
        <v>29520</v>
      </c>
      <c r="AD227" s="18">
        <v>31450</v>
      </c>
      <c r="AE227" s="18">
        <v>32510</v>
      </c>
      <c r="AF227" s="18">
        <v>32130</v>
      </c>
      <c r="AG227" s="18">
        <v>33100</v>
      </c>
      <c r="AH227" s="18">
        <v>33240</v>
      </c>
      <c r="AI227" s="18">
        <v>33430</v>
      </c>
      <c r="AJ227" s="18">
        <v>33540</v>
      </c>
      <c r="AK227" s="18">
        <v>32910</v>
      </c>
    </row>
    <row r="228" spans="1:37" x14ac:dyDescent="0.25">
      <c r="A228" s="12">
        <f>$A$43</f>
        <v>28</v>
      </c>
      <c r="M228" s="12"/>
      <c r="N228" s="12"/>
      <c r="O228" s="12"/>
      <c r="P228" s="12"/>
      <c r="Q228" s="12"/>
      <c r="R228" s="12"/>
      <c r="S228" s="12"/>
      <c r="T228" s="18">
        <v>28810</v>
      </c>
      <c r="U228" s="18">
        <v>28700</v>
      </c>
      <c r="V228" s="18">
        <v>28490</v>
      </c>
      <c r="W228" s="18">
        <v>27670</v>
      </c>
      <c r="X228" s="18">
        <v>29040</v>
      </c>
      <c r="Y228" s="18">
        <v>28850</v>
      </c>
      <c r="Z228" s="18">
        <v>28370</v>
      </c>
      <c r="AA228" s="18">
        <v>28440</v>
      </c>
      <c r="AB228" s="18">
        <v>29310</v>
      </c>
      <c r="AC228" s="18">
        <v>29500</v>
      </c>
      <c r="AD228" s="18">
        <v>30210</v>
      </c>
      <c r="AE228" s="18">
        <v>32140</v>
      </c>
      <c r="AF228" s="18">
        <v>33200</v>
      </c>
      <c r="AG228" s="18">
        <v>32820</v>
      </c>
      <c r="AH228" s="18">
        <v>33800</v>
      </c>
      <c r="AI228" s="18">
        <v>33930</v>
      </c>
      <c r="AJ228" s="18">
        <v>34120</v>
      </c>
      <c r="AK228" s="18">
        <v>34230</v>
      </c>
    </row>
    <row r="229" spans="1:37" x14ac:dyDescent="0.25">
      <c r="A229" s="12">
        <f>$A$44</f>
        <v>29</v>
      </c>
      <c r="M229" s="12"/>
      <c r="N229" s="12"/>
      <c r="O229" s="12"/>
      <c r="P229" s="12"/>
      <c r="Q229" s="12"/>
      <c r="R229" s="12"/>
      <c r="S229" s="12"/>
      <c r="T229" s="18">
        <v>30220</v>
      </c>
      <c r="U229" s="18">
        <v>29410</v>
      </c>
      <c r="V229" s="18">
        <v>29340</v>
      </c>
      <c r="W229" s="18">
        <v>29150</v>
      </c>
      <c r="X229" s="18">
        <v>28350</v>
      </c>
      <c r="Y229" s="18">
        <v>29730</v>
      </c>
      <c r="Z229" s="18">
        <v>29550</v>
      </c>
      <c r="AA229" s="18">
        <v>29070</v>
      </c>
      <c r="AB229" s="18">
        <v>29140</v>
      </c>
      <c r="AC229" s="18">
        <v>30020</v>
      </c>
      <c r="AD229" s="18">
        <v>30200</v>
      </c>
      <c r="AE229" s="18">
        <v>30910</v>
      </c>
      <c r="AF229" s="18">
        <v>32850</v>
      </c>
      <c r="AG229" s="18">
        <v>33910</v>
      </c>
      <c r="AH229" s="18">
        <v>33530</v>
      </c>
      <c r="AI229" s="18">
        <v>34510</v>
      </c>
      <c r="AJ229" s="18">
        <v>34640</v>
      </c>
      <c r="AK229" s="18">
        <v>34830</v>
      </c>
    </row>
    <row r="230" spans="1:37" x14ac:dyDescent="0.25">
      <c r="A230" s="12">
        <f>$A$45</f>
        <v>30</v>
      </c>
      <c r="M230" s="12"/>
      <c r="N230" s="12"/>
      <c r="O230" s="12"/>
      <c r="P230" s="12"/>
      <c r="Q230" s="12"/>
      <c r="R230" s="12"/>
      <c r="S230" s="12"/>
      <c r="T230" s="18">
        <v>31050</v>
      </c>
      <c r="U230" s="18">
        <v>30870</v>
      </c>
      <c r="V230" s="18">
        <v>30080</v>
      </c>
      <c r="W230" s="18">
        <v>30030</v>
      </c>
      <c r="X230" s="18">
        <v>29860</v>
      </c>
      <c r="Y230" s="18">
        <v>29050</v>
      </c>
      <c r="Z230" s="18">
        <v>30450</v>
      </c>
      <c r="AA230" s="18">
        <v>30270</v>
      </c>
      <c r="AB230" s="18">
        <v>29790</v>
      </c>
      <c r="AC230" s="18">
        <v>29850</v>
      </c>
      <c r="AD230" s="18">
        <v>30730</v>
      </c>
      <c r="AE230" s="18">
        <v>30910</v>
      </c>
      <c r="AF230" s="18">
        <v>31620</v>
      </c>
      <c r="AG230" s="18">
        <v>33560</v>
      </c>
      <c r="AH230" s="18">
        <v>34620</v>
      </c>
      <c r="AI230" s="18">
        <v>34240</v>
      </c>
      <c r="AJ230" s="18">
        <v>35220</v>
      </c>
      <c r="AK230" s="18">
        <v>35350</v>
      </c>
    </row>
    <row r="231" spans="1:37" x14ac:dyDescent="0.25">
      <c r="A231" s="12">
        <f>$A$46</f>
        <v>31</v>
      </c>
      <c r="M231" s="12"/>
      <c r="N231" s="12"/>
      <c r="O231" s="12"/>
      <c r="P231" s="12"/>
      <c r="Q231" s="12"/>
      <c r="R231" s="12"/>
      <c r="S231" s="12"/>
      <c r="T231" s="18">
        <v>32720</v>
      </c>
      <c r="U231" s="18">
        <v>31740</v>
      </c>
      <c r="V231" s="18">
        <v>31590</v>
      </c>
      <c r="W231" s="18">
        <v>30820</v>
      </c>
      <c r="X231" s="18">
        <v>30780</v>
      </c>
      <c r="Y231" s="18">
        <v>30610</v>
      </c>
      <c r="Z231" s="18">
        <v>29810</v>
      </c>
      <c r="AA231" s="18">
        <v>31210</v>
      </c>
      <c r="AB231" s="18">
        <v>31020</v>
      </c>
      <c r="AC231" s="18">
        <v>30540</v>
      </c>
      <c r="AD231" s="18">
        <v>30600</v>
      </c>
      <c r="AE231" s="18">
        <v>31480</v>
      </c>
      <c r="AF231" s="18">
        <v>31660</v>
      </c>
      <c r="AG231" s="18">
        <v>32370</v>
      </c>
      <c r="AH231" s="18">
        <v>34320</v>
      </c>
      <c r="AI231" s="18">
        <v>35390</v>
      </c>
      <c r="AJ231" s="18">
        <v>35000</v>
      </c>
      <c r="AK231" s="18">
        <v>35980</v>
      </c>
    </row>
    <row r="232" spans="1:37" x14ac:dyDescent="0.25">
      <c r="A232" s="12">
        <f>$A$47</f>
        <v>32</v>
      </c>
      <c r="M232" s="12"/>
      <c r="N232" s="12"/>
      <c r="O232" s="12"/>
      <c r="P232" s="12"/>
      <c r="Q232" s="12"/>
      <c r="R232" s="12"/>
      <c r="S232" s="12"/>
      <c r="T232" s="18">
        <v>33720</v>
      </c>
      <c r="U232" s="18">
        <v>33450</v>
      </c>
      <c r="V232" s="18">
        <v>32490</v>
      </c>
      <c r="W232" s="18">
        <v>32360</v>
      </c>
      <c r="X232" s="18">
        <v>31590</v>
      </c>
      <c r="Y232" s="18">
        <v>31560</v>
      </c>
      <c r="Z232" s="18">
        <v>31390</v>
      </c>
      <c r="AA232" s="18">
        <v>30580</v>
      </c>
      <c r="AB232" s="18">
        <v>31990</v>
      </c>
      <c r="AC232" s="18">
        <v>31800</v>
      </c>
      <c r="AD232" s="18">
        <v>31310</v>
      </c>
      <c r="AE232" s="18">
        <v>31370</v>
      </c>
      <c r="AF232" s="18">
        <v>32250</v>
      </c>
      <c r="AG232" s="18">
        <v>32440</v>
      </c>
      <c r="AH232" s="18">
        <v>33150</v>
      </c>
      <c r="AI232" s="18">
        <v>35110</v>
      </c>
      <c r="AJ232" s="18">
        <v>36180</v>
      </c>
      <c r="AK232" s="18">
        <v>35780</v>
      </c>
    </row>
    <row r="233" spans="1:37" x14ac:dyDescent="0.25">
      <c r="A233" s="12">
        <f>$A$48</f>
        <v>33</v>
      </c>
      <c r="M233" s="12"/>
      <c r="N233" s="12"/>
      <c r="O233" s="12"/>
      <c r="P233" s="12"/>
      <c r="Q233" s="12"/>
      <c r="R233" s="12"/>
      <c r="S233" s="12"/>
      <c r="T233" s="18">
        <v>34800</v>
      </c>
      <c r="U233" s="18">
        <v>34530</v>
      </c>
      <c r="V233" s="18">
        <v>34280</v>
      </c>
      <c r="W233" s="18">
        <v>33320</v>
      </c>
      <c r="X233" s="18">
        <v>33200</v>
      </c>
      <c r="Y233" s="18">
        <v>32430</v>
      </c>
      <c r="Z233" s="18">
        <v>32400</v>
      </c>
      <c r="AA233" s="18">
        <v>32220</v>
      </c>
      <c r="AB233" s="18">
        <v>31400</v>
      </c>
      <c r="AC233" s="18">
        <v>32820</v>
      </c>
      <c r="AD233" s="18">
        <v>32620</v>
      </c>
      <c r="AE233" s="18">
        <v>32120</v>
      </c>
      <c r="AF233" s="18">
        <v>32180</v>
      </c>
      <c r="AG233" s="18">
        <v>33060</v>
      </c>
      <c r="AH233" s="18">
        <v>33240</v>
      </c>
      <c r="AI233" s="18">
        <v>33950</v>
      </c>
      <c r="AJ233" s="18">
        <v>35920</v>
      </c>
      <c r="AK233" s="18">
        <v>36990</v>
      </c>
    </row>
    <row r="234" spans="1:37" x14ac:dyDescent="0.25">
      <c r="A234" s="12">
        <f>$A$49</f>
        <v>34</v>
      </c>
      <c r="M234" s="12"/>
      <c r="N234" s="12"/>
      <c r="O234" s="12"/>
      <c r="P234" s="12"/>
      <c r="Q234" s="12"/>
      <c r="R234" s="12"/>
      <c r="S234" s="12"/>
      <c r="T234" s="18">
        <v>34880</v>
      </c>
      <c r="U234" s="18">
        <v>35610</v>
      </c>
      <c r="V234" s="18">
        <v>35370</v>
      </c>
      <c r="W234" s="18">
        <v>35130</v>
      </c>
      <c r="X234" s="18">
        <v>34170</v>
      </c>
      <c r="Y234" s="18">
        <v>34050</v>
      </c>
      <c r="Z234" s="18">
        <v>33270</v>
      </c>
      <c r="AA234" s="18">
        <v>33240</v>
      </c>
      <c r="AB234" s="18">
        <v>33060</v>
      </c>
      <c r="AC234" s="18">
        <v>32220</v>
      </c>
      <c r="AD234" s="18">
        <v>33640</v>
      </c>
      <c r="AE234" s="18">
        <v>33440</v>
      </c>
      <c r="AF234" s="18">
        <v>32930</v>
      </c>
      <c r="AG234" s="18">
        <v>32990</v>
      </c>
      <c r="AH234" s="18">
        <v>33870</v>
      </c>
      <c r="AI234" s="18">
        <v>34050</v>
      </c>
      <c r="AJ234" s="18">
        <v>34770</v>
      </c>
      <c r="AK234" s="18">
        <v>36750</v>
      </c>
    </row>
    <row r="235" spans="1:37" x14ac:dyDescent="0.25">
      <c r="A235" s="12">
        <f>$A$50</f>
        <v>35</v>
      </c>
      <c r="M235" s="12"/>
      <c r="N235" s="12"/>
      <c r="O235" s="12"/>
      <c r="P235" s="12"/>
      <c r="Q235" s="12"/>
      <c r="R235" s="12"/>
      <c r="S235" s="12"/>
      <c r="T235" s="18">
        <v>34090</v>
      </c>
      <c r="U235" s="18">
        <v>35600</v>
      </c>
      <c r="V235" s="18">
        <v>36380</v>
      </c>
      <c r="W235" s="18">
        <v>36150</v>
      </c>
      <c r="X235" s="18">
        <v>35920</v>
      </c>
      <c r="Y235" s="18">
        <v>34960</v>
      </c>
      <c r="Z235" s="18">
        <v>34840</v>
      </c>
      <c r="AA235" s="18">
        <v>34060</v>
      </c>
      <c r="AB235" s="18">
        <v>34020</v>
      </c>
      <c r="AC235" s="18">
        <v>33830</v>
      </c>
      <c r="AD235" s="18">
        <v>32990</v>
      </c>
      <c r="AE235" s="18">
        <v>34420</v>
      </c>
      <c r="AF235" s="18">
        <v>34210</v>
      </c>
      <c r="AG235" s="18">
        <v>33700</v>
      </c>
      <c r="AH235" s="18">
        <v>33750</v>
      </c>
      <c r="AI235" s="18">
        <v>34640</v>
      </c>
      <c r="AJ235" s="18">
        <v>34820</v>
      </c>
      <c r="AK235" s="18">
        <v>35540</v>
      </c>
    </row>
    <row r="236" spans="1:37" x14ac:dyDescent="0.25">
      <c r="A236" s="12">
        <f>$A$51</f>
        <v>36</v>
      </c>
      <c r="M236" s="12"/>
      <c r="N236" s="12"/>
      <c r="O236" s="12"/>
      <c r="P236" s="12"/>
      <c r="Q236" s="12"/>
      <c r="R236" s="12"/>
      <c r="S236" s="12"/>
      <c r="T236" s="18">
        <v>33850</v>
      </c>
      <c r="U236" s="18">
        <v>34760</v>
      </c>
      <c r="V236" s="18">
        <v>36320</v>
      </c>
      <c r="W236" s="18">
        <v>37120</v>
      </c>
      <c r="X236" s="18">
        <v>36900</v>
      </c>
      <c r="Y236" s="18">
        <v>36670</v>
      </c>
      <c r="Z236" s="18">
        <v>35710</v>
      </c>
      <c r="AA236" s="18">
        <v>35580</v>
      </c>
      <c r="AB236" s="18">
        <v>34790</v>
      </c>
      <c r="AC236" s="18">
        <v>34740</v>
      </c>
      <c r="AD236" s="18">
        <v>34550</v>
      </c>
      <c r="AE236" s="18">
        <v>33700</v>
      </c>
      <c r="AF236" s="18">
        <v>35130</v>
      </c>
      <c r="AG236" s="18">
        <v>34920</v>
      </c>
      <c r="AH236" s="18">
        <v>34400</v>
      </c>
      <c r="AI236" s="18">
        <v>34450</v>
      </c>
      <c r="AJ236" s="18">
        <v>35340</v>
      </c>
      <c r="AK236" s="18">
        <v>35520</v>
      </c>
    </row>
    <row r="237" spans="1:37" x14ac:dyDescent="0.25">
      <c r="A237" s="12">
        <f>$A$52</f>
        <v>37</v>
      </c>
      <c r="M237" s="12"/>
      <c r="N237" s="12"/>
      <c r="O237" s="12"/>
      <c r="P237" s="12"/>
      <c r="Q237" s="12"/>
      <c r="R237" s="12"/>
      <c r="S237" s="12"/>
      <c r="T237" s="18">
        <v>32480</v>
      </c>
      <c r="U237" s="18">
        <v>34480</v>
      </c>
      <c r="V237" s="18">
        <v>35430</v>
      </c>
      <c r="W237" s="18">
        <v>37010</v>
      </c>
      <c r="X237" s="18">
        <v>37820</v>
      </c>
      <c r="Y237" s="18">
        <v>37600</v>
      </c>
      <c r="Z237" s="18">
        <v>37360</v>
      </c>
      <c r="AA237" s="18">
        <v>36380</v>
      </c>
      <c r="AB237" s="18">
        <v>36250</v>
      </c>
      <c r="AC237" s="18">
        <v>35440</v>
      </c>
      <c r="AD237" s="18">
        <v>35390</v>
      </c>
      <c r="AE237" s="18">
        <v>35190</v>
      </c>
      <c r="AF237" s="18">
        <v>34330</v>
      </c>
      <c r="AG237" s="18">
        <v>35770</v>
      </c>
      <c r="AH237" s="18">
        <v>35550</v>
      </c>
      <c r="AI237" s="18">
        <v>35020</v>
      </c>
      <c r="AJ237" s="18">
        <v>35070</v>
      </c>
      <c r="AK237" s="18">
        <v>35960</v>
      </c>
    </row>
    <row r="238" spans="1:37" x14ac:dyDescent="0.25">
      <c r="A238" s="12">
        <f>$A$53</f>
        <v>38</v>
      </c>
      <c r="M238" s="12"/>
      <c r="N238" s="12"/>
      <c r="O238" s="12"/>
      <c r="P238" s="12"/>
      <c r="Q238" s="12"/>
      <c r="R238" s="12"/>
      <c r="S238" s="12"/>
      <c r="T238" s="18">
        <v>31540</v>
      </c>
      <c r="U238" s="18">
        <v>33010</v>
      </c>
      <c r="V238" s="18">
        <v>35050</v>
      </c>
      <c r="W238" s="18">
        <v>36020</v>
      </c>
      <c r="X238" s="18">
        <v>37620</v>
      </c>
      <c r="Y238" s="18">
        <v>38440</v>
      </c>
      <c r="Z238" s="18">
        <v>38220</v>
      </c>
      <c r="AA238" s="18">
        <v>37980</v>
      </c>
      <c r="AB238" s="18">
        <v>36990</v>
      </c>
      <c r="AC238" s="18">
        <v>36860</v>
      </c>
      <c r="AD238" s="18">
        <v>36040</v>
      </c>
      <c r="AE238" s="18">
        <v>35980</v>
      </c>
      <c r="AF238" s="18">
        <v>35780</v>
      </c>
      <c r="AG238" s="18">
        <v>34910</v>
      </c>
      <c r="AH238" s="18">
        <v>36350</v>
      </c>
      <c r="AI238" s="18">
        <v>36130</v>
      </c>
      <c r="AJ238" s="18">
        <v>35600</v>
      </c>
      <c r="AK238" s="18">
        <v>35640</v>
      </c>
    </row>
    <row r="239" spans="1:37" x14ac:dyDescent="0.25">
      <c r="A239" s="12">
        <f>$A$54</f>
        <v>39</v>
      </c>
      <c r="M239" s="12"/>
      <c r="N239" s="12"/>
      <c r="O239" s="12"/>
      <c r="P239" s="12"/>
      <c r="Q239" s="12"/>
      <c r="R239" s="12"/>
      <c r="S239" s="12"/>
      <c r="T239" s="18">
        <v>31370</v>
      </c>
      <c r="U239" s="18">
        <v>32020</v>
      </c>
      <c r="V239" s="18">
        <v>33530</v>
      </c>
      <c r="W239" s="18">
        <v>35590</v>
      </c>
      <c r="X239" s="18">
        <v>36580</v>
      </c>
      <c r="Y239" s="18">
        <v>38190</v>
      </c>
      <c r="Z239" s="18">
        <v>39010</v>
      </c>
      <c r="AA239" s="18">
        <v>38790</v>
      </c>
      <c r="AB239" s="18">
        <v>38540</v>
      </c>
      <c r="AC239" s="18">
        <v>37550</v>
      </c>
      <c r="AD239" s="18">
        <v>37410</v>
      </c>
      <c r="AE239" s="18">
        <v>36580</v>
      </c>
      <c r="AF239" s="18">
        <v>36520</v>
      </c>
      <c r="AG239" s="18">
        <v>36320</v>
      </c>
      <c r="AH239" s="18">
        <v>35440</v>
      </c>
      <c r="AI239" s="18">
        <v>36880</v>
      </c>
      <c r="AJ239" s="18">
        <v>36660</v>
      </c>
      <c r="AK239" s="18">
        <v>36130</v>
      </c>
    </row>
    <row r="240" spans="1:37" x14ac:dyDescent="0.25">
      <c r="A240" s="12">
        <f>$A$55</f>
        <v>40</v>
      </c>
      <c r="M240" s="12"/>
      <c r="N240" s="12"/>
      <c r="O240" s="12"/>
      <c r="P240" s="12"/>
      <c r="Q240" s="12"/>
      <c r="R240" s="12"/>
      <c r="S240" s="12"/>
      <c r="T240" s="18">
        <v>30610</v>
      </c>
      <c r="U240" s="18">
        <v>31850</v>
      </c>
      <c r="V240" s="18">
        <v>32520</v>
      </c>
      <c r="W240" s="18">
        <v>34050</v>
      </c>
      <c r="X240" s="18">
        <v>36140</v>
      </c>
      <c r="Y240" s="18">
        <v>37130</v>
      </c>
      <c r="Z240" s="18">
        <v>38740</v>
      </c>
      <c r="AA240" s="18">
        <v>39560</v>
      </c>
      <c r="AB240" s="18">
        <v>39330</v>
      </c>
      <c r="AC240" s="18">
        <v>39080</v>
      </c>
      <c r="AD240" s="18">
        <v>38070</v>
      </c>
      <c r="AE240" s="18">
        <v>37920</v>
      </c>
      <c r="AF240" s="18">
        <v>37090</v>
      </c>
      <c r="AG240" s="18">
        <v>37030</v>
      </c>
      <c r="AH240" s="18">
        <v>36820</v>
      </c>
      <c r="AI240" s="18">
        <v>35930</v>
      </c>
      <c r="AJ240" s="18">
        <v>37380</v>
      </c>
      <c r="AK240" s="18">
        <v>37150</v>
      </c>
    </row>
    <row r="241" spans="1:37" x14ac:dyDescent="0.25">
      <c r="A241" s="12">
        <f>$A$56</f>
        <v>41</v>
      </c>
      <c r="M241" s="12"/>
      <c r="N241" s="12"/>
      <c r="O241" s="12"/>
      <c r="P241" s="12"/>
      <c r="Q241" s="12"/>
      <c r="R241" s="12"/>
      <c r="S241" s="12"/>
      <c r="T241" s="18">
        <v>30390</v>
      </c>
      <c r="U241" s="18">
        <v>31080</v>
      </c>
      <c r="V241" s="18">
        <v>32340</v>
      </c>
      <c r="W241" s="18">
        <v>33030</v>
      </c>
      <c r="X241" s="18">
        <v>34570</v>
      </c>
      <c r="Y241" s="18">
        <v>36670</v>
      </c>
      <c r="Z241" s="18">
        <v>37660</v>
      </c>
      <c r="AA241" s="18">
        <v>39280</v>
      </c>
      <c r="AB241" s="18">
        <v>40090</v>
      </c>
      <c r="AC241" s="18">
        <v>39850</v>
      </c>
      <c r="AD241" s="18">
        <v>39590</v>
      </c>
      <c r="AE241" s="18">
        <v>38560</v>
      </c>
      <c r="AF241" s="18">
        <v>38410</v>
      </c>
      <c r="AG241" s="18">
        <v>37570</v>
      </c>
      <c r="AH241" s="18">
        <v>37500</v>
      </c>
      <c r="AI241" s="18">
        <v>37280</v>
      </c>
      <c r="AJ241" s="18">
        <v>36390</v>
      </c>
      <c r="AK241" s="18">
        <v>37830</v>
      </c>
    </row>
    <row r="242" spans="1:37" x14ac:dyDescent="0.25">
      <c r="A242" s="12">
        <f>$A$57</f>
        <v>42</v>
      </c>
      <c r="M242" s="12"/>
      <c r="N242" s="12"/>
      <c r="O242" s="12"/>
      <c r="P242" s="12"/>
      <c r="Q242" s="12"/>
      <c r="R242" s="12"/>
      <c r="S242" s="12"/>
      <c r="T242" s="18">
        <v>29790</v>
      </c>
      <c r="U242" s="18">
        <v>30820</v>
      </c>
      <c r="V242" s="18">
        <v>31550</v>
      </c>
      <c r="W242" s="18">
        <v>32820</v>
      </c>
      <c r="X242" s="18">
        <v>33520</v>
      </c>
      <c r="Y242" s="18">
        <v>35070</v>
      </c>
      <c r="Z242" s="18">
        <v>37170</v>
      </c>
      <c r="AA242" s="18">
        <v>38160</v>
      </c>
      <c r="AB242" s="18">
        <v>39770</v>
      </c>
      <c r="AC242" s="18">
        <v>40580</v>
      </c>
      <c r="AD242" s="18">
        <v>40330</v>
      </c>
      <c r="AE242" s="18">
        <v>40060</v>
      </c>
      <c r="AF242" s="18">
        <v>39020</v>
      </c>
      <c r="AG242" s="18">
        <v>38860</v>
      </c>
      <c r="AH242" s="18">
        <v>38010</v>
      </c>
      <c r="AI242" s="18">
        <v>37930</v>
      </c>
      <c r="AJ242" s="18">
        <v>37710</v>
      </c>
      <c r="AK242" s="18">
        <v>36820</v>
      </c>
    </row>
    <row r="243" spans="1:37" x14ac:dyDescent="0.25">
      <c r="A243" s="12">
        <f>$A$58</f>
        <v>43</v>
      </c>
      <c r="M243" s="12"/>
      <c r="N243" s="12"/>
      <c r="O243" s="12"/>
      <c r="P243" s="12"/>
      <c r="Q243" s="12"/>
      <c r="R243" s="12"/>
      <c r="S243" s="12"/>
      <c r="T243" s="18">
        <v>29020</v>
      </c>
      <c r="U243" s="18">
        <v>30210</v>
      </c>
      <c r="V243" s="18">
        <v>31270</v>
      </c>
      <c r="W243" s="18">
        <v>32000</v>
      </c>
      <c r="X243" s="18">
        <v>33290</v>
      </c>
      <c r="Y243" s="18">
        <v>33990</v>
      </c>
      <c r="Z243" s="18">
        <v>35540</v>
      </c>
      <c r="AA243" s="18">
        <v>37650</v>
      </c>
      <c r="AB243" s="18">
        <v>38640</v>
      </c>
      <c r="AC243" s="18">
        <v>40250</v>
      </c>
      <c r="AD243" s="18">
        <v>41060</v>
      </c>
      <c r="AE243" s="18">
        <v>40790</v>
      </c>
      <c r="AF243" s="18">
        <v>40510</v>
      </c>
      <c r="AG243" s="18">
        <v>39470</v>
      </c>
      <c r="AH243" s="18">
        <v>39300</v>
      </c>
      <c r="AI243" s="18">
        <v>38440</v>
      </c>
      <c r="AJ243" s="18">
        <v>38360</v>
      </c>
      <c r="AK243" s="18">
        <v>38130</v>
      </c>
    </row>
    <row r="244" spans="1:37" x14ac:dyDescent="0.25">
      <c r="A244" s="12">
        <f>$A$59</f>
        <v>44</v>
      </c>
      <c r="M244" s="12"/>
      <c r="N244" s="12"/>
      <c r="O244" s="12"/>
      <c r="P244" s="12"/>
      <c r="Q244" s="12"/>
      <c r="R244" s="12"/>
      <c r="S244" s="12"/>
      <c r="T244" s="18">
        <v>28680</v>
      </c>
      <c r="U244" s="18">
        <v>29410</v>
      </c>
      <c r="V244" s="18">
        <v>30630</v>
      </c>
      <c r="W244" s="18">
        <v>31710</v>
      </c>
      <c r="X244" s="18">
        <v>32440</v>
      </c>
      <c r="Y244" s="18">
        <v>33740</v>
      </c>
      <c r="Z244" s="18">
        <v>34440</v>
      </c>
      <c r="AA244" s="18">
        <v>36000</v>
      </c>
      <c r="AB244" s="18">
        <v>38110</v>
      </c>
      <c r="AC244" s="18">
        <v>39090</v>
      </c>
      <c r="AD244" s="18">
        <v>40710</v>
      </c>
      <c r="AE244" s="18">
        <v>41510</v>
      </c>
      <c r="AF244" s="18">
        <v>41240</v>
      </c>
      <c r="AG244" s="18">
        <v>40950</v>
      </c>
      <c r="AH244" s="18">
        <v>39890</v>
      </c>
      <c r="AI244" s="18">
        <v>39720</v>
      </c>
      <c r="AJ244" s="18">
        <v>38850</v>
      </c>
      <c r="AK244" s="18">
        <v>38760</v>
      </c>
    </row>
    <row r="245" spans="1:37" x14ac:dyDescent="0.25">
      <c r="A245" s="12">
        <f>$A$60</f>
        <v>45</v>
      </c>
      <c r="M245" s="12"/>
      <c r="N245" s="12"/>
      <c r="O245" s="12"/>
      <c r="P245" s="12"/>
      <c r="Q245" s="12"/>
      <c r="R245" s="12"/>
      <c r="S245" s="12"/>
      <c r="T245" s="18">
        <v>28380</v>
      </c>
      <c r="U245" s="18">
        <v>29040</v>
      </c>
      <c r="V245" s="18">
        <v>29800</v>
      </c>
      <c r="W245" s="18">
        <v>31040</v>
      </c>
      <c r="X245" s="18">
        <v>32120</v>
      </c>
      <c r="Y245" s="18">
        <v>32860</v>
      </c>
      <c r="Z245" s="18">
        <v>34170</v>
      </c>
      <c r="AA245" s="18">
        <v>34860</v>
      </c>
      <c r="AB245" s="18">
        <v>36420</v>
      </c>
      <c r="AC245" s="18">
        <v>38540</v>
      </c>
      <c r="AD245" s="18">
        <v>39530</v>
      </c>
      <c r="AE245" s="18">
        <v>41150</v>
      </c>
      <c r="AF245" s="18">
        <v>41950</v>
      </c>
      <c r="AG245" s="18">
        <v>41670</v>
      </c>
      <c r="AH245" s="18">
        <v>41370</v>
      </c>
      <c r="AI245" s="18">
        <v>40300</v>
      </c>
      <c r="AJ245" s="18">
        <v>40120</v>
      </c>
      <c r="AK245" s="18">
        <v>39240</v>
      </c>
    </row>
    <row r="246" spans="1:37" x14ac:dyDescent="0.25">
      <c r="A246" s="12">
        <f>$A$61</f>
        <v>46</v>
      </c>
      <c r="M246" s="12"/>
      <c r="N246" s="12"/>
      <c r="O246" s="12"/>
      <c r="P246" s="12"/>
      <c r="Q246" s="12"/>
      <c r="R246" s="12"/>
      <c r="S246" s="12"/>
      <c r="T246" s="18">
        <v>27440</v>
      </c>
      <c r="U246" s="18">
        <v>28580</v>
      </c>
      <c r="V246" s="18">
        <v>29260</v>
      </c>
      <c r="W246" s="18">
        <v>30030</v>
      </c>
      <c r="X246" s="18">
        <v>31280</v>
      </c>
      <c r="Y246" s="18">
        <v>32360</v>
      </c>
      <c r="Z246" s="18">
        <v>33110</v>
      </c>
      <c r="AA246" s="18">
        <v>34410</v>
      </c>
      <c r="AB246" s="18">
        <v>35110</v>
      </c>
      <c r="AC246" s="18">
        <v>36670</v>
      </c>
      <c r="AD246" s="18">
        <v>38800</v>
      </c>
      <c r="AE246" s="18">
        <v>39780</v>
      </c>
      <c r="AF246" s="18">
        <v>41400</v>
      </c>
      <c r="AG246" s="18">
        <v>42200</v>
      </c>
      <c r="AH246" s="18">
        <v>41910</v>
      </c>
      <c r="AI246" s="18">
        <v>41610</v>
      </c>
      <c r="AJ246" s="18">
        <v>40540</v>
      </c>
      <c r="AK246" s="18">
        <v>40360</v>
      </c>
    </row>
    <row r="247" spans="1:37" x14ac:dyDescent="0.25">
      <c r="A247" s="12">
        <f>$A$62</f>
        <v>47</v>
      </c>
      <c r="M247" s="12"/>
      <c r="N247" s="12"/>
      <c r="O247" s="12"/>
      <c r="P247" s="12"/>
      <c r="Q247" s="12"/>
      <c r="R247" s="12"/>
      <c r="S247" s="12"/>
      <c r="T247" s="18">
        <v>27480</v>
      </c>
      <c r="U247" s="18">
        <v>27550</v>
      </c>
      <c r="V247" s="18">
        <v>28700</v>
      </c>
      <c r="W247" s="18">
        <v>29400</v>
      </c>
      <c r="X247" s="18">
        <v>30170</v>
      </c>
      <c r="Y247" s="18">
        <v>31430</v>
      </c>
      <c r="Z247" s="18">
        <v>32520</v>
      </c>
      <c r="AA247" s="18">
        <v>33260</v>
      </c>
      <c r="AB247" s="18">
        <v>34570</v>
      </c>
      <c r="AC247" s="18">
        <v>35260</v>
      </c>
      <c r="AD247" s="18">
        <v>36830</v>
      </c>
      <c r="AE247" s="18">
        <v>38950</v>
      </c>
      <c r="AF247" s="18">
        <v>39930</v>
      </c>
      <c r="AG247" s="18">
        <v>41560</v>
      </c>
      <c r="AH247" s="18">
        <v>42350</v>
      </c>
      <c r="AI247" s="18">
        <v>42060</v>
      </c>
      <c r="AJ247" s="18">
        <v>41760</v>
      </c>
      <c r="AK247" s="18">
        <v>40690</v>
      </c>
    </row>
    <row r="248" spans="1:37" x14ac:dyDescent="0.25">
      <c r="A248" s="12">
        <f>$A$63</f>
        <v>48</v>
      </c>
      <c r="M248" s="12"/>
      <c r="N248" s="12"/>
      <c r="O248" s="12"/>
      <c r="P248" s="12"/>
      <c r="Q248" s="12"/>
      <c r="R248" s="12"/>
      <c r="S248" s="12"/>
      <c r="T248" s="18">
        <v>27040</v>
      </c>
      <c r="U248" s="18">
        <v>27470</v>
      </c>
      <c r="V248" s="18">
        <v>27560</v>
      </c>
      <c r="W248" s="18">
        <v>28720</v>
      </c>
      <c r="X248" s="18">
        <v>29420</v>
      </c>
      <c r="Y248" s="18">
        <v>30190</v>
      </c>
      <c r="Z248" s="18">
        <v>31440</v>
      </c>
      <c r="AA248" s="18">
        <v>32530</v>
      </c>
      <c r="AB248" s="18">
        <v>33270</v>
      </c>
      <c r="AC248" s="18">
        <v>34570</v>
      </c>
      <c r="AD248" s="18">
        <v>35260</v>
      </c>
      <c r="AE248" s="18">
        <v>36820</v>
      </c>
      <c r="AF248" s="18">
        <v>38940</v>
      </c>
      <c r="AG248" s="18">
        <v>39920</v>
      </c>
      <c r="AH248" s="18">
        <v>41540</v>
      </c>
      <c r="AI248" s="18">
        <v>42330</v>
      </c>
      <c r="AJ248" s="18">
        <v>42040</v>
      </c>
      <c r="AK248" s="18">
        <v>41740</v>
      </c>
    </row>
    <row r="249" spans="1:37" x14ac:dyDescent="0.25">
      <c r="A249" s="12">
        <f>$A$64</f>
        <v>49</v>
      </c>
      <c r="M249" s="12"/>
      <c r="N249" s="12"/>
      <c r="O249" s="12"/>
      <c r="P249" s="12"/>
      <c r="Q249" s="12"/>
      <c r="R249" s="12"/>
      <c r="S249" s="12"/>
      <c r="T249" s="18">
        <v>27900</v>
      </c>
      <c r="U249" s="18">
        <v>26990</v>
      </c>
      <c r="V249" s="18">
        <v>27430</v>
      </c>
      <c r="W249" s="18">
        <v>27520</v>
      </c>
      <c r="X249" s="18">
        <v>28680</v>
      </c>
      <c r="Y249" s="18">
        <v>29380</v>
      </c>
      <c r="Z249" s="18">
        <v>30150</v>
      </c>
      <c r="AA249" s="18">
        <v>31400</v>
      </c>
      <c r="AB249" s="18">
        <v>32480</v>
      </c>
      <c r="AC249" s="18">
        <v>33220</v>
      </c>
      <c r="AD249" s="18">
        <v>34510</v>
      </c>
      <c r="AE249" s="18">
        <v>35200</v>
      </c>
      <c r="AF249" s="18">
        <v>36750</v>
      </c>
      <c r="AG249" s="18">
        <v>38860</v>
      </c>
      <c r="AH249" s="18">
        <v>39840</v>
      </c>
      <c r="AI249" s="18">
        <v>41450</v>
      </c>
      <c r="AJ249" s="18">
        <v>42240</v>
      </c>
      <c r="AK249" s="18">
        <v>41950</v>
      </c>
    </row>
    <row r="250" spans="1:37" x14ac:dyDescent="0.25">
      <c r="A250" s="12">
        <f>$A$65</f>
        <v>50</v>
      </c>
      <c r="M250" s="12"/>
      <c r="N250" s="12"/>
      <c r="O250" s="12"/>
      <c r="P250" s="12"/>
      <c r="Q250" s="12"/>
      <c r="R250" s="12"/>
      <c r="S250" s="12"/>
      <c r="T250" s="18">
        <v>28640</v>
      </c>
      <c r="U250" s="18">
        <v>27800</v>
      </c>
      <c r="V250" s="18">
        <v>26900</v>
      </c>
      <c r="W250" s="18">
        <v>27340</v>
      </c>
      <c r="X250" s="18">
        <v>27430</v>
      </c>
      <c r="Y250" s="18">
        <v>28590</v>
      </c>
      <c r="Z250" s="18">
        <v>29280</v>
      </c>
      <c r="AA250" s="18">
        <v>30050</v>
      </c>
      <c r="AB250" s="18">
        <v>31290</v>
      </c>
      <c r="AC250" s="18">
        <v>32360</v>
      </c>
      <c r="AD250" s="18">
        <v>33100</v>
      </c>
      <c r="AE250" s="18">
        <v>34380</v>
      </c>
      <c r="AF250" s="18">
        <v>35060</v>
      </c>
      <c r="AG250" s="18">
        <v>36610</v>
      </c>
      <c r="AH250" s="18">
        <v>38710</v>
      </c>
      <c r="AI250" s="18">
        <v>39680</v>
      </c>
      <c r="AJ250" s="18">
        <v>41280</v>
      </c>
      <c r="AK250" s="18">
        <v>42060</v>
      </c>
    </row>
    <row r="251" spans="1:37" x14ac:dyDescent="0.25">
      <c r="A251" s="12">
        <f>$A$66</f>
        <v>51</v>
      </c>
      <c r="M251" s="12"/>
      <c r="N251" s="12"/>
      <c r="O251" s="12"/>
      <c r="P251" s="12"/>
      <c r="Q251" s="12"/>
      <c r="R251" s="12"/>
      <c r="S251" s="12"/>
      <c r="T251" s="18">
        <v>29170</v>
      </c>
      <c r="U251" s="18">
        <v>28500</v>
      </c>
      <c r="V251" s="18">
        <v>27670</v>
      </c>
      <c r="W251" s="18">
        <v>26770</v>
      </c>
      <c r="X251" s="18">
        <v>27210</v>
      </c>
      <c r="Y251" s="18">
        <v>27300</v>
      </c>
      <c r="Z251" s="18">
        <v>28450</v>
      </c>
      <c r="AA251" s="18">
        <v>29140</v>
      </c>
      <c r="AB251" s="18">
        <v>29900</v>
      </c>
      <c r="AC251" s="18">
        <v>31130</v>
      </c>
      <c r="AD251" s="18">
        <v>32200</v>
      </c>
      <c r="AE251" s="18">
        <v>32920</v>
      </c>
      <c r="AF251" s="18">
        <v>34200</v>
      </c>
      <c r="AG251" s="18">
        <v>34870</v>
      </c>
      <c r="AH251" s="18">
        <v>36410</v>
      </c>
      <c r="AI251" s="18">
        <v>38500</v>
      </c>
      <c r="AJ251" s="18">
        <v>39460</v>
      </c>
      <c r="AK251" s="18">
        <v>41050</v>
      </c>
    </row>
    <row r="252" spans="1:37" x14ac:dyDescent="0.25">
      <c r="A252" s="12">
        <f>$A$67</f>
        <v>52</v>
      </c>
      <c r="M252" s="12"/>
      <c r="N252" s="12"/>
      <c r="O252" s="12"/>
      <c r="P252" s="12"/>
      <c r="Q252" s="12"/>
      <c r="R252" s="12"/>
      <c r="S252" s="12"/>
      <c r="T252" s="18">
        <v>29630</v>
      </c>
      <c r="U252" s="18">
        <v>28980</v>
      </c>
      <c r="V252" s="18">
        <v>28320</v>
      </c>
      <c r="W252" s="18">
        <v>27500</v>
      </c>
      <c r="X252" s="18">
        <v>26610</v>
      </c>
      <c r="Y252" s="18">
        <v>27050</v>
      </c>
      <c r="Z252" s="18">
        <v>27130</v>
      </c>
      <c r="AA252" s="18">
        <v>28280</v>
      </c>
      <c r="AB252" s="18">
        <v>28960</v>
      </c>
      <c r="AC252" s="18">
        <v>29710</v>
      </c>
      <c r="AD252" s="18">
        <v>30940</v>
      </c>
      <c r="AE252" s="18">
        <v>32000</v>
      </c>
      <c r="AF252" s="18">
        <v>32720</v>
      </c>
      <c r="AG252" s="18">
        <v>33990</v>
      </c>
      <c r="AH252" s="18">
        <v>34660</v>
      </c>
      <c r="AI252" s="18">
        <v>36180</v>
      </c>
      <c r="AJ252" s="18">
        <v>38260</v>
      </c>
      <c r="AK252" s="18">
        <v>39210</v>
      </c>
    </row>
    <row r="253" spans="1:37" x14ac:dyDescent="0.25">
      <c r="A253" s="12">
        <f>$A$68</f>
        <v>53</v>
      </c>
      <c r="M253" s="12"/>
      <c r="N253" s="12"/>
      <c r="O253" s="12"/>
      <c r="P253" s="12"/>
      <c r="Q253" s="12"/>
      <c r="R253" s="12"/>
      <c r="S253" s="12"/>
      <c r="T253" s="18">
        <v>29710</v>
      </c>
      <c r="U253" s="18">
        <v>29450</v>
      </c>
      <c r="V253" s="18">
        <v>28810</v>
      </c>
      <c r="W253" s="18">
        <v>28150</v>
      </c>
      <c r="X253" s="18">
        <v>27330</v>
      </c>
      <c r="Y253" s="18">
        <v>26450</v>
      </c>
      <c r="Z253" s="18">
        <v>26880</v>
      </c>
      <c r="AA253" s="18">
        <v>26970</v>
      </c>
      <c r="AB253" s="18">
        <v>28110</v>
      </c>
      <c r="AC253" s="18">
        <v>28780</v>
      </c>
      <c r="AD253" s="18">
        <v>29530</v>
      </c>
      <c r="AE253" s="18">
        <v>30750</v>
      </c>
      <c r="AF253" s="18">
        <v>31800</v>
      </c>
      <c r="AG253" s="18">
        <v>32510</v>
      </c>
      <c r="AH253" s="18">
        <v>33780</v>
      </c>
      <c r="AI253" s="18">
        <v>34440</v>
      </c>
      <c r="AJ253" s="18">
        <v>35950</v>
      </c>
      <c r="AK253" s="18">
        <v>38010</v>
      </c>
    </row>
    <row r="254" spans="1:37" x14ac:dyDescent="0.25">
      <c r="A254" s="12">
        <f>$A$69</f>
        <v>54</v>
      </c>
      <c r="M254" s="12"/>
      <c r="N254" s="12"/>
      <c r="O254" s="12"/>
      <c r="P254" s="12"/>
      <c r="Q254" s="12"/>
      <c r="R254" s="12"/>
      <c r="S254" s="12"/>
      <c r="T254" s="18">
        <v>28170</v>
      </c>
      <c r="U254" s="18">
        <v>29530</v>
      </c>
      <c r="V254" s="18">
        <v>29270</v>
      </c>
      <c r="W254" s="18">
        <v>28640</v>
      </c>
      <c r="X254" s="18">
        <v>27990</v>
      </c>
      <c r="Y254" s="18">
        <v>27180</v>
      </c>
      <c r="Z254" s="18">
        <v>26300</v>
      </c>
      <c r="AA254" s="18">
        <v>26740</v>
      </c>
      <c r="AB254" s="18">
        <v>26830</v>
      </c>
      <c r="AC254" s="18">
        <v>27960</v>
      </c>
      <c r="AD254" s="18">
        <v>28630</v>
      </c>
      <c r="AE254" s="18">
        <v>29370</v>
      </c>
      <c r="AF254" s="18">
        <v>30580</v>
      </c>
      <c r="AG254" s="18">
        <v>31630</v>
      </c>
      <c r="AH254" s="18">
        <v>32340</v>
      </c>
      <c r="AI254" s="18">
        <v>33590</v>
      </c>
      <c r="AJ254" s="18">
        <v>34250</v>
      </c>
      <c r="AK254" s="18">
        <v>35760</v>
      </c>
    </row>
    <row r="255" spans="1:37" x14ac:dyDescent="0.25">
      <c r="A255" s="12">
        <f>$A$70</f>
        <v>55</v>
      </c>
      <c r="M255" s="12"/>
      <c r="N255" s="12"/>
      <c r="O255" s="12"/>
      <c r="P255" s="12"/>
      <c r="Q255" s="12"/>
      <c r="R255" s="12"/>
      <c r="S255" s="12"/>
      <c r="T255" s="18">
        <v>27810</v>
      </c>
      <c r="U255" s="18">
        <v>27940</v>
      </c>
      <c r="V255" s="18">
        <v>29290</v>
      </c>
      <c r="W255" s="18">
        <v>29040</v>
      </c>
      <c r="X255" s="18">
        <v>28420</v>
      </c>
      <c r="Y255" s="18">
        <v>27780</v>
      </c>
      <c r="Z255" s="18">
        <v>26980</v>
      </c>
      <c r="AA255" s="18">
        <v>26110</v>
      </c>
      <c r="AB255" s="18">
        <v>26540</v>
      </c>
      <c r="AC255" s="18">
        <v>26630</v>
      </c>
      <c r="AD255" s="18">
        <v>27750</v>
      </c>
      <c r="AE255" s="18">
        <v>28420</v>
      </c>
      <c r="AF255" s="18">
        <v>29150</v>
      </c>
      <c r="AG255" s="18">
        <v>30350</v>
      </c>
      <c r="AH255" s="18">
        <v>31390</v>
      </c>
      <c r="AI255" s="18">
        <v>32100</v>
      </c>
      <c r="AJ255" s="18">
        <v>33340</v>
      </c>
      <c r="AK255" s="18">
        <v>33990</v>
      </c>
    </row>
    <row r="256" spans="1:37" x14ac:dyDescent="0.25">
      <c r="A256" s="12">
        <f>$A$71</f>
        <v>56</v>
      </c>
      <c r="M256" s="12"/>
      <c r="N256" s="12"/>
      <c r="O256" s="12"/>
      <c r="P256" s="12"/>
      <c r="Q256" s="12"/>
      <c r="R256" s="12"/>
      <c r="S256" s="12"/>
      <c r="T256" s="18">
        <v>26820</v>
      </c>
      <c r="U256" s="18">
        <v>27570</v>
      </c>
      <c r="V256" s="18">
        <v>27710</v>
      </c>
      <c r="W256" s="18">
        <v>29050</v>
      </c>
      <c r="X256" s="18">
        <v>28810</v>
      </c>
      <c r="Y256" s="18">
        <v>28200</v>
      </c>
      <c r="Z256" s="18">
        <v>27560</v>
      </c>
      <c r="AA256" s="18">
        <v>26770</v>
      </c>
      <c r="AB256" s="18">
        <v>25910</v>
      </c>
      <c r="AC256" s="18">
        <v>26340</v>
      </c>
      <c r="AD256" s="18">
        <v>26430</v>
      </c>
      <c r="AE256" s="18">
        <v>27540</v>
      </c>
      <c r="AF256" s="18">
        <v>28210</v>
      </c>
      <c r="AG256" s="18">
        <v>28940</v>
      </c>
      <c r="AH256" s="18">
        <v>30130</v>
      </c>
      <c r="AI256" s="18">
        <v>31160</v>
      </c>
      <c r="AJ256" s="18">
        <v>31860</v>
      </c>
      <c r="AK256" s="18">
        <v>33090</v>
      </c>
    </row>
    <row r="257" spans="1:37" x14ac:dyDescent="0.25">
      <c r="A257" s="12">
        <f>$A$72</f>
        <v>57</v>
      </c>
      <c r="M257" s="12"/>
      <c r="N257" s="12"/>
      <c r="O257" s="12"/>
      <c r="P257" s="12"/>
      <c r="Q257" s="12"/>
      <c r="R257" s="12"/>
      <c r="S257" s="12"/>
      <c r="T257" s="18">
        <v>26130</v>
      </c>
      <c r="U257" s="18">
        <v>26600</v>
      </c>
      <c r="V257" s="18">
        <v>27360</v>
      </c>
      <c r="W257" s="18">
        <v>27500</v>
      </c>
      <c r="X257" s="18">
        <v>28840</v>
      </c>
      <c r="Y257" s="18">
        <v>28610</v>
      </c>
      <c r="Z257" s="18">
        <v>28000</v>
      </c>
      <c r="AA257" s="18">
        <v>27380</v>
      </c>
      <c r="AB257" s="18">
        <v>26600</v>
      </c>
      <c r="AC257" s="18">
        <v>25750</v>
      </c>
      <c r="AD257" s="18">
        <v>26180</v>
      </c>
      <c r="AE257" s="18">
        <v>26270</v>
      </c>
      <c r="AF257" s="18">
        <v>27370</v>
      </c>
      <c r="AG257" s="18">
        <v>28030</v>
      </c>
      <c r="AH257" s="18">
        <v>28760</v>
      </c>
      <c r="AI257" s="18">
        <v>29940</v>
      </c>
      <c r="AJ257" s="18">
        <v>30960</v>
      </c>
      <c r="AK257" s="18">
        <v>31660</v>
      </c>
    </row>
    <row r="258" spans="1:37" x14ac:dyDescent="0.25">
      <c r="A258" s="12">
        <f>$A$73</f>
        <v>58</v>
      </c>
      <c r="M258" s="12"/>
      <c r="N258" s="12"/>
      <c r="O258" s="12"/>
      <c r="P258" s="12"/>
      <c r="Q258" s="12"/>
      <c r="R258" s="12"/>
      <c r="S258" s="12"/>
      <c r="T258" s="18">
        <v>25060</v>
      </c>
      <c r="U258" s="18">
        <v>25830</v>
      </c>
      <c r="V258" s="18">
        <v>26300</v>
      </c>
      <c r="W258" s="18">
        <v>27060</v>
      </c>
      <c r="X258" s="18">
        <v>27210</v>
      </c>
      <c r="Y258" s="18">
        <v>28530</v>
      </c>
      <c r="Z258" s="18">
        <v>28310</v>
      </c>
      <c r="AA258" s="18">
        <v>27720</v>
      </c>
      <c r="AB258" s="18">
        <v>27110</v>
      </c>
      <c r="AC258" s="18">
        <v>26340</v>
      </c>
      <c r="AD258" s="18">
        <v>25510</v>
      </c>
      <c r="AE258" s="18">
        <v>25930</v>
      </c>
      <c r="AF258" s="18">
        <v>26030</v>
      </c>
      <c r="AG258" s="18">
        <v>27120</v>
      </c>
      <c r="AH258" s="18">
        <v>27770</v>
      </c>
      <c r="AI258" s="18">
        <v>28500</v>
      </c>
      <c r="AJ258" s="18">
        <v>29670</v>
      </c>
      <c r="AK258" s="18">
        <v>30680</v>
      </c>
    </row>
    <row r="259" spans="1:37" x14ac:dyDescent="0.25">
      <c r="A259" s="12">
        <f>$A$74</f>
        <v>59</v>
      </c>
      <c r="M259" s="12"/>
      <c r="N259" s="12"/>
      <c r="O259" s="12"/>
      <c r="P259" s="12"/>
      <c r="Q259" s="12"/>
      <c r="R259" s="12"/>
      <c r="S259" s="12"/>
      <c r="T259" s="18">
        <v>24720</v>
      </c>
      <c r="U259" s="18">
        <v>24560</v>
      </c>
      <c r="V259" s="18">
        <v>25320</v>
      </c>
      <c r="W259" s="18">
        <v>25800</v>
      </c>
      <c r="X259" s="18">
        <v>26550</v>
      </c>
      <c r="Y259" s="18">
        <v>26700</v>
      </c>
      <c r="Z259" s="18">
        <v>28000</v>
      </c>
      <c r="AA259" s="18">
        <v>27790</v>
      </c>
      <c r="AB259" s="18">
        <v>27210</v>
      </c>
      <c r="AC259" s="18">
        <v>26620</v>
      </c>
      <c r="AD259" s="18">
        <v>25870</v>
      </c>
      <c r="AE259" s="18">
        <v>25060</v>
      </c>
      <c r="AF259" s="18">
        <v>25480</v>
      </c>
      <c r="AG259" s="18">
        <v>25570</v>
      </c>
      <c r="AH259" s="18">
        <v>26650</v>
      </c>
      <c r="AI259" s="18">
        <v>27290</v>
      </c>
      <c r="AJ259" s="18">
        <v>28000</v>
      </c>
      <c r="AK259" s="18">
        <v>29150</v>
      </c>
    </row>
    <row r="260" spans="1:37" x14ac:dyDescent="0.25">
      <c r="A260" s="12">
        <f>$A$75</f>
        <v>60</v>
      </c>
      <c r="M260" s="12"/>
      <c r="N260" s="12"/>
      <c r="O260" s="12"/>
      <c r="P260" s="12"/>
      <c r="Q260" s="12"/>
      <c r="R260" s="12"/>
      <c r="S260" s="12"/>
      <c r="T260" s="18">
        <v>24540</v>
      </c>
      <c r="U260" s="18">
        <v>24000</v>
      </c>
      <c r="V260" s="18">
        <v>23860</v>
      </c>
      <c r="W260" s="18">
        <v>24610</v>
      </c>
      <c r="X260" s="18">
        <v>25080</v>
      </c>
      <c r="Y260" s="18">
        <v>25810</v>
      </c>
      <c r="Z260" s="18">
        <v>25960</v>
      </c>
      <c r="AA260" s="18">
        <v>27230</v>
      </c>
      <c r="AB260" s="18">
        <v>27030</v>
      </c>
      <c r="AC260" s="18">
        <v>26480</v>
      </c>
      <c r="AD260" s="18">
        <v>25910</v>
      </c>
      <c r="AE260" s="18">
        <v>25190</v>
      </c>
      <c r="AF260" s="18">
        <v>24400</v>
      </c>
      <c r="AG260" s="18">
        <v>24810</v>
      </c>
      <c r="AH260" s="18">
        <v>24900</v>
      </c>
      <c r="AI260" s="18">
        <v>25950</v>
      </c>
      <c r="AJ260" s="18">
        <v>26580</v>
      </c>
      <c r="AK260" s="18">
        <v>27270</v>
      </c>
    </row>
    <row r="261" spans="1:37" x14ac:dyDescent="0.25">
      <c r="A261" s="12">
        <f>$A$76</f>
        <v>61</v>
      </c>
      <c r="M261" s="12"/>
      <c r="N261" s="12"/>
      <c r="O261" s="12"/>
      <c r="P261" s="12"/>
      <c r="Q261" s="12"/>
      <c r="R261" s="12"/>
      <c r="S261" s="12"/>
      <c r="T261" s="18">
        <v>23990</v>
      </c>
      <c r="U261" s="18">
        <v>23660</v>
      </c>
      <c r="V261" s="18">
        <v>23160</v>
      </c>
      <c r="W261" s="18">
        <v>23030</v>
      </c>
      <c r="X261" s="18">
        <v>23770</v>
      </c>
      <c r="Y261" s="18">
        <v>24220</v>
      </c>
      <c r="Z261" s="18">
        <v>24940</v>
      </c>
      <c r="AA261" s="18">
        <v>25090</v>
      </c>
      <c r="AB261" s="18">
        <v>26310</v>
      </c>
      <c r="AC261" s="18">
        <v>26130</v>
      </c>
      <c r="AD261" s="18">
        <v>25600</v>
      </c>
      <c r="AE261" s="18">
        <v>25050</v>
      </c>
      <c r="AF261" s="18">
        <v>24360</v>
      </c>
      <c r="AG261" s="18">
        <v>23600</v>
      </c>
      <c r="AH261" s="18">
        <v>24000</v>
      </c>
      <c r="AI261" s="18">
        <v>24090</v>
      </c>
      <c r="AJ261" s="18">
        <v>25100</v>
      </c>
      <c r="AK261" s="18">
        <v>25710</v>
      </c>
    </row>
    <row r="262" spans="1:37" x14ac:dyDescent="0.25">
      <c r="A262" s="12">
        <f>$A$77</f>
        <v>62</v>
      </c>
      <c r="M262" s="12"/>
      <c r="N262" s="12"/>
      <c r="O262" s="12"/>
      <c r="P262" s="12"/>
      <c r="Q262" s="12"/>
      <c r="R262" s="12"/>
      <c r="S262" s="12"/>
      <c r="T262" s="18">
        <v>22560</v>
      </c>
      <c r="U262" s="18">
        <v>22930</v>
      </c>
      <c r="V262" s="18">
        <v>22630</v>
      </c>
      <c r="W262" s="18">
        <v>22170</v>
      </c>
      <c r="X262" s="18">
        <v>22060</v>
      </c>
      <c r="Y262" s="18">
        <v>22770</v>
      </c>
      <c r="Z262" s="18">
        <v>23210</v>
      </c>
      <c r="AA262" s="18">
        <v>23900</v>
      </c>
      <c r="AB262" s="18">
        <v>24050</v>
      </c>
      <c r="AC262" s="18">
        <v>25230</v>
      </c>
      <c r="AD262" s="18">
        <v>25060</v>
      </c>
      <c r="AE262" s="18">
        <v>24560</v>
      </c>
      <c r="AF262" s="18">
        <v>24040</v>
      </c>
      <c r="AG262" s="18">
        <v>23380</v>
      </c>
      <c r="AH262" s="18">
        <v>22670</v>
      </c>
      <c r="AI262" s="18">
        <v>23050</v>
      </c>
      <c r="AJ262" s="18">
        <v>23140</v>
      </c>
      <c r="AK262" s="18">
        <v>24110</v>
      </c>
    </row>
    <row r="263" spans="1:37" x14ac:dyDescent="0.25">
      <c r="A263" s="12">
        <f>$A$78</f>
        <v>63</v>
      </c>
      <c r="M263" s="12"/>
      <c r="N263" s="12"/>
      <c r="O263" s="12"/>
      <c r="P263" s="12"/>
      <c r="Q263" s="12"/>
      <c r="R263" s="12"/>
      <c r="S263" s="12"/>
      <c r="T263" s="18">
        <v>20140</v>
      </c>
      <c r="U263" s="18">
        <v>20960</v>
      </c>
      <c r="V263" s="18">
        <v>21320</v>
      </c>
      <c r="W263" s="18">
        <v>21060</v>
      </c>
      <c r="X263" s="18">
        <v>20640</v>
      </c>
      <c r="Y263" s="18">
        <v>20550</v>
      </c>
      <c r="Z263" s="18">
        <v>21220</v>
      </c>
      <c r="AA263" s="18">
        <v>21640</v>
      </c>
      <c r="AB263" s="18">
        <v>22290</v>
      </c>
      <c r="AC263" s="18">
        <v>22440</v>
      </c>
      <c r="AD263" s="18">
        <v>23550</v>
      </c>
      <c r="AE263" s="18">
        <v>23390</v>
      </c>
      <c r="AF263" s="18">
        <v>22930</v>
      </c>
      <c r="AG263" s="18">
        <v>22460</v>
      </c>
      <c r="AH263" s="18">
        <v>21850</v>
      </c>
      <c r="AI263" s="18">
        <v>21190</v>
      </c>
      <c r="AJ263" s="18">
        <v>21550</v>
      </c>
      <c r="AK263" s="18">
        <v>21640</v>
      </c>
    </row>
    <row r="264" spans="1:37" x14ac:dyDescent="0.25">
      <c r="A264" s="12">
        <f>$A$79</f>
        <v>64</v>
      </c>
      <c r="M264" s="12"/>
      <c r="N264" s="12"/>
      <c r="O264" s="12"/>
      <c r="P264" s="12"/>
      <c r="Q264" s="12"/>
      <c r="R264" s="12"/>
      <c r="S264" s="12"/>
      <c r="T264" s="18">
        <v>17570</v>
      </c>
      <c r="U264" s="18">
        <v>18510</v>
      </c>
      <c r="V264" s="18">
        <v>19270</v>
      </c>
      <c r="W264" s="18">
        <v>19620</v>
      </c>
      <c r="X264" s="18">
        <v>19390</v>
      </c>
      <c r="Y264" s="18">
        <v>19020</v>
      </c>
      <c r="Z264" s="18">
        <v>18950</v>
      </c>
      <c r="AA264" s="18">
        <v>19570</v>
      </c>
      <c r="AB264" s="18">
        <v>19970</v>
      </c>
      <c r="AC264" s="18">
        <v>20580</v>
      </c>
      <c r="AD264" s="18">
        <v>20730</v>
      </c>
      <c r="AE264" s="18">
        <v>21750</v>
      </c>
      <c r="AF264" s="18">
        <v>21620</v>
      </c>
      <c r="AG264" s="18">
        <v>21200</v>
      </c>
      <c r="AH264" s="18">
        <v>20770</v>
      </c>
      <c r="AI264" s="18">
        <v>20220</v>
      </c>
      <c r="AJ264" s="18">
        <v>19610</v>
      </c>
      <c r="AK264" s="18">
        <v>19950</v>
      </c>
    </row>
    <row r="265" spans="1:37" x14ac:dyDescent="0.25">
      <c r="A265" s="12">
        <f>$A$80</f>
        <v>65</v>
      </c>
      <c r="M265" s="12"/>
      <c r="N265" s="12"/>
      <c r="O265" s="12"/>
      <c r="P265" s="12"/>
      <c r="Q265" s="12"/>
      <c r="R265" s="12"/>
      <c r="S265" s="12"/>
      <c r="T265" s="18">
        <v>15540</v>
      </c>
      <c r="U265" s="18">
        <v>15930</v>
      </c>
      <c r="V265" s="18">
        <v>16790</v>
      </c>
      <c r="W265" s="18">
        <v>17500</v>
      </c>
      <c r="X265" s="18">
        <v>17820</v>
      </c>
      <c r="Y265" s="18">
        <v>17630</v>
      </c>
      <c r="Z265" s="18">
        <v>17300</v>
      </c>
      <c r="AA265" s="18">
        <v>17250</v>
      </c>
      <c r="AB265" s="18">
        <v>17820</v>
      </c>
      <c r="AC265" s="18">
        <v>18190</v>
      </c>
      <c r="AD265" s="18">
        <v>18750</v>
      </c>
      <c r="AE265" s="18">
        <v>18890</v>
      </c>
      <c r="AF265" s="18">
        <v>19830</v>
      </c>
      <c r="AG265" s="18">
        <v>19710</v>
      </c>
      <c r="AH265" s="18">
        <v>19340</v>
      </c>
      <c r="AI265" s="18">
        <v>18950</v>
      </c>
      <c r="AJ265" s="18">
        <v>18450</v>
      </c>
      <c r="AK265" s="18">
        <v>17900</v>
      </c>
    </row>
    <row r="266" spans="1:37" x14ac:dyDescent="0.25">
      <c r="A266" s="12">
        <f>$A$81</f>
        <v>66</v>
      </c>
      <c r="M266" s="12"/>
      <c r="N266" s="12"/>
      <c r="O266" s="12"/>
      <c r="P266" s="12"/>
      <c r="Q266" s="12"/>
      <c r="R266" s="12"/>
      <c r="S266" s="12"/>
      <c r="T266" s="18">
        <v>13200</v>
      </c>
      <c r="U266" s="18">
        <v>13800</v>
      </c>
      <c r="V266" s="18">
        <v>14150</v>
      </c>
      <c r="W266" s="18">
        <v>14930</v>
      </c>
      <c r="X266" s="18">
        <v>15570</v>
      </c>
      <c r="Y266" s="18">
        <v>15860</v>
      </c>
      <c r="Z266" s="18">
        <v>15700</v>
      </c>
      <c r="AA266" s="18">
        <v>15410</v>
      </c>
      <c r="AB266" s="18">
        <v>15370</v>
      </c>
      <c r="AC266" s="18">
        <v>15890</v>
      </c>
      <c r="AD266" s="18">
        <v>16220</v>
      </c>
      <c r="AE266" s="18">
        <v>16720</v>
      </c>
      <c r="AF266" s="18">
        <v>16850</v>
      </c>
      <c r="AG266" s="18">
        <v>17690</v>
      </c>
      <c r="AH266" s="18">
        <v>17590</v>
      </c>
      <c r="AI266" s="18">
        <v>17260</v>
      </c>
      <c r="AJ266" s="18">
        <v>16920</v>
      </c>
      <c r="AK266" s="18">
        <v>16480</v>
      </c>
    </row>
    <row r="267" spans="1:37" x14ac:dyDescent="0.25">
      <c r="A267" s="12">
        <f>$A$82</f>
        <v>67</v>
      </c>
      <c r="M267" s="12"/>
      <c r="N267" s="12"/>
      <c r="O267" s="12"/>
      <c r="P267" s="12"/>
      <c r="Q267" s="12"/>
      <c r="R267" s="12"/>
      <c r="S267" s="12"/>
      <c r="T267" s="18">
        <v>11360</v>
      </c>
      <c r="U267" s="18">
        <v>11820</v>
      </c>
      <c r="V267" s="18">
        <v>12370</v>
      </c>
      <c r="W267" s="18">
        <v>12690</v>
      </c>
      <c r="X267" s="18">
        <v>13390</v>
      </c>
      <c r="Y267" s="18">
        <v>13960</v>
      </c>
      <c r="Z267" s="18">
        <v>14230</v>
      </c>
      <c r="AA267" s="18">
        <v>14090</v>
      </c>
      <c r="AB267" s="18">
        <v>13840</v>
      </c>
      <c r="AC267" s="18">
        <v>13800</v>
      </c>
      <c r="AD267" s="18">
        <v>14270</v>
      </c>
      <c r="AE267" s="18">
        <v>14570</v>
      </c>
      <c r="AF267" s="18">
        <v>15020</v>
      </c>
      <c r="AG267" s="18">
        <v>15140</v>
      </c>
      <c r="AH267" s="18">
        <v>15900</v>
      </c>
      <c r="AI267" s="18">
        <v>15810</v>
      </c>
      <c r="AJ267" s="18">
        <v>15520</v>
      </c>
      <c r="AK267" s="18">
        <v>15210</v>
      </c>
    </row>
    <row r="268" spans="1:37" x14ac:dyDescent="0.25">
      <c r="A268" s="12">
        <f>$A$83</f>
        <v>68</v>
      </c>
      <c r="M268" s="12"/>
      <c r="N268" s="12"/>
      <c r="O268" s="12"/>
      <c r="P268" s="12"/>
      <c r="Q268" s="12"/>
      <c r="R268" s="12"/>
      <c r="S268" s="12"/>
      <c r="T268" s="18">
        <v>9720</v>
      </c>
      <c r="U268" s="18">
        <v>10100</v>
      </c>
      <c r="V268" s="18">
        <v>10510</v>
      </c>
      <c r="W268" s="18">
        <v>11000</v>
      </c>
      <c r="X268" s="18">
        <v>11290</v>
      </c>
      <c r="Y268" s="18">
        <v>11910</v>
      </c>
      <c r="Z268" s="18">
        <v>12420</v>
      </c>
      <c r="AA268" s="18">
        <v>12660</v>
      </c>
      <c r="AB268" s="18">
        <v>12540</v>
      </c>
      <c r="AC268" s="18">
        <v>12320</v>
      </c>
      <c r="AD268" s="18">
        <v>12290</v>
      </c>
      <c r="AE268" s="18">
        <v>12700</v>
      </c>
      <c r="AF268" s="18">
        <v>12970</v>
      </c>
      <c r="AG268" s="18">
        <v>13370</v>
      </c>
      <c r="AH268" s="18">
        <v>13480</v>
      </c>
      <c r="AI268" s="18">
        <v>14150</v>
      </c>
      <c r="AJ268" s="18">
        <v>14080</v>
      </c>
      <c r="AK268" s="18">
        <v>13820</v>
      </c>
    </row>
    <row r="269" spans="1:37" x14ac:dyDescent="0.25">
      <c r="A269" s="12">
        <f>$A$84</f>
        <v>69</v>
      </c>
      <c r="M269" s="12"/>
      <c r="N269" s="12"/>
      <c r="O269" s="12"/>
      <c r="P269" s="12"/>
      <c r="Q269" s="12"/>
      <c r="R269" s="12"/>
      <c r="S269" s="12"/>
      <c r="T269" s="18">
        <v>8160</v>
      </c>
      <c r="U269" s="18">
        <v>8550</v>
      </c>
      <c r="V269" s="18">
        <v>8880</v>
      </c>
      <c r="W269" s="18">
        <v>9250</v>
      </c>
      <c r="X269" s="18">
        <v>9670</v>
      </c>
      <c r="Y269" s="18">
        <v>9930</v>
      </c>
      <c r="Z269" s="18">
        <v>10480</v>
      </c>
      <c r="AA269" s="18">
        <v>10930</v>
      </c>
      <c r="AB269" s="18">
        <v>11140</v>
      </c>
      <c r="AC269" s="18">
        <v>11030</v>
      </c>
      <c r="AD269" s="18">
        <v>10830</v>
      </c>
      <c r="AE269" s="18">
        <v>10810</v>
      </c>
      <c r="AF269" s="18">
        <v>11170</v>
      </c>
      <c r="AG269" s="18">
        <v>11410</v>
      </c>
      <c r="AH269" s="18">
        <v>11760</v>
      </c>
      <c r="AI269" s="18">
        <v>11850</v>
      </c>
      <c r="AJ269" s="18">
        <v>12440</v>
      </c>
      <c r="AK269" s="18">
        <v>12380</v>
      </c>
    </row>
    <row r="270" spans="1:37" x14ac:dyDescent="0.25">
      <c r="A270" s="12">
        <f>$A$85</f>
        <v>70</v>
      </c>
      <c r="M270" s="12"/>
      <c r="N270" s="12"/>
      <c r="O270" s="12"/>
      <c r="P270" s="12"/>
      <c r="Q270" s="12"/>
      <c r="R270" s="12"/>
      <c r="S270" s="12"/>
      <c r="T270" s="18">
        <v>6800</v>
      </c>
      <c r="U270" s="18">
        <v>7090</v>
      </c>
      <c r="V270" s="18">
        <v>7430</v>
      </c>
      <c r="W270" s="18">
        <v>7710</v>
      </c>
      <c r="X270" s="18">
        <v>8030</v>
      </c>
      <c r="Y270" s="18">
        <v>8400</v>
      </c>
      <c r="Z270" s="18">
        <v>8620</v>
      </c>
      <c r="AA270" s="18">
        <v>9090</v>
      </c>
      <c r="AB270" s="18">
        <v>9480</v>
      </c>
      <c r="AC270" s="18">
        <v>9670</v>
      </c>
      <c r="AD270" s="18">
        <v>9570</v>
      </c>
      <c r="AE270" s="18">
        <v>9400</v>
      </c>
      <c r="AF270" s="18">
        <v>9370</v>
      </c>
      <c r="AG270" s="18">
        <v>9690</v>
      </c>
      <c r="AH270" s="18">
        <v>9890</v>
      </c>
      <c r="AI270" s="18">
        <v>10200</v>
      </c>
      <c r="AJ270" s="18">
        <v>10280</v>
      </c>
      <c r="AK270" s="18">
        <v>10790</v>
      </c>
    </row>
    <row r="271" spans="1:37" x14ac:dyDescent="0.25">
      <c r="A271" s="12">
        <f>$A$86</f>
        <v>71</v>
      </c>
      <c r="M271" s="12"/>
      <c r="N271" s="12"/>
      <c r="O271" s="12"/>
      <c r="P271" s="12"/>
      <c r="Q271" s="12"/>
      <c r="R271" s="12"/>
      <c r="S271" s="12"/>
      <c r="T271" s="18">
        <v>5530</v>
      </c>
      <c r="U271" s="18">
        <v>5840</v>
      </c>
      <c r="V271" s="18">
        <v>6090</v>
      </c>
      <c r="W271" s="18">
        <v>6380</v>
      </c>
      <c r="X271" s="18">
        <v>6620</v>
      </c>
      <c r="Y271" s="18">
        <v>6890</v>
      </c>
      <c r="Z271" s="18">
        <v>7210</v>
      </c>
      <c r="AA271" s="18">
        <v>7400</v>
      </c>
      <c r="AB271" s="18">
        <v>7800</v>
      </c>
      <c r="AC271" s="18">
        <v>8140</v>
      </c>
      <c r="AD271" s="18">
        <v>8290</v>
      </c>
      <c r="AE271" s="18">
        <v>8210</v>
      </c>
      <c r="AF271" s="18">
        <v>8060</v>
      </c>
      <c r="AG271" s="18">
        <v>8040</v>
      </c>
      <c r="AH271" s="18">
        <v>8310</v>
      </c>
      <c r="AI271" s="18">
        <v>8480</v>
      </c>
      <c r="AJ271" s="18">
        <v>8740</v>
      </c>
      <c r="AK271" s="18">
        <v>8810</v>
      </c>
    </row>
    <row r="272" spans="1:37" x14ac:dyDescent="0.25">
      <c r="A272" s="12">
        <f>$A$87</f>
        <v>72</v>
      </c>
      <c r="M272" s="12"/>
      <c r="N272" s="12"/>
      <c r="O272" s="12"/>
      <c r="P272" s="12"/>
      <c r="Q272" s="12"/>
      <c r="R272" s="12"/>
      <c r="S272" s="12"/>
      <c r="T272" s="18">
        <v>4510</v>
      </c>
      <c r="U272" s="18">
        <v>4680</v>
      </c>
      <c r="V272" s="18">
        <v>4940</v>
      </c>
      <c r="W272" s="18">
        <v>5140</v>
      </c>
      <c r="X272" s="18">
        <v>5390</v>
      </c>
      <c r="Y272" s="18">
        <v>5600</v>
      </c>
      <c r="Z272" s="18">
        <v>5820</v>
      </c>
      <c r="AA272" s="18">
        <v>6090</v>
      </c>
      <c r="AB272" s="18">
        <v>6250</v>
      </c>
      <c r="AC272" s="18">
        <v>6590</v>
      </c>
      <c r="AD272" s="18">
        <v>6870</v>
      </c>
      <c r="AE272" s="18">
        <v>7000</v>
      </c>
      <c r="AF272" s="18">
        <v>6930</v>
      </c>
      <c r="AG272" s="18">
        <v>6810</v>
      </c>
      <c r="AH272" s="18">
        <v>6790</v>
      </c>
      <c r="AI272" s="18">
        <v>7010</v>
      </c>
      <c r="AJ272" s="18">
        <v>7160</v>
      </c>
      <c r="AK272" s="18">
        <v>7380</v>
      </c>
    </row>
    <row r="273" spans="1:37" x14ac:dyDescent="0.25">
      <c r="A273" s="12">
        <f>$A$88</f>
        <v>73</v>
      </c>
      <c r="M273" s="12"/>
      <c r="N273" s="12"/>
      <c r="O273" s="12"/>
      <c r="P273" s="12"/>
      <c r="Q273" s="12"/>
      <c r="R273" s="12"/>
      <c r="S273" s="12"/>
      <c r="T273" s="18">
        <v>3560</v>
      </c>
      <c r="U273" s="18">
        <v>3740</v>
      </c>
      <c r="V273" s="18">
        <v>3880</v>
      </c>
      <c r="W273" s="18">
        <v>4100</v>
      </c>
      <c r="X273" s="18">
        <v>4270</v>
      </c>
      <c r="Y273" s="18">
        <v>4470</v>
      </c>
      <c r="Z273" s="18">
        <v>4640</v>
      </c>
      <c r="AA273" s="18">
        <v>4830</v>
      </c>
      <c r="AB273" s="18">
        <v>5050</v>
      </c>
      <c r="AC273" s="18">
        <v>5180</v>
      </c>
      <c r="AD273" s="18">
        <v>5470</v>
      </c>
      <c r="AE273" s="18">
        <v>5700</v>
      </c>
      <c r="AF273" s="18">
        <v>5810</v>
      </c>
      <c r="AG273" s="18">
        <v>5750</v>
      </c>
      <c r="AH273" s="18">
        <v>5650</v>
      </c>
      <c r="AI273" s="18">
        <v>5630</v>
      </c>
      <c r="AJ273" s="18">
        <v>5820</v>
      </c>
      <c r="AK273" s="18">
        <v>5940</v>
      </c>
    </row>
    <row r="274" spans="1:37" x14ac:dyDescent="0.25">
      <c r="A274" s="12">
        <f>$A$89</f>
        <v>74</v>
      </c>
      <c r="M274" s="12"/>
      <c r="N274" s="12"/>
      <c r="O274" s="12"/>
      <c r="P274" s="12"/>
      <c r="Q274" s="12"/>
      <c r="R274" s="12"/>
      <c r="S274" s="12"/>
      <c r="T274" s="18">
        <v>2930</v>
      </c>
      <c r="U274" s="18">
        <v>2950</v>
      </c>
      <c r="V274" s="18">
        <v>3100</v>
      </c>
      <c r="W274" s="18">
        <v>3220</v>
      </c>
      <c r="X274" s="18">
        <v>3390</v>
      </c>
      <c r="Y274" s="18">
        <v>3540</v>
      </c>
      <c r="Z274" s="18">
        <v>3710</v>
      </c>
      <c r="AA274" s="18">
        <v>3850</v>
      </c>
      <c r="AB274" s="18">
        <v>4010</v>
      </c>
      <c r="AC274" s="18">
        <v>4190</v>
      </c>
      <c r="AD274" s="18">
        <v>4300</v>
      </c>
      <c r="AE274" s="18">
        <v>4530</v>
      </c>
      <c r="AF274" s="18">
        <v>4730</v>
      </c>
      <c r="AG274" s="18">
        <v>4820</v>
      </c>
      <c r="AH274" s="18">
        <v>4770</v>
      </c>
      <c r="AI274" s="18">
        <v>4680</v>
      </c>
      <c r="AJ274" s="18">
        <v>4670</v>
      </c>
      <c r="AK274" s="18">
        <v>4830</v>
      </c>
    </row>
    <row r="275" spans="1:37" x14ac:dyDescent="0.25">
      <c r="A275" s="12">
        <f>$A$90</f>
        <v>75</v>
      </c>
      <c r="M275" s="12"/>
      <c r="N275" s="12"/>
      <c r="O275" s="12"/>
      <c r="P275" s="12"/>
      <c r="Q275" s="12"/>
      <c r="R275" s="12"/>
      <c r="S275" s="12"/>
      <c r="T275" s="18">
        <v>2300</v>
      </c>
      <c r="U275" s="18">
        <v>2450</v>
      </c>
      <c r="V275" s="18">
        <v>2470</v>
      </c>
      <c r="W275" s="18">
        <v>2590</v>
      </c>
      <c r="X275" s="18">
        <v>2690</v>
      </c>
      <c r="Y275" s="18">
        <v>2840</v>
      </c>
      <c r="Z275" s="18">
        <v>2960</v>
      </c>
      <c r="AA275" s="18">
        <v>3100</v>
      </c>
      <c r="AB275" s="18">
        <v>3220</v>
      </c>
      <c r="AC275" s="18">
        <v>3350</v>
      </c>
      <c r="AD275" s="18">
        <v>3510</v>
      </c>
      <c r="AE275" s="18">
        <v>3600</v>
      </c>
      <c r="AF275" s="18">
        <v>3800</v>
      </c>
      <c r="AG275" s="18">
        <v>3960</v>
      </c>
      <c r="AH275" s="18">
        <v>4030</v>
      </c>
      <c r="AI275" s="18">
        <v>4000</v>
      </c>
      <c r="AJ275" s="18">
        <v>3920</v>
      </c>
      <c r="AK275" s="18">
        <v>3910</v>
      </c>
    </row>
    <row r="276" spans="1:37" x14ac:dyDescent="0.25">
      <c r="A276" s="12">
        <f>$A$91</f>
        <v>76</v>
      </c>
      <c r="M276" s="12"/>
      <c r="N276" s="12"/>
      <c r="O276" s="12"/>
      <c r="P276" s="12"/>
      <c r="Q276" s="12"/>
      <c r="R276" s="12"/>
      <c r="S276" s="12"/>
      <c r="T276" s="18">
        <v>1940</v>
      </c>
      <c r="U276" s="18">
        <v>1950</v>
      </c>
      <c r="V276" s="18">
        <v>2070</v>
      </c>
      <c r="W276" s="18">
        <v>2090</v>
      </c>
      <c r="X276" s="18">
        <v>2190</v>
      </c>
      <c r="Y276" s="18">
        <v>2280</v>
      </c>
      <c r="Z276" s="18">
        <v>2400</v>
      </c>
      <c r="AA276" s="18">
        <v>2510</v>
      </c>
      <c r="AB276" s="18">
        <v>2630</v>
      </c>
      <c r="AC276" s="18">
        <v>2730</v>
      </c>
      <c r="AD276" s="18">
        <v>2840</v>
      </c>
      <c r="AE276" s="18">
        <v>2970</v>
      </c>
      <c r="AF276" s="18">
        <v>3050</v>
      </c>
      <c r="AG276" s="18">
        <v>3220</v>
      </c>
      <c r="AH276" s="18">
        <v>3350</v>
      </c>
      <c r="AI276" s="18">
        <v>3420</v>
      </c>
      <c r="AJ276" s="18">
        <v>3380</v>
      </c>
      <c r="AK276" s="18">
        <v>3320</v>
      </c>
    </row>
    <row r="277" spans="1:37" x14ac:dyDescent="0.25">
      <c r="A277" s="12">
        <f>$A$92</f>
        <v>77</v>
      </c>
      <c r="M277" s="12"/>
      <c r="N277" s="12"/>
      <c r="O277" s="12"/>
      <c r="P277" s="12"/>
      <c r="Q277" s="12"/>
      <c r="R277" s="12"/>
      <c r="S277" s="12"/>
      <c r="T277" s="18">
        <v>1640</v>
      </c>
      <c r="U277" s="18">
        <v>1680</v>
      </c>
      <c r="V277" s="18">
        <v>1690</v>
      </c>
      <c r="W277" s="18">
        <v>1800</v>
      </c>
      <c r="X277" s="18">
        <v>1810</v>
      </c>
      <c r="Y277" s="18">
        <v>1900</v>
      </c>
      <c r="Z277" s="18">
        <v>1970</v>
      </c>
      <c r="AA277" s="18">
        <v>2080</v>
      </c>
      <c r="AB277" s="18">
        <v>2170</v>
      </c>
      <c r="AC277" s="18">
        <v>2280</v>
      </c>
      <c r="AD277" s="18">
        <v>2370</v>
      </c>
      <c r="AE277" s="18">
        <v>2460</v>
      </c>
      <c r="AF277" s="18">
        <v>2580</v>
      </c>
      <c r="AG277" s="18">
        <v>2650</v>
      </c>
      <c r="AH277" s="18">
        <v>2790</v>
      </c>
      <c r="AI277" s="18">
        <v>2910</v>
      </c>
      <c r="AJ277" s="18">
        <v>2970</v>
      </c>
      <c r="AK277" s="18">
        <v>2940</v>
      </c>
    </row>
    <row r="278" spans="1:37" x14ac:dyDescent="0.25">
      <c r="A278" s="12">
        <f>$A$93</f>
        <v>78</v>
      </c>
      <c r="M278" s="12"/>
      <c r="N278" s="12"/>
      <c r="O278" s="12"/>
      <c r="P278" s="12"/>
      <c r="Q278" s="12"/>
      <c r="R278" s="12"/>
      <c r="S278" s="12"/>
      <c r="T278" s="18">
        <v>1180</v>
      </c>
      <c r="U278" s="18">
        <v>1430</v>
      </c>
      <c r="V278" s="18">
        <v>1470</v>
      </c>
      <c r="W278" s="18">
        <v>1480</v>
      </c>
      <c r="X278" s="18">
        <v>1570</v>
      </c>
      <c r="Y278" s="18">
        <v>1580</v>
      </c>
      <c r="Z278" s="18">
        <v>1660</v>
      </c>
      <c r="AA278" s="18">
        <v>1730</v>
      </c>
      <c r="AB278" s="18">
        <v>1820</v>
      </c>
      <c r="AC278" s="18">
        <v>1900</v>
      </c>
      <c r="AD278" s="18">
        <v>1990</v>
      </c>
      <c r="AE278" s="18">
        <v>2070</v>
      </c>
      <c r="AF278" s="18">
        <v>2160</v>
      </c>
      <c r="AG278" s="18">
        <v>2260</v>
      </c>
      <c r="AH278" s="18">
        <v>2320</v>
      </c>
      <c r="AI278" s="18">
        <v>2440</v>
      </c>
      <c r="AJ278" s="18">
        <v>2550</v>
      </c>
      <c r="AK278" s="18">
        <v>2600</v>
      </c>
    </row>
    <row r="279" spans="1:37" x14ac:dyDescent="0.25">
      <c r="A279" s="12">
        <f>$A$94</f>
        <v>79</v>
      </c>
      <c r="M279" s="12"/>
      <c r="N279" s="12"/>
      <c r="O279" s="12"/>
      <c r="P279" s="12"/>
      <c r="Q279" s="12"/>
      <c r="R279" s="12"/>
      <c r="S279" s="12"/>
      <c r="T279" s="18">
        <v>920</v>
      </c>
      <c r="U279" s="18">
        <v>1000</v>
      </c>
      <c r="V279" s="18">
        <v>1230</v>
      </c>
      <c r="W279" s="18">
        <v>1250</v>
      </c>
      <c r="X279" s="18">
        <v>1260</v>
      </c>
      <c r="Y279" s="18">
        <v>1340</v>
      </c>
      <c r="Z279" s="18">
        <v>1350</v>
      </c>
      <c r="AA279" s="18">
        <v>1420</v>
      </c>
      <c r="AB279" s="18">
        <v>1480</v>
      </c>
      <c r="AC279" s="18">
        <v>1560</v>
      </c>
      <c r="AD279" s="18">
        <v>1630</v>
      </c>
      <c r="AE279" s="18">
        <v>1700</v>
      </c>
      <c r="AF279" s="18">
        <v>1770</v>
      </c>
      <c r="AG279" s="18">
        <v>1840</v>
      </c>
      <c r="AH279" s="18">
        <v>1930</v>
      </c>
      <c r="AI279" s="18">
        <v>1980</v>
      </c>
      <c r="AJ279" s="18">
        <v>2090</v>
      </c>
      <c r="AK279" s="18">
        <v>2180</v>
      </c>
    </row>
    <row r="280" spans="1:37" x14ac:dyDescent="0.25">
      <c r="A280" s="12" t="s">
        <v>389</v>
      </c>
      <c r="M280" s="12"/>
      <c r="N280" s="12"/>
      <c r="O280" s="12"/>
      <c r="P280" s="12"/>
      <c r="Q280" s="12"/>
      <c r="R280" s="12"/>
      <c r="S280" s="12"/>
      <c r="T280" s="18">
        <v>3210</v>
      </c>
      <c r="U280" s="18">
        <v>3450</v>
      </c>
      <c r="V280" s="18">
        <v>3710</v>
      </c>
      <c r="W280" s="18">
        <v>4100</v>
      </c>
      <c r="X280" s="18">
        <v>4460</v>
      </c>
      <c r="Y280" s="18">
        <v>4760</v>
      </c>
      <c r="Z280" s="18">
        <v>5070</v>
      </c>
      <c r="AA280" s="18">
        <v>5330</v>
      </c>
      <c r="AB280" s="18">
        <v>5610</v>
      </c>
      <c r="AC280" s="18">
        <v>5890</v>
      </c>
      <c r="AD280" s="18">
        <v>6190</v>
      </c>
      <c r="AE280" s="18">
        <v>6500</v>
      </c>
      <c r="AF280" s="18">
        <v>6820</v>
      </c>
      <c r="AG280" s="18">
        <v>7130</v>
      </c>
      <c r="AH280" s="18">
        <v>7450</v>
      </c>
      <c r="AI280" s="18">
        <v>7790</v>
      </c>
      <c r="AJ280" s="18">
        <v>8110</v>
      </c>
      <c r="AK280" s="18">
        <v>8470</v>
      </c>
    </row>
    <row r="281" spans="1:37" x14ac:dyDescent="0.25">
      <c r="A281" s="11" t="str">
        <f>$A$111</f>
        <v>Female total</v>
      </c>
      <c r="M281" s="12"/>
      <c r="N281" s="12"/>
      <c r="O281" s="12"/>
      <c r="P281" s="12"/>
      <c r="Q281" s="12"/>
      <c r="R281" s="12"/>
      <c r="S281" s="12"/>
      <c r="T281" s="19">
        <f t="shared" ref="T281:AK281" si="9">SUM(T$215:T$280)</f>
        <v>1451140</v>
      </c>
      <c r="U281" s="19">
        <f t="shared" si="9"/>
        <v>1470170</v>
      </c>
      <c r="V281" s="19">
        <f t="shared" si="9"/>
        <v>1490170</v>
      </c>
      <c r="W281" s="19">
        <f t="shared" si="9"/>
        <v>1510540</v>
      </c>
      <c r="X281" s="19">
        <f t="shared" si="9"/>
        <v>1531120</v>
      </c>
      <c r="Y281" s="19">
        <f t="shared" si="9"/>
        <v>1551520</v>
      </c>
      <c r="Z281" s="19">
        <f t="shared" si="9"/>
        <v>1571610</v>
      </c>
      <c r="AA281" s="19">
        <f t="shared" si="9"/>
        <v>1591220</v>
      </c>
      <c r="AB281" s="19">
        <f t="shared" si="9"/>
        <v>1610480</v>
      </c>
      <c r="AC281" s="19">
        <f t="shared" si="9"/>
        <v>1629220</v>
      </c>
      <c r="AD281" s="19">
        <f t="shared" si="9"/>
        <v>1647550</v>
      </c>
      <c r="AE281" s="19">
        <f t="shared" si="9"/>
        <v>1665270</v>
      </c>
      <c r="AF281" s="19">
        <f t="shared" si="9"/>
        <v>1682700</v>
      </c>
      <c r="AG281" s="19">
        <f t="shared" si="9"/>
        <v>1699920</v>
      </c>
      <c r="AH281" s="19">
        <f t="shared" si="9"/>
        <v>1716260</v>
      </c>
      <c r="AI281" s="19">
        <f t="shared" si="9"/>
        <v>1731970</v>
      </c>
      <c r="AJ281" s="19">
        <f t="shared" si="9"/>
        <v>1747330</v>
      </c>
      <c r="AK281" s="19">
        <f t="shared" si="9"/>
        <v>1762340</v>
      </c>
    </row>
    <row r="282" spans="1:37" x14ac:dyDescent="0.25">
      <c r="A282" s="11"/>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row>
    <row r="283" spans="1:37" x14ac:dyDescent="0.25">
      <c r="A283" s="11"/>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row>
    <row r="284" spans="1:37" x14ac:dyDescent="0.25">
      <c r="A284" s="11" t="s">
        <v>390</v>
      </c>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row>
    <row r="285" spans="1:37" x14ac:dyDescent="0.25">
      <c r="A285" s="12">
        <f>$A$30</f>
        <v>15</v>
      </c>
      <c r="M285" s="12"/>
      <c r="N285" s="12"/>
      <c r="O285" s="12"/>
      <c r="P285" s="12"/>
      <c r="Q285" s="12"/>
      <c r="R285" s="12"/>
      <c r="S285" s="12"/>
      <c r="T285" s="18">
        <v>7810</v>
      </c>
      <c r="U285" s="18">
        <v>7900</v>
      </c>
      <c r="V285" s="18">
        <v>7880</v>
      </c>
      <c r="W285" s="18">
        <v>7850</v>
      </c>
      <c r="X285" s="18">
        <v>7850</v>
      </c>
      <c r="Y285" s="18">
        <v>7780</v>
      </c>
      <c r="Z285" s="18">
        <v>7810</v>
      </c>
      <c r="AA285" s="18">
        <v>7760</v>
      </c>
      <c r="AB285" s="18">
        <v>7710</v>
      </c>
      <c r="AC285" s="18">
        <v>7660</v>
      </c>
      <c r="AD285" s="18">
        <v>7730</v>
      </c>
      <c r="AE285" s="18">
        <v>7560</v>
      </c>
      <c r="AF285" s="18">
        <v>7700</v>
      </c>
      <c r="AG285" s="18">
        <v>7550</v>
      </c>
      <c r="AH285" s="18">
        <v>7220</v>
      </c>
      <c r="AI285" s="18">
        <v>7190</v>
      </c>
      <c r="AJ285" s="18">
        <v>7330</v>
      </c>
      <c r="AK285" s="18">
        <v>7350</v>
      </c>
    </row>
    <row r="286" spans="1:37" x14ac:dyDescent="0.25">
      <c r="A286" s="12">
        <f>$A$31</f>
        <v>16</v>
      </c>
      <c r="M286" s="12"/>
      <c r="N286" s="12"/>
      <c r="O286" s="12"/>
      <c r="P286" s="12"/>
      <c r="Q286" s="12"/>
      <c r="R286" s="12"/>
      <c r="S286" s="12"/>
      <c r="T286" s="18">
        <v>14240</v>
      </c>
      <c r="U286" s="18">
        <v>14240</v>
      </c>
      <c r="V286" s="18">
        <v>14420</v>
      </c>
      <c r="W286" s="18">
        <v>14390</v>
      </c>
      <c r="X286" s="18">
        <v>14350</v>
      </c>
      <c r="Y286" s="18">
        <v>14350</v>
      </c>
      <c r="Z286" s="18">
        <v>14240</v>
      </c>
      <c r="AA286" s="18">
        <v>14280</v>
      </c>
      <c r="AB286" s="18">
        <v>14190</v>
      </c>
      <c r="AC286" s="18">
        <v>14100</v>
      </c>
      <c r="AD286" s="18">
        <v>14010</v>
      </c>
      <c r="AE286" s="18">
        <v>14130</v>
      </c>
      <c r="AF286" s="18">
        <v>13840</v>
      </c>
      <c r="AG286" s="18">
        <v>14090</v>
      </c>
      <c r="AH286" s="18">
        <v>13830</v>
      </c>
      <c r="AI286" s="18">
        <v>13230</v>
      </c>
      <c r="AJ286" s="18">
        <v>13180</v>
      </c>
      <c r="AK286" s="18">
        <v>13430</v>
      </c>
    </row>
    <row r="287" spans="1:37" x14ac:dyDescent="0.25">
      <c r="A287" s="12">
        <f>$A$32</f>
        <v>17</v>
      </c>
      <c r="M287" s="12"/>
      <c r="N287" s="12"/>
      <c r="O287" s="12"/>
      <c r="P287" s="12"/>
      <c r="Q287" s="12"/>
      <c r="R287" s="12"/>
      <c r="S287" s="12"/>
      <c r="T287" s="18">
        <v>20380</v>
      </c>
      <c r="U287" s="18">
        <v>21270</v>
      </c>
      <c r="V287" s="18">
        <v>21300</v>
      </c>
      <c r="W287" s="18">
        <v>21590</v>
      </c>
      <c r="X287" s="18">
        <v>21550</v>
      </c>
      <c r="Y287" s="18">
        <v>21500</v>
      </c>
      <c r="Z287" s="18">
        <v>21510</v>
      </c>
      <c r="AA287" s="18">
        <v>21350</v>
      </c>
      <c r="AB287" s="18">
        <v>21400</v>
      </c>
      <c r="AC287" s="18">
        <v>21290</v>
      </c>
      <c r="AD287" s="18">
        <v>21150</v>
      </c>
      <c r="AE287" s="18">
        <v>21020</v>
      </c>
      <c r="AF287" s="18">
        <v>21210</v>
      </c>
      <c r="AG287" s="18">
        <v>20770</v>
      </c>
      <c r="AH287" s="18">
        <v>21140</v>
      </c>
      <c r="AI287" s="18">
        <v>20760</v>
      </c>
      <c r="AJ287" s="18">
        <v>19880</v>
      </c>
      <c r="AK287" s="18">
        <v>19800</v>
      </c>
    </row>
    <row r="288" spans="1:37" x14ac:dyDescent="0.25">
      <c r="A288" s="12">
        <f>$A$33</f>
        <v>18</v>
      </c>
      <c r="M288" s="12"/>
      <c r="N288" s="12"/>
      <c r="O288" s="12"/>
      <c r="P288" s="12"/>
      <c r="Q288" s="12"/>
      <c r="R288" s="12"/>
      <c r="S288" s="12"/>
      <c r="T288" s="18">
        <v>24180</v>
      </c>
      <c r="U288" s="18">
        <v>26030</v>
      </c>
      <c r="V288" s="18">
        <v>27210</v>
      </c>
      <c r="W288" s="18">
        <v>27270</v>
      </c>
      <c r="X288" s="18">
        <v>27640</v>
      </c>
      <c r="Y288" s="18">
        <v>27610</v>
      </c>
      <c r="Z288" s="18">
        <v>27560</v>
      </c>
      <c r="AA288" s="18">
        <v>27580</v>
      </c>
      <c r="AB288" s="18">
        <v>27370</v>
      </c>
      <c r="AC288" s="18">
        <v>27450</v>
      </c>
      <c r="AD288" s="18">
        <v>27300</v>
      </c>
      <c r="AE288" s="18">
        <v>27130</v>
      </c>
      <c r="AF288" s="18">
        <v>26970</v>
      </c>
      <c r="AG288" s="18">
        <v>27210</v>
      </c>
      <c r="AH288" s="18">
        <v>26660</v>
      </c>
      <c r="AI288" s="18">
        <v>27130</v>
      </c>
      <c r="AJ288" s="18">
        <v>26660</v>
      </c>
      <c r="AK288" s="18">
        <v>25550</v>
      </c>
    </row>
    <row r="289" spans="1:37" x14ac:dyDescent="0.25">
      <c r="A289" s="12">
        <f>$A$34</f>
        <v>19</v>
      </c>
      <c r="M289" s="12"/>
      <c r="N289" s="12"/>
      <c r="O289" s="12"/>
      <c r="P289" s="12"/>
      <c r="Q289" s="12"/>
      <c r="R289" s="12"/>
      <c r="S289" s="12"/>
      <c r="T289" s="18">
        <v>25480</v>
      </c>
      <c r="U289" s="18">
        <v>26010</v>
      </c>
      <c r="V289" s="18">
        <v>28020</v>
      </c>
      <c r="W289" s="18">
        <v>29290</v>
      </c>
      <c r="X289" s="18">
        <v>29380</v>
      </c>
      <c r="Y289" s="18">
        <v>29790</v>
      </c>
      <c r="Z289" s="18">
        <v>29770</v>
      </c>
      <c r="AA289" s="18">
        <v>29720</v>
      </c>
      <c r="AB289" s="18">
        <v>29740</v>
      </c>
      <c r="AC289" s="18">
        <v>29530</v>
      </c>
      <c r="AD289" s="18">
        <v>29610</v>
      </c>
      <c r="AE289" s="18">
        <v>29460</v>
      </c>
      <c r="AF289" s="18">
        <v>29280</v>
      </c>
      <c r="AG289" s="18">
        <v>29110</v>
      </c>
      <c r="AH289" s="18">
        <v>29370</v>
      </c>
      <c r="AI289" s="18">
        <v>28790</v>
      </c>
      <c r="AJ289" s="18">
        <v>29290</v>
      </c>
      <c r="AK289" s="18">
        <v>28790</v>
      </c>
    </row>
    <row r="290" spans="1:37" x14ac:dyDescent="0.25">
      <c r="A290" s="12">
        <f>$A$35</f>
        <v>20</v>
      </c>
      <c r="M290" s="12"/>
      <c r="N290" s="12"/>
      <c r="O290" s="12"/>
      <c r="P290" s="12"/>
      <c r="Q290" s="12"/>
      <c r="R290" s="12"/>
      <c r="S290" s="12"/>
      <c r="T290" s="18">
        <v>27100</v>
      </c>
      <c r="U290" s="18">
        <v>27240</v>
      </c>
      <c r="V290" s="18">
        <v>27870</v>
      </c>
      <c r="W290" s="18">
        <v>30020</v>
      </c>
      <c r="X290" s="18">
        <v>31390</v>
      </c>
      <c r="Y290" s="18">
        <v>31490</v>
      </c>
      <c r="Z290" s="18">
        <v>31950</v>
      </c>
      <c r="AA290" s="18">
        <v>31930</v>
      </c>
      <c r="AB290" s="18">
        <v>31880</v>
      </c>
      <c r="AC290" s="18">
        <v>31900</v>
      </c>
      <c r="AD290" s="18">
        <v>31680</v>
      </c>
      <c r="AE290" s="18">
        <v>31770</v>
      </c>
      <c r="AF290" s="18">
        <v>31620</v>
      </c>
      <c r="AG290" s="18">
        <v>31430</v>
      </c>
      <c r="AH290" s="18">
        <v>31260</v>
      </c>
      <c r="AI290" s="18">
        <v>31530</v>
      </c>
      <c r="AJ290" s="18">
        <v>30930</v>
      </c>
      <c r="AK290" s="18">
        <v>31460</v>
      </c>
    </row>
    <row r="291" spans="1:37" x14ac:dyDescent="0.25">
      <c r="A291" s="12">
        <f>$A$36</f>
        <v>21</v>
      </c>
      <c r="M291" s="12"/>
      <c r="N291" s="12"/>
      <c r="O291" s="12"/>
      <c r="P291" s="12"/>
      <c r="Q291" s="12"/>
      <c r="R291" s="12"/>
      <c r="S291" s="12"/>
      <c r="T291" s="18">
        <v>27440</v>
      </c>
      <c r="U291" s="18">
        <v>28090</v>
      </c>
      <c r="V291" s="18">
        <v>28300</v>
      </c>
      <c r="W291" s="18">
        <v>28970</v>
      </c>
      <c r="X291" s="18">
        <v>31220</v>
      </c>
      <c r="Y291" s="18">
        <v>32640</v>
      </c>
      <c r="Z291" s="18">
        <v>32770</v>
      </c>
      <c r="AA291" s="18">
        <v>33240</v>
      </c>
      <c r="AB291" s="18">
        <v>33220</v>
      </c>
      <c r="AC291" s="18">
        <v>33180</v>
      </c>
      <c r="AD291" s="18">
        <v>33210</v>
      </c>
      <c r="AE291" s="18">
        <v>32980</v>
      </c>
      <c r="AF291" s="18">
        <v>33080</v>
      </c>
      <c r="AG291" s="18">
        <v>32920</v>
      </c>
      <c r="AH291" s="18">
        <v>32730</v>
      </c>
      <c r="AI291" s="18">
        <v>32550</v>
      </c>
      <c r="AJ291" s="18">
        <v>32840</v>
      </c>
      <c r="AK291" s="18">
        <v>32220</v>
      </c>
    </row>
    <row r="292" spans="1:37" x14ac:dyDescent="0.25">
      <c r="A292" s="12">
        <f>$A$37</f>
        <v>22</v>
      </c>
      <c r="M292" s="12"/>
      <c r="N292" s="12"/>
      <c r="O292" s="12"/>
      <c r="P292" s="12"/>
      <c r="Q292" s="12"/>
      <c r="R292" s="12"/>
      <c r="S292" s="12"/>
      <c r="T292" s="18">
        <v>27840</v>
      </c>
      <c r="U292" s="18">
        <v>28270</v>
      </c>
      <c r="V292" s="18">
        <v>29010</v>
      </c>
      <c r="W292" s="18">
        <v>29250</v>
      </c>
      <c r="X292" s="18">
        <v>29970</v>
      </c>
      <c r="Y292" s="18">
        <v>32300</v>
      </c>
      <c r="Z292" s="18">
        <v>33780</v>
      </c>
      <c r="AA292" s="18">
        <v>33910</v>
      </c>
      <c r="AB292" s="18">
        <v>34400</v>
      </c>
      <c r="AC292" s="18">
        <v>34390</v>
      </c>
      <c r="AD292" s="18">
        <v>34340</v>
      </c>
      <c r="AE292" s="18">
        <v>34380</v>
      </c>
      <c r="AF292" s="18">
        <v>34150</v>
      </c>
      <c r="AG292" s="18">
        <v>34250</v>
      </c>
      <c r="AH292" s="18">
        <v>34090</v>
      </c>
      <c r="AI292" s="18">
        <v>33900</v>
      </c>
      <c r="AJ292" s="18">
        <v>33720</v>
      </c>
      <c r="AK292" s="18">
        <v>34020</v>
      </c>
    </row>
    <row r="293" spans="1:37" x14ac:dyDescent="0.25">
      <c r="A293" s="12">
        <f>$A$38</f>
        <v>23</v>
      </c>
      <c r="M293" s="12"/>
      <c r="N293" s="12"/>
      <c r="O293" s="12"/>
      <c r="P293" s="12"/>
      <c r="Q293" s="12"/>
      <c r="R293" s="12"/>
      <c r="S293" s="12"/>
      <c r="T293" s="18">
        <v>29410</v>
      </c>
      <c r="U293" s="18">
        <v>28580</v>
      </c>
      <c r="V293" s="18">
        <v>29090</v>
      </c>
      <c r="W293" s="18">
        <v>29880</v>
      </c>
      <c r="X293" s="18">
        <v>30160</v>
      </c>
      <c r="Y293" s="18">
        <v>30920</v>
      </c>
      <c r="Z293" s="18">
        <v>33320</v>
      </c>
      <c r="AA293" s="18">
        <v>34830</v>
      </c>
      <c r="AB293" s="18">
        <v>34980</v>
      </c>
      <c r="AC293" s="18">
        <v>35480</v>
      </c>
      <c r="AD293" s="18">
        <v>35470</v>
      </c>
      <c r="AE293" s="18">
        <v>35430</v>
      </c>
      <c r="AF293" s="18">
        <v>35470</v>
      </c>
      <c r="AG293" s="18">
        <v>35240</v>
      </c>
      <c r="AH293" s="18">
        <v>35350</v>
      </c>
      <c r="AI293" s="18">
        <v>35190</v>
      </c>
      <c r="AJ293" s="18">
        <v>35000</v>
      </c>
      <c r="AK293" s="18">
        <v>34820</v>
      </c>
    </row>
    <row r="294" spans="1:37" x14ac:dyDescent="0.25">
      <c r="A294" s="12">
        <f>$A$39</f>
        <v>24</v>
      </c>
      <c r="M294" s="12"/>
      <c r="N294" s="12"/>
      <c r="O294" s="12"/>
      <c r="P294" s="12"/>
      <c r="Q294" s="12"/>
      <c r="R294" s="12"/>
      <c r="S294" s="12"/>
      <c r="T294" s="18">
        <v>30620</v>
      </c>
      <c r="U294" s="18">
        <v>30120</v>
      </c>
      <c r="V294" s="18">
        <v>29350</v>
      </c>
      <c r="W294" s="18">
        <v>29910</v>
      </c>
      <c r="X294" s="18">
        <v>30740</v>
      </c>
      <c r="Y294" s="18">
        <v>31050</v>
      </c>
      <c r="Z294" s="18">
        <v>31840</v>
      </c>
      <c r="AA294" s="18">
        <v>34300</v>
      </c>
      <c r="AB294" s="18">
        <v>35850</v>
      </c>
      <c r="AC294" s="18">
        <v>36000</v>
      </c>
      <c r="AD294" s="18">
        <v>36520</v>
      </c>
      <c r="AE294" s="18">
        <v>36510</v>
      </c>
      <c r="AF294" s="18">
        <v>36480</v>
      </c>
      <c r="AG294" s="18">
        <v>36520</v>
      </c>
      <c r="AH294" s="18">
        <v>36290</v>
      </c>
      <c r="AI294" s="18">
        <v>36400</v>
      </c>
      <c r="AJ294" s="18">
        <v>36250</v>
      </c>
      <c r="AK294" s="18">
        <v>36050</v>
      </c>
    </row>
    <row r="295" spans="1:37" x14ac:dyDescent="0.25">
      <c r="A295" s="12">
        <f>$A$40</f>
        <v>25</v>
      </c>
      <c r="M295" s="12"/>
      <c r="N295" s="12"/>
      <c r="O295" s="12"/>
      <c r="P295" s="12"/>
      <c r="Q295" s="12"/>
      <c r="R295" s="12"/>
      <c r="S295" s="12"/>
      <c r="T295" s="18">
        <v>30620</v>
      </c>
      <c r="U295" s="18">
        <v>31350</v>
      </c>
      <c r="V295" s="18">
        <v>30910</v>
      </c>
      <c r="W295" s="18">
        <v>30150</v>
      </c>
      <c r="X295" s="18">
        <v>30750</v>
      </c>
      <c r="Y295" s="18">
        <v>31620</v>
      </c>
      <c r="Z295" s="18">
        <v>31950</v>
      </c>
      <c r="AA295" s="18">
        <v>32770</v>
      </c>
      <c r="AB295" s="18">
        <v>35280</v>
      </c>
      <c r="AC295" s="18">
        <v>36880</v>
      </c>
      <c r="AD295" s="18">
        <v>37030</v>
      </c>
      <c r="AE295" s="18">
        <v>37570</v>
      </c>
      <c r="AF295" s="18">
        <v>37560</v>
      </c>
      <c r="AG295" s="18">
        <v>37530</v>
      </c>
      <c r="AH295" s="18">
        <v>37580</v>
      </c>
      <c r="AI295" s="18">
        <v>37340</v>
      </c>
      <c r="AJ295" s="18">
        <v>37470</v>
      </c>
      <c r="AK295" s="18">
        <v>37310</v>
      </c>
    </row>
    <row r="296" spans="1:37" x14ac:dyDescent="0.25">
      <c r="A296" s="12">
        <f>$A$41</f>
        <v>26</v>
      </c>
      <c r="M296" s="12"/>
      <c r="N296" s="12"/>
      <c r="O296" s="12"/>
      <c r="P296" s="12"/>
      <c r="Q296" s="12"/>
      <c r="R296" s="12"/>
      <c r="S296" s="12"/>
      <c r="T296" s="18">
        <v>31990</v>
      </c>
      <c r="U296" s="18">
        <v>31190</v>
      </c>
      <c r="V296" s="18">
        <v>32000</v>
      </c>
      <c r="W296" s="18">
        <v>31570</v>
      </c>
      <c r="X296" s="18">
        <v>30830</v>
      </c>
      <c r="Y296" s="18">
        <v>31460</v>
      </c>
      <c r="Z296" s="18">
        <v>32360</v>
      </c>
      <c r="AA296" s="18">
        <v>32700</v>
      </c>
      <c r="AB296" s="18">
        <v>33530</v>
      </c>
      <c r="AC296" s="18">
        <v>36090</v>
      </c>
      <c r="AD296" s="18">
        <v>37710</v>
      </c>
      <c r="AE296" s="18">
        <v>37880</v>
      </c>
      <c r="AF296" s="18">
        <v>38420</v>
      </c>
      <c r="AG296" s="18">
        <v>38420</v>
      </c>
      <c r="AH296" s="18">
        <v>38390</v>
      </c>
      <c r="AI296" s="18">
        <v>38440</v>
      </c>
      <c r="AJ296" s="18">
        <v>38210</v>
      </c>
      <c r="AK296" s="18">
        <v>38340</v>
      </c>
    </row>
    <row r="297" spans="1:37" x14ac:dyDescent="0.25">
      <c r="A297" s="12">
        <f>$A$42</f>
        <v>27</v>
      </c>
      <c r="M297" s="12"/>
      <c r="N297" s="12"/>
      <c r="O297" s="12"/>
      <c r="P297" s="12"/>
      <c r="Q297" s="12"/>
      <c r="R297" s="12"/>
      <c r="S297" s="12"/>
      <c r="T297" s="18">
        <v>32780</v>
      </c>
      <c r="U297" s="18">
        <v>32460</v>
      </c>
      <c r="V297" s="18">
        <v>31720</v>
      </c>
      <c r="W297" s="18">
        <v>32560</v>
      </c>
      <c r="X297" s="18">
        <v>32160</v>
      </c>
      <c r="Y297" s="18">
        <v>31430</v>
      </c>
      <c r="Z297" s="18">
        <v>32070</v>
      </c>
      <c r="AA297" s="18">
        <v>32990</v>
      </c>
      <c r="AB297" s="18">
        <v>33340</v>
      </c>
      <c r="AC297" s="18">
        <v>34180</v>
      </c>
      <c r="AD297" s="18">
        <v>36770</v>
      </c>
      <c r="AE297" s="18">
        <v>38410</v>
      </c>
      <c r="AF297" s="18">
        <v>38580</v>
      </c>
      <c r="AG297" s="18">
        <v>39140</v>
      </c>
      <c r="AH297" s="18">
        <v>39140</v>
      </c>
      <c r="AI297" s="18">
        <v>39110</v>
      </c>
      <c r="AJ297" s="18">
        <v>39170</v>
      </c>
      <c r="AK297" s="18">
        <v>38940</v>
      </c>
    </row>
    <row r="298" spans="1:37" x14ac:dyDescent="0.25">
      <c r="A298" s="12">
        <f>$A$43</f>
        <v>28</v>
      </c>
      <c r="M298" s="12"/>
      <c r="N298" s="12"/>
      <c r="O298" s="12"/>
      <c r="P298" s="12"/>
      <c r="Q298" s="12"/>
      <c r="R298" s="12"/>
      <c r="S298" s="12"/>
      <c r="T298" s="18">
        <v>34690</v>
      </c>
      <c r="U298" s="18">
        <v>33170</v>
      </c>
      <c r="V298" s="18">
        <v>32910</v>
      </c>
      <c r="W298" s="18">
        <v>32190</v>
      </c>
      <c r="X298" s="18">
        <v>33060</v>
      </c>
      <c r="Y298" s="18">
        <v>32680</v>
      </c>
      <c r="Z298" s="18">
        <v>31960</v>
      </c>
      <c r="AA298" s="18">
        <v>32610</v>
      </c>
      <c r="AB298" s="18">
        <v>33540</v>
      </c>
      <c r="AC298" s="18">
        <v>33890</v>
      </c>
      <c r="AD298" s="18">
        <v>34740</v>
      </c>
      <c r="AE298" s="18">
        <v>37350</v>
      </c>
      <c r="AF298" s="18">
        <v>39000</v>
      </c>
      <c r="AG298" s="18">
        <v>39170</v>
      </c>
      <c r="AH298" s="18">
        <v>39740</v>
      </c>
      <c r="AI298" s="18">
        <v>39740</v>
      </c>
      <c r="AJ298" s="18">
        <v>39720</v>
      </c>
      <c r="AK298" s="18">
        <v>39780</v>
      </c>
    </row>
    <row r="299" spans="1:37" x14ac:dyDescent="0.25">
      <c r="A299" s="12">
        <f>$A$44</f>
        <v>29</v>
      </c>
      <c r="M299" s="12"/>
      <c r="N299" s="12"/>
      <c r="O299" s="12"/>
      <c r="P299" s="12"/>
      <c r="Q299" s="12"/>
      <c r="R299" s="12"/>
      <c r="S299" s="12"/>
      <c r="T299" s="18">
        <v>35620</v>
      </c>
      <c r="U299" s="18">
        <v>35010</v>
      </c>
      <c r="V299" s="18">
        <v>33540</v>
      </c>
      <c r="W299" s="18">
        <v>33310</v>
      </c>
      <c r="X299" s="18">
        <v>32620</v>
      </c>
      <c r="Y299" s="18">
        <v>33510</v>
      </c>
      <c r="Z299" s="18">
        <v>33130</v>
      </c>
      <c r="AA299" s="18">
        <v>32420</v>
      </c>
      <c r="AB299" s="18">
        <v>33080</v>
      </c>
      <c r="AC299" s="18">
        <v>34010</v>
      </c>
      <c r="AD299" s="18">
        <v>34360</v>
      </c>
      <c r="AE299" s="18">
        <v>35220</v>
      </c>
      <c r="AF299" s="18">
        <v>37830</v>
      </c>
      <c r="AG299" s="18">
        <v>39490</v>
      </c>
      <c r="AH299" s="18">
        <v>39660</v>
      </c>
      <c r="AI299" s="18">
        <v>40230</v>
      </c>
      <c r="AJ299" s="18">
        <v>40240</v>
      </c>
      <c r="AK299" s="18">
        <v>40220</v>
      </c>
    </row>
    <row r="300" spans="1:37" x14ac:dyDescent="0.25">
      <c r="A300" s="12">
        <f>$A$45</f>
        <v>30</v>
      </c>
      <c r="M300" s="12"/>
      <c r="N300" s="12"/>
      <c r="O300" s="12"/>
      <c r="P300" s="12"/>
      <c r="Q300" s="12"/>
      <c r="R300" s="12"/>
      <c r="S300" s="12"/>
      <c r="T300" s="18">
        <v>36450</v>
      </c>
      <c r="U300" s="18">
        <v>35950</v>
      </c>
      <c r="V300" s="18">
        <v>35380</v>
      </c>
      <c r="W300" s="18">
        <v>33950</v>
      </c>
      <c r="X300" s="18">
        <v>33740</v>
      </c>
      <c r="Y300" s="18">
        <v>33060</v>
      </c>
      <c r="Z300" s="18">
        <v>33970</v>
      </c>
      <c r="AA300" s="18">
        <v>33600</v>
      </c>
      <c r="AB300" s="18">
        <v>32880</v>
      </c>
      <c r="AC300" s="18">
        <v>33550</v>
      </c>
      <c r="AD300" s="18">
        <v>34480</v>
      </c>
      <c r="AE300" s="18">
        <v>34840</v>
      </c>
      <c r="AF300" s="18">
        <v>35690</v>
      </c>
      <c r="AG300" s="18">
        <v>38310</v>
      </c>
      <c r="AH300" s="18">
        <v>39970</v>
      </c>
      <c r="AI300" s="18">
        <v>40150</v>
      </c>
      <c r="AJ300" s="18">
        <v>40720</v>
      </c>
      <c r="AK300" s="18">
        <v>40730</v>
      </c>
    </row>
    <row r="301" spans="1:37" x14ac:dyDescent="0.25">
      <c r="A301" s="12">
        <f>$A$46</f>
        <v>31</v>
      </c>
      <c r="M301" s="12"/>
      <c r="N301" s="12"/>
      <c r="O301" s="12"/>
      <c r="P301" s="12"/>
      <c r="Q301" s="12"/>
      <c r="R301" s="12"/>
      <c r="S301" s="12"/>
      <c r="T301" s="18">
        <v>38030</v>
      </c>
      <c r="U301" s="18">
        <v>36820</v>
      </c>
      <c r="V301" s="18">
        <v>36370</v>
      </c>
      <c r="W301" s="18">
        <v>35830</v>
      </c>
      <c r="X301" s="18">
        <v>34420</v>
      </c>
      <c r="Y301" s="18">
        <v>34220</v>
      </c>
      <c r="Z301" s="18">
        <v>33550</v>
      </c>
      <c r="AA301" s="18">
        <v>34460</v>
      </c>
      <c r="AB301" s="18">
        <v>34100</v>
      </c>
      <c r="AC301" s="18">
        <v>33390</v>
      </c>
      <c r="AD301" s="18">
        <v>34050</v>
      </c>
      <c r="AE301" s="18">
        <v>34990</v>
      </c>
      <c r="AF301" s="18">
        <v>35350</v>
      </c>
      <c r="AG301" s="18">
        <v>36210</v>
      </c>
      <c r="AH301" s="18">
        <v>38830</v>
      </c>
      <c r="AI301" s="18">
        <v>40500</v>
      </c>
      <c r="AJ301" s="18">
        <v>40680</v>
      </c>
      <c r="AK301" s="18">
        <v>41250</v>
      </c>
    </row>
    <row r="302" spans="1:37" x14ac:dyDescent="0.25">
      <c r="A302" s="12">
        <f>$A$47</f>
        <v>32</v>
      </c>
      <c r="M302" s="12"/>
      <c r="N302" s="12"/>
      <c r="O302" s="12"/>
      <c r="P302" s="12"/>
      <c r="Q302" s="12"/>
      <c r="R302" s="12"/>
      <c r="S302" s="12"/>
      <c r="T302" s="18">
        <v>39410</v>
      </c>
      <c r="U302" s="18">
        <v>38440</v>
      </c>
      <c r="V302" s="18">
        <v>37280</v>
      </c>
      <c r="W302" s="18">
        <v>36850</v>
      </c>
      <c r="X302" s="18">
        <v>36330</v>
      </c>
      <c r="Y302" s="18">
        <v>34930</v>
      </c>
      <c r="Z302" s="18">
        <v>34740</v>
      </c>
      <c r="AA302" s="18">
        <v>34080</v>
      </c>
      <c r="AB302" s="18">
        <v>34990</v>
      </c>
      <c r="AC302" s="18">
        <v>34630</v>
      </c>
      <c r="AD302" s="18">
        <v>33920</v>
      </c>
      <c r="AE302" s="18">
        <v>34590</v>
      </c>
      <c r="AF302" s="18">
        <v>35530</v>
      </c>
      <c r="AG302" s="18">
        <v>35900</v>
      </c>
      <c r="AH302" s="18">
        <v>36760</v>
      </c>
      <c r="AI302" s="18">
        <v>39390</v>
      </c>
      <c r="AJ302" s="18">
        <v>41060</v>
      </c>
      <c r="AK302" s="18">
        <v>41240</v>
      </c>
    </row>
    <row r="303" spans="1:37" x14ac:dyDescent="0.25">
      <c r="A303" s="12">
        <f>$A$48</f>
        <v>33</v>
      </c>
      <c r="M303" s="12"/>
      <c r="N303" s="12"/>
      <c r="O303" s="12"/>
      <c r="P303" s="12"/>
      <c r="Q303" s="12"/>
      <c r="R303" s="12"/>
      <c r="S303" s="12"/>
      <c r="T303" s="18">
        <v>40010</v>
      </c>
      <c r="U303" s="18">
        <v>39840</v>
      </c>
      <c r="V303" s="18">
        <v>38920</v>
      </c>
      <c r="W303" s="18">
        <v>37790</v>
      </c>
      <c r="X303" s="18">
        <v>37370</v>
      </c>
      <c r="Y303" s="18">
        <v>36870</v>
      </c>
      <c r="Z303" s="18">
        <v>35470</v>
      </c>
      <c r="AA303" s="18">
        <v>35290</v>
      </c>
      <c r="AB303" s="18">
        <v>34630</v>
      </c>
      <c r="AC303" s="18">
        <v>35550</v>
      </c>
      <c r="AD303" s="18">
        <v>35190</v>
      </c>
      <c r="AE303" s="18">
        <v>34480</v>
      </c>
      <c r="AF303" s="18">
        <v>35150</v>
      </c>
      <c r="AG303" s="18">
        <v>36100</v>
      </c>
      <c r="AH303" s="18">
        <v>36470</v>
      </c>
      <c r="AI303" s="18">
        <v>37340</v>
      </c>
      <c r="AJ303" s="18">
        <v>39970</v>
      </c>
      <c r="AK303" s="18">
        <v>41650</v>
      </c>
    </row>
    <row r="304" spans="1:37" x14ac:dyDescent="0.25">
      <c r="A304" s="12">
        <f>$A$49</f>
        <v>34</v>
      </c>
      <c r="M304" s="12"/>
      <c r="N304" s="12"/>
      <c r="O304" s="12"/>
      <c r="P304" s="12"/>
      <c r="Q304" s="12"/>
      <c r="R304" s="12"/>
      <c r="S304" s="12"/>
      <c r="T304" s="18">
        <v>39780</v>
      </c>
      <c r="U304" s="18">
        <v>40400</v>
      </c>
      <c r="V304" s="18">
        <v>40290</v>
      </c>
      <c r="W304" s="18">
        <v>39390</v>
      </c>
      <c r="X304" s="18">
        <v>38280</v>
      </c>
      <c r="Y304" s="18">
        <v>37880</v>
      </c>
      <c r="Z304" s="18">
        <v>37380</v>
      </c>
      <c r="AA304" s="18">
        <v>35990</v>
      </c>
      <c r="AB304" s="18">
        <v>35810</v>
      </c>
      <c r="AC304" s="18">
        <v>35150</v>
      </c>
      <c r="AD304" s="18">
        <v>36080</v>
      </c>
      <c r="AE304" s="18">
        <v>35720</v>
      </c>
      <c r="AF304" s="18">
        <v>35010</v>
      </c>
      <c r="AG304" s="18">
        <v>35690</v>
      </c>
      <c r="AH304" s="18">
        <v>36640</v>
      </c>
      <c r="AI304" s="18">
        <v>37010</v>
      </c>
      <c r="AJ304" s="18">
        <v>37880</v>
      </c>
      <c r="AK304" s="18">
        <v>40520</v>
      </c>
    </row>
    <row r="305" spans="1:37" x14ac:dyDescent="0.25">
      <c r="A305" s="12">
        <f>$A$50</f>
        <v>35</v>
      </c>
      <c r="M305" s="12"/>
      <c r="N305" s="12"/>
      <c r="O305" s="12"/>
      <c r="P305" s="12"/>
      <c r="Q305" s="12"/>
      <c r="R305" s="12"/>
      <c r="S305" s="12"/>
      <c r="T305" s="18">
        <v>38530</v>
      </c>
      <c r="U305" s="18">
        <v>40090</v>
      </c>
      <c r="V305" s="18">
        <v>40760</v>
      </c>
      <c r="W305" s="18">
        <v>40670</v>
      </c>
      <c r="X305" s="18">
        <v>39800</v>
      </c>
      <c r="Y305" s="18">
        <v>38700</v>
      </c>
      <c r="Z305" s="18">
        <v>38310</v>
      </c>
      <c r="AA305" s="18">
        <v>37820</v>
      </c>
      <c r="AB305" s="18">
        <v>36440</v>
      </c>
      <c r="AC305" s="18">
        <v>36260</v>
      </c>
      <c r="AD305" s="18">
        <v>35600</v>
      </c>
      <c r="AE305" s="18">
        <v>36530</v>
      </c>
      <c r="AF305" s="18">
        <v>36170</v>
      </c>
      <c r="AG305" s="18">
        <v>35470</v>
      </c>
      <c r="AH305" s="18">
        <v>36150</v>
      </c>
      <c r="AI305" s="18">
        <v>37100</v>
      </c>
      <c r="AJ305" s="18">
        <v>37480</v>
      </c>
      <c r="AK305" s="18">
        <v>38350</v>
      </c>
    </row>
    <row r="306" spans="1:37" x14ac:dyDescent="0.25">
      <c r="A306" s="12">
        <f>$A$51</f>
        <v>36</v>
      </c>
      <c r="M306" s="12"/>
      <c r="N306" s="12"/>
      <c r="O306" s="12"/>
      <c r="P306" s="12"/>
      <c r="Q306" s="12"/>
      <c r="R306" s="12"/>
      <c r="S306" s="12"/>
      <c r="T306" s="18">
        <v>38140</v>
      </c>
      <c r="U306" s="18">
        <v>38780</v>
      </c>
      <c r="V306" s="18">
        <v>40380</v>
      </c>
      <c r="W306" s="18">
        <v>41080</v>
      </c>
      <c r="X306" s="18">
        <v>41010</v>
      </c>
      <c r="Y306" s="18">
        <v>40160</v>
      </c>
      <c r="Z306" s="18">
        <v>39070</v>
      </c>
      <c r="AA306" s="18">
        <v>38690</v>
      </c>
      <c r="AB306" s="18">
        <v>38210</v>
      </c>
      <c r="AC306" s="18">
        <v>36830</v>
      </c>
      <c r="AD306" s="18">
        <v>36650</v>
      </c>
      <c r="AE306" s="18">
        <v>36000</v>
      </c>
      <c r="AF306" s="18">
        <v>36930</v>
      </c>
      <c r="AG306" s="18">
        <v>36580</v>
      </c>
      <c r="AH306" s="18">
        <v>35880</v>
      </c>
      <c r="AI306" s="18">
        <v>36560</v>
      </c>
      <c r="AJ306" s="18">
        <v>37510</v>
      </c>
      <c r="AK306" s="18">
        <v>37890</v>
      </c>
    </row>
    <row r="307" spans="1:37" x14ac:dyDescent="0.25">
      <c r="A307" s="12">
        <f>$A$52</f>
        <v>37</v>
      </c>
      <c r="M307" s="12"/>
      <c r="N307" s="12"/>
      <c r="O307" s="12"/>
      <c r="P307" s="12"/>
      <c r="Q307" s="12"/>
      <c r="R307" s="12"/>
      <c r="S307" s="12"/>
      <c r="T307" s="18">
        <v>37320</v>
      </c>
      <c r="U307" s="18">
        <v>38400</v>
      </c>
      <c r="V307" s="18">
        <v>39090</v>
      </c>
      <c r="W307" s="18">
        <v>40720</v>
      </c>
      <c r="X307" s="18">
        <v>41430</v>
      </c>
      <c r="Y307" s="18">
        <v>41380</v>
      </c>
      <c r="Z307" s="18">
        <v>40540</v>
      </c>
      <c r="AA307" s="18">
        <v>39460</v>
      </c>
      <c r="AB307" s="18">
        <v>39090</v>
      </c>
      <c r="AC307" s="18">
        <v>38610</v>
      </c>
      <c r="AD307" s="18">
        <v>37230</v>
      </c>
      <c r="AE307" s="18">
        <v>37060</v>
      </c>
      <c r="AF307" s="18">
        <v>36420</v>
      </c>
      <c r="AG307" s="18">
        <v>37340</v>
      </c>
      <c r="AH307" s="18">
        <v>37000</v>
      </c>
      <c r="AI307" s="18">
        <v>36300</v>
      </c>
      <c r="AJ307" s="18">
        <v>36990</v>
      </c>
      <c r="AK307" s="18">
        <v>37940</v>
      </c>
    </row>
    <row r="308" spans="1:37" x14ac:dyDescent="0.25">
      <c r="A308" s="12">
        <f>$A$53</f>
        <v>38</v>
      </c>
      <c r="M308" s="12"/>
      <c r="N308" s="12"/>
      <c r="O308" s="12"/>
      <c r="P308" s="12"/>
      <c r="Q308" s="12"/>
      <c r="R308" s="12"/>
      <c r="S308" s="12"/>
      <c r="T308" s="18">
        <v>35650</v>
      </c>
      <c r="U308" s="18">
        <v>37570</v>
      </c>
      <c r="V308" s="18">
        <v>38700</v>
      </c>
      <c r="W308" s="18">
        <v>39410</v>
      </c>
      <c r="X308" s="18">
        <v>41050</v>
      </c>
      <c r="Y308" s="18">
        <v>41790</v>
      </c>
      <c r="Z308" s="18">
        <v>41740</v>
      </c>
      <c r="AA308" s="18">
        <v>40910</v>
      </c>
      <c r="AB308" s="18">
        <v>39840</v>
      </c>
      <c r="AC308" s="18">
        <v>39470</v>
      </c>
      <c r="AD308" s="18">
        <v>38990</v>
      </c>
      <c r="AE308" s="18">
        <v>37620</v>
      </c>
      <c r="AF308" s="18">
        <v>37460</v>
      </c>
      <c r="AG308" s="18">
        <v>36810</v>
      </c>
      <c r="AH308" s="18">
        <v>37740</v>
      </c>
      <c r="AI308" s="18">
        <v>37400</v>
      </c>
      <c r="AJ308" s="18">
        <v>36710</v>
      </c>
      <c r="AK308" s="18">
        <v>37390</v>
      </c>
    </row>
    <row r="309" spans="1:37" x14ac:dyDescent="0.25">
      <c r="A309" s="12">
        <f>$A$54</f>
        <v>39</v>
      </c>
      <c r="M309" s="12"/>
      <c r="N309" s="12"/>
      <c r="O309" s="12"/>
      <c r="P309" s="12"/>
      <c r="Q309" s="12"/>
      <c r="R309" s="12"/>
      <c r="S309" s="12"/>
      <c r="T309" s="18">
        <v>34820</v>
      </c>
      <c r="U309" s="18">
        <v>35870</v>
      </c>
      <c r="V309" s="18">
        <v>37830</v>
      </c>
      <c r="W309" s="18">
        <v>38980</v>
      </c>
      <c r="X309" s="18">
        <v>39720</v>
      </c>
      <c r="Y309" s="18">
        <v>41370</v>
      </c>
      <c r="Z309" s="18">
        <v>42110</v>
      </c>
      <c r="AA309" s="18">
        <v>42070</v>
      </c>
      <c r="AB309" s="18">
        <v>41250</v>
      </c>
      <c r="AC309" s="18">
        <v>40180</v>
      </c>
      <c r="AD309" s="18">
        <v>39810</v>
      </c>
      <c r="AE309" s="18">
        <v>39340</v>
      </c>
      <c r="AF309" s="18">
        <v>37980</v>
      </c>
      <c r="AG309" s="18">
        <v>37810</v>
      </c>
      <c r="AH309" s="18">
        <v>37180</v>
      </c>
      <c r="AI309" s="18">
        <v>38100</v>
      </c>
      <c r="AJ309" s="18">
        <v>37760</v>
      </c>
      <c r="AK309" s="18">
        <v>37080</v>
      </c>
    </row>
    <row r="310" spans="1:37" x14ac:dyDescent="0.25">
      <c r="A310" s="12">
        <f>$A$55</f>
        <v>40</v>
      </c>
      <c r="M310" s="12"/>
      <c r="N310" s="12"/>
      <c r="O310" s="12"/>
      <c r="P310" s="12"/>
      <c r="Q310" s="12"/>
      <c r="R310" s="12"/>
      <c r="S310" s="12"/>
      <c r="T310" s="18">
        <v>34500</v>
      </c>
      <c r="U310" s="18">
        <v>34990</v>
      </c>
      <c r="V310" s="18">
        <v>36090</v>
      </c>
      <c r="W310" s="18">
        <v>38060</v>
      </c>
      <c r="X310" s="18">
        <v>39240</v>
      </c>
      <c r="Y310" s="18">
        <v>39980</v>
      </c>
      <c r="Z310" s="18">
        <v>41640</v>
      </c>
      <c r="AA310" s="18">
        <v>42380</v>
      </c>
      <c r="AB310" s="18">
        <v>42350</v>
      </c>
      <c r="AC310" s="18">
        <v>41530</v>
      </c>
      <c r="AD310" s="18">
        <v>40470</v>
      </c>
      <c r="AE310" s="18">
        <v>40100</v>
      </c>
      <c r="AF310" s="18">
        <v>39630</v>
      </c>
      <c r="AG310" s="18">
        <v>38280</v>
      </c>
      <c r="AH310" s="18">
        <v>38110</v>
      </c>
      <c r="AI310" s="18">
        <v>37480</v>
      </c>
      <c r="AJ310" s="18">
        <v>38410</v>
      </c>
      <c r="AK310" s="18">
        <v>38070</v>
      </c>
    </row>
    <row r="311" spans="1:37" x14ac:dyDescent="0.25">
      <c r="A311" s="12">
        <f>$A$56</f>
        <v>41</v>
      </c>
      <c r="M311" s="12"/>
      <c r="N311" s="12"/>
      <c r="O311" s="12"/>
      <c r="P311" s="12"/>
      <c r="Q311" s="12"/>
      <c r="R311" s="12"/>
      <c r="S311" s="12"/>
      <c r="T311" s="18">
        <v>33760</v>
      </c>
      <c r="U311" s="18">
        <v>34650</v>
      </c>
      <c r="V311" s="18">
        <v>35190</v>
      </c>
      <c r="W311" s="18">
        <v>36300</v>
      </c>
      <c r="X311" s="18">
        <v>38290</v>
      </c>
      <c r="Y311" s="18">
        <v>39470</v>
      </c>
      <c r="Z311" s="18">
        <v>40220</v>
      </c>
      <c r="AA311" s="18">
        <v>41880</v>
      </c>
      <c r="AB311" s="18">
        <v>42630</v>
      </c>
      <c r="AC311" s="18">
        <v>42600</v>
      </c>
      <c r="AD311" s="18">
        <v>41780</v>
      </c>
      <c r="AE311" s="18">
        <v>40720</v>
      </c>
      <c r="AF311" s="18">
        <v>40360</v>
      </c>
      <c r="AG311" s="18">
        <v>39890</v>
      </c>
      <c r="AH311" s="18">
        <v>38550</v>
      </c>
      <c r="AI311" s="18">
        <v>38390</v>
      </c>
      <c r="AJ311" s="18">
        <v>37760</v>
      </c>
      <c r="AK311" s="18">
        <v>38690</v>
      </c>
    </row>
    <row r="312" spans="1:37" x14ac:dyDescent="0.25">
      <c r="A312" s="12">
        <f>$A$57</f>
        <v>42</v>
      </c>
      <c r="M312" s="12"/>
      <c r="N312" s="12"/>
      <c r="O312" s="12"/>
      <c r="P312" s="12"/>
      <c r="Q312" s="12"/>
      <c r="R312" s="12"/>
      <c r="S312" s="12"/>
      <c r="T312" s="18">
        <v>32580</v>
      </c>
      <c r="U312" s="18">
        <v>33870</v>
      </c>
      <c r="V312" s="18">
        <v>34800</v>
      </c>
      <c r="W312" s="18">
        <v>35350</v>
      </c>
      <c r="X312" s="18">
        <v>36480</v>
      </c>
      <c r="Y312" s="18">
        <v>38480</v>
      </c>
      <c r="Z312" s="18">
        <v>39660</v>
      </c>
      <c r="AA312" s="18">
        <v>40420</v>
      </c>
      <c r="AB312" s="18">
        <v>42070</v>
      </c>
      <c r="AC312" s="18">
        <v>42820</v>
      </c>
      <c r="AD312" s="18">
        <v>42790</v>
      </c>
      <c r="AE312" s="18">
        <v>41980</v>
      </c>
      <c r="AF312" s="18">
        <v>40930</v>
      </c>
      <c r="AG312" s="18">
        <v>40570</v>
      </c>
      <c r="AH312" s="18">
        <v>40110</v>
      </c>
      <c r="AI312" s="18">
        <v>38770</v>
      </c>
      <c r="AJ312" s="18">
        <v>38610</v>
      </c>
      <c r="AK312" s="18">
        <v>37990</v>
      </c>
    </row>
    <row r="313" spans="1:37" x14ac:dyDescent="0.25">
      <c r="A313" s="12">
        <f>$A$58</f>
        <v>43</v>
      </c>
      <c r="M313" s="12"/>
      <c r="N313" s="12"/>
      <c r="O313" s="12"/>
      <c r="P313" s="12"/>
      <c r="Q313" s="12"/>
      <c r="R313" s="12"/>
      <c r="S313" s="12"/>
      <c r="T313" s="18">
        <v>31810</v>
      </c>
      <c r="U313" s="18">
        <v>32660</v>
      </c>
      <c r="V313" s="18">
        <v>33980</v>
      </c>
      <c r="W313" s="18">
        <v>34920</v>
      </c>
      <c r="X313" s="18">
        <v>35490</v>
      </c>
      <c r="Y313" s="18">
        <v>36630</v>
      </c>
      <c r="Z313" s="18">
        <v>38620</v>
      </c>
      <c r="AA313" s="18">
        <v>39810</v>
      </c>
      <c r="AB313" s="18">
        <v>40560</v>
      </c>
      <c r="AC313" s="18">
        <v>42220</v>
      </c>
      <c r="AD313" s="18">
        <v>42970</v>
      </c>
      <c r="AE313" s="18">
        <v>42940</v>
      </c>
      <c r="AF313" s="18">
        <v>42130</v>
      </c>
      <c r="AG313" s="18">
        <v>41090</v>
      </c>
      <c r="AH313" s="18">
        <v>40730</v>
      </c>
      <c r="AI313" s="18">
        <v>40280</v>
      </c>
      <c r="AJ313" s="18">
        <v>38940</v>
      </c>
      <c r="AK313" s="18">
        <v>38790</v>
      </c>
    </row>
    <row r="314" spans="1:37" x14ac:dyDescent="0.25">
      <c r="A314" s="12">
        <f>$A$59</f>
        <v>44</v>
      </c>
      <c r="M314" s="12"/>
      <c r="N314" s="12"/>
      <c r="O314" s="12"/>
      <c r="P314" s="12"/>
      <c r="Q314" s="12"/>
      <c r="R314" s="12"/>
      <c r="S314" s="12"/>
      <c r="T314" s="18">
        <v>30970</v>
      </c>
      <c r="U314" s="18">
        <v>31860</v>
      </c>
      <c r="V314" s="18">
        <v>32740</v>
      </c>
      <c r="W314" s="18">
        <v>34070</v>
      </c>
      <c r="X314" s="18">
        <v>35030</v>
      </c>
      <c r="Y314" s="18">
        <v>35600</v>
      </c>
      <c r="Z314" s="18">
        <v>36750</v>
      </c>
      <c r="AA314" s="18">
        <v>38740</v>
      </c>
      <c r="AB314" s="18">
        <v>39930</v>
      </c>
      <c r="AC314" s="18">
        <v>40680</v>
      </c>
      <c r="AD314" s="18">
        <v>42340</v>
      </c>
      <c r="AE314" s="18">
        <v>43080</v>
      </c>
      <c r="AF314" s="18">
        <v>43060</v>
      </c>
      <c r="AG314" s="18">
        <v>42260</v>
      </c>
      <c r="AH314" s="18">
        <v>41220</v>
      </c>
      <c r="AI314" s="18">
        <v>40860</v>
      </c>
      <c r="AJ314" s="18">
        <v>40410</v>
      </c>
      <c r="AK314" s="18">
        <v>39080</v>
      </c>
    </row>
    <row r="315" spans="1:37" x14ac:dyDescent="0.25">
      <c r="A315" s="12">
        <f>$A$60</f>
        <v>45</v>
      </c>
      <c r="M315" s="12"/>
      <c r="N315" s="12"/>
      <c r="O315" s="12"/>
      <c r="P315" s="12"/>
      <c r="Q315" s="12"/>
      <c r="R315" s="12"/>
      <c r="S315" s="12"/>
      <c r="T315" s="18">
        <v>29980</v>
      </c>
      <c r="U315" s="18">
        <v>31010</v>
      </c>
      <c r="V315" s="18">
        <v>31930</v>
      </c>
      <c r="W315" s="18">
        <v>32820</v>
      </c>
      <c r="X315" s="18">
        <v>34170</v>
      </c>
      <c r="Y315" s="18">
        <v>35130</v>
      </c>
      <c r="Z315" s="18">
        <v>35710</v>
      </c>
      <c r="AA315" s="18">
        <v>36860</v>
      </c>
      <c r="AB315" s="18">
        <v>38850</v>
      </c>
      <c r="AC315" s="18">
        <v>40040</v>
      </c>
      <c r="AD315" s="18">
        <v>40790</v>
      </c>
      <c r="AE315" s="18">
        <v>42450</v>
      </c>
      <c r="AF315" s="18">
        <v>43200</v>
      </c>
      <c r="AG315" s="18">
        <v>43180</v>
      </c>
      <c r="AH315" s="18">
        <v>42370</v>
      </c>
      <c r="AI315" s="18">
        <v>41340</v>
      </c>
      <c r="AJ315" s="18">
        <v>40990</v>
      </c>
      <c r="AK315" s="18">
        <v>40540</v>
      </c>
    </row>
    <row r="316" spans="1:37" x14ac:dyDescent="0.25">
      <c r="A316" s="12">
        <f>$A$61</f>
        <v>46</v>
      </c>
      <c r="M316" s="12"/>
      <c r="N316" s="12"/>
      <c r="O316" s="12"/>
      <c r="P316" s="12"/>
      <c r="Q316" s="12"/>
      <c r="R316" s="12"/>
      <c r="S316" s="12"/>
      <c r="T316" s="18">
        <v>28750</v>
      </c>
      <c r="U316" s="18">
        <v>30000</v>
      </c>
      <c r="V316" s="18">
        <v>31050</v>
      </c>
      <c r="W316" s="18">
        <v>31990</v>
      </c>
      <c r="X316" s="18">
        <v>32890</v>
      </c>
      <c r="Y316" s="18">
        <v>34240</v>
      </c>
      <c r="Z316" s="18">
        <v>35210</v>
      </c>
      <c r="AA316" s="18">
        <v>35790</v>
      </c>
      <c r="AB316" s="18">
        <v>36940</v>
      </c>
      <c r="AC316" s="18">
        <v>38930</v>
      </c>
      <c r="AD316" s="18">
        <v>40120</v>
      </c>
      <c r="AE316" s="18">
        <v>40880</v>
      </c>
      <c r="AF316" s="18">
        <v>42530</v>
      </c>
      <c r="AG316" s="18">
        <v>43280</v>
      </c>
      <c r="AH316" s="18">
        <v>43270</v>
      </c>
      <c r="AI316" s="18">
        <v>42470</v>
      </c>
      <c r="AJ316" s="18">
        <v>41440</v>
      </c>
      <c r="AK316" s="18">
        <v>41090</v>
      </c>
    </row>
    <row r="317" spans="1:37" x14ac:dyDescent="0.25">
      <c r="A317" s="12">
        <f>$A$62</f>
        <v>47</v>
      </c>
      <c r="M317" s="12"/>
      <c r="N317" s="12"/>
      <c r="O317" s="12"/>
      <c r="P317" s="12"/>
      <c r="Q317" s="12"/>
      <c r="R317" s="12"/>
      <c r="S317" s="12"/>
      <c r="T317" s="18">
        <v>29000</v>
      </c>
      <c r="U317" s="18">
        <v>28740</v>
      </c>
      <c r="V317" s="18">
        <v>30010</v>
      </c>
      <c r="W317" s="18">
        <v>31080</v>
      </c>
      <c r="X317" s="18">
        <v>32020</v>
      </c>
      <c r="Y317" s="18">
        <v>32930</v>
      </c>
      <c r="Z317" s="18">
        <v>34290</v>
      </c>
      <c r="AA317" s="18">
        <v>35260</v>
      </c>
      <c r="AB317" s="18">
        <v>35840</v>
      </c>
      <c r="AC317" s="18">
        <v>36990</v>
      </c>
      <c r="AD317" s="18">
        <v>38980</v>
      </c>
      <c r="AE317" s="18">
        <v>40170</v>
      </c>
      <c r="AF317" s="18">
        <v>40930</v>
      </c>
      <c r="AG317" s="18">
        <v>42590</v>
      </c>
      <c r="AH317" s="18">
        <v>43340</v>
      </c>
      <c r="AI317" s="18">
        <v>43330</v>
      </c>
      <c r="AJ317" s="18">
        <v>42530</v>
      </c>
      <c r="AK317" s="18">
        <v>41500</v>
      </c>
    </row>
    <row r="318" spans="1:37" x14ac:dyDescent="0.25">
      <c r="A318" s="12">
        <f>$A$63</f>
        <v>48</v>
      </c>
      <c r="M318" s="12"/>
      <c r="N318" s="12"/>
      <c r="O318" s="12"/>
      <c r="P318" s="12"/>
      <c r="Q318" s="12"/>
      <c r="R318" s="12"/>
      <c r="S318" s="12"/>
      <c r="T318" s="18">
        <v>28590</v>
      </c>
      <c r="U318" s="18">
        <v>28950</v>
      </c>
      <c r="V318" s="18">
        <v>28710</v>
      </c>
      <c r="W318" s="18">
        <v>29990</v>
      </c>
      <c r="X318" s="18">
        <v>31070</v>
      </c>
      <c r="Y318" s="18">
        <v>32020</v>
      </c>
      <c r="Z318" s="18">
        <v>32930</v>
      </c>
      <c r="AA318" s="18">
        <v>34290</v>
      </c>
      <c r="AB318" s="18">
        <v>35260</v>
      </c>
      <c r="AC318" s="18">
        <v>35850</v>
      </c>
      <c r="AD318" s="18">
        <v>37000</v>
      </c>
      <c r="AE318" s="18">
        <v>38990</v>
      </c>
      <c r="AF318" s="18">
        <v>40180</v>
      </c>
      <c r="AG318" s="18">
        <v>40940</v>
      </c>
      <c r="AH318" s="18">
        <v>42600</v>
      </c>
      <c r="AI318" s="18">
        <v>43350</v>
      </c>
      <c r="AJ318" s="18">
        <v>43340</v>
      </c>
      <c r="AK318" s="18">
        <v>42540</v>
      </c>
    </row>
    <row r="319" spans="1:37" x14ac:dyDescent="0.25">
      <c r="A319" s="12">
        <f>$A$64</f>
        <v>49</v>
      </c>
      <c r="M319" s="12"/>
      <c r="N319" s="12"/>
      <c r="O319" s="12"/>
      <c r="P319" s="12"/>
      <c r="Q319" s="12"/>
      <c r="R319" s="12"/>
      <c r="S319" s="12"/>
      <c r="T319" s="18">
        <v>28640</v>
      </c>
      <c r="U319" s="18">
        <v>28490</v>
      </c>
      <c r="V319" s="18">
        <v>28870</v>
      </c>
      <c r="W319" s="18">
        <v>28640</v>
      </c>
      <c r="X319" s="18">
        <v>29930</v>
      </c>
      <c r="Y319" s="18">
        <v>31010</v>
      </c>
      <c r="Z319" s="18">
        <v>31970</v>
      </c>
      <c r="AA319" s="18">
        <v>32880</v>
      </c>
      <c r="AB319" s="18">
        <v>34230</v>
      </c>
      <c r="AC319" s="18">
        <v>35200</v>
      </c>
      <c r="AD319" s="18">
        <v>35790</v>
      </c>
      <c r="AE319" s="18">
        <v>36940</v>
      </c>
      <c r="AF319" s="18">
        <v>38930</v>
      </c>
      <c r="AG319" s="18">
        <v>40120</v>
      </c>
      <c r="AH319" s="18">
        <v>40880</v>
      </c>
      <c r="AI319" s="18">
        <v>42540</v>
      </c>
      <c r="AJ319" s="18">
        <v>43290</v>
      </c>
      <c r="AK319" s="18">
        <v>43280</v>
      </c>
    </row>
    <row r="320" spans="1:37" x14ac:dyDescent="0.25">
      <c r="A320" s="12">
        <f>$A$65</f>
        <v>50</v>
      </c>
      <c r="M320" s="12"/>
      <c r="N320" s="12"/>
      <c r="O320" s="12"/>
      <c r="P320" s="12"/>
      <c r="Q320" s="12"/>
      <c r="R320" s="12"/>
      <c r="S320" s="12"/>
      <c r="T320" s="18">
        <v>29430</v>
      </c>
      <c r="U320" s="18">
        <v>28490</v>
      </c>
      <c r="V320" s="18">
        <v>28360</v>
      </c>
      <c r="W320" s="18">
        <v>28740</v>
      </c>
      <c r="X320" s="18">
        <v>28530</v>
      </c>
      <c r="Y320" s="18">
        <v>29820</v>
      </c>
      <c r="Z320" s="18">
        <v>30900</v>
      </c>
      <c r="AA320" s="18">
        <v>31850</v>
      </c>
      <c r="AB320" s="18">
        <v>32760</v>
      </c>
      <c r="AC320" s="18">
        <v>34120</v>
      </c>
      <c r="AD320" s="18">
        <v>35090</v>
      </c>
      <c r="AE320" s="18">
        <v>35680</v>
      </c>
      <c r="AF320" s="18">
        <v>36820</v>
      </c>
      <c r="AG320" s="18">
        <v>38810</v>
      </c>
      <c r="AH320" s="18">
        <v>40000</v>
      </c>
      <c r="AI320" s="18">
        <v>40760</v>
      </c>
      <c r="AJ320" s="18">
        <v>42410</v>
      </c>
      <c r="AK320" s="18">
        <v>43160</v>
      </c>
    </row>
    <row r="321" spans="1:37" x14ac:dyDescent="0.25">
      <c r="A321" s="12">
        <f>$A$66</f>
        <v>51</v>
      </c>
      <c r="M321" s="12"/>
      <c r="N321" s="12"/>
      <c r="O321" s="12"/>
      <c r="P321" s="12"/>
      <c r="Q321" s="12"/>
      <c r="R321" s="12"/>
      <c r="S321" s="12"/>
      <c r="T321" s="18">
        <v>29940</v>
      </c>
      <c r="U321" s="18">
        <v>29210</v>
      </c>
      <c r="V321" s="18">
        <v>28300</v>
      </c>
      <c r="W321" s="18">
        <v>28180</v>
      </c>
      <c r="X321" s="18">
        <v>28570</v>
      </c>
      <c r="Y321" s="18">
        <v>28370</v>
      </c>
      <c r="Z321" s="18">
        <v>29660</v>
      </c>
      <c r="AA321" s="18">
        <v>30740</v>
      </c>
      <c r="AB321" s="18">
        <v>31700</v>
      </c>
      <c r="AC321" s="18">
        <v>32610</v>
      </c>
      <c r="AD321" s="18">
        <v>33960</v>
      </c>
      <c r="AE321" s="18">
        <v>34930</v>
      </c>
      <c r="AF321" s="18">
        <v>35520</v>
      </c>
      <c r="AG321" s="18">
        <v>36670</v>
      </c>
      <c r="AH321" s="18">
        <v>38650</v>
      </c>
      <c r="AI321" s="18">
        <v>39840</v>
      </c>
      <c r="AJ321" s="18">
        <v>40600</v>
      </c>
      <c r="AK321" s="18">
        <v>42250</v>
      </c>
    </row>
    <row r="322" spans="1:37" x14ac:dyDescent="0.25">
      <c r="A322" s="12">
        <f>$A$67</f>
        <v>52</v>
      </c>
      <c r="M322" s="12"/>
      <c r="N322" s="12"/>
      <c r="O322" s="12"/>
      <c r="P322" s="12"/>
      <c r="Q322" s="12"/>
      <c r="R322" s="12"/>
      <c r="S322" s="12"/>
      <c r="T322" s="18">
        <v>30450</v>
      </c>
      <c r="U322" s="18">
        <v>29660</v>
      </c>
      <c r="V322" s="18">
        <v>28970</v>
      </c>
      <c r="W322" s="18">
        <v>28080</v>
      </c>
      <c r="X322" s="18">
        <v>27980</v>
      </c>
      <c r="Y322" s="18">
        <v>28380</v>
      </c>
      <c r="Z322" s="18">
        <v>28190</v>
      </c>
      <c r="AA322" s="18">
        <v>29480</v>
      </c>
      <c r="AB322" s="18">
        <v>30560</v>
      </c>
      <c r="AC322" s="18">
        <v>31520</v>
      </c>
      <c r="AD322" s="18">
        <v>32430</v>
      </c>
      <c r="AE322" s="18">
        <v>33790</v>
      </c>
      <c r="AF322" s="18">
        <v>34760</v>
      </c>
      <c r="AG322" s="18">
        <v>35360</v>
      </c>
      <c r="AH322" s="18">
        <v>36500</v>
      </c>
      <c r="AI322" s="18">
        <v>38480</v>
      </c>
      <c r="AJ322" s="18">
        <v>39670</v>
      </c>
      <c r="AK322" s="18">
        <v>40440</v>
      </c>
    </row>
    <row r="323" spans="1:37" x14ac:dyDescent="0.25">
      <c r="A323" s="12">
        <f>$A$68</f>
        <v>53</v>
      </c>
      <c r="M323" s="12"/>
      <c r="N323" s="12"/>
      <c r="O323" s="12"/>
      <c r="P323" s="12"/>
      <c r="Q323" s="12"/>
      <c r="R323" s="12"/>
      <c r="S323" s="12"/>
      <c r="T323" s="18">
        <v>30380</v>
      </c>
      <c r="U323" s="18">
        <v>30170</v>
      </c>
      <c r="V323" s="18">
        <v>29420</v>
      </c>
      <c r="W323" s="18">
        <v>28740</v>
      </c>
      <c r="X323" s="18">
        <v>27870</v>
      </c>
      <c r="Y323" s="18">
        <v>27780</v>
      </c>
      <c r="Z323" s="18">
        <v>28190</v>
      </c>
      <c r="AA323" s="18">
        <v>28010</v>
      </c>
      <c r="AB323" s="18">
        <v>29300</v>
      </c>
      <c r="AC323" s="18">
        <v>30390</v>
      </c>
      <c r="AD323" s="18">
        <v>31350</v>
      </c>
      <c r="AE323" s="18">
        <v>32270</v>
      </c>
      <c r="AF323" s="18">
        <v>33620</v>
      </c>
      <c r="AG323" s="18">
        <v>34590</v>
      </c>
      <c r="AH323" s="18">
        <v>35190</v>
      </c>
      <c r="AI323" s="18">
        <v>36340</v>
      </c>
      <c r="AJ323" s="18">
        <v>38320</v>
      </c>
      <c r="AK323" s="18">
        <v>39510</v>
      </c>
    </row>
    <row r="324" spans="1:37" x14ac:dyDescent="0.25">
      <c r="A324" s="12">
        <f>$A$69</f>
        <v>54</v>
      </c>
      <c r="M324" s="12"/>
      <c r="N324" s="12"/>
      <c r="O324" s="12"/>
      <c r="P324" s="12"/>
      <c r="Q324" s="12"/>
      <c r="R324" s="12"/>
      <c r="S324" s="12"/>
      <c r="T324" s="18">
        <v>29070</v>
      </c>
      <c r="U324" s="18">
        <v>30140</v>
      </c>
      <c r="V324" s="18">
        <v>29950</v>
      </c>
      <c r="W324" s="18">
        <v>29210</v>
      </c>
      <c r="X324" s="18">
        <v>28550</v>
      </c>
      <c r="Y324" s="18">
        <v>27700</v>
      </c>
      <c r="Z324" s="18">
        <v>27620</v>
      </c>
      <c r="AA324" s="18">
        <v>28030</v>
      </c>
      <c r="AB324" s="18">
        <v>27850</v>
      </c>
      <c r="AC324" s="18">
        <v>29140</v>
      </c>
      <c r="AD324" s="18">
        <v>30230</v>
      </c>
      <c r="AE324" s="18">
        <v>31190</v>
      </c>
      <c r="AF324" s="18">
        <v>32100</v>
      </c>
      <c r="AG324" s="18">
        <v>33460</v>
      </c>
      <c r="AH324" s="18">
        <v>34430</v>
      </c>
      <c r="AI324" s="18">
        <v>35030</v>
      </c>
      <c r="AJ324" s="18">
        <v>36180</v>
      </c>
      <c r="AK324" s="18">
        <v>38150</v>
      </c>
    </row>
    <row r="325" spans="1:37" x14ac:dyDescent="0.25">
      <c r="A325" s="12">
        <f>$A$70</f>
        <v>55</v>
      </c>
      <c r="M325" s="12"/>
      <c r="N325" s="12"/>
      <c r="O325" s="12"/>
      <c r="P325" s="12"/>
      <c r="Q325" s="12"/>
      <c r="R325" s="12"/>
      <c r="S325" s="12"/>
      <c r="T325" s="18">
        <v>28850</v>
      </c>
      <c r="U325" s="18">
        <v>28870</v>
      </c>
      <c r="V325" s="18">
        <v>29950</v>
      </c>
      <c r="W325" s="18">
        <v>29760</v>
      </c>
      <c r="X325" s="18">
        <v>29040</v>
      </c>
      <c r="Y325" s="18">
        <v>28390</v>
      </c>
      <c r="Z325" s="18">
        <v>27540</v>
      </c>
      <c r="AA325" s="18">
        <v>27460</v>
      </c>
      <c r="AB325" s="18">
        <v>27870</v>
      </c>
      <c r="AC325" s="18">
        <v>27700</v>
      </c>
      <c r="AD325" s="18">
        <v>28980</v>
      </c>
      <c r="AE325" s="18">
        <v>30070</v>
      </c>
      <c r="AF325" s="18">
        <v>31020</v>
      </c>
      <c r="AG325" s="18">
        <v>31930</v>
      </c>
      <c r="AH325" s="18">
        <v>33280</v>
      </c>
      <c r="AI325" s="18">
        <v>34250</v>
      </c>
      <c r="AJ325" s="18">
        <v>34850</v>
      </c>
      <c r="AK325" s="18">
        <v>35990</v>
      </c>
    </row>
    <row r="326" spans="1:37" x14ac:dyDescent="0.25">
      <c r="A326" s="12">
        <f>$A$71</f>
        <v>56</v>
      </c>
      <c r="M326" s="12"/>
      <c r="N326" s="12"/>
      <c r="O326" s="12"/>
      <c r="P326" s="12"/>
      <c r="Q326" s="12"/>
      <c r="R326" s="12"/>
      <c r="S326" s="12"/>
      <c r="T326" s="18">
        <v>28020</v>
      </c>
      <c r="U326" s="18">
        <v>28680</v>
      </c>
      <c r="V326" s="18">
        <v>28710</v>
      </c>
      <c r="W326" s="18">
        <v>29790</v>
      </c>
      <c r="X326" s="18">
        <v>29610</v>
      </c>
      <c r="Y326" s="18">
        <v>28890</v>
      </c>
      <c r="Z326" s="18">
        <v>28240</v>
      </c>
      <c r="AA326" s="18">
        <v>27390</v>
      </c>
      <c r="AB326" s="18">
        <v>27320</v>
      </c>
      <c r="AC326" s="18">
        <v>27730</v>
      </c>
      <c r="AD326" s="18">
        <v>27550</v>
      </c>
      <c r="AE326" s="18">
        <v>28830</v>
      </c>
      <c r="AF326" s="18">
        <v>29900</v>
      </c>
      <c r="AG326" s="18">
        <v>30850</v>
      </c>
      <c r="AH326" s="18">
        <v>31760</v>
      </c>
      <c r="AI326" s="18">
        <v>33090</v>
      </c>
      <c r="AJ326" s="18">
        <v>34060</v>
      </c>
      <c r="AK326" s="18">
        <v>34650</v>
      </c>
    </row>
    <row r="327" spans="1:37" x14ac:dyDescent="0.25">
      <c r="A327" s="12">
        <f>$A$72</f>
        <v>57</v>
      </c>
      <c r="M327" s="12"/>
      <c r="N327" s="12"/>
      <c r="O327" s="12"/>
      <c r="P327" s="12"/>
      <c r="Q327" s="12"/>
      <c r="R327" s="12"/>
      <c r="S327" s="12"/>
      <c r="T327" s="18">
        <v>27200</v>
      </c>
      <c r="U327" s="18">
        <v>27790</v>
      </c>
      <c r="V327" s="18">
        <v>28460</v>
      </c>
      <c r="W327" s="18">
        <v>28490</v>
      </c>
      <c r="X327" s="18">
        <v>29560</v>
      </c>
      <c r="Y327" s="18">
        <v>29380</v>
      </c>
      <c r="Z327" s="18">
        <v>28670</v>
      </c>
      <c r="AA327" s="18">
        <v>28030</v>
      </c>
      <c r="AB327" s="18">
        <v>27190</v>
      </c>
      <c r="AC327" s="18">
        <v>27110</v>
      </c>
      <c r="AD327" s="18">
        <v>27520</v>
      </c>
      <c r="AE327" s="18">
        <v>27350</v>
      </c>
      <c r="AF327" s="18">
        <v>28610</v>
      </c>
      <c r="AG327" s="18">
        <v>29670</v>
      </c>
      <c r="AH327" s="18">
        <v>30610</v>
      </c>
      <c r="AI327" s="18">
        <v>31510</v>
      </c>
      <c r="AJ327" s="18">
        <v>32840</v>
      </c>
      <c r="AK327" s="18">
        <v>33790</v>
      </c>
    </row>
    <row r="328" spans="1:37" x14ac:dyDescent="0.25">
      <c r="A328" s="12">
        <f>$A$73</f>
        <v>58</v>
      </c>
      <c r="M328" s="12"/>
      <c r="N328" s="12"/>
      <c r="O328" s="12"/>
      <c r="P328" s="12"/>
      <c r="Q328" s="12"/>
      <c r="R328" s="12"/>
      <c r="S328" s="12"/>
      <c r="T328" s="18">
        <v>26810</v>
      </c>
      <c r="U328" s="18">
        <v>26820</v>
      </c>
      <c r="V328" s="18">
        <v>27420</v>
      </c>
      <c r="W328" s="18">
        <v>28080</v>
      </c>
      <c r="X328" s="18">
        <v>28120</v>
      </c>
      <c r="Y328" s="18">
        <v>29180</v>
      </c>
      <c r="Z328" s="18">
        <v>29010</v>
      </c>
      <c r="AA328" s="18">
        <v>28310</v>
      </c>
      <c r="AB328" s="18">
        <v>27680</v>
      </c>
      <c r="AC328" s="18">
        <v>26860</v>
      </c>
      <c r="AD328" s="18">
        <v>26790</v>
      </c>
      <c r="AE328" s="18">
        <v>27190</v>
      </c>
      <c r="AF328" s="18">
        <v>27020</v>
      </c>
      <c r="AG328" s="18">
        <v>28270</v>
      </c>
      <c r="AH328" s="18">
        <v>29330</v>
      </c>
      <c r="AI328" s="18">
        <v>30250</v>
      </c>
      <c r="AJ328" s="18">
        <v>31140</v>
      </c>
      <c r="AK328" s="18">
        <v>32450</v>
      </c>
    </row>
    <row r="329" spans="1:37" x14ac:dyDescent="0.25">
      <c r="A329" s="12">
        <f>$A$74</f>
        <v>59</v>
      </c>
      <c r="M329" s="12"/>
      <c r="N329" s="12"/>
      <c r="O329" s="12"/>
      <c r="P329" s="12"/>
      <c r="Q329" s="12"/>
      <c r="R329" s="12"/>
      <c r="S329" s="12"/>
      <c r="T329" s="18">
        <v>26460</v>
      </c>
      <c r="U329" s="18">
        <v>26180</v>
      </c>
      <c r="V329" s="18">
        <v>26220</v>
      </c>
      <c r="W329" s="18">
        <v>26820</v>
      </c>
      <c r="X329" s="18">
        <v>27490</v>
      </c>
      <c r="Y329" s="18">
        <v>27550</v>
      </c>
      <c r="Z329" s="18">
        <v>28600</v>
      </c>
      <c r="AA329" s="18">
        <v>28460</v>
      </c>
      <c r="AB329" s="18">
        <v>27790</v>
      </c>
      <c r="AC329" s="18">
        <v>27180</v>
      </c>
      <c r="AD329" s="18">
        <v>26390</v>
      </c>
      <c r="AE329" s="18">
        <v>26330</v>
      </c>
      <c r="AF329" s="18">
        <v>26730</v>
      </c>
      <c r="AG329" s="18">
        <v>26580</v>
      </c>
      <c r="AH329" s="18">
        <v>27820</v>
      </c>
      <c r="AI329" s="18">
        <v>28860</v>
      </c>
      <c r="AJ329" s="18">
        <v>29780</v>
      </c>
      <c r="AK329" s="18">
        <v>30660</v>
      </c>
    </row>
    <row r="330" spans="1:37" x14ac:dyDescent="0.25">
      <c r="A330" s="12">
        <f>$A$75</f>
        <v>60</v>
      </c>
      <c r="M330" s="12"/>
      <c r="N330" s="12"/>
      <c r="O330" s="12"/>
      <c r="P330" s="12"/>
      <c r="Q330" s="12"/>
      <c r="R330" s="12"/>
      <c r="S330" s="12"/>
      <c r="T330" s="18">
        <v>26240</v>
      </c>
      <c r="U330" s="18">
        <v>25680</v>
      </c>
      <c r="V330" s="18">
        <v>25440</v>
      </c>
      <c r="W330" s="18">
        <v>25500</v>
      </c>
      <c r="X330" s="18">
        <v>26120</v>
      </c>
      <c r="Y330" s="18">
        <v>26790</v>
      </c>
      <c r="Z330" s="18">
        <v>26870</v>
      </c>
      <c r="AA330" s="18">
        <v>27920</v>
      </c>
      <c r="AB330" s="18">
        <v>27800</v>
      </c>
      <c r="AC330" s="18">
        <v>27160</v>
      </c>
      <c r="AD330" s="18">
        <v>26590</v>
      </c>
      <c r="AE330" s="18">
        <v>25830</v>
      </c>
      <c r="AF330" s="18">
        <v>25790</v>
      </c>
      <c r="AG330" s="18">
        <v>26190</v>
      </c>
      <c r="AH330" s="18">
        <v>26060</v>
      </c>
      <c r="AI330" s="18">
        <v>27280</v>
      </c>
      <c r="AJ330" s="18">
        <v>28310</v>
      </c>
      <c r="AK330" s="18">
        <v>29230</v>
      </c>
    </row>
    <row r="331" spans="1:37" x14ac:dyDescent="0.25">
      <c r="A331" s="12">
        <f>$A$76</f>
        <v>61</v>
      </c>
      <c r="M331" s="12"/>
      <c r="N331" s="12"/>
      <c r="O331" s="12"/>
      <c r="P331" s="12"/>
      <c r="Q331" s="12"/>
      <c r="R331" s="12"/>
      <c r="S331" s="12"/>
      <c r="T331" s="18">
        <v>25750</v>
      </c>
      <c r="U331" s="18">
        <v>25520</v>
      </c>
      <c r="V331" s="18">
        <v>25000</v>
      </c>
      <c r="W331" s="18">
        <v>24790</v>
      </c>
      <c r="X331" s="18">
        <v>24870</v>
      </c>
      <c r="Y331" s="18">
        <v>25480</v>
      </c>
      <c r="Z331" s="18">
        <v>26160</v>
      </c>
      <c r="AA331" s="18">
        <v>26250</v>
      </c>
      <c r="AB331" s="18">
        <v>27280</v>
      </c>
      <c r="AC331" s="18">
        <v>27170</v>
      </c>
      <c r="AD331" s="18">
        <v>26560</v>
      </c>
      <c r="AE331" s="18">
        <v>26010</v>
      </c>
      <c r="AF331" s="18">
        <v>25280</v>
      </c>
      <c r="AG331" s="18">
        <v>25250</v>
      </c>
      <c r="AH331" s="18">
        <v>25660</v>
      </c>
      <c r="AI331" s="18">
        <v>25530</v>
      </c>
      <c r="AJ331" s="18">
        <v>26730</v>
      </c>
      <c r="AK331" s="18">
        <v>27750</v>
      </c>
    </row>
    <row r="332" spans="1:37" x14ac:dyDescent="0.25">
      <c r="A332" s="12">
        <f>$A$77</f>
        <v>62</v>
      </c>
      <c r="M332" s="12"/>
      <c r="N332" s="12"/>
      <c r="O332" s="12"/>
      <c r="P332" s="12"/>
      <c r="Q332" s="12"/>
      <c r="R332" s="12"/>
      <c r="S332" s="12"/>
      <c r="T332" s="18">
        <v>24860</v>
      </c>
      <c r="U332" s="18">
        <v>25100</v>
      </c>
      <c r="V332" s="18">
        <v>24890</v>
      </c>
      <c r="W332" s="18">
        <v>24390</v>
      </c>
      <c r="X332" s="18">
        <v>24200</v>
      </c>
      <c r="Y332" s="18">
        <v>24280</v>
      </c>
      <c r="Z332" s="18">
        <v>24890</v>
      </c>
      <c r="AA332" s="18">
        <v>25550</v>
      </c>
      <c r="AB332" s="18">
        <v>25640</v>
      </c>
      <c r="AC332" s="18">
        <v>26660</v>
      </c>
      <c r="AD332" s="18">
        <v>26550</v>
      </c>
      <c r="AE332" s="18">
        <v>25970</v>
      </c>
      <c r="AF332" s="18">
        <v>25440</v>
      </c>
      <c r="AG332" s="18">
        <v>24730</v>
      </c>
      <c r="AH332" s="18">
        <v>24700</v>
      </c>
      <c r="AI332" s="18">
        <v>25100</v>
      </c>
      <c r="AJ332" s="18">
        <v>24980</v>
      </c>
      <c r="AK332" s="18">
        <v>26150</v>
      </c>
    </row>
    <row r="333" spans="1:37" x14ac:dyDescent="0.25">
      <c r="A333" s="12">
        <f>$A$78</f>
        <v>63</v>
      </c>
      <c r="M333" s="12"/>
      <c r="N333" s="12"/>
      <c r="O333" s="12"/>
      <c r="P333" s="12"/>
      <c r="Q333" s="12"/>
      <c r="R333" s="12"/>
      <c r="S333" s="12"/>
      <c r="T333" s="18">
        <v>23440</v>
      </c>
      <c r="U333" s="18">
        <v>24010</v>
      </c>
      <c r="V333" s="18">
        <v>24250</v>
      </c>
      <c r="W333" s="18">
        <v>24070</v>
      </c>
      <c r="X333" s="18">
        <v>23600</v>
      </c>
      <c r="Y333" s="18">
        <v>23420</v>
      </c>
      <c r="Z333" s="18">
        <v>23520</v>
      </c>
      <c r="AA333" s="18">
        <v>24110</v>
      </c>
      <c r="AB333" s="18">
        <v>24760</v>
      </c>
      <c r="AC333" s="18">
        <v>24850</v>
      </c>
      <c r="AD333" s="18">
        <v>25840</v>
      </c>
      <c r="AE333" s="18">
        <v>25750</v>
      </c>
      <c r="AF333" s="18">
        <v>25180</v>
      </c>
      <c r="AG333" s="18">
        <v>24680</v>
      </c>
      <c r="AH333" s="18">
        <v>24000</v>
      </c>
      <c r="AI333" s="18">
        <v>23970</v>
      </c>
      <c r="AJ333" s="18">
        <v>24370</v>
      </c>
      <c r="AK333" s="18">
        <v>24260</v>
      </c>
    </row>
    <row r="334" spans="1:37" x14ac:dyDescent="0.25">
      <c r="A334" s="12">
        <f>$A$79</f>
        <v>64</v>
      </c>
      <c r="M334" s="12"/>
      <c r="N334" s="12"/>
      <c r="O334" s="12"/>
      <c r="P334" s="12"/>
      <c r="Q334" s="12"/>
      <c r="R334" s="12"/>
      <c r="S334" s="12"/>
      <c r="T334" s="18">
        <v>21300</v>
      </c>
      <c r="U334" s="18">
        <v>22260</v>
      </c>
      <c r="V334" s="18">
        <v>22810</v>
      </c>
      <c r="W334" s="18">
        <v>23060</v>
      </c>
      <c r="X334" s="18">
        <v>22900</v>
      </c>
      <c r="Y334" s="18">
        <v>22470</v>
      </c>
      <c r="Z334" s="18">
        <v>22310</v>
      </c>
      <c r="AA334" s="18">
        <v>22400</v>
      </c>
      <c r="AB334" s="18">
        <v>22980</v>
      </c>
      <c r="AC334" s="18">
        <v>23600</v>
      </c>
      <c r="AD334" s="18">
        <v>23700</v>
      </c>
      <c r="AE334" s="18">
        <v>24640</v>
      </c>
      <c r="AF334" s="18">
        <v>24560</v>
      </c>
      <c r="AG334" s="18">
        <v>24030</v>
      </c>
      <c r="AH334" s="18">
        <v>23550</v>
      </c>
      <c r="AI334" s="18">
        <v>22910</v>
      </c>
      <c r="AJ334" s="18">
        <v>22890</v>
      </c>
      <c r="AK334" s="18">
        <v>23270</v>
      </c>
    </row>
    <row r="335" spans="1:37" x14ac:dyDescent="0.25">
      <c r="A335" s="12">
        <f>$A$80</f>
        <v>65</v>
      </c>
      <c r="M335" s="12"/>
      <c r="N335" s="12"/>
      <c r="O335" s="12"/>
      <c r="P335" s="12"/>
      <c r="Q335" s="12"/>
      <c r="R335" s="12"/>
      <c r="S335" s="12"/>
      <c r="T335" s="18">
        <v>18700</v>
      </c>
      <c r="U335" s="18">
        <v>19030</v>
      </c>
      <c r="V335" s="18">
        <v>19900</v>
      </c>
      <c r="W335" s="18">
        <v>20410</v>
      </c>
      <c r="X335" s="18">
        <v>20640</v>
      </c>
      <c r="Y335" s="18">
        <v>20500</v>
      </c>
      <c r="Z335" s="18">
        <v>20130</v>
      </c>
      <c r="AA335" s="18">
        <v>19990</v>
      </c>
      <c r="AB335" s="18">
        <v>20090</v>
      </c>
      <c r="AC335" s="18">
        <v>20610</v>
      </c>
      <c r="AD335" s="18">
        <v>21170</v>
      </c>
      <c r="AE335" s="18">
        <v>21260</v>
      </c>
      <c r="AF335" s="18">
        <v>22110</v>
      </c>
      <c r="AG335" s="18">
        <v>22050</v>
      </c>
      <c r="AH335" s="18">
        <v>21580</v>
      </c>
      <c r="AI335" s="18">
        <v>21160</v>
      </c>
      <c r="AJ335" s="18">
        <v>20590</v>
      </c>
      <c r="AK335" s="18">
        <v>20580</v>
      </c>
    </row>
    <row r="336" spans="1:37" x14ac:dyDescent="0.25">
      <c r="A336" s="12">
        <f>$A$81</f>
        <v>66</v>
      </c>
      <c r="M336" s="12"/>
      <c r="N336" s="12"/>
      <c r="O336" s="12"/>
      <c r="P336" s="12"/>
      <c r="Q336" s="12"/>
      <c r="R336" s="12"/>
      <c r="S336" s="12"/>
      <c r="T336" s="18">
        <v>16140</v>
      </c>
      <c r="U336" s="18">
        <v>16870</v>
      </c>
      <c r="V336" s="18">
        <v>17180</v>
      </c>
      <c r="W336" s="18">
        <v>17980</v>
      </c>
      <c r="X336" s="18">
        <v>18450</v>
      </c>
      <c r="Y336" s="18">
        <v>18670</v>
      </c>
      <c r="Z336" s="18">
        <v>18550</v>
      </c>
      <c r="AA336" s="18">
        <v>18220</v>
      </c>
      <c r="AB336" s="18">
        <v>18110</v>
      </c>
      <c r="AC336" s="18">
        <v>18200</v>
      </c>
      <c r="AD336" s="18">
        <v>18670</v>
      </c>
      <c r="AE336" s="18">
        <v>19180</v>
      </c>
      <c r="AF336" s="18">
        <v>19280</v>
      </c>
      <c r="AG336" s="18">
        <v>20050</v>
      </c>
      <c r="AH336" s="18">
        <v>20000</v>
      </c>
      <c r="AI336" s="18">
        <v>19580</v>
      </c>
      <c r="AJ336" s="18">
        <v>19200</v>
      </c>
      <c r="AK336" s="18">
        <v>18690</v>
      </c>
    </row>
    <row r="337" spans="1:37" x14ac:dyDescent="0.25">
      <c r="A337" s="12">
        <f>$A$82</f>
        <v>67</v>
      </c>
      <c r="M337" s="12"/>
      <c r="N337" s="12"/>
      <c r="O337" s="12"/>
      <c r="P337" s="12"/>
      <c r="Q337" s="12"/>
      <c r="R337" s="12"/>
      <c r="S337" s="12"/>
      <c r="T337" s="18">
        <v>14040</v>
      </c>
      <c r="U337" s="18">
        <v>14500</v>
      </c>
      <c r="V337" s="18">
        <v>15160</v>
      </c>
      <c r="W337" s="18">
        <v>15450</v>
      </c>
      <c r="X337" s="18">
        <v>16170</v>
      </c>
      <c r="Y337" s="18">
        <v>16600</v>
      </c>
      <c r="Z337" s="18">
        <v>16810</v>
      </c>
      <c r="AA337" s="18">
        <v>16710</v>
      </c>
      <c r="AB337" s="18">
        <v>16420</v>
      </c>
      <c r="AC337" s="18">
        <v>16320</v>
      </c>
      <c r="AD337" s="18">
        <v>16410</v>
      </c>
      <c r="AE337" s="18">
        <v>16840</v>
      </c>
      <c r="AF337" s="18">
        <v>17310</v>
      </c>
      <c r="AG337" s="18">
        <v>17390</v>
      </c>
      <c r="AH337" s="18">
        <v>18100</v>
      </c>
      <c r="AI337" s="18">
        <v>18050</v>
      </c>
      <c r="AJ337" s="18">
        <v>17680</v>
      </c>
      <c r="AK337" s="18">
        <v>17340</v>
      </c>
    </row>
    <row r="338" spans="1:37" x14ac:dyDescent="0.25">
      <c r="A338" s="12">
        <f>$A$83</f>
        <v>68</v>
      </c>
      <c r="M338" s="12"/>
      <c r="N338" s="12"/>
      <c r="O338" s="12"/>
      <c r="P338" s="12"/>
      <c r="Q338" s="12"/>
      <c r="R338" s="12"/>
      <c r="S338" s="12"/>
      <c r="T338" s="18">
        <v>12180</v>
      </c>
      <c r="U338" s="18">
        <v>12550</v>
      </c>
      <c r="V338" s="18">
        <v>12970</v>
      </c>
      <c r="W338" s="18">
        <v>13570</v>
      </c>
      <c r="X338" s="18">
        <v>13830</v>
      </c>
      <c r="Y338" s="18">
        <v>14480</v>
      </c>
      <c r="Z338" s="18">
        <v>14870</v>
      </c>
      <c r="AA338" s="18">
        <v>15060</v>
      </c>
      <c r="AB338" s="18">
        <v>14980</v>
      </c>
      <c r="AC338" s="18">
        <v>14720</v>
      </c>
      <c r="AD338" s="18">
        <v>14640</v>
      </c>
      <c r="AE338" s="18">
        <v>14720</v>
      </c>
      <c r="AF338" s="18">
        <v>15120</v>
      </c>
      <c r="AG338" s="18">
        <v>15540</v>
      </c>
      <c r="AH338" s="18">
        <v>15620</v>
      </c>
      <c r="AI338" s="18">
        <v>16250</v>
      </c>
      <c r="AJ338" s="18">
        <v>16220</v>
      </c>
      <c r="AK338" s="18">
        <v>15890</v>
      </c>
    </row>
    <row r="339" spans="1:37" x14ac:dyDescent="0.25">
      <c r="A339" s="12">
        <f>$A$84</f>
        <v>69</v>
      </c>
      <c r="M339" s="12"/>
      <c r="N339" s="12"/>
      <c r="O339" s="12"/>
      <c r="P339" s="12"/>
      <c r="Q339" s="12"/>
      <c r="R339" s="12"/>
      <c r="S339" s="12"/>
      <c r="T339" s="18">
        <v>10460</v>
      </c>
      <c r="U339" s="18">
        <v>10830</v>
      </c>
      <c r="V339" s="18">
        <v>11170</v>
      </c>
      <c r="W339" s="18">
        <v>11550</v>
      </c>
      <c r="X339" s="18">
        <v>12090</v>
      </c>
      <c r="Y339" s="18">
        <v>12330</v>
      </c>
      <c r="Z339" s="18">
        <v>12910</v>
      </c>
      <c r="AA339" s="18">
        <v>13260</v>
      </c>
      <c r="AB339" s="18">
        <v>13440</v>
      </c>
      <c r="AC339" s="18">
        <v>13370</v>
      </c>
      <c r="AD339" s="18">
        <v>13140</v>
      </c>
      <c r="AE339" s="18">
        <v>13070</v>
      </c>
      <c r="AF339" s="18">
        <v>13150</v>
      </c>
      <c r="AG339" s="18">
        <v>13500</v>
      </c>
      <c r="AH339" s="18">
        <v>13880</v>
      </c>
      <c r="AI339" s="18">
        <v>13960</v>
      </c>
      <c r="AJ339" s="18">
        <v>14530</v>
      </c>
      <c r="AK339" s="18">
        <v>14500</v>
      </c>
    </row>
    <row r="340" spans="1:37" x14ac:dyDescent="0.25">
      <c r="A340" s="12">
        <f>$A$85</f>
        <v>70</v>
      </c>
      <c r="M340" s="12"/>
      <c r="N340" s="12"/>
      <c r="O340" s="12"/>
      <c r="P340" s="12"/>
      <c r="Q340" s="12"/>
      <c r="R340" s="12"/>
      <c r="S340" s="12"/>
      <c r="T340" s="18">
        <v>8980</v>
      </c>
      <c r="U340" s="18">
        <v>9250</v>
      </c>
      <c r="V340" s="18">
        <v>9590</v>
      </c>
      <c r="W340" s="18">
        <v>9890</v>
      </c>
      <c r="X340" s="18">
        <v>10230</v>
      </c>
      <c r="Y340" s="18">
        <v>10710</v>
      </c>
      <c r="Z340" s="18">
        <v>10930</v>
      </c>
      <c r="AA340" s="18">
        <v>11450</v>
      </c>
      <c r="AB340" s="18">
        <v>11770</v>
      </c>
      <c r="AC340" s="18">
        <v>11930</v>
      </c>
      <c r="AD340" s="18">
        <v>11870</v>
      </c>
      <c r="AE340" s="18">
        <v>11670</v>
      </c>
      <c r="AF340" s="18">
        <v>11610</v>
      </c>
      <c r="AG340" s="18">
        <v>11680</v>
      </c>
      <c r="AH340" s="18">
        <v>12000</v>
      </c>
      <c r="AI340" s="18">
        <v>12340</v>
      </c>
      <c r="AJ340" s="18">
        <v>12410</v>
      </c>
      <c r="AK340" s="18">
        <v>12920</v>
      </c>
    </row>
    <row r="341" spans="1:37" x14ac:dyDescent="0.25">
      <c r="A341" s="12">
        <f>$A$86</f>
        <v>71</v>
      </c>
      <c r="M341" s="12"/>
      <c r="N341" s="12"/>
      <c r="O341" s="12"/>
      <c r="P341" s="12"/>
      <c r="Q341" s="12"/>
      <c r="R341" s="12"/>
      <c r="S341" s="12"/>
      <c r="T341" s="18">
        <v>7560</v>
      </c>
      <c r="U341" s="18">
        <v>7900</v>
      </c>
      <c r="V341" s="18">
        <v>8140</v>
      </c>
      <c r="W341" s="18">
        <v>8450</v>
      </c>
      <c r="X341" s="18">
        <v>8720</v>
      </c>
      <c r="Y341" s="18">
        <v>9020</v>
      </c>
      <c r="Z341" s="18">
        <v>9450</v>
      </c>
      <c r="AA341" s="18">
        <v>9640</v>
      </c>
      <c r="AB341" s="18">
        <v>10110</v>
      </c>
      <c r="AC341" s="18">
        <v>10390</v>
      </c>
      <c r="AD341" s="18">
        <v>10530</v>
      </c>
      <c r="AE341" s="18">
        <v>10480</v>
      </c>
      <c r="AF341" s="18">
        <v>10310</v>
      </c>
      <c r="AG341" s="18">
        <v>10260</v>
      </c>
      <c r="AH341" s="18">
        <v>10330</v>
      </c>
      <c r="AI341" s="18">
        <v>10610</v>
      </c>
      <c r="AJ341" s="18">
        <v>10910</v>
      </c>
      <c r="AK341" s="18">
        <v>10980</v>
      </c>
    </row>
    <row r="342" spans="1:37" x14ac:dyDescent="0.25">
      <c r="A342" s="12">
        <f>$A$87</f>
        <v>72</v>
      </c>
      <c r="M342" s="12"/>
      <c r="N342" s="12"/>
      <c r="O342" s="12"/>
      <c r="P342" s="12"/>
      <c r="Q342" s="12"/>
      <c r="R342" s="12"/>
      <c r="S342" s="12"/>
      <c r="T342" s="18">
        <v>6460</v>
      </c>
      <c r="U342" s="18">
        <v>6620</v>
      </c>
      <c r="V342" s="18">
        <v>6930</v>
      </c>
      <c r="W342" s="18">
        <v>7140</v>
      </c>
      <c r="X342" s="18">
        <v>7410</v>
      </c>
      <c r="Y342" s="18">
        <v>7660</v>
      </c>
      <c r="Z342" s="18">
        <v>7920</v>
      </c>
      <c r="AA342" s="18">
        <v>8300</v>
      </c>
      <c r="AB342" s="18">
        <v>8470</v>
      </c>
      <c r="AC342" s="18">
        <v>8890</v>
      </c>
      <c r="AD342" s="18">
        <v>9140</v>
      </c>
      <c r="AE342" s="18">
        <v>9260</v>
      </c>
      <c r="AF342" s="18">
        <v>9220</v>
      </c>
      <c r="AG342" s="18">
        <v>9080</v>
      </c>
      <c r="AH342" s="18">
        <v>9030</v>
      </c>
      <c r="AI342" s="18">
        <v>9090</v>
      </c>
      <c r="AJ342" s="18">
        <v>9340</v>
      </c>
      <c r="AK342" s="18">
        <v>9610</v>
      </c>
    </row>
    <row r="343" spans="1:37" x14ac:dyDescent="0.25">
      <c r="A343" s="12">
        <f>$A$88</f>
        <v>73</v>
      </c>
      <c r="M343" s="12"/>
      <c r="N343" s="12"/>
      <c r="O343" s="12"/>
      <c r="P343" s="12"/>
      <c r="Q343" s="12"/>
      <c r="R343" s="12"/>
      <c r="S343" s="12"/>
      <c r="T343" s="18">
        <v>5510</v>
      </c>
      <c r="U343" s="18">
        <v>5640</v>
      </c>
      <c r="V343" s="18">
        <v>5790</v>
      </c>
      <c r="W343" s="18">
        <v>6060</v>
      </c>
      <c r="X343" s="18">
        <v>6250</v>
      </c>
      <c r="Y343" s="18">
        <v>6490</v>
      </c>
      <c r="Z343" s="18">
        <v>6700</v>
      </c>
      <c r="AA343" s="18">
        <v>6940</v>
      </c>
      <c r="AB343" s="18">
        <v>7270</v>
      </c>
      <c r="AC343" s="18">
        <v>7430</v>
      </c>
      <c r="AD343" s="18">
        <v>7790</v>
      </c>
      <c r="AE343" s="18">
        <v>8010</v>
      </c>
      <c r="AF343" s="18">
        <v>8130</v>
      </c>
      <c r="AG343" s="18">
        <v>8090</v>
      </c>
      <c r="AH343" s="18">
        <v>7970</v>
      </c>
      <c r="AI343" s="18">
        <v>7930</v>
      </c>
      <c r="AJ343" s="18">
        <v>7990</v>
      </c>
      <c r="AK343" s="18">
        <v>8210</v>
      </c>
    </row>
    <row r="344" spans="1:37" x14ac:dyDescent="0.25">
      <c r="A344" s="12">
        <f>$A$89</f>
        <v>74</v>
      </c>
      <c r="M344" s="12"/>
      <c r="N344" s="12"/>
      <c r="O344" s="12"/>
      <c r="P344" s="12"/>
      <c r="Q344" s="12"/>
      <c r="R344" s="12"/>
      <c r="S344" s="12"/>
      <c r="T344" s="18">
        <v>4740</v>
      </c>
      <c r="U344" s="18">
        <v>4800</v>
      </c>
      <c r="V344" s="18">
        <v>4920</v>
      </c>
      <c r="W344" s="18">
        <v>5050</v>
      </c>
      <c r="X344" s="18">
        <v>5290</v>
      </c>
      <c r="Y344" s="18">
        <v>5450</v>
      </c>
      <c r="Z344" s="18">
        <v>5660</v>
      </c>
      <c r="AA344" s="18">
        <v>5850</v>
      </c>
      <c r="AB344" s="18">
        <v>6060</v>
      </c>
      <c r="AC344" s="18">
        <v>6360</v>
      </c>
      <c r="AD344" s="18">
        <v>6490</v>
      </c>
      <c r="AE344" s="18">
        <v>6810</v>
      </c>
      <c r="AF344" s="18">
        <v>7010</v>
      </c>
      <c r="AG344" s="18">
        <v>7110</v>
      </c>
      <c r="AH344" s="18">
        <v>7080</v>
      </c>
      <c r="AI344" s="18">
        <v>6970</v>
      </c>
      <c r="AJ344" s="18">
        <v>6940</v>
      </c>
      <c r="AK344" s="18">
        <v>6990</v>
      </c>
    </row>
    <row r="345" spans="1:37" x14ac:dyDescent="0.25">
      <c r="A345" s="12">
        <f>$A$90</f>
        <v>75</v>
      </c>
      <c r="M345" s="12"/>
      <c r="N345" s="12"/>
      <c r="O345" s="12"/>
      <c r="P345" s="12"/>
      <c r="Q345" s="12"/>
      <c r="R345" s="12"/>
      <c r="S345" s="12"/>
      <c r="T345" s="18">
        <v>3970</v>
      </c>
      <c r="U345" s="18">
        <v>4110</v>
      </c>
      <c r="V345" s="18">
        <v>4160</v>
      </c>
      <c r="W345" s="18">
        <v>4260</v>
      </c>
      <c r="X345" s="18">
        <v>4380</v>
      </c>
      <c r="Y345" s="18">
        <v>4590</v>
      </c>
      <c r="Z345" s="18">
        <v>4730</v>
      </c>
      <c r="AA345" s="18">
        <v>4920</v>
      </c>
      <c r="AB345" s="18">
        <v>5080</v>
      </c>
      <c r="AC345" s="18">
        <v>5260</v>
      </c>
      <c r="AD345" s="18">
        <v>5520</v>
      </c>
      <c r="AE345" s="18">
        <v>5640</v>
      </c>
      <c r="AF345" s="18">
        <v>5920</v>
      </c>
      <c r="AG345" s="18">
        <v>6090</v>
      </c>
      <c r="AH345" s="18">
        <v>6180</v>
      </c>
      <c r="AI345" s="18">
        <v>6160</v>
      </c>
      <c r="AJ345" s="18">
        <v>6060</v>
      </c>
      <c r="AK345" s="18">
        <v>6040</v>
      </c>
    </row>
    <row r="346" spans="1:37" x14ac:dyDescent="0.25">
      <c r="A346" s="12">
        <f>$A$91</f>
        <v>76</v>
      </c>
      <c r="M346" s="12"/>
      <c r="N346" s="12"/>
      <c r="O346" s="12"/>
      <c r="P346" s="12"/>
      <c r="Q346" s="12"/>
      <c r="R346" s="12"/>
      <c r="S346" s="12"/>
      <c r="T346" s="18">
        <v>3450</v>
      </c>
      <c r="U346" s="18">
        <v>3460</v>
      </c>
      <c r="V346" s="18">
        <v>3580</v>
      </c>
      <c r="W346" s="18">
        <v>3620</v>
      </c>
      <c r="X346" s="18">
        <v>3710</v>
      </c>
      <c r="Y346" s="18">
        <v>3810</v>
      </c>
      <c r="Z346" s="18">
        <v>3990</v>
      </c>
      <c r="AA346" s="18">
        <v>4120</v>
      </c>
      <c r="AB346" s="18">
        <v>4280</v>
      </c>
      <c r="AC346" s="18">
        <v>4430</v>
      </c>
      <c r="AD346" s="18">
        <v>4590</v>
      </c>
      <c r="AE346" s="18">
        <v>4810</v>
      </c>
      <c r="AF346" s="18">
        <v>4920</v>
      </c>
      <c r="AG346" s="18">
        <v>5160</v>
      </c>
      <c r="AH346" s="18">
        <v>5310</v>
      </c>
      <c r="AI346" s="18">
        <v>5390</v>
      </c>
      <c r="AJ346" s="18">
        <v>5370</v>
      </c>
      <c r="AK346" s="18">
        <v>5290</v>
      </c>
    </row>
    <row r="347" spans="1:37" x14ac:dyDescent="0.25">
      <c r="A347" s="12">
        <f>$A$92</f>
        <v>77</v>
      </c>
      <c r="M347" s="12"/>
      <c r="N347" s="12"/>
      <c r="O347" s="12"/>
      <c r="P347" s="12"/>
      <c r="Q347" s="12"/>
      <c r="R347" s="12"/>
      <c r="S347" s="12"/>
      <c r="T347" s="18">
        <v>3000</v>
      </c>
      <c r="U347" s="18">
        <v>3020</v>
      </c>
      <c r="V347" s="18">
        <v>3030</v>
      </c>
      <c r="W347" s="18">
        <v>3140</v>
      </c>
      <c r="X347" s="18">
        <v>3180</v>
      </c>
      <c r="Y347" s="18">
        <v>3260</v>
      </c>
      <c r="Z347" s="18">
        <v>3350</v>
      </c>
      <c r="AA347" s="18">
        <v>3510</v>
      </c>
      <c r="AB347" s="18">
        <v>3620</v>
      </c>
      <c r="AC347" s="18">
        <v>3760</v>
      </c>
      <c r="AD347" s="18">
        <v>3890</v>
      </c>
      <c r="AE347" s="18">
        <v>4030</v>
      </c>
      <c r="AF347" s="18">
        <v>4230</v>
      </c>
      <c r="AG347" s="18">
        <v>4320</v>
      </c>
      <c r="AH347" s="18">
        <v>4540</v>
      </c>
      <c r="AI347" s="18">
        <v>4670</v>
      </c>
      <c r="AJ347" s="18">
        <v>4740</v>
      </c>
      <c r="AK347" s="18">
        <v>4730</v>
      </c>
    </row>
    <row r="348" spans="1:37" x14ac:dyDescent="0.25">
      <c r="A348" s="12">
        <f>$A$93</f>
        <v>78</v>
      </c>
      <c r="M348" s="12"/>
      <c r="N348" s="12"/>
      <c r="O348" s="12"/>
      <c r="P348" s="12"/>
      <c r="Q348" s="12"/>
      <c r="R348" s="12"/>
      <c r="S348" s="12"/>
      <c r="T348" s="18">
        <v>2170</v>
      </c>
      <c r="U348" s="18">
        <v>2620</v>
      </c>
      <c r="V348" s="18">
        <v>2640</v>
      </c>
      <c r="W348" s="18">
        <v>2650</v>
      </c>
      <c r="X348" s="18">
        <v>2750</v>
      </c>
      <c r="Y348" s="18">
        <v>2780</v>
      </c>
      <c r="Z348" s="18">
        <v>2860</v>
      </c>
      <c r="AA348" s="18">
        <v>2930</v>
      </c>
      <c r="AB348" s="18">
        <v>3080</v>
      </c>
      <c r="AC348" s="18">
        <v>3180</v>
      </c>
      <c r="AD348" s="18">
        <v>3300</v>
      </c>
      <c r="AE348" s="18">
        <v>3410</v>
      </c>
      <c r="AF348" s="18">
        <v>3540</v>
      </c>
      <c r="AG348" s="18">
        <v>3710</v>
      </c>
      <c r="AH348" s="18">
        <v>3800</v>
      </c>
      <c r="AI348" s="18">
        <v>3990</v>
      </c>
      <c r="AJ348" s="18">
        <v>4110</v>
      </c>
      <c r="AK348" s="18">
        <v>4170</v>
      </c>
    </row>
    <row r="349" spans="1:37" x14ac:dyDescent="0.25">
      <c r="A349" s="12">
        <f>$A$94</f>
        <v>79</v>
      </c>
      <c r="M349" s="12"/>
      <c r="N349" s="12"/>
      <c r="O349" s="12"/>
      <c r="P349" s="12"/>
      <c r="Q349" s="12"/>
      <c r="R349" s="12"/>
      <c r="S349" s="12"/>
      <c r="T349" s="18">
        <v>1740</v>
      </c>
      <c r="U349" s="18">
        <v>1860</v>
      </c>
      <c r="V349" s="18">
        <v>2250</v>
      </c>
      <c r="W349" s="18">
        <v>2270</v>
      </c>
      <c r="X349" s="18">
        <v>2280</v>
      </c>
      <c r="Y349" s="18">
        <v>2360</v>
      </c>
      <c r="Z349" s="18">
        <v>2400</v>
      </c>
      <c r="AA349" s="18">
        <v>2460</v>
      </c>
      <c r="AB349" s="18">
        <v>2530</v>
      </c>
      <c r="AC349" s="18">
        <v>2650</v>
      </c>
      <c r="AD349" s="18">
        <v>2740</v>
      </c>
      <c r="AE349" s="18">
        <v>2850</v>
      </c>
      <c r="AF349" s="18">
        <v>2950</v>
      </c>
      <c r="AG349" s="18">
        <v>3050</v>
      </c>
      <c r="AH349" s="18">
        <v>3210</v>
      </c>
      <c r="AI349" s="18">
        <v>3280</v>
      </c>
      <c r="AJ349" s="18">
        <v>3440</v>
      </c>
      <c r="AK349" s="18">
        <v>3550</v>
      </c>
    </row>
    <row r="350" spans="1:37" x14ac:dyDescent="0.25">
      <c r="A350" s="12" t="str">
        <f>$A$280</f>
        <v>80 &amp; over</v>
      </c>
      <c r="M350" s="12"/>
      <c r="N350" s="12"/>
      <c r="O350" s="12"/>
      <c r="P350" s="12"/>
      <c r="Q350" s="12"/>
      <c r="R350" s="12"/>
      <c r="S350" s="12"/>
      <c r="T350" s="18">
        <v>5740</v>
      </c>
      <c r="U350" s="18">
        <v>6080</v>
      </c>
      <c r="V350" s="18">
        <v>6470</v>
      </c>
      <c r="W350" s="18">
        <v>7110</v>
      </c>
      <c r="X350" s="18">
        <v>7650</v>
      </c>
      <c r="Y350" s="18">
        <v>8110</v>
      </c>
      <c r="Z350" s="18">
        <v>8560</v>
      </c>
      <c r="AA350" s="18">
        <v>8940</v>
      </c>
      <c r="AB350" s="18">
        <v>9310</v>
      </c>
      <c r="AC350" s="18">
        <v>9660</v>
      </c>
      <c r="AD350" s="18">
        <v>10050</v>
      </c>
      <c r="AE350" s="18">
        <v>10430</v>
      </c>
      <c r="AF350" s="18">
        <v>10830</v>
      </c>
      <c r="AG350" s="18">
        <v>11240</v>
      </c>
      <c r="AH350" s="18">
        <v>11670</v>
      </c>
      <c r="AI350" s="18">
        <v>12160</v>
      </c>
      <c r="AJ350" s="18">
        <v>12630</v>
      </c>
      <c r="AK350" s="18">
        <v>13150</v>
      </c>
    </row>
    <row r="351" spans="1:37" x14ac:dyDescent="0.25">
      <c r="A351" s="11" t="str">
        <f>$A$211</f>
        <v>Male total</v>
      </c>
      <c r="M351" s="12"/>
      <c r="N351" s="12"/>
      <c r="O351" s="12"/>
      <c r="P351" s="12"/>
      <c r="Q351" s="12"/>
      <c r="R351" s="12"/>
      <c r="S351" s="12"/>
      <c r="T351" s="19">
        <f t="shared" ref="T351:AK351" si="10">SUM(T$285:T$350)</f>
        <v>1619960</v>
      </c>
      <c r="U351" s="19">
        <f t="shared" si="10"/>
        <v>1636030</v>
      </c>
      <c r="V351" s="19">
        <f t="shared" si="10"/>
        <v>1653930</v>
      </c>
      <c r="W351" s="19">
        <f t="shared" si="10"/>
        <v>1672390</v>
      </c>
      <c r="X351" s="19">
        <f t="shared" si="10"/>
        <v>1691470</v>
      </c>
      <c r="Y351" s="19">
        <f t="shared" si="10"/>
        <v>1710680</v>
      </c>
      <c r="Z351" s="19">
        <f t="shared" si="10"/>
        <v>1730090</v>
      </c>
      <c r="AA351" s="19">
        <f t="shared" si="10"/>
        <v>1749360</v>
      </c>
      <c r="AB351" s="19">
        <f t="shared" si="10"/>
        <v>1768510</v>
      </c>
      <c r="AC351" s="19">
        <f t="shared" si="10"/>
        <v>1787470</v>
      </c>
      <c r="AD351" s="19">
        <f t="shared" si="10"/>
        <v>1806130</v>
      </c>
      <c r="AE351" s="19">
        <f t="shared" si="10"/>
        <v>1824520</v>
      </c>
      <c r="AF351" s="19">
        <f t="shared" si="10"/>
        <v>1842750</v>
      </c>
      <c r="AG351" s="19">
        <f t="shared" si="10"/>
        <v>1860650</v>
      </c>
      <c r="AH351" s="19">
        <f t="shared" si="10"/>
        <v>1878090</v>
      </c>
      <c r="AI351" s="19">
        <f t="shared" si="10"/>
        <v>1894980</v>
      </c>
      <c r="AJ351" s="19">
        <f t="shared" si="10"/>
        <v>1911660</v>
      </c>
      <c r="AK351" s="19">
        <f t="shared" si="10"/>
        <v>1928040</v>
      </c>
    </row>
    <row r="352" spans="1:37" x14ac:dyDescent="0.25">
      <c r="A352" s="11"/>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row>
    <row r="353" spans="1:37" x14ac:dyDescent="0.25">
      <c r="A353" s="11"/>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row>
    <row r="354" spans="1:37" x14ac:dyDescent="0.25">
      <c r="A354" s="11" t="s">
        <v>391</v>
      </c>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row>
    <row r="355" spans="1:37" x14ac:dyDescent="0.25">
      <c r="A355" s="12">
        <f>$A$30</f>
        <v>15</v>
      </c>
      <c r="M355" s="12"/>
      <c r="N355" s="12"/>
      <c r="O355" s="12"/>
      <c r="P355" s="12"/>
      <c r="Q355" s="12"/>
      <c r="R355" s="12"/>
      <c r="S355" s="12"/>
      <c r="T355" s="20">
        <f>T$215/T$30</f>
        <v>0.25630498533724339</v>
      </c>
      <c r="U355" s="20">
        <f t="shared" ref="U355:AK355" si="11">U$215/U$30</f>
        <v>0.25641756988020536</v>
      </c>
      <c r="V355" s="20">
        <f t="shared" si="11"/>
        <v>0.25641756988020536</v>
      </c>
      <c r="W355" s="20">
        <f t="shared" si="11"/>
        <v>0.25633001422475105</v>
      </c>
      <c r="X355" s="20">
        <f t="shared" si="11"/>
        <v>0.2565415244596132</v>
      </c>
      <c r="Y355" s="20">
        <f t="shared" si="11"/>
        <v>0.25633556655986017</v>
      </c>
      <c r="Z355" s="20">
        <f t="shared" si="11"/>
        <v>0.25646238745280281</v>
      </c>
      <c r="AA355" s="20">
        <f t="shared" si="11"/>
        <v>0.25631981187536745</v>
      </c>
      <c r="AB355" s="20">
        <f t="shared" si="11"/>
        <v>0.25629887054735012</v>
      </c>
      <c r="AC355" s="20">
        <f t="shared" si="11"/>
        <v>0.25655375552282766</v>
      </c>
      <c r="AD355" s="20">
        <f t="shared" si="11"/>
        <v>0.25639517788885624</v>
      </c>
      <c r="AE355" s="20">
        <f t="shared" si="11"/>
        <v>0.25652431791221825</v>
      </c>
      <c r="AF355" s="20">
        <f t="shared" si="11"/>
        <v>0.25634218289085547</v>
      </c>
      <c r="AG355" s="20">
        <f t="shared" si="11"/>
        <v>0.25642523364485981</v>
      </c>
      <c r="AH355" s="20">
        <f t="shared" si="11"/>
        <v>0.2563940637827597</v>
      </c>
      <c r="AI355" s="20">
        <f t="shared" si="11"/>
        <v>0.25643440050219712</v>
      </c>
      <c r="AJ355" s="20">
        <f t="shared" si="11"/>
        <v>0.25640234495526071</v>
      </c>
      <c r="AK355" s="20">
        <f t="shared" si="11"/>
        <v>0.25638658048630347</v>
      </c>
    </row>
    <row r="356" spans="1:37" x14ac:dyDescent="0.25">
      <c r="A356" s="12">
        <f>$A$31</f>
        <v>16</v>
      </c>
      <c r="M356" s="12"/>
      <c r="N356" s="12"/>
      <c r="O356" s="12"/>
      <c r="P356" s="12"/>
      <c r="Q356" s="12"/>
      <c r="R356" s="12"/>
      <c r="S356" s="12"/>
      <c r="T356" s="20">
        <f>T$216/T$31</f>
        <v>0.43912175648702595</v>
      </c>
      <c r="U356" s="20">
        <f t="shared" ref="U356:AK356" si="12">U$216/U$31</f>
        <v>0.43915190241068836</v>
      </c>
      <c r="V356" s="20">
        <f t="shared" si="12"/>
        <v>0.43914148545608583</v>
      </c>
      <c r="W356" s="20">
        <f t="shared" si="12"/>
        <v>0.43917583968388374</v>
      </c>
      <c r="X356" s="20">
        <f t="shared" si="12"/>
        <v>0.43906557838446381</v>
      </c>
      <c r="Y356" s="20">
        <f t="shared" si="12"/>
        <v>0.43909985935302392</v>
      </c>
      <c r="Z356" s="20">
        <f t="shared" si="12"/>
        <v>0.43922811059907835</v>
      </c>
      <c r="AA356" s="20">
        <f t="shared" si="12"/>
        <v>0.43898937697387308</v>
      </c>
      <c r="AB356" s="20">
        <f t="shared" si="12"/>
        <v>0.4389889599070308</v>
      </c>
      <c r="AC356" s="20">
        <f t="shared" si="12"/>
        <v>0.4391640423704552</v>
      </c>
      <c r="AD356" s="20">
        <f t="shared" si="12"/>
        <v>0.43901018922852986</v>
      </c>
      <c r="AE356" s="20">
        <f t="shared" si="12"/>
        <v>0.4389889599070308</v>
      </c>
      <c r="AF356" s="20">
        <f t="shared" si="12"/>
        <v>0.43891004980955173</v>
      </c>
      <c r="AG356" s="20">
        <f t="shared" si="12"/>
        <v>0.43893908481492278</v>
      </c>
      <c r="AH356" s="20">
        <f t="shared" si="12"/>
        <v>0.43896103896103894</v>
      </c>
      <c r="AI356" s="20">
        <f t="shared" si="12"/>
        <v>0.43907759426612653</v>
      </c>
      <c r="AJ356" s="20">
        <f t="shared" si="12"/>
        <v>0.43910753021382087</v>
      </c>
      <c r="AK356" s="20">
        <f t="shared" si="12"/>
        <v>0.43892780992994213</v>
      </c>
    </row>
    <row r="357" spans="1:37" x14ac:dyDescent="0.25">
      <c r="A357" s="12">
        <f>$A$32</f>
        <v>17</v>
      </c>
      <c r="M357" s="12"/>
      <c r="N357" s="12"/>
      <c r="O357" s="12"/>
      <c r="P357" s="12"/>
      <c r="Q357" s="12"/>
      <c r="R357" s="12"/>
      <c r="S357" s="12"/>
      <c r="T357" s="20">
        <f>T$217/T$32</f>
        <v>0.58775510204081638</v>
      </c>
      <c r="U357" s="20">
        <f t="shared" ref="U357:AK357" si="13">U$217/U$32</f>
        <v>0.58788564958958389</v>
      </c>
      <c r="V357" s="20">
        <f t="shared" si="13"/>
        <v>0.58784562211981561</v>
      </c>
      <c r="W357" s="20">
        <f t="shared" si="13"/>
        <v>0.58762597984322507</v>
      </c>
      <c r="X357" s="20">
        <f t="shared" si="13"/>
        <v>0.58769230769230774</v>
      </c>
      <c r="Y357" s="20">
        <f t="shared" si="13"/>
        <v>0.58784160624651427</v>
      </c>
      <c r="Z357" s="20">
        <f t="shared" si="13"/>
        <v>0.58762886597938147</v>
      </c>
      <c r="AA357" s="20">
        <f t="shared" si="13"/>
        <v>0.58768177929854581</v>
      </c>
      <c r="AB357" s="20">
        <f t="shared" si="13"/>
        <v>0.58771680409439864</v>
      </c>
      <c r="AC357" s="20">
        <f t="shared" si="13"/>
        <v>0.58786310037388556</v>
      </c>
      <c r="AD357" s="20">
        <f t="shared" si="13"/>
        <v>0.58786848072562359</v>
      </c>
      <c r="AE357" s="20">
        <f t="shared" si="13"/>
        <v>0.58789625360230546</v>
      </c>
      <c r="AF357" s="20">
        <f t="shared" si="13"/>
        <v>0.58786310037388556</v>
      </c>
      <c r="AG357" s="20">
        <f t="shared" si="13"/>
        <v>0.58787703016241299</v>
      </c>
      <c r="AH357" s="20">
        <f t="shared" si="13"/>
        <v>0.58799769186382</v>
      </c>
      <c r="AI357" s="20">
        <f t="shared" si="13"/>
        <v>0.58771428571428574</v>
      </c>
      <c r="AJ357" s="20">
        <f t="shared" si="13"/>
        <v>0.58785450061652278</v>
      </c>
      <c r="AK357" s="20">
        <f t="shared" si="13"/>
        <v>0.58780263561140056</v>
      </c>
    </row>
    <row r="358" spans="1:37" x14ac:dyDescent="0.25">
      <c r="A358" s="12">
        <f>$A$33</f>
        <v>18</v>
      </c>
      <c r="M358" s="12"/>
      <c r="N358" s="12"/>
      <c r="O358" s="12"/>
      <c r="P358" s="12"/>
      <c r="Q358" s="12"/>
      <c r="R358" s="12"/>
      <c r="S358" s="12"/>
      <c r="T358" s="20">
        <f>T$218/T$33</f>
        <v>0.67993827160493825</v>
      </c>
      <c r="U358" s="20">
        <f t="shared" ref="U358:AK358" si="14">U$218/U$33</f>
        <v>0.68020893789901338</v>
      </c>
      <c r="V358" s="20">
        <f t="shared" si="14"/>
        <v>0.67998874190824654</v>
      </c>
      <c r="W358" s="20">
        <f t="shared" si="14"/>
        <v>0.67993129115373607</v>
      </c>
      <c r="X358" s="20">
        <f t="shared" si="14"/>
        <v>0.68002225932109073</v>
      </c>
      <c r="Y358" s="20">
        <f t="shared" si="14"/>
        <v>0.68010005558643694</v>
      </c>
      <c r="Z358" s="20">
        <f t="shared" si="14"/>
        <v>0.68005540166204981</v>
      </c>
      <c r="AA358" s="20">
        <f t="shared" si="14"/>
        <v>0.68004428452809296</v>
      </c>
      <c r="AB358" s="20">
        <f t="shared" si="14"/>
        <v>0.67997734352874539</v>
      </c>
      <c r="AC358" s="20">
        <f t="shared" si="14"/>
        <v>0.67984189723320154</v>
      </c>
      <c r="AD358" s="20">
        <f t="shared" si="14"/>
        <v>0.68009140245644106</v>
      </c>
      <c r="AE358" s="20">
        <f t="shared" si="14"/>
        <v>0.67998874190824654</v>
      </c>
      <c r="AF358" s="20">
        <f t="shared" si="14"/>
        <v>0.68011444921316166</v>
      </c>
      <c r="AG358" s="20">
        <f t="shared" si="14"/>
        <v>0.68018275271273554</v>
      </c>
      <c r="AH358" s="20">
        <f t="shared" si="14"/>
        <v>0.68010365678088103</v>
      </c>
      <c r="AI358" s="20">
        <f t="shared" si="14"/>
        <v>0.68012600229095077</v>
      </c>
      <c r="AJ358" s="20">
        <f t="shared" si="14"/>
        <v>0.68009075439591604</v>
      </c>
      <c r="AK358" s="20">
        <f t="shared" si="14"/>
        <v>0.68012232415902141</v>
      </c>
    </row>
    <row r="359" spans="1:37" x14ac:dyDescent="0.25">
      <c r="A359" s="12">
        <f>$A$34</f>
        <v>19</v>
      </c>
      <c r="M359" s="12"/>
      <c r="N359" s="12"/>
      <c r="O359" s="12"/>
      <c r="P359" s="12"/>
      <c r="Q359" s="12"/>
      <c r="R359" s="12"/>
      <c r="S359" s="12"/>
      <c r="T359" s="20">
        <f>T$219/T$34</f>
        <v>0.73097400563733161</v>
      </c>
      <c r="U359" s="20">
        <f t="shared" ref="U359:AK359" si="15">U$219/U$34</f>
        <v>0.73101752228711958</v>
      </c>
      <c r="V359" s="20">
        <f t="shared" si="15"/>
        <v>0.73079145002888501</v>
      </c>
      <c r="W359" s="20">
        <f t="shared" si="15"/>
        <v>0.73109243697478987</v>
      </c>
      <c r="X359" s="20">
        <f t="shared" si="15"/>
        <v>0.73113073198518941</v>
      </c>
      <c r="Y359" s="20">
        <f t="shared" si="15"/>
        <v>0.73097149183504018</v>
      </c>
      <c r="Z359" s="20">
        <f t="shared" si="15"/>
        <v>0.73106688778330564</v>
      </c>
      <c r="AA359" s="20">
        <f t="shared" si="15"/>
        <v>0.73085399449035815</v>
      </c>
      <c r="AB359" s="20">
        <f t="shared" si="15"/>
        <v>0.73107624552711259</v>
      </c>
      <c r="AC359" s="20">
        <f t="shared" si="15"/>
        <v>0.73106167276823431</v>
      </c>
      <c r="AD359" s="20">
        <f t="shared" si="15"/>
        <v>0.73104997192588439</v>
      </c>
      <c r="AE359" s="20">
        <f t="shared" si="15"/>
        <v>0.73111868256672341</v>
      </c>
      <c r="AF359" s="20">
        <f t="shared" si="15"/>
        <v>0.73083379966424178</v>
      </c>
      <c r="AG359" s="20">
        <f t="shared" si="15"/>
        <v>0.73094425483503978</v>
      </c>
      <c r="AH359" s="20">
        <f t="shared" si="15"/>
        <v>0.73119500425773487</v>
      </c>
      <c r="AI359" s="20">
        <f t="shared" si="15"/>
        <v>0.73125357756153408</v>
      </c>
      <c r="AJ359" s="20">
        <f t="shared" si="15"/>
        <v>0.73099914602903504</v>
      </c>
      <c r="AK359" s="20">
        <f t="shared" si="15"/>
        <v>0.731040315759797</v>
      </c>
    </row>
    <row r="360" spans="1:37" x14ac:dyDescent="0.25">
      <c r="A360" s="12">
        <f>$A$35</f>
        <v>20</v>
      </c>
      <c r="M360" s="12"/>
      <c r="N360" s="12"/>
      <c r="O360" s="12"/>
      <c r="P360" s="12"/>
      <c r="Q360" s="12"/>
      <c r="R360" s="12"/>
      <c r="S360" s="12"/>
      <c r="T360" s="20">
        <f>T$220/T$35</f>
        <v>0.7464129756706176</v>
      </c>
      <c r="U360" s="20">
        <f t="shared" ref="U360:AK360" si="16">U$220/U$35</f>
        <v>0.74734540911930047</v>
      </c>
      <c r="V360" s="20">
        <f t="shared" si="16"/>
        <v>0.74770361298224131</v>
      </c>
      <c r="W360" s="20">
        <f t="shared" si="16"/>
        <v>0.74805867126833481</v>
      </c>
      <c r="X360" s="20">
        <f t="shared" si="16"/>
        <v>0.74846625766871167</v>
      </c>
      <c r="Y360" s="20">
        <f t="shared" si="16"/>
        <v>0.74893737602720323</v>
      </c>
      <c r="Z360" s="20">
        <f t="shared" si="16"/>
        <v>0.74938033599559351</v>
      </c>
      <c r="AA360" s="20">
        <f t="shared" si="16"/>
        <v>0.74951883420401433</v>
      </c>
      <c r="AB360" s="20">
        <f t="shared" si="16"/>
        <v>0.75006851192107427</v>
      </c>
      <c r="AC360" s="20">
        <f t="shared" si="16"/>
        <v>0.75027382256297914</v>
      </c>
      <c r="AD360" s="20">
        <f t="shared" si="16"/>
        <v>0.75070028011204482</v>
      </c>
      <c r="AE360" s="20">
        <f t="shared" si="16"/>
        <v>0.75090756771851441</v>
      </c>
      <c r="AF360" s="20">
        <f t="shared" si="16"/>
        <v>0.75098814229249011</v>
      </c>
      <c r="AG360" s="20">
        <f t="shared" si="16"/>
        <v>0.75146117450598382</v>
      </c>
      <c r="AH360" s="20">
        <f t="shared" si="16"/>
        <v>0.75169683257918551</v>
      </c>
      <c r="AI360" s="20">
        <f t="shared" si="16"/>
        <v>0.75190516511430994</v>
      </c>
      <c r="AJ360" s="20">
        <f t="shared" si="16"/>
        <v>0.75192034139402564</v>
      </c>
      <c r="AK360" s="20">
        <f t="shared" si="16"/>
        <v>0.75212224108658743</v>
      </c>
    </row>
    <row r="361" spans="1:37" x14ac:dyDescent="0.25">
      <c r="A361" s="12">
        <f>$A$36</f>
        <v>21</v>
      </c>
      <c r="M361" s="12"/>
      <c r="N361" s="12"/>
      <c r="O361" s="12"/>
      <c r="P361" s="12"/>
      <c r="Q361" s="12"/>
      <c r="R361" s="12"/>
      <c r="S361" s="12"/>
      <c r="T361" s="20">
        <f>T$221/T$36</f>
        <v>0.77265449887928273</v>
      </c>
      <c r="U361" s="20">
        <f t="shared" ref="U361:AK361" si="17">U$221/U$36</f>
        <v>0.77336667708658957</v>
      </c>
      <c r="V361" s="20">
        <f t="shared" si="17"/>
        <v>0.77437500000000004</v>
      </c>
      <c r="W361" s="20">
        <f t="shared" si="17"/>
        <v>0.77519142419601839</v>
      </c>
      <c r="X361" s="20">
        <f t="shared" si="17"/>
        <v>0.77602070155261649</v>
      </c>
      <c r="Y361" s="20">
        <f t="shared" si="17"/>
        <v>0.77653942602396209</v>
      </c>
      <c r="Z361" s="20">
        <f t="shared" si="17"/>
        <v>0.77746319365798411</v>
      </c>
      <c r="AA361" s="20">
        <f t="shared" si="17"/>
        <v>0.77799174690508943</v>
      </c>
      <c r="AB361" s="20">
        <f t="shared" si="17"/>
        <v>0.77863224388904151</v>
      </c>
      <c r="AC361" s="20">
        <f t="shared" si="17"/>
        <v>0.7790856830002737</v>
      </c>
      <c r="AD361" s="20">
        <f t="shared" si="17"/>
        <v>0.77960076565490843</v>
      </c>
      <c r="AE361" s="20">
        <f t="shared" si="17"/>
        <v>0.78013986013986014</v>
      </c>
      <c r="AF361" s="20">
        <f t="shared" si="17"/>
        <v>0.78059659882910515</v>
      </c>
      <c r="AG361" s="20">
        <f t="shared" si="17"/>
        <v>0.78094164082323092</v>
      </c>
      <c r="AH361" s="20">
        <f t="shared" si="17"/>
        <v>0.78132814670741868</v>
      </c>
      <c r="AI361" s="20">
        <f t="shared" si="17"/>
        <v>0.78176171654432525</v>
      </c>
      <c r="AJ361" s="20">
        <f t="shared" si="17"/>
        <v>0.78197183098591549</v>
      </c>
      <c r="AK361" s="20">
        <f t="shared" si="17"/>
        <v>0.78244816813405282</v>
      </c>
    </row>
    <row r="362" spans="1:37" x14ac:dyDescent="0.25">
      <c r="A362" s="12">
        <f>$A$37</f>
        <v>22</v>
      </c>
      <c r="M362" s="12"/>
      <c r="N362" s="12"/>
      <c r="O362" s="12"/>
      <c r="P362" s="12"/>
      <c r="Q362" s="12"/>
      <c r="R362" s="12"/>
      <c r="S362" s="12"/>
      <c r="T362" s="20">
        <f>T$222/T$37</f>
        <v>0.80095693779904309</v>
      </c>
      <c r="U362" s="20">
        <f t="shared" ref="U362:AK362" si="18">U$222/U$37</f>
        <v>0.80186255619781632</v>
      </c>
      <c r="V362" s="20">
        <f t="shared" si="18"/>
        <v>0.80281690140845074</v>
      </c>
      <c r="W362" s="20">
        <f t="shared" si="18"/>
        <v>0.80368865270396994</v>
      </c>
      <c r="X362" s="20">
        <f t="shared" si="18"/>
        <v>0.80471380471380471</v>
      </c>
      <c r="Y362" s="20">
        <f t="shared" si="18"/>
        <v>0.80551565642056877</v>
      </c>
      <c r="Z362" s="20">
        <f t="shared" si="18"/>
        <v>0.80629000834956865</v>
      </c>
      <c r="AA362" s="20">
        <f t="shared" si="18"/>
        <v>0.8068985015549901</v>
      </c>
      <c r="AB362" s="20">
        <f t="shared" si="18"/>
        <v>0.80769230769230771</v>
      </c>
      <c r="AC362" s="20">
        <f t="shared" si="18"/>
        <v>0.80828304991771804</v>
      </c>
      <c r="AD362" s="20">
        <f t="shared" si="18"/>
        <v>0.80891197375615087</v>
      </c>
      <c r="AE362" s="20">
        <f t="shared" si="18"/>
        <v>0.80939377389404699</v>
      </c>
      <c r="AF362" s="20">
        <f t="shared" si="18"/>
        <v>0.80982965652052497</v>
      </c>
      <c r="AG362" s="20">
        <f t="shared" si="18"/>
        <v>0.81046479265237958</v>
      </c>
      <c r="AH362" s="20">
        <f t="shared" si="18"/>
        <v>0.8108640585420771</v>
      </c>
      <c r="AI362" s="20">
        <f t="shared" si="18"/>
        <v>0.81114808652246251</v>
      </c>
      <c r="AJ362" s="20">
        <f t="shared" si="18"/>
        <v>0.81177796562411952</v>
      </c>
      <c r="AK362" s="20">
        <f t="shared" si="18"/>
        <v>0.81192015743604162</v>
      </c>
    </row>
    <row r="363" spans="1:37" x14ac:dyDescent="0.25">
      <c r="A363" s="12">
        <f>$A$38</f>
        <v>23</v>
      </c>
      <c r="M363" s="12"/>
      <c r="N363" s="12"/>
      <c r="O363" s="12"/>
      <c r="P363" s="12"/>
      <c r="Q363" s="12"/>
      <c r="R363" s="12"/>
      <c r="S363" s="12"/>
      <c r="T363" s="20">
        <f>T$223/T$38</f>
        <v>0.8154133001864512</v>
      </c>
      <c r="U363" s="20">
        <f t="shared" ref="U363:AK363" si="19">U$223/U$38</f>
        <v>0.817310763334398</v>
      </c>
      <c r="V363" s="20">
        <f t="shared" si="19"/>
        <v>0.81899871630295251</v>
      </c>
      <c r="W363" s="20">
        <f t="shared" si="19"/>
        <v>0.82062500000000005</v>
      </c>
      <c r="X363" s="20">
        <f t="shared" si="19"/>
        <v>0.82220835932626324</v>
      </c>
      <c r="Y363" s="20">
        <f t="shared" si="19"/>
        <v>0.82326007326007322</v>
      </c>
      <c r="Z363" s="20">
        <f t="shared" si="19"/>
        <v>0.82469206531079919</v>
      </c>
      <c r="AA363" s="20">
        <f t="shared" si="19"/>
        <v>0.82574916759156491</v>
      </c>
      <c r="AB363" s="20">
        <f t="shared" si="19"/>
        <v>0.82694475760992103</v>
      </c>
      <c r="AC363" s="20">
        <f t="shared" si="19"/>
        <v>0.82803943044906902</v>
      </c>
      <c r="AD363" s="20">
        <f t="shared" si="19"/>
        <v>0.82914160743575727</v>
      </c>
      <c r="AE363" s="20">
        <f t="shared" si="19"/>
        <v>0.83001906837374018</v>
      </c>
      <c r="AF363" s="20">
        <f t="shared" si="19"/>
        <v>0.83074829931972793</v>
      </c>
      <c r="AG363" s="20">
        <f t="shared" si="19"/>
        <v>0.83166388425153037</v>
      </c>
      <c r="AH363" s="20">
        <f t="shared" si="19"/>
        <v>0.83250138657792572</v>
      </c>
      <c r="AI363" s="20">
        <f t="shared" si="19"/>
        <v>0.83319315951780204</v>
      </c>
      <c r="AJ363" s="20">
        <f t="shared" si="19"/>
        <v>0.83370165745856351</v>
      </c>
      <c r="AK363" s="20">
        <f t="shared" si="19"/>
        <v>0.83440920572551225</v>
      </c>
    </row>
    <row r="364" spans="1:37" x14ac:dyDescent="0.25">
      <c r="A364" s="12">
        <f>$A$39</f>
        <v>24</v>
      </c>
      <c r="M364" s="12"/>
      <c r="N364" s="12"/>
      <c r="O364" s="12"/>
      <c r="P364" s="12"/>
      <c r="Q364" s="12"/>
      <c r="R364" s="12"/>
      <c r="S364" s="12"/>
      <c r="T364" s="20">
        <f>T$224/T$39</f>
        <v>0.81956720512039016</v>
      </c>
      <c r="U364" s="20">
        <f t="shared" ref="U364:AK364" si="20">U$224/U$39</f>
        <v>0.82223598637349027</v>
      </c>
      <c r="V364" s="20">
        <f t="shared" si="20"/>
        <v>0.82502381708478878</v>
      </c>
      <c r="W364" s="20">
        <f t="shared" si="20"/>
        <v>0.82786101370736376</v>
      </c>
      <c r="X364" s="20">
        <f t="shared" si="20"/>
        <v>0.83002481389578164</v>
      </c>
      <c r="Y364" s="20">
        <f t="shared" si="20"/>
        <v>0.83235385091246517</v>
      </c>
      <c r="Z364" s="20">
        <f t="shared" si="20"/>
        <v>0.83444309927360771</v>
      </c>
      <c r="AA364" s="20">
        <f t="shared" si="20"/>
        <v>0.83636363636363631</v>
      </c>
      <c r="AB364" s="20">
        <f t="shared" si="20"/>
        <v>0.83838105726872247</v>
      </c>
      <c r="AC364" s="20">
        <f t="shared" si="20"/>
        <v>0.84008946044171096</v>
      </c>
      <c r="AD364" s="20">
        <f t="shared" si="20"/>
        <v>0.8416191252377071</v>
      </c>
      <c r="AE364" s="20">
        <f t="shared" si="20"/>
        <v>0.84323298074315156</v>
      </c>
      <c r="AF364" s="20">
        <f t="shared" si="20"/>
        <v>0.844636584706836</v>
      </c>
      <c r="AG364" s="20">
        <f t="shared" si="20"/>
        <v>0.84588394062078276</v>
      </c>
      <c r="AH364" s="20">
        <f t="shared" si="20"/>
        <v>0.84717241379310348</v>
      </c>
      <c r="AI364" s="20">
        <f t="shared" si="20"/>
        <v>0.84822656035193844</v>
      </c>
      <c r="AJ364" s="20">
        <f t="shared" si="20"/>
        <v>0.84912475687691025</v>
      </c>
      <c r="AK364" s="20">
        <f t="shared" si="20"/>
        <v>0.85021905805038334</v>
      </c>
    </row>
    <row r="365" spans="1:37" x14ac:dyDescent="0.25">
      <c r="A365" s="12">
        <f>$A$40</f>
        <v>25</v>
      </c>
      <c r="M365" s="12"/>
      <c r="N365" s="12"/>
      <c r="O365" s="12"/>
      <c r="P365" s="12"/>
      <c r="Q365" s="12"/>
      <c r="R365" s="12"/>
      <c r="S365" s="12"/>
      <c r="T365" s="20">
        <f>T$225/T$40</f>
        <v>0.82508666876772774</v>
      </c>
      <c r="U365" s="20">
        <f t="shared" ref="U365:AK365" si="21">U$225/U$40</f>
        <v>0.82870090634441085</v>
      </c>
      <c r="V365" s="20">
        <f t="shared" si="21"/>
        <v>0.83210784313725494</v>
      </c>
      <c r="W365" s="20">
        <f t="shared" si="21"/>
        <v>0.83500627352572143</v>
      </c>
      <c r="X365" s="20">
        <f t="shared" si="21"/>
        <v>0.83799937087134324</v>
      </c>
      <c r="Y365" s="20">
        <f t="shared" si="21"/>
        <v>0.84088127294981641</v>
      </c>
      <c r="Z365" s="20">
        <f t="shared" si="21"/>
        <v>0.84350213544844421</v>
      </c>
      <c r="AA365" s="20">
        <f t="shared" si="21"/>
        <v>0.84567164179104481</v>
      </c>
      <c r="AB365" s="20">
        <f t="shared" si="21"/>
        <v>0.84800897363993266</v>
      </c>
      <c r="AC365" s="20">
        <f t="shared" si="21"/>
        <v>0.8502310410437619</v>
      </c>
      <c r="AD365" s="20">
        <f t="shared" si="21"/>
        <v>0.85237306843267113</v>
      </c>
      <c r="AE365" s="20">
        <f t="shared" si="21"/>
        <v>0.85411638508983645</v>
      </c>
      <c r="AF365" s="20">
        <f t="shared" si="21"/>
        <v>0.85595716198125837</v>
      </c>
      <c r="AG365" s="20">
        <f t="shared" si="21"/>
        <v>0.85756201653774344</v>
      </c>
      <c r="AH365" s="20">
        <f t="shared" si="21"/>
        <v>0.85881726158763982</v>
      </c>
      <c r="AI365" s="20">
        <f t="shared" si="21"/>
        <v>0.86037016875340233</v>
      </c>
      <c r="AJ365" s="20">
        <f t="shared" si="21"/>
        <v>0.86167615947925147</v>
      </c>
      <c r="AK365" s="20">
        <f t="shared" si="21"/>
        <v>0.86293859649122806</v>
      </c>
    </row>
    <row r="366" spans="1:37" x14ac:dyDescent="0.25">
      <c r="A366" s="12">
        <f>$A$41</f>
        <v>26</v>
      </c>
      <c r="M366" s="12"/>
      <c r="N366" s="12"/>
      <c r="O366" s="12"/>
      <c r="P366" s="12"/>
      <c r="Q366" s="12"/>
      <c r="R366" s="12"/>
      <c r="S366" s="12"/>
      <c r="T366" s="20">
        <f>T$226/T$41</f>
        <v>0.82095808383233537</v>
      </c>
      <c r="U366" s="20">
        <f t="shared" ref="U366:AK366" si="22">U$226/U$41</f>
        <v>0.82482887367766022</v>
      </c>
      <c r="V366" s="20">
        <f t="shared" si="22"/>
        <v>0.82876712328767121</v>
      </c>
      <c r="W366" s="20">
        <f t="shared" si="22"/>
        <v>0.83232810615199038</v>
      </c>
      <c r="X366" s="20">
        <f t="shared" si="22"/>
        <v>0.83559531153608879</v>
      </c>
      <c r="Y366" s="20">
        <f t="shared" si="22"/>
        <v>0.83868974042027189</v>
      </c>
      <c r="Z366" s="20">
        <f t="shared" si="22"/>
        <v>0.84159903817252779</v>
      </c>
      <c r="AA366" s="20">
        <f t="shared" si="22"/>
        <v>0.84447108181000896</v>
      </c>
      <c r="AB366" s="20">
        <f t="shared" si="22"/>
        <v>0.84716925784687591</v>
      </c>
      <c r="AC366" s="20">
        <f t="shared" si="22"/>
        <v>0.84942084942084939</v>
      </c>
      <c r="AD366" s="20">
        <f t="shared" si="22"/>
        <v>0.85183204065258089</v>
      </c>
      <c r="AE366" s="20">
        <f t="shared" si="22"/>
        <v>0.85400271370420622</v>
      </c>
      <c r="AF366" s="20">
        <f t="shared" si="22"/>
        <v>0.85593667546174146</v>
      </c>
      <c r="AG366" s="20">
        <f t="shared" si="22"/>
        <v>0.8577824598367132</v>
      </c>
      <c r="AH366" s="20">
        <f t="shared" si="22"/>
        <v>0.85961689845184985</v>
      </c>
      <c r="AI366" s="20">
        <f t="shared" si="22"/>
        <v>0.86111111111111116</v>
      </c>
      <c r="AJ366" s="20">
        <f t="shared" si="22"/>
        <v>0.86268736616702357</v>
      </c>
      <c r="AK366" s="20">
        <f t="shared" si="22"/>
        <v>0.86423046145638838</v>
      </c>
    </row>
    <row r="367" spans="1:37" x14ac:dyDescent="0.25">
      <c r="A367" s="12">
        <f>$A$42</f>
        <v>27</v>
      </c>
      <c r="M367" s="12"/>
      <c r="N367" s="12"/>
      <c r="O367" s="12"/>
      <c r="P367" s="12"/>
      <c r="Q367" s="12"/>
      <c r="R367" s="12"/>
      <c r="S367" s="12"/>
      <c r="T367" s="20">
        <f>T$227/T$42</f>
        <v>0.8180761406567858</v>
      </c>
      <c r="U367" s="20">
        <f t="shared" ref="U367:AK367" si="23">U$227/U$42</f>
        <v>0.82222877358490565</v>
      </c>
      <c r="V367" s="20">
        <f t="shared" si="23"/>
        <v>0.82615337610754658</v>
      </c>
      <c r="W367" s="20">
        <f t="shared" si="23"/>
        <v>0.82987430575855015</v>
      </c>
      <c r="X367" s="20">
        <f t="shared" si="23"/>
        <v>0.83353045535186276</v>
      </c>
      <c r="Y367" s="20">
        <f t="shared" si="23"/>
        <v>0.8368580060422961</v>
      </c>
      <c r="Z367" s="20">
        <f t="shared" si="23"/>
        <v>0.8399394856278366</v>
      </c>
      <c r="AA367" s="20">
        <f t="shared" si="23"/>
        <v>0.84305064782096584</v>
      </c>
      <c r="AB367" s="20">
        <f t="shared" si="23"/>
        <v>0.84590548869973581</v>
      </c>
      <c r="AC367" s="20">
        <f t="shared" si="23"/>
        <v>0.84827586206896555</v>
      </c>
      <c r="AD367" s="20">
        <f t="shared" si="23"/>
        <v>0.85091991341991347</v>
      </c>
      <c r="AE367" s="20">
        <f t="shared" si="23"/>
        <v>0.85328083989501313</v>
      </c>
      <c r="AF367" s="20">
        <f t="shared" si="23"/>
        <v>0.85543130990415339</v>
      </c>
      <c r="AG367" s="20">
        <f t="shared" si="23"/>
        <v>0.8572908572908573</v>
      </c>
      <c r="AH367" s="20">
        <f t="shared" si="23"/>
        <v>0.85913672783665029</v>
      </c>
      <c r="AI367" s="20">
        <f t="shared" si="23"/>
        <v>0.8609322688642802</v>
      </c>
      <c r="AJ367" s="20">
        <f t="shared" si="23"/>
        <v>0.86243250192851628</v>
      </c>
      <c r="AK367" s="20">
        <f t="shared" si="23"/>
        <v>0.86400630086636909</v>
      </c>
    </row>
    <row r="368" spans="1:37" x14ac:dyDescent="0.25">
      <c r="A368" s="12">
        <f>$A$43</f>
        <v>28</v>
      </c>
      <c r="M368" s="12"/>
      <c r="N368" s="12"/>
      <c r="O368" s="12"/>
      <c r="P368" s="12"/>
      <c r="Q368" s="12"/>
      <c r="R368" s="12"/>
      <c r="S368" s="12"/>
      <c r="T368" s="20">
        <f>T$228/T$43</f>
        <v>0.81637857750070841</v>
      </c>
      <c r="U368" s="20">
        <f t="shared" ref="U368:AK368" si="24">U$228/U$43</f>
        <v>0.82070346010866457</v>
      </c>
      <c r="V368" s="20">
        <f t="shared" si="24"/>
        <v>0.82460202604920407</v>
      </c>
      <c r="W368" s="20">
        <f t="shared" si="24"/>
        <v>0.82869122491764002</v>
      </c>
      <c r="X368" s="20">
        <f t="shared" si="24"/>
        <v>0.83233018056749786</v>
      </c>
      <c r="Y368" s="20">
        <f t="shared" si="24"/>
        <v>0.83574739281575894</v>
      </c>
      <c r="Z368" s="20">
        <f t="shared" si="24"/>
        <v>0.83885274985215852</v>
      </c>
      <c r="AA368" s="20">
        <f t="shared" si="24"/>
        <v>0.84191829484902314</v>
      </c>
      <c r="AB368" s="20">
        <f t="shared" si="24"/>
        <v>0.84491207840876337</v>
      </c>
      <c r="AC368" s="20">
        <f t="shared" si="24"/>
        <v>0.8477011494252874</v>
      </c>
      <c r="AD368" s="20">
        <f t="shared" si="24"/>
        <v>0.85026737967914434</v>
      </c>
      <c r="AE368" s="20">
        <f t="shared" si="24"/>
        <v>0.85251989389920424</v>
      </c>
      <c r="AF368" s="20">
        <f t="shared" si="24"/>
        <v>0.85478887744593202</v>
      </c>
      <c r="AG368" s="20">
        <f t="shared" si="24"/>
        <v>0.85669537979639776</v>
      </c>
      <c r="AH368" s="20">
        <f t="shared" si="24"/>
        <v>0.85873983739837401</v>
      </c>
      <c r="AI368" s="20">
        <f t="shared" si="24"/>
        <v>0.86029411764705888</v>
      </c>
      <c r="AJ368" s="20">
        <f t="shared" si="24"/>
        <v>0.86205154118241534</v>
      </c>
      <c r="AK368" s="20">
        <f t="shared" si="24"/>
        <v>0.86352169525731581</v>
      </c>
    </row>
    <row r="369" spans="1:37" x14ac:dyDescent="0.25">
      <c r="A369" s="12">
        <f>$A$44</f>
        <v>29</v>
      </c>
      <c r="M369" s="12"/>
      <c r="N369" s="12"/>
      <c r="O369" s="12"/>
      <c r="P369" s="12"/>
      <c r="Q369" s="12"/>
      <c r="R369" s="12"/>
      <c r="S369" s="12"/>
      <c r="T369" s="20">
        <f>T$229/T$44</f>
        <v>0.81543443065299515</v>
      </c>
      <c r="U369" s="20">
        <f t="shared" ref="U369:AK369" si="25">U$229/U$44</f>
        <v>0.8201338538761852</v>
      </c>
      <c r="V369" s="20">
        <f t="shared" si="25"/>
        <v>0.82415730337078652</v>
      </c>
      <c r="W369" s="20">
        <f t="shared" si="25"/>
        <v>0.828125</v>
      </c>
      <c r="X369" s="20">
        <f t="shared" si="25"/>
        <v>0.83211036102142644</v>
      </c>
      <c r="Y369" s="20">
        <f t="shared" si="25"/>
        <v>0.83534700758640068</v>
      </c>
      <c r="Z369" s="20">
        <f t="shared" si="25"/>
        <v>0.83877377235310813</v>
      </c>
      <c r="AA369" s="20">
        <f t="shared" si="25"/>
        <v>0.841876629018245</v>
      </c>
      <c r="AB369" s="20">
        <f t="shared" si="25"/>
        <v>0.84463768115942028</v>
      </c>
      <c r="AC369" s="20">
        <f t="shared" si="25"/>
        <v>0.84778311211522173</v>
      </c>
      <c r="AD369" s="20">
        <f t="shared" si="25"/>
        <v>0.8499859273853082</v>
      </c>
      <c r="AE369" s="20">
        <f t="shared" si="25"/>
        <v>0.85245449531163819</v>
      </c>
      <c r="AF369" s="20">
        <f t="shared" si="25"/>
        <v>0.85480093676814983</v>
      </c>
      <c r="AG369" s="20">
        <f t="shared" si="25"/>
        <v>0.85674583122789283</v>
      </c>
      <c r="AH369" s="20">
        <f t="shared" si="25"/>
        <v>0.85886270491803274</v>
      </c>
      <c r="AI369" s="20">
        <f t="shared" si="25"/>
        <v>0.86059850374064839</v>
      </c>
      <c r="AJ369" s="20">
        <f t="shared" si="25"/>
        <v>0.86212045793927328</v>
      </c>
      <c r="AK369" s="20">
        <f t="shared" si="25"/>
        <v>0.86362509298289114</v>
      </c>
    </row>
    <row r="370" spans="1:37" x14ac:dyDescent="0.25">
      <c r="A370" s="12">
        <f>$A$45</f>
        <v>30</v>
      </c>
      <c r="M370" s="12"/>
      <c r="N370" s="12"/>
      <c r="O370" s="12"/>
      <c r="P370" s="12"/>
      <c r="Q370" s="12"/>
      <c r="R370" s="12"/>
      <c r="S370" s="12"/>
      <c r="T370" s="20">
        <f>T$230/T$45</f>
        <v>0.81646068892979229</v>
      </c>
      <c r="U370" s="20">
        <f t="shared" ref="U370:AK370" si="26">U$230/U$45</f>
        <v>0.82101063829787235</v>
      </c>
      <c r="V370" s="20">
        <f t="shared" si="26"/>
        <v>0.82501371365880416</v>
      </c>
      <c r="W370" s="20">
        <f t="shared" si="26"/>
        <v>0.82887110129726749</v>
      </c>
      <c r="X370" s="20">
        <f t="shared" si="26"/>
        <v>0.8329149232914923</v>
      </c>
      <c r="Y370" s="20">
        <f t="shared" si="26"/>
        <v>0.83621185952792165</v>
      </c>
      <c r="Z370" s="20">
        <f t="shared" si="26"/>
        <v>0.8395368072787428</v>
      </c>
      <c r="AA370" s="20">
        <f t="shared" si="26"/>
        <v>0.84270601336302897</v>
      </c>
      <c r="AB370" s="20">
        <f t="shared" si="26"/>
        <v>0.84582623509369681</v>
      </c>
      <c r="AC370" s="20">
        <f t="shared" si="26"/>
        <v>0.84825234441602726</v>
      </c>
      <c r="AD370" s="20">
        <f t="shared" si="26"/>
        <v>0.85101080033231791</v>
      </c>
      <c r="AE370" s="20">
        <f t="shared" si="26"/>
        <v>0.8531603643389456</v>
      </c>
      <c r="AF370" s="20">
        <f t="shared" si="26"/>
        <v>0.85551948051948057</v>
      </c>
      <c r="AG370" s="20">
        <f t="shared" si="26"/>
        <v>0.85765397393304366</v>
      </c>
      <c r="AH370" s="20">
        <f t="shared" si="26"/>
        <v>0.8594836146971202</v>
      </c>
      <c r="AI370" s="20">
        <f t="shared" si="26"/>
        <v>0.8613836477987421</v>
      </c>
      <c r="AJ370" s="20">
        <f t="shared" si="26"/>
        <v>0.8630237686841461</v>
      </c>
      <c r="AK370" s="20">
        <f t="shared" si="26"/>
        <v>0.86451455123502075</v>
      </c>
    </row>
    <row r="371" spans="1:37" x14ac:dyDescent="0.25">
      <c r="A371" s="12">
        <f>$A$46</f>
        <v>31</v>
      </c>
      <c r="M371" s="12"/>
      <c r="N371" s="12"/>
      <c r="O371" s="12"/>
      <c r="P371" s="12"/>
      <c r="Q371" s="12"/>
      <c r="R371" s="12"/>
      <c r="S371" s="12"/>
      <c r="T371" s="20">
        <f>T$231/T$46</f>
        <v>0.81861396047035273</v>
      </c>
      <c r="U371" s="20">
        <f t="shared" ref="U371:AK371" si="27">U$231/U$46</f>
        <v>0.82334630350194549</v>
      </c>
      <c r="V371" s="20">
        <f t="shared" si="27"/>
        <v>0.8271798900235664</v>
      </c>
      <c r="W371" s="20">
        <f t="shared" si="27"/>
        <v>0.83140005395198269</v>
      </c>
      <c r="X371" s="20">
        <f t="shared" si="27"/>
        <v>0.83505154639175261</v>
      </c>
      <c r="Y371" s="20">
        <f t="shared" si="27"/>
        <v>0.8386301369863014</v>
      </c>
      <c r="Z371" s="20">
        <f t="shared" si="27"/>
        <v>0.84209039548022602</v>
      </c>
      <c r="AA371" s="20">
        <f t="shared" si="27"/>
        <v>0.84511237476306522</v>
      </c>
      <c r="AB371" s="20">
        <f t="shared" si="27"/>
        <v>0.84800437397484962</v>
      </c>
      <c r="AC371" s="20">
        <f t="shared" si="27"/>
        <v>0.85093340763443859</v>
      </c>
      <c r="AD371" s="20">
        <f t="shared" si="27"/>
        <v>0.85331846068042383</v>
      </c>
      <c r="AE371" s="20">
        <f t="shared" si="27"/>
        <v>0.85589994562262095</v>
      </c>
      <c r="AF371" s="20">
        <f t="shared" si="27"/>
        <v>0.85799457994579942</v>
      </c>
      <c r="AG371" s="20">
        <f t="shared" si="27"/>
        <v>0.85998937300743894</v>
      </c>
      <c r="AH371" s="20">
        <f t="shared" si="27"/>
        <v>0.86187845303867405</v>
      </c>
      <c r="AI371" s="20">
        <f t="shared" si="27"/>
        <v>0.86380278252379794</v>
      </c>
      <c r="AJ371" s="20">
        <f t="shared" si="27"/>
        <v>0.86547972304648868</v>
      </c>
      <c r="AK371" s="20">
        <f t="shared" si="27"/>
        <v>0.86698795180722887</v>
      </c>
    </row>
    <row r="372" spans="1:37" x14ac:dyDescent="0.25">
      <c r="A372" s="12">
        <f>$A$47</f>
        <v>32</v>
      </c>
      <c r="M372" s="12"/>
      <c r="N372" s="12"/>
      <c r="O372" s="12"/>
      <c r="P372" s="12"/>
      <c r="Q372" s="12"/>
      <c r="R372" s="12"/>
      <c r="S372" s="12"/>
      <c r="T372" s="20">
        <f>T$232/T$47</f>
        <v>0.82163742690058483</v>
      </c>
      <c r="U372" s="20">
        <f t="shared" ref="U372:AK372" si="28">U$232/U$47</f>
        <v>0.82612990861941216</v>
      </c>
      <c r="V372" s="20">
        <f t="shared" si="28"/>
        <v>0.83052147239263807</v>
      </c>
      <c r="W372" s="20">
        <f t="shared" si="28"/>
        <v>0.83445074780814854</v>
      </c>
      <c r="X372" s="20">
        <f t="shared" si="28"/>
        <v>0.83815335632793841</v>
      </c>
      <c r="Y372" s="20">
        <f t="shared" si="28"/>
        <v>0.84182448652974129</v>
      </c>
      <c r="Z372" s="20">
        <f t="shared" si="28"/>
        <v>0.84495289367429338</v>
      </c>
      <c r="AA372" s="20">
        <f t="shared" si="28"/>
        <v>0.84826629680998611</v>
      </c>
      <c r="AB372" s="20">
        <f t="shared" si="28"/>
        <v>0.85102420856610805</v>
      </c>
      <c r="AC372" s="20">
        <f t="shared" si="28"/>
        <v>0.85392051557465087</v>
      </c>
      <c r="AD372" s="20">
        <f t="shared" si="28"/>
        <v>0.85663474692202457</v>
      </c>
      <c r="AE372" s="20">
        <f t="shared" si="28"/>
        <v>0.85898138006571745</v>
      </c>
      <c r="AF372" s="20">
        <f t="shared" si="28"/>
        <v>0.86114819759679573</v>
      </c>
      <c r="AG372" s="20">
        <f t="shared" si="28"/>
        <v>0.86345488421612993</v>
      </c>
      <c r="AH372" s="20">
        <f t="shared" si="28"/>
        <v>0.86530931871574002</v>
      </c>
      <c r="AI372" s="20">
        <f t="shared" si="28"/>
        <v>0.86712768584835764</v>
      </c>
      <c r="AJ372" s="20">
        <f t="shared" si="28"/>
        <v>0.86887608069164268</v>
      </c>
      <c r="AK372" s="20">
        <f t="shared" si="28"/>
        <v>0.87013618677042803</v>
      </c>
    </row>
    <row r="373" spans="1:37" x14ac:dyDescent="0.25">
      <c r="A373" s="12">
        <f>$A$48</f>
        <v>33</v>
      </c>
      <c r="M373" s="12"/>
      <c r="N373" s="12"/>
      <c r="O373" s="12"/>
      <c r="P373" s="12"/>
      <c r="Q373" s="12"/>
      <c r="R373" s="12"/>
      <c r="S373" s="12"/>
      <c r="T373" s="20">
        <f>T$233/T$48</f>
        <v>0.82660332541567694</v>
      </c>
      <c r="U373" s="20">
        <f t="shared" ref="U373:AK373" si="29">U$233/U$48</f>
        <v>0.83104693140794228</v>
      </c>
      <c r="V373" s="20">
        <f t="shared" si="29"/>
        <v>0.83507917174177837</v>
      </c>
      <c r="W373" s="20">
        <f t="shared" si="29"/>
        <v>0.83908335431881143</v>
      </c>
      <c r="X373" s="20">
        <f t="shared" si="29"/>
        <v>0.84285351612084281</v>
      </c>
      <c r="Y373" s="20">
        <f t="shared" si="29"/>
        <v>0.84629436325678498</v>
      </c>
      <c r="Z373" s="20">
        <f t="shared" si="29"/>
        <v>0.84972462627852086</v>
      </c>
      <c r="AA373" s="20">
        <f t="shared" si="29"/>
        <v>0.85260650965863982</v>
      </c>
      <c r="AB373" s="20">
        <f t="shared" si="29"/>
        <v>0.85558583106267028</v>
      </c>
      <c r="AC373" s="20">
        <f t="shared" si="29"/>
        <v>0.85848809835207951</v>
      </c>
      <c r="AD373" s="20">
        <f t="shared" si="29"/>
        <v>0.86091316970176823</v>
      </c>
      <c r="AE373" s="20">
        <f t="shared" si="29"/>
        <v>0.86320881483472189</v>
      </c>
      <c r="AF373" s="20">
        <f t="shared" si="29"/>
        <v>0.86551909628832702</v>
      </c>
      <c r="AG373" s="20">
        <f t="shared" si="29"/>
        <v>0.86748884807137239</v>
      </c>
      <c r="AH373" s="20">
        <f t="shared" si="29"/>
        <v>0.86924686192468614</v>
      </c>
      <c r="AI373" s="20">
        <f t="shared" si="29"/>
        <v>0.87095946639302202</v>
      </c>
      <c r="AJ373" s="20">
        <f t="shared" si="29"/>
        <v>0.87269193391642375</v>
      </c>
      <c r="AK373" s="20">
        <f t="shared" si="29"/>
        <v>0.87426140392342233</v>
      </c>
    </row>
    <row r="374" spans="1:37" x14ac:dyDescent="0.25">
      <c r="A374" s="12">
        <f>$A$49</f>
        <v>34</v>
      </c>
      <c r="M374" s="12"/>
      <c r="N374" s="12"/>
      <c r="O374" s="12"/>
      <c r="P374" s="12"/>
      <c r="Q374" s="12"/>
      <c r="R374" s="12"/>
      <c r="S374" s="12"/>
      <c r="T374" s="20">
        <f>T$234/T$49</f>
        <v>0.83225960391314724</v>
      </c>
      <c r="U374" s="20">
        <f t="shared" ref="U374:AK374" si="30">U$234/U$49</f>
        <v>0.83630812588069514</v>
      </c>
      <c r="V374" s="20">
        <f t="shared" si="30"/>
        <v>0.84054182509505704</v>
      </c>
      <c r="W374" s="20">
        <f t="shared" si="30"/>
        <v>0.84426820475847153</v>
      </c>
      <c r="X374" s="20">
        <f t="shared" si="30"/>
        <v>0.84789081885856077</v>
      </c>
      <c r="Y374" s="20">
        <f t="shared" si="30"/>
        <v>0.85146286571642915</v>
      </c>
      <c r="Z374" s="20">
        <f t="shared" si="30"/>
        <v>0.85461083996917542</v>
      </c>
      <c r="AA374" s="20">
        <f t="shared" si="30"/>
        <v>0.85780645161290325</v>
      </c>
      <c r="AB374" s="20">
        <f t="shared" si="30"/>
        <v>0.8607133558969019</v>
      </c>
      <c r="AC374" s="20">
        <f t="shared" si="30"/>
        <v>0.86334405144694537</v>
      </c>
      <c r="AD374" s="20">
        <f t="shared" si="30"/>
        <v>0.86567164179104472</v>
      </c>
      <c r="AE374" s="20">
        <f t="shared" si="30"/>
        <v>0.86812045690550366</v>
      </c>
      <c r="AF374" s="20">
        <f t="shared" si="30"/>
        <v>0.8702431289640592</v>
      </c>
      <c r="AG374" s="20">
        <f t="shared" si="30"/>
        <v>0.87228979375991544</v>
      </c>
      <c r="AH374" s="20">
        <f t="shared" si="30"/>
        <v>0.87406451612903224</v>
      </c>
      <c r="AI374" s="20">
        <f t="shared" si="30"/>
        <v>0.87577160493827155</v>
      </c>
      <c r="AJ374" s="20">
        <f t="shared" si="30"/>
        <v>0.87758707723372031</v>
      </c>
      <c r="AK374" s="20">
        <f t="shared" si="30"/>
        <v>0.87918660287081341</v>
      </c>
    </row>
    <row r="375" spans="1:37" x14ac:dyDescent="0.25">
      <c r="A375" s="12">
        <f>$A$50</f>
        <v>35</v>
      </c>
      <c r="M375" s="12"/>
      <c r="N375" s="12"/>
      <c r="O375" s="12"/>
      <c r="P375" s="12"/>
      <c r="Q375" s="12"/>
      <c r="R375" s="12"/>
      <c r="S375" s="12"/>
      <c r="T375" s="20">
        <f>T$235/T$50</f>
        <v>0.83594899460519867</v>
      </c>
      <c r="U375" s="20">
        <f t="shared" ref="U375:AK375" si="31">U$235/U$50</f>
        <v>0.84021713476516402</v>
      </c>
      <c r="V375" s="20">
        <f t="shared" si="31"/>
        <v>0.84447539461467036</v>
      </c>
      <c r="W375" s="20">
        <f t="shared" si="31"/>
        <v>0.8481933364617551</v>
      </c>
      <c r="X375" s="20">
        <f t="shared" si="31"/>
        <v>0.85179037230258481</v>
      </c>
      <c r="Y375" s="20">
        <f t="shared" si="31"/>
        <v>0.85539515537068755</v>
      </c>
      <c r="Z375" s="20">
        <f t="shared" si="31"/>
        <v>0.85855101034992609</v>
      </c>
      <c r="AA375" s="20">
        <f t="shared" si="31"/>
        <v>0.86162408297495574</v>
      </c>
      <c r="AB375" s="20">
        <f t="shared" si="31"/>
        <v>0.86454891994917404</v>
      </c>
      <c r="AC375" s="20">
        <f t="shared" si="31"/>
        <v>0.86721353499102793</v>
      </c>
      <c r="AD375" s="20">
        <f t="shared" si="31"/>
        <v>0.86976008436593721</v>
      </c>
      <c r="AE375" s="20">
        <f t="shared" si="31"/>
        <v>0.87205472510767668</v>
      </c>
      <c r="AF375" s="20">
        <f t="shared" si="31"/>
        <v>0.87426526961410678</v>
      </c>
      <c r="AG375" s="20">
        <f t="shared" si="31"/>
        <v>0.87623504940197605</v>
      </c>
      <c r="AH375" s="20">
        <f t="shared" si="31"/>
        <v>0.87799167533818934</v>
      </c>
      <c r="AI375" s="20">
        <f t="shared" si="31"/>
        <v>0.87985775971551938</v>
      </c>
      <c r="AJ375" s="20">
        <f t="shared" si="31"/>
        <v>0.88151898734177214</v>
      </c>
      <c r="AK375" s="20">
        <f t="shared" si="31"/>
        <v>0.88298136645962733</v>
      </c>
    </row>
    <row r="376" spans="1:37" x14ac:dyDescent="0.25">
      <c r="A376" s="12">
        <f>$A$51</f>
        <v>36</v>
      </c>
      <c r="M376" s="12"/>
      <c r="N376" s="12"/>
      <c r="O376" s="12"/>
      <c r="P376" s="12"/>
      <c r="Q376" s="12"/>
      <c r="R376" s="12"/>
      <c r="S376" s="12"/>
      <c r="T376" s="20">
        <f>T$236/T$51</f>
        <v>0.83932556409620629</v>
      </c>
      <c r="U376" s="20">
        <f t="shared" ref="U376:AK376" si="32">U$236/U$51</f>
        <v>0.84348459111866048</v>
      </c>
      <c r="V376" s="20">
        <f t="shared" si="32"/>
        <v>0.847607934655776</v>
      </c>
      <c r="W376" s="20">
        <f t="shared" si="32"/>
        <v>0.85137614678899087</v>
      </c>
      <c r="X376" s="20">
        <f t="shared" si="32"/>
        <v>0.85515643105446115</v>
      </c>
      <c r="Y376" s="20">
        <f t="shared" si="32"/>
        <v>0.85838014981273403</v>
      </c>
      <c r="Z376" s="20">
        <f t="shared" si="32"/>
        <v>0.86172779922779918</v>
      </c>
      <c r="AA376" s="20">
        <f t="shared" si="32"/>
        <v>0.86464155528554065</v>
      </c>
      <c r="AB376" s="20">
        <f t="shared" si="32"/>
        <v>0.86758104738154618</v>
      </c>
      <c r="AC376" s="20">
        <f t="shared" si="32"/>
        <v>0.87002253944402708</v>
      </c>
      <c r="AD376" s="20">
        <f t="shared" si="32"/>
        <v>0.87269512503157365</v>
      </c>
      <c r="AE376" s="20">
        <f t="shared" si="32"/>
        <v>0.87509737730459625</v>
      </c>
      <c r="AF376" s="20">
        <f t="shared" si="32"/>
        <v>0.87693459810284569</v>
      </c>
      <c r="AG376" s="20">
        <f t="shared" si="32"/>
        <v>0.87915407854984895</v>
      </c>
      <c r="AH376" s="20">
        <f t="shared" si="32"/>
        <v>0.88092189500640206</v>
      </c>
      <c r="AI376" s="20">
        <f t="shared" si="32"/>
        <v>0.88265436843453748</v>
      </c>
      <c r="AJ376" s="20">
        <f t="shared" si="32"/>
        <v>0.88416312234175631</v>
      </c>
      <c r="AK376" s="20">
        <f t="shared" si="32"/>
        <v>0.88578553615960098</v>
      </c>
    </row>
    <row r="377" spans="1:37" x14ac:dyDescent="0.25">
      <c r="A377" s="12">
        <f>$A$52</f>
        <v>37</v>
      </c>
      <c r="M377" s="12"/>
      <c r="N377" s="12"/>
      <c r="O377" s="12"/>
      <c r="P377" s="12"/>
      <c r="Q377" s="12"/>
      <c r="R377" s="12"/>
      <c r="S377" s="12"/>
      <c r="T377" s="20">
        <f>T$237/T$52</f>
        <v>0.84232365145228216</v>
      </c>
      <c r="U377" s="20">
        <f t="shared" ref="U377:AK377" si="33">U$237/U$52</f>
        <v>0.8467583497053045</v>
      </c>
      <c r="V377" s="20">
        <f t="shared" si="33"/>
        <v>0.85045607297167547</v>
      </c>
      <c r="W377" s="20">
        <f t="shared" si="33"/>
        <v>0.85414262635587357</v>
      </c>
      <c r="X377" s="20">
        <f t="shared" si="33"/>
        <v>0.85759637188208615</v>
      </c>
      <c r="Y377" s="20">
        <f t="shared" si="33"/>
        <v>0.86100297687199445</v>
      </c>
      <c r="Z377" s="20">
        <f t="shared" si="33"/>
        <v>0.86381502890173412</v>
      </c>
      <c r="AA377" s="20">
        <f t="shared" si="33"/>
        <v>0.86680962592327848</v>
      </c>
      <c r="AB377" s="20">
        <f t="shared" si="33"/>
        <v>0.86951307267929956</v>
      </c>
      <c r="AC377" s="20">
        <f t="shared" si="33"/>
        <v>0.87204724409448819</v>
      </c>
      <c r="AD377" s="20">
        <f t="shared" si="33"/>
        <v>0.87447491969360025</v>
      </c>
      <c r="AE377" s="20">
        <f t="shared" si="33"/>
        <v>0.87668161434977576</v>
      </c>
      <c r="AF377" s="20">
        <f t="shared" si="33"/>
        <v>0.87867929357563346</v>
      </c>
      <c r="AG377" s="20">
        <f t="shared" si="33"/>
        <v>0.88081753262743168</v>
      </c>
      <c r="AH377" s="20">
        <f t="shared" si="33"/>
        <v>0.88257199602780534</v>
      </c>
      <c r="AI377" s="20">
        <f t="shared" si="33"/>
        <v>0.88412017167381973</v>
      </c>
      <c r="AJ377" s="20">
        <f t="shared" si="33"/>
        <v>0.88560606060606062</v>
      </c>
      <c r="AK377" s="20">
        <f t="shared" si="33"/>
        <v>0.88724401677769549</v>
      </c>
    </row>
    <row r="378" spans="1:37" x14ac:dyDescent="0.25">
      <c r="A378" s="12">
        <f>$A$53</f>
        <v>38</v>
      </c>
      <c r="M378" s="12"/>
      <c r="N378" s="12"/>
      <c r="O378" s="12"/>
      <c r="P378" s="12"/>
      <c r="Q378" s="12"/>
      <c r="R378" s="12"/>
      <c r="S378" s="12"/>
      <c r="T378" s="20">
        <f>T$238/T$53</f>
        <v>0.84444444444444444</v>
      </c>
      <c r="U378" s="20">
        <f t="shared" ref="U378:AK378" si="34">U$238/U$53</f>
        <v>0.84836802878437423</v>
      </c>
      <c r="V378" s="20">
        <f t="shared" si="34"/>
        <v>0.85238326848249024</v>
      </c>
      <c r="W378" s="20">
        <f t="shared" si="34"/>
        <v>0.85598859315589348</v>
      </c>
      <c r="X378" s="20">
        <f t="shared" si="34"/>
        <v>0.85949280328992461</v>
      </c>
      <c r="Y378" s="20">
        <f t="shared" si="34"/>
        <v>0.86265709156193893</v>
      </c>
      <c r="Z378" s="20">
        <f t="shared" si="34"/>
        <v>0.86588128681468057</v>
      </c>
      <c r="AA378" s="20">
        <f t="shared" si="34"/>
        <v>0.86851131946032467</v>
      </c>
      <c r="AB378" s="20">
        <f t="shared" si="34"/>
        <v>0.871172868582195</v>
      </c>
      <c r="AC378" s="20">
        <f t="shared" si="34"/>
        <v>0.87387387387387383</v>
      </c>
      <c r="AD378" s="20">
        <f t="shared" si="34"/>
        <v>0.87624604911256987</v>
      </c>
      <c r="AE378" s="20">
        <f t="shared" si="34"/>
        <v>0.87841796875</v>
      </c>
      <c r="AF378" s="20">
        <f t="shared" si="34"/>
        <v>0.88041338582677164</v>
      </c>
      <c r="AG378" s="20">
        <f t="shared" si="34"/>
        <v>0.88245702730030329</v>
      </c>
      <c r="AH378" s="20">
        <f t="shared" si="34"/>
        <v>0.88421308684018485</v>
      </c>
      <c r="AI378" s="20">
        <f t="shared" si="34"/>
        <v>0.88597351642962241</v>
      </c>
      <c r="AJ378" s="20">
        <f t="shared" si="34"/>
        <v>0.88733798604187442</v>
      </c>
      <c r="AK378" s="20">
        <f t="shared" si="34"/>
        <v>0.88855646970830215</v>
      </c>
    </row>
    <row r="379" spans="1:37" x14ac:dyDescent="0.25">
      <c r="A379" s="12">
        <f>$A$54</f>
        <v>39</v>
      </c>
      <c r="M379" s="12"/>
      <c r="N379" s="12"/>
      <c r="O379" s="12"/>
      <c r="P379" s="12"/>
      <c r="Q379" s="12"/>
      <c r="R379" s="12"/>
      <c r="S379" s="12"/>
      <c r="T379" s="20">
        <f>T$239/T$54</f>
        <v>0.84578053383661367</v>
      </c>
      <c r="U379" s="20">
        <f t="shared" ref="U379:AK379" si="35">U$239/U$54</f>
        <v>0.85001327316166708</v>
      </c>
      <c r="V379" s="20">
        <f t="shared" si="35"/>
        <v>0.85383244206773623</v>
      </c>
      <c r="W379" s="20">
        <f t="shared" si="35"/>
        <v>0.85738376294868701</v>
      </c>
      <c r="X379" s="20">
        <f t="shared" si="35"/>
        <v>0.8609084490468345</v>
      </c>
      <c r="Y379" s="20">
        <f t="shared" si="35"/>
        <v>0.86402714932126701</v>
      </c>
      <c r="Z379" s="20">
        <f t="shared" si="35"/>
        <v>0.86708157368304073</v>
      </c>
      <c r="AA379" s="20">
        <f t="shared" si="35"/>
        <v>0.87012113055181695</v>
      </c>
      <c r="AB379" s="20">
        <f t="shared" si="35"/>
        <v>0.8725379216662893</v>
      </c>
      <c r="AC379" s="20">
        <f t="shared" si="35"/>
        <v>0.87529137529137524</v>
      </c>
      <c r="AD379" s="20">
        <f t="shared" si="35"/>
        <v>0.87775692163303609</v>
      </c>
      <c r="AE379" s="20">
        <f t="shared" si="35"/>
        <v>0.87974987974987973</v>
      </c>
      <c r="AF379" s="20">
        <f t="shared" si="35"/>
        <v>0.88169966199903427</v>
      </c>
      <c r="AG379" s="20">
        <f t="shared" si="35"/>
        <v>0.88391336091506445</v>
      </c>
      <c r="AH379" s="20">
        <f t="shared" si="35"/>
        <v>0.88555722138930537</v>
      </c>
      <c r="AI379" s="20">
        <f t="shared" si="35"/>
        <v>0.88717825354823188</v>
      </c>
      <c r="AJ379" s="20">
        <f t="shared" si="35"/>
        <v>0.8887272727272727</v>
      </c>
      <c r="AK379" s="20">
        <f t="shared" si="35"/>
        <v>0.89012071938901205</v>
      </c>
    </row>
    <row r="380" spans="1:37" x14ac:dyDescent="0.25">
      <c r="A380" s="12">
        <f>$A$55</f>
        <v>40</v>
      </c>
      <c r="M380" s="12"/>
      <c r="N380" s="12"/>
      <c r="O380" s="12"/>
      <c r="P380" s="12"/>
      <c r="Q380" s="12"/>
      <c r="R380" s="12"/>
      <c r="S380" s="12"/>
      <c r="T380" s="20">
        <f>T$240/T$55</f>
        <v>0.84815738431698529</v>
      </c>
      <c r="U380" s="20">
        <f t="shared" ref="U380:AK380" si="36">U$240/U$55</f>
        <v>0.85228793149585225</v>
      </c>
      <c r="V380" s="20">
        <f t="shared" si="36"/>
        <v>0.8560147407212424</v>
      </c>
      <c r="W380" s="20">
        <f t="shared" si="36"/>
        <v>0.8596314062105529</v>
      </c>
      <c r="X380" s="20">
        <f t="shared" si="36"/>
        <v>0.86314783854788635</v>
      </c>
      <c r="Y380" s="20">
        <f t="shared" si="36"/>
        <v>0.8661068346162818</v>
      </c>
      <c r="Z380" s="20">
        <f t="shared" si="36"/>
        <v>0.86899955136832663</v>
      </c>
      <c r="AA380" s="20">
        <f t="shared" si="36"/>
        <v>0.87174966945791099</v>
      </c>
      <c r="AB380" s="20">
        <f t="shared" si="36"/>
        <v>0.87458305537024683</v>
      </c>
      <c r="AC380" s="20">
        <f t="shared" si="36"/>
        <v>0.87701974865350085</v>
      </c>
      <c r="AD380" s="20">
        <f t="shared" si="36"/>
        <v>0.87921478060046188</v>
      </c>
      <c r="AE380" s="20">
        <f t="shared" si="36"/>
        <v>0.88145048814504878</v>
      </c>
      <c r="AF380" s="20">
        <f t="shared" si="36"/>
        <v>0.88351595998094334</v>
      </c>
      <c r="AG380" s="20">
        <f t="shared" si="36"/>
        <v>0.8854615016738403</v>
      </c>
      <c r="AH380" s="20">
        <f t="shared" si="36"/>
        <v>0.88722891566265061</v>
      </c>
      <c r="AI380" s="20">
        <f t="shared" si="36"/>
        <v>0.88847675568743822</v>
      </c>
      <c r="AJ380" s="20">
        <f t="shared" si="36"/>
        <v>0.89021195522743513</v>
      </c>
      <c r="AK380" s="20">
        <f t="shared" si="36"/>
        <v>0.89152867770578359</v>
      </c>
    </row>
    <row r="381" spans="1:37" x14ac:dyDescent="0.25">
      <c r="A381" s="12">
        <f>$A$56</f>
        <v>41</v>
      </c>
      <c r="M381" s="12"/>
      <c r="N381" s="12"/>
      <c r="O381" s="12"/>
      <c r="P381" s="12"/>
      <c r="Q381" s="12"/>
      <c r="R381" s="12"/>
      <c r="S381" s="12"/>
      <c r="T381" s="20">
        <f>T$241/T$56</f>
        <v>0.85197645079899076</v>
      </c>
      <c r="U381" s="20">
        <f t="shared" ref="U381:AK381" si="37">U$241/U$56</f>
        <v>0.85572687224669608</v>
      </c>
      <c r="V381" s="20">
        <f t="shared" si="37"/>
        <v>0.85919234856535598</v>
      </c>
      <c r="W381" s="20">
        <f t="shared" si="37"/>
        <v>0.86262731783755553</v>
      </c>
      <c r="X381" s="20">
        <f t="shared" si="37"/>
        <v>0.86576508890558479</v>
      </c>
      <c r="Y381" s="20">
        <f t="shared" si="37"/>
        <v>0.86895734597156393</v>
      </c>
      <c r="Z381" s="20">
        <f t="shared" si="37"/>
        <v>0.87175925925925923</v>
      </c>
      <c r="AA381" s="20">
        <f t="shared" si="37"/>
        <v>0.87444345503116649</v>
      </c>
      <c r="AB381" s="20">
        <f t="shared" si="37"/>
        <v>0.87685914260717412</v>
      </c>
      <c r="AC381" s="20">
        <f t="shared" si="37"/>
        <v>0.87949679982343854</v>
      </c>
      <c r="AD381" s="20">
        <f t="shared" si="37"/>
        <v>0.88173719376391979</v>
      </c>
      <c r="AE381" s="20">
        <f t="shared" si="37"/>
        <v>0.88359303391384048</v>
      </c>
      <c r="AF381" s="20">
        <f t="shared" si="37"/>
        <v>0.88563523172700021</v>
      </c>
      <c r="AG381" s="20">
        <f t="shared" si="37"/>
        <v>0.88734057628719887</v>
      </c>
      <c r="AH381" s="20">
        <f t="shared" si="37"/>
        <v>0.88904694167852061</v>
      </c>
      <c r="AI381" s="20">
        <f t="shared" si="37"/>
        <v>0.89058767319636889</v>
      </c>
      <c r="AJ381" s="20">
        <f t="shared" si="37"/>
        <v>0.8919117647058824</v>
      </c>
      <c r="AK381" s="20">
        <f t="shared" si="37"/>
        <v>0.89327036599763876</v>
      </c>
    </row>
    <row r="382" spans="1:37" x14ac:dyDescent="0.25">
      <c r="A382" s="12">
        <f>$A$57</f>
        <v>42</v>
      </c>
      <c r="M382" s="12"/>
      <c r="N382" s="12"/>
      <c r="O382" s="12"/>
      <c r="P382" s="12"/>
      <c r="Q382" s="12"/>
      <c r="R382" s="12"/>
      <c r="S382" s="12"/>
      <c r="T382" s="20">
        <f>T$242/T$57</f>
        <v>0.85578856650387825</v>
      </c>
      <c r="U382" s="20">
        <f t="shared" ref="U382:AK382" si="38">U$242/U$57</f>
        <v>0.85921382771117927</v>
      </c>
      <c r="V382" s="20">
        <f t="shared" si="38"/>
        <v>0.86296498905908092</v>
      </c>
      <c r="W382" s="20">
        <f t="shared" si="38"/>
        <v>0.86596306068601581</v>
      </c>
      <c r="X382" s="20">
        <f t="shared" si="38"/>
        <v>0.86929460580912865</v>
      </c>
      <c r="Y382" s="20">
        <f t="shared" si="38"/>
        <v>0.87217110171599099</v>
      </c>
      <c r="Z382" s="20">
        <f t="shared" si="38"/>
        <v>0.87479406919275127</v>
      </c>
      <c r="AA382" s="20">
        <f t="shared" si="38"/>
        <v>0.87744309036560131</v>
      </c>
      <c r="AB382" s="20">
        <f t="shared" si="38"/>
        <v>0.87967263879672641</v>
      </c>
      <c r="AC382" s="20">
        <f t="shared" si="38"/>
        <v>0.88198217778743748</v>
      </c>
      <c r="AD382" s="20">
        <f t="shared" si="38"/>
        <v>0.88423591317693484</v>
      </c>
      <c r="AE382" s="20">
        <f t="shared" si="38"/>
        <v>0.88608714886087148</v>
      </c>
      <c r="AF382" s="20">
        <f t="shared" si="38"/>
        <v>0.88782707622298063</v>
      </c>
      <c r="AG382" s="20">
        <f t="shared" si="38"/>
        <v>0.8896520146520146</v>
      </c>
      <c r="AH382" s="20">
        <f t="shared" si="38"/>
        <v>0.8912075029308324</v>
      </c>
      <c r="AI382" s="20">
        <f t="shared" si="38"/>
        <v>0.89268063073664394</v>
      </c>
      <c r="AJ382" s="20">
        <f t="shared" si="38"/>
        <v>0.89402560455192037</v>
      </c>
      <c r="AK382" s="20">
        <f t="shared" si="38"/>
        <v>0.89542801556420237</v>
      </c>
    </row>
    <row r="383" spans="1:37" x14ac:dyDescent="0.25">
      <c r="A383" s="12">
        <f>$A$58</f>
        <v>43</v>
      </c>
      <c r="M383" s="12"/>
      <c r="N383" s="12"/>
      <c r="O383" s="12"/>
      <c r="P383" s="12"/>
      <c r="Q383" s="12"/>
      <c r="R383" s="12"/>
      <c r="S383" s="12"/>
      <c r="T383" s="20">
        <f>T$243/T$58</f>
        <v>0.86036169581974509</v>
      </c>
      <c r="U383" s="20">
        <f t="shared" ref="U383:AK383" si="39">U$243/U$58</f>
        <v>0.86363636363636365</v>
      </c>
      <c r="V383" s="20">
        <f t="shared" si="39"/>
        <v>0.86692542278902129</v>
      </c>
      <c r="W383" s="20">
        <f t="shared" si="39"/>
        <v>0.87003806416530727</v>
      </c>
      <c r="X383" s="20">
        <f t="shared" si="39"/>
        <v>0.87306582743246786</v>
      </c>
      <c r="Y383" s="20">
        <f t="shared" si="39"/>
        <v>0.87603092783505154</v>
      </c>
      <c r="Z383" s="20">
        <f t="shared" si="39"/>
        <v>0.87839841819080577</v>
      </c>
      <c r="AA383" s="20">
        <f t="shared" si="39"/>
        <v>0.88090781469349555</v>
      </c>
      <c r="AB383" s="20">
        <f t="shared" si="39"/>
        <v>0.88319999999999999</v>
      </c>
      <c r="AC383" s="20">
        <f t="shared" si="39"/>
        <v>0.88539375274967003</v>
      </c>
      <c r="AD383" s="20">
        <f t="shared" si="39"/>
        <v>0.88740004322455157</v>
      </c>
      <c r="AE383" s="20">
        <f t="shared" si="39"/>
        <v>0.88925223457597558</v>
      </c>
      <c r="AF383" s="20">
        <f t="shared" si="39"/>
        <v>0.89091708819001536</v>
      </c>
      <c r="AG383" s="20">
        <f t="shared" si="39"/>
        <v>0.89258254183627317</v>
      </c>
      <c r="AH383" s="20">
        <f t="shared" si="39"/>
        <v>0.89419795221843001</v>
      </c>
      <c r="AI383" s="20">
        <f t="shared" si="39"/>
        <v>0.89561975768872326</v>
      </c>
      <c r="AJ383" s="20">
        <f t="shared" si="39"/>
        <v>0.89689034369885434</v>
      </c>
      <c r="AK383" s="20">
        <f t="shared" si="39"/>
        <v>0.8980216674517193</v>
      </c>
    </row>
    <row r="384" spans="1:37" x14ac:dyDescent="0.25">
      <c r="A384" s="12">
        <f>$A$59</f>
        <v>44</v>
      </c>
      <c r="M384" s="12"/>
      <c r="N384" s="12"/>
      <c r="O384" s="12"/>
      <c r="P384" s="12"/>
      <c r="Q384" s="12"/>
      <c r="R384" s="12"/>
      <c r="S384" s="12"/>
      <c r="T384" s="20">
        <f>T$244/T$59</f>
        <v>0.86568065197706001</v>
      </c>
      <c r="U384" s="20">
        <f t="shared" ref="U384:AK384" si="40">U$244/U$59</f>
        <v>0.86908983451536648</v>
      </c>
      <c r="V384" s="20">
        <f t="shared" si="40"/>
        <v>0.87190435525192145</v>
      </c>
      <c r="W384" s="20">
        <f t="shared" si="40"/>
        <v>0.87524151255865301</v>
      </c>
      <c r="X384" s="20">
        <f t="shared" si="40"/>
        <v>0.87770562770562766</v>
      </c>
      <c r="Y384" s="20">
        <f t="shared" si="40"/>
        <v>0.88048016701461373</v>
      </c>
      <c r="Z384" s="20">
        <f t="shared" si="40"/>
        <v>0.88307692307692309</v>
      </c>
      <c r="AA384" s="20">
        <f t="shared" si="40"/>
        <v>0.8853910477127398</v>
      </c>
      <c r="AB384" s="20">
        <f t="shared" si="40"/>
        <v>0.8875174662319516</v>
      </c>
      <c r="AC384" s="20">
        <f t="shared" si="40"/>
        <v>0.889419795221843</v>
      </c>
      <c r="AD384" s="20">
        <f t="shared" si="40"/>
        <v>0.89139478870155464</v>
      </c>
      <c r="AE384" s="20">
        <f t="shared" si="40"/>
        <v>0.89326447170217349</v>
      </c>
      <c r="AF384" s="20">
        <f t="shared" si="40"/>
        <v>0.89496527777777779</v>
      </c>
      <c r="AG384" s="20">
        <f t="shared" si="40"/>
        <v>0.89645359019264448</v>
      </c>
      <c r="AH384" s="20">
        <f t="shared" si="40"/>
        <v>0.89781679045689844</v>
      </c>
      <c r="AI384" s="20">
        <f t="shared" si="40"/>
        <v>0.89925288657459812</v>
      </c>
      <c r="AJ384" s="20">
        <f t="shared" si="40"/>
        <v>0.90055632823365783</v>
      </c>
      <c r="AK384" s="20">
        <f t="shared" si="40"/>
        <v>0.9016050244242847</v>
      </c>
    </row>
    <row r="385" spans="1:37" x14ac:dyDescent="0.25">
      <c r="A385" s="12">
        <f>$A$60</f>
        <v>45</v>
      </c>
      <c r="M385" s="12"/>
      <c r="N385" s="12"/>
      <c r="O385" s="12"/>
      <c r="P385" s="12"/>
      <c r="Q385" s="12"/>
      <c r="R385" s="12"/>
      <c r="S385" s="12"/>
      <c r="T385" s="20">
        <f>T$245/T$60</f>
        <v>0.8716216216216216</v>
      </c>
      <c r="U385" s="20">
        <f t="shared" ref="U385:AK385" si="41">U$245/U$60</f>
        <v>0.87469879518072291</v>
      </c>
      <c r="V385" s="20">
        <f t="shared" si="41"/>
        <v>0.87776141384388806</v>
      </c>
      <c r="W385" s="20">
        <f t="shared" si="41"/>
        <v>0.88081725312145287</v>
      </c>
      <c r="X385" s="20">
        <f t="shared" si="41"/>
        <v>0.88338833883388335</v>
      </c>
      <c r="Y385" s="20">
        <f t="shared" si="41"/>
        <v>0.88595308708546783</v>
      </c>
      <c r="Z385" s="20">
        <f t="shared" si="41"/>
        <v>0.8884555382215289</v>
      </c>
      <c r="AA385" s="20">
        <f t="shared" si="41"/>
        <v>0.89064895247828313</v>
      </c>
      <c r="AB385" s="20">
        <f t="shared" si="41"/>
        <v>0.89264705882352946</v>
      </c>
      <c r="AC385" s="20">
        <f t="shared" si="41"/>
        <v>0.89461467038068709</v>
      </c>
      <c r="AD385" s="20">
        <f t="shared" si="41"/>
        <v>0.89657518711726014</v>
      </c>
      <c r="AE385" s="20">
        <f t="shared" si="41"/>
        <v>0.89827548570181182</v>
      </c>
      <c r="AF385" s="20">
        <f t="shared" si="41"/>
        <v>0.89982839982839979</v>
      </c>
      <c r="AG385" s="20">
        <f t="shared" si="41"/>
        <v>0.90136275146009082</v>
      </c>
      <c r="AH385" s="20">
        <f t="shared" si="41"/>
        <v>0.90268383155138554</v>
      </c>
      <c r="AI385" s="20">
        <f t="shared" si="41"/>
        <v>0.90379008746355682</v>
      </c>
      <c r="AJ385" s="20">
        <f t="shared" si="41"/>
        <v>0.90503045341755017</v>
      </c>
      <c r="AK385" s="20">
        <f t="shared" si="41"/>
        <v>0.90623556581986142</v>
      </c>
    </row>
    <row r="386" spans="1:37" x14ac:dyDescent="0.25">
      <c r="A386" s="12">
        <f>$A$61</f>
        <v>46</v>
      </c>
      <c r="M386" s="12"/>
      <c r="N386" s="12"/>
      <c r="O386" s="12"/>
      <c r="P386" s="12"/>
      <c r="Q386" s="12"/>
      <c r="R386" s="12"/>
      <c r="S386" s="12"/>
      <c r="T386" s="20">
        <f>T$246/T$61</f>
        <v>0.8741637464160561</v>
      </c>
      <c r="U386" s="20">
        <f t="shared" ref="U386:AK386" si="42">U$246/U$61</f>
        <v>0.87722529158993245</v>
      </c>
      <c r="V386" s="20">
        <f t="shared" si="42"/>
        <v>0.88026474127557164</v>
      </c>
      <c r="W386" s="20">
        <f t="shared" si="42"/>
        <v>0.88323529411764701</v>
      </c>
      <c r="X386" s="20">
        <f t="shared" si="42"/>
        <v>0.88586802605494197</v>
      </c>
      <c r="Y386" s="20">
        <f t="shared" si="42"/>
        <v>0.88803512623490666</v>
      </c>
      <c r="Z386" s="20">
        <f t="shared" si="42"/>
        <v>0.89053254437869822</v>
      </c>
      <c r="AA386" s="20">
        <f t="shared" si="42"/>
        <v>0.89283860923715619</v>
      </c>
      <c r="AB386" s="20">
        <f t="shared" si="42"/>
        <v>0.89497833290848838</v>
      </c>
      <c r="AC386" s="20">
        <f t="shared" si="42"/>
        <v>0.89679628270970901</v>
      </c>
      <c r="AD386" s="20">
        <f t="shared" si="42"/>
        <v>0.89877229557563121</v>
      </c>
      <c r="AE386" s="20">
        <f t="shared" si="42"/>
        <v>0.90040742417383435</v>
      </c>
      <c r="AF386" s="20">
        <f t="shared" si="42"/>
        <v>0.90196078431372551</v>
      </c>
      <c r="AG386" s="20">
        <f t="shared" si="42"/>
        <v>0.90344679940055661</v>
      </c>
      <c r="AH386" s="20">
        <f t="shared" si="42"/>
        <v>0.90479274611398963</v>
      </c>
      <c r="AI386" s="20">
        <f t="shared" si="42"/>
        <v>0.90614111498257843</v>
      </c>
      <c r="AJ386" s="20">
        <f t="shared" si="42"/>
        <v>0.90734109221128023</v>
      </c>
      <c r="AK386" s="20">
        <f t="shared" si="42"/>
        <v>0.90859972985141824</v>
      </c>
    </row>
    <row r="387" spans="1:37" x14ac:dyDescent="0.25">
      <c r="A387" s="12">
        <f>$A$62</f>
        <v>47</v>
      </c>
      <c r="M387" s="12"/>
      <c r="N387" s="12"/>
      <c r="O387" s="12"/>
      <c r="P387" s="12"/>
      <c r="Q387" s="12"/>
      <c r="R387" s="12"/>
      <c r="S387" s="12"/>
      <c r="T387" s="20">
        <f>T$247/T$62</f>
        <v>0.87515923566878984</v>
      </c>
      <c r="U387" s="20">
        <f t="shared" ref="U387:AK387" si="43">U$247/U$62</f>
        <v>0.87822760599298688</v>
      </c>
      <c r="V387" s="20">
        <f t="shared" si="43"/>
        <v>0.88117899907890695</v>
      </c>
      <c r="W387" s="20">
        <f t="shared" si="43"/>
        <v>0.88421052631578945</v>
      </c>
      <c r="X387" s="20">
        <f t="shared" si="43"/>
        <v>0.88683127572016462</v>
      </c>
      <c r="Y387" s="20">
        <f t="shared" si="43"/>
        <v>0.88961222756863856</v>
      </c>
      <c r="Z387" s="20">
        <f t="shared" si="43"/>
        <v>0.89193636862314862</v>
      </c>
      <c r="AA387" s="20">
        <f t="shared" si="43"/>
        <v>0.8940860215053763</v>
      </c>
      <c r="AB387" s="20">
        <f t="shared" si="43"/>
        <v>0.89629245527612134</v>
      </c>
      <c r="AC387" s="20">
        <f t="shared" si="43"/>
        <v>0.89811512990320941</v>
      </c>
      <c r="AD387" s="20">
        <f t="shared" si="43"/>
        <v>0.90004887585532745</v>
      </c>
      <c r="AE387" s="20">
        <f t="shared" si="43"/>
        <v>0.90162037037037035</v>
      </c>
      <c r="AF387" s="20">
        <f t="shared" si="43"/>
        <v>0.90318932368242477</v>
      </c>
      <c r="AG387" s="20">
        <f t="shared" si="43"/>
        <v>0.90485521445678208</v>
      </c>
      <c r="AH387" s="20">
        <f t="shared" si="43"/>
        <v>0.90607616602481811</v>
      </c>
      <c r="AI387" s="20">
        <f t="shared" si="43"/>
        <v>0.90744336569579287</v>
      </c>
      <c r="AJ387" s="20">
        <f t="shared" si="43"/>
        <v>0.90861618798955612</v>
      </c>
      <c r="AK387" s="20">
        <f t="shared" si="43"/>
        <v>0.90988372093023251</v>
      </c>
    </row>
    <row r="388" spans="1:37" x14ac:dyDescent="0.25">
      <c r="A388" s="12">
        <f>$A$63</f>
        <v>48</v>
      </c>
      <c r="M388" s="12"/>
      <c r="N388" s="12"/>
      <c r="O388" s="12"/>
      <c r="P388" s="12"/>
      <c r="Q388" s="12"/>
      <c r="R388" s="12"/>
      <c r="S388" s="12"/>
      <c r="T388" s="20">
        <f>T$248/T$63</f>
        <v>0.87366720516962848</v>
      </c>
      <c r="U388" s="20">
        <f t="shared" ref="U388:AK388" si="44">U$248/U$63</f>
        <v>0.87679540376635812</v>
      </c>
      <c r="V388" s="20">
        <f t="shared" si="44"/>
        <v>0.879948914431673</v>
      </c>
      <c r="W388" s="20">
        <f t="shared" si="44"/>
        <v>0.88287734399016293</v>
      </c>
      <c r="X388" s="20">
        <f t="shared" si="44"/>
        <v>0.88561107766405778</v>
      </c>
      <c r="Y388" s="20">
        <f t="shared" si="44"/>
        <v>0.88820241247425713</v>
      </c>
      <c r="Z388" s="20">
        <f t="shared" si="44"/>
        <v>0.89039932030586233</v>
      </c>
      <c r="AA388" s="20">
        <f t="shared" si="44"/>
        <v>0.89270032930845222</v>
      </c>
      <c r="AB388" s="20">
        <f t="shared" si="44"/>
        <v>0.8948359332974718</v>
      </c>
      <c r="AC388" s="20">
        <f t="shared" si="44"/>
        <v>0.89675745784695204</v>
      </c>
      <c r="AD388" s="20">
        <f t="shared" si="44"/>
        <v>0.89857288481141695</v>
      </c>
      <c r="AE388" s="20">
        <f t="shared" si="44"/>
        <v>0.90024449877750612</v>
      </c>
      <c r="AF388" s="20">
        <f t="shared" si="44"/>
        <v>0.90180639184807776</v>
      </c>
      <c r="AG388" s="20">
        <f t="shared" si="44"/>
        <v>0.90337180357546953</v>
      </c>
      <c r="AH388" s="20">
        <f t="shared" si="44"/>
        <v>0.90481376606403829</v>
      </c>
      <c r="AI388" s="20">
        <f t="shared" si="44"/>
        <v>0.9060359589041096</v>
      </c>
      <c r="AJ388" s="20">
        <f t="shared" si="44"/>
        <v>0.90720759602934831</v>
      </c>
      <c r="AK388" s="20">
        <f t="shared" si="44"/>
        <v>0.9083786724700762</v>
      </c>
    </row>
    <row r="389" spans="1:37" x14ac:dyDescent="0.25">
      <c r="A389" s="12">
        <f>$A$64</f>
        <v>49</v>
      </c>
      <c r="M389" s="12"/>
      <c r="N389" s="12"/>
      <c r="O389" s="12"/>
      <c r="P389" s="12"/>
      <c r="Q389" s="12"/>
      <c r="R389" s="12"/>
      <c r="S389" s="12"/>
      <c r="T389" s="20">
        <f>T$249/T$64</f>
        <v>0.87160262417994372</v>
      </c>
      <c r="U389" s="20">
        <f t="shared" ref="U389:AK389" si="45">U$249/U$64</f>
        <v>0.87487844408427873</v>
      </c>
      <c r="V389" s="20">
        <f t="shared" si="45"/>
        <v>0.87775999999999998</v>
      </c>
      <c r="W389" s="20">
        <f t="shared" si="45"/>
        <v>0.88063999999999998</v>
      </c>
      <c r="X389" s="20">
        <f t="shared" si="45"/>
        <v>0.88327687095780716</v>
      </c>
      <c r="Y389" s="20">
        <f t="shared" si="45"/>
        <v>0.88600723763570566</v>
      </c>
      <c r="Z389" s="20">
        <f t="shared" si="45"/>
        <v>0.88833235120801413</v>
      </c>
      <c r="AA389" s="20">
        <f t="shared" si="45"/>
        <v>0.89052750992626206</v>
      </c>
      <c r="AB389" s="20">
        <f t="shared" si="45"/>
        <v>0.89255289914811764</v>
      </c>
      <c r="AC389" s="20">
        <f t="shared" si="45"/>
        <v>0.89469431726366822</v>
      </c>
      <c r="AD389" s="20">
        <f t="shared" si="45"/>
        <v>0.89636363636363636</v>
      </c>
      <c r="AE389" s="20">
        <f t="shared" si="45"/>
        <v>0.89818831334524118</v>
      </c>
      <c r="AF389" s="20">
        <f t="shared" si="45"/>
        <v>0.89963280293757653</v>
      </c>
      <c r="AG389" s="20">
        <f t="shared" si="45"/>
        <v>0.90120593692022266</v>
      </c>
      <c r="AH389" s="20">
        <f t="shared" si="45"/>
        <v>0.90258269143633896</v>
      </c>
      <c r="AI389" s="20">
        <f t="shared" si="45"/>
        <v>0.90383776711731356</v>
      </c>
      <c r="AJ389" s="20">
        <f t="shared" si="45"/>
        <v>0.90507820869937861</v>
      </c>
      <c r="AK389" s="20">
        <f t="shared" si="45"/>
        <v>0.90624324908187515</v>
      </c>
    </row>
    <row r="390" spans="1:37" x14ac:dyDescent="0.25">
      <c r="A390" s="12">
        <f>$A$65</f>
        <v>50</v>
      </c>
      <c r="M390" s="12"/>
      <c r="N390" s="12"/>
      <c r="O390" s="12"/>
      <c r="P390" s="12"/>
      <c r="Q390" s="12"/>
      <c r="R390" s="12"/>
      <c r="S390" s="12"/>
      <c r="T390" s="20">
        <f>T$250/T$65</f>
        <v>0.86866848650288142</v>
      </c>
      <c r="U390" s="20">
        <f t="shared" ref="U390:AK390" si="46">U$250/U$65</f>
        <v>0.87174662903731581</v>
      </c>
      <c r="V390" s="20">
        <f t="shared" si="46"/>
        <v>0.87479674796747964</v>
      </c>
      <c r="W390" s="20">
        <f t="shared" si="46"/>
        <v>0.87768860353130018</v>
      </c>
      <c r="X390" s="20">
        <f t="shared" si="46"/>
        <v>0.88029525032092426</v>
      </c>
      <c r="Y390" s="20">
        <f t="shared" si="46"/>
        <v>0.88295243977764049</v>
      </c>
      <c r="Z390" s="20">
        <f t="shared" si="46"/>
        <v>0.88512696493349452</v>
      </c>
      <c r="AA390" s="20">
        <f t="shared" si="46"/>
        <v>0.88747784997046664</v>
      </c>
      <c r="AB390" s="20">
        <f t="shared" si="46"/>
        <v>0.88942581011938604</v>
      </c>
      <c r="AC390" s="20">
        <f t="shared" si="46"/>
        <v>0.89121454144863677</v>
      </c>
      <c r="AD390" s="20">
        <f t="shared" si="46"/>
        <v>0.8931462493254182</v>
      </c>
      <c r="AE390" s="20">
        <f t="shared" si="46"/>
        <v>0.89484643414888076</v>
      </c>
      <c r="AF390" s="20">
        <f t="shared" si="46"/>
        <v>0.89644592175914084</v>
      </c>
      <c r="AG390" s="20">
        <f t="shared" si="46"/>
        <v>0.89796418935491784</v>
      </c>
      <c r="AH390" s="20">
        <f t="shared" si="46"/>
        <v>0.89918699186991868</v>
      </c>
      <c r="AI390" s="20">
        <f t="shared" si="46"/>
        <v>0.90059010440308673</v>
      </c>
      <c r="AJ390" s="20">
        <f t="shared" si="46"/>
        <v>0.90170380078636958</v>
      </c>
      <c r="AK390" s="20">
        <f t="shared" si="46"/>
        <v>0.90276883451384415</v>
      </c>
    </row>
    <row r="391" spans="1:37" x14ac:dyDescent="0.25">
      <c r="A391" s="12">
        <f>$A$66</f>
        <v>51</v>
      </c>
      <c r="M391" s="12"/>
      <c r="N391" s="12"/>
      <c r="O391" s="12"/>
      <c r="P391" s="12"/>
      <c r="Q391" s="12"/>
      <c r="R391" s="12"/>
      <c r="S391" s="12"/>
      <c r="T391" s="20">
        <f>T$251/T$66</f>
        <v>0.86429629629629634</v>
      </c>
      <c r="U391" s="20">
        <f t="shared" ref="U391:AK391" si="47">U$251/U$66</f>
        <v>0.86757990867579904</v>
      </c>
      <c r="V391" s="20">
        <f t="shared" si="47"/>
        <v>0.87067337948395218</v>
      </c>
      <c r="W391" s="20">
        <f t="shared" si="47"/>
        <v>0.87340946166394784</v>
      </c>
      <c r="X391" s="20">
        <f t="shared" si="47"/>
        <v>0.87604636188023177</v>
      </c>
      <c r="Y391" s="20">
        <f t="shared" si="47"/>
        <v>0.8783783783783784</v>
      </c>
      <c r="Z391" s="20">
        <f t="shared" si="47"/>
        <v>0.88080495356037147</v>
      </c>
      <c r="AA391" s="20">
        <f t="shared" si="47"/>
        <v>0.88303030303030305</v>
      </c>
      <c r="AB391" s="20">
        <f t="shared" si="47"/>
        <v>0.88513913558318535</v>
      </c>
      <c r="AC391" s="20">
        <f t="shared" si="47"/>
        <v>0.88689458689458689</v>
      </c>
      <c r="AD391" s="20">
        <f t="shared" si="47"/>
        <v>0.88876621584322379</v>
      </c>
      <c r="AE391" s="20">
        <f t="shared" si="47"/>
        <v>0.8904517176088721</v>
      </c>
      <c r="AF391" s="20">
        <f t="shared" si="47"/>
        <v>0.892018779342723</v>
      </c>
      <c r="AG391" s="20">
        <f t="shared" si="47"/>
        <v>0.89341532154752756</v>
      </c>
      <c r="AH391" s="20">
        <f t="shared" si="47"/>
        <v>0.89481445072499388</v>
      </c>
      <c r="AI391" s="20">
        <f t="shared" si="47"/>
        <v>0.89618249534450656</v>
      </c>
      <c r="AJ391" s="20">
        <f t="shared" si="47"/>
        <v>0.89722601182355621</v>
      </c>
      <c r="AK391" s="20">
        <f t="shared" si="47"/>
        <v>0.89824945295404812</v>
      </c>
    </row>
    <row r="392" spans="1:37" x14ac:dyDescent="0.25">
      <c r="A392" s="12">
        <f>$A$67</f>
        <v>52</v>
      </c>
      <c r="M392" s="12"/>
      <c r="N392" s="12"/>
      <c r="O392" s="12"/>
      <c r="P392" s="12"/>
      <c r="Q392" s="12"/>
      <c r="R392" s="12"/>
      <c r="S392" s="12"/>
      <c r="T392" s="20">
        <f>T$252/T$67</f>
        <v>0.85859171254708777</v>
      </c>
      <c r="U392" s="20">
        <f t="shared" ref="U392:AK392" si="48">U$252/U$67</f>
        <v>0.8619869125520524</v>
      </c>
      <c r="V392" s="20">
        <f t="shared" si="48"/>
        <v>0.86499694563225416</v>
      </c>
      <c r="W392" s="20">
        <f t="shared" si="48"/>
        <v>0.86778163458504265</v>
      </c>
      <c r="X392" s="20">
        <f t="shared" si="48"/>
        <v>0.87074607329842935</v>
      </c>
      <c r="Y392" s="20">
        <f t="shared" si="48"/>
        <v>0.87314396384764359</v>
      </c>
      <c r="Z392" s="20">
        <f t="shared" si="48"/>
        <v>0.87516129032258061</v>
      </c>
      <c r="AA392" s="20">
        <f t="shared" si="48"/>
        <v>0.87771570453134695</v>
      </c>
      <c r="AB392" s="20">
        <f t="shared" si="48"/>
        <v>0.87970838396111783</v>
      </c>
      <c r="AC392" s="20">
        <f t="shared" si="48"/>
        <v>0.88160237388724039</v>
      </c>
      <c r="AD392" s="20">
        <f t="shared" si="48"/>
        <v>0.88349514563106801</v>
      </c>
      <c r="AE392" s="20">
        <f t="shared" si="48"/>
        <v>0.88520055325034575</v>
      </c>
      <c r="AF392" s="20">
        <f t="shared" si="48"/>
        <v>0.88672086720867205</v>
      </c>
      <c r="AG392" s="20">
        <f t="shared" si="48"/>
        <v>0.8883951907997909</v>
      </c>
      <c r="AH392" s="20">
        <f t="shared" si="48"/>
        <v>0.88963039014373713</v>
      </c>
      <c r="AI392" s="20">
        <f t="shared" si="48"/>
        <v>0.89091356808667821</v>
      </c>
      <c r="AJ392" s="20">
        <f t="shared" si="48"/>
        <v>0.89225746268656714</v>
      </c>
      <c r="AK392" s="20">
        <f t="shared" si="48"/>
        <v>0.89316628701594536</v>
      </c>
    </row>
    <row r="393" spans="1:37" x14ac:dyDescent="0.25">
      <c r="A393" s="12">
        <f>$A$68</f>
        <v>53</v>
      </c>
      <c r="M393" s="12"/>
      <c r="N393" s="12"/>
      <c r="O393" s="12"/>
      <c r="P393" s="12"/>
      <c r="Q393" s="12"/>
      <c r="R393" s="12"/>
      <c r="S393" s="12"/>
      <c r="T393" s="20">
        <f>T$253/T$68</f>
        <v>0.85300028710881426</v>
      </c>
      <c r="U393" s="20">
        <f t="shared" ref="U393:AK393" si="49">U$253/U$68</f>
        <v>0.85635359116022103</v>
      </c>
      <c r="V393" s="20">
        <f t="shared" si="49"/>
        <v>0.85948687350835318</v>
      </c>
      <c r="W393" s="20">
        <f t="shared" si="49"/>
        <v>0.86217457886676874</v>
      </c>
      <c r="X393" s="20">
        <f t="shared" si="49"/>
        <v>0.86487341772151893</v>
      </c>
      <c r="Y393" s="20">
        <f t="shared" si="49"/>
        <v>0.86749754017710723</v>
      </c>
      <c r="Z393" s="20">
        <f t="shared" si="49"/>
        <v>0.86962148172112586</v>
      </c>
      <c r="AA393" s="20">
        <f t="shared" si="49"/>
        <v>0.87196896217264797</v>
      </c>
      <c r="AB393" s="20">
        <f t="shared" si="49"/>
        <v>0.87433903576982896</v>
      </c>
      <c r="AC393" s="20">
        <f t="shared" si="49"/>
        <v>0.87610350076103505</v>
      </c>
      <c r="AD393" s="20">
        <f t="shared" si="49"/>
        <v>0.87808504311626523</v>
      </c>
      <c r="AE393" s="20">
        <f t="shared" si="49"/>
        <v>0.87982832618025753</v>
      </c>
      <c r="AF393" s="20">
        <f t="shared" si="49"/>
        <v>0.88137472283813745</v>
      </c>
      <c r="AG393" s="20">
        <f t="shared" si="49"/>
        <v>0.8827043171327722</v>
      </c>
      <c r="AH393" s="20">
        <f t="shared" si="49"/>
        <v>0.88452474469756481</v>
      </c>
      <c r="AI393" s="20">
        <f t="shared" si="49"/>
        <v>0.88557469786577525</v>
      </c>
      <c r="AJ393" s="20">
        <f t="shared" si="49"/>
        <v>0.88677849037987178</v>
      </c>
      <c r="AK393" s="20">
        <f t="shared" si="49"/>
        <v>0.88787666433076384</v>
      </c>
    </row>
    <row r="394" spans="1:37" x14ac:dyDescent="0.25">
      <c r="A394" s="12">
        <f>$A$69</f>
        <v>54</v>
      </c>
      <c r="M394" s="12"/>
      <c r="N394" s="12"/>
      <c r="O394" s="12"/>
      <c r="P394" s="12"/>
      <c r="Q394" s="12"/>
      <c r="R394" s="12"/>
      <c r="S394" s="12"/>
      <c r="T394" s="20">
        <f>T$254/T$69</f>
        <v>0.84670874661857531</v>
      </c>
      <c r="U394" s="20">
        <f t="shared" ref="U394:AK394" si="50">U$254/U$69</f>
        <v>0.85027353872732503</v>
      </c>
      <c r="V394" s="20">
        <f t="shared" si="50"/>
        <v>0.85335276967930029</v>
      </c>
      <c r="W394" s="20">
        <f t="shared" si="50"/>
        <v>0.8564593301435407</v>
      </c>
      <c r="X394" s="20">
        <f t="shared" si="50"/>
        <v>0.85911602209944748</v>
      </c>
      <c r="Y394" s="20">
        <f t="shared" si="50"/>
        <v>0.86176284083703236</v>
      </c>
      <c r="Z394" s="20">
        <f t="shared" si="50"/>
        <v>0.86427867236279987</v>
      </c>
      <c r="AA394" s="20">
        <f t="shared" si="50"/>
        <v>0.86677471636952996</v>
      </c>
      <c r="AB394" s="20">
        <f t="shared" si="50"/>
        <v>0.86912860382248136</v>
      </c>
      <c r="AC394" s="20">
        <f t="shared" si="50"/>
        <v>0.87102803738317758</v>
      </c>
      <c r="AD394" s="20">
        <f t="shared" si="50"/>
        <v>0.87286585365853664</v>
      </c>
      <c r="AE394" s="20">
        <f t="shared" si="50"/>
        <v>0.87462775461584275</v>
      </c>
      <c r="AF394" s="20">
        <f t="shared" si="50"/>
        <v>0.87646890226425911</v>
      </c>
      <c r="AG394" s="20">
        <f t="shared" si="50"/>
        <v>0.87812326485285952</v>
      </c>
      <c r="AH394" s="20">
        <f t="shared" si="50"/>
        <v>0.87952134892575473</v>
      </c>
      <c r="AI394" s="20">
        <f t="shared" si="50"/>
        <v>0.88070267435762983</v>
      </c>
      <c r="AJ394" s="20">
        <f t="shared" si="50"/>
        <v>0.88204996137007463</v>
      </c>
      <c r="AK394" s="20">
        <f t="shared" si="50"/>
        <v>0.88318103235366763</v>
      </c>
    </row>
    <row r="395" spans="1:37" x14ac:dyDescent="0.25">
      <c r="A395" s="12">
        <f>$A$70</f>
        <v>55</v>
      </c>
      <c r="M395" s="12"/>
      <c r="N395" s="12"/>
      <c r="O395" s="12"/>
      <c r="P395" s="12"/>
      <c r="Q395" s="12"/>
      <c r="R395" s="12"/>
      <c r="S395" s="12"/>
      <c r="T395" s="20">
        <f>T$255/T$70</f>
        <v>0.83840820018088635</v>
      </c>
      <c r="U395" s="20">
        <f t="shared" ref="U395:AK395" si="51">U$255/U$70</f>
        <v>0.8420735382760699</v>
      </c>
      <c r="V395" s="20">
        <f t="shared" si="51"/>
        <v>0.84531024531024535</v>
      </c>
      <c r="W395" s="20">
        <f t="shared" si="51"/>
        <v>0.84837861524978087</v>
      </c>
      <c r="X395" s="20">
        <f t="shared" si="51"/>
        <v>0.85140802875973642</v>
      </c>
      <c r="Y395" s="20">
        <f t="shared" si="51"/>
        <v>0.85398094067015062</v>
      </c>
      <c r="Z395" s="20">
        <f t="shared" si="51"/>
        <v>0.85677993013655129</v>
      </c>
      <c r="AA395" s="20">
        <f t="shared" si="51"/>
        <v>0.85916419874958871</v>
      </c>
      <c r="AB395" s="20">
        <f t="shared" si="51"/>
        <v>0.86140863356053232</v>
      </c>
      <c r="AC395" s="20">
        <f t="shared" si="51"/>
        <v>0.86348897535667968</v>
      </c>
      <c r="AD395" s="20">
        <f t="shared" si="51"/>
        <v>0.8655645664379289</v>
      </c>
      <c r="AE395" s="20">
        <f t="shared" si="51"/>
        <v>0.86752136752136755</v>
      </c>
      <c r="AF395" s="20">
        <f t="shared" si="51"/>
        <v>0.86911150864639242</v>
      </c>
      <c r="AG395" s="20">
        <f t="shared" si="51"/>
        <v>0.87062535857716583</v>
      </c>
      <c r="AH395" s="20">
        <f t="shared" si="51"/>
        <v>0.87218671853292584</v>
      </c>
      <c r="AI395" s="20">
        <f t="shared" si="51"/>
        <v>0.87394500408385511</v>
      </c>
      <c r="AJ395" s="20">
        <f t="shared" si="51"/>
        <v>0.87506561679790029</v>
      </c>
      <c r="AK395" s="20">
        <f t="shared" si="51"/>
        <v>0.87625676720804335</v>
      </c>
    </row>
    <row r="396" spans="1:37" x14ac:dyDescent="0.25">
      <c r="A396" s="12">
        <f>$A$71</f>
        <v>56</v>
      </c>
      <c r="M396" s="12"/>
      <c r="N396" s="12"/>
      <c r="O396" s="12"/>
      <c r="P396" s="12"/>
      <c r="Q396" s="12"/>
      <c r="R396" s="12"/>
      <c r="S396" s="12"/>
      <c r="T396" s="20">
        <f>T$256/T$71</f>
        <v>0.82931354359925791</v>
      </c>
      <c r="U396" s="20">
        <f t="shared" ref="U396:AK396" si="52">U$256/U$71</f>
        <v>0.83293051359516612</v>
      </c>
      <c r="V396" s="20">
        <f t="shared" si="52"/>
        <v>0.83665458937198067</v>
      </c>
      <c r="W396" s="20">
        <f t="shared" si="52"/>
        <v>0.83983810349812082</v>
      </c>
      <c r="X396" s="20">
        <f t="shared" si="52"/>
        <v>0.8428905792861322</v>
      </c>
      <c r="Y396" s="20">
        <f t="shared" si="52"/>
        <v>0.84583083383323332</v>
      </c>
      <c r="Z396" s="20">
        <f t="shared" si="52"/>
        <v>0.84826100338565713</v>
      </c>
      <c r="AA396" s="20">
        <f t="shared" si="52"/>
        <v>0.85092180546726004</v>
      </c>
      <c r="AB396" s="20">
        <f t="shared" si="52"/>
        <v>0.85342555994729907</v>
      </c>
      <c r="AC396" s="20">
        <f t="shared" si="52"/>
        <v>0.85547255602468331</v>
      </c>
      <c r="AD396" s="20">
        <f t="shared" si="52"/>
        <v>0.85783836416747805</v>
      </c>
      <c r="AE396" s="20">
        <f t="shared" si="52"/>
        <v>0.8598189197627224</v>
      </c>
      <c r="AF396" s="20">
        <f t="shared" si="52"/>
        <v>0.86163714111178991</v>
      </c>
      <c r="AG396" s="20">
        <f t="shared" si="52"/>
        <v>0.86336515513126488</v>
      </c>
      <c r="AH396" s="20">
        <f t="shared" si="52"/>
        <v>0.86505885730691934</v>
      </c>
      <c r="AI396" s="20">
        <f t="shared" si="52"/>
        <v>0.86651835372636266</v>
      </c>
      <c r="AJ396" s="20">
        <f t="shared" si="52"/>
        <v>0.86788341051484608</v>
      </c>
      <c r="AK396" s="20">
        <f t="shared" si="52"/>
        <v>0.86918833727344369</v>
      </c>
    </row>
    <row r="397" spans="1:37" x14ac:dyDescent="0.25">
      <c r="A397" s="12">
        <f>$A$72</f>
        <v>57</v>
      </c>
      <c r="M397" s="12"/>
      <c r="N397" s="12"/>
      <c r="O397" s="12"/>
      <c r="P397" s="12"/>
      <c r="Q397" s="12"/>
      <c r="R397" s="12"/>
      <c r="S397" s="12"/>
      <c r="T397" s="20">
        <f>T$257/T$72</f>
        <v>0.82015065913370999</v>
      </c>
      <c r="U397" s="20">
        <f t="shared" ref="U397:AK397" si="53">U$257/U$72</f>
        <v>0.82403965303593552</v>
      </c>
      <c r="V397" s="20">
        <f t="shared" si="53"/>
        <v>0.82783661119515883</v>
      </c>
      <c r="W397" s="20">
        <f t="shared" si="53"/>
        <v>0.83131801692865781</v>
      </c>
      <c r="X397" s="20">
        <f t="shared" si="53"/>
        <v>0.83473227206946454</v>
      </c>
      <c r="Y397" s="20">
        <f t="shared" si="53"/>
        <v>0.83777452415812592</v>
      </c>
      <c r="Z397" s="20">
        <f t="shared" si="53"/>
        <v>0.84058841188832178</v>
      </c>
      <c r="AA397" s="20">
        <f t="shared" si="53"/>
        <v>0.84349969192852747</v>
      </c>
      <c r="AB397" s="20">
        <f t="shared" si="53"/>
        <v>0.84605597964376589</v>
      </c>
      <c r="AC397" s="20">
        <f t="shared" si="53"/>
        <v>0.84843492586490943</v>
      </c>
      <c r="AD397" s="20">
        <f t="shared" si="53"/>
        <v>0.850828729281768</v>
      </c>
      <c r="AE397" s="20">
        <f t="shared" si="53"/>
        <v>0.85292207792207797</v>
      </c>
      <c r="AF397" s="20">
        <f t="shared" si="53"/>
        <v>0.85477826358525921</v>
      </c>
      <c r="AG397" s="20">
        <f t="shared" si="53"/>
        <v>0.85640085548426526</v>
      </c>
      <c r="AH397" s="20">
        <f t="shared" si="53"/>
        <v>0.85825126827812592</v>
      </c>
      <c r="AI397" s="20">
        <f t="shared" si="53"/>
        <v>0.85985066053991954</v>
      </c>
      <c r="AJ397" s="20">
        <f t="shared" si="53"/>
        <v>0.86119610570236438</v>
      </c>
      <c r="AK397" s="20">
        <f t="shared" si="53"/>
        <v>0.86267029972752041</v>
      </c>
    </row>
    <row r="398" spans="1:37" x14ac:dyDescent="0.25">
      <c r="A398" s="12">
        <f>$A$73</f>
        <v>58</v>
      </c>
      <c r="M398" s="12"/>
      <c r="N398" s="12"/>
      <c r="O398" s="12"/>
      <c r="P398" s="12"/>
      <c r="Q398" s="12"/>
      <c r="R398" s="12"/>
      <c r="S398" s="12"/>
      <c r="T398" s="20">
        <f>T$258/T$73</f>
        <v>0.80786589297227596</v>
      </c>
      <c r="U398" s="20">
        <f t="shared" ref="U398:AK398" si="54">U$258/U$73</f>
        <v>0.81200880226343919</v>
      </c>
      <c r="V398" s="20">
        <f t="shared" si="54"/>
        <v>0.81575682382133996</v>
      </c>
      <c r="W398" s="20">
        <f t="shared" si="54"/>
        <v>0.8197515904271433</v>
      </c>
      <c r="X398" s="20">
        <f t="shared" si="54"/>
        <v>0.82329803328290474</v>
      </c>
      <c r="Y398" s="20">
        <f t="shared" si="54"/>
        <v>0.82647740440324446</v>
      </c>
      <c r="Z398" s="20">
        <f t="shared" si="54"/>
        <v>0.8297186400937866</v>
      </c>
      <c r="AA398" s="20">
        <f t="shared" si="54"/>
        <v>0.83268248723340343</v>
      </c>
      <c r="AB398" s="20">
        <f t="shared" si="54"/>
        <v>0.83543913713405238</v>
      </c>
      <c r="AC398" s="20">
        <f t="shared" si="54"/>
        <v>0.83805281578110091</v>
      </c>
      <c r="AD398" s="20">
        <f t="shared" si="54"/>
        <v>0.84052718286655681</v>
      </c>
      <c r="AE398" s="20">
        <f t="shared" si="54"/>
        <v>0.84243014944769334</v>
      </c>
      <c r="AF398" s="20">
        <f t="shared" si="54"/>
        <v>0.84485556637455372</v>
      </c>
      <c r="AG398" s="20">
        <f t="shared" si="54"/>
        <v>0.84670621292538251</v>
      </c>
      <c r="AH398" s="20">
        <f t="shared" si="54"/>
        <v>0.8484570730216926</v>
      </c>
      <c r="AI398" s="20">
        <f t="shared" si="54"/>
        <v>0.85049239033124435</v>
      </c>
      <c r="AJ398" s="20">
        <f t="shared" si="54"/>
        <v>0.85209649626651351</v>
      </c>
      <c r="AK398" s="20">
        <f t="shared" si="54"/>
        <v>0.85340751043115437</v>
      </c>
    </row>
    <row r="399" spans="1:37" x14ac:dyDescent="0.25">
      <c r="A399" s="12">
        <f>$A$74</f>
        <v>59</v>
      </c>
      <c r="M399" s="12"/>
      <c r="N399" s="12"/>
      <c r="O399" s="12"/>
      <c r="P399" s="12"/>
      <c r="Q399" s="12"/>
      <c r="R399" s="12"/>
      <c r="S399" s="12"/>
      <c r="T399" s="20">
        <f>T$259/T$74</f>
        <v>0.78826530612244894</v>
      </c>
      <c r="U399" s="20">
        <f t="shared" ref="U399:AK399" si="55">U$259/U$74</f>
        <v>0.79276952872821171</v>
      </c>
      <c r="V399" s="20">
        <f t="shared" si="55"/>
        <v>0.7969782813975449</v>
      </c>
      <c r="W399" s="20">
        <f t="shared" si="55"/>
        <v>0.80099348028562556</v>
      </c>
      <c r="X399" s="20">
        <f t="shared" si="55"/>
        <v>0.80478933010003029</v>
      </c>
      <c r="Y399" s="20">
        <f t="shared" si="55"/>
        <v>0.80835603996366934</v>
      </c>
      <c r="Z399" s="20">
        <f t="shared" si="55"/>
        <v>0.81159420289855078</v>
      </c>
      <c r="AA399" s="20">
        <f t="shared" si="55"/>
        <v>0.81471709176194662</v>
      </c>
      <c r="AB399" s="20">
        <f t="shared" si="55"/>
        <v>0.81760817307692313</v>
      </c>
      <c r="AC399" s="20">
        <f t="shared" si="55"/>
        <v>0.8203389830508474</v>
      </c>
      <c r="AD399" s="20">
        <f t="shared" si="55"/>
        <v>0.82283715012722647</v>
      </c>
      <c r="AE399" s="20">
        <f t="shared" si="55"/>
        <v>0.82542819499341236</v>
      </c>
      <c r="AF399" s="20">
        <f t="shared" si="55"/>
        <v>0.82754140954855471</v>
      </c>
      <c r="AG399" s="20">
        <f t="shared" si="55"/>
        <v>0.82965606748864373</v>
      </c>
      <c r="AH399" s="20">
        <f t="shared" si="55"/>
        <v>0.83177278401997501</v>
      </c>
      <c r="AI399" s="20">
        <f t="shared" si="55"/>
        <v>0.83353695784972515</v>
      </c>
      <c r="AJ399" s="20">
        <f t="shared" si="55"/>
        <v>0.8353221957040573</v>
      </c>
      <c r="AK399" s="20">
        <f t="shared" si="55"/>
        <v>0.83692219351134078</v>
      </c>
    </row>
    <row r="400" spans="1:37" x14ac:dyDescent="0.25">
      <c r="A400" s="12">
        <f>$A$75</f>
        <v>60</v>
      </c>
      <c r="M400" s="12"/>
      <c r="N400" s="12"/>
      <c r="O400" s="12"/>
      <c r="P400" s="12"/>
      <c r="Q400" s="12"/>
      <c r="R400" s="12"/>
      <c r="S400" s="12"/>
      <c r="T400" s="20">
        <f>T$260/T$75</f>
        <v>0.76211180124223599</v>
      </c>
      <c r="U400" s="20">
        <f t="shared" ref="U400:AK400" si="56">U$260/U$75</f>
        <v>0.76677316293929709</v>
      </c>
      <c r="V400" s="20">
        <f t="shared" si="56"/>
        <v>0.77117000646412415</v>
      </c>
      <c r="W400" s="20">
        <f t="shared" si="56"/>
        <v>0.77536231884057971</v>
      </c>
      <c r="X400" s="20">
        <f t="shared" si="56"/>
        <v>0.77936606587942825</v>
      </c>
      <c r="Y400" s="20">
        <f t="shared" si="56"/>
        <v>0.78307038834951459</v>
      </c>
      <c r="Z400" s="20">
        <f t="shared" si="56"/>
        <v>0.78642835504392605</v>
      </c>
      <c r="AA400" s="20">
        <f t="shared" si="56"/>
        <v>0.78973317865429238</v>
      </c>
      <c r="AB400" s="20">
        <f t="shared" si="56"/>
        <v>0.79290114403050749</v>
      </c>
      <c r="AC400" s="20">
        <f t="shared" si="56"/>
        <v>0.79591223324316196</v>
      </c>
      <c r="AD400" s="20">
        <f t="shared" si="56"/>
        <v>0.79870530209617752</v>
      </c>
      <c r="AE400" s="20">
        <f t="shared" si="56"/>
        <v>0.80120865139949105</v>
      </c>
      <c r="AF400" s="20">
        <f t="shared" si="56"/>
        <v>0.80342443200526836</v>
      </c>
      <c r="AG400" s="20">
        <f t="shared" si="56"/>
        <v>0.80578109775901263</v>
      </c>
      <c r="AH400" s="20">
        <f t="shared" si="56"/>
        <v>0.80765488160882259</v>
      </c>
      <c r="AI400" s="20">
        <f t="shared" si="56"/>
        <v>0.80967238689547583</v>
      </c>
      <c r="AJ400" s="20">
        <f t="shared" si="56"/>
        <v>0.81160305343511452</v>
      </c>
      <c r="AK400" s="20">
        <f t="shared" si="56"/>
        <v>0.8130590339892666</v>
      </c>
    </row>
    <row r="401" spans="1:37" x14ac:dyDescent="0.25">
      <c r="A401" s="12">
        <f>$A$76</f>
        <v>61</v>
      </c>
      <c r="M401" s="12"/>
      <c r="N401" s="12"/>
      <c r="O401" s="12"/>
      <c r="P401" s="12"/>
      <c r="Q401" s="12"/>
      <c r="R401" s="12"/>
      <c r="S401" s="12"/>
      <c r="T401" s="20">
        <f>T$261/T$76</f>
        <v>0.73140243902439028</v>
      </c>
      <c r="U401" s="20">
        <f t="shared" ref="U401:AK401" si="57">U$261/U$76</f>
        <v>0.73615432482887366</v>
      </c>
      <c r="V401" s="20">
        <f t="shared" si="57"/>
        <v>0.74088291746641077</v>
      </c>
      <c r="W401" s="20">
        <f t="shared" si="57"/>
        <v>0.74506632157877706</v>
      </c>
      <c r="X401" s="20">
        <f t="shared" si="57"/>
        <v>0.74960580258593501</v>
      </c>
      <c r="Y401" s="20">
        <f t="shared" si="57"/>
        <v>0.75310945273631846</v>
      </c>
      <c r="Z401" s="20">
        <f t="shared" si="57"/>
        <v>0.75713418336369154</v>
      </c>
      <c r="AA401" s="20">
        <f t="shared" si="57"/>
        <v>0.76053349499848444</v>
      </c>
      <c r="AB401" s="20">
        <f t="shared" si="57"/>
        <v>0.76349390597794542</v>
      </c>
      <c r="AC401" s="20">
        <f t="shared" si="57"/>
        <v>0.76672535211267601</v>
      </c>
      <c r="AD401" s="20">
        <f t="shared" si="57"/>
        <v>0.76969332531569457</v>
      </c>
      <c r="AE401" s="20">
        <f t="shared" si="57"/>
        <v>0.77219482120838467</v>
      </c>
      <c r="AF401" s="20">
        <f t="shared" si="57"/>
        <v>0.77480916030534353</v>
      </c>
      <c r="AG401" s="20">
        <f t="shared" si="57"/>
        <v>0.7768268597761685</v>
      </c>
      <c r="AH401" s="20">
        <f t="shared" si="57"/>
        <v>0.77896786757546255</v>
      </c>
      <c r="AI401" s="20">
        <f t="shared" si="57"/>
        <v>0.78087520259319287</v>
      </c>
      <c r="AJ401" s="20">
        <f t="shared" si="57"/>
        <v>0.78290704928259514</v>
      </c>
      <c r="AK401" s="20">
        <f t="shared" si="57"/>
        <v>0.78455904790967346</v>
      </c>
    </row>
    <row r="402" spans="1:37" x14ac:dyDescent="0.25">
      <c r="A402" s="12">
        <f>$A$77</f>
        <v>62</v>
      </c>
      <c r="M402" s="12"/>
      <c r="N402" s="12"/>
      <c r="O402" s="12"/>
      <c r="P402" s="12"/>
      <c r="Q402" s="12"/>
      <c r="R402" s="12"/>
      <c r="S402" s="12"/>
      <c r="T402" s="20">
        <f>T$262/T$77</f>
        <v>0.69522342064714948</v>
      </c>
      <c r="U402" s="20">
        <f t="shared" ref="U402:AK402" si="58">U$262/U$77</f>
        <v>0.70058050717995723</v>
      </c>
      <c r="V402" s="20">
        <f t="shared" si="58"/>
        <v>0.70542394014962595</v>
      </c>
      <c r="W402" s="20">
        <f t="shared" si="58"/>
        <v>0.71012171684817427</v>
      </c>
      <c r="X402" s="20">
        <f t="shared" si="58"/>
        <v>0.71460965338516358</v>
      </c>
      <c r="Y402" s="20">
        <f t="shared" si="58"/>
        <v>0.71875</v>
      </c>
      <c r="Z402" s="20">
        <f t="shared" si="58"/>
        <v>0.7223778400248988</v>
      </c>
      <c r="AA402" s="20">
        <f t="shared" si="58"/>
        <v>0.72622303251291398</v>
      </c>
      <c r="AB402" s="20">
        <f t="shared" si="58"/>
        <v>0.72945101607521989</v>
      </c>
      <c r="AC402" s="20">
        <f t="shared" si="58"/>
        <v>0.73279117049085096</v>
      </c>
      <c r="AD402" s="20">
        <f t="shared" si="58"/>
        <v>0.73576042278332354</v>
      </c>
      <c r="AE402" s="20">
        <f t="shared" si="58"/>
        <v>0.73864661654135333</v>
      </c>
      <c r="AF402" s="20">
        <f t="shared" si="58"/>
        <v>0.74106041923551169</v>
      </c>
      <c r="AG402" s="20">
        <f t="shared" si="58"/>
        <v>0.74363867684478369</v>
      </c>
      <c r="AH402" s="20">
        <f t="shared" si="58"/>
        <v>0.74596906877262259</v>
      </c>
      <c r="AI402" s="20">
        <f t="shared" si="58"/>
        <v>0.74789097988319275</v>
      </c>
      <c r="AJ402" s="20">
        <f t="shared" si="58"/>
        <v>0.74983797796500329</v>
      </c>
      <c r="AK402" s="20">
        <f t="shared" si="58"/>
        <v>0.7517929529154973</v>
      </c>
    </row>
    <row r="403" spans="1:37" x14ac:dyDescent="0.25">
      <c r="A403" s="12">
        <f>$A$78</f>
        <v>63</v>
      </c>
      <c r="M403" s="12"/>
      <c r="N403" s="12"/>
      <c r="O403" s="12"/>
      <c r="P403" s="12"/>
      <c r="Q403" s="12"/>
      <c r="R403" s="12"/>
      <c r="S403" s="12"/>
      <c r="T403" s="20">
        <f>T$263/T$78</f>
        <v>0.6420146636914249</v>
      </c>
      <c r="U403" s="20">
        <f t="shared" ref="U403:AK403" si="59">U$263/U$78</f>
        <v>0.64771322620519156</v>
      </c>
      <c r="V403" s="20">
        <f t="shared" si="59"/>
        <v>0.65298621745788665</v>
      </c>
      <c r="W403" s="20">
        <f t="shared" si="59"/>
        <v>0.65771392879450341</v>
      </c>
      <c r="X403" s="20">
        <f t="shared" si="59"/>
        <v>0.66217516843118385</v>
      </c>
      <c r="Y403" s="20">
        <f t="shared" si="59"/>
        <v>0.66655854686993188</v>
      </c>
      <c r="Z403" s="20">
        <f t="shared" si="59"/>
        <v>0.67067003792667512</v>
      </c>
      <c r="AA403" s="20">
        <f t="shared" si="59"/>
        <v>0.67435338111561238</v>
      </c>
      <c r="AB403" s="20">
        <f t="shared" si="59"/>
        <v>0.67812595071493764</v>
      </c>
      <c r="AC403" s="20">
        <f t="shared" si="59"/>
        <v>0.68144549043425451</v>
      </c>
      <c r="AD403" s="20">
        <f t="shared" si="59"/>
        <v>0.68479209072404768</v>
      </c>
      <c r="AE403" s="20">
        <f t="shared" si="59"/>
        <v>0.68753674309229862</v>
      </c>
      <c r="AF403" s="20">
        <f t="shared" si="59"/>
        <v>0.69003912127595546</v>
      </c>
      <c r="AG403" s="20">
        <f t="shared" si="59"/>
        <v>0.69278223318938925</v>
      </c>
      <c r="AH403" s="20">
        <f t="shared" si="59"/>
        <v>0.69519567292395801</v>
      </c>
      <c r="AI403" s="20">
        <f t="shared" si="59"/>
        <v>0.69749835418038186</v>
      </c>
      <c r="AJ403" s="20">
        <f t="shared" si="59"/>
        <v>0.69944823109380072</v>
      </c>
      <c r="AK403" s="20">
        <f t="shared" si="59"/>
        <v>0.70123136746597536</v>
      </c>
    </row>
    <row r="404" spans="1:37" x14ac:dyDescent="0.25">
      <c r="A404" s="12">
        <f>$A$79</f>
        <v>64</v>
      </c>
      <c r="M404" s="12"/>
      <c r="N404" s="12"/>
      <c r="O404" s="12"/>
      <c r="P404" s="12"/>
      <c r="Q404" s="12"/>
      <c r="R404" s="12"/>
      <c r="S404" s="12"/>
      <c r="T404" s="20">
        <f>T$264/T$79</f>
        <v>0.58644859813084116</v>
      </c>
      <c r="U404" s="20">
        <f t="shared" ref="U404:AK404" si="60">U$264/U$79</f>
        <v>0.59213051823416507</v>
      </c>
      <c r="V404" s="20">
        <f t="shared" si="60"/>
        <v>0.59733415995040295</v>
      </c>
      <c r="W404" s="20">
        <f t="shared" si="60"/>
        <v>0.60257985257985258</v>
      </c>
      <c r="X404" s="20">
        <f t="shared" si="60"/>
        <v>0.60707576706324362</v>
      </c>
      <c r="Y404" s="20">
        <f t="shared" si="60"/>
        <v>0.61177227404310064</v>
      </c>
      <c r="Z404" s="20">
        <f t="shared" si="60"/>
        <v>0.61605981794538367</v>
      </c>
      <c r="AA404" s="20">
        <f t="shared" si="60"/>
        <v>0.6198923028191321</v>
      </c>
      <c r="AB404" s="20">
        <f t="shared" si="60"/>
        <v>0.62367270455965018</v>
      </c>
      <c r="AC404" s="20">
        <f t="shared" si="60"/>
        <v>0.62724779030783295</v>
      </c>
      <c r="AD404" s="20">
        <f t="shared" si="60"/>
        <v>0.63066626102829326</v>
      </c>
      <c r="AE404" s="20">
        <f t="shared" si="60"/>
        <v>0.63355665598601807</v>
      </c>
      <c r="AF404" s="20">
        <f t="shared" si="60"/>
        <v>0.63644392110685899</v>
      </c>
      <c r="AG404" s="20">
        <f t="shared" si="60"/>
        <v>0.63893911995177821</v>
      </c>
      <c r="AH404" s="20">
        <f t="shared" si="60"/>
        <v>0.64144533662754788</v>
      </c>
      <c r="AI404" s="20">
        <f t="shared" si="60"/>
        <v>0.64394904458598723</v>
      </c>
      <c r="AJ404" s="20">
        <f t="shared" si="60"/>
        <v>0.64591567852437415</v>
      </c>
      <c r="AK404" s="20">
        <f t="shared" si="60"/>
        <v>0.64793764209158822</v>
      </c>
    </row>
    <row r="405" spans="1:37" x14ac:dyDescent="0.25">
      <c r="A405" s="12">
        <f>$A$80</f>
        <v>65</v>
      </c>
      <c r="M405" s="12"/>
      <c r="N405" s="12"/>
      <c r="O405" s="12"/>
      <c r="P405" s="12"/>
      <c r="Q405" s="12"/>
      <c r="R405" s="12"/>
      <c r="S405" s="12"/>
      <c r="T405" s="20">
        <f>T$265/T$80</f>
        <v>0.52803261977573901</v>
      </c>
      <c r="U405" s="20">
        <f t="shared" ref="U405:AK405" si="61">U$265/U$80</f>
        <v>0.53384718498659522</v>
      </c>
      <c r="V405" s="20">
        <f t="shared" si="61"/>
        <v>0.53917790622992934</v>
      </c>
      <c r="W405" s="20">
        <f t="shared" si="61"/>
        <v>0.54449284380833851</v>
      </c>
      <c r="X405" s="20">
        <f t="shared" si="61"/>
        <v>0.54932182490752157</v>
      </c>
      <c r="Y405" s="20">
        <f t="shared" si="61"/>
        <v>0.55387998743323907</v>
      </c>
      <c r="Z405" s="20">
        <f t="shared" si="61"/>
        <v>0.5580645161290323</v>
      </c>
      <c r="AA405" s="20">
        <f t="shared" si="61"/>
        <v>0.56225554106910036</v>
      </c>
      <c r="AB405" s="20">
        <f t="shared" si="61"/>
        <v>0.56589393458240711</v>
      </c>
      <c r="AC405" s="20">
        <f t="shared" si="61"/>
        <v>0.56950532247964936</v>
      </c>
      <c r="AD405" s="20">
        <f t="shared" si="61"/>
        <v>0.57286892758936758</v>
      </c>
      <c r="AE405" s="20">
        <f t="shared" si="61"/>
        <v>0.57609027142421465</v>
      </c>
      <c r="AF405" s="20">
        <f t="shared" si="61"/>
        <v>0.57897810218978107</v>
      </c>
      <c r="AG405" s="20">
        <f t="shared" si="61"/>
        <v>0.58158748893478907</v>
      </c>
      <c r="AH405" s="20">
        <f t="shared" si="61"/>
        <v>0.58411356085774691</v>
      </c>
      <c r="AI405" s="20">
        <f t="shared" si="61"/>
        <v>0.58632425742574257</v>
      </c>
      <c r="AJ405" s="20">
        <f t="shared" si="61"/>
        <v>0.58851674641148322</v>
      </c>
      <c r="AK405" s="20">
        <f t="shared" si="61"/>
        <v>0.59056417024084462</v>
      </c>
    </row>
    <row r="406" spans="1:37" x14ac:dyDescent="0.25">
      <c r="A406" s="12">
        <f>$A$81</f>
        <v>66</v>
      </c>
      <c r="M406" s="12"/>
      <c r="N406" s="12"/>
      <c r="O406" s="12"/>
      <c r="P406" s="12"/>
      <c r="Q406" s="12"/>
      <c r="R406" s="12"/>
      <c r="S406" s="12"/>
      <c r="T406" s="20">
        <f>T$266/T$81</f>
        <v>0.46560846560846558</v>
      </c>
      <c r="U406" s="20">
        <f t="shared" ref="U406:AK406" si="62">U$266/U$81</f>
        <v>0.47131147540983609</v>
      </c>
      <c r="V406" s="20">
        <f t="shared" si="62"/>
        <v>0.47643097643097643</v>
      </c>
      <c r="W406" s="20">
        <f t="shared" si="62"/>
        <v>0.48161290322580647</v>
      </c>
      <c r="X406" s="20">
        <f t="shared" si="62"/>
        <v>0.48656250000000001</v>
      </c>
      <c r="Y406" s="20">
        <f t="shared" si="62"/>
        <v>0.49086969978334882</v>
      </c>
      <c r="Z406" s="20">
        <f t="shared" si="62"/>
        <v>0.49511195206559444</v>
      </c>
      <c r="AA406" s="20">
        <f t="shared" si="62"/>
        <v>0.49886694723211394</v>
      </c>
      <c r="AB406" s="20">
        <f t="shared" si="62"/>
        <v>0.50278050376185801</v>
      </c>
      <c r="AC406" s="20">
        <f t="shared" si="62"/>
        <v>0.50637348629700452</v>
      </c>
      <c r="AD406" s="20">
        <f t="shared" si="62"/>
        <v>0.50942211055276387</v>
      </c>
      <c r="AE406" s="20">
        <f t="shared" si="62"/>
        <v>0.5124118908979467</v>
      </c>
      <c r="AF406" s="20">
        <f t="shared" si="62"/>
        <v>0.5154481492811257</v>
      </c>
      <c r="AG406" s="20">
        <f t="shared" si="62"/>
        <v>0.51800878477306</v>
      </c>
      <c r="AH406" s="20">
        <f t="shared" si="62"/>
        <v>0.52041420118343196</v>
      </c>
      <c r="AI406" s="20">
        <f t="shared" si="62"/>
        <v>0.52271350696547547</v>
      </c>
      <c r="AJ406" s="20">
        <f t="shared" si="62"/>
        <v>0.52481389578163773</v>
      </c>
      <c r="AK406" s="20">
        <f t="shared" si="62"/>
        <v>0.52702270546850016</v>
      </c>
    </row>
    <row r="407" spans="1:37" x14ac:dyDescent="0.25">
      <c r="A407" s="12">
        <f>$A$82</f>
        <v>67</v>
      </c>
      <c r="M407" s="12"/>
      <c r="N407" s="12"/>
      <c r="O407" s="12"/>
      <c r="P407" s="12"/>
      <c r="Q407" s="12"/>
      <c r="R407" s="12"/>
      <c r="S407" s="12"/>
      <c r="T407" s="20">
        <f>T$267/T$82</f>
        <v>0.4139941690962099</v>
      </c>
      <c r="U407" s="20">
        <f t="shared" ref="U407:AK407" si="63">U$267/U$82</f>
        <v>0.41944641589779985</v>
      </c>
      <c r="V407" s="20">
        <f t="shared" si="63"/>
        <v>0.42479395604395603</v>
      </c>
      <c r="W407" s="20">
        <f t="shared" si="63"/>
        <v>0.42958700067704808</v>
      </c>
      <c r="X407" s="20">
        <f t="shared" si="63"/>
        <v>0.43417639429312582</v>
      </c>
      <c r="Y407" s="20">
        <f t="shared" si="63"/>
        <v>0.43844221105527637</v>
      </c>
      <c r="Z407" s="20">
        <f t="shared" si="63"/>
        <v>0.44247512437810943</v>
      </c>
      <c r="AA407" s="20">
        <f t="shared" si="63"/>
        <v>0.44645120405576677</v>
      </c>
      <c r="AB407" s="20">
        <f t="shared" si="63"/>
        <v>0.45008130081300812</v>
      </c>
      <c r="AC407" s="20">
        <f t="shared" si="63"/>
        <v>0.45335085413929038</v>
      </c>
      <c r="AD407" s="20">
        <f t="shared" si="63"/>
        <v>0.45663999999999999</v>
      </c>
      <c r="AE407" s="20">
        <f t="shared" si="63"/>
        <v>0.45947650583412175</v>
      </c>
      <c r="AF407" s="20">
        <f t="shared" si="63"/>
        <v>0.46215384615384614</v>
      </c>
      <c r="AG407" s="20">
        <f t="shared" si="63"/>
        <v>0.46484494933988335</v>
      </c>
      <c r="AH407" s="20">
        <f t="shared" si="63"/>
        <v>0.46737213403880068</v>
      </c>
      <c r="AI407" s="20">
        <f t="shared" si="63"/>
        <v>0.46941805225653205</v>
      </c>
      <c r="AJ407" s="20">
        <f t="shared" si="63"/>
        <v>0.47158918261926464</v>
      </c>
      <c r="AK407" s="20">
        <f t="shared" si="63"/>
        <v>0.4733893557422969</v>
      </c>
    </row>
    <row r="408" spans="1:37" x14ac:dyDescent="0.25">
      <c r="A408" s="12">
        <f>$A$83</f>
        <v>68</v>
      </c>
      <c r="M408" s="12"/>
      <c r="N408" s="12"/>
      <c r="O408" s="12"/>
      <c r="P408" s="12"/>
      <c r="Q408" s="12"/>
      <c r="R408" s="12"/>
      <c r="S408" s="12"/>
      <c r="T408" s="20">
        <f>T$268/T$83</f>
        <v>0.36527621195039461</v>
      </c>
      <c r="U408" s="20">
        <f t="shared" ref="U408:AK408" si="64">U$268/U$83</f>
        <v>0.37064220183486241</v>
      </c>
      <c r="V408" s="20">
        <f t="shared" si="64"/>
        <v>0.37535714285714283</v>
      </c>
      <c r="W408" s="20">
        <f t="shared" si="64"/>
        <v>0.38022813688212925</v>
      </c>
      <c r="X408" s="20">
        <f t="shared" si="64"/>
        <v>0.38453678474114439</v>
      </c>
      <c r="Y408" s="20">
        <f t="shared" si="64"/>
        <v>0.38858075040783036</v>
      </c>
      <c r="Z408" s="20">
        <f t="shared" si="64"/>
        <v>0.39229311433986103</v>
      </c>
      <c r="AA408" s="20">
        <f t="shared" si="64"/>
        <v>0.39599624648107601</v>
      </c>
      <c r="AB408" s="20">
        <f t="shared" si="64"/>
        <v>0.39949028352978655</v>
      </c>
      <c r="AC408" s="20">
        <f t="shared" si="64"/>
        <v>0.40274599542334094</v>
      </c>
      <c r="AD408" s="20">
        <f t="shared" si="64"/>
        <v>0.40574447012215253</v>
      </c>
      <c r="AE408" s="20">
        <f t="shared" si="64"/>
        <v>0.40836012861736337</v>
      </c>
      <c r="AF408" s="20">
        <f t="shared" si="64"/>
        <v>0.41096324461343475</v>
      </c>
      <c r="AG408" s="20">
        <f t="shared" si="64"/>
        <v>0.4132921174652241</v>
      </c>
      <c r="AH408" s="20">
        <f t="shared" si="64"/>
        <v>0.41579272054287475</v>
      </c>
      <c r="AI408" s="20">
        <f t="shared" si="64"/>
        <v>0.41777384115736638</v>
      </c>
      <c r="AJ408" s="20">
        <f t="shared" si="64"/>
        <v>0.41992245750074558</v>
      </c>
      <c r="AK408" s="20">
        <f t="shared" si="64"/>
        <v>0.42172718950259386</v>
      </c>
    </row>
    <row r="409" spans="1:37" x14ac:dyDescent="0.25">
      <c r="A409" s="12">
        <f>$A$84</f>
        <v>69</v>
      </c>
      <c r="M409" s="12"/>
      <c r="N409" s="12"/>
      <c r="O409" s="12"/>
      <c r="P409" s="12"/>
      <c r="Q409" s="12"/>
      <c r="R409" s="12"/>
      <c r="S409" s="12"/>
      <c r="T409" s="20">
        <f>T$269/T$84</f>
        <v>0.31924882629107981</v>
      </c>
      <c r="U409" s="20">
        <f t="shared" ref="U409:AK409" si="65">U$269/U$84</f>
        <v>0.32386363636363635</v>
      </c>
      <c r="V409" s="20">
        <f t="shared" si="65"/>
        <v>0.32840236686390534</v>
      </c>
      <c r="W409" s="20">
        <f t="shared" si="65"/>
        <v>0.33285354444044618</v>
      </c>
      <c r="X409" s="20">
        <f t="shared" si="65"/>
        <v>0.33669916434540392</v>
      </c>
      <c r="Y409" s="20">
        <f t="shared" si="65"/>
        <v>0.34053497942386829</v>
      </c>
      <c r="Z409" s="20">
        <f t="shared" si="65"/>
        <v>0.34417077175697863</v>
      </c>
      <c r="AA409" s="20">
        <f t="shared" si="65"/>
        <v>0.34753577106518285</v>
      </c>
      <c r="AB409" s="20">
        <f t="shared" si="65"/>
        <v>0.35064526282656594</v>
      </c>
      <c r="AC409" s="20">
        <f t="shared" si="65"/>
        <v>0.35352564102564105</v>
      </c>
      <c r="AD409" s="20">
        <f t="shared" si="65"/>
        <v>0.35613285103584347</v>
      </c>
      <c r="AE409" s="20">
        <f t="shared" si="65"/>
        <v>0.35901693789438727</v>
      </c>
      <c r="AF409" s="20">
        <f t="shared" si="65"/>
        <v>0.36125485122897799</v>
      </c>
      <c r="AG409" s="20">
        <f t="shared" si="65"/>
        <v>0.3634915578209621</v>
      </c>
      <c r="AH409" s="20">
        <f t="shared" si="65"/>
        <v>0.36555797326701894</v>
      </c>
      <c r="AI409" s="20">
        <f t="shared" si="65"/>
        <v>0.36732796032238063</v>
      </c>
      <c r="AJ409" s="20">
        <f t="shared" si="65"/>
        <v>0.36913946587537094</v>
      </c>
      <c r="AK409" s="20">
        <f t="shared" si="65"/>
        <v>0.37099190890020978</v>
      </c>
    </row>
    <row r="410" spans="1:37" x14ac:dyDescent="0.25">
      <c r="A410" s="12">
        <f>$A$85</f>
        <v>70</v>
      </c>
      <c r="M410" s="12"/>
      <c r="N410" s="12"/>
      <c r="O410" s="12"/>
      <c r="P410" s="12"/>
      <c r="Q410" s="12"/>
      <c r="R410" s="12"/>
      <c r="S410" s="12"/>
      <c r="T410" s="20">
        <f>T$270/T$85</f>
        <v>0.27541514783313081</v>
      </c>
      <c r="U410" s="20">
        <f t="shared" ref="U410:AK410" si="66">U$270/U$85</f>
        <v>0.27979479084451458</v>
      </c>
      <c r="V410" s="20">
        <f t="shared" si="66"/>
        <v>0.28380443086325441</v>
      </c>
      <c r="W410" s="20">
        <f t="shared" si="66"/>
        <v>0.28747203579418346</v>
      </c>
      <c r="X410" s="20">
        <f t="shared" si="66"/>
        <v>0.29125861443598111</v>
      </c>
      <c r="Y410" s="20">
        <f t="shared" si="66"/>
        <v>0.29463346194317785</v>
      </c>
      <c r="Z410" s="20">
        <f t="shared" si="66"/>
        <v>0.2978576364892882</v>
      </c>
      <c r="AA410" s="20">
        <f t="shared" si="66"/>
        <v>0.300694674164737</v>
      </c>
      <c r="AB410" s="20">
        <f t="shared" si="66"/>
        <v>0.30355427473583091</v>
      </c>
      <c r="AC410" s="20">
        <f t="shared" si="66"/>
        <v>0.30649762282091919</v>
      </c>
      <c r="AD410" s="20">
        <f t="shared" si="66"/>
        <v>0.30880929332042595</v>
      </c>
      <c r="AE410" s="20">
        <f t="shared" si="66"/>
        <v>0.31115524660708377</v>
      </c>
      <c r="AF410" s="20">
        <f t="shared" si="66"/>
        <v>0.31316844919786097</v>
      </c>
      <c r="AG410" s="20">
        <f t="shared" si="66"/>
        <v>0.31532704197852263</v>
      </c>
      <c r="AH410" s="20">
        <f t="shared" si="66"/>
        <v>0.31698717948717947</v>
      </c>
      <c r="AI410" s="20">
        <f t="shared" si="66"/>
        <v>0.31894934333958724</v>
      </c>
      <c r="AJ410" s="20">
        <f t="shared" si="66"/>
        <v>0.32054879950109139</v>
      </c>
      <c r="AK410" s="20">
        <f t="shared" si="66"/>
        <v>0.3219934347955834</v>
      </c>
    </row>
    <row r="411" spans="1:37" x14ac:dyDescent="0.25">
      <c r="A411" s="12">
        <f>$A$86</f>
        <v>71</v>
      </c>
      <c r="M411" s="12"/>
      <c r="N411" s="12"/>
      <c r="O411" s="12"/>
      <c r="P411" s="12"/>
      <c r="Q411" s="12"/>
      <c r="R411" s="12"/>
      <c r="S411" s="12"/>
      <c r="T411" s="20">
        <f>T$271/T$86</f>
        <v>0.23491928632115547</v>
      </c>
      <c r="U411" s="20">
        <f t="shared" ref="U411:AK411" si="67">U$271/U$86</f>
        <v>0.23895253682487724</v>
      </c>
      <c r="V411" s="20">
        <f t="shared" si="67"/>
        <v>0.24272618573136709</v>
      </c>
      <c r="W411" s="20">
        <f t="shared" si="67"/>
        <v>0.24604704974932512</v>
      </c>
      <c r="X411" s="20">
        <f t="shared" si="67"/>
        <v>0.24905944319036868</v>
      </c>
      <c r="Y411" s="20">
        <f t="shared" si="67"/>
        <v>0.25210391511159896</v>
      </c>
      <c r="Z411" s="20">
        <f t="shared" si="67"/>
        <v>0.25513092710544938</v>
      </c>
      <c r="AA411" s="20">
        <f t="shared" si="67"/>
        <v>0.25783972125435539</v>
      </c>
      <c r="AB411" s="20">
        <f t="shared" si="67"/>
        <v>0.26017344896597733</v>
      </c>
      <c r="AC411" s="20">
        <f t="shared" si="67"/>
        <v>0.26275016139444801</v>
      </c>
      <c r="AD411" s="20">
        <f t="shared" si="67"/>
        <v>0.26477163845416801</v>
      </c>
      <c r="AE411" s="20">
        <f t="shared" si="67"/>
        <v>0.26699186991869917</v>
      </c>
      <c r="AF411" s="20">
        <f t="shared" si="67"/>
        <v>0.26875625208402804</v>
      </c>
      <c r="AG411" s="20">
        <f t="shared" si="67"/>
        <v>0.27061595422416695</v>
      </c>
      <c r="AH411" s="20">
        <f t="shared" si="67"/>
        <v>0.27228047182175624</v>
      </c>
      <c r="AI411" s="20">
        <f t="shared" si="67"/>
        <v>0.27372498386055522</v>
      </c>
      <c r="AJ411" s="20">
        <f t="shared" si="67"/>
        <v>0.2751022977651873</v>
      </c>
      <c r="AK411" s="20">
        <f t="shared" si="67"/>
        <v>0.27652228499686127</v>
      </c>
    </row>
    <row r="412" spans="1:37" x14ac:dyDescent="0.25">
      <c r="A412" s="12">
        <f>$A$87</f>
        <v>72</v>
      </c>
      <c r="M412" s="12"/>
      <c r="N412" s="12"/>
      <c r="O412" s="12"/>
      <c r="P412" s="12"/>
      <c r="Q412" s="12"/>
      <c r="R412" s="12"/>
      <c r="S412" s="12"/>
      <c r="T412" s="20">
        <f>T$272/T$87</f>
        <v>0.19772029811486191</v>
      </c>
      <c r="U412" s="20">
        <f t="shared" ref="U412:AK412" si="68">U$272/U$87</f>
        <v>0.2011173184357542</v>
      </c>
      <c r="V412" s="20">
        <f t="shared" si="68"/>
        <v>0.20430107526881722</v>
      </c>
      <c r="W412" s="20">
        <f t="shared" si="68"/>
        <v>0.20700765203383004</v>
      </c>
      <c r="X412" s="20">
        <f t="shared" si="68"/>
        <v>0.21005455962587685</v>
      </c>
      <c r="Y412" s="20">
        <f t="shared" si="68"/>
        <v>0.21284682630178639</v>
      </c>
      <c r="Z412" s="20">
        <f t="shared" si="68"/>
        <v>0.21507760532150777</v>
      </c>
      <c r="AA412" s="20">
        <f t="shared" si="68"/>
        <v>0.21757770632368703</v>
      </c>
      <c r="AB412" s="20">
        <f t="shared" si="68"/>
        <v>0.21983819908547308</v>
      </c>
      <c r="AC412" s="20">
        <f t="shared" si="68"/>
        <v>0.22181083810164928</v>
      </c>
      <c r="AD412" s="20">
        <f t="shared" si="68"/>
        <v>0.2237785016286645</v>
      </c>
      <c r="AE412" s="20">
        <f t="shared" si="68"/>
        <v>0.22558814050918466</v>
      </c>
      <c r="AF412" s="20">
        <f t="shared" si="68"/>
        <v>0.22728763529025911</v>
      </c>
      <c r="AG412" s="20">
        <f t="shared" si="68"/>
        <v>0.22898453261600538</v>
      </c>
      <c r="AH412" s="20">
        <f t="shared" si="68"/>
        <v>0.23040380047505937</v>
      </c>
      <c r="AI412" s="20">
        <f t="shared" si="68"/>
        <v>0.23150594451783355</v>
      </c>
      <c r="AJ412" s="20">
        <f t="shared" si="68"/>
        <v>0.23292127521145087</v>
      </c>
      <c r="AK412" s="20">
        <f t="shared" si="68"/>
        <v>0.2340627973358706</v>
      </c>
    </row>
    <row r="413" spans="1:37" x14ac:dyDescent="0.25">
      <c r="A413" s="12">
        <f>$A$88</f>
        <v>73</v>
      </c>
      <c r="M413" s="12"/>
      <c r="N413" s="12"/>
      <c r="O413" s="12"/>
      <c r="P413" s="12"/>
      <c r="Q413" s="12"/>
      <c r="R413" s="12"/>
      <c r="S413" s="12"/>
      <c r="T413" s="20">
        <f>T$273/T$88</f>
        <v>0.16307833256985799</v>
      </c>
      <c r="U413" s="20">
        <f t="shared" ref="U413:AK413" si="69">U$273/U$88</f>
        <v>0.1660746003552398</v>
      </c>
      <c r="V413" s="20">
        <f t="shared" si="69"/>
        <v>0.16876903001304916</v>
      </c>
      <c r="W413" s="20">
        <f t="shared" si="69"/>
        <v>0.17161992465466722</v>
      </c>
      <c r="X413" s="20">
        <f t="shared" si="69"/>
        <v>0.17400162999185004</v>
      </c>
      <c r="Y413" s="20">
        <f t="shared" si="69"/>
        <v>0.17619235317303902</v>
      </c>
      <c r="Z413" s="20">
        <f t="shared" si="69"/>
        <v>0.17832436587240585</v>
      </c>
      <c r="AA413" s="20">
        <f t="shared" si="69"/>
        <v>0.18042584983190138</v>
      </c>
      <c r="AB413" s="20">
        <f t="shared" si="69"/>
        <v>0.18231046931407943</v>
      </c>
      <c r="AC413" s="20">
        <f t="shared" si="69"/>
        <v>0.18407960199004975</v>
      </c>
      <c r="AD413" s="20">
        <f t="shared" si="69"/>
        <v>0.18599115946956818</v>
      </c>
      <c r="AE413" s="20">
        <f t="shared" si="69"/>
        <v>0.1875</v>
      </c>
      <c r="AF413" s="20">
        <f t="shared" si="69"/>
        <v>0.18900455432661029</v>
      </c>
      <c r="AG413" s="20">
        <f t="shared" si="69"/>
        <v>0.19033432638199271</v>
      </c>
      <c r="AH413" s="20">
        <f t="shared" si="69"/>
        <v>0.19172039362063115</v>
      </c>
      <c r="AI413" s="20">
        <f t="shared" si="69"/>
        <v>0.19280821917808219</v>
      </c>
      <c r="AJ413" s="20">
        <f t="shared" si="69"/>
        <v>0.1939353548817061</v>
      </c>
      <c r="AK413" s="20">
        <f t="shared" si="69"/>
        <v>0.19488188976377951</v>
      </c>
    </row>
    <row r="414" spans="1:37" x14ac:dyDescent="0.25">
      <c r="A414" s="12">
        <f>$A$89</f>
        <v>74</v>
      </c>
      <c r="M414" s="12"/>
      <c r="N414" s="12"/>
      <c r="O414" s="12"/>
      <c r="P414" s="12"/>
      <c r="Q414" s="12"/>
      <c r="R414" s="12"/>
      <c r="S414" s="12"/>
      <c r="T414" s="20">
        <f>T$274/T$89</f>
        <v>0.13446535107847638</v>
      </c>
      <c r="U414" s="20">
        <f t="shared" ref="U414:AK414" si="70">U$274/U$89</f>
        <v>0.13708178438661711</v>
      </c>
      <c r="V414" s="20">
        <f t="shared" si="70"/>
        <v>0.1395767672219721</v>
      </c>
      <c r="W414" s="20">
        <f t="shared" si="70"/>
        <v>0.1419753086419753</v>
      </c>
      <c r="X414" s="20">
        <f t="shared" si="70"/>
        <v>0.14382689859991515</v>
      </c>
      <c r="Y414" s="20">
        <f t="shared" si="70"/>
        <v>0.1460998761865456</v>
      </c>
      <c r="Z414" s="20">
        <f t="shared" si="70"/>
        <v>0.14804469273743018</v>
      </c>
      <c r="AA414" s="20">
        <f t="shared" si="70"/>
        <v>0.14980544747081712</v>
      </c>
      <c r="AB414" s="20">
        <f t="shared" si="70"/>
        <v>0.15160680529300566</v>
      </c>
      <c r="AC414" s="20">
        <f t="shared" si="70"/>
        <v>0.15308732188527585</v>
      </c>
      <c r="AD414" s="20">
        <f t="shared" si="70"/>
        <v>0.15462064005753326</v>
      </c>
      <c r="AE414" s="20">
        <f t="shared" si="70"/>
        <v>0.15577716643741404</v>
      </c>
      <c r="AF414" s="20">
        <f t="shared" si="70"/>
        <v>0.15729963418689724</v>
      </c>
      <c r="AG414" s="20">
        <f t="shared" si="70"/>
        <v>0.15850049325879645</v>
      </c>
      <c r="AH414" s="20">
        <f t="shared" si="70"/>
        <v>0.1595851455336233</v>
      </c>
      <c r="AI414" s="20">
        <f t="shared" si="70"/>
        <v>0.16043880699348645</v>
      </c>
      <c r="AJ414" s="20">
        <f t="shared" si="70"/>
        <v>0.16153580076098237</v>
      </c>
      <c r="AK414" s="20">
        <f t="shared" si="70"/>
        <v>0.16251682368775236</v>
      </c>
    </row>
    <row r="415" spans="1:37" x14ac:dyDescent="0.25">
      <c r="A415" s="12">
        <f>$A$90</f>
        <v>75</v>
      </c>
      <c r="M415" s="12"/>
      <c r="N415" s="12"/>
      <c r="O415" s="12"/>
      <c r="P415" s="12"/>
      <c r="Q415" s="12"/>
      <c r="R415" s="12"/>
      <c r="S415" s="12"/>
      <c r="T415" s="20">
        <f>T$275/T$90</f>
        <v>0.1118133203694701</v>
      </c>
      <c r="U415" s="20">
        <f t="shared" ref="U415:AK415" si="71">U$275/U$90</f>
        <v>0.1142723880597015</v>
      </c>
      <c r="V415" s="20">
        <f t="shared" si="71"/>
        <v>0.11661945231350331</v>
      </c>
      <c r="W415" s="20">
        <f t="shared" si="71"/>
        <v>0.11842706904435299</v>
      </c>
      <c r="X415" s="20">
        <f t="shared" si="71"/>
        <v>0.12041181736794987</v>
      </c>
      <c r="Y415" s="20">
        <f t="shared" si="71"/>
        <v>0.12225570383125269</v>
      </c>
      <c r="Z415" s="20">
        <f t="shared" si="71"/>
        <v>0.12395309882747069</v>
      </c>
      <c r="AA415" s="20">
        <f t="shared" si="71"/>
        <v>0.12545528126264671</v>
      </c>
      <c r="AB415" s="20">
        <f t="shared" si="71"/>
        <v>0.12702169625246548</v>
      </c>
      <c r="AC415" s="20">
        <f t="shared" si="71"/>
        <v>0.12835249042145594</v>
      </c>
      <c r="AD415" s="20">
        <f t="shared" si="71"/>
        <v>0.12990377498149519</v>
      </c>
      <c r="AE415" s="20">
        <f t="shared" si="71"/>
        <v>0.13109978150036417</v>
      </c>
      <c r="AF415" s="20">
        <f t="shared" si="71"/>
        <v>0.13231197771587744</v>
      </c>
      <c r="AG415" s="20">
        <f t="shared" si="71"/>
        <v>0.13333333333333333</v>
      </c>
      <c r="AH415" s="20">
        <f t="shared" si="71"/>
        <v>0.13410981697171381</v>
      </c>
      <c r="AI415" s="20">
        <f t="shared" si="71"/>
        <v>0.13536379018612521</v>
      </c>
      <c r="AJ415" s="20">
        <f t="shared" si="71"/>
        <v>0.13592233009708737</v>
      </c>
      <c r="AK415" s="20">
        <f t="shared" si="71"/>
        <v>0.13676110528156699</v>
      </c>
    </row>
    <row r="416" spans="1:37" x14ac:dyDescent="0.25">
      <c r="A416" s="12">
        <f>$A$91</f>
        <v>76</v>
      </c>
      <c r="M416" s="12"/>
      <c r="N416" s="12"/>
      <c r="O416" s="12"/>
      <c r="P416" s="12"/>
      <c r="Q416" s="12"/>
      <c r="R416" s="12"/>
      <c r="S416" s="12"/>
      <c r="T416" s="20">
        <f>T$276/T$91</f>
        <v>9.4403892944038933E-2</v>
      </c>
      <c r="U416" s="20">
        <f t="shared" ref="U416:AK416" si="72">U$276/U$91</f>
        <v>9.6534653465346537E-2</v>
      </c>
      <c r="V416" s="20">
        <f t="shared" si="72"/>
        <v>9.8290598290598288E-2</v>
      </c>
      <c r="W416" s="20">
        <f t="shared" si="72"/>
        <v>0.10038424591738712</v>
      </c>
      <c r="X416" s="20">
        <f t="shared" si="72"/>
        <v>0.10186046511627907</v>
      </c>
      <c r="Y416" s="20">
        <f t="shared" si="72"/>
        <v>0.10377787892580792</v>
      </c>
      <c r="Z416" s="20">
        <f t="shared" si="72"/>
        <v>0.10498687664041995</v>
      </c>
      <c r="AA416" s="20">
        <f t="shared" si="72"/>
        <v>0.10676307954062102</v>
      </c>
      <c r="AB416" s="20">
        <f t="shared" si="72"/>
        <v>0.10809699958898479</v>
      </c>
      <c r="AC416" s="20">
        <f t="shared" si="72"/>
        <v>0.10933119743692431</v>
      </c>
      <c r="AD416" s="20">
        <f t="shared" si="72"/>
        <v>0.1104199066874028</v>
      </c>
      <c r="AE416" s="20">
        <f t="shared" si="72"/>
        <v>0.11152835148328952</v>
      </c>
      <c r="AF416" s="20">
        <f t="shared" si="72"/>
        <v>0.11262924667651403</v>
      </c>
      <c r="AG416" s="20">
        <f t="shared" si="72"/>
        <v>0.11370056497175141</v>
      </c>
      <c r="AH416" s="20">
        <f t="shared" si="72"/>
        <v>0.11433447098976109</v>
      </c>
      <c r="AI416" s="20">
        <f t="shared" si="72"/>
        <v>0.11534569983136593</v>
      </c>
      <c r="AJ416" s="20">
        <f t="shared" si="72"/>
        <v>0.11591220850480109</v>
      </c>
      <c r="AK416" s="20">
        <f t="shared" si="72"/>
        <v>0.11661397962767826</v>
      </c>
    </row>
    <row r="417" spans="1:37" x14ac:dyDescent="0.25">
      <c r="A417" s="12">
        <f>$A$92</f>
        <v>77</v>
      </c>
      <c r="M417" s="12"/>
      <c r="N417" s="12"/>
      <c r="O417" s="12"/>
      <c r="P417" s="12"/>
      <c r="Q417" s="12"/>
      <c r="R417" s="12"/>
      <c r="S417" s="12"/>
      <c r="T417" s="20">
        <f>T$277/T$92</f>
        <v>8.1470442126179834E-2</v>
      </c>
      <c r="U417" s="20">
        <f t="shared" ref="U417:AK417" si="73">U$277/U$92</f>
        <v>8.3457526080476907E-2</v>
      </c>
      <c r="V417" s="20">
        <f t="shared" si="73"/>
        <v>8.5353535353535348E-2</v>
      </c>
      <c r="W417" s="20">
        <f t="shared" si="73"/>
        <v>8.7167070217917669E-2</v>
      </c>
      <c r="X417" s="20">
        <f t="shared" si="73"/>
        <v>8.8638589618021554E-2</v>
      </c>
      <c r="Y417" s="20">
        <f t="shared" si="73"/>
        <v>9.004739336492891E-2</v>
      </c>
      <c r="Z417" s="20">
        <f t="shared" si="73"/>
        <v>9.1288229842446708E-2</v>
      </c>
      <c r="AA417" s="20">
        <f t="shared" si="73"/>
        <v>9.2650334075723831E-2</v>
      </c>
      <c r="AB417" s="20">
        <f t="shared" si="73"/>
        <v>9.3939393939393934E-2</v>
      </c>
      <c r="AC417" s="20">
        <f t="shared" si="73"/>
        <v>9.5317725752508367E-2</v>
      </c>
      <c r="AD417" s="20">
        <f t="shared" si="73"/>
        <v>9.6498371335504887E-2</v>
      </c>
      <c r="AE417" s="20">
        <f t="shared" si="73"/>
        <v>9.7233201581027662E-2</v>
      </c>
      <c r="AF417" s="20">
        <f t="shared" si="73"/>
        <v>9.8473282442748097E-2</v>
      </c>
      <c r="AG417" s="20">
        <f t="shared" si="73"/>
        <v>9.9437148217636023E-2</v>
      </c>
      <c r="AH417" s="20">
        <f t="shared" si="73"/>
        <v>0.10003585514521333</v>
      </c>
      <c r="AI417" s="20">
        <f t="shared" si="73"/>
        <v>0.10083160083160084</v>
      </c>
      <c r="AJ417" s="20">
        <f t="shared" si="73"/>
        <v>0.10167750770284149</v>
      </c>
      <c r="AK417" s="20">
        <f t="shared" si="73"/>
        <v>0.1022964509394572</v>
      </c>
    </row>
    <row r="418" spans="1:37" x14ac:dyDescent="0.25">
      <c r="A418" s="12">
        <f>$A$93</f>
        <v>78</v>
      </c>
      <c r="M418" s="12"/>
      <c r="N418" s="12"/>
      <c r="O418" s="12"/>
      <c r="P418" s="12"/>
      <c r="Q418" s="12"/>
      <c r="R418" s="12"/>
      <c r="S418" s="12"/>
      <c r="T418" s="20">
        <f>T$278/T$93</f>
        <v>7.1385359951603139E-2</v>
      </c>
      <c r="U418" s="20">
        <f t="shared" ref="U418:AK418" si="74">U$278/U$93</f>
        <v>7.2736520854526962E-2</v>
      </c>
      <c r="V418" s="20">
        <f t="shared" si="74"/>
        <v>7.4695121951219509E-2</v>
      </c>
      <c r="W418" s="20">
        <f t="shared" si="74"/>
        <v>7.6446280991735532E-2</v>
      </c>
      <c r="X418" s="20">
        <f t="shared" si="74"/>
        <v>7.76843146956952E-2</v>
      </c>
      <c r="Y418" s="20">
        <f t="shared" si="74"/>
        <v>7.9039519759879939E-2</v>
      </c>
      <c r="Z418" s="20">
        <f t="shared" si="74"/>
        <v>8.0309627479438803E-2</v>
      </c>
      <c r="AA418" s="20">
        <f t="shared" si="74"/>
        <v>8.1835383159886477E-2</v>
      </c>
      <c r="AB418" s="20">
        <f t="shared" si="74"/>
        <v>8.2689686506133578E-2</v>
      </c>
      <c r="AC418" s="20">
        <f t="shared" si="74"/>
        <v>8.3885209713024281E-2</v>
      </c>
      <c r="AD418" s="20">
        <f t="shared" si="74"/>
        <v>8.4825234441602726E-2</v>
      </c>
      <c r="AE418" s="20">
        <f t="shared" si="74"/>
        <v>8.5892116182572614E-2</v>
      </c>
      <c r="AF418" s="20">
        <f t="shared" si="74"/>
        <v>8.6991542488924684E-2</v>
      </c>
      <c r="AG418" s="20">
        <f t="shared" si="74"/>
        <v>8.7835211815001937E-2</v>
      </c>
      <c r="AH418" s="20">
        <f t="shared" si="74"/>
        <v>8.8617265087853322E-2</v>
      </c>
      <c r="AI418" s="20">
        <f t="shared" si="74"/>
        <v>8.901860634804816E-2</v>
      </c>
      <c r="AJ418" s="20">
        <f t="shared" si="74"/>
        <v>8.9883679943602399E-2</v>
      </c>
      <c r="AK418" s="20">
        <f t="shared" si="74"/>
        <v>9.0497737556561084E-2</v>
      </c>
    </row>
    <row r="419" spans="1:37" x14ac:dyDescent="0.25">
      <c r="A419" s="12">
        <f>$A$94</f>
        <v>79</v>
      </c>
      <c r="M419" s="12"/>
      <c r="N419" s="12"/>
      <c r="O419" s="12"/>
      <c r="P419" s="12"/>
      <c r="Q419" s="12"/>
      <c r="R419" s="12"/>
      <c r="S419" s="12"/>
      <c r="T419" s="20">
        <f>T$279/T$94</f>
        <v>6.0646011865524062E-2</v>
      </c>
      <c r="U419" s="20">
        <f t="shared" ref="U419:AK419" si="75">U$279/U$94</f>
        <v>6.2150403977625855E-2</v>
      </c>
      <c r="V419" s="20">
        <f t="shared" si="75"/>
        <v>6.4229765013054829E-2</v>
      </c>
      <c r="W419" s="20">
        <f t="shared" si="75"/>
        <v>6.5172054223149117E-2</v>
      </c>
      <c r="X419" s="20">
        <f t="shared" si="75"/>
        <v>6.6737288135593223E-2</v>
      </c>
      <c r="Y419" s="20">
        <f t="shared" si="75"/>
        <v>6.7951318458417856E-2</v>
      </c>
      <c r="Z419" s="20">
        <f t="shared" si="75"/>
        <v>6.9159836065573771E-2</v>
      </c>
      <c r="AA419" s="20">
        <f t="shared" si="75"/>
        <v>7.0331847449232293E-2</v>
      </c>
      <c r="AB419" s="20">
        <f t="shared" si="75"/>
        <v>7.1636011616650536E-2</v>
      </c>
      <c r="AC419" s="20">
        <f t="shared" si="75"/>
        <v>7.24907063197026E-2</v>
      </c>
      <c r="AD419" s="20">
        <f t="shared" si="75"/>
        <v>7.3555956678700365E-2</v>
      </c>
      <c r="AE419" s="20">
        <f t="shared" si="75"/>
        <v>7.4041811846689898E-2</v>
      </c>
      <c r="AF419" s="20">
        <f t="shared" si="75"/>
        <v>7.5031793132683336E-2</v>
      </c>
      <c r="AG419" s="20">
        <f t="shared" si="75"/>
        <v>7.5657894736842105E-2</v>
      </c>
      <c r="AH419" s="20">
        <f t="shared" si="75"/>
        <v>7.6556921856406182E-2</v>
      </c>
      <c r="AI419" s="20">
        <f t="shared" si="75"/>
        <v>7.7162899454403744E-2</v>
      </c>
      <c r="AJ419" s="20">
        <f t="shared" si="75"/>
        <v>7.7781912914030513E-2</v>
      </c>
      <c r="AK419" s="20">
        <f t="shared" si="75"/>
        <v>7.8332734459216666E-2</v>
      </c>
    </row>
    <row r="420" spans="1:37" x14ac:dyDescent="0.25">
      <c r="A420" s="12" t="s">
        <v>389</v>
      </c>
      <c r="M420" s="12"/>
      <c r="N420" s="12"/>
      <c r="O420" s="12"/>
      <c r="P420" s="12"/>
      <c r="Q420" s="12"/>
      <c r="R420" s="12"/>
      <c r="S420" s="12"/>
      <c r="T420" s="20">
        <f>T$280/SUM(T$95:T$110)</f>
        <v>2.6992936427850656E-2</v>
      </c>
      <c r="U420" s="20">
        <f t="shared" ref="U420:AK420" si="76">U$280/SUM(U$95:U$110)</f>
        <v>2.7985074626865673E-2</v>
      </c>
      <c r="V420" s="20">
        <f t="shared" si="76"/>
        <v>2.8900833528082884E-2</v>
      </c>
      <c r="W420" s="20">
        <f t="shared" si="76"/>
        <v>3.0116057000146908E-2</v>
      </c>
      <c r="X420" s="20">
        <f t="shared" si="76"/>
        <v>3.1058495821727018E-2</v>
      </c>
      <c r="Y420" s="20">
        <f t="shared" si="76"/>
        <v>3.1672100605496044E-2</v>
      </c>
      <c r="Z420" s="20">
        <f t="shared" si="76"/>
        <v>3.2206835217888453E-2</v>
      </c>
      <c r="AA420" s="20">
        <f t="shared" si="76"/>
        <v>3.2511894595583749E-2</v>
      </c>
      <c r="AB420" s="20">
        <f t="shared" si="76"/>
        <v>3.2878157416632477E-2</v>
      </c>
      <c r="AC420" s="20">
        <f t="shared" si="76"/>
        <v>3.3213037103868276E-2</v>
      </c>
      <c r="AD420" s="20">
        <f t="shared" si="76"/>
        <v>3.3570150225066438E-2</v>
      </c>
      <c r="AE420" s="20">
        <f t="shared" si="76"/>
        <v>3.3937242207487076E-2</v>
      </c>
      <c r="AF420" s="20">
        <f t="shared" si="76"/>
        <v>3.4281692972755608E-2</v>
      </c>
      <c r="AG420" s="20">
        <f t="shared" si="76"/>
        <v>3.4536207314119639E-2</v>
      </c>
      <c r="AH420" s="20">
        <f t="shared" si="76"/>
        <v>3.4800074738415544E-2</v>
      </c>
      <c r="AI420" s="20">
        <f t="shared" si="76"/>
        <v>3.5080608844456455E-2</v>
      </c>
      <c r="AJ420" s="20">
        <f t="shared" si="76"/>
        <v>3.5277741528557137E-2</v>
      </c>
      <c r="AK420" s="20">
        <f t="shared" si="76"/>
        <v>3.5537467483427038E-2</v>
      </c>
    </row>
    <row r="421" spans="1:37" x14ac:dyDescent="0.25">
      <c r="A421" s="11" t="str">
        <f>$A$111</f>
        <v>Female total</v>
      </c>
      <c r="M421" s="12"/>
      <c r="N421" s="12"/>
      <c r="O421" s="12"/>
      <c r="P421" s="12"/>
      <c r="Q421" s="12"/>
      <c r="R421" s="12"/>
      <c r="S421" s="12"/>
      <c r="T421" s="21">
        <f>SUM(T$215:T$280)/SUM(T$30:T$110)</f>
        <v>0.66566055045871564</v>
      </c>
      <c r="U421" s="21">
        <f t="shared" ref="U421:AK421" si="77">SUM(U$215:U$280)/SUM(U$30:U$110)</f>
        <v>0.66602789745262458</v>
      </c>
      <c r="V421" s="21">
        <f t="shared" si="77"/>
        <v>0.66635514018691588</v>
      </c>
      <c r="W421" s="21">
        <f t="shared" si="77"/>
        <v>0.6666431291898548</v>
      </c>
      <c r="X421" s="21">
        <f t="shared" si="77"/>
        <v>0.66689315736748112</v>
      </c>
      <c r="Y421" s="21">
        <f t="shared" si="77"/>
        <v>0.66724868293731854</v>
      </c>
      <c r="Z421" s="21">
        <f t="shared" si="77"/>
        <v>0.66743534208179389</v>
      </c>
      <c r="AA421" s="21">
        <f t="shared" si="77"/>
        <v>0.66760367194186654</v>
      </c>
      <c r="AB421" s="21">
        <f t="shared" si="77"/>
        <v>0.66758691588010233</v>
      </c>
      <c r="AC421" s="21">
        <f t="shared" si="77"/>
        <v>0.66760093590831049</v>
      </c>
      <c r="AD421" s="21">
        <f t="shared" si="77"/>
        <v>0.66754319146867203</v>
      </c>
      <c r="AE421" s="21">
        <f t="shared" si="77"/>
        <v>0.66743486050267931</v>
      </c>
      <c r="AF421" s="21">
        <f t="shared" si="77"/>
        <v>0.66724825029244406</v>
      </c>
      <c r="AG421" s="21">
        <f t="shared" si="77"/>
        <v>0.6670224287037182</v>
      </c>
      <c r="AH421" s="21">
        <f t="shared" si="77"/>
        <v>0.66723427416219583</v>
      </c>
      <c r="AI421" s="21">
        <f t="shared" si="77"/>
        <v>0.6672586827962167</v>
      </c>
      <c r="AJ421" s="21">
        <f t="shared" si="77"/>
        <v>0.66712100213423131</v>
      </c>
      <c r="AK421" s="21">
        <f t="shared" si="77"/>
        <v>0.66694671510747805</v>
      </c>
    </row>
    <row r="422" spans="1:37" x14ac:dyDescent="0.25">
      <c r="A422" s="11"/>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row>
    <row r="423" spans="1:37" x14ac:dyDescent="0.25">
      <c r="A423" s="11"/>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row>
    <row r="424" spans="1:37" x14ac:dyDescent="0.25">
      <c r="A424" s="11" t="s">
        <v>392</v>
      </c>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row>
    <row r="425" spans="1:37" x14ac:dyDescent="0.25">
      <c r="A425" s="12">
        <f>$A$30</f>
        <v>15</v>
      </c>
      <c r="M425" s="12"/>
      <c r="N425" s="12"/>
      <c r="O425" s="12"/>
      <c r="P425" s="12"/>
      <c r="Q425" s="12"/>
      <c r="R425" s="12"/>
      <c r="S425" s="12"/>
      <c r="T425" s="20">
        <f>T$285/T$130</f>
        <v>0.21332969134116361</v>
      </c>
      <c r="U425" s="20">
        <f t="shared" ref="U425:AK425" si="78">U$285/U$130</f>
        <v>0.21322537112010798</v>
      </c>
      <c r="V425" s="20">
        <f t="shared" si="78"/>
        <v>0.21331889550622632</v>
      </c>
      <c r="W425" s="20">
        <f t="shared" si="78"/>
        <v>0.21319934818033678</v>
      </c>
      <c r="X425" s="20">
        <f t="shared" si="78"/>
        <v>0.2132572670469981</v>
      </c>
      <c r="Y425" s="20">
        <f t="shared" si="78"/>
        <v>0.21309230347849903</v>
      </c>
      <c r="Z425" s="20">
        <f t="shared" si="78"/>
        <v>0.2133879781420765</v>
      </c>
      <c r="AA425" s="20">
        <f t="shared" si="78"/>
        <v>0.21324539708711185</v>
      </c>
      <c r="AB425" s="20">
        <f t="shared" si="78"/>
        <v>0.21333702268954066</v>
      </c>
      <c r="AC425" s="20">
        <f t="shared" si="78"/>
        <v>0.21337047353760447</v>
      </c>
      <c r="AD425" s="20">
        <f t="shared" si="78"/>
        <v>0.21335909467292299</v>
      </c>
      <c r="AE425" s="20">
        <f t="shared" si="78"/>
        <v>0.21325811001410439</v>
      </c>
      <c r="AF425" s="20">
        <f t="shared" si="78"/>
        <v>0.21323733037939629</v>
      </c>
      <c r="AG425" s="20">
        <f t="shared" si="78"/>
        <v>0.2130962461191081</v>
      </c>
      <c r="AH425" s="20">
        <f t="shared" si="78"/>
        <v>0.21316799527605551</v>
      </c>
      <c r="AI425" s="20">
        <f t="shared" si="78"/>
        <v>0.21322657176749704</v>
      </c>
      <c r="AJ425" s="20">
        <f t="shared" si="78"/>
        <v>0.21314335562663564</v>
      </c>
      <c r="AK425" s="20">
        <f t="shared" si="78"/>
        <v>0.21322889469103568</v>
      </c>
    </row>
    <row r="426" spans="1:37" x14ac:dyDescent="0.25">
      <c r="A426" s="12">
        <f>$A$31</f>
        <v>16</v>
      </c>
      <c r="M426" s="12"/>
      <c r="N426" s="12"/>
      <c r="O426" s="12"/>
      <c r="P426" s="12"/>
      <c r="Q426" s="12"/>
      <c r="R426" s="12"/>
      <c r="S426" s="12"/>
      <c r="T426" s="20">
        <f>T$286/T$131</f>
        <v>0.38403451995685006</v>
      </c>
      <c r="U426" s="20">
        <f t="shared" ref="U426:AK426" si="79">U$286/U$131</f>
        <v>0.38403451995685006</v>
      </c>
      <c r="V426" s="20">
        <f t="shared" si="79"/>
        <v>0.38391906283280086</v>
      </c>
      <c r="W426" s="20">
        <f t="shared" si="79"/>
        <v>0.38414308595835556</v>
      </c>
      <c r="X426" s="20">
        <f t="shared" si="79"/>
        <v>0.38410064239828695</v>
      </c>
      <c r="Y426" s="20">
        <f t="shared" si="79"/>
        <v>0.38399785924538399</v>
      </c>
      <c r="Z426" s="20">
        <f t="shared" si="79"/>
        <v>0.38413811707580253</v>
      </c>
      <c r="AA426" s="20">
        <f t="shared" si="79"/>
        <v>0.38418079096045199</v>
      </c>
      <c r="AB426" s="20">
        <f t="shared" si="79"/>
        <v>0.38392857142857145</v>
      </c>
      <c r="AC426" s="20">
        <f t="shared" si="79"/>
        <v>0.38409152819395259</v>
      </c>
      <c r="AD426" s="20">
        <f t="shared" si="79"/>
        <v>0.38404605263157893</v>
      </c>
      <c r="AE426" s="20">
        <f t="shared" si="79"/>
        <v>0.38386308068459657</v>
      </c>
      <c r="AF426" s="20">
        <f t="shared" si="79"/>
        <v>0.38412434082708852</v>
      </c>
      <c r="AG426" s="20">
        <f t="shared" si="79"/>
        <v>0.38402834559825566</v>
      </c>
      <c r="AH426" s="20">
        <f t="shared" si="79"/>
        <v>0.38405998333796165</v>
      </c>
      <c r="AI426" s="20">
        <f t="shared" si="79"/>
        <v>0.38403483309143688</v>
      </c>
      <c r="AJ426" s="20">
        <f t="shared" si="79"/>
        <v>0.38414456426697757</v>
      </c>
      <c r="AK426" s="20">
        <f t="shared" si="79"/>
        <v>0.38393367638650655</v>
      </c>
    </row>
    <row r="427" spans="1:37" x14ac:dyDescent="0.25">
      <c r="A427" s="12">
        <f>$A$32</f>
        <v>17</v>
      </c>
      <c r="M427" s="12"/>
      <c r="N427" s="12"/>
      <c r="O427" s="12"/>
      <c r="P427" s="12"/>
      <c r="Q427" s="12"/>
      <c r="R427" s="12"/>
      <c r="S427" s="12"/>
      <c r="T427" s="20">
        <f>T$287/T$132</f>
        <v>0.56548279689234182</v>
      </c>
      <c r="U427" s="20">
        <f t="shared" ref="U427:AK427" si="80">U$287/U$132</f>
        <v>0.5652404996013819</v>
      </c>
      <c r="V427" s="20">
        <f t="shared" si="80"/>
        <v>0.5652866242038217</v>
      </c>
      <c r="W427" s="20">
        <f t="shared" si="80"/>
        <v>0.56533123854412148</v>
      </c>
      <c r="X427" s="20">
        <f t="shared" si="80"/>
        <v>0.56532004197271768</v>
      </c>
      <c r="Y427" s="20">
        <f t="shared" si="80"/>
        <v>0.56534315014462266</v>
      </c>
      <c r="Z427" s="20">
        <f t="shared" si="80"/>
        <v>0.56530880420499341</v>
      </c>
      <c r="AA427" s="20">
        <f t="shared" si="80"/>
        <v>0.56541313559322037</v>
      </c>
      <c r="AB427" s="20">
        <f t="shared" si="80"/>
        <v>0.56524035921817217</v>
      </c>
      <c r="AC427" s="20">
        <f t="shared" si="80"/>
        <v>0.56532129580456714</v>
      </c>
      <c r="AD427" s="20">
        <f t="shared" si="80"/>
        <v>0.56535685645549316</v>
      </c>
      <c r="AE427" s="20">
        <f t="shared" si="80"/>
        <v>0.56535771920387301</v>
      </c>
      <c r="AF427" s="20">
        <f t="shared" si="80"/>
        <v>0.56544921354305522</v>
      </c>
      <c r="AG427" s="20">
        <f t="shared" si="80"/>
        <v>0.56532389765922697</v>
      </c>
      <c r="AH427" s="20">
        <f t="shared" si="80"/>
        <v>0.5652406417112299</v>
      </c>
      <c r="AI427" s="20">
        <f t="shared" si="80"/>
        <v>0.56520555404301664</v>
      </c>
      <c r="AJ427" s="20">
        <f t="shared" si="80"/>
        <v>0.56525447824850727</v>
      </c>
      <c r="AK427" s="20">
        <f t="shared" si="80"/>
        <v>0.5652298030259777</v>
      </c>
    </row>
    <row r="428" spans="1:37" x14ac:dyDescent="0.25">
      <c r="A428" s="12">
        <f>$A$33</f>
        <v>18</v>
      </c>
      <c r="M428" s="12"/>
      <c r="N428" s="12"/>
      <c r="O428" s="12"/>
      <c r="P428" s="12"/>
      <c r="Q428" s="12"/>
      <c r="R428" s="12"/>
      <c r="S428" s="12"/>
      <c r="T428" s="20">
        <f>T$288/T$133</f>
        <v>0.7111764705882353</v>
      </c>
      <c r="U428" s="20">
        <f t="shared" ref="U428:AK428" si="81">U$288/U$133</f>
        <v>0.71120218579234973</v>
      </c>
      <c r="V428" s="20">
        <f t="shared" si="81"/>
        <v>0.71137254901960789</v>
      </c>
      <c r="W428" s="20">
        <f t="shared" si="81"/>
        <v>0.71145316984085571</v>
      </c>
      <c r="X428" s="20">
        <f t="shared" si="81"/>
        <v>0.71108824286081806</v>
      </c>
      <c r="Y428" s="20">
        <f t="shared" si="81"/>
        <v>0.71123132405976297</v>
      </c>
      <c r="Z428" s="20">
        <f t="shared" si="81"/>
        <v>0.71122580645161293</v>
      </c>
      <c r="AA428" s="20">
        <f t="shared" si="81"/>
        <v>0.71137477431003349</v>
      </c>
      <c r="AB428" s="20">
        <f t="shared" si="81"/>
        <v>0.71127858627858631</v>
      </c>
      <c r="AC428" s="20">
        <f t="shared" si="81"/>
        <v>0.71132417724799168</v>
      </c>
      <c r="AD428" s="20">
        <f t="shared" si="81"/>
        <v>0.71112268820005209</v>
      </c>
      <c r="AE428" s="20">
        <f t="shared" si="81"/>
        <v>0.71132669113791291</v>
      </c>
      <c r="AF428" s="20">
        <f t="shared" si="81"/>
        <v>0.7114217884463202</v>
      </c>
      <c r="AG428" s="20">
        <f t="shared" si="81"/>
        <v>0.71137254901960789</v>
      </c>
      <c r="AH428" s="20">
        <f t="shared" si="81"/>
        <v>0.71131270010672354</v>
      </c>
      <c r="AI428" s="20">
        <f t="shared" si="81"/>
        <v>0.71114023591087816</v>
      </c>
      <c r="AJ428" s="20">
        <f t="shared" si="81"/>
        <v>0.71131270010672354</v>
      </c>
      <c r="AK428" s="20">
        <f t="shared" si="81"/>
        <v>0.71110492624547728</v>
      </c>
    </row>
    <row r="429" spans="1:37" x14ac:dyDescent="0.25">
      <c r="A429" s="12">
        <f>$A$34</f>
        <v>19</v>
      </c>
      <c r="M429" s="12"/>
      <c r="N429" s="12"/>
      <c r="O429" s="12"/>
      <c r="P429" s="12"/>
      <c r="Q429" s="12"/>
      <c r="R429" s="12"/>
      <c r="S429" s="12"/>
      <c r="T429" s="20">
        <f>T$289/T$134</f>
        <v>0.75406925125776858</v>
      </c>
      <c r="U429" s="20">
        <f t="shared" ref="U429:AK429" si="82">U$289/U$134</f>
        <v>0.75391304347826082</v>
      </c>
      <c r="V429" s="20">
        <f t="shared" si="82"/>
        <v>0.75383373688458433</v>
      </c>
      <c r="W429" s="20">
        <f t="shared" si="82"/>
        <v>0.75392535392535398</v>
      </c>
      <c r="X429" s="20">
        <f t="shared" si="82"/>
        <v>0.7541067761806981</v>
      </c>
      <c r="Y429" s="20">
        <f t="shared" si="82"/>
        <v>0.7537955465587044</v>
      </c>
      <c r="Z429" s="20">
        <f t="shared" si="82"/>
        <v>0.75405268490374877</v>
      </c>
      <c r="AA429" s="20">
        <f t="shared" si="82"/>
        <v>0.75393201420598677</v>
      </c>
      <c r="AB429" s="20">
        <f t="shared" si="82"/>
        <v>0.7538656527249683</v>
      </c>
      <c r="AC429" s="20">
        <f t="shared" si="82"/>
        <v>0.75408580183861085</v>
      </c>
      <c r="AD429" s="20">
        <f t="shared" si="82"/>
        <v>0.75401069518716579</v>
      </c>
      <c r="AE429" s="20">
        <f t="shared" si="82"/>
        <v>0.75383828045035828</v>
      </c>
      <c r="AF429" s="20">
        <f t="shared" si="82"/>
        <v>0.75386199794026776</v>
      </c>
      <c r="AG429" s="20">
        <f t="shared" si="82"/>
        <v>0.75394975394975394</v>
      </c>
      <c r="AH429" s="20">
        <f t="shared" si="82"/>
        <v>0.75404364569961491</v>
      </c>
      <c r="AI429" s="20">
        <f t="shared" si="82"/>
        <v>0.75386226760932185</v>
      </c>
      <c r="AJ429" s="20">
        <f t="shared" si="82"/>
        <v>0.75373134328358204</v>
      </c>
      <c r="AK429" s="20">
        <f t="shared" si="82"/>
        <v>0.75386226760932185</v>
      </c>
    </row>
    <row r="430" spans="1:37" x14ac:dyDescent="0.25">
      <c r="A430" s="12">
        <f>$A$35</f>
        <v>20</v>
      </c>
      <c r="M430" s="12"/>
      <c r="N430" s="12"/>
      <c r="O430" s="12"/>
      <c r="P430" s="12"/>
      <c r="Q430" s="12"/>
      <c r="R430" s="12"/>
      <c r="S430" s="12"/>
      <c r="T430" s="20">
        <f>T$290/T$135</f>
        <v>0.79635615633264767</v>
      </c>
      <c r="U430" s="20">
        <f t="shared" ref="U430:AK430" si="83">U$290/U$135</f>
        <v>0.79625840397544578</v>
      </c>
      <c r="V430" s="20">
        <f t="shared" si="83"/>
        <v>0.79628571428571426</v>
      </c>
      <c r="W430" s="20">
        <f t="shared" si="83"/>
        <v>0.79628647214854109</v>
      </c>
      <c r="X430" s="20">
        <f t="shared" si="83"/>
        <v>0.79629629629629628</v>
      </c>
      <c r="Y430" s="20">
        <f t="shared" si="83"/>
        <v>0.79620733249051834</v>
      </c>
      <c r="Z430" s="20">
        <f t="shared" si="83"/>
        <v>0.7963609172482552</v>
      </c>
      <c r="AA430" s="20">
        <f t="shared" si="83"/>
        <v>0.79625935162094763</v>
      </c>
      <c r="AB430" s="20">
        <f t="shared" si="83"/>
        <v>0.79620379620379622</v>
      </c>
      <c r="AC430" s="20">
        <f t="shared" si="83"/>
        <v>0.79610681307711506</v>
      </c>
      <c r="AD430" s="20">
        <f t="shared" si="83"/>
        <v>0.79617994470972608</v>
      </c>
      <c r="AE430" s="20">
        <f t="shared" si="83"/>
        <v>0.79624060150375942</v>
      </c>
      <c r="AF430" s="20">
        <f t="shared" si="83"/>
        <v>0.79627297909846384</v>
      </c>
      <c r="AG430" s="20">
        <f t="shared" si="83"/>
        <v>0.79630098809222194</v>
      </c>
      <c r="AH430" s="20">
        <f t="shared" si="83"/>
        <v>0.79643312101910824</v>
      </c>
      <c r="AI430" s="20">
        <f t="shared" si="83"/>
        <v>0.79621212121212126</v>
      </c>
      <c r="AJ430" s="20">
        <f t="shared" si="83"/>
        <v>0.79634397528321321</v>
      </c>
      <c r="AK430" s="20">
        <f t="shared" si="83"/>
        <v>0.79625411288281445</v>
      </c>
    </row>
    <row r="431" spans="1:37" x14ac:dyDescent="0.25">
      <c r="A431" s="12">
        <f>$A$36</f>
        <v>21</v>
      </c>
      <c r="M431" s="12"/>
      <c r="N431" s="12"/>
      <c r="O431" s="12"/>
      <c r="P431" s="12"/>
      <c r="Q431" s="12"/>
      <c r="R431" s="12"/>
      <c r="S431" s="12"/>
      <c r="T431" s="20">
        <f>T$291/T$136</f>
        <v>0.82106523040095747</v>
      </c>
      <c r="U431" s="20">
        <f t="shared" ref="U431:AK431" si="84">U$291/U$136</f>
        <v>0.82086499123319701</v>
      </c>
      <c r="V431" s="20">
        <f t="shared" si="84"/>
        <v>0.82100377139541625</v>
      </c>
      <c r="W431" s="20">
        <f t="shared" si="84"/>
        <v>0.82091243978464157</v>
      </c>
      <c r="X431" s="20">
        <f t="shared" si="84"/>
        <v>0.82093084407047068</v>
      </c>
      <c r="Y431" s="20">
        <f t="shared" si="84"/>
        <v>0.82092555331991957</v>
      </c>
      <c r="Z431" s="20">
        <f t="shared" si="84"/>
        <v>0.82109746930593841</v>
      </c>
      <c r="AA431" s="20">
        <f t="shared" si="84"/>
        <v>0.820943442825389</v>
      </c>
      <c r="AB431" s="20">
        <f t="shared" si="84"/>
        <v>0.82085495428712629</v>
      </c>
      <c r="AC431" s="20">
        <f t="shared" si="84"/>
        <v>0.82108389012620642</v>
      </c>
      <c r="AD431" s="20">
        <f t="shared" si="84"/>
        <v>0.82101359703337451</v>
      </c>
      <c r="AE431" s="20">
        <f t="shared" si="84"/>
        <v>0.82101070450585012</v>
      </c>
      <c r="AF431" s="20">
        <f t="shared" si="84"/>
        <v>0.82104740630429385</v>
      </c>
      <c r="AG431" s="20">
        <f t="shared" si="84"/>
        <v>0.82094763092269329</v>
      </c>
      <c r="AH431" s="20">
        <f t="shared" si="84"/>
        <v>0.82091798344620015</v>
      </c>
      <c r="AI431" s="20">
        <f t="shared" si="84"/>
        <v>0.82072617246596069</v>
      </c>
      <c r="AJ431" s="20">
        <f t="shared" si="84"/>
        <v>0.82099999999999995</v>
      </c>
      <c r="AK431" s="20">
        <f t="shared" si="84"/>
        <v>0.8208917197452229</v>
      </c>
    </row>
    <row r="432" spans="1:37" x14ac:dyDescent="0.25">
      <c r="A432" s="12">
        <f>$A$37</f>
        <v>22</v>
      </c>
      <c r="M432" s="12"/>
      <c r="N432" s="12"/>
      <c r="O432" s="12"/>
      <c r="P432" s="12"/>
      <c r="Q432" s="12"/>
      <c r="R432" s="12"/>
      <c r="S432" s="12"/>
      <c r="T432" s="20">
        <f>T$292/T$137</f>
        <v>0.84363636363636363</v>
      </c>
      <c r="U432" s="20">
        <f t="shared" ref="U432:AK432" si="85">U$292/U$137</f>
        <v>0.84362876753207994</v>
      </c>
      <c r="V432" s="20">
        <f t="shared" si="85"/>
        <v>0.84380453752181506</v>
      </c>
      <c r="W432" s="20">
        <f t="shared" si="85"/>
        <v>0.84366887799250068</v>
      </c>
      <c r="X432" s="20">
        <f t="shared" si="85"/>
        <v>0.84375</v>
      </c>
      <c r="Y432" s="20">
        <f t="shared" si="85"/>
        <v>0.84378265412748177</v>
      </c>
      <c r="Z432" s="20">
        <f t="shared" si="85"/>
        <v>0.84386709967524354</v>
      </c>
      <c r="AA432" s="20">
        <f t="shared" si="85"/>
        <v>0.84374222443393876</v>
      </c>
      <c r="AB432" s="20">
        <f t="shared" si="85"/>
        <v>0.84375766494971793</v>
      </c>
      <c r="AC432" s="20">
        <f t="shared" si="85"/>
        <v>0.84392638036809819</v>
      </c>
      <c r="AD432" s="20">
        <f t="shared" si="85"/>
        <v>0.84373464373464369</v>
      </c>
      <c r="AE432" s="20">
        <f t="shared" si="85"/>
        <v>0.8438880706921944</v>
      </c>
      <c r="AF432" s="20">
        <f t="shared" si="85"/>
        <v>0.84383493946132937</v>
      </c>
      <c r="AG432" s="20">
        <f t="shared" si="85"/>
        <v>0.84380389258438038</v>
      </c>
      <c r="AH432" s="20">
        <f t="shared" si="85"/>
        <v>0.84360306854738931</v>
      </c>
      <c r="AI432" s="20">
        <f t="shared" si="85"/>
        <v>0.84370333499253358</v>
      </c>
      <c r="AJ432" s="20">
        <f t="shared" si="85"/>
        <v>0.84363272454340754</v>
      </c>
      <c r="AK432" s="20">
        <f t="shared" si="85"/>
        <v>0.84375</v>
      </c>
    </row>
    <row r="433" spans="1:37" x14ac:dyDescent="0.25">
      <c r="A433" s="12">
        <f>$A$38</f>
        <v>23</v>
      </c>
      <c r="M433" s="12"/>
      <c r="N433" s="12"/>
      <c r="O433" s="12"/>
      <c r="P433" s="12"/>
      <c r="Q433" s="12"/>
      <c r="R433" s="12"/>
      <c r="S433" s="12"/>
      <c r="T433" s="20">
        <f>T$293/T$138</f>
        <v>0.86499999999999999</v>
      </c>
      <c r="U433" s="20">
        <f t="shared" ref="U433:AK433" si="86">U$293/U$138</f>
        <v>0.86475037821482603</v>
      </c>
      <c r="V433" s="20">
        <f t="shared" si="86"/>
        <v>0.8647443519619501</v>
      </c>
      <c r="W433" s="20">
        <f t="shared" si="86"/>
        <v>0.86458333333333337</v>
      </c>
      <c r="X433" s="20">
        <f t="shared" si="86"/>
        <v>0.86467889908256879</v>
      </c>
      <c r="Y433" s="20">
        <f t="shared" si="86"/>
        <v>0.8648951048951049</v>
      </c>
      <c r="Z433" s="20">
        <f t="shared" si="86"/>
        <v>0.86478069037113936</v>
      </c>
      <c r="AA433" s="20">
        <f t="shared" si="86"/>
        <v>0.86469712015888778</v>
      </c>
      <c r="AB433" s="20">
        <f t="shared" si="86"/>
        <v>0.86477132262051915</v>
      </c>
      <c r="AC433" s="20">
        <f t="shared" si="86"/>
        <v>0.86473312210577624</v>
      </c>
      <c r="AD433" s="20">
        <f t="shared" si="86"/>
        <v>0.86470014627011216</v>
      </c>
      <c r="AE433" s="20">
        <f t="shared" si="86"/>
        <v>0.86477910666341229</v>
      </c>
      <c r="AF433" s="20">
        <f t="shared" si="86"/>
        <v>0.86491099731772736</v>
      </c>
      <c r="AG433" s="20">
        <f t="shared" si="86"/>
        <v>0.86478527607361966</v>
      </c>
      <c r="AH433" s="20">
        <f t="shared" si="86"/>
        <v>0.86472602739726023</v>
      </c>
      <c r="AI433" s="20">
        <f t="shared" si="86"/>
        <v>0.86483165396903416</v>
      </c>
      <c r="AJ433" s="20">
        <f t="shared" si="86"/>
        <v>0.86483815171732148</v>
      </c>
      <c r="AK433" s="20">
        <f t="shared" si="86"/>
        <v>0.86487829110779935</v>
      </c>
    </row>
    <row r="434" spans="1:37" x14ac:dyDescent="0.25">
      <c r="A434" s="12">
        <f>$A$39</f>
        <v>24</v>
      </c>
      <c r="M434" s="12"/>
      <c r="N434" s="12"/>
      <c r="O434" s="12"/>
      <c r="P434" s="12"/>
      <c r="Q434" s="12"/>
      <c r="R434" s="12"/>
      <c r="S434" s="12"/>
      <c r="T434" s="20">
        <f>T$294/T$139</f>
        <v>0.88445984979780479</v>
      </c>
      <c r="U434" s="20">
        <f t="shared" ref="U434:AK434" si="87">U$294/U$139</f>
        <v>0.88458149779735684</v>
      </c>
      <c r="V434" s="20">
        <f t="shared" si="87"/>
        <v>0.88456901748040984</v>
      </c>
      <c r="W434" s="20">
        <f t="shared" si="87"/>
        <v>0.88464951197870456</v>
      </c>
      <c r="X434" s="20">
        <f t="shared" si="87"/>
        <v>0.88460431654676264</v>
      </c>
      <c r="Y434" s="20">
        <f t="shared" si="87"/>
        <v>0.88461538461538458</v>
      </c>
      <c r="Z434" s="20">
        <f t="shared" si="87"/>
        <v>0.88469019171992225</v>
      </c>
      <c r="AA434" s="20">
        <f t="shared" si="87"/>
        <v>0.88470466855816354</v>
      </c>
      <c r="AB434" s="20">
        <f t="shared" si="87"/>
        <v>0.88452997779422649</v>
      </c>
      <c r="AC434" s="20">
        <f t="shared" si="87"/>
        <v>0.88452088452088451</v>
      </c>
      <c r="AD434" s="20">
        <f t="shared" si="87"/>
        <v>0.88447565996609345</v>
      </c>
      <c r="AE434" s="20">
        <f t="shared" si="87"/>
        <v>0.88444767441860461</v>
      </c>
      <c r="AF434" s="20">
        <f t="shared" si="87"/>
        <v>0.88479262672811065</v>
      </c>
      <c r="AG434" s="20">
        <f t="shared" si="87"/>
        <v>0.88468992248062017</v>
      </c>
      <c r="AH434" s="20">
        <f t="shared" si="87"/>
        <v>0.88469039492930279</v>
      </c>
      <c r="AI434" s="20">
        <f t="shared" si="87"/>
        <v>0.88456865127582018</v>
      </c>
      <c r="AJ434" s="20">
        <f t="shared" si="87"/>
        <v>0.88457784285017083</v>
      </c>
      <c r="AK434" s="20">
        <f t="shared" si="87"/>
        <v>0.88444553483807653</v>
      </c>
    </row>
    <row r="435" spans="1:37" x14ac:dyDescent="0.25">
      <c r="A435" s="12">
        <f>$A$40</f>
        <v>25</v>
      </c>
      <c r="M435" s="12"/>
      <c r="N435" s="12"/>
      <c r="O435" s="12"/>
      <c r="P435" s="12"/>
      <c r="Q435" s="12"/>
      <c r="R435" s="12"/>
      <c r="S435" s="12"/>
      <c r="T435" s="20">
        <f>T$295/T$140</f>
        <v>0.90457902511078292</v>
      </c>
      <c r="U435" s="20">
        <f t="shared" ref="U435:AK435" si="88">U$295/U$140</f>
        <v>0.90450086555106757</v>
      </c>
      <c r="V435" s="20">
        <f t="shared" si="88"/>
        <v>0.90459467369037172</v>
      </c>
      <c r="W435" s="20">
        <f t="shared" si="88"/>
        <v>0.90459045904590463</v>
      </c>
      <c r="X435" s="20">
        <f t="shared" si="88"/>
        <v>0.90467784642541926</v>
      </c>
      <c r="Y435" s="20">
        <f t="shared" si="88"/>
        <v>0.90446224256292906</v>
      </c>
      <c r="Z435" s="20">
        <f t="shared" si="88"/>
        <v>0.90458663646659121</v>
      </c>
      <c r="AA435" s="20">
        <f t="shared" si="88"/>
        <v>0.90474875759249029</v>
      </c>
      <c r="AB435" s="20">
        <f t="shared" si="88"/>
        <v>0.9046153846153846</v>
      </c>
      <c r="AC435" s="20">
        <f t="shared" si="88"/>
        <v>0.90480863591756622</v>
      </c>
      <c r="AD435" s="20">
        <f t="shared" si="88"/>
        <v>0.90471536770095284</v>
      </c>
      <c r="AE435" s="20">
        <f t="shared" si="88"/>
        <v>0.90464724295689858</v>
      </c>
      <c r="AF435" s="20">
        <f t="shared" si="88"/>
        <v>0.90462427745664742</v>
      </c>
      <c r="AG435" s="20">
        <f t="shared" si="88"/>
        <v>0.90477338476374158</v>
      </c>
      <c r="AH435" s="20">
        <f t="shared" si="88"/>
        <v>0.90467019740009624</v>
      </c>
      <c r="AI435" s="20">
        <f t="shared" si="88"/>
        <v>0.90455426356589153</v>
      </c>
      <c r="AJ435" s="20">
        <f t="shared" si="88"/>
        <v>0.90485390002414878</v>
      </c>
      <c r="AK435" s="20">
        <f t="shared" si="88"/>
        <v>0.90470417070805043</v>
      </c>
    </row>
    <row r="436" spans="1:37" x14ac:dyDescent="0.25">
      <c r="A436" s="12">
        <f>$A$41</f>
        <v>26</v>
      </c>
      <c r="M436" s="12"/>
      <c r="N436" s="12"/>
      <c r="O436" s="12"/>
      <c r="P436" s="12"/>
      <c r="Q436" s="12"/>
      <c r="R436" s="12"/>
      <c r="S436" s="12"/>
      <c r="T436" s="20">
        <f>T$296/T$141</f>
        <v>0.91978148361127088</v>
      </c>
      <c r="U436" s="20">
        <f t="shared" ref="U436:AK436" si="89">U$296/U$141</f>
        <v>0.91951650943396224</v>
      </c>
      <c r="V436" s="20">
        <f t="shared" si="89"/>
        <v>0.91980454153492386</v>
      </c>
      <c r="W436" s="20">
        <f t="shared" si="89"/>
        <v>0.91960384503349835</v>
      </c>
      <c r="X436" s="20">
        <f t="shared" si="89"/>
        <v>0.91947509692812401</v>
      </c>
      <c r="Y436" s="20">
        <f t="shared" si="89"/>
        <v>0.91961414790996787</v>
      </c>
      <c r="Z436" s="20">
        <f t="shared" si="89"/>
        <v>0.9195794259732879</v>
      </c>
      <c r="AA436" s="20">
        <f t="shared" si="89"/>
        <v>0.91957255343082112</v>
      </c>
      <c r="AB436" s="20">
        <f t="shared" si="89"/>
        <v>0.91963795940756998</v>
      </c>
      <c r="AC436" s="20">
        <f t="shared" si="89"/>
        <v>0.91972477064220182</v>
      </c>
      <c r="AD436" s="20">
        <f t="shared" si="89"/>
        <v>0.91953182150694956</v>
      </c>
      <c r="AE436" s="20">
        <f t="shared" si="89"/>
        <v>0.91964068948773969</v>
      </c>
      <c r="AF436" s="20">
        <f t="shared" si="89"/>
        <v>0.91957874581139298</v>
      </c>
      <c r="AG436" s="20">
        <f t="shared" si="89"/>
        <v>0.91957874581139298</v>
      </c>
      <c r="AH436" s="20">
        <f t="shared" si="89"/>
        <v>0.91952095808383238</v>
      </c>
      <c r="AI436" s="20">
        <f t="shared" si="89"/>
        <v>0.91961722488038278</v>
      </c>
      <c r="AJ436" s="20">
        <f t="shared" si="89"/>
        <v>0.9196149217809868</v>
      </c>
      <c r="AK436" s="20">
        <f t="shared" si="89"/>
        <v>0.91964499880067163</v>
      </c>
    </row>
    <row r="437" spans="1:37" x14ac:dyDescent="0.25">
      <c r="A437" s="12">
        <f>$A$42</f>
        <v>27</v>
      </c>
      <c r="M437" s="12"/>
      <c r="N437" s="12"/>
      <c r="O437" s="12"/>
      <c r="P437" s="12"/>
      <c r="Q437" s="12"/>
      <c r="R437" s="12"/>
      <c r="S437" s="12"/>
      <c r="T437" s="20">
        <f>T$297/T$142</f>
        <v>0.92966534316505955</v>
      </c>
      <c r="U437" s="20">
        <f t="shared" ref="U437:AK437" si="90">U$297/U$142</f>
        <v>0.92981953594958466</v>
      </c>
      <c r="V437" s="20">
        <f t="shared" si="90"/>
        <v>0.92993257109352101</v>
      </c>
      <c r="W437" s="20">
        <f t="shared" si="90"/>
        <v>0.92975442604226155</v>
      </c>
      <c r="X437" s="20">
        <f t="shared" si="90"/>
        <v>0.92974848222029494</v>
      </c>
      <c r="Y437" s="20">
        <f t="shared" si="90"/>
        <v>0.92988165680473378</v>
      </c>
      <c r="Z437" s="20">
        <f t="shared" si="90"/>
        <v>0.92956521739130438</v>
      </c>
      <c r="AA437" s="20">
        <f t="shared" si="90"/>
        <v>0.92981961668545654</v>
      </c>
      <c r="AB437" s="20">
        <f t="shared" si="90"/>
        <v>0.92998605299860526</v>
      </c>
      <c r="AC437" s="20">
        <f t="shared" si="90"/>
        <v>0.92981501632208918</v>
      </c>
      <c r="AD437" s="20">
        <f t="shared" si="90"/>
        <v>0.92970922882427309</v>
      </c>
      <c r="AE437" s="20">
        <f t="shared" si="90"/>
        <v>0.92979908012587753</v>
      </c>
      <c r="AF437" s="20">
        <f t="shared" si="90"/>
        <v>0.92986261749819232</v>
      </c>
      <c r="AG437" s="20">
        <f t="shared" si="90"/>
        <v>0.929912093133761</v>
      </c>
      <c r="AH437" s="20">
        <f t="shared" si="90"/>
        <v>0.92969121140142519</v>
      </c>
      <c r="AI437" s="20">
        <f t="shared" si="90"/>
        <v>0.92986210175939132</v>
      </c>
      <c r="AJ437" s="20">
        <f t="shared" si="90"/>
        <v>0.92996201329534667</v>
      </c>
      <c r="AK437" s="20">
        <f t="shared" si="90"/>
        <v>0.92979942693409745</v>
      </c>
    </row>
    <row r="438" spans="1:37" x14ac:dyDescent="0.25">
      <c r="A438" s="12">
        <f>$A$43</f>
        <v>28</v>
      </c>
      <c r="M438" s="12"/>
      <c r="N438" s="12"/>
      <c r="O438" s="12"/>
      <c r="P438" s="12"/>
      <c r="Q438" s="12"/>
      <c r="R438" s="12"/>
      <c r="S438" s="12"/>
      <c r="T438" s="20">
        <f>T$298/T$143</f>
        <v>0.93529253167969806</v>
      </c>
      <c r="U438" s="20">
        <f t="shared" ref="U438:AK438" si="91">U$298/U$143</f>
        <v>0.93515647025655479</v>
      </c>
      <c r="V438" s="20">
        <f t="shared" si="91"/>
        <v>0.93547470153496304</v>
      </c>
      <c r="W438" s="20">
        <f t="shared" si="91"/>
        <v>0.93521208599651362</v>
      </c>
      <c r="X438" s="20">
        <f t="shared" si="91"/>
        <v>0.93521923620933523</v>
      </c>
      <c r="Y438" s="20">
        <f t="shared" si="91"/>
        <v>0.93531768746422439</v>
      </c>
      <c r="Z438" s="20">
        <f t="shared" si="91"/>
        <v>0.93532338308457708</v>
      </c>
      <c r="AA438" s="20">
        <f t="shared" si="91"/>
        <v>0.93518784055061654</v>
      </c>
      <c r="AB438" s="20">
        <f t="shared" si="91"/>
        <v>0.93530395984383718</v>
      </c>
      <c r="AC438" s="20">
        <f t="shared" si="91"/>
        <v>0.9351545253863135</v>
      </c>
      <c r="AD438" s="20">
        <f t="shared" si="91"/>
        <v>0.93512786002691795</v>
      </c>
      <c r="AE438" s="20">
        <f t="shared" si="91"/>
        <v>0.9353869271224643</v>
      </c>
      <c r="AF438" s="20">
        <f t="shared" si="91"/>
        <v>0.93525179856115104</v>
      </c>
      <c r="AG438" s="20">
        <f t="shared" si="91"/>
        <v>0.93506803533062788</v>
      </c>
      <c r="AH438" s="20">
        <f t="shared" si="91"/>
        <v>0.93527888915038837</v>
      </c>
      <c r="AI438" s="20">
        <f t="shared" si="91"/>
        <v>0.93505882352941172</v>
      </c>
      <c r="AJ438" s="20">
        <f t="shared" si="91"/>
        <v>0.93524841064280673</v>
      </c>
      <c r="AK438" s="20">
        <f t="shared" si="91"/>
        <v>0.93533976016929221</v>
      </c>
    </row>
    <row r="439" spans="1:37" x14ac:dyDescent="0.25">
      <c r="A439" s="12">
        <f>$A$44</f>
        <v>29</v>
      </c>
      <c r="M439" s="12"/>
      <c r="N439" s="12"/>
      <c r="O439" s="12"/>
      <c r="P439" s="12"/>
      <c r="Q439" s="12"/>
      <c r="R439" s="12"/>
      <c r="S439" s="12"/>
      <c r="T439" s="20">
        <f>T$299/T$144</f>
        <v>0.93638275499474233</v>
      </c>
      <c r="U439" s="20">
        <f t="shared" ref="U439:AK439" si="92">U$299/U$144</f>
        <v>0.9365971107544141</v>
      </c>
      <c r="V439" s="20">
        <f t="shared" si="92"/>
        <v>0.93634840871021774</v>
      </c>
      <c r="W439" s="20">
        <f t="shared" si="92"/>
        <v>0.936726659167604</v>
      </c>
      <c r="X439" s="20">
        <f t="shared" si="92"/>
        <v>0.93681792073520964</v>
      </c>
      <c r="Y439" s="20">
        <f t="shared" si="92"/>
        <v>0.93655673560648411</v>
      </c>
      <c r="Z439" s="20">
        <f t="shared" si="92"/>
        <v>0.93640474844544941</v>
      </c>
      <c r="AA439" s="20">
        <f t="shared" si="92"/>
        <v>0.93672349032071656</v>
      </c>
      <c r="AB439" s="20">
        <f t="shared" si="92"/>
        <v>0.9365798414496036</v>
      </c>
      <c r="AC439" s="20">
        <f t="shared" si="92"/>
        <v>0.93665656843844669</v>
      </c>
      <c r="AD439" s="20">
        <f t="shared" si="92"/>
        <v>0.93649495775415648</v>
      </c>
      <c r="AE439" s="20">
        <f t="shared" si="92"/>
        <v>0.9367021276595745</v>
      </c>
      <c r="AF439" s="20">
        <f t="shared" si="92"/>
        <v>0.93661797474622432</v>
      </c>
      <c r="AG439" s="20">
        <f t="shared" si="92"/>
        <v>0.93666982922201136</v>
      </c>
      <c r="AH439" s="20">
        <f t="shared" si="92"/>
        <v>0.93648170011806375</v>
      </c>
      <c r="AI439" s="20">
        <f t="shared" si="92"/>
        <v>0.93645251396648044</v>
      </c>
      <c r="AJ439" s="20">
        <f t="shared" si="92"/>
        <v>0.93646730276937395</v>
      </c>
      <c r="AK439" s="20">
        <f t="shared" si="92"/>
        <v>0.93665579878900795</v>
      </c>
    </row>
    <row r="440" spans="1:37" x14ac:dyDescent="0.25">
      <c r="A440" s="12">
        <f>$A$45</f>
        <v>30</v>
      </c>
      <c r="M440" s="12"/>
      <c r="N440" s="12"/>
      <c r="O440" s="12"/>
      <c r="P440" s="12"/>
      <c r="Q440" s="12"/>
      <c r="R440" s="12"/>
      <c r="S440" s="12"/>
      <c r="T440" s="20">
        <f>T$300/T$145</f>
        <v>0.93653648509763621</v>
      </c>
      <c r="U440" s="20">
        <f t="shared" ref="U440:AK440" si="93">U$300/U$145</f>
        <v>0.93668577384054197</v>
      </c>
      <c r="V440" s="20">
        <f t="shared" si="93"/>
        <v>0.93647432503970351</v>
      </c>
      <c r="W440" s="20">
        <f t="shared" si="93"/>
        <v>0.93655172413793109</v>
      </c>
      <c r="X440" s="20">
        <f t="shared" si="93"/>
        <v>0.93670183231538029</v>
      </c>
      <c r="Y440" s="20">
        <f t="shared" si="93"/>
        <v>0.93654390934844189</v>
      </c>
      <c r="Z440" s="20">
        <f t="shared" si="93"/>
        <v>0.93658671078025912</v>
      </c>
      <c r="AA440" s="20">
        <f t="shared" si="93"/>
        <v>0.93671591859492609</v>
      </c>
      <c r="AB440" s="20">
        <f t="shared" si="93"/>
        <v>0.93648533181429794</v>
      </c>
      <c r="AC440" s="20">
        <f t="shared" si="93"/>
        <v>0.93662758235622556</v>
      </c>
      <c r="AD440" s="20">
        <f t="shared" si="93"/>
        <v>0.93670198315675091</v>
      </c>
      <c r="AE440" s="20">
        <f t="shared" si="93"/>
        <v>0.9365591397849462</v>
      </c>
      <c r="AF440" s="20">
        <f t="shared" si="93"/>
        <v>0.93649960640251906</v>
      </c>
      <c r="AG440" s="20">
        <f t="shared" si="93"/>
        <v>0.9366748166259169</v>
      </c>
      <c r="AH440" s="20">
        <f t="shared" si="93"/>
        <v>0.93650421743205248</v>
      </c>
      <c r="AI440" s="20">
        <f t="shared" si="93"/>
        <v>0.93655236762304639</v>
      </c>
      <c r="AJ440" s="20">
        <f t="shared" si="93"/>
        <v>0.93652253909843608</v>
      </c>
      <c r="AK440" s="20">
        <f t="shared" si="93"/>
        <v>0.93653713497355717</v>
      </c>
    </row>
    <row r="441" spans="1:37" x14ac:dyDescent="0.25">
      <c r="A441" s="12">
        <f>$A$46</f>
        <v>31</v>
      </c>
      <c r="M441" s="12"/>
      <c r="N441" s="12"/>
      <c r="O441" s="12"/>
      <c r="P441" s="12"/>
      <c r="Q441" s="12"/>
      <c r="R441" s="12"/>
      <c r="S441" s="12"/>
      <c r="T441" s="20">
        <f>T$301/T$146</f>
        <v>0.93785450061652276</v>
      </c>
      <c r="U441" s="20">
        <f t="shared" ref="U441:AK441" si="94">U$301/U$146</f>
        <v>0.9376114081996435</v>
      </c>
      <c r="V441" s="20">
        <f t="shared" si="94"/>
        <v>0.93785456420835478</v>
      </c>
      <c r="W441" s="20">
        <f t="shared" si="94"/>
        <v>0.93771264066998172</v>
      </c>
      <c r="X441" s="20">
        <f t="shared" si="94"/>
        <v>0.93787465940054493</v>
      </c>
      <c r="Y441" s="20">
        <f t="shared" si="94"/>
        <v>0.9377911756645656</v>
      </c>
      <c r="Z441" s="20">
        <f t="shared" si="94"/>
        <v>0.93767467859139186</v>
      </c>
      <c r="AA441" s="20">
        <f t="shared" si="94"/>
        <v>0.93768707482993197</v>
      </c>
      <c r="AB441" s="20">
        <f t="shared" si="94"/>
        <v>0.93784378437843785</v>
      </c>
      <c r="AC441" s="20">
        <f t="shared" si="94"/>
        <v>0.93792134831460672</v>
      </c>
      <c r="AD441" s="20">
        <f t="shared" si="94"/>
        <v>0.93775819333516941</v>
      </c>
      <c r="AE441" s="20">
        <f t="shared" si="94"/>
        <v>0.93781827928169392</v>
      </c>
      <c r="AF441" s="20">
        <f t="shared" si="94"/>
        <v>0.93791456619793045</v>
      </c>
      <c r="AG441" s="20">
        <f t="shared" si="94"/>
        <v>0.9378399378399378</v>
      </c>
      <c r="AH441" s="20">
        <f t="shared" si="94"/>
        <v>0.93769620864525471</v>
      </c>
      <c r="AI441" s="20">
        <f t="shared" si="94"/>
        <v>0.93793422880963406</v>
      </c>
      <c r="AJ441" s="20">
        <f t="shared" si="94"/>
        <v>0.93797555914226427</v>
      </c>
      <c r="AK441" s="20">
        <f t="shared" si="94"/>
        <v>0.93771311661741308</v>
      </c>
    </row>
    <row r="442" spans="1:37" x14ac:dyDescent="0.25">
      <c r="A442" s="12">
        <f>$A$47</f>
        <v>32</v>
      </c>
      <c r="M442" s="12"/>
      <c r="N442" s="12"/>
      <c r="O442" s="12"/>
      <c r="P442" s="12"/>
      <c r="Q442" s="12"/>
      <c r="R442" s="12"/>
      <c r="S442" s="12"/>
      <c r="T442" s="20">
        <f>T$302/T$147</f>
        <v>0.94012404580152675</v>
      </c>
      <c r="U442" s="20">
        <f t="shared" ref="U442:AK442" si="95">U$302/U$147</f>
        <v>0.94008314991440445</v>
      </c>
      <c r="V442" s="20">
        <f t="shared" si="95"/>
        <v>0.93998991427130607</v>
      </c>
      <c r="W442" s="20">
        <f t="shared" si="95"/>
        <v>0.94005102040816324</v>
      </c>
      <c r="X442" s="20">
        <f t="shared" si="95"/>
        <v>0.94021739130434778</v>
      </c>
      <c r="Y442" s="20">
        <f t="shared" si="95"/>
        <v>0.94024226110363396</v>
      </c>
      <c r="Z442" s="20">
        <f t="shared" si="95"/>
        <v>0.94018944519621106</v>
      </c>
      <c r="AA442" s="20">
        <f t="shared" si="95"/>
        <v>0.94013793103448273</v>
      </c>
      <c r="AB442" s="20">
        <f t="shared" si="95"/>
        <v>0.94008597528210636</v>
      </c>
      <c r="AC442" s="20">
        <f t="shared" si="95"/>
        <v>0.94001085776330073</v>
      </c>
      <c r="AD442" s="20">
        <f t="shared" si="95"/>
        <v>0.94013303769401335</v>
      </c>
      <c r="AE442" s="20">
        <f t="shared" si="95"/>
        <v>0.94020114161456914</v>
      </c>
      <c r="AF442" s="20">
        <f t="shared" si="95"/>
        <v>0.94019581899973537</v>
      </c>
      <c r="AG442" s="20">
        <f t="shared" si="95"/>
        <v>0.94028287061288629</v>
      </c>
      <c r="AH442" s="20">
        <f t="shared" si="95"/>
        <v>0.94015345268542194</v>
      </c>
      <c r="AI442" s="20">
        <f t="shared" si="95"/>
        <v>0.94009546539379474</v>
      </c>
      <c r="AJ442" s="20">
        <f t="shared" si="95"/>
        <v>0.94023356995649188</v>
      </c>
      <c r="AK442" s="20">
        <f t="shared" si="95"/>
        <v>0.94005014816503307</v>
      </c>
    </row>
    <row r="443" spans="1:37" x14ac:dyDescent="0.25">
      <c r="A443" s="12">
        <f>$A$48</f>
        <v>33</v>
      </c>
      <c r="M443" s="12"/>
      <c r="N443" s="12"/>
      <c r="O443" s="12"/>
      <c r="P443" s="12"/>
      <c r="Q443" s="12"/>
      <c r="R443" s="12"/>
      <c r="S443" s="12"/>
      <c r="T443" s="20">
        <f>T$303/T$148</f>
        <v>0.94274269557021673</v>
      </c>
      <c r="U443" s="20">
        <f t="shared" ref="U443:AK443" si="96">U$303/U$148</f>
        <v>0.94251242015613912</v>
      </c>
      <c r="V443" s="20">
        <f t="shared" si="96"/>
        <v>0.94260111407120373</v>
      </c>
      <c r="W443" s="20">
        <f t="shared" si="96"/>
        <v>0.94262908455974059</v>
      </c>
      <c r="X443" s="20">
        <f t="shared" si="96"/>
        <v>0.94273461150353177</v>
      </c>
      <c r="Y443" s="20">
        <f t="shared" si="96"/>
        <v>0.94272564561493222</v>
      </c>
      <c r="Z443" s="20">
        <f t="shared" si="96"/>
        <v>0.94259899016741966</v>
      </c>
      <c r="AA443" s="20">
        <f t="shared" si="96"/>
        <v>0.94257478632478631</v>
      </c>
      <c r="AB443" s="20">
        <f t="shared" si="96"/>
        <v>0.94282602777021507</v>
      </c>
      <c r="AC443" s="20">
        <f t="shared" si="96"/>
        <v>0.94272076372315039</v>
      </c>
      <c r="AD443" s="20">
        <f t="shared" si="96"/>
        <v>0.94267345298687388</v>
      </c>
      <c r="AE443" s="20">
        <f t="shared" si="96"/>
        <v>0.94259158009841448</v>
      </c>
      <c r="AF443" s="20">
        <f t="shared" si="96"/>
        <v>0.9426119603110753</v>
      </c>
      <c r="AG443" s="20">
        <f t="shared" si="96"/>
        <v>0.94280490989814569</v>
      </c>
      <c r="AH443" s="20">
        <f t="shared" si="96"/>
        <v>0.94286452947259569</v>
      </c>
      <c r="AI443" s="20">
        <f t="shared" si="96"/>
        <v>0.94269123958596313</v>
      </c>
      <c r="AJ443" s="20">
        <f t="shared" si="96"/>
        <v>0.94268867924528299</v>
      </c>
      <c r="AK443" s="20">
        <f t="shared" si="96"/>
        <v>0.94273426889995471</v>
      </c>
    </row>
    <row r="444" spans="1:37" x14ac:dyDescent="0.25">
      <c r="A444" s="12">
        <f>$A$49</f>
        <v>34</v>
      </c>
      <c r="M444" s="12"/>
      <c r="N444" s="12"/>
      <c r="O444" s="12"/>
      <c r="P444" s="12"/>
      <c r="Q444" s="12"/>
      <c r="R444" s="12"/>
      <c r="S444" s="12"/>
      <c r="T444" s="20">
        <f>T$304/T$149</f>
        <v>0.94422027059102775</v>
      </c>
      <c r="U444" s="20">
        <f t="shared" ref="U444:AK444" si="97">U$304/U$149</f>
        <v>0.94414582846459449</v>
      </c>
      <c r="V444" s="20">
        <f t="shared" si="97"/>
        <v>0.94444444444444442</v>
      </c>
      <c r="W444" s="20">
        <f t="shared" si="97"/>
        <v>0.94437784703907934</v>
      </c>
      <c r="X444" s="20">
        <f t="shared" si="97"/>
        <v>0.94448556624722424</v>
      </c>
      <c r="Y444" s="20">
        <f t="shared" si="97"/>
        <v>0.94440289204687111</v>
      </c>
      <c r="Z444" s="20">
        <f t="shared" si="97"/>
        <v>0.94417782268249562</v>
      </c>
      <c r="AA444" s="20">
        <f t="shared" si="97"/>
        <v>0.94437155602204148</v>
      </c>
      <c r="AB444" s="20">
        <f t="shared" si="97"/>
        <v>0.94435654008438819</v>
      </c>
      <c r="AC444" s="20">
        <f t="shared" si="97"/>
        <v>0.94438473938742606</v>
      </c>
      <c r="AD444" s="20">
        <f t="shared" si="97"/>
        <v>0.94450261780104716</v>
      </c>
      <c r="AE444" s="20">
        <f t="shared" si="97"/>
        <v>0.94447382337387631</v>
      </c>
      <c r="AF444" s="20">
        <f t="shared" si="97"/>
        <v>0.94442945778257348</v>
      </c>
      <c r="AG444" s="20">
        <f t="shared" si="97"/>
        <v>0.94442974331833818</v>
      </c>
      <c r="AH444" s="20">
        <f t="shared" si="97"/>
        <v>0.94432989690721647</v>
      </c>
      <c r="AI444" s="20">
        <f t="shared" si="97"/>
        <v>0.94437356468486855</v>
      </c>
      <c r="AJ444" s="20">
        <f t="shared" si="97"/>
        <v>0.94440289204687111</v>
      </c>
      <c r="AK444" s="20">
        <f t="shared" si="97"/>
        <v>0.94430202749941738</v>
      </c>
    </row>
    <row r="445" spans="1:37" x14ac:dyDescent="0.25">
      <c r="A445" s="12">
        <f>$A$50</f>
        <v>35</v>
      </c>
      <c r="M445" s="12"/>
      <c r="N445" s="12"/>
      <c r="O445" s="12"/>
      <c r="P445" s="12"/>
      <c r="Q445" s="12"/>
      <c r="R445" s="12"/>
      <c r="S445" s="12"/>
      <c r="T445" s="20">
        <f>T$305/T$150</f>
        <v>0.94366887092823903</v>
      </c>
      <c r="U445" s="20">
        <f t="shared" ref="U445:AK445" si="98">U$305/U$150</f>
        <v>0.94373822975517896</v>
      </c>
      <c r="V445" s="20">
        <f t="shared" si="98"/>
        <v>0.94373697615188701</v>
      </c>
      <c r="W445" s="20">
        <f t="shared" si="98"/>
        <v>0.94361948955916475</v>
      </c>
      <c r="X445" s="20">
        <f t="shared" si="98"/>
        <v>0.94379890917714016</v>
      </c>
      <c r="Y445" s="20">
        <f t="shared" si="98"/>
        <v>0.94367227505486462</v>
      </c>
      <c r="Z445" s="20">
        <f t="shared" si="98"/>
        <v>0.94359605911330047</v>
      </c>
      <c r="AA445" s="20">
        <f t="shared" si="98"/>
        <v>0.94361277445109781</v>
      </c>
      <c r="AB445" s="20">
        <f t="shared" si="98"/>
        <v>0.94379694379694379</v>
      </c>
      <c r="AC445" s="20">
        <f t="shared" si="98"/>
        <v>0.94377928162415403</v>
      </c>
      <c r="AD445" s="20">
        <f t="shared" si="98"/>
        <v>0.9435462496686986</v>
      </c>
      <c r="AE445" s="20">
        <f t="shared" si="98"/>
        <v>0.94368380263497809</v>
      </c>
      <c r="AF445" s="20">
        <f t="shared" si="98"/>
        <v>0.94364727367597179</v>
      </c>
      <c r="AG445" s="20">
        <f t="shared" si="98"/>
        <v>0.9436020218143123</v>
      </c>
      <c r="AH445" s="20">
        <f t="shared" si="98"/>
        <v>0.94361785434612377</v>
      </c>
      <c r="AI445" s="20">
        <f t="shared" si="98"/>
        <v>0.94354018311291965</v>
      </c>
      <c r="AJ445" s="20">
        <f t="shared" si="98"/>
        <v>0.94384286074036772</v>
      </c>
      <c r="AK445" s="20">
        <f t="shared" si="98"/>
        <v>0.94365157480314965</v>
      </c>
    </row>
    <row r="446" spans="1:37" x14ac:dyDescent="0.25">
      <c r="A446" s="12">
        <f>$A$51</f>
        <v>36</v>
      </c>
      <c r="M446" s="12"/>
      <c r="N446" s="12"/>
      <c r="O446" s="12"/>
      <c r="P446" s="12"/>
      <c r="Q446" s="12"/>
      <c r="R446" s="12"/>
      <c r="S446" s="12"/>
      <c r="T446" s="20">
        <f>T$306/T$151</f>
        <v>0.94172839506172834</v>
      </c>
      <c r="U446" s="20">
        <f t="shared" ref="U446:AK446" si="99">U$306/U$151</f>
        <v>0.94171928120446824</v>
      </c>
      <c r="V446" s="20">
        <f t="shared" si="99"/>
        <v>0.94169776119402981</v>
      </c>
      <c r="W446" s="20">
        <f t="shared" si="99"/>
        <v>0.94155397662159068</v>
      </c>
      <c r="X446" s="20">
        <f t="shared" si="99"/>
        <v>0.94167623421354762</v>
      </c>
      <c r="Y446" s="20">
        <f t="shared" si="99"/>
        <v>0.94161781946072687</v>
      </c>
      <c r="Z446" s="20">
        <f t="shared" si="99"/>
        <v>0.94144578313253013</v>
      </c>
      <c r="AA446" s="20">
        <f t="shared" si="99"/>
        <v>0.94159162813336583</v>
      </c>
      <c r="AB446" s="20">
        <f t="shared" si="99"/>
        <v>0.94182893763864928</v>
      </c>
      <c r="AC446" s="20">
        <f t="shared" si="99"/>
        <v>0.94170288928662749</v>
      </c>
      <c r="AD446" s="20">
        <f t="shared" si="99"/>
        <v>0.94143334189571026</v>
      </c>
      <c r="AE446" s="20">
        <f t="shared" si="99"/>
        <v>0.94142259414225937</v>
      </c>
      <c r="AF446" s="20">
        <f t="shared" si="99"/>
        <v>0.94161142274349818</v>
      </c>
      <c r="AG446" s="20">
        <f t="shared" si="99"/>
        <v>0.94157014157014152</v>
      </c>
      <c r="AH446" s="20">
        <f t="shared" si="99"/>
        <v>0.94148517449488323</v>
      </c>
      <c r="AI446" s="20">
        <f t="shared" si="99"/>
        <v>0.94154004635591038</v>
      </c>
      <c r="AJ446" s="20">
        <f t="shared" si="99"/>
        <v>0.94151606425702816</v>
      </c>
      <c r="AK446" s="20">
        <f t="shared" si="99"/>
        <v>0.94160039761431413</v>
      </c>
    </row>
    <row r="447" spans="1:37" x14ac:dyDescent="0.25">
      <c r="A447" s="12">
        <f>$A$52</f>
        <v>37</v>
      </c>
      <c r="M447" s="12"/>
      <c r="N447" s="12"/>
      <c r="O447" s="12"/>
      <c r="P447" s="12"/>
      <c r="Q447" s="12"/>
      <c r="R447" s="12"/>
      <c r="S447" s="12"/>
      <c r="T447" s="20">
        <f>T$307/T$152</f>
        <v>0.94052419354838712</v>
      </c>
      <c r="U447" s="20">
        <f t="shared" ref="U447:AK447" si="100">U$307/U$152</f>
        <v>0.94048493754592211</v>
      </c>
      <c r="V447" s="20">
        <f t="shared" si="100"/>
        <v>0.94056785370548601</v>
      </c>
      <c r="W447" s="20">
        <f t="shared" si="100"/>
        <v>0.94063294063294067</v>
      </c>
      <c r="X447" s="20">
        <f t="shared" si="100"/>
        <v>0.9403086699954607</v>
      </c>
      <c r="Y447" s="20">
        <f t="shared" si="100"/>
        <v>0.94045454545454543</v>
      </c>
      <c r="Z447" s="20">
        <f t="shared" si="100"/>
        <v>0.94038506147065648</v>
      </c>
      <c r="AA447" s="20">
        <f t="shared" si="100"/>
        <v>0.94041944709246905</v>
      </c>
      <c r="AB447" s="20">
        <f t="shared" si="100"/>
        <v>0.94056785370548601</v>
      </c>
      <c r="AC447" s="20">
        <f t="shared" si="100"/>
        <v>0.94056029232643124</v>
      </c>
      <c r="AD447" s="20">
        <f t="shared" si="100"/>
        <v>0.94038898711795904</v>
      </c>
      <c r="AE447" s="20">
        <f t="shared" si="100"/>
        <v>0.94037046434914995</v>
      </c>
      <c r="AF447" s="20">
        <f t="shared" si="100"/>
        <v>0.94059917355371903</v>
      </c>
      <c r="AG447" s="20">
        <f t="shared" si="100"/>
        <v>0.9403173004281038</v>
      </c>
      <c r="AH447" s="20">
        <f t="shared" si="100"/>
        <v>0.94051855617691915</v>
      </c>
      <c r="AI447" s="20">
        <f t="shared" si="100"/>
        <v>0.94041450777202074</v>
      </c>
      <c r="AJ447" s="20">
        <f t="shared" si="100"/>
        <v>0.94050343249427915</v>
      </c>
      <c r="AK447" s="20">
        <f t="shared" si="100"/>
        <v>0.94050570153693602</v>
      </c>
    </row>
    <row r="448" spans="1:37" x14ac:dyDescent="0.25">
      <c r="A448" s="12">
        <f>$A$53</f>
        <v>38</v>
      </c>
      <c r="M448" s="12"/>
      <c r="N448" s="12"/>
      <c r="O448" s="12"/>
      <c r="P448" s="12"/>
      <c r="Q448" s="12"/>
      <c r="R448" s="12"/>
      <c r="S448" s="12"/>
      <c r="T448" s="20">
        <f>T$308/T$153</f>
        <v>0.9391464699683878</v>
      </c>
      <c r="U448" s="20">
        <f t="shared" ref="U448:AK448" si="101">U$308/U$153</f>
        <v>0.93948487121780444</v>
      </c>
      <c r="V448" s="20">
        <f t="shared" si="101"/>
        <v>0.93932038834951459</v>
      </c>
      <c r="W448" s="20">
        <f t="shared" si="101"/>
        <v>0.93922783603431836</v>
      </c>
      <c r="X448" s="20">
        <f t="shared" si="101"/>
        <v>0.9391443605582247</v>
      </c>
      <c r="Y448" s="20">
        <f t="shared" si="101"/>
        <v>0.93931220498988532</v>
      </c>
      <c r="Z448" s="20">
        <f t="shared" si="101"/>
        <v>0.9392439243924392</v>
      </c>
      <c r="AA448" s="20">
        <f t="shared" si="101"/>
        <v>0.93938002296211254</v>
      </c>
      <c r="AB448" s="20">
        <f t="shared" si="101"/>
        <v>0.93940108464984673</v>
      </c>
      <c r="AC448" s="20">
        <f t="shared" si="101"/>
        <v>0.93931461208948119</v>
      </c>
      <c r="AD448" s="20">
        <f t="shared" si="101"/>
        <v>0.93929173693085999</v>
      </c>
      <c r="AE448" s="20">
        <f t="shared" si="101"/>
        <v>0.93932584269662922</v>
      </c>
      <c r="AF448" s="20">
        <f t="shared" si="101"/>
        <v>0.93931795386158479</v>
      </c>
      <c r="AG448" s="20">
        <f t="shared" si="101"/>
        <v>0.939270221995407</v>
      </c>
      <c r="AH448" s="20">
        <f t="shared" si="101"/>
        <v>0.93927327028372321</v>
      </c>
      <c r="AI448" s="20">
        <f t="shared" si="101"/>
        <v>0.93946244662145184</v>
      </c>
      <c r="AJ448" s="20">
        <f t="shared" si="101"/>
        <v>0.93935516888433979</v>
      </c>
      <c r="AK448" s="20">
        <f t="shared" si="101"/>
        <v>0.9392112534539061</v>
      </c>
    </row>
    <row r="449" spans="1:37" x14ac:dyDescent="0.25">
      <c r="A449" s="12">
        <f>$A$54</f>
        <v>39</v>
      </c>
      <c r="M449" s="12"/>
      <c r="N449" s="12"/>
      <c r="O449" s="12"/>
      <c r="P449" s="12"/>
      <c r="Q449" s="12"/>
      <c r="R449" s="12"/>
      <c r="S449" s="12"/>
      <c r="T449" s="20">
        <f>T$309/T$154</f>
        <v>0.93803879310344829</v>
      </c>
      <c r="U449" s="20">
        <f t="shared" ref="U449:AK449" si="102">U$309/U$154</f>
        <v>0.93802301255230125</v>
      </c>
      <c r="V449" s="20">
        <f t="shared" si="102"/>
        <v>0.93801140590131415</v>
      </c>
      <c r="W449" s="20">
        <f t="shared" si="102"/>
        <v>0.93792107795957647</v>
      </c>
      <c r="X449" s="20">
        <f t="shared" si="102"/>
        <v>0.93811998110533779</v>
      </c>
      <c r="Y449" s="20">
        <f t="shared" si="102"/>
        <v>0.93809523809523809</v>
      </c>
      <c r="Z449" s="20">
        <f t="shared" si="102"/>
        <v>0.93807083983069728</v>
      </c>
      <c r="AA449" s="20">
        <f t="shared" si="102"/>
        <v>0.93801560758082492</v>
      </c>
      <c r="AB449" s="20">
        <f t="shared" si="102"/>
        <v>0.93813964066408917</v>
      </c>
      <c r="AC449" s="20">
        <f t="shared" si="102"/>
        <v>0.93812748073780061</v>
      </c>
      <c r="AD449" s="20">
        <f t="shared" si="102"/>
        <v>0.93803016022620167</v>
      </c>
      <c r="AE449" s="20">
        <f t="shared" si="102"/>
        <v>0.93823038397328884</v>
      </c>
      <c r="AF449" s="20">
        <f t="shared" si="102"/>
        <v>0.93800938503334153</v>
      </c>
      <c r="AG449" s="20">
        <f t="shared" si="102"/>
        <v>0.9379806499627884</v>
      </c>
      <c r="AH449" s="20">
        <f t="shared" si="102"/>
        <v>0.93817814786777698</v>
      </c>
      <c r="AI449" s="20">
        <f t="shared" si="102"/>
        <v>0.93796159527326439</v>
      </c>
      <c r="AJ449" s="20">
        <f t="shared" si="102"/>
        <v>0.93790362642821656</v>
      </c>
      <c r="AK449" s="20">
        <f t="shared" si="102"/>
        <v>0.93802175562863643</v>
      </c>
    </row>
    <row r="450" spans="1:37" x14ac:dyDescent="0.25">
      <c r="A450" s="12">
        <f>$A$55</f>
        <v>40</v>
      </c>
      <c r="M450" s="12"/>
      <c r="N450" s="12"/>
      <c r="O450" s="12"/>
      <c r="P450" s="12"/>
      <c r="Q450" s="12"/>
      <c r="R450" s="12"/>
      <c r="S450" s="12"/>
      <c r="T450" s="20">
        <f>T$310/T$155</f>
        <v>0.93673635623133311</v>
      </c>
      <c r="U450" s="20">
        <f t="shared" ref="U450:AK450" si="103">U$310/U$155</f>
        <v>0.93656316916488225</v>
      </c>
      <c r="V450" s="20">
        <f t="shared" si="103"/>
        <v>0.93667272255385414</v>
      </c>
      <c r="W450" s="20">
        <f t="shared" si="103"/>
        <v>0.93651574803149606</v>
      </c>
      <c r="X450" s="20">
        <f t="shared" si="103"/>
        <v>0.93673907853903082</v>
      </c>
      <c r="Y450" s="20">
        <f t="shared" si="103"/>
        <v>0.93673851921274598</v>
      </c>
      <c r="Z450" s="20">
        <f t="shared" si="103"/>
        <v>0.93678290213723281</v>
      </c>
      <c r="AA450" s="20">
        <f t="shared" si="103"/>
        <v>0.93657458563535911</v>
      </c>
      <c r="AB450" s="20">
        <f t="shared" si="103"/>
        <v>0.93673965936739656</v>
      </c>
      <c r="AC450" s="20">
        <f t="shared" si="103"/>
        <v>0.93683735619219488</v>
      </c>
      <c r="AD450" s="20">
        <f t="shared" si="103"/>
        <v>0.93680555555555556</v>
      </c>
      <c r="AE450" s="20">
        <f t="shared" si="103"/>
        <v>0.93669703340341037</v>
      </c>
      <c r="AF450" s="20">
        <f t="shared" si="103"/>
        <v>0.93665800047270154</v>
      </c>
      <c r="AG450" s="20">
        <f t="shared" si="103"/>
        <v>0.93685756240822315</v>
      </c>
      <c r="AH450" s="20">
        <f t="shared" si="103"/>
        <v>0.93659375768001962</v>
      </c>
      <c r="AI450" s="20">
        <f t="shared" si="103"/>
        <v>0.93676580854786307</v>
      </c>
      <c r="AJ450" s="20">
        <f t="shared" si="103"/>
        <v>0.93660082906608144</v>
      </c>
      <c r="AK450" s="20">
        <f t="shared" si="103"/>
        <v>0.93653136531365311</v>
      </c>
    </row>
    <row r="451" spans="1:37" x14ac:dyDescent="0.25">
      <c r="A451" s="12">
        <f>$A$56</f>
        <v>41</v>
      </c>
      <c r="M451" s="12"/>
      <c r="N451" s="12"/>
      <c r="O451" s="12"/>
      <c r="P451" s="12"/>
      <c r="Q451" s="12"/>
      <c r="R451" s="12"/>
      <c r="S451" s="12"/>
      <c r="T451" s="20">
        <f>T$311/T$156</f>
        <v>0.93543917982820723</v>
      </c>
      <c r="U451" s="20">
        <f t="shared" ref="U451:AK451" si="104">U$311/U$156</f>
        <v>0.93522267206477738</v>
      </c>
      <c r="V451" s="20">
        <f t="shared" si="104"/>
        <v>0.93540669856459335</v>
      </c>
      <c r="W451" s="20">
        <f t="shared" si="104"/>
        <v>0.93532594692089666</v>
      </c>
      <c r="X451" s="20">
        <f t="shared" si="104"/>
        <v>0.93527112848070348</v>
      </c>
      <c r="Y451" s="20">
        <f t="shared" si="104"/>
        <v>0.93530805687203789</v>
      </c>
      <c r="Z451" s="20">
        <f t="shared" si="104"/>
        <v>0.93534883720930229</v>
      </c>
      <c r="AA451" s="20">
        <f t="shared" si="104"/>
        <v>0.93523894595801693</v>
      </c>
      <c r="AB451" s="20">
        <f t="shared" si="104"/>
        <v>0.93548387096774188</v>
      </c>
      <c r="AC451" s="20">
        <f t="shared" si="104"/>
        <v>0.93544137022397889</v>
      </c>
      <c r="AD451" s="20">
        <f t="shared" si="104"/>
        <v>0.93530333557197221</v>
      </c>
      <c r="AE451" s="20">
        <f t="shared" si="104"/>
        <v>0.93523197060174557</v>
      </c>
      <c r="AF451" s="20">
        <f t="shared" si="104"/>
        <v>0.9353418308227115</v>
      </c>
      <c r="AG451" s="20">
        <f t="shared" si="104"/>
        <v>0.93528722157092614</v>
      </c>
      <c r="AH451" s="20">
        <f t="shared" si="104"/>
        <v>0.93545256005823829</v>
      </c>
      <c r="AI451" s="20">
        <f t="shared" si="104"/>
        <v>0.93542884990253417</v>
      </c>
      <c r="AJ451" s="20">
        <f t="shared" si="104"/>
        <v>0.93534803071587813</v>
      </c>
      <c r="AK451" s="20">
        <f t="shared" si="104"/>
        <v>0.9354448742746615</v>
      </c>
    </row>
    <row r="452" spans="1:37" x14ac:dyDescent="0.25">
      <c r="A452" s="12">
        <f>$A$57</f>
        <v>42</v>
      </c>
      <c r="M452" s="12"/>
      <c r="N452" s="12"/>
      <c r="O452" s="12"/>
      <c r="P452" s="12"/>
      <c r="Q452" s="12"/>
      <c r="R452" s="12"/>
      <c r="S452" s="12"/>
      <c r="T452" s="20">
        <f>T$312/T$157</f>
        <v>0.93379191745485812</v>
      </c>
      <c r="U452" s="20">
        <f t="shared" ref="U452:AK452" si="105">U$312/U$157</f>
        <v>0.93382961124896613</v>
      </c>
      <c r="V452" s="20">
        <f t="shared" si="105"/>
        <v>0.93397745571658619</v>
      </c>
      <c r="W452" s="20">
        <f t="shared" si="105"/>
        <v>0.933703116745906</v>
      </c>
      <c r="X452" s="20">
        <f t="shared" si="105"/>
        <v>0.93370872792423854</v>
      </c>
      <c r="Y452" s="20">
        <f t="shared" si="105"/>
        <v>0.93398058252427185</v>
      </c>
      <c r="Z452" s="20">
        <f t="shared" si="105"/>
        <v>0.93383564869319524</v>
      </c>
      <c r="AA452" s="20">
        <f t="shared" si="105"/>
        <v>0.93391866913123844</v>
      </c>
      <c r="AB452" s="20">
        <f t="shared" si="105"/>
        <v>0.93385127635960041</v>
      </c>
      <c r="AC452" s="20">
        <f t="shared" si="105"/>
        <v>0.9339149400218103</v>
      </c>
      <c r="AD452" s="20">
        <f t="shared" si="105"/>
        <v>0.93387167175905716</v>
      </c>
      <c r="AE452" s="20">
        <f t="shared" si="105"/>
        <v>0.93392658509454951</v>
      </c>
      <c r="AF452" s="20">
        <f t="shared" si="105"/>
        <v>0.93383527264430755</v>
      </c>
      <c r="AG452" s="20">
        <f t="shared" si="105"/>
        <v>0.93393186003683237</v>
      </c>
      <c r="AH452" s="20">
        <f t="shared" si="105"/>
        <v>0.93387660069848666</v>
      </c>
      <c r="AI452" s="20">
        <f t="shared" si="105"/>
        <v>0.93399180920260183</v>
      </c>
      <c r="AJ452" s="20">
        <f t="shared" si="105"/>
        <v>0.93373639661426844</v>
      </c>
      <c r="AK452" s="20">
        <f t="shared" si="105"/>
        <v>0.93387413962635202</v>
      </c>
    </row>
    <row r="453" spans="1:37" x14ac:dyDescent="0.25">
      <c r="A453" s="12">
        <f>$A$58</f>
        <v>43</v>
      </c>
      <c r="M453" s="12"/>
      <c r="N453" s="12"/>
      <c r="O453" s="12"/>
      <c r="P453" s="12"/>
      <c r="Q453" s="12"/>
      <c r="R453" s="12"/>
      <c r="S453" s="12"/>
      <c r="T453" s="20">
        <f>T$313/T$158</f>
        <v>0.93229777256740909</v>
      </c>
      <c r="U453" s="20">
        <f t="shared" ref="U453:AK453" si="106">U$313/U$158</f>
        <v>0.93234370539537537</v>
      </c>
      <c r="V453" s="20">
        <f t="shared" si="106"/>
        <v>0.93249176728869376</v>
      </c>
      <c r="W453" s="20">
        <f t="shared" si="106"/>
        <v>0.93219434063000539</v>
      </c>
      <c r="X453" s="20">
        <f t="shared" si="106"/>
        <v>0.93223010244286841</v>
      </c>
      <c r="Y453" s="20">
        <f t="shared" si="106"/>
        <v>0.93229829473148385</v>
      </c>
      <c r="Z453" s="20">
        <f t="shared" si="106"/>
        <v>0.93217475259473814</v>
      </c>
      <c r="AA453" s="20">
        <f t="shared" si="106"/>
        <v>0.93231850117096016</v>
      </c>
      <c r="AB453" s="20">
        <f t="shared" si="106"/>
        <v>0.93219949436911054</v>
      </c>
      <c r="AC453" s="20">
        <f t="shared" si="106"/>
        <v>0.93221461691322582</v>
      </c>
      <c r="AD453" s="20">
        <f t="shared" si="106"/>
        <v>0.93230635712735954</v>
      </c>
      <c r="AE453" s="20">
        <f t="shared" si="106"/>
        <v>0.93226226660877121</v>
      </c>
      <c r="AF453" s="20">
        <f t="shared" si="106"/>
        <v>0.93228590396105337</v>
      </c>
      <c r="AG453" s="20">
        <f t="shared" si="106"/>
        <v>0.93238030406172001</v>
      </c>
      <c r="AH453" s="20">
        <f t="shared" si="106"/>
        <v>0.93224994277866791</v>
      </c>
      <c r="AI453" s="20">
        <f t="shared" si="106"/>
        <v>0.93240740740740746</v>
      </c>
      <c r="AJ453" s="20">
        <f t="shared" si="106"/>
        <v>0.93224802489825231</v>
      </c>
      <c r="AK453" s="20">
        <f t="shared" si="106"/>
        <v>0.93245192307692304</v>
      </c>
    </row>
    <row r="454" spans="1:37" x14ac:dyDescent="0.25">
      <c r="A454" s="12">
        <f>$A$59</f>
        <v>44</v>
      </c>
      <c r="M454" s="12"/>
      <c r="N454" s="12"/>
      <c r="O454" s="12"/>
      <c r="P454" s="12"/>
      <c r="Q454" s="12"/>
      <c r="R454" s="12"/>
      <c r="S454" s="12"/>
      <c r="T454" s="20">
        <f>T$314/T$159</f>
        <v>0.93142857142857138</v>
      </c>
      <c r="U454" s="20">
        <f t="shared" ref="U454:AK454" si="107">U$314/U$159</f>
        <v>0.93130663548669979</v>
      </c>
      <c r="V454" s="20">
        <f t="shared" si="107"/>
        <v>0.93143669985775246</v>
      </c>
      <c r="W454" s="20">
        <f t="shared" si="107"/>
        <v>0.9313832695462001</v>
      </c>
      <c r="X454" s="20">
        <f t="shared" si="107"/>
        <v>0.93140122307896833</v>
      </c>
      <c r="Y454" s="20">
        <f t="shared" si="107"/>
        <v>0.9312058592728224</v>
      </c>
      <c r="Z454" s="20">
        <f t="shared" si="107"/>
        <v>0.9315589353612167</v>
      </c>
      <c r="AA454" s="20">
        <f t="shared" si="107"/>
        <v>0.93125000000000002</v>
      </c>
      <c r="AB454" s="20">
        <f t="shared" si="107"/>
        <v>0.93142057382785159</v>
      </c>
      <c r="AC454" s="20">
        <f t="shared" si="107"/>
        <v>0.93131868131868134</v>
      </c>
      <c r="AD454" s="20">
        <f t="shared" si="107"/>
        <v>0.93136823581170258</v>
      </c>
      <c r="AE454" s="20">
        <f t="shared" si="107"/>
        <v>0.93125810635538264</v>
      </c>
      <c r="AF454" s="20">
        <f t="shared" si="107"/>
        <v>0.93122837370242217</v>
      </c>
      <c r="AG454" s="20">
        <f t="shared" si="107"/>
        <v>0.93145250165307469</v>
      </c>
      <c r="AH454" s="20">
        <f t="shared" si="107"/>
        <v>0.93131495707184819</v>
      </c>
      <c r="AI454" s="20">
        <f t="shared" si="107"/>
        <v>0.93117593436645396</v>
      </c>
      <c r="AJ454" s="20">
        <f t="shared" si="107"/>
        <v>0.93132058077898128</v>
      </c>
      <c r="AK454" s="20">
        <f t="shared" si="107"/>
        <v>0.93136320305052434</v>
      </c>
    </row>
    <row r="455" spans="1:37" x14ac:dyDescent="0.25">
      <c r="A455" s="12">
        <f>$A$60</f>
        <v>45</v>
      </c>
      <c r="M455" s="12"/>
      <c r="N455" s="12"/>
      <c r="O455" s="12"/>
      <c r="P455" s="12"/>
      <c r="Q455" s="12"/>
      <c r="R455" s="12"/>
      <c r="S455" s="12"/>
      <c r="T455" s="20">
        <f>T$315/T$160</f>
        <v>0.93134513824168996</v>
      </c>
      <c r="U455" s="20">
        <f t="shared" ref="U455:AK455" si="108">U$315/U$160</f>
        <v>0.93123123123123119</v>
      </c>
      <c r="V455" s="20">
        <f t="shared" si="108"/>
        <v>0.93117526975794696</v>
      </c>
      <c r="W455" s="20">
        <f t="shared" si="108"/>
        <v>0.93132803632236094</v>
      </c>
      <c r="X455" s="20">
        <f t="shared" si="108"/>
        <v>0.93131643499591166</v>
      </c>
      <c r="Y455" s="20">
        <f t="shared" si="108"/>
        <v>0.9313361611876988</v>
      </c>
      <c r="Z455" s="20">
        <f t="shared" si="108"/>
        <v>0.93116036505867017</v>
      </c>
      <c r="AA455" s="20">
        <f t="shared" si="108"/>
        <v>0.93127842344618494</v>
      </c>
      <c r="AB455" s="20">
        <f t="shared" si="108"/>
        <v>0.93120805369127513</v>
      </c>
      <c r="AC455" s="20">
        <f t="shared" si="108"/>
        <v>0.93137939055594321</v>
      </c>
      <c r="AD455" s="20">
        <f t="shared" si="108"/>
        <v>0.93106596667427532</v>
      </c>
      <c r="AE455" s="20">
        <f t="shared" si="108"/>
        <v>0.93132953049583156</v>
      </c>
      <c r="AF455" s="20">
        <f t="shared" si="108"/>
        <v>0.93123517999568872</v>
      </c>
      <c r="AG455" s="20">
        <f t="shared" si="108"/>
        <v>0.93120552081086905</v>
      </c>
      <c r="AH455" s="20">
        <f t="shared" si="108"/>
        <v>0.93120879120879119</v>
      </c>
      <c r="AI455" s="20">
        <f t="shared" si="108"/>
        <v>0.9312908312683037</v>
      </c>
      <c r="AJ455" s="20">
        <f t="shared" si="108"/>
        <v>0.9311676510676965</v>
      </c>
      <c r="AK455" s="20">
        <f t="shared" si="108"/>
        <v>0.93131173903055364</v>
      </c>
    </row>
    <row r="456" spans="1:37" x14ac:dyDescent="0.25">
      <c r="A456" s="12">
        <f>$A$61</f>
        <v>46</v>
      </c>
      <c r="M456" s="12"/>
      <c r="N456" s="12"/>
      <c r="O456" s="12"/>
      <c r="P456" s="12"/>
      <c r="Q456" s="12"/>
      <c r="R456" s="12"/>
      <c r="S456" s="12"/>
      <c r="T456" s="20">
        <f>T$316/T$161</f>
        <v>0.93162670123136748</v>
      </c>
      <c r="U456" s="20">
        <f t="shared" ref="U456:AK456" si="109">U$316/U$161</f>
        <v>0.93167701863354035</v>
      </c>
      <c r="V456" s="20">
        <f t="shared" si="109"/>
        <v>0.93159315931593156</v>
      </c>
      <c r="W456" s="20">
        <f t="shared" si="109"/>
        <v>0.93183804252840086</v>
      </c>
      <c r="X456" s="20">
        <f t="shared" si="109"/>
        <v>0.93172804532577902</v>
      </c>
      <c r="Y456" s="20">
        <f t="shared" si="109"/>
        <v>0.93170068027210884</v>
      </c>
      <c r="Z456" s="20">
        <f t="shared" si="109"/>
        <v>0.93172797036252974</v>
      </c>
      <c r="AA456" s="20">
        <f t="shared" si="109"/>
        <v>0.93154606975533572</v>
      </c>
      <c r="AB456" s="20">
        <f t="shared" si="109"/>
        <v>0.93165195460277428</v>
      </c>
      <c r="AC456" s="20">
        <f t="shared" si="109"/>
        <v>0.93156257477865523</v>
      </c>
      <c r="AD456" s="20">
        <f t="shared" si="109"/>
        <v>0.93172317696237805</v>
      </c>
      <c r="AE456" s="20">
        <f t="shared" si="109"/>
        <v>0.93163172288058338</v>
      </c>
      <c r="AF456" s="20">
        <f t="shared" si="109"/>
        <v>0.93144984669294784</v>
      </c>
      <c r="AG456" s="20">
        <f t="shared" si="109"/>
        <v>0.93155402496771411</v>
      </c>
      <c r="AH456" s="20">
        <f t="shared" si="109"/>
        <v>0.93173987941429803</v>
      </c>
      <c r="AI456" s="20">
        <f t="shared" si="109"/>
        <v>0.93176831943835015</v>
      </c>
      <c r="AJ456" s="20">
        <f t="shared" si="109"/>
        <v>0.93165467625899279</v>
      </c>
      <c r="AK456" s="20">
        <f t="shared" si="109"/>
        <v>0.93174603174603177</v>
      </c>
    </row>
    <row r="457" spans="1:37" x14ac:dyDescent="0.25">
      <c r="A457" s="12">
        <f>$A$62</f>
        <v>47</v>
      </c>
      <c r="M457" s="12"/>
      <c r="N457" s="12"/>
      <c r="O457" s="12"/>
      <c r="P457" s="12"/>
      <c r="Q457" s="12"/>
      <c r="R457" s="12"/>
      <c r="S457" s="12"/>
      <c r="T457" s="20">
        <f>T$317/T$162</f>
        <v>0.93217614914818392</v>
      </c>
      <c r="U457" s="20">
        <f t="shared" ref="U457:AK457" si="110">U$317/U$162</f>
        <v>0.93220888744729158</v>
      </c>
      <c r="V457" s="20">
        <f t="shared" si="110"/>
        <v>0.9319875776397516</v>
      </c>
      <c r="W457" s="20">
        <f t="shared" si="110"/>
        <v>0.93221355728854227</v>
      </c>
      <c r="X457" s="20">
        <f t="shared" si="110"/>
        <v>0.93216885007278016</v>
      </c>
      <c r="Y457" s="20">
        <f t="shared" si="110"/>
        <v>0.93206906311916216</v>
      </c>
      <c r="Z457" s="20">
        <f t="shared" si="110"/>
        <v>0.93230016313213704</v>
      </c>
      <c r="AA457" s="20">
        <f t="shared" si="110"/>
        <v>0.93231094658910629</v>
      </c>
      <c r="AB457" s="20">
        <f t="shared" si="110"/>
        <v>0.93211963589076718</v>
      </c>
      <c r="AC457" s="20">
        <f t="shared" si="110"/>
        <v>0.93220766129032262</v>
      </c>
      <c r="AD457" s="20">
        <f t="shared" si="110"/>
        <v>0.9320899091343855</v>
      </c>
      <c r="AE457" s="20">
        <f t="shared" si="110"/>
        <v>0.93201856148491879</v>
      </c>
      <c r="AF457" s="20">
        <f t="shared" si="110"/>
        <v>0.93213391027100889</v>
      </c>
      <c r="AG457" s="20">
        <f t="shared" si="110"/>
        <v>0.93215145546071354</v>
      </c>
      <c r="AH457" s="20">
        <f t="shared" si="110"/>
        <v>0.93204301075268814</v>
      </c>
      <c r="AI457" s="20">
        <f t="shared" si="110"/>
        <v>0.93222891566265065</v>
      </c>
      <c r="AJ457" s="20">
        <f t="shared" si="110"/>
        <v>0.93206223975454749</v>
      </c>
      <c r="AK457" s="20">
        <f t="shared" si="110"/>
        <v>0.93216531895777177</v>
      </c>
    </row>
    <row r="458" spans="1:37" x14ac:dyDescent="0.25">
      <c r="A458" s="12">
        <f>$A$63</f>
        <v>48</v>
      </c>
      <c r="M458" s="12"/>
      <c r="N458" s="12"/>
      <c r="O458" s="12"/>
      <c r="P458" s="12"/>
      <c r="Q458" s="12"/>
      <c r="R458" s="12"/>
      <c r="S458" s="12"/>
      <c r="T458" s="20">
        <f>T$318/T$163</f>
        <v>0.93218128464297356</v>
      </c>
      <c r="U458" s="20">
        <f t="shared" ref="U458:AK458" si="111">U$318/U$163</f>
        <v>0.93266752577319589</v>
      </c>
      <c r="V458" s="20">
        <f t="shared" si="111"/>
        <v>0.93244559922052617</v>
      </c>
      <c r="W458" s="20">
        <f t="shared" si="111"/>
        <v>0.9322350015542431</v>
      </c>
      <c r="X458" s="20">
        <f t="shared" si="111"/>
        <v>0.93247298919567823</v>
      </c>
      <c r="Y458" s="20">
        <f t="shared" si="111"/>
        <v>0.93244030285381474</v>
      </c>
      <c r="Z458" s="20">
        <f t="shared" si="111"/>
        <v>0.93233295583238962</v>
      </c>
      <c r="AA458" s="20">
        <f t="shared" si="111"/>
        <v>0.93255371226543382</v>
      </c>
      <c r="AB458" s="20">
        <f t="shared" si="111"/>
        <v>0.93231094658910629</v>
      </c>
      <c r="AC458" s="20">
        <f t="shared" si="111"/>
        <v>0.93237971391417429</v>
      </c>
      <c r="AD458" s="20">
        <f t="shared" si="111"/>
        <v>0.93245967741935487</v>
      </c>
      <c r="AE458" s="20">
        <f t="shared" si="111"/>
        <v>0.93255202104759627</v>
      </c>
      <c r="AF458" s="20">
        <f t="shared" si="111"/>
        <v>0.9324669296820608</v>
      </c>
      <c r="AG458" s="20">
        <f t="shared" si="111"/>
        <v>0.93236164882714645</v>
      </c>
      <c r="AH458" s="20">
        <f t="shared" si="111"/>
        <v>0.93257443082311731</v>
      </c>
      <c r="AI458" s="20">
        <f t="shared" si="111"/>
        <v>0.93245859324585934</v>
      </c>
      <c r="AJ458" s="20">
        <f t="shared" si="111"/>
        <v>0.93244406196213425</v>
      </c>
      <c r="AK458" s="20">
        <f t="shared" si="111"/>
        <v>0.93228139381985531</v>
      </c>
    </row>
    <row r="459" spans="1:37" x14ac:dyDescent="0.25">
      <c r="A459" s="12">
        <f>$A$64</f>
        <v>49</v>
      </c>
      <c r="M459" s="12"/>
      <c r="N459" s="12"/>
      <c r="O459" s="12"/>
      <c r="P459" s="12"/>
      <c r="Q459" s="12"/>
      <c r="R459" s="12"/>
      <c r="S459" s="12"/>
      <c r="T459" s="20">
        <f>T$319/T$164</f>
        <v>0.93198828506345588</v>
      </c>
      <c r="U459" s="20">
        <f t="shared" ref="U459:AK459" si="112">U$319/U$164</f>
        <v>0.9319594373568858</v>
      </c>
      <c r="V459" s="20">
        <f t="shared" si="112"/>
        <v>0.9321924443009364</v>
      </c>
      <c r="W459" s="20">
        <f t="shared" si="112"/>
        <v>0.93198828506345588</v>
      </c>
      <c r="X459" s="20">
        <f t="shared" si="112"/>
        <v>0.93210837745250696</v>
      </c>
      <c r="Y459" s="20">
        <f t="shared" si="112"/>
        <v>0.9320709347760745</v>
      </c>
      <c r="Z459" s="20">
        <f t="shared" si="112"/>
        <v>0.93206997084548104</v>
      </c>
      <c r="AA459" s="20">
        <f t="shared" si="112"/>
        <v>0.93223702863623481</v>
      </c>
      <c r="AB459" s="20">
        <f t="shared" si="112"/>
        <v>0.93193574734549411</v>
      </c>
      <c r="AC459" s="20">
        <f t="shared" si="112"/>
        <v>0.93195657929573739</v>
      </c>
      <c r="AD459" s="20">
        <f t="shared" si="112"/>
        <v>0.93203124999999998</v>
      </c>
      <c r="AE459" s="20">
        <f t="shared" si="112"/>
        <v>0.93212212969972241</v>
      </c>
      <c r="AF459" s="20">
        <f t="shared" si="112"/>
        <v>0.93200861862580797</v>
      </c>
      <c r="AG459" s="20">
        <f t="shared" si="112"/>
        <v>0.9319396051103368</v>
      </c>
      <c r="AH459" s="20">
        <f t="shared" si="112"/>
        <v>0.93205654354765166</v>
      </c>
      <c r="AI459" s="20">
        <f t="shared" si="112"/>
        <v>0.93207712532865905</v>
      </c>
      <c r="AJ459" s="20">
        <f t="shared" si="112"/>
        <v>0.9319698600645856</v>
      </c>
      <c r="AK459" s="20">
        <f t="shared" si="112"/>
        <v>0.93195521102497847</v>
      </c>
    </row>
    <row r="460" spans="1:37" x14ac:dyDescent="0.25">
      <c r="A460" s="12">
        <f>$A$65</f>
        <v>50</v>
      </c>
      <c r="M460" s="12"/>
      <c r="N460" s="12"/>
      <c r="O460" s="12"/>
      <c r="P460" s="12"/>
      <c r="Q460" s="12"/>
      <c r="R460" s="12"/>
      <c r="S460" s="12"/>
      <c r="T460" s="20">
        <f>T$320/T$165</f>
        <v>0.93074003795066418</v>
      </c>
      <c r="U460" s="20">
        <f t="shared" ref="U460:AK460" si="113">U$320/U$165</f>
        <v>0.93074158771643256</v>
      </c>
      <c r="V460" s="20">
        <f t="shared" si="113"/>
        <v>0.93075155891040362</v>
      </c>
      <c r="W460" s="20">
        <f t="shared" si="113"/>
        <v>0.93069948186528495</v>
      </c>
      <c r="X460" s="20">
        <f t="shared" si="113"/>
        <v>0.93083197389885808</v>
      </c>
      <c r="Y460" s="20">
        <f t="shared" si="113"/>
        <v>0.93071161048689144</v>
      </c>
      <c r="Z460" s="20">
        <f t="shared" si="113"/>
        <v>0.93072289156626509</v>
      </c>
      <c r="AA460" s="20">
        <f t="shared" si="113"/>
        <v>0.93047034764826175</v>
      </c>
      <c r="AB460" s="20">
        <f t="shared" si="113"/>
        <v>0.93068181818181817</v>
      </c>
      <c r="AC460" s="20">
        <f t="shared" si="113"/>
        <v>0.93071467539552644</v>
      </c>
      <c r="AD460" s="20">
        <f t="shared" si="113"/>
        <v>0.93076923076923079</v>
      </c>
      <c r="AE460" s="20">
        <f t="shared" si="113"/>
        <v>0.93062076160667706</v>
      </c>
      <c r="AF460" s="20">
        <f t="shared" si="113"/>
        <v>0.93050290624210263</v>
      </c>
      <c r="AG460" s="20">
        <f t="shared" si="113"/>
        <v>0.93069544364508394</v>
      </c>
      <c r="AH460" s="20">
        <f t="shared" si="113"/>
        <v>0.93066542577943234</v>
      </c>
      <c r="AI460" s="20">
        <f t="shared" si="113"/>
        <v>0.9305936073059361</v>
      </c>
      <c r="AJ460" s="20">
        <f t="shared" si="113"/>
        <v>0.93065613342111042</v>
      </c>
      <c r="AK460" s="20">
        <f t="shared" si="113"/>
        <v>0.93057352307028895</v>
      </c>
    </row>
    <row r="461" spans="1:37" x14ac:dyDescent="0.25">
      <c r="A461" s="12">
        <f>$A$66</f>
        <v>51</v>
      </c>
      <c r="M461" s="12"/>
      <c r="N461" s="12"/>
      <c r="O461" s="12"/>
      <c r="P461" s="12"/>
      <c r="Q461" s="12"/>
      <c r="R461" s="12"/>
      <c r="S461" s="12"/>
      <c r="T461" s="20">
        <f>T$321/T$166</f>
        <v>0.92779671521537033</v>
      </c>
      <c r="U461" s="20">
        <f t="shared" ref="U461:AK461" si="114">U$321/U$166</f>
        <v>0.92789072426937735</v>
      </c>
      <c r="V461" s="20">
        <f t="shared" si="114"/>
        <v>0.92817317153164969</v>
      </c>
      <c r="W461" s="20">
        <f t="shared" si="114"/>
        <v>0.92819499341238476</v>
      </c>
      <c r="X461" s="20">
        <f t="shared" si="114"/>
        <v>0.92820012995451595</v>
      </c>
      <c r="Y461" s="20">
        <f t="shared" si="114"/>
        <v>0.92833769633507857</v>
      </c>
      <c r="Z461" s="20">
        <f t="shared" si="114"/>
        <v>0.92832550860719876</v>
      </c>
      <c r="AA461" s="20">
        <f t="shared" si="114"/>
        <v>0.92842041679250986</v>
      </c>
      <c r="AB461" s="20">
        <f t="shared" si="114"/>
        <v>0.92852958406561215</v>
      </c>
      <c r="AC461" s="20">
        <f t="shared" si="114"/>
        <v>0.92879521503845064</v>
      </c>
      <c r="AD461" s="20">
        <f t="shared" si="114"/>
        <v>0.92863002461033639</v>
      </c>
      <c r="AE461" s="20">
        <f t="shared" si="114"/>
        <v>0.9287423557564477</v>
      </c>
      <c r="AF461" s="20">
        <f t="shared" si="114"/>
        <v>0.92862745098039212</v>
      </c>
      <c r="AG461" s="20">
        <f t="shared" si="114"/>
        <v>0.92882472137791283</v>
      </c>
      <c r="AH461" s="20">
        <f t="shared" si="114"/>
        <v>0.92886325402547465</v>
      </c>
      <c r="AI461" s="20">
        <f t="shared" si="114"/>
        <v>0.92910447761194026</v>
      </c>
      <c r="AJ461" s="20">
        <f t="shared" si="114"/>
        <v>0.92906178489702518</v>
      </c>
      <c r="AK461" s="20">
        <f t="shared" si="114"/>
        <v>0.92897977132805631</v>
      </c>
    </row>
    <row r="462" spans="1:37" x14ac:dyDescent="0.25">
      <c r="A462" s="12">
        <f>$A$67</f>
        <v>52</v>
      </c>
      <c r="M462" s="12"/>
      <c r="N462" s="12"/>
      <c r="O462" s="12"/>
      <c r="P462" s="12"/>
      <c r="Q462" s="12"/>
      <c r="R462" s="12"/>
      <c r="S462" s="12"/>
      <c r="T462" s="20">
        <f>T$322/T$167</f>
        <v>0.92328684050939969</v>
      </c>
      <c r="U462" s="20">
        <f t="shared" ref="U462:AK462" si="115">U$322/U$167</f>
        <v>0.92369978199937719</v>
      </c>
      <c r="V462" s="20">
        <f t="shared" si="115"/>
        <v>0.92408293460925039</v>
      </c>
      <c r="W462" s="20">
        <f t="shared" si="115"/>
        <v>0.92459664142245634</v>
      </c>
      <c r="X462" s="20">
        <f t="shared" si="115"/>
        <v>0.92495867768595041</v>
      </c>
      <c r="Y462" s="20">
        <f t="shared" si="115"/>
        <v>0.9250325945241199</v>
      </c>
      <c r="Z462" s="20">
        <f t="shared" si="115"/>
        <v>0.9254760341431385</v>
      </c>
      <c r="AA462" s="20">
        <f t="shared" si="115"/>
        <v>0.92558869701726842</v>
      </c>
      <c r="AB462" s="20">
        <f t="shared" si="115"/>
        <v>0.92578006664647072</v>
      </c>
      <c r="AC462" s="20">
        <f t="shared" si="115"/>
        <v>0.92624155157214227</v>
      </c>
      <c r="AD462" s="20">
        <f t="shared" si="115"/>
        <v>0.92630676949443014</v>
      </c>
      <c r="AE462" s="20">
        <f t="shared" si="115"/>
        <v>0.92651494378941601</v>
      </c>
      <c r="AF462" s="20">
        <f t="shared" si="115"/>
        <v>0.92668621700879761</v>
      </c>
      <c r="AG462" s="20">
        <f t="shared" si="115"/>
        <v>0.92711064499213425</v>
      </c>
      <c r="AH462" s="20">
        <f t="shared" si="115"/>
        <v>0.92710185420370839</v>
      </c>
      <c r="AI462" s="20">
        <f t="shared" si="115"/>
        <v>0.92722891566265064</v>
      </c>
      <c r="AJ462" s="20">
        <f t="shared" si="115"/>
        <v>0.92730247779336139</v>
      </c>
      <c r="AK462" s="20">
        <f t="shared" si="115"/>
        <v>0.92752293577981648</v>
      </c>
    </row>
    <row r="463" spans="1:37" x14ac:dyDescent="0.25">
      <c r="A463" s="12">
        <f>$A$68</f>
        <v>53</v>
      </c>
      <c r="M463" s="12"/>
      <c r="N463" s="12"/>
      <c r="O463" s="12"/>
      <c r="P463" s="12"/>
      <c r="Q463" s="12"/>
      <c r="R463" s="12"/>
      <c r="S463" s="12"/>
      <c r="T463" s="20">
        <f>T$323/T$168</f>
        <v>0.91865739340792263</v>
      </c>
      <c r="U463" s="20">
        <f t="shared" ref="U463:AK463" si="116">U$323/U$168</f>
        <v>0.91925655088360758</v>
      </c>
      <c r="V463" s="20">
        <f t="shared" si="116"/>
        <v>0.92023772286518613</v>
      </c>
      <c r="W463" s="20">
        <f t="shared" si="116"/>
        <v>0.92056374119154383</v>
      </c>
      <c r="X463" s="20">
        <f t="shared" si="116"/>
        <v>0.92101784534038333</v>
      </c>
      <c r="Y463" s="20">
        <f t="shared" si="116"/>
        <v>0.92169873921698742</v>
      </c>
      <c r="Z463" s="20">
        <f t="shared" si="116"/>
        <v>0.92214589466797514</v>
      </c>
      <c r="AA463" s="20">
        <f t="shared" si="116"/>
        <v>0.92259552042160742</v>
      </c>
      <c r="AB463" s="20">
        <f t="shared" si="116"/>
        <v>0.92312539382482672</v>
      </c>
      <c r="AC463" s="20">
        <f t="shared" si="116"/>
        <v>0.92342752962625341</v>
      </c>
      <c r="AD463" s="20">
        <f t="shared" si="116"/>
        <v>0.92396109637488943</v>
      </c>
      <c r="AE463" s="20">
        <f t="shared" si="116"/>
        <v>0.92437696934975655</v>
      </c>
      <c r="AF463" s="20">
        <f t="shared" si="116"/>
        <v>0.9246424642464246</v>
      </c>
      <c r="AG463" s="20">
        <f t="shared" si="116"/>
        <v>0.92486631016042786</v>
      </c>
      <c r="AH463" s="20">
        <f t="shared" si="116"/>
        <v>0.92507886435331232</v>
      </c>
      <c r="AI463" s="20">
        <f t="shared" si="116"/>
        <v>0.92538833715304303</v>
      </c>
      <c r="AJ463" s="20">
        <f t="shared" si="116"/>
        <v>0.92560386473429956</v>
      </c>
      <c r="AK463" s="20">
        <f t="shared" si="116"/>
        <v>0.92594328568080619</v>
      </c>
    </row>
    <row r="464" spans="1:37" x14ac:dyDescent="0.25">
      <c r="A464" s="12">
        <f>$A$69</f>
        <v>54</v>
      </c>
      <c r="M464" s="12"/>
      <c r="N464" s="12"/>
      <c r="O464" s="12"/>
      <c r="P464" s="12"/>
      <c r="Q464" s="12"/>
      <c r="R464" s="12"/>
      <c r="S464" s="12"/>
      <c r="T464" s="20">
        <f>T$324/T$169</f>
        <v>0.91501416430594906</v>
      </c>
      <c r="U464" s="20">
        <f t="shared" ref="U464:AK464" si="117">U$324/U$169</f>
        <v>0.91583105439076273</v>
      </c>
      <c r="V464" s="20">
        <f t="shared" si="117"/>
        <v>0.91646266829865364</v>
      </c>
      <c r="W464" s="20">
        <f t="shared" si="117"/>
        <v>0.91711145996860277</v>
      </c>
      <c r="X464" s="20">
        <f t="shared" si="117"/>
        <v>0.9177113468338155</v>
      </c>
      <c r="Y464" s="20">
        <f t="shared" si="117"/>
        <v>0.91873963515754564</v>
      </c>
      <c r="Z464" s="20">
        <f t="shared" si="117"/>
        <v>0.91944074567243672</v>
      </c>
      <c r="AA464" s="20">
        <f t="shared" si="117"/>
        <v>0.9199212340006564</v>
      </c>
      <c r="AB464" s="20">
        <f t="shared" si="117"/>
        <v>0.92035690680766691</v>
      </c>
      <c r="AC464" s="20">
        <f t="shared" si="117"/>
        <v>0.92069510268562404</v>
      </c>
      <c r="AD464" s="20">
        <f t="shared" si="117"/>
        <v>0.92136543736665655</v>
      </c>
      <c r="AE464" s="20">
        <f t="shared" si="117"/>
        <v>0.9219627549512267</v>
      </c>
      <c r="AF464" s="20">
        <f t="shared" si="117"/>
        <v>0.92214880781384656</v>
      </c>
      <c r="AG464" s="20">
        <f t="shared" si="117"/>
        <v>0.92277992277992282</v>
      </c>
      <c r="AH464" s="20">
        <f t="shared" si="117"/>
        <v>0.92280889841865454</v>
      </c>
      <c r="AI464" s="20">
        <f t="shared" si="117"/>
        <v>0.92329994728518716</v>
      </c>
      <c r="AJ464" s="20">
        <f t="shared" si="117"/>
        <v>0.92366607097268316</v>
      </c>
      <c r="AK464" s="20">
        <f t="shared" si="117"/>
        <v>0.92372881355932202</v>
      </c>
    </row>
    <row r="465" spans="1:37" x14ac:dyDescent="0.25">
      <c r="A465" s="12">
        <f>$A$70</f>
        <v>55</v>
      </c>
      <c r="M465" s="12"/>
      <c r="N465" s="12"/>
      <c r="O465" s="12"/>
      <c r="P465" s="12"/>
      <c r="Q465" s="12"/>
      <c r="R465" s="12"/>
      <c r="S465" s="12"/>
      <c r="T465" s="20">
        <f>T$325/T$170</f>
        <v>0.91210875750869425</v>
      </c>
      <c r="U465" s="20">
        <f t="shared" ref="U465:AK465" si="118">U$325/U$170</f>
        <v>0.91274106860575399</v>
      </c>
      <c r="V465" s="20">
        <f t="shared" si="118"/>
        <v>0.91366687004270897</v>
      </c>
      <c r="W465" s="20">
        <f t="shared" si="118"/>
        <v>0.91400491400491402</v>
      </c>
      <c r="X465" s="20">
        <f t="shared" si="118"/>
        <v>0.9149338374291115</v>
      </c>
      <c r="Y465" s="20">
        <f t="shared" si="118"/>
        <v>0.91580645161290319</v>
      </c>
      <c r="Z465" s="20">
        <f t="shared" si="118"/>
        <v>0.91616766467065869</v>
      </c>
      <c r="AA465" s="20">
        <f t="shared" si="118"/>
        <v>0.91686143572621037</v>
      </c>
      <c r="AB465" s="20">
        <f t="shared" si="118"/>
        <v>0.91707798617966441</v>
      </c>
      <c r="AC465" s="20">
        <f t="shared" si="118"/>
        <v>0.91782637508283627</v>
      </c>
      <c r="AD465" s="20">
        <f t="shared" si="118"/>
        <v>0.91825095057034223</v>
      </c>
      <c r="AE465" s="20">
        <f t="shared" si="118"/>
        <v>0.91872899480598835</v>
      </c>
      <c r="AF465" s="20">
        <f t="shared" si="118"/>
        <v>0.9191111111111111</v>
      </c>
      <c r="AG465" s="20">
        <f t="shared" si="118"/>
        <v>0.9193780593147135</v>
      </c>
      <c r="AH465" s="20">
        <f t="shared" si="118"/>
        <v>0.91984521835268107</v>
      </c>
      <c r="AI465" s="20">
        <f t="shared" si="118"/>
        <v>0.92020419129500264</v>
      </c>
      <c r="AJ465" s="20">
        <f t="shared" si="118"/>
        <v>0.92049656629688326</v>
      </c>
      <c r="AK465" s="20">
        <f t="shared" si="118"/>
        <v>0.9209314227226203</v>
      </c>
    </row>
    <row r="466" spans="1:37" x14ac:dyDescent="0.25">
      <c r="A466" s="12">
        <f>$A$71</f>
        <v>56</v>
      </c>
      <c r="M466" s="12"/>
      <c r="N466" s="12"/>
      <c r="O466" s="12"/>
      <c r="P466" s="12"/>
      <c r="Q466" s="12"/>
      <c r="R466" s="12"/>
      <c r="S466" s="12"/>
      <c r="T466" s="20">
        <f>T$326/T$171</f>
        <v>0.91003572588502757</v>
      </c>
      <c r="U466" s="20">
        <f t="shared" ref="U466:AK466" si="119">U$326/U$171</f>
        <v>0.91076532232454743</v>
      </c>
      <c r="V466" s="20">
        <f t="shared" si="119"/>
        <v>0.91142857142857148</v>
      </c>
      <c r="W466" s="20">
        <f t="shared" si="119"/>
        <v>0.91212492345376606</v>
      </c>
      <c r="X466" s="20">
        <f t="shared" si="119"/>
        <v>0.91248073959938369</v>
      </c>
      <c r="Y466" s="20">
        <f t="shared" si="119"/>
        <v>0.91308470290771171</v>
      </c>
      <c r="Z466" s="20">
        <f t="shared" si="119"/>
        <v>0.91362018764153996</v>
      </c>
      <c r="AA466" s="20">
        <f t="shared" si="119"/>
        <v>0.91391391391391397</v>
      </c>
      <c r="AB466" s="20">
        <f t="shared" si="119"/>
        <v>0.91463006360897225</v>
      </c>
      <c r="AC466" s="20">
        <f t="shared" si="119"/>
        <v>0.91487957769712969</v>
      </c>
      <c r="AD466" s="20">
        <f t="shared" si="119"/>
        <v>0.91528239202657802</v>
      </c>
      <c r="AE466" s="20">
        <f t="shared" si="119"/>
        <v>0.91581956797966968</v>
      </c>
      <c r="AF466" s="20">
        <f t="shared" si="119"/>
        <v>0.91577335375191427</v>
      </c>
      <c r="AG466" s="20">
        <f t="shared" si="119"/>
        <v>0.91624591624591623</v>
      </c>
      <c r="AH466" s="20">
        <f t="shared" si="119"/>
        <v>0.91659451659451663</v>
      </c>
      <c r="AI466" s="20">
        <f t="shared" si="119"/>
        <v>0.91687448046550291</v>
      </c>
      <c r="AJ466" s="20">
        <f t="shared" si="119"/>
        <v>0.91731753299218965</v>
      </c>
      <c r="AK466" s="20">
        <f t="shared" si="119"/>
        <v>0.91739475774424151</v>
      </c>
    </row>
    <row r="467" spans="1:37" x14ac:dyDescent="0.25">
      <c r="A467" s="12">
        <f>$A$72</f>
        <v>57</v>
      </c>
      <c r="M467" s="12"/>
      <c r="N467" s="12"/>
      <c r="O467" s="12"/>
      <c r="P467" s="12"/>
      <c r="Q467" s="12"/>
      <c r="R467" s="12"/>
      <c r="S467" s="12"/>
      <c r="T467" s="20">
        <f>T$327/T$172</f>
        <v>0.90606262491672218</v>
      </c>
      <c r="U467" s="20">
        <f t="shared" ref="U467:AK467" si="120">U$327/U$172</f>
        <v>0.90639269406392697</v>
      </c>
      <c r="V467" s="20">
        <f t="shared" si="120"/>
        <v>0.90723621294230161</v>
      </c>
      <c r="W467" s="20">
        <f t="shared" si="120"/>
        <v>0.9076138897738133</v>
      </c>
      <c r="X467" s="20">
        <f t="shared" si="120"/>
        <v>0.90814132104454681</v>
      </c>
      <c r="Y467" s="20">
        <f t="shared" si="120"/>
        <v>0.90847247990105129</v>
      </c>
      <c r="Z467" s="20">
        <f t="shared" si="120"/>
        <v>0.90900443880786308</v>
      </c>
      <c r="AA467" s="20">
        <f t="shared" si="120"/>
        <v>0.90917937074278299</v>
      </c>
      <c r="AB467" s="20">
        <f t="shared" si="120"/>
        <v>0.9096687855470057</v>
      </c>
      <c r="AC467" s="20">
        <f t="shared" si="120"/>
        <v>0.90973154362416109</v>
      </c>
      <c r="AD467" s="20">
        <f t="shared" si="120"/>
        <v>0.91035395302679456</v>
      </c>
      <c r="AE467" s="20">
        <f t="shared" si="120"/>
        <v>0.91075591075591078</v>
      </c>
      <c r="AF467" s="20">
        <f t="shared" si="120"/>
        <v>0.9108564151544094</v>
      </c>
      <c r="AG467" s="20">
        <f t="shared" si="120"/>
        <v>0.91096100706171323</v>
      </c>
      <c r="AH467" s="20">
        <f t="shared" si="120"/>
        <v>0.91128311997618339</v>
      </c>
      <c r="AI467" s="20">
        <f t="shared" si="120"/>
        <v>0.9114839456175875</v>
      </c>
      <c r="AJ467" s="20">
        <f t="shared" si="120"/>
        <v>0.91171571349250413</v>
      </c>
      <c r="AK467" s="20">
        <f t="shared" si="120"/>
        <v>0.91176470588235292</v>
      </c>
    </row>
    <row r="468" spans="1:37" x14ac:dyDescent="0.25">
      <c r="A468" s="12">
        <f>$A$73</f>
        <v>58</v>
      </c>
      <c r="M468" s="12"/>
      <c r="N468" s="12"/>
      <c r="O468" s="12"/>
      <c r="P468" s="12"/>
      <c r="Q468" s="12"/>
      <c r="R468" s="12"/>
      <c r="S468" s="12"/>
      <c r="T468" s="20">
        <f>T$328/T$173</f>
        <v>0.89665551839464885</v>
      </c>
      <c r="U468" s="20">
        <f t="shared" ref="U468:AK468" si="121">U$328/U$173</f>
        <v>0.89729006356641017</v>
      </c>
      <c r="V468" s="20">
        <f t="shared" si="121"/>
        <v>0.89783889980353637</v>
      </c>
      <c r="W468" s="20">
        <f t="shared" si="121"/>
        <v>0.89827255278310936</v>
      </c>
      <c r="X468" s="20">
        <f t="shared" si="121"/>
        <v>0.89868967721316717</v>
      </c>
      <c r="Y468" s="20">
        <f t="shared" si="121"/>
        <v>0.89922958397534669</v>
      </c>
      <c r="Z468" s="20">
        <f t="shared" si="121"/>
        <v>0.89953488372093027</v>
      </c>
      <c r="AA468" s="20">
        <f t="shared" si="121"/>
        <v>0.899872854418309</v>
      </c>
      <c r="AB468" s="20">
        <f t="shared" si="121"/>
        <v>0.90016260162601625</v>
      </c>
      <c r="AC468" s="20">
        <f t="shared" si="121"/>
        <v>0.90073775989268945</v>
      </c>
      <c r="AD468" s="20">
        <f t="shared" si="121"/>
        <v>0.90110998990918267</v>
      </c>
      <c r="AE468" s="20">
        <f t="shared" si="121"/>
        <v>0.90152519893899208</v>
      </c>
      <c r="AF468" s="20">
        <f t="shared" si="121"/>
        <v>0.90156823490156823</v>
      </c>
      <c r="AG468" s="20">
        <f t="shared" si="121"/>
        <v>0.90175438596491231</v>
      </c>
      <c r="AH468" s="20">
        <f t="shared" si="121"/>
        <v>0.90218394340203012</v>
      </c>
      <c r="AI468" s="20">
        <f t="shared" si="121"/>
        <v>0.90217715478675808</v>
      </c>
      <c r="AJ468" s="20">
        <f t="shared" si="121"/>
        <v>0.90260869565217394</v>
      </c>
      <c r="AK468" s="20">
        <f t="shared" si="121"/>
        <v>0.90264255910987479</v>
      </c>
    </row>
    <row r="469" spans="1:37" x14ac:dyDescent="0.25">
      <c r="A469" s="12">
        <f>$A$74</f>
        <v>59</v>
      </c>
      <c r="M469" s="12"/>
      <c r="N469" s="12"/>
      <c r="O469" s="12"/>
      <c r="P469" s="12"/>
      <c r="Q469" s="12"/>
      <c r="R469" s="12"/>
      <c r="S469" s="12"/>
      <c r="T469" s="20">
        <f>T$329/T$174</f>
        <v>0.87819449054098908</v>
      </c>
      <c r="U469" s="20">
        <f t="shared" ref="U469:AK469" si="122">U$329/U$174</f>
        <v>0.87911349899261249</v>
      </c>
      <c r="V469" s="20">
        <f t="shared" si="122"/>
        <v>0.88045668233713903</v>
      </c>
      <c r="W469" s="20">
        <f t="shared" si="122"/>
        <v>0.8810775295663601</v>
      </c>
      <c r="X469" s="20">
        <f t="shared" si="122"/>
        <v>0.8822207958921694</v>
      </c>
      <c r="Y469" s="20">
        <f t="shared" si="122"/>
        <v>0.88301282051282048</v>
      </c>
      <c r="Z469" s="20">
        <f t="shared" si="122"/>
        <v>0.88380716934487025</v>
      </c>
      <c r="AA469" s="20">
        <f t="shared" si="122"/>
        <v>0.88495024875621886</v>
      </c>
      <c r="AB469" s="20">
        <f t="shared" si="122"/>
        <v>0.88559592096876993</v>
      </c>
      <c r="AC469" s="20">
        <f t="shared" si="122"/>
        <v>0.886208020867297</v>
      </c>
      <c r="AD469" s="20">
        <f t="shared" si="122"/>
        <v>0.886760752688172</v>
      </c>
      <c r="AE469" s="20">
        <f t="shared" si="122"/>
        <v>0.88742837883383885</v>
      </c>
      <c r="AF469" s="20">
        <f t="shared" si="122"/>
        <v>0.88774493523746267</v>
      </c>
      <c r="AG469" s="20">
        <f t="shared" si="122"/>
        <v>0.8883689839572193</v>
      </c>
      <c r="AH469" s="20">
        <f t="shared" si="122"/>
        <v>0.88910194950463406</v>
      </c>
      <c r="AI469" s="20">
        <f t="shared" si="122"/>
        <v>0.88936825885978432</v>
      </c>
      <c r="AJ469" s="20">
        <f t="shared" si="122"/>
        <v>0.88975201673140125</v>
      </c>
      <c r="AK469" s="20">
        <f t="shared" si="122"/>
        <v>0.88998548621190132</v>
      </c>
    </row>
    <row r="470" spans="1:37" x14ac:dyDescent="0.25">
      <c r="A470" s="12">
        <f>$A$75</f>
        <v>60</v>
      </c>
      <c r="M470" s="12"/>
      <c r="N470" s="12"/>
      <c r="O470" s="12"/>
      <c r="P470" s="12"/>
      <c r="Q470" s="12"/>
      <c r="R470" s="12"/>
      <c r="S470" s="12"/>
      <c r="T470" s="20">
        <f>T$330/T$175</f>
        <v>0.85388870810283113</v>
      </c>
      <c r="U470" s="20">
        <f t="shared" ref="U470:AK470" si="123">U$330/U$175</f>
        <v>0.85599999999999998</v>
      </c>
      <c r="V470" s="20">
        <f t="shared" si="123"/>
        <v>0.85772083614295347</v>
      </c>
      <c r="W470" s="20">
        <f t="shared" si="123"/>
        <v>0.85916442048517516</v>
      </c>
      <c r="X470" s="20">
        <f t="shared" si="123"/>
        <v>0.86090969017798291</v>
      </c>
      <c r="Y470" s="20">
        <f t="shared" si="123"/>
        <v>0.86224654007080781</v>
      </c>
      <c r="Z470" s="20">
        <f t="shared" si="123"/>
        <v>0.86370941819350688</v>
      </c>
      <c r="AA470" s="20">
        <f t="shared" si="123"/>
        <v>0.86519987604586301</v>
      </c>
      <c r="AB470" s="20">
        <f t="shared" si="123"/>
        <v>0.86658354114713221</v>
      </c>
      <c r="AC470" s="20">
        <f t="shared" si="123"/>
        <v>0.86773162939297122</v>
      </c>
      <c r="AD470" s="20">
        <f t="shared" si="123"/>
        <v>0.86895424836601309</v>
      </c>
      <c r="AE470" s="20">
        <f t="shared" si="123"/>
        <v>0.86998989558773998</v>
      </c>
      <c r="AF470" s="20">
        <f t="shared" si="123"/>
        <v>0.87098953056399864</v>
      </c>
      <c r="AG470" s="20">
        <f t="shared" si="123"/>
        <v>0.87154742096505822</v>
      </c>
      <c r="AH470" s="20">
        <f t="shared" si="123"/>
        <v>0.87273945077026127</v>
      </c>
      <c r="AI470" s="20">
        <f t="shared" si="123"/>
        <v>0.87323943661971826</v>
      </c>
      <c r="AJ470" s="20">
        <f t="shared" si="123"/>
        <v>0.87403519604816304</v>
      </c>
      <c r="AK470" s="20">
        <f t="shared" si="123"/>
        <v>0.87488775815624065</v>
      </c>
    </row>
    <row r="471" spans="1:37" x14ac:dyDescent="0.25">
      <c r="A471" s="12">
        <f>$A$76</f>
        <v>61</v>
      </c>
      <c r="M471" s="12"/>
      <c r="N471" s="12"/>
      <c r="O471" s="12"/>
      <c r="P471" s="12"/>
      <c r="Q471" s="12"/>
      <c r="R471" s="12"/>
      <c r="S471" s="12"/>
      <c r="T471" s="20">
        <f>T$331/T$176</f>
        <v>0.83198707592891763</v>
      </c>
      <c r="U471" s="20">
        <f t="shared" ref="U471:AK471" si="124">U$331/U$176</f>
        <v>0.83425956194834916</v>
      </c>
      <c r="V471" s="20">
        <f t="shared" si="124"/>
        <v>0.83668005354752339</v>
      </c>
      <c r="W471" s="20">
        <f t="shared" si="124"/>
        <v>0.83863328822733418</v>
      </c>
      <c r="X471" s="20">
        <f t="shared" si="124"/>
        <v>0.84077079107505071</v>
      </c>
      <c r="Y471" s="20">
        <f t="shared" si="124"/>
        <v>0.84259259259259256</v>
      </c>
      <c r="Z471" s="20">
        <f t="shared" si="124"/>
        <v>0.84468840813690671</v>
      </c>
      <c r="AA471" s="20">
        <f t="shared" si="124"/>
        <v>0.84622823984526108</v>
      </c>
      <c r="AB471" s="20">
        <f t="shared" si="124"/>
        <v>0.84773151025481663</v>
      </c>
      <c r="AC471" s="20">
        <f t="shared" si="124"/>
        <v>0.84932791497342919</v>
      </c>
      <c r="AD471" s="20">
        <f t="shared" si="124"/>
        <v>0.85046429715017613</v>
      </c>
      <c r="AE471" s="20">
        <f t="shared" si="124"/>
        <v>0.85166994106090377</v>
      </c>
      <c r="AF471" s="20">
        <f t="shared" si="124"/>
        <v>0.8529014844804319</v>
      </c>
      <c r="AG471" s="20">
        <f t="shared" si="124"/>
        <v>0.85419485791610283</v>
      </c>
      <c r="AH471" s="20">
        <f t="shared" si="124"/>
        <v>0.85533333333333328</v>
      </c>
      <c r="AI471" s="20">
        <f t="shared" si="124"/>
        <v>0.85613682092555332</v>
      </c>
      <c r="AJ471" s="20">
        <f t="shared" si="124"/>
        <v>0.85728030788967291</v>
      </c>
      <c r="AK471" s="20">
        <f t="shared" si="124"/>
        <v>0.85807050092764381</v>
      </c>
    </row>
    <row r="472" spans="1:37" x14ac:dyDescent="0.25">
      <c r="A472" s="12">
        <f>$A$77</f>
        <v>62</v>
      </c>
      <c r="M472" s="12"/>
      <c r="N472" s="12"/>
      <c r="O472" s="12"/>
      <c r="P472" s="12"/>
      <c r="Q472" s="12"/>
      <c r="R472" s="12"/>
      <c r="S472" s="12"/>
      <c r="T472" s="20">
        <f>T$332/T$177</f>
        <v>0.81215289121202217</v>
      </c>
      <c r="U472" s="20">
        <f t="shared" ref="U472:AK472" si="125">U$332/U$177</f>
        <v>0.81493506493506496</v>
      </c>
      <c r="V472" s="20">
        <f t="shared" si="125"/>
        <v>0.81713722915298748</v>
      </c>
      <c r="W472" s="20">
        <f t="shared" si="125"/>
        <v>0.81928115552569702</v>
      </c>
      <c r="X472" s="20">
        <f t="shared" si="125"/>
        <v>0.82173174872665533</v>
      </c>
      <c r="Y472" s="20">
        <f t="shared" si="125"/>
        <v>0.82360922659430125</v>
      </c>
      <c r="Z472" s="20">
        <f t="shared" si="125"/>
        <v>0.82553897180762847</v>
      </c>
      <c r="AA472" s="20">
        <f t="shared" si="125"/>
        <v>0.82739637305699487</v>
      </c>
      <c r="AB472" s="20">
        <f t="shared" si="125"/>
        <v>0.82896863886194638</v>
      </c>
      <c r="AC472" s="20">
        <f t="shared" si="125"/>
        <v>0.83078840760361483</v>
      </c>
      <c r="AD472" s="20">
        <f t="shared" si="125"/>
        <v>0.83202757756189283</v>
      </c>
      <c r="AE472" s="20">
        <f t="shared" si="125"/>
        <v>0.83370786516853934</v>
      </c>
      <c r="AF472" s="20">
        <f t="shared" si="125"/>
        <v>0.83491959304233676</v>
      </c>
      <c r="AG472" s="20">
        <f t="shared" si="125"/>
        <v>0.83603786342123054</v>
      </c>
      <c r="AH472" s="20">
        <f t="shared" si="125"/>
        <v>0.83728813559322035</v>
      </c>
      <c r="AI472" s="20">
        <f t="shared" si="125"/>
        <v>0.83834335337341348</v>
      </c>
      <c r="AJ472" s="20">
        <f t="shared" si="125"/>
        <v>0.83909976486395699</v>
      </c>
      <c r="AK472" s="20">
        <f t="shared" si="125"/>
        <v>0.84002569868294252</v>
      </c>
    </row>
    <row r="473" spans="1:37" x14ac:dyDescent="0.25">
      <c r="A473" s="12">
        <f>$A$78</f>
        <v>63</v>
      </c>
      <c r="M473" s="12"/>
      <c r="N473" s="12"/>
      <c r="O473" s="12"/>
      <c r="P473" s="12"/>
      <c r="Q473" s="12"/>
      <c r="R473" s="12"/>
      <c r="S473" s="12"/>
      <c r="T473" s="20">
        <f>T$333/T$178</f>
        <v>0.78552278820375332</v>
      </c>
      <c r="U473" s="20">
        <f t="shared" ref="U473:AK473" si="126">U$333/U$178</f>
        <v>0.78850574712643673</v>
      </c>
      <c r="V473" s="20">
        <f t="shared" si="126"/>
        <v>0.79093281148075667</v>
      </c>
      <c r="W473" s="20">
        <f t="shared" si="126"/>
        <v>0.79360369271348497</v>
      </c>
      <c r="X473" s="20">
        <f t="shared" si="126"/>
        <v>0.79595278246205736</v>
      </c>
      <c r="Y473" s="20">
        <f t="shared" si="126"/>
        <v>0.79822767552828899</v>
      </c>
      <c r="Z473" s="20">
        <f t="shared" si="126"/>
        <v>0.80054458815520757</v>
      </c>
      <c r="AA473" s="20">
        <f t="shared" si="126"/>
        <v>0.80232945091514141</v>
      </c>
      <c r="AB473" s="20">
        <f t="shared" si="126"/>
        <v>0.80441845354126051</v>
      </c>
      <c r="AC473" s="20">
        <f t="shared" si="126"/>
        <v>0.80577172503242545</v>
      </c>
      <c r="AD473" s="20">
        <f t="shared" si="126"/>
        <v>0.80775242263207248</v>
      </c>
      <c r="AE473" s="20">
        <f t="shared" si="126"/>
        <v>0.80923947203016966</v>
      </c>
      <c r="AF473" s="20">
        <f t="shared" si="126"/>
        <v>0.81042806565819114</v>
      </c>
      <c r="AG473" s="20">
        <f t="shared" si="126"/>
        <v>0.81210924646265215</v>
      </c>
      <c r="AH473" s="20">
        <f t="shared" si="126"/>
        <v>0.81328363266689263</v>
      </c>
      <c r="AI473" s="20">
        <f t="shared" si="126"/>
        <v>0.81419836956521741</v>
      </c>
      <c r="AJ473" s="20">
        <f t="shared" si="126"/>
        <v>0.81559571619812588</v>
      </c>
      <c r="AK473" s="20">
        <f t="shared" si="126"/>
        <v>0.81656008078088183</v>
      </c>
    </row>
    <row r="474" spans="1:37" x14ac:dyDescent="0.25">
      <c r="A474" s="12">
        <f>$A$79</f>
        <v>64</v>
      </c>
      <c r="M474" s="12"/>
      <c r="N474" s="12"/>
      <c r="O474" s="12"/>
      <c r="P474" s="12"/>
      <c r="Q474" s="12"/>
      <c r="R474" s="12"/>
      <c r="S474" s="12"/>
      <c r="T474" s="20">
        <f>T$334/T$179</f>
        <v>0.74736842105263157</v>
      </c>
      <c r="U474" s="20">
        <f t="shared" ref="U474:AK474" si="127">U$334/U$179</f>
        <v>0.75050573162508427</v>
      </c>
      <c r="V474" s="20">
        <f t="shared" si="127"/>
        <v>0.75330250990752967</v>
      </c>
      <c r="W474" s="20">
        <f t="shared" si="127"/>
        <v>0.75606557377049177</v>
      </c>
      <c r="X474" s="20">
        <f t="shared" si="127"/>
        <v>0.75878064943671308</v>
      </c>
      <c r="Y474" s="20">
        <f t="shared" si="127"/>
        <v>0.76117886178861793</v>
      </c>
      <c r="Z474" s="20">
        <f t="shared" si="127"/>
        <v>0.76351813826146475</v>
      </c>
      <c r="AA474" s="20">
        <f t="shared" si="127"/>
        <v>0.76555023923444976</v>
      </c>
      <c r="AB474" s="20">
        <f t="shared" si="127"/>
        <v>0.76779151353157371</v>
      </c>
      <c r="AC474" s="20">
        <f t="shared" si="127"/>
        <v>0.76948157808933815</v>
      </c>
      <c r="AD474" s="20">
        <f t="shared" si="127"/>
        <v>0.771484375</v>
      </c>
      <c r="AE474" s="20">
        <f t="shared" si="127"/>
        <v>0.77289836888331243</v>
      </c>
      <c r="AF474" s="20">
        <f t="shared" si="127"/>
        <v>0.77451907915484075</v>
      </c>
      <c r="AG474" s="20">
        <f t="shared" si="127"/>
        <v>0.77591217307071358</v>
      </c>
      <c r="AH474" s="20">
        <f t="shared" si="127"/>
        <v>0.77697129660178155</v>
      </c>
      <c r="AI474" s="20">
        <f t="shared" si="127"/>
        <v>0.77845735643900782</v>
      </c>
      <c r="AJ474" s="20">
        <f t="shared" si="127"/>
        <v>0.77936670071501535</v>
      </c>
      <c r="AK474" s="20">
        <f t="shared" si="127"/>
        <v>0.78061053337806108</v>
      </c>
    </row>
    <row r="475" spans="1:37" x14ac:dyDescent="0.25">
      <c r="A475" s="12">
        <f>$A$80</f>
        <v>65</v>
      </c>
      <c r="M475" s="12"/>
      <c r="N475" s="12"/>
      <c r="O475" s="12"/>
      <c r="P475" s="12"/>
      <c r="Q475" s="12"/>
      <c r="R475" s="12"/>
      <c r="S475" s="12"/>
      <c r="T475" s="20">
        <f>T$335/T$180</f>
        <v>0.66905187835420399</v>
      </c>
      <c r="U475" s="20">
        <f t="shared" ref="U475:AK475" si="128">U$335/U$180</f>
        <v>0.67220063581773226</v>
      </c>
      <c r="V475" s="20">
        <f t="shared" si="128"/>
        <v>0.675033921302578</v>
      </c>
      <c r="W475" s="20">
        <f t="shared" si="128"/>
        <v>0.677847891066091</v>
      </c>
      <c r="X475" s="20">
        <f t="shared" si="128"/>
        <v>0.68051434223541052</v>
      </c>
      <c r="Y475" s="20">
        <f t="shared" si="128"/>
        <v>0.68287808127914729</v>
      </c>
      <c r="Z475" s="20">
        <f t="shared" si="128"/>
        <v>0.6853932584269663</v>
      </c>
      <c r="AA475" s="20">
        <f t="shared" si="128"/>
        <v>0.68741403026134795</v>
      </c>
      <c r="AB475" s="20">
        <f t="shared" si="128"/>
        <v>0.68966700995537245</v>
      </c>
      <c r="AC475" s="20">
        <f t="shared" si="128"/>
        <v>0.69161073825503361</v>
      </c>
      <c r="AD475" s="20">
        <f t="shared" si="128"/>
        <v>0.69341631182443497</v>
      </c>
      <c r="AE475" s="20">
        <f t="shared" si="128"/>
        <v>0.69477124183006533</v>
      </c>
      <c r="AF475" s="20">
        <f t="shared" si="128"/>
        <v>0.69637795275590553</v>
      </c>
      <c r="AG475" s="20">
        <f t="shared" si="128"/>
        <v>0.69800569800569801</v>
      </c>
      <c r="AH475" s="20">
        <f t="shared" si="128"/>
        <v>0.69928710304601427</v>
      </c>
      <c r="AI475" s="20">
        <f t="shared" si="128"/>
        <v>0.70066225165562912</v>
      </c>
      <c r="AJ475" s="20">
        <f t="shared" si="128"/>
        <v>0.70177232447171101</v>
      </c>
      <c r="AK475" s="20">
        <f t="shared" si="128"/>
        <v>0.7031089853091903</v>
      </c>
    </row>
    <row r="476" spans="1:37" x14ac:dyDescent="0.25">
      <c r="A476" s="12">
        <f>$A$81</f>
        <v>66</v>
      </c>
      <c r="M476" s="12"/>
      <c r="N476" s="12"/>
      <c r="O476" s="12"/>
      <c r="P476" s="12"/>
      <c r="Q476" s="12"/>
      <c r="R476" s="12"/>
      <c r="S476" s="12"/>
      <c r="T476" s="20">
        <f>T$336/T$181</f>
        <v>0.60494752623688153</v>
      </c>
      <c r="U476" s="20">
        <f t="shared" ref="U476:AK476" si="129">U$336/U$181</f>
        <v>0.60814708002883922</v>
      </c>
      <c r="V476" s="20">
        <f t="shared" si="129"/>
        <v>0.61117040199217365</v>
      </c>
      <c r="W476" s="20">
        <f t="shared" si="129"/>
        <v>0.61407103825136611</v>
      </c>
      <c r="X476" s="20">
        <f t="shared" si="129"/>
        <v>0.61685055165496494</v>
      </c>
      <c r="Y476" s="20">
        <f t="shared" si="129"/>
        <v>0.61944260119442596</v>
      </c>
      <c r="Z476" s="20">
        <f t="shared" si="129"/>
        <v>0.62144053601340032</v>
      </c>
      <c r="AA476" s="20">
        <f t="shared" si="129"/>
        <v>0.62397260273972599</v>
      </c>
      <c r="AB476" s="20">
        <f t="shared" si="129"/>
        <v>0.62599377808503287</v>
      </c>
      <c r="AC476" s="20">
        <f t="shared" si="129"/>
        <v>0.6280193236714976</v>
      </c>
      <c r="AD476" s="20">
        <f t="shared" si="129"/>
        <v>0.62967959527824624</v>
      </c>
      <c r="AE476" s="20">
        <f t="shared" si="129"/>
        <v>0.63133640552995396</v>
      </c>
      <c r="AF476" s="20">
        <f t="shared" si="129"/>
        <v>0.63316912972085382</v>
      </c>
      <c r="AG476" s="20">
        <f t="shared" si="129"/>
        <v>0.634493670886076</v>
      </c>
      <c r="AH476" s="20">
        <f t="shared" si="129"/>
        <v>0.63593004769475359</v>
      </c>
      <c r="AI476" s="20">
        <f t="shared" si="129"/>
        <v>0.63736979166666663</v>
      </c>
      <c r="AJ476" s="20">
        <f t="shared" si="129"/>
        <v>0.63829787234042556</v>
      </c>
      <c r="AK476" s="20">
        <f t="shared" si="129"/>
        <v>0.63963039014373713</v>
      </c>
    </row>
    <row r="477" spans="1:37" x14ac:dyDescent="0.25">
      <c r="A477" s="12">
        <f>$A$82</f>
        <v>67</v>
      </c>
      <c r="M477" s="12"/>
      <c r="N477" s="12"/>
      <c r="O477" s="12"/>
      <c r="P477" s="12"/>
      <c r="Q477" s="12"/>
      <c r="R477" s="12"/>
      <c r="S477" s="12"/>
      <c r="T477" s="20">
        <f>T$337/T$182</f>
        <v>0.54481955762514556</v>
      </c>
      <c r="U477" s="20">
        <f t="shared" ref="U477:AK477" si="130">U$337/U$182</f>
        <v>0.54820415879017015</v>
      </c>
      <c r="V477" s="20">
        <f t="shared" si="130"/>
        <v>0.55087209302325579</v>
      </c>
      <c r="W477" s="20">
        <f t="shared" si="130"/>
        <v>0.55396199354607389</v>
      </c>
      <c r="X477" s="20">
        <f t="shared" si="130"/>
        <v>0.5564349621472815</v>
      </c>
      <c r="Y477" s="20">
        <f t="shared" si="130"/>
        <v>0.55911081172111821</v>
      </c>
      <c r="Z477" s="20">
        <f t="shared" si="130"/>
        <v>0.56164383561643838</v>
      </c>
      <c r="AA477" s="20">
        <f t="shared" si="130"/>
        <v>0.56376518218623484</v>
      </c>
      <c r="AB477" s="20">
        <f t="shared" si="130"/>
        <v>0.56601172009651846</v>
      </c>
      <c r="AC477" s="20">
        <f t="shared" si="130"/>
        <v>0.56784968684759918</v>
      </c>
      <c r="AD477" s="20">
        <f t="shared" si="130"/>
        <v>0.5697916666666667</v>
      </c>
      <c r="AE477" s="20">
        <f t="shared" si="130"/>
        <v>0.5714285714285714</v>
      </c>
      <c r="AF477" s="20">
        <f t="shared" si="130"/>
        <v>0.57317880794701992</v>
      </c>
      <c r="AG477" s="20">
        <f t="shared" si="130"/>
        <v>0.57430647291941872</v>
      </c>
      <c r="AH477" s="20">
        <f t="shared" si="130"/>
        <v>0.57606619987269259</v>
      </c>
      <c r="AI477" s="20">
        <f t="shared" si="130"/>
        <v>0.57723057243364251</v>
      </c>
      <c r="AJ477" s="20">
        <f t="shared" si="130"/>
        <v>0.57834478246647036</v>
      </c>
      <c r="AK477" s="20">
        <f t="shared" si="130"/>
        <v>0.57935182091546944</v>
      </c>
    </row>
    <row r="478" spans="1:37" x14ac:dyDescent="0.25">
      <c r="A478" s="12">
        <f>$A$83</f>
        <v>68</v>
      </c>
      <c r="M478" s="12"/>
      <c r="N478" s="12"/>
      <c r="O478" s="12"/>
      <c r="P478" s="12"/>
      <c r="Q478" s="12"/>
      <c r="R478" s="12"/>
      <c r="S478" s="12"/>
      <c r="T478" s="20">
        <f>T$338/T$183</f>
        <v>0.4887640449438202</v>
      </c>
      <c r="U478" s="20">
        <f t="shared" ref="U478:AK478" si="131">U$338/U$183</f>
        <v>0.49177115987460818</v>
      </c>
      <c r="V478" s="20">
        <f t="shared" si="131"/>
        <v>0.49503816793893129</v>
      </c>
      <c r="W478" s="20">
        <f t="shared" si="131"/>
        <v>0.49779897285399854</v>
      </c>
      <c r="X478" s="20">
        <f t="shared" si="131"/>
        <v>0.5003617945007236</v>
      </c>
      <c r="Y478" s="20">
        <f t="shared" si="131"/>
        <v>0.50277777777777777</v>
      </c>
      <c r="Z478" s="20">
        <f t="shared" si="131"/>
        <v>0.50509510869565222</v>
      </c>
      <c r="AA478" s="20">
        <f t="shared" si="131"/>
        <v>0.50741239892183287</v>
      </c>
      <c r="AB478" s="20">
        <f t="shared" si="131"/>
        <v>0.50935056103366205</v>
      </c>
      <c r="AC478" s="20">
        <f t="shared" si="131"/>
        <v>0.51128864188954493</v>
      </c>
      <c r="AD478" s="20">
        <f t="shared" si="131"/>
        <v>0.51314405888538384</v>
      </c>
      <c r="AE478" s="20">
        <f t="shared" si="131"/>
        <v>0.51486533753060515</v>
      </c>
      <c r="AF478" s="20">
        <f t="shared" si="131"/>
        <v>0.51674641148325362</v>
      </c>
      <c r="AG478" s="20">
        <f t="shared" si="131"/>
        <v>0.51817272424141381</v>
      </c>
      <c r="AH478" s="20">
        <f t="shared" si="131"/>
        <v>0.51945460591952108</v>
      </c>
      <c r="AI478" s="20">
        <f t="shared" si="131"/>
        <v>0.52049967969250477</v>
      </c>
      <c r="AJ478" s="20">
        <f t="shared" si="131"/>
        <v>0.5220469906662375</v>
      </c>
      <c r="AK478" s="20">
        <f t="shared" si="131"/>
        <v>0.52304147465437789</v>
      </c>
    </row>
    <row r="479" spans="1:37" x14ac:dyDescent="0.25">
      <c r="A479" s="12">
        <f>$A$84</f>
        <v>69</v>
      </c>
      <c r="M479" s="12"/>
      <c r="N479" s="12"/>
      <c r="O479" s="12"/>
      <c r="P479" s="12"/>
      <c r="Q479" s="12"/>
      <c r="R479" s="12"/>
      <c r="S479" s="12"/>
      <c r="T479" s="20">
        <f>T$339/T$184</f>
        <v>0.43674321503131525</v>
      </c>
      <c r="U479" s="20">
        <f t="shared" ref="U479:AK479" si="132">U$339/U$184</f>
        <v>0.4395292207792208</v>
      </c>
      <c r="V479" s="20">
        <f t="shared" si="132"/>
        <v>0.44255150554675121</v>
      </c>
      <c r="W479" s="20">
        <f t="shared" si="132"/>
        <v>0.4454300038565368</v>
      </c>
      <c r="X479" s="20">
        <f t="shared" si="132"/>
        <v>0.44810971089696072</v>
      </c>
      <c r="Y479" s="20">
        <f t="shared" si="132"/>
        <v>0.4504932407745707</v>
      </c>
      <c r="Z479" s="20">
        <f t="shared" si="132"/>
        <v>0.4526647966339411</v>
      </c>
      <c r="AA479" s="20">
        <f t="shared" si="132"/>
        <v>0.45473251028806583</v>
      </c>
      <c r="AB479" s="20">
        <f t="shared" si="132"/>
        <v>0.45698741924515474</v>
      </c>
      <c r="AC479" s="20">
        <f t="shared" si="132"/>
        <v>0.45881949210706929</v>
      </c>
      <c r="AD479" s="20">
        <f t="shared" si="132"/>
        <v>0.46040644709180101</v>
      </c>
      <c r="AE479" s="20">
        <f t="shared" si="132"/>
        <v>0.46200070696359136</v>
      </c>
      <c r="AF479" s="20">
        <f t="shared" si="132"/>
        <v>0.46368124118476728</v>
      </c>
      <c r="AG479" s="20">
        <f t="shared" si="132"/>
        <v>0.46503616947984844</v>
      </c>
      <c r="AH479" s="20">
        <f t="shared" si="132"/>
        <v>0.46639784946236557</v>
      </c>
      <c r="AI479" s="20">
        <f t="shared" si="132"/>
        <v>0.46782841823056298</v>
      </c>
      <c r="AJ479" s="20">
        <f t="shared" si="132"/>
        <v>0.46901226597805035</v>
      </c>
      <c r="AK479" s="20">
        <f t="shared" si="132"/>
        <v>0.47001620745542949</v>
      </c>
    </row>
    <row r="480" spans="1:37" x14ac:dyDescent="0.25">
      <c r="A480" s="12">
        <f>$A$85</f>
        <v>70</v>
      </c>
      <c r="M480" s="12"/>
      <c r="N480" s="12"/>
      <c r="O480" s="12"/>
      <c r="P480" s="12"/>
      <c r="Q480" s="12"/>
      <c r="R480" s="12"/>
      <c r="S480" s="12"/>
      <c r="T480" s="20">
        <f>T$340/T$185</f>
        <v>0.3882403804582793</v>
      </c>
      <c r="U480" s="20">
        <f t="shared" ref="U480:AK480" si="133">U$340/U$185</f>
        <v>0.39128595600676819</v>
      </c>
      <c r="V480" s="20">
        <f t="shared" si="133"/>
        <v>0.39416358405260993</v>
      </c>
      <c r="W480" s="20">
        <f t="shared" si="133"/>
        <v>0.39655172413793105</v>
      </c>
      <c r="X480" s="20">
        <f t="shared" si="133"/>
        <v>0.39914163090128757</v>
      </c>
      <c r="Y480" s="20">
        <f t="shared" si="133"/>
        <v>0.40142428785607198</v>
      </c>
      <c r="Z480" s="20">
        <f t="shared" si="133"/>
        <v>0.40391722099039173</v>
      </c>
      <c r="AA480" s="20">
        <f t="shared" si="133"/>
        <v>0.40588443814250263</v>
      </c>
      <c r="AB480" s="20">
        <f t="shared" si="133"/>
        <v>0.40797227036395145</v>
      </c>
      <c r="AC480" s="20">
        <f t="shared" si="133"/>
        <v>0.4099656357388316</v>
      </c>
      <c r="AD480" s="20">
        <f t="shared" si="133"/>
        <v>0.41143847487001733</v>
      </c>
      <c r="AE480" s="20">
        <f t="shared" si="133"/>
        <v>0.41295116772823781</v>
      </c>
      <c r="AF480" s="20">
        <f t="shared" si="133"/>
        <v>0.41449482327740095</v>
      </c>
      <c r="AG480" s="20">
        <f t="shared" si="133"/>
        <v>0.4158063367746529</v>
      </c>
      <c r="AH480" s="20">
        <f t="shared" si="133"/>
        <v>0.41724617524339358</v>
      </c>
      <c r="AI480" s="20">
        <f t="shared" si="133"/>
        <v>0.41844693116310616</v>
      </c>
      <c r="AJ480" s="20">
        <f t="shared" si="133"/>
        <v>0.41954022988505746</v>
      </c>
      <c r="AK480" s="20">
        <f t="shared" si="133"/>
        <v>0.42070986649299902</v>
      </c>
    </row>
    <row r="481" spans="1:37" x14ac:dyDescent="0.25">
      <c r="A481" s="12">
        <f>$A$86</f>
        <v>71</v>
      </c>
      <c r="M481" s="12"/>
      <c r="N481" s="12"/>
      <c r="O481" s="12"/>
      <c r="P481" s="12"/>
      <c r="Q481" s="12"/>
      <c r="R481" s="12"/>
      <c r="S481" s="12"/>
      <c r="T481" s="20">
        <f>T$341/T$186</f>
        <v>0.34410559854346834</v>
      </c>
      <c r="U481" s="20">
        <f t="shared" ref="U481:AK481" si="134">U$341/U$186</f>
        <v>0.34679543459174716</v>
      </c>
      <c r="V481" s="20">
        <f t="shared" si="134"/>
        <v>0.34935622317596565</v>
      </c>
      <c r="W481" s="20">
        <f t="shared" si="134"/>
        <v>0.35223009587328052</v>
      </c>
      <c r="X481" s="20">
        <f t="shared" si="134"/>
        <v>0.35447154471544717</v>
      </c>
      <c r="Y481" s="20">
        <f t="shared" si="134"/>
        <v>0.35666271253459864</v>
      </c>
      <c r="Z481" s="20">
        <f t="shared" si="134"/>
        <v>0.35890619065704521</v>
      </c>
      <c r="AA481" s="20">
        <f t="shared" si="134"/>
        <v>0.36077844311377244</v>
      </c>
      <c r="AB481" s="20">
        <f t="shared" si="134"/>
        <v>0.36288585786073224</v>
      </c>
      <c r="AC481" s="20">
        <f t="shared" si="134"/>
        <v>0.36456140350877192</v>
      </c>
      <c r="AD481" s="20">
        <f t="shared" si="134"/>
        <v>0.36613351877607786</v>
      </c>
      <c r="AE481" s="20">
        <f t="shared" si="134"/>
        <v>0.36759031918625046</v>
      </c>
      <c r="AF481" s="20">
        <f t="shared" si="134"/>
        <v>0.36900501073729419</v>
      </c>
      <c r="AG481" s="20">
        <f t="shared" si="134"/>
        <v>0.37039711191335739</v>
      </c>
      <c r="AH481" s="20">
        <f t="shared" si="134"/>
        <v>0.37171644476430371</v>
      </c>
      <c r="AI481" s="20">
        <f t="shared" si="134"/>
        <v>0.37280393534785666</v>
      </c>
      <c r="AJ481" s="20">
        <f t="shared" si="134"/>
        <v>0.37375813634806443</v>
      </c>
      <c r="AK481" s="20">
        <f t="shared" si="134"/>
        <v>0.375</v>
      </c>
    </row>
    <row r="482" spans="1:37" x14ac:dyDescent="0.25">
      <c r="A482" s="12">
        <f>$A$87</f>
        <v>72</v>
      </c>
      <c r="M482" s="12"/>
      <c r="N482" s="12"/>
      <c r="O482" s="12"/>
      <c r="P482" s="12"/>
      <c r="Q482" s="12"/>
      <c r="R482" s="12"/>
      <c r="S482" s="12"/>
      <c r="T482" s="20">
        <f>T$342/T$187</f>
        <v>0.30385700846660396</v>
      </c>
      <c r="U482" s="20">
        <f t="shared" ref="U482:AK482" si="135">U$342/U$187</f>
        <v>0.30633965756594167</v>
      </c>
      <c r="V482" s="20">
        <f t="shared" si="135"/>
        <v>0.30909901873327389</v>
      </c>
      <c r="W482" s="20">
        <f t="shared" si="135"/>
        <v>0.31124673060156932</v>
      </c>
      <c r="X482" s="20">
        <f t="shared" si="135"/>
        <v>0.31358442657638597</v>
      </c>
      <c r="Y482" s="20">
        <f t="shared" si="135"/>
        <v>0.31613702022286422</v>
      </c>
      <c r="Z482" s="20">
        <f t="shared" si="135"/>
        <v>0.31781701444622795</v>
      </c>
      <c r="AA482" s="20">
        <f t="shared" si="135"/>
        <v>0.31984585741811178</v>
      </c>
      <c r="AB482" s="20">
        <f t="shared" si="135"/>
        <v>0.32144212523719168</v>
      </c>
      <c r="AC482" s="20">
        <f t="shared" si="135"/>
        <v>0.32350800582241629</v>
      </c>
      <c r="AD482" s="20">
        <f t="shared" si="135"/>
        <v>0.32503556187766713</v>
      </c>
      <c r="AE482" s="20">
        <f t="shared" si="135"/>
        <v>0.3262861169837914</v>
      </c>
      <c r="AF482" s="20">
        <f t="shared" si="135"/>
        <v>0.32753108348134991</v>
      </c>
      <c r="AG482" s="20">
        <f t="shared" si="135"/>
        <v>0.32910474809713663</v>
      </c>
      <c r="AH482" s="20">
        <f t="shared" si="135"/>
        <v>0.32992327365728902</v>
      </c>
      <c r="AI482" s="20">
        <f t="shared" si="135"/>
        <v>0.3310269482884195</v>
      </c>
      <c r="AJ482" s="20">
        <f t="shared" si="135"/>
        <v>0.33214793741109533</v>
      </c>
      <c r="AK482" s="20">
        <f t="shared" si="135"/>
        <v>0.33310225303292895</v>
      </c>
    </row>
    <row r="483" spans="1:37" x14ac:dyDescent="0.25">
      <c r="A483" s="12">
        <f>$A$88</f>
        <v>73</v>
      </c>
      <c r="M483" s="12"/>
      <c r="N483" s="12"/>
      <c r="O483" s="12"/>
      <c r="P483" s="12"/>
      <c r="Q483" s="12"/>
      <c r="R483" s="12"/>
      <c r="S483" s="12"/>
      <c r="T483" s="20">
        <f>T$343/T$188</f>
        <v>0.26799610894941633</v>
      </c>
      <c r="U483" s="20">
        <f t="shared" ref="U483:AK483" si="136">U$343/U$188</f>
        <v>0.27037392138063276</v>
      </c>
      <c r="V483" s="20">
        <f t="shared" si="136"/>
        <v>0.27285579641847313</v>
      </c>
      <c r="W483" s="20">
        <f t="shared" si="136"/>
        <v>0.27520435967302453</v>
      </c>
      <c r="X483" s="20">
        <f t="shared" si="136"/>
        <v>0.27728482697426798</v>
      </c>
      <c r="Y483" s="20">
        <f t="shared" si="136"/>
        <v>0.2793801119242359</v>
      </c>
      <c r="Z483" s="20">
        <f t="shared" si="136"/>
        <v>0.28115820394460761</v>
      </c>
      <c r="AA483" s="20">
        <f t="shared" si="136"/>
        <v>0.28314973480212158</v>
      </c>
      <c r="AB483" s="20">
        <f t="shared" si="136"/>
        <v>0.28465152701644481</v>
      </c>
      <c r="AC483" s="20">
        <f t="shared" si="136"/>
        <v>0.28643022359290671</v>
      </c>
      <c r="AD483" s="20">
        <f t="shared" si="136"/>
        <v>0.28777244181751016</v>
      </c>
      <c r="AE483" s="20">
        <f t="shared" si="136"/>
        <v>0.28916967509025271</v>
      </c>
      <c r="AF483" s="20">
        <f t="shared" si="136"/>
        <v>0.29066857347157671</v>
      </c>
      <c r="AG483" s="20">
        <f t="shared" si="136"/>
        <v>0.29153153153153155</v>
      </c>
      <c r="AH483" s="20">
        <f t="shared" si="136"/>
        <v>0.29301470588235295</v>
      </c>
      <c r="AI483" s="20">
        <f t="shared" si="136"/>
        <v>0.29381252315672474</v>
      </c>
      <c r="AJ483" s="20">
        <f t="shared" si="136"/>
        <v>0.29494278331487633</v>
      </c>
      <c r="AK483" s="20">
        <f t="shared" si="136"/>
        <v>0.2957492795389049</v>
      </c>
    </row>
    <row r="484" spans="1:37" x14ac:dyDescent="0.25">
      <c r="A484" s="12">
        <f>$A$89</f>
        <v>74</v>
      </c>
      <c r="M484" s="12"/>
      <c r="N484" s="12"/>
      <c r="O484" s="12"/>
      <c r="P484" s="12"/>
      <c r="Q484" s="12"/>
      <c r="R484" s="12"/>
      <c r="S484" s="12"/>
      <c r="T484" s="20">
        <f>T$344/T$189</f>
        <v>0.23582089552238805</v>
      </c>
      <c r="U484" s="20">
        <f t="shared" ref="U484:AK484" si="137">U$344/U$189</f>
        <v>0.23856858846918488</v>
      </c>
      <c r="V484" s="20">
        <f t="shared" si="137"/>
        <v>0.24082232011747431</v>
      </c>
      <c r="W484" s="20">
        <f t="shared" si="137"/>
        <v>0.2429052429052429</v>
      </c>
      <c r="X484" s="20">
        <f t="shared" si="137"/>
        <v>0.24502084298286245</v>
      </c>
      <c r="Y484" s="20">
        <f t="shared" si="137"/>
        <v>0.24649479873360469</v>
      </c>
      <c r="Z484" s="20">
        <f t="shared" si="137"/>
        <v>0.24835454146555508</v>
      </c>
      <c r="AA484" s="20">
        <f t="shared" si="137"/>
        <v>0.25010688328345448</v>
      </c>
      <c r="AB484" s="20">
        <f t="shared" si="137"/>
        <v>0.25176568342334854</v>
      </c>
      <c r="AC484" s="20">
        <f t="shared" si="137"/>
        <v>0.25348744519728977</v>
      </c>
      <c r="AD484" s="20">
        <f t="shared" si="137"/>
        <v>0.25460965084346804</v>
      </c>
      <c r="AE484" s="20">
        <f t="shared" si="137"/>
        <v>0.25591882750845546</v>
      </c>
      <c r="AF484" s="20">
        <f t="shared" si="137"/>
        <v>0.25724770642201833</v>
      </c>
      <c r="AG484" s="20">
        <f t="shared" si="137"/>
        <v>0.25835755813953487</v>
      </c>
      <c r="AH484" s="20">
        <f t="shared" si="137"/>
        <v>0.25924569754668619</v>
      </c>
      <c r="AI484" s="20">
        <f t="shared" si="137"/>
        <v>0.26026885735623601</v>
      </c>
      <c r="AJ484" s="20">
        <f t="shared" si="137"/>
        <v>0.26100037608123355</v>
      </c>
      <c r="AK484" s="20">
        <f t="shared" si="137"/>
        <v>0.26189584113900338</v>
      </c>
    </row>
    <row r="485" spans="1:37" x14ac:dyDescent="0.25">
      <c r="A485" s="12">
        <f>$A$90</f>
        <v>75</v>
      </c>
      <c r="M485" s="12"/>
      <c r="N485" s="12"/>
      <c r="O485" s="12"/>
      <c r="P485" s="12"/>
      <c r="Q485" s="12"/>
      <c r="R485" s="12"/>
      <c r="S485" s="12"/>
      <c r="T485" s="20">
        <f>T$345/T$190</f>
        <v>0.20720250521920669</v>
      </c>
      <c r="U485" s="20">
        <f t="shared" ref="U485:AK485" si="138">U$345/U$190</f>
        <v>0.20948012232415902</v>
      </c>
      <c r="V485" s="20">
        <f t="shared" si="138"/>
        <v>0.2115971515768057</v>
      </c>
      <c r="W485" s="20">
        <f t="shared" si="138"/>
        <v>0.21331997996995494</v>
      </c>
      <c r="X485" s="20">
        <f t="shared" si="138"/>
        <v>0.21544515494343336</v>
      </c>
      <c r="Y485" s="20">
        <f t="shared" si="138"/>
        <v>0.21732954545454544</v>
      </c>
      <c r="Z485" s="20">
        <f t="shared" si="138"/>
        <v>0.21857670979667282</v>
      </c>
      <c r="AA485" s="20">
        <f t="shared" si="138"/>
        <v>0.22043010752688172</v>
      </c>
      <c r="AB485" s="20">
        <f t="shared" si="138"/>
        <v>0.22164048865619546</v>
      </c>
      <c r="AC485" s="20">
        <f t="shared" si="138"/>
        <v>0.22297583721916067</v>
      </c>
      <c r="AD485" s="20">
        <f t="shared" si="138"/>
        <v>0.22429906542056074</v>
      </c>
      <c r="AE485" s="20">
        <f t="shared" si="138"/>
        <v>0.22550979608156738</v>
      </c>
      <c r="AF485" s="20">
        <f t="shared" si="138"/>
        <v>0.22673305247031789</v>
      </c>
      <c r="AG485" s="20">
        <f t="shared" si="138"/>
        <v>0.22766355140186917</v>
      </c>
      <c r="AH485" s="20">
        <f t="shared" si="138"/>
        <v>0.22863485016648169</v>
      </c>
      <c r="AI485" s="20">
        <f t="shared" si="138"/>
        <v>0.22959373835259039</v>
      </c>
      <c r="AJ485" s="20">
        <f t="shared" si="138"/>
        <v>0.23024316109422494</v>
      </c>
      <c r="AK485" s="20">
        <f t="shared" si="138"/>
        <v>0.23106350420811017</v>
      </c>
    </row>
    <row r="486" spans="1:37" x14ac:dyDescent="0.25">
      <c r="A486" s="12">
        <f>$A$91</f>
        <v>76</v>
      </c>
      <c r="M486" s="12"/>
      <c r="N486" s="12"/>
      <c r="O486" s="12"/>
      <c r="P486" s="12"/>
      <c r="Q486" s="12"/>
      <c r="R486" s="12"/>
      <c r="S486" s="12"/>
      <c r="T486" s="20">
        <f>T$346/T$191</f>
        <v>0.18360830228845129</v>
      </c>
      <c r="U486" s="20">
        <f t="shared" ref="U486:AK486" si="139">U$346/U$191</f>
        <v>0.18552278820375334</v>
      </c>
      <c r="V486" s="20">
        <f t="shared" si="139"/>
        <v>0.18733647305075876</v>
      </c>
      <c r="W486" s="20">
        <f t="shared" si="139"/>
        <v>0.18893528183716074</v>
      </c>
      <c r="X486" s="20">
        <f t="shared" si="139"/>
        <v>0.19054956343091936</v>
      </c>
      <c r="Y486" s="20">
        <f t="shared" si="139"/>
        <v>0.19213313161875945</v>
      </c>
      <c r="Z486" s="20">
        <f t="shared" si="139"/>
        <v>0.19350145489815712</v>
      </c>
      <c r="AA486" s="20">
        <f t="shared" si="139"/>
        <v>0.19498343587316611</v>
      </c>
      <c r="AB486" s="20">
        <f t="shared" si="139"/>
        <v>0.19624025676295279</v>
      </c>
      <c r="AC486" s="20">
        <f t="shared" si="139"/>
        <v>0.19776785714285713</v>
      </c>
      <c r="AD486" s="20">
        <f t="shared" si="139"/>
        <v>0.19887348353552858</v>
      </c>
      <c r="AE486" s="20">
        <f t="shared" si="139"/>
        <v>0.19983381803074365</v>
      </c>
      <c r="AF486" s="20">
        <f t="shared" si="139"/>
        <v>0.20098039215686275</v>
      </c>
      <c r="AG486" s="20">
        <f t="shared" si="139"/>
        <v>0.20179898318341807</v>
      </c>
      <c r="AH486" s="20">
        <f t="shared" si="139"/>
        <v>0.20267175572519083</v>
      </c>
      <c r="AI486" s="20">
        <f t="shared" si="139"/>
        <v>0.20347300868252172</v>
      </c>
      <c r="AJ486" s="20">
        <f t="shared" si="139"/>
        <v>0.20410490307867732</v>
      </c>
      <c r="AK486" s="20">
        <f t="shared" si="139"/>
        <v>0.20487993803253293</v>
      </c>
    </row>
    <row r="487" spans="1:37" x14ac:dyDescent="0.25">
      <c r="A487" s="12">
        <f>$A$92</f>
        <v>77</v>
      </c>
      <c r="M487" s="12"/>
      <c r="N487" s="12"/>
      <c r="O487" s="12"/>
      <c r="P487" s="12"/>
      <c r="Q487" s="12"/>
      <c r="R487" s="12"/>
      <c r="S487" s="12"/>
      <c r="T487" s="20">
        <f>T$347/T$192</f>
        <v>0.16411378555798686</v>
      </c>
      <c r="U487" s="20">
        <f t="shared" ref="U487:AK487" si="140">U$347/U$192</f>
        <v>0.16566099835436093</v>
      </c>
      <c r="V487" s="20">
        <f t="shared" si="140"/>
        <v>0.16740331491712707</v>
      </c>
      <c r="W487" s="20">
        <f t="shared" si="140"/>
        <v>0.16918103448275862</v>
      </c>
      <c r="X487" s="20">
        <f t="shared" si="140"/>
        <v>0.17087587318645889</v>
      </c>
      <c r="Y487" s="20">
        <f t="shared" si="140"/>
        <v>0.17221341785525621</v>
      </c>
      <c r="Z487" s="20">
        <f t="shared" si="140"/>
        <v>0.17357512953367876</v>
      </c>
      <c r="AA487" s="20">
        <f t="shared" si="140"/>
        <v>0.17488789237668162</v>
      </c>
      <c r="AB487" s="20">
        <f t="shared" si="140"/>
        <v>0.17589893100097181</v>
      </c>
      <c r="AC487" s="20">
        <f t="shared" si="140"/>
        <v>0.17694117647058824</v>
      </c>
      <c r="AD487" s="20">
        <f t="shared" si="140"/>
        <v>0.17811355311355312</v>
      </c>
      <c r="AE487" s="20">
        <f t="shared" si="140"/>
        <v>0.17903154153709464</v>
      </c>
      <c r="AF487" s="20">
        <f t="shared" si="140"/>
        <v>0.18007662835249041</v>
      </c>
      <c r="AG487" s="20">
        <f t="shared" si="140"/>
        <v>0.18075313807531382</v>
      </c>
      <c r="AH487" s="20">
        <f t="shared" si="140"/>
        <v>0.18174539631705364</v>
      </c>
      <c r="AI487" s="20">
        <f t="shared" si="140"/>
        <v>0.18235064427957828</v>
      </c>
      <c r="AJ487" s="20">
        <f t="shared" si="140"/>
        <v>0.18301158301158302</v>
      </c>
      <c r="AK487" s="20">
        <f t="shared" si="140"/>
        <v>0.18383210260396424</v>
      </c>
    </row>
    <row r="488" spans="1:37" x14ac:dyDescent="0.25">
      <c r="A488" s="12">
        <f>$A$93</f>
        <v>78</v>
      </c>
      <c r="M488" s="12"/>
      <c r="N488" s="12"/>
      <c r="O488" s="12"/>
      <c r="P488" s="12"/>
      <c r="Q488" s="12"/>
      <c r="R488" s="12"/>
      <c r="S488" s="12"/>
      <c r="T488" s="20">
        <f>T$348/T$193</f>
        <v>0.14711864406779662</v>
      </c>
      <c r="U488" s="20">
        <f t="shared" ref="U488:AK488" si="141">U$348/U$193</f>
        <v>0.14844192634560907</v>
      </c>
      <c r="V488" s="20">
        <f t="shared" si="141"/>
        <v>0.14982973893303064</v>
      </c>
      <c r="W488" s="20">
        <f t="shared" si="141"/>
        <v>0.1513420902341519</v>
      </c>
      <c r="X488" s="20">
        <f t="shared" si="141"/>
        <v>0.15311804008908686</v>
      </c>
      <c r="Y488" s="20">
        <f t="shared" si="141"/>
        <v>0.15418746533555186</v>
      </c>
      <c r="Z488" s="20">
        <f t="shared" si="141"/>
        <v>0.15585831062670299</v>
      </c>
      <c r="AA488" s="20">
        <f t="shared" si="141"/>
        <v>0.15660074826296097</v>
      </c>
      <c r="AB488" s="20">
        <f t="shared" si="141"/>
        <v>0.15819209039548024</v>
      </c>
      <c r="AC488" s="20">
        <f t="shared" si="141"/>
        <v>0.15907953976988495</v>
      </c>
      <c r="AD488" s="20">
        <f t="shared" si="141"/>
        <v>0.15988372093023256</v>
      </c>
      <c r="AE488" s="20">
        <f t="shared" si="141"/>
        <v>0.16062176165803108</v>
      </c>
      <c r="AF488" s="20">
        <f t="shared" si="141"/>
        <v>0.16171767930561901</v>
      </c>
      <c r="AG488" s="20">
        <f t="shared" si="141"/>
        <v>0.16229221347331582</v>
      </c>
      <c r="AH488" s="20">
        <f t="shared" si="141"/>
        <v>0.16330038676407391</v>
      </c>
      <c r="AI488" s="20">
        <f t="shared" si="141"/>
        <v>0.16399506781750925</v>
      </c>
      <c r="AJ488" s="20">
        <f t="shared" si="141"/>
        <v>0.16466346153846154</v>
      </c>
      <c r="AK488" s="20">
        <f t="shared" si="141"/>
        <v>0.16514851485148516</v>
      </c>
    </row>
    <row r="489" spans="1:37" x14ac:dyDescent="0.25">
      <c r="A489" s="12">
        <f>$A$94</f>
        <v>79</v>
      </c>
      <c r="M489" s="12"/>
      <c r="N489" s="12"/>
      <c r="O489" s="12"/>
      <c r="P489" s="12"/>
      <c r="Q489" s="12"/>
      <c r="R489" s="12"/>
      <c r="S489" s="12"/>
      <c r="T489" s="20">
        <f>T$349/T$194</f>
        <v>0.12994772218073189</v>
      </c>
      <c r="U489" s="20">
        <f t="shared" ref="U489:AK489" si="142">U$349/U$194</f>
        <v>0.1311706629055007</v>
      </c>
      <c r="V489" s="20">
        <f t="shared" si="142"/>
        <v>0.13243084167157151</v>
      </c>
      <c r="W489" s="20">
        <f t="shared" si="142"/>
        <v>0.13376546847377727</v>
      </c>
      <c r="X489" s="20">
        <f t="shared" si="142"/>
        <v>0.13515115589804386</v>
      </c>
      <c r="Y489" s="20">
        <f t="shared" si="142"/>
        <v>0.13625866050808313</v>
      </c>
      <c r="Z489" s="20">
        <f t="shared" si="142"/>
        <v>0.13793103448275862</v>
      </c>
      <c r="AA489" s="20">
        <f t="shared" si="142"/>
        <v>0.13882618510158012</v>
      </c>
      <c r="AB489" s="20">
        <f t="shared" si="142"/>
        <v>0.13993362831858408</v>
      </c>
      <c r="AC489" s="20">
        <f t="shared" si="142"/>
        <v>0.1407328730748805</v>
      </c>
      <c r="AD489" s="20">
        <f t="shared" si="142"/>
        <v>0.14167528438469493</v>
      </c>
      <c r="AE489" s="20">
        <f t="shared" si="142"/>
        <v>0.1425712856428214</v>
      </c>
      <c r="AF489" s="20">
        <f t="shared" si="142"/>
        <v>0.14341273699562471</v>
      </c>
      <c r="AG489" s="20">
        <f t="shared" si="142"/>
        <v>0.14373232799245994</v>
      </c>
      <c r="AH489" s="20">
        <f t="shared" si="142"/>
        <v>0.14479025710419485</v>
      </c>
      <c r="AI489" s="20">
        <f t="shared" si="142"/>
        <v>0.14526129317980513</v>
      </c>
      <c r="AJ489" s="20">
        <f t="shared" si="142"/>
        <v>0.14563928873835733</v>
      </c>
      <c r="AK489" s="20">
        <f t="shared" si="142"/>
        <v>0.14645214521452146</v>
      </c>
    </row>
    <row r="490" spans="1:37" x14ac:dyDescent="0.25">
      <c r="A490" s="12" t="str">
        <f>$A$280</f>
        <v>80 &amp; over</v>
      </c>
      <c r="M490" s="12"/>
      <c r="N490" s="12"/>
      <c r="O490" s="12"/>
      <c r="P490" s="12"/>
      <c r="Q490" s="12"/>
      <c r="R490" s="12"/>
      <c r="S490" s="12"/>
      <c r="T490" s="20">
        <f>T$350/SUM(T$195:T$210)</f>
        <v>6.4220183486238536E-2</v>
      </c>
      <c r="U490" s="20">
        <f t="shared" ref="U490:AK490" si="143">U$350/SUM(U$195:U$210)</f>
        <v>6.5180102915951971E-2</v>
      </c>
      <c r="V490" s="20">
        <f t="shared" si="143"/>
        <v>6.6257040450588833E-2</v>
      </c>
      <c r="W490" s="20">
        <f t="shared" si="143"/>
        <v>6.8109972219561263E-2</v>
      </c>
      <c r="X490" s="20">
        <f t="shared" si="143"/>
        <v>6.9099449010929459E-2</v>
      </c>
      <c r="Y490" s="20">
        <f t="shared" si="143"/>
        <v>6.9625686813186816E-2</v>
      </c>
      <c r="Z490" s="20">
        <f t="shared" si="143"/>
        <v>7.0026178010471202E-2</v>
      </c>
      <c r="AA490" s="20">
        <f t="shared" si="143"/>
        <v>7.002428135035639E-2</v>
      </c>
      <c r="AB490" s="20">
        <f t="shared" si="143"/>
        <v>7.0036861506055814E-2</v>
      </c>
      <c r="AC490" s="20">
        <f t="shared" si="143"/>
        <v>6.9944247339077545E-2</v>
      </c>
      <c r="AD490" s="20">
        <f t="shared" si="143"/>
        <v>7.0015326738191441E-2</v>
      </c>
      <c r="AE490" s="20">
        <f t="shared" si="143"/>
        <v>7.0004698301899454E-2</v>
      </c>
      <c r="AF490" s="20">
        <f t="shared" si="143"/>
        <v>7.0056277896371047E-2</v>
      </c>
      <c r="AG490" s="20">
        <f t="shared" si="143"/>
        <v>7.0114153826960263E-2</v>
      </c>
      <c r="AH490" s="20">
        <f t="shared" si="143"/>
        <v>7.0241964608161789E-2</v>
      </c>
      <c r="AI490" s="20">
        <f t="shared" si="143"/>
        <v>7.0529551650136302E-2</v>
      </c>
      <c r="AJ490" s="20">
        <f t="shared" si="143"/>
        <v>7.0720645052914491E-2</v>
      </c>
      <c r="AK490" s="20">
        <f t="shared" si="143"/>
        <v>7.096600107933082E-2</v>
      </c>
    </row>
    <row r="491" spans="1:37" x14ac:dyDescent="0.25">
      <c r="A491" s="11" t="str">
        <f>$A$211</f>
        <v>Male total</v>
      </c>
      <c r="M491" s="12"/>
      <c r="N491" s="12"/>
      <c r="O491" s="12"/>
      <c r="P491" s="12"/>
      <c r="Q491" s="12"/>
      <c r="R491" s="12"/>
      <c r="S491" s="12"/>
      <c r="T491" s="21">
        <f>SUM(T$285:T$350)/SUM(T$130:T$210)</f>
        <v>0.7593859135122466</v>
      </c>
      <c r="U491" s="21">
        <f t="shared" ref="U491:AK491" si="144">SUM(U$285:U$350)/SUM(U$130:U$210)</f>
        <v>0.75721796924899798</v>
      </c>
      <c r="V491" s="21">
        <f t="shared" si="144"/>
        <v>0.75539164192738073</v>
      </c>
      <c r="W491" s="21">
        <f t="shared" si="144"/>
        <v>0.75365473357848434</v>
      </c>
      <c r="X491" s="21">
        <f t="shared" si="144"/>
        <v>0.75209536640566299</v>
      </c>
      <c r="Y491" s="21">
        <f t="shared" si="144"/>
        <v>0.75065381847541823</v>
      </c>
      <c r="Z491" s="21">
        <f t="shared" si="144"/>
        <v>0.74929729963836378</v>
      </c>
      <c r="AA491" s="21">
        <f t="shared" si="144"/>
        <v>0.74805967851599087</v>
      </c>
      <c r="AB491" s="21">
        <f t="shared" si="144"/>
        <v>0.74697578942033149</v>
      </c>
      <c r="AC491" s="21">
        <f t="shared" si="144"/>
        <v>0.74601008330411844</v>
      </c>
      <c r="AD491" s="21">
        <f t="shared" si="144"/>
        <v>0.74493718396066888</v>
      </c>
      <c r="AE491" s="21">
        <f t="shared" si="144"/>
        <v>0.74414317410597752</v>
      </c>
      <c r="AF491" s="21">
        <f t="shared" si="144"/>
        <v>0.74320018713601244</v>
      </c>
      <c r="AG491" s="21">
        <f t="shared" si="144"/>
        <v>0.74244250075814411</v>
      </c>
      <c r="AH491" s="21">
        <f t="shared" si="144"/>
        <v>0.7420699519534707</v>
      </c>
      <c r="AI491" s="21">
        <f t="shared" si="144"/>
        <v>0.74165482746069578</v>
      </c>
      <c r="AJ491" s="21">
        <f t="shared" si="144"/>
        <v>0.74104252836581141</v>
      </c>
      <c r="AK491" s="21">
        <f t="shared" si="144"/>
        <v>0.74041190318009531</v>
      </c>
    </row>
  </sheetData>
  <phoneticPr fontId="30" type="noConversion"/>
  <hyperlinks>
    <hyperlink ref="B3" r:id="rId1" xr:uid="{4B825394-8B1A-4CED-9F84-87DBFA88916E}"/>
    <hyperlink ref="B2" r:id="rId2" xr:uid="{83E44FA1-766C-4556-B3B7-9E9440867AEB}"/>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8483-DE6A-4773-A561-7C5E131CE922}">
  <dimension ref="A1:AK328"/>
  <sheetViews>
    <sheetView workbookViewId="0">
      <pane xSplit="1" ySplit="13" topLeftCell="O14" activePane="bottomRight" state="frozen"/>
      <selection activeCell="J44" sqref="J44"/>
      <selection pane="topRight" activeCell="J44" sqref="J44"/>
      <selection pane="bottomLeft" activeCell="J44" sqref="J44"/>
      <selection pane="bottomRight"/>
    </sheetView>
  </sheetViews>
  <sheetFormatPr defaultColWidth="9.140625" defaultRowHeight="15" x14ac:dyDescent="0.25"/>
  <cols>
    <col min="1" max="1" width="30.7109375" customWidth="1"/>
    <col min="2" max="26" width="10.140625" bestFit="1" customWidth="1"/>
    <col min="27" max="37" width="10.140625" customWidth="1"/>
  </cols>
  <sheetData>
    <row r="1" spans="1:37" x14ac:dyDescent="0.25">
      <c r="A1" s="11" t="s">
        <v>1464</v>
      </c>
    </row>
    <row r="2" spans="1:37" x14ac:dyDescent="0.25">
      <c r="A2" s="11" t="s">
        <v>341</v>
      </c>
      <c r="B2" s="15" t="s">
        <v>342</v>
      </c>
      <c r="C2" s="15" t="s">
        <v>343</v>
      </c>
      <c r="D2" s="15" t="s">
        <v>344</v>
      </c>
      <c r="E2" s="15" t="s">
        <v>345</v>
      </c>
      <c r="F2" s="15" t="s">
        <v>346</v>
      </c>
      <c r="G2" s="15" t="s">
        <v>347</v>
      </c>
      <c r="H2" s="15" t="s">
        <v>348</v>
      </c>
      <c r="I2" s="15" t="s">
        <v>349</v>
      </c>
      <c r="J2" s="15" t="s">
        <v>350</v>
      </c>
      <c r="K2" s="15" t="s">
        <v>351</v>
      </c>
      <c r="L2" s="15" t="s">
        <v>352</v>
      </c>
      <c r="M2" s="15" t="s">
        <v>353</v>
      </c>
      <c r="N2" s="15" t="s">
        <v>354</v>
      </c>
      <c r="O2" s="15" t="s">
        <v>355</v>
      </c>
      <c r="P2" s="15" t="s">
        <v>356</v>
      </c>
      <c r="Q2" s="15" t="s">
        <v>357</v>
      </c>
      <c r="R2" s="15" t="s">
        <v>358</v>
      </c>
      <c r="S2" s="15" t="s">
        <v>359</v>
      </c>
      <c r="T2" s="15" t="s">
        <v>360</v>
      </c>
      <c r="U2" s="15" t="s">
        <v>361</v>
      </c>
      <c r="V2" s="15" t="s">
        <v>362</v>
      </c>
      <c r="W2" s="15" t="s">
        <v>363</v>
      </c>
      <c r="X2" s="15" t="s">
        <v>364</v>
      </c>
      <c r="Y2" s="15" t="s">
        <v>365</v>
      </c>
      <c r="Z2" s="15" t="s">
        <v>366</v>
      </c>
      <c r="AA2" s="15" t="s">
        <v>367</v>
      </c>
      <c r="AB2" s="15" t="s">
        <v>368</v>
      </c>
      <c r="AC2" s="15" t="s">
        <v>369</v>
      </c>
      <c r="AD2" s="15" t="s">
        <v>370</v>
      </c>
      <c r="AE2" s="15" t="s">
        <v>371</v>
      </c>
      <c r="AF2" s="15" t="s">
        <v>372</v>
      </c>
      <c r="AG2" s="15" t="s">
        <v>373</v>
      </c>
      <c r="AH2" s="15" t="s">
        <v>374</v>
      </c>
      <c r="AI2" s="15" t="s">
        <v>375</v>
      </c>
      <c r="AJ2" s="15" t="s">
        <v>376</v>
      </c>
      <c r="AK2" s="15" t="s">
        <v>1451</v>
      </c>
    </row>
    <row r="3" spans="1:37" x14ac:dyDescent="0.25">
      <c r="A3" s="12"/>
      <c r="B3" s="11">
        <v>2006</v>
      </c>
      <c r="C3" s="11">
        <v>2007</v>
      </c>
      <c r="D3" s="11">
        <v>2008</v>
      </c>
      <c r="E3" s="11">
        <v>2009</v>
      </c>
      <c r="F3" s="11">
        <v>2010</v>
      </c>
      <c r="G3" s="11">
        <v>2011</v>
      </c>
      <c r="H3" s="11">
        <v>2012</v>
      </c>
      <c r="I3" s="11">
        <v>2013</v>
      </c>
      <c r="J3" s="11">
        <v>2014</v>
      </c>
      <c r="K3" s="11">
        <v>2015</v>
      </c>
      <c r="L3" s="11">
        <v>2016</v>
      </c>
      <c r="M3" s="11">
        <v>2017</v>
      </c>
      <c r="N3" s="11">
        <v>2018</v>
      </c>
      <c r="O3" s="11">
        <v>2019</v>
      </c>
      <c r="P3" s="11">
        <v>2020</v>
      </c>
      <c r="Q3" s="11">
        <v>2021</v>
      </c>
      <c r="R3" s="11">
        <v>2022</v>
      </c>
      <c r="S3" s="11">
        <v>2023</v>
      </c>
      <c r="T3" s="11">
        <v>2024</v>
      </c>
      <c r="U3" s="11">
        <v>2025</v>
      </c>
      <c r="V3" s="11">
        <v>2026</v>
      </c>
      <c r="W3" s="11">
        <v>2027</v>
      </c>
      <c r="X3" s="11">
        <v>2028</v>
      </c>
      <c r="Y3" s="11">
        <v>2029</v>
      </c>
      <c r="Z3" s="11">
        <v>2030</v>
      </c>
      <c r="AA3" s="11">
        <v>2031</v>
      </c>
      <c r="AB3" s="11">
        <v>2032</v>
      </c>
      <c r="AC3" s="11">
        <v>2033</v>
      </c>
      <c r="AD3" s="11">
        <v>2034</v>
      </c>
      <c r="AE3" s="11">
        <v>2035</v>
      </c>
      <c r="AF3" s="11">
        <v>2036</v>
      </c>
      <c r="AG3" s="11">
        <v>2037</v>
      </c>
      <c r="AH3" s="11">
        <v>2038</v>
      </c>
      <c r="AI3" s="11">
        <v>2039</v>
      </c>
      <c r="AJ3" s="11">
        <v>2040</v>
      </c>
      <c r="AK3" s="11">
        <v>2041</v>
      </c>
    </row>
    <row r="4" spans="1:37" x14ac:dyDescent="0.25">
      <c r="A4" s="11" t="s">
        <v>377</v>
      </c>
      <c r="B4" s="16">
        <f>SUM(B$15:B$110,B$115:B$210)/1000000</f>
        <v>4.1669000000000009</v>
      </c>
      <c r="C4" s="16">
        <f>SUM(C$15:C$110,C$115:C$210)/1000000</f>
        <v>4.2119999999999989</v>
      </c>
      <c r="D4" s="16">
        <f t="shared" ref="D4:AK4" si="0">SUM(D$15:D$110,D$115:D$210)/1000000</f>
        <v>4.248899999999999</v>
      </c>
      <c r="E4" s="16">
        <f t="shared" si="0"/>
        <v>4.286500000000002</v>
      </c>
      <c r="F4" s="16">
        <f t="shared" si="0"/>
        <v>4.3364999999999965</v>
      </c>
      <c r="G4" s="16">
        <f t="shared" si="0"/>
        <v>4.3758000000000008</v>
      </c>
      <c r="H4" s="16">
        <f t="shared" si="0"/>
        <v>4.4014999999999986</v>
      </c>
      <c r="I4" s="16">
        <f t="shared" si="0"/>
        <v>4.4298999999999955</v>
      </c>
      <c r="J4" s="16">
        <f t="shared" si="0"/>
        <v>4.4881999999999991</v>
      </c>
      <c r="K4" s="16">
        <f t="shared" si="0"/>
        <v>4.5764999999999993</v>
      </c>
      <c r="L4" s="16">
        <f t="shared" si="0"/>
        <v>4.6772000000000018</v>
      </c>
      <c r="M4" s="16">
        <f t="shared" si="0"/>
        <v>4.7797000000000001</v>
      </c>
      <c r="N4" s="16">
        <f t="shared" si="0"/>
        <v>4.870600000000004</v>
      </c>
      <c r="O4" s="16">
        <f t="shared" si="0"/>
        <v>4.946200000000001</v>
      </c>
      <c r="P4" s="16">
        <f t="shared" si="0"/>
        <v>5.0406000000000004</v>
      </c>
      <c r="Q4" s="16">
        <f t="shared" si="0"/>
        <v>5.0820999999999996</v>
      </c>
      <c r="R4" s="16">
        <f t="shared" si="0"/>
        <v>5.083800000000001</v>
      </c>
      <c r="S4" s="16">
        <f t="shared" si="0"/>
        <v>5.1452000000000027</v>
      </c>
      <c r="T4" s="16">
        <f t="shared" si="0"/>
        <v>5.2687999999999988</v>
      </c>
      <c r="U4" s="16">
        <f t="shared" si="0"/>
        <v>5.3118000000000025</v>
      </c>
      <c r="V4" s="16">
        <f t="shared" si="0"/>
        <v>5.3450999999999986</v>
      </c>
      <c r="W4" s="16">
        <f t="shared" si="0"/>
        <v>5.3923000000000005</v>
      </c>
      <c r="X4" s="16">
        <f t="shared" si="0"/>
        <v>5.4529999999999976</v>
      </c>
      <c r="Y4" s="16">
        <f t="shared" si="0"/>
        <v>5.5176999999999952</v>
      </c>
      <c r="Z4" s="16">
        <f t="shared" si="0"/>
        <v>5.5833999999999984</v>
      </c>
      <c r="AA4" s="16">
        <f t="shared" si="0"/>
        <v>5.6493000000000011</v>
      </c>
      <c r="AB4" s="16">
        <f t="shared" si="0"/>
        <v>5.7052600060217733</v>
      </c>
      <c r="AC4" s="16">
        <f t="shared" si="0"/>
        <v>5.7601500100362912</v>
      </c>
      <c r="AD4" s="16">
        <f t="shared" si="0"/>
        <v>5.8138600117090098</v>
      </c>
      <c r="AE4" s="16">
        <f t="shared" si="0"/>
        <v>5.8664900117090104</v>
      </c>
      <c r="AF4" s="16">
        <f t="shared" si="0"/>
        <v>5.9189500117090104</v>
      </c>
      <c r="AG4" s="16">
        <f t="shared" si="0"/>
        <v>5.9709800117090106</v>
      </c>
      <c r="AH4" s="16">
        <f t="shared" si="0"/>
        <v>6.0227600117090114</v>
      </c>
      <c r="AI4" s="16">
        <f t="shared" si="0"/>
        <v>6.0742300117090116</v>
      </c>
      <c r="AJ4" s="16">
        <f t="shared" si="0"/>
        <v>6.12551001170901</v>
      </c>
      <c r="AK4" s="16">
        <f t="shared" si="0"/>
        <v>6.1764800117090104</v>
      </c>
    </row>
    <row r="5" spans="1:37" x14ac:dyDescent="0.25">
      <c r="A5" s="14" t="s">
        <v>378</v>
      </c>
      <c r="B5" s="12"/>
      <c r="C5" s="17">
        <f>C$4/B$4-1</f>
        <v>1.0823393889941579E-2</v>
      </c>
      <c r="D5" s="17">
        <f t="shared" ref="D5:AK5" si="1">D$4/C$4-1</f>
        <v>8.7606837606837296E-3</v>
      </c>
      <c r="E5" s="17">
        <f t="shared" si="1"/>
        <v>8.849349243334359E-3</v>
      </c>
      <c r="F5" s="17">
        <f t="shared" si="1"/>
        <v>1.166452816983421E-2</v>
      </c>
      <c r="G5" s="17">
        <f t="shared" si="1"/>
        <v>9.0626080940860998E-3</v>
      </c>
      <c r="H5" s="17">
        <f t="shared" si="1"/>
        <v>5.8732117555642116E-3</v>
      </c>
      <c r="I5" s="17">
        <f t="shared" si="1"/>
        <v>6.4523457912069038E-3</v>
      </c>
      <c r="J5" s="17">
        <f t="shared" si="1"/>
        <v>1.3160567958645508E-2</v>
      </c>
      <c r="K5" s="17">
        <f t="shared" si="1"/>
        <v>1.9673811327481028E-2</v>
      </c>
      <c r="L5" s="17">
        <f t="shared" si="1"/>
        <v>2.2003714629083904E-2</v>
      </c>
      <c r="M5" s="17">
        <f t="shared" si="1"/>
        <v>2.1914820832976689E-2</v>
      </c>
      <c r="N5" s="17">
        <f t="shared" si="1"/>
        <v>1.9017929995607252E-2</v>
      </c>
      <c r="O5" s="17">
        <f t="shared" si="1"/>
        <v>1.5521701638401275E-2</v>
      </c>
      <c r="P5" s="17">
        <f t="shared" si="1"/>
        <v>1.9085358456997215E-2</v>
      </c>
      <c r="Q5" s="17">
        <f t="shared" si="1"/>
        <v>8.2331468475973502E-3</v>
      </c>
      <c r="R5" s="17">
        <f t="shared" si="1"/>
        <v>3.3450738867824015E-4</v>
      </c>
      <c r="S5" s="17">
        <f t="shared" si="1"/>
        <v>1.2077579763169588E-2</v>
      </c>
      <c r="T5" s="17">
        <f t="shared" si="1"/>
        <v>2.4022389800201438E-2</v>
      </c>
      <c r="U5" s="17">
        <f t="shared" si="1"/>
        <v>8.161251138779857E-3</v>
      </c>
      <c r="V5" s="17">
        <f t="shared" si="1"/>
        <v>6.269061335139936E-3</v>
      </c>
      <c r="W5" s="17">
        <f t="shared" si="1"/>
        <v>8.8305176703900035E-3</v>
      </c>
      <c r="X5" s="17">
        <f t="shared" si="1"/>
        <v>1.1256792092427581E-2</v>
      </c>
      <c r="Y5" s="17">
        <f t="shared" si="1"/>
        <v>1.1865028424719926E-2</v>
      </c>
      <c r="Z5" s="17">
        <f t="shared" si="1"/>
        <v>1.1907135219385578E-2</v>
      </c>
      <c r="AA5" s="17">
        <f t="shared" si="1"/>
        <v>1.1802844145144986E-2</v>
      </c>
      <c r="AB5" s="17">
        <f t="shared" si="1"/>
        <v>9.9056530936172393E-3</v>
      </c>
      <c r="AC5" s="17">
        <f t="shared" si="1"/>
        <v>9.6209469781540768E-3</v>
      </c>
      <c r="AD5" s="17">
        <f t="shared" si="1"/>
        <v>9.3244102287504127E-3</v>
      </c>
      <c r="AE5" s="17">
        <f t="shared" si="1"/>
        <v>9.0525055460579651E-3</v>
      </c>
      <c r="AF5" s="17">
        <f t="shared" si="1"/>
        <v>8.9423147223117727E-3</v>
      </c>
      <c r="AG5" s="17">
        <f t="shared" si="1"/>
        <v>8.7904104439255892E-3</v>
      </c>
      <c r="AH5" s="17">
        <f t="shared" si="1"/>
        <v>8.6719432820845377E-3</v>
      </c>
      <c r="AI5" s="17">
        <f t="shared" si="1"/>
        <v>8.5459158093526E-3</v>
      </c>
      <c r="AJ5" s="17">
        <f t="shared" si="1"/>
        <v>8.4422222900923938E-3</v>
      </c>
      <c r="AK5" s="17">
        <f t="shared" si="1"/>
        <v>8.3209397915553485E-3</v>
      </c>
    </row>
    <row r="6" spans="1:37" x14ac:dyDescent="0.25">
      <c r="A6" s="11" t="s">
        <v>379</v>
      </c>
      <c r="B6" s="16">
        <f>SUM(B$30:B$110,B$130:B$210)/1000000</f>
        <v>3.2251000000000007</v>
      </c>
      <c r="C6" s="16">
        <f t="shared" ref="C6:AK6" si="2">SUM(C$30:C$110,C$130:C$210)/1000000</f>
        <v>3.2726000000000006</v>
      </c>
      <c r="D6" s="16">
        <f t="shared" si="2"/>
        <v>3.304600000000002</v>
      </c>
      <c r="E6" s="16">
        <f t="shared" si="2"/>
        <v>3.3357999999999994</v>
      </c>
      <c r="F6" s="16">
        <f t="shared" si="2"/>
        <v>3.3766999999999987</v>
      </c>
      <c r="G6" s="16">
        <f t="shared" si="2"/>
        <v>3.4115999999999986</v>
      </c>
      <c r="H6" s="16">
        <f t="shared" si="2"/>
        <v>3.4369999999999994</v>
      </c>
      <c r="I6" s="16">
        <f t="shared" si="2"/>
        <v>3.4639000000000015</v>
      </c>
      <c r="J6" s="16">
        <f t="shared" si="2"/>
        <v>3.515299999999999</v>
      </c>
      <c r="K6" s="16">
        <f t="shared" si="2"/>
        <v>3.5958000000000006</v>
      </c>
      <c r="L6" s="16">
        <f t="shared" si="2"/>
        <v>3.6897000000000011</v>
      </c>
      <c r="M6" s="16">
        <f t="shared" si="2"/>
        <v>3.7874000000000008</v>
      </c>
      <c r="N6" s="16">
        <f t="shared" si="2"/>
        <v>3.8690999999999995</v>
      </c>
      <c r="O6" s="16">
        <f t="shared" si="2"/>
        <v>3.9419</v>
      </c>
      <c r="P6" s="16">
        <f t="shared" si="2"/>
        <v>4.0198</v>
      </c>
      <c r="Q6" s="16">
        <f t="shared" si="2"/>
        <v>4.0666999999999991</v>
      </c>
      <c r="R6" s="16">
        <f t="shared" si="2"/>
        <v>4.0702999999999987</v>
      </c>
      <c r="S6" s="16">
        <f t="shared" si="2"/>
        <v>4.1179000000000006</v>
      </c>
      <c r="T6" s="16">
        <f t="shared" si="2"/>
        <v>4.2371999999999979</v>
      </c>
      <c r="U6" s="16">
        <f t="shared" si="2"/>
        <v>4.286900000000001</v>
      </c>
      <c r="V6" s="16">
        <f t="shared" si="2"/>
        <v>4.3320000000000016</v>
      </c>
      <c r="W6" s="16">
        <f t="shared" si="2"/>
        <v>4.3867000000000003</v>
      </c>
      <c r="X6" s="16">
        <f t="shared" si="2"/>
        <v>4.4423000000000004</v>
      </c>
      <c r="Y6" s="16">
        <f t="shared" si="2"/>
        <v>4.5003000000000002</v>
      </c>
      <c r="Z6" s="16">
        <f t="shared" si="2"/>
        <v>4.5590000000000002</v>
      </c>
      <c r="AA6" s="16">
        <f t="shared" si="2"/>
        <v>4.6177999999999999</v>
      </c>
      <c r="AB6" s="16">
        <f t="shared" si="2"/>
        <v>4.6771358808609396</v>
      </c>
      <c r="AC6" s="16">
        <f t="shared" si="2"/>
        <v>4.7345664681015647</v>
      </c>
      <c r="AD6" s="16">
        <f t="shared" si="2"/>
        <v>4.7911242127851628</v>
      </c>
      <c r="AE6" s="16">
        <f t="shared" si="2"/>
        <v>4.8453742127851633</v>
      </c>
      <c r="AF6" s="16">
        <f t="shared" si="2"/>
        <v>4.8998342127851631</v>
      </c>
      <c r="AG6" s="16">
        <f t="shared" si="2"/>
        <v>4.9531442127851628</v>
      </c>
      <c r="AH6" s="16">
        <f t="shared" si="2"/>
        <v>5.0015842127851631</v>
      </c>
      <c r="AI6" s="16">
        <f t="shared" si="2"/>
        <v>5.0492242127851625</v>
      </c>
      <c r="AJ6" s="16">
        <f t="shared" si="2"/>
        <v>5.0974042127851638</v>
      </c>
      <c r="AK6" s="16">
        <f t="shared" si="2"/>
        <v>5.1449142127851628</v>
      </c>
    </row>
    <row r="7" spans="1:37" x14ac:dyDescent="0.25">
      <c r="A7" s="11" t="s">
        <v>393</v>
      </c>
      <c r="B7" s="16">
        <f>SUM(B$15:B$29,B$115:B$129)/1000000</f>
        <v>0.94179999999999986</v>
      </c>
      <c r="C7" s="16">
        <f t="shared" ref="C7:AK7" si="3">SUM(C$15:C$29,C$115:C$129)/1000000</f>
        <v>0.93940000000000012</v>
      </c>
      <c r="D7" s="16">
        <f t="shared" si="3"/>
        <v>0.94430000000000036</v>
      </c>
      <c r="E7" s="16">
        <f t="shared" si="3"/>
        <v>0.95069999999999988</v>
      </c>
      <c r="F7" s="16">
        <f t="shared" si="3"/>
        <v>0.95979999999999999</v>
      </c>
      <c r="G7" s="16">
        <f t="shared" si="3"/>
        <v>0.96419999999999995</v>
      </c>
      <c r="H7" s="16">
        <f t="shared" si="3"/>
        <v>0.96450000000000058</v>
      </c>
      <c r="I7" s="16">
        <f t="shared" si="3"/>
        <v>0.96599999999999997</v>
      </c>
      <c r="J7" s="16">
        <f t="shared" si="3"/>
        <v>0.97289999999999954</v>
      </c>
      <c r="K7" s="16">
        <f t="shared" si="3"/>
        <v>0.98070000000000024</v>
      </c>
      <c r="L7" s="16">
        <f t="shared" si="3"/>
        <v>0.98750000000000027</v>
      </c>
      <c r="M7" s="16">
        <f t="shared" si="3"/>
        <v>0.9923000000000004</v>
      </c>
      <c r="N7" s="16">
        <f t="shared" si="3"/>
        <v>1.0015000000000007</v>
      </c>
      <c r="O7" s="16">
        <f t="shared" si="3"/>
        <v>1.0043000000000004</v>
      </c>
      <c r="P7" s="16">
        <f t="shared" si="3"/>
        <v>1.0208000000000002</v>
      </c>
      <c r="Q7" s="16">
        <f t="shared" si="3"/>
        <v>1.0154000000000005</v>
      </c>
      <c r="R7" s="16">
        <f t="shared" si="3"/>
        <v>1.0134999999999998</v>
      </c>
      <c r="S7" s="16">
        <f t="shared" si="3"/>
        <v>1.0273000000000003</v>
      </c>
      <c r="T7" s="16">
        <f t="shared" si="3"/>
        <v>1.0316000000000007</v>
      </c>
      <c r="U7" s="16">
        <f t="shared" si="3"/>
        <v>1.0249000000000004</v>
      </c>
      <c r="V7" s="16">
        <f t="shared" si="3"/>
        <v>1.0131000000000006</v>
      </c>
      <c r="W7" s="16">
        <f t="shared" si="3"/>
        <v>1.0056000000000009</v>
      </c>
      <c r="X7" s="16">
        <f t="shared" si="3"/>
        <v>1.0107000000000002</v>
      </c>
      <c r="Y7" s="16">
        <f t="shared" si="3"/>
        <v>1.0173999999999996</v>
      </c>
      <c r="Z7" s="16">
        <f t="shared" si="3"/>
        <v>1.0243999999999991</v>
      </c>
      <c r="AA7" s="16">
        <f t="shared" si="3"/>
        <v>1.0315000000000001</v>
      </c>
      <c r="AB7" s="16">
        <f t="shared" si="3"/>
        <v>1.0281241251608353</v>
      </c>
      <c r="AC7" s="16">
        <f t="shared" si="3"/>
        <v>1.0255835419347255</v>
      </c>
      <c r="AD7" s="16">
        <f t="shared" si="3"/>
        <v>1.0227357989238461</v>
      </c>
      <c r="AE7" s="16">
        <f t="shared" si="3"/>
        <v>1.0211157989238462</v>
      </c>
      <c r="AF7" s="16">
        <f t="shared" si="3"/>
        <v>1.0191157989238462</v>
      </c>
      <c r="AG7" s="16">
        <f t="shared" si="3"/>
        <v>1.017835798923846</v>
      </c>
      <c r="AH7" s="16">
        <f t="shared" si="3"/>
        <v>1.0211757989238461</v>
      </c>
      <c r="AI7" s="16">
        <f t="shared" si="3"/>
        <v>1.0250057989238461</v>
      </c>
      <c r="AJ7" s="16">
        <f t="shared" si="3"/>
        <v>1.028105798923846</v>
      </c>
      <c r="AK7" s="16">
        <f t="shared" si="3"/>
        <v>1.031565798923846</v>
      </c>
    </row>
    <row r="8" spans="1:37" x14ac:dyDescent="0.25">
      <c r="A8" s="11" t="s">
        <v>394</v>
      </c>
      <c r="B8" s="12"/>
      <c r="C8" s="12"/>
      <c r="D8" s="12"/>
      <c r="E8" s="12"/>
      <c r="F8" s="12"/>
      <c r="G8" s="12"/>
      <c r="H8" s="12"/>
      <c r="I8" s="12"/>
      <c r="J8" s="12"/>
      <c r="K8" s="12"/>
      <c r="L8" s="12"/>
      <c r="M8" s="12"/>
      <c r="N8" s="12"/>
      <c r="O8" s="12"/>
      <c r="P8" s="12"/>
      <c r="Q8" s="12"/>
      <c r="R8" s="12"/>
      <c r="S8" s="12"/>
      <c r="T8" s="12"/>
      <c r="U8" s="22">
        <f>'Economic Forecasts'!W$17</f>
        <v>10.199999999999999</v>
      </c>
      <c r="V8" s="22">
        <f>'Economic Forecasts'!X$17</f>
        <v>17.600000000000001</v>
      </c>
      <c r="W8" s="22">
        <f>'Economic Forecasts'!Y$17</f>
        <v>31.9</v>
      </c>
      <c r="X8" s="22">
        <f>'Economic Forecasts'!Z$17</f>
        <v>37.1</v>
      </c>
      <c r="Y8" s="22">
        <f>'Economic Forecasts'!AA$17</f>
        <v>39.299999999999997</v>
      </c>
      <c r="Z8" s="22">
        <f>'Economic Forecasts'!AB$17</f>
        <v>39.799999999999997</v>
      </c>
      <c r="AA8" s="22">
        <f>'Economic Forecasts'!AC$17</f>
        <v>40</v>
      </c>
      <c r="AB8" s="23">
        <f>MAX(AA$8-0.4,AB$9)</f>
        <v>39.6</v>
      </c>
      <c r="AC8" s="23">
        <f>MAX(AB$8-0.4,AC$9)</f>
        <v>39.200000000000003</v>
      </c>
      <c r="AD8" s="23">
        <f>MAX(AC$8-0.4,AD$9)</f>
        <v>38.800000000000004</v>
      </c>
      <c r="AE8" s="23">
        <f t="shared" ref="AE8:AK8" si="4">MAX(AD$8-0.4,AE$9)</f>
        <v>38.5</v>
      </c>
      <c r="AF8" s="23">
        <f t="shared" si="4"/>
        <v>38.799999999999997</v>
      </c>
      <c r="AG8" s="23">
        <f t="shared" si="4"/>
        <v>39</v>
      </c>
      <c r="AH8" s="23">
        <f t="shared" si="4"/>
        <v>39.299999999999997</v>
      </c>
      <c r="AI8" s="23">
        <f t="shared" si="4"/>
        <v>39.5</v>
      </c>
      <c r="AJ8" s="23">
        <f t="shared" si="4"/>
        <v>39.799999999999997</v>
      </c>
      <c r="AK8" s="23">
        <f t="shared" si="4"/>
        <v>40</v>
      </c>
    </row>
    <row r="9" spans="1:37" x14ac:dyDescent="0.25">
      <c r="A9" s="11" t="s">
        <v>395</v>
      </c>
      <c r="B9" s="12"/>
      <c r="C9" s="12"/>
      <c r="D9" s="12"/>
      <c r="E9" s="12"/>
      <c r="F9" s="12"/>
      <c r="G9" s="12"/>
      <c r="H9" s="12"/>
      <c r="I9" s="12"/>
      <c r="J9" s="12"/>
      <c r="K9" s="12"/>
      <c r="L9" s="12"/>
      <c r="M9" s="12"/>
      <c r="N9" s="12"/>
      <c r="O9" s="12"/>
      <c r="P9" s="12"/>
      <c r="Q9" s="12"/>
      <c r="R9" s="12"/>
      <c r="S9" s="12"/>
      <c r="T9" s="12"/>
      <c r="U9" s="22">
        <v>25</v>
      </c>
      <c r="V9" s="22">
        <v>30</v>
      </c>
      <c r="W9" s="22">
        <v>32.5</v>
      </c>
      <c r="X9" s="22">
        <v>34.5</v>
      </c>
      <c r="Y9" s="22">
        <v>36</v>
      </c>
      <c r="Z9" s="22">
        <v>37</v>
      </c>
      <c r="AA9" s="22">
        <f>Z9+0.5</f>
        <v>37.5</v>
      </c>
      <c r="AB9" s="23">
        <f>AA9+0.3</f>
        <v>37.799999999999997</v>
      </c>
      <c r="AC9" s="23">
        <f>AB9+0.2</f>
        <v>38</v>
      </c>
      <c r="AD9" s="23">
        <f>AC9+0.3</f>
        <v>38.299999999999997</v>
      </c>
      <c r="AE9" s="23">
        <f>AD9+0.2</f>
        <v>38.5</v>
      </c>
      <c r="AF9" s="23">
        <f>AE9+0.3</f>
        <v>38.799999999999997</v>
      </c>
      <c r="AG9" s="23">
        <f>AF9+0.2</f>
        <v>39</v>
      </c>
      <c r="AH9" s="23">
        <f>AG9+0.3</f>
        <v>39.299999999999997</v>
      </c>
      <c r="AI9" s="23">
        <f>AH9+0.2</f>
        <v>39.5</v>
      </c>
      <c r="AJ9" s="23">
        <f>AI9+0.3</f>
        <v>39.799999999999997</v>
      </c>
      <c r="AK9" s="23">
        <f>AJ9+0.2</f>
        <v>40</v>
      </c>
    </row>
    <row r="10" spans="1:37" x14ac:dyDescent="0.25">
      <c r="A10" s="11" t="s">
        <v>396</v>
      </c>
    </row>
    <row r="11" spans="1:37" x14ac:dyDescent="0.25">
      <c r="A11" s="11" t="s">
        <v>397</v>
      </c>
      <c r="B11" s="24" t="s">
        <v>398</v>
      </c>
      <c r="C11" s="24" t="s">
        <v>399</v>
      </c>
      <c r="D11" s="24" t="s">
        <v>400</v>
      </c>
      <c r="E11" s="24" t="s">
        <v>401</v>
      </c>
      <c r="F11" s="24" t="s">
        <v>402</v>
      </c>
      <c r="G11" s="24" t="s">
        <v>403</v>
      </c>
      <c r="H11" s="24" t="s">
        <v>404</v>
      </c>
      <c r="I11" s="24" t="s">
        <v>405</v>
      </c>
      <c r="J11" s="24" t="s">
        <v>406</v>
      </c>
      <c r="K11" s="24" t="s">
        <v>407</v>
      </c>
      <c r="L11" s="24" t="s">
        <v>408</v>
      </c>
      <c r="M11" s="24" t="s">
        <v>409</v>
      </c>
      <c r="N11" s="24" t="s">
        <v>410</v>
      </c>
      <c r="O11" s="24" t="s">
        <v>411</v>
      </c>
      <c r="P11" s="24" t="s">
        <v>412</v>
      </c>
      <c r="Q11" s="24" t="s">
        <v>413</v>
      </c>
      <c r="R11" s="24" t="s">
        <v>414</v>
      </c>
      <c r="S11" s="24" t="s">
        <v>415</v>
      </c>
      <c r="T11" s="24" t="s">
        <v>416</v>
      </c>
      <c r="U11" s="24" t="s">
        <v>417</v>
      </c>
    </row>
    <row r="12" spans="1:37" x14ac:dyDescent="0.25">
      <c r="A12" s="11" t="s">
        <v>418</v>
      </c>
      <c r="B12" s="25">
        <v>2.6425590714501453E-2</v>
      </c>
      <c r="C12" s="25">
        <v>4.1234733184987785E-2</v>
      </c>
      <c r="D12" s="25">
        <v>4.0156319513511757E-2</v>
      </c>
      <c r="E12" s="25">
        <v>5.5410759447520906E-2</v>
      </c>
      <c r="F12" s="25">
        <v>-7.0268328935790348E-3</v>
      </c>
      <c r="G12" s="25">
        <v>9.9773874054924203E-2</v>
      </c>
      <c r="H12" s="25">
        <v>0.10249018077299692</v>
      </c>
      <c r="I12" s="25">
        <v>6.493174074927778E-2</v>
      </c>
      <c r="J12" s="25">
        <v>3.6680817020274259E-2</v>
      </c>
      <c r="K12" s="25">
        <v>9.6258134748373574E-3</v>
      </c>
      <c r="L12" s="25">
        <v>2.5606802505114502E-3</v>
      </c>
      <c r="M12" s="25">
        <v>1.0513270240974098E-2</v>
      </c>
      <c r="N12" s="25">
        <v>1.5395700398218803E-2</v>
      </c>
      <c r="O12" s="25">
        <v>7.8155332609658595E-3</v>
      </c>
      <c r="P12" s="25">
        <v>3.1598032049964062E-3</v>
      </c>
      <c r="Q12" s="25">
        <v>1.7419224838287047E-3</v>
      </c>
      <c r="R12" s="25">
        <v>9.5729348354161854E-4</v>
      </c>
      <c r="S12" s="25">
        <v>3.1786943641608803E-4</v>
      </c>
      <c r="T12" s="25">
        <v>3.0142990071690815E-4</v>
      </c>
      <c r="U12" s="26">
        <f>SUM($B$12:$T$12)</f>
        <v>0.51246649869942329</v>
      </c>
    </row>
    <row r="13" spans="1:37" x14ac:dyDescent="0.25">
      <c r="A13" s="11" t="s">
        <v>419</v>
      </c>
      <c r="B13" s="25">
        <v>3.0037309136174063E-2</v>
      </c>
      <c r="C13" s="25">
        <v>4.4282169095202918E-2</v>
      </c>
      <c r="D13" s="25">
        <v>4.2377856597249373E-2</v>
      </c>
      <c r="E13" s="25">
        <v>6.8621462769014291E-2</v>
      </c>
      <c r="F13" s="25">
        <v>-1.0238043930636126E-2</v>
      </c>
      <c r="G13" s="25">
        <v>4.5885820159620699E-2</v>
      </c>
      <c r="H13" s="25">
        <v>9.3818367775033731E-2</v>
      </c>
      <c r="I13" s="25">
        <v>7.1007179763121028E-2</v>
      </c>
      <c r="J13" s="25">
        <v>4.6829161615195507E-2</v>
      </c>
      <c r="K13" s="25">
        <v>1.8292934244730514E-2</v>
      </c>
      <c r="L13" s="25">
        <v>4.1365914465587225E-3</v>
      </c>
      <c r="M13" s="25">
        <v>4.5830699090324886E-3</v>
      </c>
      <c r="N13" s="25">
        <v>1.2758722167722563E-2</v>
      </c>
      <c r="O13" s="25">
        <v>8.8155106227839151E-3</v>
      </c>
      <c r="P13" s="25">
        <v>3.5659477170100306E-3</v>
      </c>
      <c r="Q13" s="25">
        <v>1.6009592911941488E-3</v>
      </c>
      <c r="R13" s="25">
        <v>4.8177268312092381E-4</v>
      </c>
      <c r="S13" s="25">
        <v>3.8055896350697377E-4</v>
      </c>
      <c r="T13" s="25">
        <v>2.9949670479101169E-4</v>
      </c>
      <c r="U13" s="26">
        <f>SUM($B$13:$T$13)</f>
        <v>0.48753684673042674</v>
      </c>
    </row>
    <row r="14" spans="1:37" x14ac:dyDescent="0.25">
      <c r="A14" s="11" t="s">
        <v>383</v>
      </c>
    </row>
    <row r="15" spans="1:37" x14ac:dyDescent="0.25">
      <c r="A15" s="12">
        <v>0</v>
      </c>
      <c r="B15" s="27">
        <f>'Statistics NZ'!B$15*('Economic Forecasts'!D$10-'Economic Forecasts'!D$9)*1000000/SUM('Statistics NZ'!B$15:B$29,'Statistics NZ'!B$115:B$129)</f>
        <v>30650.829102452975</v>
      </c>
      <c r="C15" s="104">
        <f>'Statistics NZ'!C$15*('Economic Forecasts'!E$10-'Economic Forecasts'!E$9)*1000000/SUM('Statistics NZ'!C$15:C$29,'Statistics NZ'!C$115:C$129)</f>
        <v>31861.395714125436</v>
      </c>
      <c r="D15" s="27">
        <f>'Statistics NZ'!D$15*('Economic Forecasts'!F$10-'Economic Forecasts'!F$9)*1000000/SUM('Statistics NZ'!D$15:D$29,'Statistics NZ'!D$115:D$129)</f>
        <v>33068.584382083958</v>
      </c>
      <c r="E15" s="27">
        <f>'Statistics NZ'!E$15*('Economic Forecasts'!G$10-'Economic Forecasts'!G$9)*1000000/SUM('Statistics NZ'!E$15:E$29,'Statistics NZ'!E$115:E$129)</f>
        <v>32524.83576723334</v>
      </c>
      <c r="F15" s="27">
        <f>'Statistics NZ'!F$15*('Economic Forecasts'!H$10-'Economic Forecasts'!H$9)*1000000/SUM('Statistics NZ'!F$15:F$29,'Statistics NZ'!F$115:F$129)</f>
        <v>33302.462175435503</v>
      </c>
      <c r="G15" s="27">
        <f>'Statistics NZ'!G$15*('Economic Forecasts'!I$10-'Economic Forecasts'!I$9)*1000000/SUM('Statistics NZ'!G$15:G$29,'Statistics NZ'!G$115:G$129)</f>
        <v>32471.383865335836</v>
      </c>
      <c r="H15" s="27">
        <f>'Statistics NZ'!H$15*('Economic Forecasts'!J$10-'Economic Forecasts'!J$9)*1000000/SUM('Statistics NZ'!H$15:H$29,'Statistics NZ'!H$115:H$129)</f>
        <v>31676.130181026823</v>
      </c>
      <c r="I15" s="27">
        <f>'Statistics NZ'!I$15*('Economic Forecasts'!K$10-'Economic Forecasts'!K$9)*1000000/SUM('Statistics NZ'!I$15:I$29,'Statistics NZ'!I$115:I$129)</f>
        <v>31218.895454395395</v>
      </c>
      <c r="J15" s="27">
        <f>'Statistics NZ'!J$15*('Economic Forecasts'!L$10-'Economic Forecasts'!L$9)*1000000/SUM('Statistics NZ'!J$15:J$29,'Statistics NZ'!J$115:J$129)</f>
        <v>30295.413015103473</v>
      </c>
      <c r="K15" s="27">
        <f>'Statistics NZ'!K$15*('Economic Forecasts'!M$10-'Economic Forecasts'!M$9)*1000000/SUM('Statistics NZ'!K$15:K$29,'Statistics NZ'!K$115:K$129)</f>
        <v>30529.459149702565</v>
      </c>
      <c r="L15" s="27">
        <f>'Statistics NZ'!L$15*('Economic Forecasts'!N$10-'Economic Forecasts'!N$9)*1000000/SUM('Statistics NZ'!L$15:L$29,'Statistics NZ'!L$115:L$129)</f>
        <v>30747.901840756211</v>
      </c>
      <c r="M15" s="27">
        <f>'Statistics NZ'!M$15*('Economic Forecasts'!O$10-'Economic Forecasts'!O$9)*1000000/SUM('Statistics NZ'!M$15:M$29,'Statistics NZ'!M$115:M$129)</f>
        <v>31193.743795565901</v>
      </c>
      <c r="N15" s="27">
        <f>'Statistics NZ'!N$15*('Economic Forecasts'!P$10-'Economic Forecasts'!P$9)*1000000/SUM('Statistics NZ'!N$15:N$29,'Statistics NZ'!N$115:N$129)</f>
        <v>30686.128456263817</v>
      </c>
      <c r="O15" s="27">
        <f>'Statistics NZ'!O$15*('Economic Forecasts'!Q$10-'Economic Forecasts'!Q$9)*1000000/SUM('Statistics NZ'!O$15:O$29,'Statistics NZ'!O$115:O$129)</f>
        <v>30339.486750640259</v>
      </c>
      <c r="P15" s="27">
        <f>'Statistics NZ'!P$15*('Economic Forecasts'!R$10-'Economic Forecasts'!R$9)*1000000/SUM('Statistics NZ'!P$15:P$29,'Statistics NZ'!P$115:P$129)</f>
        <v>30669.487092005016</v>
      </c>
      <c r="Q15" s="27">
        <f>'Statistics NZ'!Q$15*('Economic Forecasts'!S$10-'Economic Forecasts'!S$9)*1000000/SUM('Statistics NZ'!Q$15:Q$29,'Statistics NZ'!Q$115:Q$129)</f>
        <v>30976.243390614687</v>
      </c>
      <c r="R15" s="27">
        <f>'Statistics NZ'!R$15*('Economic Forecasts'!T$10-'Economic Forecasts'!T$9)*1000000/SUM('Statistics NZ'!R$15:R$29,'Statistics NZ'!R$115:R$129)</f>
        <v>31363.902408650792</v>
      </c>
      <c r="S15" s="27">
        <f>'Statistics NZ'!S$15*('Economic Forecasts'!U$10-'Economic Forecasts'!U$9)*1000000/SUM('Statistics NZ'!S$15:S$29,'Statistics NZ'!S$115:S$129)</f>
        <v>29188.931616441758</v>
      </c>
      <c r="T15" s="27">
        <f>'Statistics NZ'!T$15*('Economic Forecasts'!V$10-'Economic Forecasts'!V$9)*1000000/SUM('Statistics NZ'!T$15:T$29,'Statistics NZ'!T$115:T$129)</f>
        <v>29380.444508143883</v>
      </c>
      <c r="U15" s="28">
        <f>SUM('Statistics NZ'!U$15,$B$12/5*(U$8-U$9)*1000)*('Economic Forecasts'!W$10-'Economic Forecasts'!W$9)*1000000/SUM('Statistics NZ'!U$15:U$29,'Statistics NZ'!U$115:U$129,SUM($B$12:$D$13)*(U$8-U$9)*1000)</f>
        <v>29939.392819673714</v>
      </c>
      <c r="V15" s="28">
        <f>SUM('Statistics NZ'!V$15,$B$12/5*(V$8-V$9)*1000)*('Economic Forecasts'!X$10-'Economic Forecasts'!X$9)*1000000/SUM('Statistics NZ'!V$15:V$29,'Statistics NZ'!V$115:V$129,SUM($B$12:$D$13)*(V$8-V$9)*1000)</f>
        <v>29812.460615954824</v>
      </c>
      <c r="W15" s="28">
        <f>SUM('Statistics NZ'!W$15,$B$12/5*(W$8-W$9)*1000)*('Economic Forecasts'!Y$10-'Economic Forecasts'!Y$9)*1000000/SUM('Statistics NZ'!W$15:W$29,'Statistics NZ'!W$115:W$129,SUM($B$12:$D$13)*(W$8-W$9)*1000)</f>
        <v>29758.999589754789</v>
      </c>
      <c r="X15" s="28">
        <f>SUM('Statistics NZ'!X$15,$B$12/5*(X$8-X$9)*1000)*('Economic Forecasts'!Z$10-'Economic Forecasts'!Z$9)*1000000/SUM('Statistics NZ'!X$15:X$29,'Statistics NZ'!X$115:X$129,SUM($B$12:$D$13)*(X$8-X$9)*1000)</f>
        <v>30077.191334913765</v>
      </c>
      <c r="Y15" s="28">
        <f>SUM('Statistics NZ'!Y$15,$B$12/5*(Y$8-Y$9)*1000)*('Economic Forecasts'!AA$10-'Economic Forecasts'!AA$9)*1000000/SUM('Statistics NZ'!Y$15:Y$29,'Statistics NZ'!Y$115:Y$129,SUM($B$12:$D$13)*(Y$8-Y$9)*1000)</f>
        <v>30394.490725000142</v>
      </c>
      <c r="Z15" s="28">
        <f>SUM('Statistics NZ'!Z$15,$B$12/5*(Z$8-Z$9)*1000)*('Economic Forecasts'!AB$10-'Economic Forecasts'!AB$9)*1000000/SUM('Statistics NZ'!Z$15:Z$29,'Statistics NZ'!Z$115:Z$129,SUM($B$12:$D$13)*(Z$8-Z$9)*1000)</f>
        <v>30736.17631701487</v>
      </c>
      <c r="AA15" s="28">
        <f>SUM('Statistics NZ'!AA$15,$B$12/5*(AA$8-AA$9)*1000)*('Economic Forecasts'!AC$10-'Economic Forecasts'!AC$9)*1000000/SUM('Statistics NZ'!AA$15:AA$29,'Statistics NZ'!AA$115:AA$129,SUM($B$12:$D$13)*(AA$8-AA$9)*1000)</f>
        <v>31080.452091386698</v>
      </c>
      <c r="AB15" s="18">
        <f>SUM(AA$15,'Statistics NZ'!AB$15-'Statistics NZ'!AA$15,$B$12/5*(AB$8-AB$9)*1000)</f>
        <v>31109.965304043919</v>
      </c>
      <c r="AC15" s="18">
        <f>SUM(AB$15,'Statistics NZ'!AC$15-'Statistics NZ'!AB$15,$B$12/5*(AC$8-AC$9)*1000)</f>
        <v>31166.307445815401</v>
      </c>
      <c r="AD15" s="18">
        <f>SUM(AC$15,'Statistics NZ'!AD$15-'Statistics NZ'!AC$15,$B$12/5*(AD$8-AD$9)*1000)</f>
        <v>31248.95000488685</v>
      </c>
      <c r="AE15" s="18">
        <f>SUM(AD$15,'Statistics NZ'!AE$15-'Statistics NZ'!AD$15,$B$12/5*(AE$8-AE$9)*1000)</f>
        <v>31368.95000488685</v>
      </c>
      <c r="AF15" s="18">
        <f>SUM(AE$15,'Statistics NZ'!AF$15-'Statistics NZ'!AE$15,$B$12/5*(AF$8-AF$9)*1000)</f>
        <v>31528.95000488685</v>
      </c>
      <c r="AG15" s="18">
        <f>SUM(AF$15,'Statistics NZ'!AG$15-'Statistics NZ'!AF$15,$B$12/5*(AG$8-AG$9)*1000)</f>
        <v>31708.95000488685</v>
      </c>
      <c r="AH15" s="18">
        <f>SUM(AG$15,'Statistics NZ'!AH$15-'Statistics NZ'!AG$15,$B$12/5*(AH$8-AH$9)*1000)</f>
        <v>31918.95000488685</v>
      </c>
      <c r="AI15" s="18">
        <f>SUM(AH$15,'Statistics NZ'!AI$15-'Statistics NZ'!AH$15,$B$12/5*(AI$8-AI$9)*1000)</f>
        <v>32138.95000488685</v>
      </c>
      <c r="AJ15" s="18">
        <f>SUM(AI$15,'Statistics NZ'!AJ$15-'Statistics NZ'!AI$15,$B$12/5*(AJ$8-AJ$9)*1000)</f>
        <v>32358.95000488685</v>
      </c>
      <c r="AK15" s="18">
        <f>SUM(AJ$15,'Statistics NZ'!AK$15-'Statistics NZ'!AJ$15,$B$12/5*(AK$8-AK$9)*1000)</f>
        <v>32578.95000488685</v>
      </c>
    </row>
    <row r="16" spans="1:37" x14ac:dyDescent="0.25">
      <c r="A16" s="12">
        <v>1</v>
      </c>
      <c r="B16" s="27">
        <f>'Statistics NZ'!B$16*('Economic Forecasts'!D$10-'Economic Forecasts'!D$9)*1000000/SUM('Statistics NZ'!B$15:B$29,'Statistics NZ'!B$115:B$129)</f>
        <v>29675.430874356931</v>
      </c>
      <c r="C16" s="27">
        <f>'Statistics NZ'!C$16*('Economic Forecasts'!E$10-'Economic Forecasts'!E$9)*1000000/SUM('Statistics NZ'!C$15:C$29,'Statistics NZ'!C$115:C$129)</f>
        <v>30406.92247279255</v>
      </c>
      <c r="D16" s="27">
        <f>'Statistics NZ'!D$16*('Economic Forecasts'!F$10-'Economic Forecasts'!F$9)*1000000/SUM('Statistics NZ'!D$15:D$29,'Statistics NZ'!D$115:D$129)</f>
        <v>31750.480731650125</v>
      </c>
      <c r="E16" s="27">
        <f>'Statistics NZ'!E$16*('Economic Forecasts'!G$10-'Economic Forecasts'!G$9)*1000000/SUM('Statistics NZ'!E$15:E$29,'Statistics NZ'!E$115:E$129)</f>
        <v>32978.47441075946</v>
      </c>
      <c r="F16" s="27">
        <f>'Statistics NZ'!F$16*('Economic Forecasts'!H$10-'Economic Forecasts'!H$9)*1000000/SUM('Statistics NZ'!F$15:F$29,'Statistics NZ'!F$115:F$129)</f>
        <v>32573.211178893122</v>
      </c>
      <c r="G16" s="27">
        <f>'Statistics NZ'!G$16*('Economic Forecasts'!I$10-'Economic Forecasts'!I$9)*1000000/SUM('Statistics NZ'!G$15:G$29,'Statistics NZ'!G$115:G$129)</f>
        <v>33307.784036630757</v>
      </c>
      <c r="H16" s="27">
        <f>'Statistics NZ'!H$16*('Economic Forecasts'!J$10-'Economic Forecasts'!J$9)*1000000/SUM('Statistics NZ'!H$15:H$29,'Statistics NZ'!H$115:H$129)</f>
        <v>32481.814884426436</v>
      </c>
      <c r="I16" s="27">
        <f>'Statistics NZ'!I$16*('Economic Forecasts'!K$10-'Economic Forecasts'!K$9)*1000000/SUM('Statistics NZ'!I$15:I$29,'Statistics NZ'!I$115:I$129)</f>
        <v>31835.407519889075</v>
      </c>
      <c r="J16" s="27">
        <f>'Statistics NZ'!J$16*('Economic Forecasts'!L$10-'Economic Forecasts'!L$9)*1000000/SUM('Statistics NZ'!J$15:J$29,'Statistics NZ'!J$115:J$129)</f>
        <v>31490.58253172609</v>
      </c>
      <c r="K16" s="27">
        <f>'Statistics NZ'!K$16*('Economic Forecasts'!M$10-'Economic Forecasts'!M$9)*1000000/SUM('Statistics NZ'!K$15:K$29,'Statistics NZ'!K$115:K$129)</f>
        <v>30690.027833870005</v>
      </c>
      <c r="L16" s="27">
        <f>'Statistics NZ'!L$16*('Economic Forecasts'!N$10-'Economic Forecasts'!N$9)*1000000/SUM('Statistics NZ'!L$15:L$29,'Statistics NZ'!L$115:L$129)</f>
        <v>30865.382535528119</v>
      </c>
      <c r="M16" s="27">
        <f>'Statistics NZ'!M$16*('Economic Forecasts'!O$10-'Economic Forecasts'!O$9)*1000000/SUM('Statistics NZ'!M$15:M$29,'Statistics NZ'!M$115:M$129)</f>
        <v>30759.467566153951</v>
      </c>
      <c r="N16" s="27">
        <f>'Statistics NZ'!N$16*('Economic Forecasts'!P$10-'Economic Forecasts'!P$9)*1000000/SUM('Statistics NZ'!N$15:N$29,'Statistics NZ'!N$115:N$129)</f>
        <v>31342.176719811527</v>
      </c>
      <c r="O16" s="27">
        <f>'Statistics NZ'!O$16*('Economic Forecasts'!Q$10-'Economic Forecasts'!Q$9)*1000000/SUM('Statistics NZ'!O$15:O$29,'Statistics NZ'!O$115:O$129)</f>
        <v>30559.946688966716</v>
      </c>
      <c r="P16" s="27">
        <f>'Statistics NZ'!P$16*('Economic Forecasts'!R$10-'Economic Forecasts'!R$9)*1000000/SUM('Statistics NZ'!P$15:P$29,'Statistics NZ'!P$115:P$129)</f>
        <v>30690.594791311283</v>
      </c>
      <c r="Q16" s="27">
        <f>'Statistics NZ'!Q$16*('Economic Forecasts'!S$10-'Economic Forecasts'!S$9)*1000000/SUM('Statistics NZ'!Q$15:Q$29,'Statistics NZ'!Q$115:Q$129)</f>
        <v>30567.281477197637</v>
      </c>
      <c r="R16" s="27">
        <f>'Statistics NZ'!R$16*('Economic Forecasts'!T$10-'Economic Forecasts'!T$9)*1000000/SUM('Statistics NZ'!R$15:R$29,'Statistics NZ'!R$115:R$129)</f>
        <v>30995.781488361463</v>
      </c>
      <c r="S16" s="27">
        <f>'Statistics NZ'!S$16*('Economic Forecasts'!U$10-'Economic Forecasts'!U$9)*1000000/SUM('Statistics NZ'!S$15:S$29,'Statistics NZ'!S$115:S$129)</f>
        <v>31815.511819953208</v>
      </c>
      <c r="T16" s="27">
        <f>'Statistics NZ'!T$16*('Economic Forecasts'!V$10-'Economic Forecasts'!V$9)*1000000/SUM('Statistics NZ'!T$15:T$29,'Statistics NZ'!T$115:T$129)</f>
        <v>29264.274526264089</v>
      </c>
      <c r="U16" s="28">
        <f>SUM('Statistics NZ'!U$16,$B$12/5*(U$8-U$9)*1000)*('Economic Forecasts'!W$10-'Economic Forecasts'!W$9)*1000000/SUM('Statistics NZ'!U$15:U$29,'Statistics NZ'!U$115:U$129,SUM($B$12:$D$13)*(U$8-U$9)*1000)</f>
        <v>29419.20216678514</v>
      </c>
      <c r="V16" s="28">
        <f>SUM('Statistics NZ'!V$16,$B$12/5*(V$8-V$9)*1000)*('Economic Forecasts'!X$10-'Economic Forecasts'!X$9)*1000000/SUM('Statistics NZ'!V$15:V$29,'Statistics NZ'!V$115:V$129,SUM($B$12:$D$13)*(V$8-V$9)*1000)</f>
        <v>29801.897984880296</v>
      </c>
      <c r="W16" s="28">
        <f>SUM('Statistics NZ'!W$16,$B$12/5*(W$8-W$9)*1000)*('Economic Forecasts'!Y$10-'Economic Forecasts'!Y$9)*1000000/SUM('Statistics NZ'!W$15:W$29,'Statistics NZ'!W$115:W$129,SUM($B$12:$D$13)*(W$8-W$9)*1000)</f>
        <v>29780.047918522032</v>
      </c>
      <c r="X16" s="28">
        <f>SUM('Statistics NZ'!X$16,$B$12/5*(X$8-X$9)*1000)*('Economic Forecasts'!Z$10-'Economic Forecasts'!Z$9)*1000000/SUM('Statistics NZ'!X$15:X$29,'Statistics NZ'!X$115:X$129,SUM($B$12:$D$13)*(X$8-X$9)*1000)</f>
        <v>30119.727703788398</v>
      </c>
      <c r="Y16" s="28">
        <f>SUM('Statistics NZ'!Y$16,$B$12/5*(Y$8-Y$9)*1000)*('Economic Forecasts'!AA$10-'Economic Forecasts'!AA$9)*1000000/SUM('Statistics NZ'!Y$15:Y$29,'Statistics NZ'!Y$115:Y$129,SUM($B$12:$D$13)*(Y$8-Y$9)*1000)</f>
        <v>30448.253092176248</v>
      </c>
      <c r="Z16" s="28">
        <f>SUM('Statistics NZ'!Z$16,$B$12/5*(Z$8-Z$9)*1000)*('Economic Forecasts'!AB$10-'Economic Forecasts'!AB$9)*1000000/SUM('Statistics NZ'!Z$15:Z$29,'Statistics NZ'!Z$115:Z$129,SUM($B$12:$D$13)*(Z$8-Z$9)*1000)</f>
        <v>30790.56739062503</v>
      </c>
      <c r="AA16" s="28">
        <f>SUM('Statistics NZ'!AA$16,$B$12/5*(AA$8-AA$9)*1000)*('Economic Forecasts'!AC$10-'Economic Forecasts'!AC$9)*1000000/SUM('Statistics NZ'!AA$15:AA$29,'Statistics NZ'!AA$115:AA$129,SUM($B$12:$D$13)*(AA$8-AA$9)*1000)</f>
        <v>31124.439237952702</v>
      </c>
      <c r="AB16" s="18">
        <f>SUM(AA$16,'Statistics NZ'!AB$16-'Statistics NZ'!AA$16,$B$12/5*(AB$8-AB$9)*1000)</f>
        <v>31133.952450609922</v>
      </c>
      <c r="AC16" s="18">
        <f>SUM(AB$16,'Statistics NZ'!AC$16-'Statistics NZ'!AB$16,$B$12/5*(AC$8-AC$9)*1000)</f>
        <v>31170.294592381404</v>
      </c>
      <c r="AD16" s="18">
        <f>SUM(AC$16,'Statistics NZ'!AD$16-'Statistics NZ'!AC$16,$B$12/5*(AD$8-AD$9)*1000)</f>
        <v>31222.937151452854</v>
      </c>
      <c r="AE16" s="18">
        <f>SUM(AD$16,'Statistics NZ'!AE$16-'Statistics NZ'!AD$16,$B$12/5*(AE$8-AE$9)*1000)</f>
        <v>31302.937151452854</v>
      </c>
      <c r="AF16" s="18">
        <f>SUM(AE$16,'Statistics NZ'!AF$16-'Statistics NZ'!AE$16,$B$12/5*(AF$8-AF$9)*1000)</f>
        <v>31422.937151452854</v>
      </c>
      <c r="AG16" s="18">
        <f>SUM(AF$16,'Statistics NZ'!AG$16-'Statistics NZ'!AF$16,$B$12/5*(AG$8-AG$9)*1000)</f>
        <v>31582.937151452854</v>
      </c>
      <c r="AH16" s="18">
        <f>SUM(AG$16,'Statistics NZ'!AH$16-'Statistics NZ'!AG$16,$B$12/5*(AH$8-AH$9)*1000)</f>
        <v>31772.937151452854</v>
      </c>
      <c r="AI16" s="18">
        <f>SUM(AH$16,'Statistics NZ'!AI$16-'Statistics NZ'!AH$16,$B$12/5*(AI$8-AI$9)*1000)</f>
        <v>31982.937151452854</v>
      </c>
      <c r="AJ16" s="18">
        <f>SUM(AI$16,'Statistics NZ'!AJ$16-'Statistics NZ'!AI$16,$B$12/5*(AJ$8-AJ$9)*1000)</f>
        <v>32202.937151452854</v>
      </c>
      <c r="AK16" s="18">
        <f>SUM(AJ$16,'Statistics NZ'!AK$16-'Statistics NZ'!AJ$16,$B$12/5*(AK$8-AK$9)*1000)</f>
        <v>32432.937151452854</v>
      </c>
    </row>
    <row r="17" spans="1:37" x14ac:dyDescent="0.25">
      <c r="A17" s="12">
        <v>2</v>
      </c>
      <c r="B17" s="27">
        <f>'Statistics NZ'!B$17*('Economic Forecasts'!D$10-'Economic Forecasts'!D$9)*1000000/SUM('Statistics NZ'!B$15:B$29,'Statistics NZ'!B$115:B$129)</f>
        <v>29876.871812768073</v>
      </c>
      <c r="C17" s="27">
        <f>'Statistics NZ'!C$17*('Economic Forecasts'!E$10-'Economic Forecasts'!E$9)*1000000/SUM('Statistics NZ'!C$15:C$29,'Statistics NZ'!C$115:C$129)</f>
        <v>29616.447885111636</v>
      </c>
      <c r="D17" s="27">
        <f>'Statistics NZ'!D$17*('Economic Forecasts'!F$10-'Economic Forecasts'!F$9)*1000000/SUM('Statistics NZ'!D$15:D$29,'Statistics NZ'!D$115:D$129)</f>
        <v>30442.921910419765</v>
      </c>
      <c r="E17" s="27">
        <f>'Statistics NZ'!E$17*('Economic Forecasts'!G$10-'Economic Forecasts'!G$9)*1000000/SUM('Statistics NZ'!E$15:E$29,'Statistics NZ'!E$115:E$129)</f>
        <v>31881.301877580005</v>
      </c>
      <c r="F17" s="27">
        <f>'Statistics NZ'!F$17*('Economic Forecasts'!H$10-'Economic Forecasts'!H$9)*1000000/SUM('Statistics NZ'!F$15:F$29,'Statistics NZ'!F$115:F$129)</f>
        <v>33122.791640055497</v>
      </c>
      <c r="G17" s="27">
        <f>'Statistics NZ'!G$17*('Economic Forecasts'!I$10-'Economic Forecasts'!I$9)*1000000/SUM('Statistics NZ'!G$15:G$29,'Statistics NZ'!G$115:G$129)</f>
        <v>32577.257304740255</v>
      </c>
      <c r="H17" s="27">
        <f>'Statistics NZ'!H$17*('Economic Forecasts'!J$10-'Economic Forecasts'!J$9)*1000000/SUM('Statistics NZ'!H$15:H$29,'Statistics NZ'!H$115:H$129)</f>
        <v>33192.089557160311</v>
      </c>
      <c r="I17" s="27">
        <f>'Statistics NZ'!I$17*('Economic Forecasts'!K$10-'Economic Forecasts'!K$9)*1000000/SUM('Statistics NZ'!I$15:I$29,'Statistics NZ'!I$115:I$129)</f>
        <v>32505.067177235658</v>
      </c>
      <c r="J17" s="27">
        <f>'Statistics NZ'!J$17*('Economic Forecasts'!L$10-'Economic Forecasts'!L$9)*1000000/SUM('Statistics NZ'!J$15:J$29,'Statistics NZ'!J$115:J$129)</f>
        <v>32173.536541224719</v>
      </c>
      <c r="K17" s="27">
        <f>'Statistics NZ'!K$17*('Economic Forecasts'!M$10-'Economic Forecasts'!M$9)*1000000/SUM('Statistics NZ'!K$15:K$29,'Statistics NZ'!K$115:K$129)</f>
        <v>31995.986465098515</v>
      </c>
      <c r="L17" s="27">
        <f>'Statistics NZ'!L$17*('Economic Forecasts'!N$10-'Economic Forecasts'!N$9)*1000000/SUM('Statistics NZ'!L$15:L$29,'Statistics NZ'!L$115:L$129)</f>
        <v>31036.263546105434</v>
      </c>
      <c r="M17" s="27">
        <f>'Statistics NZ'!M$17*('Economic Forecasts'!O$10-'Economic Forecasts'!O$9)*1000000/SUM('Statistics NZ'!M$15:M$29,'Statistics NZ'!M$115:M$129)</f>
        <v>31214.928001878681</v>
      </c>
      <c r="N17" s="27">
        <f>'Statistics NZ'!N$17*('Economic Forecasts'!P$10-'Economic Forecasts'!P$9)*1000000/SUM('Statistics NZ'!N$15:N$29,'Statistics NZ'!N$115:N$129)</f>
        <v>31183.455365727405</v>
      </c>
      <c r="O17" s="27">
        <f>'Statistics NZ'!O$17*('Economic Forecasts'!Q$10-'Economic Forecasts'!Q$9)*1000000/SUM('Statistics NZ'!O$15:O$29,'Statistics NZ'!O$115:O$129)</f>
        <v>31473.280719176295</v>
      </c>
      <c r="P17" s="27">
        <f>'Statistics NZ'!P$17*('Economic Forecasts'!R$10-'Economic Forecasts'!R$9)*1000000/SUM('Statistics NZ'!P$15:P$29,'Statistics NZ'!P$115:P$129)</f>
        <v>31176.071875355407</v>
      </c>
      <c r="Q17" s="27">
        <f>'Statistics NZ'!Q$17*('Economic Forecasts'!S$10-'Economic Forecasts'!S$9)*1000000/SUM('Statistics NZ'!Q$15:Q$29,'Statistics NZ'!Q$115:Q$129)</f>
        <v>30682.629709187062</v>
      </c>
      <c r="R17" s="27">
        <f>'Statistics NZ'!R$17*('Economic Forecasts'!T$10-'Economic Forecasts'!T$9)*1000000/SUM('Statistics NZ'!R$15:R$29,'Statistics NZ'!R$115:R$129)</f>
        <v>30753.873455028479</v>
      </c>
      <c r="S17" s="27">
        <f>'Statistics NZ'!S$17*('Economic Forecasts'!U$10-'Economic Forecasts'!U$9)*1000000/SUM('Statistics NZ'!S$15:S$29,'Statistics NZ'!S$115:S$129)</f>
        <v>31603.690835799054</v>
      </c>
      <c r="T17" s="27">
        <f>'Statistics NZ'!T$17*('Economic Forecasts'!V$10-'Economic Forecasts'!V$9)*1000000/SUM('Statistics NZ'!T$15:T$29,'Statistics NZ'!T$115:T$129)</f>
        <v>32157.963165815287</v>
      </c>
      <c r="U17" s="28">
        <f>SUM('Statistics NZ'!U$17,$B$12/5*(U$8-U$9)*1000)*('Economic Forecasts'!W$10-'Economic Forecasts'!W$9)*1000000/SUM('Statistics NZ'!U$15:U$29,'Statistics NZ'!U$115:U$129,SUM($B$12:$D$13)*(U$8-U$9)*1000)</f>
        <v>29408.586031011902</v>
      </c>
      <c r="V17" s="28">
        <f>SUM('Statistics NZ'!V$17,$B$12/5*(V$8-V$9)*1000)*('Economic Forecasts'!X$10-'Economic Forecasts'!X$9)*1000000/SUM('Statistics NZ'!V$15:V$29,'Statistics NZ'!V$115:V$129,SUM($B$12:$D$13)*(V$8-V$9)*1000)</f>
        <v>29389.955372973778</v>
      </c>
      <c r="W17" s="28">
        <f>SUM('Statistics NZ'!W$17,$B$12/5*(W$8-W$9)*1000)*('Economic Forecasts'!Y$10-'Economic Forecasts'!Y$9)*1000000/SUM('Statistics NZ'!W$15:W$29,'Statistics NZ'!W$115:W$129,SUM($B$12:$D$13)*(W$8-W$9)*1000)</f>
        <v>29874.765397974628</v>
      </c>
      <c r="X17" s="28">
        <f>SUM('Statistics NZ'!X$17,$B$12/5*(X$8-X$9)*1000)*('Economic Forecasts'!Z$10-'Economic Forecasts'!Z$9)*1000000/SUM('Statistics NZ'!X$15:X$29,'Statistics NZ'!X$115:X$129,SUM($B$12:$D$13)*(X$8-X$9)*1000)</f>
        <v>30247.3368104123</v>
      </c>
      <c r="Y17" s="28">
        <f>SUM('Statistics NZ'!Y$17,$B$12/5*(Y$8-Y$9)*1000)*('Economic Forecasts'!AA$10-'Economic Forecasts'!AA$9)*1000000/SUM('Statistics NZ'!Y$15:Y$29,'Statistics NZ'!Y$115:Y$129,SUM($B$12:$D$13)*(Y$8-Y$9)*1000)</f>
        <v>30598.787720269331</v>
      </c>
      <c r="Z17" s="28">
        <f>SUM('Statistics NZ'!Z$17,$B$12/5*(Z$8-Z$9)*1000)*('Economic Forecasts'!AB$10-'Economic Forecasts'!AB$9)*1000000/SUM('Statistics NZ'!Z$15:Z$29,'Statistics NZ'!Z$115:Z$129,SUM($B$12:$D$13)*(Z$8-Z$9)*1000)</f>
        <v>30953.740611455505</v>
      </c>
      <c r="AA17" s="28">
        <f>SUM('Statistics NZ'!AA$17,$B$12/5*(AA$8-AA$9)*1000)*('Economic Forecasts'!AC$10-'Economic Forecasts'!AC$9)*1000000/SUM('Statistics NZ'!AA$15:AA$29,'Statistics NZ'!AA$115:AA$129,SUM($B$12:$D$13)*(AA$8-AA$9)*1000)</f>
        <v>31289.391037575206</v>
      </c>
      <c r="AB17" s="18">
        <f>SUM(AA$17,'Statistics NZ'!AB$17-'Statistics NZ'!AA$17,$B$12/5*(AB$8-AB$9)*1000)</f>
        <v>31288.904250232426</v>
      </c>
      <c r="AC17" s="18">
        <f>SUM(AB$17,'Statistics NZ'!AC$17-'Statistics NZ'!AB$17,$B$12/5*(AC$8-AC$9)*1000)</f>
        <v>31305.246392003908</v>
      </c>
      <c r="AD17" s="18">
        <f>SUM(AC$17,'Statistics NZ'!AD$17-'Statistics NZ'!AC$17,$B$12/5*(AD$8-AD$9)*1000)</f>
        <v>31337.888951075358</v>
      </c>
      <c r="AE17" s="18">
        <f>SUM(AD$17,'Statistics NZ'!AE$17-'Statistics NZ'!AD$17,$B$12/5*(AE$8-AE$9)*1000)</f>
        <v>31387.888951075358</v>
      </c>
      <c r="AF17" s="18">
        <f>SUM(AE$17,'Statistics NZ'!AF$17-'Statistics NZ'!AE$17,$B$12/5*(AF$8-AF$9)*1000)</f>
        <v>31477.888951075358</v>
      </c>
      <c r="AG17" s="18">
        <f>SUM(AF$17,'Statistics NZ'!AG$17-'Statistics NZ'!AF$17,$B$12/5*(AG$8-AG$9)*1000)</f>
        <v>31597.888951075358</v>
      </c>
      <c r="AH17" s="18">
        <f>SUM(AG$17,'Statistics NZ'!AH$17-'Statistics NZ'!AG$17,$B$12/5*(AH$8-AH$9)*1000)</f>
        <v>31757.888951075358</v>
      </c>
      <c r="AI17" s="18">
        <f>SUM(AH$17,'Statistics NZ'!AI$17-'Statistics NZ'!AH$17,$B$12/5*(AI$8-AI$9)*1000)</f>
        <v>31937.888951075358</v>
      </c>
      <c r="AJ17" s="18">
        <f>SUM(AI$17,'Statistics NZ'!AJ$17-'Statistics NZ'!AI$17,$B$12/5*(AJ$8-AJ$9)*1000)</f>
        <v>32147.888951075358</v>
      </c>
      <c r="AK17" s="18">
        <f>SUM(AJ$17,'Statistics NZ'!AK$17-'Statistics NZ'!AJ$17,$B$12/5*(AK$8-AK$9)*1000)</f>
        <v>32377.888951075358</v>
      </c>
    </row>
    <row r="18" spans="1:37" x14ac:dyDescent="0.25">
      <c r="A18" s="12">
        <v>3</v>
      </c>
      <c r="B18" s="27">
        <f>'Statistics NZ'!B$18*('Economic Forecasts'!D$10-'Economic Forecasts'!D$9)*1000000/SUM('Statistics NZ'!B$15:B$29,'Statistics NZ'!B$115:B$129)</f>
        <v>28954.484357938112</v>
      </c>
      <c r="C18" s="27">
        <f>'Statistics NZ'!C$18*('Economic Forecasts'!E$10-'Economic Forecasts'!E$9)*1000000/SUM('Statistics NZ'!C$15:C$29,'Statistics NZ'!C$115:C$129)</f>
        <v>29785.082463816896</v>
      </c>
      <c r="D18" s="27">
        <f>'Statistics NZ'!D$18*('Economic Forecasts'!F$10-'Economic Forecasts'!F$9)*1000000/SUM('Statistics NZ'!D$15:D$29,'Statistics NZ'!D$115:D$129)</f>
        <v>29620.425232549056</v>
      </c>
      <c r="E18" s="27">
        <f>'Statistics NZ'!E$18*('Economic Forecasts'!G$10-'Economic Forecasts'!G$9)*1000000/SUM('Statistics NZ'!E$15:E$29,'Statistics NZ'!E$115:E$129)</f>
        <v>30499.286475209727</v>
      </c>
      <c r="F18" s="27">
        <f>'Statistics NZ'!F$18*('Economic Forecasts'!H$10-'Economic Forecasts'!H$9)*1000000/SUM('Statistics NZ'!F$15:F$29,'Statistics NZ'!F$115:F$129)</f>
        <v>32002.49300768604</v>
      </c>
      <c r="G18" s="27">
        <f>'Statistics NZ'!G$18*('Economic Forecasts'!I$10-'Economic Forecasts'!I$9)*1000000/SUM('Statistics NZ'!G$15:G$29,'Statistics NZ'!G$115:G$129)</f>
        <v>33127.799189643243</v>
      </c>
      <c r="H18" s="27">
        <f>'Statistics NZ'!H$18*('Economic Forecasts'!J$10-'Economic Forecasts'!J$9)*1000000/SUM('Statistics NZ'!H$15:H$29,'Statistics NZ'!H$115:H$129)</f>
        <v>32513.618227981686</v>
      </c>
      <c r="I18" s="27">
        <f>'Statistics NZ'!I$18*('Economic Forecasts'!K$10-'Economic Forecasts'!K$9)*1000000/SUM('Statistics NZ'!I$15:I$29,'Statistics NZ'!I$115:I$129)</f>
        <v>33291.651536658625</v>
      </c>
      <c r="J18" s="27">
        <f>'Statistics NZ'!J$18*('Economic Forecasts'!L$10-'Economic Forecasts'!L$9)*1000000/SUM('Statistics NZ'!J$15:J$29,'Statistics NZ'!J$115:J$129)</f>
        <v>32792.46361233286</v>
      </c>
      <c r="K18" s="27">
        <f>'Statistics NZ'!K$18*('Economic Forecasts'!M$10-'Economic Forecasts'!M$9)*1000000/SUM('Statistics NZ'!K$15:K$29,'Statistics NZ'!K$115:K$129)</f>
        <v>32574.033728101298</v>
      </c>
      <c r="L18" s="27">
        <f>'Statistics NZ'!L$18*('Economic Forecasts'!N$10-'Economic Forecasts'!N$9)*1000000/SUM('Statistics NZ'!L$15:L$29,'Statistics NZ'!L$115:L$129)</f>
        <v>32531.47238865697</v>
      </c>
      <c r="M18" s="27">
        <f>'Statistics NZ'!M$18*('Economic Forecasts'!O$10-'Economic Forecasts'!O$9)*1000000/SUM('Statistics NZ'!M$15:M$29,'Statistics NZ'!M$115:M$129)</f>
        <v>31363.217446068127</v>
      </c>
      <c r="N18" s="27">
        <f>'Statistics NZ'!N$18*('Economic Forecasts'!P$10-'Economic Forecasts'!P$9)*1000000/SUM('Statistics NZ'!N$15:N$29,'Statistics NZ'!N$115:N$129)</f>
        <v>31776.015087641463</v>
      </c>
      <c r="O18" s="27">
        <f>'Statistics NZ'!O$18*('Economic Forecasts'!Q$10-'Economic Forecasts'!Q$9)*1000000/SUM('Statistics NZ'!O$15:O$29,'Statistics NZ'!O$115:O$129)</f>
        <v>31410.292165368741</v>
      </c>
      <c r="P18" s="27">
        <f>'Statistics NZ'!P$18*('Economic Forecasts'!R$10-'Economic Forecasts'!R$9)*1000000/SUM('Statistics NZ'!P$15:P$29,'Statistics NZ'!P$115:P$129)</f>
        <v>32178.687592403061</v>
      </c>
      <c r="Q18" s="27">
        <f>'Statistics NZ'!Q$18*('Economic Forecasts'!S$10-'Economic Forecasts'!S$9)*1000000/SUM('Statistics NZ'!Q$15:Q$29,'Statistics NZ'!Q$115:Q$129)</f>
        <v>31123.050231328503</v>
      </c>
      <c r="R18" s="27">
        <f>'Statistics NZ'!R$18*('Economic Forecasts'!T$10-'Economic Forecasts'!T$9)*1000000/SUM('Statistics NZ'!R$15:R$29,'Statistics NZ'!R$115:R$129)</f>
        <v>30974.746007202073</v>
      </c>
      <c r="S18" s="27">
        <f>'Statistics NZ'!S$18*('Economic Forecasts'!U$10-'Economic Forecasts'!U$9)*1000000/SUM('Statistics NZ'!S$15:S$29,'Statistics NZ'!S$115:S$129)</f>
        <v>31497.780343721977</v>
      </c>
      <c r="T18" s="27">
        <f>'Statistics NZ'!T$18*('Economic Forecasts'!V$10-'Economic Forecasts'!V$9)*1000000/SUM('Statistics NZ'!T$15:T$29,'Statistics NZ'!T$115:T$129)</f>
        <v>32041.79318393549</v>
      </c>
      <c r="U18" s="28">
        <f>SUM('Statistics NZ'!U$18,$B$12/5*(U$8-U$9)*1000)*('Economic Forecasts'!W$10-'Economic Forecasts'!W$9)*1000000/SUM('Statistics NZ'!U$15:U$29,'Statistics NZ'!U$115:U$129,SUM($B$12:$D$13)*(U$8-U$9)*1000)</f>
        <v>32370.487911744804</v>
      </c>
      <c r="V18" s="28">
        <f>SUM('Statistics NZ'!V$18,$B$12/5*(V$8-V$9)*1000)*('Economic Forecasts'!X$10-'Economic Forecasts'!X$9)*1000000/SUM('Statistics NZ'!V$15:V$29,'Statistics NZ'!V$115:V$129,SUM($B$12:$D$13)*(V$8-V$9)*1000)</f>
        <v>29432.205897271884</v>
      </c>
      <c r="W18" s="28">
        <f>SUM('Statistics NZ'!W$18,$B$12/5*(W$8-W$9)*1000)*('Economic Forecasts'!Y$10-'Economic Forecasts'!Y$9)*1000000/SUM('Statistics NZ'!W$15:W$29,'Statistics NZ'!W$115:W$129,SUM($B$12:$D$13)*(W$8-W$9)*1000)</f>
        <v>29527.467973315113</v>
      </c>
      <c r="X18" s="28">
        <f>SUM('Statistics NZ'!X$18,$B$12/5*(X$8-X$9)*1000)*('Economic Forecasts'!Z$10-'Economic Forecasts'!Z$9)*1000000/SUM('Statistics NZ'!X$15:X$29,'Statistics NZ'!X$115:X$129,SUM($B$12:$D$13)*(X$8-X$9)*1000)</f>
        <v>30406.848193692174</v>
      </c>
      <c r="Y18" s="28">
        <f>SUM('Statistics NZ'!Y$18,$B$12/5*(Y$8-Y$9)*1000)*('Economic Forecasts'!AA$10-'Economic Forecasts'!AA$9)*1000000/SUM('Statistics NZ'!Y$15:Y$29,'Statistics NZ'!Y$115:Y$129,SUM($B$12:$D$13)*(Y$8-Y$9)*1000)</f>
        <v>30792.332242103294</v>
      </c>
      <c r="Z18" s="28">
        <f>SUM('Statistics NZ'!Z$18,$B$12/5*(Z$8-Z$9)*1000)*('Economic Forecasts'!AB$10-'Economic Forecasts'!AB$9)*1000000/SUM('Statistics NZ'!Z$15:Z$29,'Statistics NZ'!Z$115:Z$129,SUM($B$12:$D$13)*(Z$8-Z$9)*1000)</f>
        <v>31171.304905896141</v>
      </c>
      <c r="AA18" s="28">
        <f>SUM('Statistics NZ'!AA$18,$B$12/5*(AA$8-AA$9)*1000)*('Economic Forecasts'!AC$10-'Economic Forecasts'!AC$9)*1000000/SUM('Statistics NZ'!AA$15:AA$29,'Statistics NZ'!AA$115:AA$129,SUM($B$12:$D$13)*(AA$8-AA$9)*1000)</f>
        <v>31520.323557046715</v>
      </c>
      <c r="AB18" s="18">
        <f>SUM(AA$18,'Statistics NZ'!AB$18-'Statistics NZ'!AA$18,$B$12/5*(AB$8-AB$9)*1000)</f>
        <v>31519.836769703936</v>
      </c>
      <c r="AC18" s="18">
        <f>SUM(AB$18,'Statistics NZ'!AC$18-'Statistics NZ'!AB$18,$B$12/5*(AC$8-AC$9)*1000)</f>
        <v>31526.178911475417</v>
      </c>
      <c r="AD18" s="18">
        <f>SUM(AC$18,'Statistics NZ'!AD$18-'Statistics NZ'!AC$18,$B$12/5*(AD$8-AD$9)*1000)</f>
        <v>31538.821470546867</v>
      </c>
      <c r="AE18" s="18">
        <f>SUM(AD$18,'Statistics NZ'!AE$18-'Statistics NZ'!AD$18,$B$12/5*(AE$8-AE$9)*1000)</f>
        <v>31568.821470546867</v>
      </c>
      <c r="AF18" s="18">
        <f>SUM(AE$18,'Statistics NZ'!AF$18-'Statistics NZ'!AE$18,$B$12/5*(AF$8-AF$9)*1000)</f>
        <v>31618.821470546867</v>
      </c>
      <c r="AG18" s="18">
        <f>SUM(AF$18,'Statistics NZ'!AG$18-'Statistics NZ'!AF$18,$B$12/5*(AG$8-AG$9)*1000)</f>
        <v>31708.821470546867</v>
      </c>
      <c r="AH18" s="18">
        <f>SUM(AG$18,'Statistics NZ'!AH$18-'Statistics NZ'!AG$18,$B$12/5*(AH$8-AH$9)*1000)</f>
        <v>31838.821470546867</v>
      </c>
      <c r="AI18" s="18">
        <f>SUM(AH$18,'Statistics NZ'!AI$18-'Statistics NZ'!AH$18,$B$12/5*(AI$8-AI$9)*1000)</f>
        <v>31998.821470546867</v>
      </c>
      <c r="AJ18" s="18">
        <f>SUM(AI$18,'Statistics NZ'!AJ$18-'Statistics NZ'!AI$18,$B$12/5*(AJ$8-AJ$9)*1000)</f>
        <v>32188.821470546867</v>
      </c>
      <c r="AK18" s="18">
        <f>SUM(AJ$18,'Statistics NZ'!AK$18-'Statistics NZ'!AJ$18,$B$12/5*(AK$8-AK$9)*1000)</f>
        <v>32398.821470546867</v>
      </c>
    </row>
    <row r="19" spans="1:37" x14ac:dyDescent="0.25">
      <c r="A19" s="12">
        <v>4</v>
      </c>
      <c r="B19" s="27">
        <f>'Statistics NZ'!B$19*('Economic Forecasts'!D$10-'Economic Forecasts'!D$9)*1000000/SUM('Statistics NZ'!B$15:B$29,'Statistics NZ'!B$115:B$129)</f>
        <v>29049.903749817076</v>
      </c>
      <c r="C19" s="27">
        <f>'Statistics NZ'!C$19*('Economic Forecasts'!E$10-'Economic Forecasts'!E$9)*1000000/SUM('Statistics NZ'!C$15:C$29,'Statistics NZ'!C$115:C$129)</f>
        <v>28941.909570290587</v>
      </c>
      <c r="D19" s="27">
        <f>'Statistics NZ'!D$19*('Economic Forecasts'!F$10-'Economic Forecasts'!F$9)*1000000/SUM('Statistics NZ'!D$15:D$29,'Statistics NZ'!D$115:D$129)</f>
        <v>29852.411475025408</v>
      </c>
      <c r="E19" s="27">
        <f>'Statistics NZ'!E$19*('Economic Forecasts'!G$10-'Economic Forecasts'!G$9)*1000000/SUM('Statistics NZ'!E$15:E$29,'Statistics NZ'!E$115:E$129)</f>
        <v>29739.705490700871</v>
      </c>
      <c r="F19" s="27">
        <f>'Statistics NZ'!F$19*('Economic Forecasts'!H$10-'Economic Forecasts'!H$9)*1000000/SUM('Statistics NZ'!F$15:F$29,'Statistics NZ'!F$115:F$129)</f>
        <v>30681.386129891867</v>
      </c>
      <c r="G19" s="27">
        <f>'Statistics NZ'!G$19*('Economic Forecasts'!I$10-'Economic Forecasts'!I$9)*1000000/SUM('Statistics NZ'!G$15:G$29,'Statistics NZ'!G$115:G$129)</f>
        <v>32026.71541983727</v>
      </c>
      <c r="H19" s="27">
        <f>'Statistics NZ'!H$19*('Economic Forecasts'!J$10-'Economic Forecasts'!J$9)*1000000/SUM('Statistics NZ'!H$15:H$29,'Statistics NZ'!H$115:H$129)</f>
        <v>33011.870610347229</v>
      </c>
      <c r="I19" s="27">
        <f>'Statistics NZ'!I$19*('Economic Forecasts'!K$10-'Economic Forecasts'!K$9)*1000000/SUM('Statistics NZ'!I$15:I$29,'Statistics NZ'!I$115:I$129)</f>
        <v>32473.178622123916</v>
      </c>
      <c r="J19" s="27">
        <f>'Statistics NZ'!J$19*('Economic Forecasts'!L$10-'Economic Forecasts'!L$9)*1000000/SUM('Statistics NZ'!J$15:J$29,'Statistics NZ'!J$115:J$129)</f>
        <v>33571.458029417234</v>
      </c>
      <c r="K19" s="27">
        <f>'Statistics NZ'!K$19*('Economic Forecasts'!M$10-'Economic Forecasts'!M$9)*1000000/SUM('Statistics NZ'!K$15:K$29,'Statistics NZ'!K$115:K$129)</f>
        <v>33227.013043715553</v>
      </c>
      <c r="L19" s="27">
        <f>'Statistics NZ'!L$19*('Economic Forecasts'!N$10-'Economic Forecasts'!N$9)*1000000/SUM('Statistics NZ'!L$15:L$29,'Statistics NZ'!L$115:L$129)</f>
        <v>32980.03504142243</v>
      </c>
      <c r="M19" s="27">
        <f>'Statistics NZ'!M$19*('Economic Forecasts'!O$10-'Economic Forecasts'!O$9)*1000000/SUM('Statistics NZ'!M$15:M$29,'Statistics NZ'!M$115:M$129)</f>
        <v>32814.335578493432</v>
      </c>
      <c r="N19" s="27">
        <f>'Statistics NZ'!N$19*('Economic Forecasts'!P$10-'Economic Forecasts'!P$9)*1000000/SUM('Statistics NZ'!N$15:N$29,'Statistics NZ'!N$115:N$129)</f>
        <v>31850.08505288072</v>
      </c>
      <c r="O19" s="27">
        <f>'Statistics NZ'!O$19*('Economic Forecasts'!Q$10-'Economic Forecasts'!Q$9)*1000000/SUM('Statistics NZ'!O$15:O$29,'Statistics NZ'!O$115:O$129)</f>
        <v>32019.181518841797</v>
      </c>
      <c r="P19" s="27">
        <f>'Statistics NZ'!P$19*('Economic Forecasts'!R$10-'Economic Forecasts'!R$9)*1000000/SUM('Statistics NZ'!P$15:P$29,'Statistics NZ'!P$115:P$129)</f>
        <v>32104.810644831126</v>
      </c>
      <c r="Q19" s="27">
        <f>'Statistics NZ'!Q$19*('Economic Forecasts'!S$10-'Economic Forecasts'!S$9)*1000000/SUM('Statistics NZ'!Q$15:Q$29,'Statistics NZ'!Q$115:Q$129)</f>
        <v>32098.26710178455</v>
      </c>
      <c r="R19" s="27">
        <f>'Statistics NZ'!R$19*('Economic Forecasts'!T$10-'Economic Forecasts'!T$9)*1000000/SUM('Statistics NZ'!R$15:R$29,'Statistics NZ'!R$115:R$129)</f>
        <v>31342.866927491399</v>
      </c>
      <c r="S19" s="27">
        <f>'Statistics NZ'!S$19*('Economic Forecasts'!U$10-'Economic Forecasts'!U$9)*1000000/SUM('Statistics NZ'!S$15:S$29,'Statistics NZ'!S$115:S$129)</f>
        <v>31995.559656484234</v>
      </c>
      <c r="T19" s="27">
        <f>'Statistics NZ'!T$19*('Economic Forecasts'!V$10-'Economic Forecasts'!V$9)*1000000/SUM('Statistics NZ'!T$15:T$29,'Statistics NZ'!T$115:T$129)</f>
        <v>32136.841350928051</v>
      </c>
      <c r="U19" s="28">
        <f>SUM('Statistics NZ'!U$19,$B$12/5*(U$8-U$9)*1000)*('Economic Forecasts'!W$10-'Economic Forecasts'!W$9)*1000000/SUM('Statistics NZ'!U$15:U$29,'Statistics NZ'!U$115:U$129,SUM($B$12:$D$13)*(U$8-U$9)*1000)</f>
        <v>32296.174961332148</v>
      </c>
      <c r="V19" s="28">
        <f>SUM('Statistics NZ'!V$19,$B$12/5*(V$8-V$9)*1000)*('Economic Forecasts'!X$10-'Economic Forecasts'!X$9)*1000000/SUM('Statistics NZ'!V$15:V$29,'Statistics NZ'!V$115:V$129,SUM($B$12:$D$13)*(V$8-V$9)*1000)</f>
        <v>32431.993122437307</v>
      </c>
      <c r="W19" s="28">
        <f>SUM('Statistics NZ'!W$19,$B$12/5*(W$8-W$9)*1000)*('Economic Forecasts'!Y$10-'Economic Forecasts'!Y$9)*1000000/SUM('Statistics NZ'!W$15:W$29,'Statistics NZ'!W$115:W$129,SUM($B$12:$D$13)*(W$8-W$9)*1000)</f>
        <v>29622.185452767706</v>
      </c>
      <c r="X19" s="28">
        <f>SUM('Statistics NZ'!X$19,$B$12/5*(X$8-X$9)*1000)*('Economic Forecasts'!Z$10-'Economic Forecasts'!Z$9)*1000000/SUM('Statistics NZ'!X$15:X$29,'Statistics NZ'!X$115:X$129,SUM($B$12:$D$13)*(X$8-X$9)*1000)</f>
        <v>30098.459519351083</v>
      </c>
      <c r="Y19" s="28">
        <f>SUM('Statistics NZ'!Y$19,$B$12/5*(Y$8-Y$9)*1000)*('Economic Forecasts'!AA$10-'Economic Forecasts'!AA$9)*1000000/SUM('Statistics NZ'!Y$15:Y$29,'Statistics NZ'!Y$115:Y$129,SUM($B$12:$D$13)*(Y$8-Y$9)*1000)</f>
        <v>31007.381710807698</v>
      </c>
      <c r="Z19" s="28">
        <f>SUM('Statistics NZ'!Z$19,$B$12/5*(Z$8-Z$9)*1000)*('Economic Forecasts'!AB$10-'Economic Forecasts'!AB$9)*1000000/SUM('Statistics NZ'!Z$15:Z$29,'Statistics NZ'!Z$115:Z$129,SUM($B$12:$D$13)*(Z$8-Z$9)*1000)</f>
        <v>31421.503844502873</v>
      </c>
      <c r="AA19" s="28">
        <f>SUM('Statistics NZ'!AA$19,$B$12/5*(AA$8-AA$9)*1000)*('Economic Forecasts'!AC$10-'Economic Forecasts'!AC$9)*1000000/SUM('Statistics NZ'!AA$15:AA$29,'Statistics NZ'!AA$115:AA$129,SUM($B$12:$D$13)*(AA$8-AA$9)*1000)</f>
        <v>31795.243223084224</v>
      </c>
      <c r="AB19" s="18">
        <f>SUM(AA$19,'Statistics NZ'!AB$19-'Statistics NZ'!AA$19,$B$12/5*(AB$8-AB$9)*1000)</f>
        <v>31814.756435741445</v>
      </c>
      <c r="AC19" s="18">
        <f>SUM(AB$19,'Statistics NZ'!AC$19-'Statistics NZ'!AB$19,$B$12/5*(AC$8-AC$9)*1000)</f>
        <v>31811.098577512927</v>
      </c>
      <c r="AD19" s="18">
        <f>SUM(AC$19,'Statistics NZ'!AD$19-'Statistics NZ'!AC$19,$B$12/5*(AD$8-AD$9)*1000)</f>
        <v>31813.741136584376</v>
      </c>
      <c r="AE19" s="18">
        <f>SUM(AD$19,'Statistics NZ'!AE$19-'Statistics NZ'!AD$19,$B$12/5*(AE$8-AE$9)*1000)</f>
        <v>31823.741136584376</v>
      </c>
      <c r="AF19" s="18">
        <f>SUM(AE$19,'Statistics NZ'!AF$19-'Statistics NZ'!AE$19,$B$12/5*(AF$8-AF$9)*1000)</f>
        <v>31853.741136584376</v>
      </c>
      <c r="AG19" s="18">
        <f>SUM(AF$19,'Statistics NZ'!AG$19-'Statistics NZ'!AF$19,$B$12/5*(AG$8-AG$9)*1000)</f>
        <v>31913.741136584376</v>
      </c>
      <c r="AH19" s="18">
        <f>SUM(AG$19,'Statistics NZ'!AH$19-'Statistics NZ'!AG$19,$B$12/5*(AH$8-AH$9)*1000)</f>
        <v>32003.741136584376</v>
      </c>
      <c r="AI19" s="18">
        <f>SUM(AH$19,'Statistics NZ'!AI$19-'Statistics NZ'!AH$19,$B$12/5*(AI$8-AI$9)*1000)</f>
        <v>32133.741136584376</v>
      </c>
      <c r="AJ19" s="18">
        <f>SUM(AI$19,'Statistics NZ'!AJ$19-'Statistics NZ'!AI$19,$B$12/5*(AJ$8-AJ$9)*1000)</f>
        <v>32293.741136584376</v>
      </c>
      <c r="AK19" s="18">
        <f>SUM(AJ$19,'Statistics NZ'!AK$19-'Statistics NZ'!AJ$19,$B$12/5*(AK$8-AK$9)*1000)</f>
        <v>32483.741136584376</v>
      </c>
    </row>
    <row r="20" spans="1:37" x14ac:dyDescent="0.25">
      <c r="A20" s="12">
        <v>5</v>
      </c>
      <c r="B20" s="27">
        <f>'Statistics NZ'!B$20*('Economic Forecasts'!D$10-'Economic Forecasts'!D$9)*1000000/SUM('Statistics NZ'!B$15:B$29,'Statistics NZ'!B$115:B$129)</f>
        <v>30078.312751179208</v>
      </c>
      <c r="C20" s="27">
        <f>'Statistics NZ'!C$20*('Economic Forecasts'!E$10-'Economic Forecasts'!E$9)*1000000/SUM('Statistics NZ'!C$15:C$29,'Statistics NZ'!C$115:C$129)</f>
        <v>29142.163132503087</v>
      </c>
      <c r="D20" s="27">
        <f>'Statistics NZ'!D$20*('Economic Forecasts'!F$10-'Economic Forecasts'!F$9)*1000000/SUM('Statistics NZ'!D$15:D$29,'Statistics NZ'!D$115:D$129)</f>
        <v>29114.273430782465</v>
      </c>
      <c r="E20" s="27">
        <f>'Statistics NZ'!E$20*('Economic Forecasts'!G$10-'Economic Forecasts'!G$9)*1000000/SUM('Statistics NZ'!E$15:E$29,'Statistics NZ'!E$115:E$129)</f>
        <v>29971.79968041191</v>
      </c>
      <c r="F20" s="27">
        <f>'Statistics NZ'!F$20*('Economic Forecasts'!H$10-'Economic Forecasts'!H$9)*1000000/SUM('Statistics NZ'!F$15:F$29,'Statistics NZ'!F$115:F$129)</f>
        <v>29930.997423304776</v>
      </c>
      <c r="G20" s="27">
        <f>'Statistics NZ'!G$20*('Economic Forecasts'!I$10-'Economic Forecasts'!I$9)*1000000/SUM('Statistics NZ'!G$15:G$29,'Statistics NZ'!G$115:G$129)</f>
        <v>30756.234146984221</v>
      </c>
      <c r="H20" s="27">
        <f>'Statistics NZ'!H$20*('Economic Forecasts'!J$10-'Economic Forecasts'!J$9)*1000000/SUM('Statistics NZ'!H$15:H$29,'Statistics NZ'!H$115:H$129)</f>
        <v>31930.556929468807</v>
      </c>
      <c r="I20" s="27">
        <f>'Statistics NZ'!I$20*('Economic Forecasts'!K$10-'Economic Forecasts'!K$9)*1000000/SUM('Statistics NZ'!I$15:I$29,'Statistics NZ'!I$115:I$129)</f>
        <v>33047.17261413527</v>
      </c>
      <c r="J20" s="27">
        <f>'Statistics NZ'!J$20*('Economic Forecasts'!L$10-'Economic Forecasts'!L$9)*1000000/SUM('Statistics NZ'!J$15:J$29,'Statistics NZ'!J$115:J$129)</f>
        <v>32760.450143137608</v>
      </c>
      <c r="K20" s="27">
        <f>'Statistics NZ'!K$20*('Economic Forecasts'!M$10-'Economic Forecasts'!M$9)*1000000/SUM('Statistics NZ'!K$15:K$29,'Statistics NZ'!K$115:K$129)</f>
        <v>33954.924411941283</v>
      </c>
      <c r="L20" s="27">
        <f>'Statistics NZ'!L$20*('Economic Forecasts'!N$10-'Economic Forecasts'!N$9)*1000000/SUM('Statistics NZ'!L$15:L$29,'Statistics NZ'!L$115:L$129)</f>
        <v>33535.398325798713</v>
      </c>
      <c r="M20" s="27">
        <f>'Statistics NZ'!M$20*('Economic Forecasts'!O$10-'Economic Forecasts'!O$9)*1000000/SUM('Statistics NZ'!M$15:M$29,'Statistics NZ'!M$115:M$129)</f>
        <v>33248.611807905392</v>
      </c>
      <c r="N20" s="27">
        <f>'Statistics NZ'!N$20*('Economic Forecasts'!P$10-'Economic Forecasts'!P$9)*1000000/SUM('Statistics NZ'!N$15:N$29,'Statistics NZ'!N$115:N$129)</f>
        <v>33299.740086849044</v>
      </c>
      <c r="O20" s="27">
        <f>'Statistics NZ'!O$20*('Economic Forecasts'!Q$10-'Economic Forecasts'!Q$9)*1000000/SUM('Statistics NZ'!O$15:O$29,'Statistics NZ'!O$115:O$129)</f>
        <v>32113.664349553135</v>
      </c>
      <c r="P20" s="27">
        <f>'Statistics NZ'!P$20*('Economic Forecasts'!R$10-'Economic Forecasts'!R$9)*1000000/SUM('Statistics NZ'!P$15:P$29,'Statistics NZ'!P$115:P$129)</f>
        <v>32706.380075059718</v>
      </c>
      <c r="Q20" s="27">
        <f>'Statistics NZ'!Q$20*('Economic Forecasts'!S$10-'Economic Forecasts'!S$9)*1000000/SUM('Statistics NZ'!Q$15:Q$29,'Statistics NZ'!Q$115:Q$129)</f>
        <v>31972.432666886994</v>
      </c>
      <c r="R20" s="27">
        <f>'Statistics NZ'!R$20*('Economic Forecasts'!T$10-'Economic Forecasts'!T$9)*1000000/SUM('Statistics NZ'!R$15:R$29,'Statistics NZ'!R$115:R$129)</f>
        <v>32247.39261734518</v>
      </c>
      <c r="S20" s="27">
        <f>'Statistics NZ'!S$20*('Economic Forecasts'!U$10-'Economic Forecasts'!U$9)*1000000/SUM('Statistics NZ'!S$15:S$29,'Statistics NZ'!S$115:S$129)</f>
        <v>32292.109034300043</v>
      </c>
      <c r="T20" s="27">
        <f>'Statistics NZ'!T$20*('Economic Forecasts'!V$10-'Economic Forecasts'!V$9)*1000000/SUM('Statistics NZ'!T$15:T$29,'Statistics NZ'!T$115:T$129)</f>
        <v>32749.373982657868</v>
      </c>
      <c r="U20" s="28">
        <f>SUM('Statistics NZ'!U$20,$C$12/5*(U$8-U$9)*1000)*('Economic Forecasts'!W$10-'Economic Forecasts'!W$9)*1000000/SUM('Statistics NZ'!U$15:U$29,'Statistics NZ'!U$115:U$129,SUM($B$12:$D$13)*(U$8-U$9)*1000)</f>
        <v>32366.416558160789</v>
      </c>
      <c r="V20" s="28">
        <f>SUM('Statistics NZ'!V$20,$C$12/5*(V$8-V$9)*1000)*('Economic Forecasts'!X$10-'Economic Forecasts'!X$9)*1000000/SUM('Statistics NZ'!V$15:V$29,'Statistics NZ'!V$115:V$129,SUM($B$12:$D$13)*(V$8-V$9)*1000)</f>
        <v>32340.386936970106</v>
      </c>
      <c r="W20" s="28">
        <f>SUM('Statistics NZ'!W$20,$C$12/5*(W$8-W$9)*1000)*('Economic Forecasts'!Y$10-'Economic Forecasts'!Y$9)*1000000/SUM('Statistics NZ'!W$15:W$29,'Statistics NZ'!W$115:W$129,SUM($B$12:$D$13)*(W$8-W$9)*1000)</f>
        <v>32619.702055903013</v>
      </c>
      <c r="X20" s="28">
        <f>SUM('Statistics NZ'!X$20,$C$12/5*(X$8-X$9)*1000)*('Economic Forecasts'!Z$10-'Economic Forecasts'!Z$9)*1000000/SUM('Statistics NZ'!X$15:X$29,'Statistics NZ'!X$115:X$129,SUM($B$12:$D$13)*(X$8-X$9)*1000)</f>
        <v>30223.623586665264</v>
      </c>
      <c r="Y20" s="28">
        <f>SUM('Statistics NZ'!Y$20,$C$12/5*(Y$8-Y$9)*1000)*('Economic Forecasts'!AA$10-'Economic Forecasts'!AA$9)*1000000/SUM('Statistics NZ'!Y$15:Y$29,'Statistics NZ'!Y$115:Y$129,SUM($B$12:$D$13)*(Y$8-Y$9)*1000)</f>
        <v>30738.326905618786</v>
      </c>
      <c r="Z20" s="28">
        <f>SUM('Statistics NZ'!Z$20,$C$12/5*(Z$8-Z$9)*1000)*('Economic Forecasts'!AB$10-'Economic Forecasts'!AB$9)*1000000/SUM('Statistics NZ'!Z$15:Z$29,'Statistics NZ'!Z$115:Z$129,SUM($B$12:$D$13)*(Z$8-Z$9)*1000)</f>
        <v>31669.846002159586</v>
      </c>
      <c r="AA20" s="28">
        <f>SUM('Statistics NZ'!AA$20,$C$12/5*(AA$8-AA$9)*1000)*('Economic Forecasts'!AC$10-'Economic Forecasts'!AC$9)*1000000/SUM('Statistics NZ'!AA$15:AA$29,'Statistics NZ'!AA$115:AA$129,SUM($B$12:$D$13)*(AA$8-AA$9)*1000)</f>
        <v>32078.305538126311</v>
      </c>
      <c r="AB20" s="18">
        <f>SUM(AA$20,'Statistics NZ'!AB$20-'Statistics NZ'!AA$20,$C$12/5*(AB$8-AB$9)*1000)</f>
        <v>32123.150042072906</v>
      </c>
      <c r="AC20" s="18">
        <f>SUM(AB$20,'Statistics NZ'!AC$20-'Statistics NZ'!AB$20,$C$12/5*(AC$8-AC$9)*1000)</f>
        <v>32133.046378037303</v>
      </c>
      <c r="AD20" s="18">
        <f>SUM(AC$20,'Statistics NZ'!AD$20-'Statistics NZ'!AC$20,$C$12/5*(AD$8-AD$9)*1000)</f>
        <v>32137.1698513558</v>
      </c>
      <c r="AE20" s="18">
        <f>SUM(AD$20,'Statistics NZ'!AE$20-'Statistics NZ'!AD$20,$C$12/5*(AE$8-AE$9)*1000)</f>
        <v>32137.1698513558</v>
      </c>
      <c r="AF20" s="18">
        <f>SUM(AE$20,'Statistics NZ'!AF$20-'Statistics NZ'!AE$20,$C$12/5*(AF$8-AF$9)*1000)</f>
        <v>32157.1698513558</v>
      </c>
      <c r="AG20" s="18">
        <f>SUM(AF$20,'Statistics NZ'!AG$20-'Statistics NZ'!AF$20,$C$12/5*(AG$8-AG$9)*1000)</f>
        <v>32187.1698513558</v>
      </c>
      <c r="AH20" s="18">
        <f>SUM(AG$20,'Statistics NZ'!AH$20-'Statistics NZ'!AG$20,$C$12/5*(AH$8-AH$9)*1000)</f>
        <v>32247.1698513558</v>
      </c>
      <c r="AI20" s="18">
        <f>SUM(AH$20,'Statistics NZ'!AI$20-'Statistics NZ'!AH$20,$C$12/5*(AI$8-AI$9)*1000)</f>
        <v>32337.1698513558</v>
      </c>
      <c r="AJ20" s="18">
        <f>SUM(AI$20,'Statistics NZ'!AJ$20-'Statistics NZ'!AI$20,$C$12/5*(AJ$8-AJ$9)*1000)</f>
        <v>32467.1698513558</v>
      </c>
      <c r="AK20" s="18">
        <f>SUM(AJ$20,'Statistics NZ'!AK$20-'Statistics NZ'!AJ$20,$C$12/5*(AK$8-AK$9)*1000)</f>
        <v>32627.1698513558</v>
      </c>
    </row>
    <row r="21" spans="1:37" x14ac:dyDescent="0.25">
      <c r="A21" s="12">
        <v>6</v>
      </c>
      <c r="B21" s="27">
        <f>'Statistics NZ'!B$21*('Economic Forecasts'!D$10-'Economic Forecasts'!D$9)*1000000/SUM('Statistics NZ'!B$15:B$29,'Statistics NZ'!B$115:B$129)</f>
        <v>30650.829102452975</v>
      </c>
      <c r="C21" s="27">
        <f>'Statistics NZ'!C$21*('Economic Forecasts'!E$10-'Economic Forecasts'!E$9)*1000000/SUM('Statistics NZ'!C$15:C$29,'Statistics NZ'!C$115:C$129)</f>
        <v>30164.510265903737</v>
      </c>
      <c r="D21" s="27">
        <f>'Statistics NZ'!D$21*('Economic Forecasts'!F$10-'Economic Forecasts'!F$9)*1000000/SUM('Statistics NZ'!D$15:D$29,'Statistics NZ'!D$115:D$129)</f>
        <v>29377.894160869229</v>
      </c>
      <c r="E21" s="27">
        <f>'Statistics NZ'!E$21*('Economic Forecasts'!G$10-'Economic Forecasts'!G$9)*1000000/SUM('Statistics NZ'!E$15:E$29,'Statistics NZ'!E$115:E$129)</f>
        <v>29296.616583070703</v>
      </c>
      <c r="F21" s="27">
        <f>'Statistics NZ'!F$21*('Economic Forecasts'!H$10-'Economic Forecasts'!H$9)*1000000/SUM('Statistics NZ'!F$15:F$29,'Statistics NZ'!F$115:F$129)</f>
        <v>30174.081088818904</v>
      </c>
      <c r="G21" s="27">
        <f>'Statistics NZ'!G$21*('Economic Forecasts'!I$10-'Economic Forecasts'!I$9)*1000000/SUM('Statistics NZ'!G$15:G$29,'Statistics NZ'!G$115:G$129)</f>
        <v>29951.59600751062</v>
      </c>
      <c r="H21" s="27">
        <f>'Statistics NZ'!H$21*('Economic Forecasts'!J$10-'Economic Forecasts'!J$9)*1000000/SUM('Statistics NZ'!H$15:H$29,'Statistics NZ'!H$115:H$129)</f>
        <v>30637.220958222068</v>
      </c>
      <c r="I21" s="27">
        <f>'Statistics NZ'!I$21*('Economic Forecasts'!K$10-'Economic Forecasts'!K$9)*1000000/SUM('Statistics NZ'!I$15:I$29,'Statistics NZ'!I$115:I$129)</f>
        <v>31941.702703594881</v>
      </c>
      <c r="J21" s="27">
        <f>'Statistics NZ'!J$21*('Economic Forecasts'!L$10-'Economic Forecasts'!L$9)*1000000/SUM('Statistics NZ'!J$15:J$29,'Statistics NZ'!J$115:J$129)</f>
        <v>33272.665650261581</v>
      </c>
      <c r="K21" s="27">
        <f>'Statistics NZ'!K$21*('Economic Forecasts'!M$10-'Economic Forecasts'!M$9)*1000000/SUM('Statistics NZ'!K$15:K$29,'Statistics NZ'!K$115:K$129)</f>
        <v>33045.035201659121</v>
      </c>
      <c r="L21" s="27">
        <f>'Statistics NZ'!L$21*('Economic Forecasts'!N$10-'Economic Forecasts'!N$9)*1000000/SUM('Statistics NZ'!L$15:L$29,'Statistics NZ'!L$115:L$129)</f>
        <v>34165.522052302578</v>
      </c>
      <c r="M21" s="27">
        <f>'Statistics NZ'!M$21*('Economic Forecasts'!O$10-'Economic Forecasts'!O$9)*1000000/SUM('Statistics NZ'!M$15:M$29,'Statistics NZ'!M$115:M$129)</f>
        <v>33629.927521535392</v>
      </c>
      <c r="N21" s="27">
        <f>'Statistics NZ'!N$21*('Economic Forecasts'!P$10-'Economic Forecasts'!P$9)*1000000/SUM('Statistics NZ'!N$15:N$29,'Statistics NZ'!N$115:N$129)</f>
        <v>33680.671336650943</v>
      </c>
      <c r="O21" s="27">
        <f>'Statistics NZ'!O$21*('Economic Forecasts'!Q$10-'Economic Forecasts'!Q$9)*1000000/SUM('Statistics NZ'!O$15:O$29,'Statistics NZ'!O$115:O$129)</f>
        <v>33478.416348716884</v>
      </c>
      <c r="P21" s="27">
        <f>'Statistics NZ'!P$21*('Economic Forecasts'!R$10-'Economic Forecasts'!R$9)*1000000/SUM('Statistics NZ'!P$15:P$29,'Statistics NZ'!P$115:P$129)</f>
        <v>32801.36472193792</v>
      </c>
      <c r="Q21" s="27">
        <f>'Statistics NZ'!Q$21*('Economic Forecasts'!S$10-'Economic Forecasts'!S$9)*1000000/SUM('Statistics NZ'!Q$15:Q$29,'Statistics NZ'!Q$115:Q$129)</f>
        <v>32601.604841374767</v>
      </c>
      <c r="R21" s="27">
        <f>'Statistics NZ'!R$21*('Economic Forecasts'!T$10-'Economic Forecasts'!T$9)*1000000/SUM('Statistics NZ'!R$15:R$29,'Statistics NZ'!R$115:R$129)</f>
        <v>32131.697470968535</v>
      </c>
      <c r="S21" s="27">
        <f>'Statistics NZ'!S$21*('Economic Forecasts'!U$10-'Economic Forecasts'!U$9)*1000000/SUM('Statistics NZ'!S$15:S$29,'Statistics NZ'!S$115:S$129)</f>
        <v>33277.076610616838</v>
      </c>
      <c r="T21" s="27">
        <f>'Statistics NZ'!T$21*('Economic Forecasts'!V$10-'Economic Forecasts'!V$9)*1000000/SUM('Statistics NZ'!T$15:T$29,'Statistics NZ'!T$115:T$129)</f>
        <v>32992.274853861069</v>
      </c>
      <c r="U21" s="28">
        <f>SUM('Statistics NZ'!U$21,$C$12/5*(U$8-U$9)*1000)*('Economic Forecasts'!W$10-'Economic Forecasts'!W$9)*1000000/SUM('Statistics NZ'!U$15:U$29,'Statistics NZ'!U$115:U$129,SUM($B$12:$D$13)*(U$8-U$9)*1000)</f>
        <v>32992.768568781721</v>
      </c>
      <c r="V21" s="28">
        <f>SUM('Statistics NZ'!V$21,$C$12/5*(V$8-V$9)*1000)*('Economic Forecasts'!X$10-'Economic Forecasts'!X$9)*1000000/SUM('Statistics NZ'!V$15:V$29,'Statistics NZ'!V$115:V$129,SUM($B$12:$D$13)*(V$8-V$9)*1000)</f>
        <v>32467.13850986442</v>
      </c>
      <c r="W21" s="28">
        <f>SUM('Statistics NZ'!W$21,$C$12/5*(W$8-W$9)*1000)*('Economic Forecasts'!Y$10-'Economic Forecasts'!Y$9)*1000000/SUM('Statistics NZ'!W$15:W$29,'Statistics NZ'!W$115:W$129,SUM($B$12:$D$13)*(W$8-W$9)*1000)</f>
        <v>32588.129562752147</v>
      </c>
      <c r="X21" s="28">
        <f>SUM('Statistics NZ'!X$21,$C$12/5*(X$8-X$9)*1000)*('Economic Forecasts'!Z$10-'Economic Forecasts'!Z$9)*1000000/SUM('Statistics NZ'!X$15:X$29,'Statistics NZ'!X$115:X$129,SUM($B$12:$D$13)*(X$8-X$9)*1000)</f>
        <v>33275.608053420205</v>
      </c>
      <c r="Y21" s="28">
        <f>SUM('Statistics NZ'!Y$21,$C$12/5*(Y$8-Y$9)*1000)*('Economic Forecasts'!AA$10-'Economic Forecasts'!AA$9)*1000000/SUM('Statistics NZ'!Y$15:Y$29,'Statistics NZ'!Y$115:Y$129,SUM($B$12:$D$13)*(Y$8-Y$9)*1000)</f>
        <v>30867.356586841426</v>
      </c>
      <c r="Z21" s="28">
        <f>SUM('Statistics NZ'!Z$21,$C$12/5*(Z$8-Z$9)*1000)*('Economic Forecasts'!AB$10-'Economic Forecasts'!AB$9)*1000000/SUM('Statistics NZ'!Z$15:Z$29,'Statistics NZ'!Z$115:Z$129,SUM($B$12:$D$13)*(Z$8-Z$9)*1000)</f>
        <v>31397.89063410879</v>
      </c>
      <c r="AA21" s="28">
        <f>SUM('Statistics NZ'!AA$21,$C$12/5*(AA$8-AA$9)*1000)*('Economic Forecasts'!AC$10-'Economic Forecasts'!AC$9)*1000000/SUM('Statistics NZ'!AA$15:AA$29,'Statistics NZ'!AA$115:AA$129,SUM($B$12:$D$13)*(AA$8-AA$9)*1000)</f>
        <v>32331.231630880822</v>
      </c>
      <c r="AB21" s="18">
        <f>SUM(AA$21,'Statistics NZ'!AB$21-'Statistics NZ'!AA$21,$C$12/5*(AB$8-AB$9)*1000)</f>
        <v>32406.076134827417</v>
      </c>
      <c r="AC21" s="18">
        <f>SUM(AB$21,'Statistics NZ'!AC$21-'Statistics NZ'!AB$21,$C$12/5*(AC$8-AC$9)*1000)</f>
        <v>32445.972470791814</v>
      </c>
      <c r="AD21" s="18">
        <f>SUM(AC$21,'Statistics NZ'!AD$21-'Statistics NZ'!AC$21,$C$12/5*(AD$8-AD$9)*1000)</f>
        <v>32460.095944110311</v>
      </c>
      <c r="AE21" s="18">
        <f>SUM(AD$21,'Statistics NZ'!AE$21-'Statistics NZ'!AD$21,$C$12/5*(AE$8-AE$9)*1000)</f>
        <v>32460.095944110311</v>
      </c>
      <c r="AF21" s="18">
        <f>SUM(AE$21,'Statistics NZ'!AF$21-'Statistics NZ'!AE$21,$C$12/5*(AF$8-AF$9)*1000)</f>
        <v>32470.095944110311</v>
      </c>
      <c r="AG21" s="18">
        <f>SUM(AF$21,'Statistics NZ'!AG$21-'Statistics NZ'!AF$21,$C$12/5*(AG$8-AG$9)*1000)</f>
        <v>32480.095944110311</v>
      </c>
      <c r="AH21" s="18">
        <f>SUM(AG$21,'Statistics NZ'!AH$21-'Statistics NZ'!AG$21,$C$12/5*(AH$8-AH$9)*1000)</f>
        <v>32510.095944110311</v>
      </c>
      <c r="AI21" s="18">
        <f>SUM(AH$21,'Statistics NZ'!AI$21-'Statistics NZ'!AH$21,$C$12/5*(AI$8-AI$9)*1000)</f>
        <v>32580.095944110311</v>
      </c>
      <c r="AJ21" s="18">
        <f>SUM(AI$21,'Statistics NZ'!AJ$21-'Statistics NZ'!AI$21,$C$12/5*(AJ$8-AJ$9)*1000)</f>
        <v>32670.095944110311</v>
      </c>
      <c r="AK21" s="18">
        <f>SUM(AJ$21,'Statistics NZ'!AK$21-'Statistics NZ'!AJ$21,$C$12/5*(AK$8-AK$9)*1000)</f>
        <v>32800.095944110311</v>
      </c>
    </row>
    <row r="22" spans="1:37" x14ac:dyDescent="0.25">
      <c r="A22" s="12">
        <v>7</v>
      </c>
      <c r="B22" s="27">
        <f>'Statistics NZ'!B$22*('Economic Forecasts'!D$10-'Economic Forecasts'!D$9)*1000000/SUM('Statistics NZ'!B$15:B$29,'Statistics NZ'!B$115:B$129)</f>
        <v>29664.828719703717</v>
      </c>
      <c r="C22" s="27">
        <f>'Statistics NZ'!C$22*('Economic Forecasts'!E$10-'Economic Forecasts'!E$9)*1000000/SUM('Statistics NZ'!C$15:C$29,'Statistics NZ'!C$115:C$129)</f>
        <v>30733.651969033996</v>
      </c>
      <c r="D22" s="27">
        <f>'Statistics NZ'!D$22*('Economic Forecasts'!F$10-'Economic Forecasts'!F$9)*1000000/SUM('Statistics NZ'!D$15:D$29,'Statistics NZ'!D$115:D$129)</f>
        <v>30326.928789181587</v>
      </c>
      <c r="E22" s="27">
        <f>'Statistics NZ'!E$22*('Economic Forecasts'!G$10-'Economic Forecasts'!G$9)*1000000/SUM('Statistics NZ'!E$15:E$29,'Statistics NZ'!E$115:E$129)</f>
        <v>29528.710772781742</v>
      </c>
      <c r="F22" s="27">
        <f>'Statistics NZ'!F$22*('Economic Forecasts'!H$10-'Economic Forecasts'!H$9)*1000000/SUM('Statistics NZ'!F$15:F$29,'Statistics NZ'!F$115:F$129)</f>
        <v>29434.261237254166</v>
      </c>
      <c r="G22" s="27">
        <f>'Statistics NZ'!G$22*('Economic Forecasts'!I$10-'Economic Forecasts'!I$9)*1000000/SUM('Statistics NZ'!G$15:G$29,'Statistics NZ'!G$115:G$129)</f>
        <v>30279.803669664328</v>
      </c>
      <c r="H22" s="27">
        <f>'Statistics NZ'!H$22*('Economic Forecasts'!J$10-'Economic Forecasts'!J$9)*1000000/SUM('Statistics NZ'!H$15:H$29,'Statistics NZ'!H$115:H$129)</f>
        <v>29895.142941932947</v>
      </c>
      <c r="I22" s="27">
        <f>'Statistics NZ'!I$22*('Economic Forecasts'!K$10-'Economic Forecasts'!K$9)*1000000/SUM('Statistics NZ'!I$15:I$29,'Statistics NZ'!I$115:I$129)</f>
        <v>30602.383388901719</v>
      </c>
      <c r="J22" s="27">
        <f>'Statistics NZ'!J$22*('Economic Forecasts'!L$10-'Economic Forecasts'!L$9)*1000000/SUM('Statistics NZ'!J$15:J$29,'Statistics NZ'!J$115:J$129)</f>
        <v>32173.536541224719</v>
      </c>
      <c r="K22" s="27">
        <f>'Statistics NZ'!K$22*('Economic Forecasts'!M$10-'Economic Forecasts'!M$9)*1000000/SUM('Statistics NZ'!K$15:K$29,'Statistics NZ'!K$115:K$129)</f>
        <v>33516.036675216943</v>
      </c>
      <c r="L22" s="27">
        <f>'Statistics NZ'!L$22*('Economic Forecasts'!N$10-'Economic Forecasts'!N$9)*1000000/SUM('Statistics NZ'!L$15:L$29,'Statistics NZ'!L$115:L$129)</f>
        <v>33193.636304644075</v>
      </c>
      <c r="M22" s="27">
        <f>'Statistics NZ'!M$22*('Economic Forecasts'!O$10-'Economic Forecasts'!O$9)*1000000/SUM('Statistics NZ'!M$15:M$29,'Statistics NZ'!M$115:M$129)</f>
        <v>34180.716885667629</v>
      </c>
      <c r="N22" s="27">
        <f>'Statistics NZ'!N$22*('Economic Forecasts'!P$10-'Economic Forecasts'!P$9)*1000000/SUM('Statistics NZ'!N$15:N$29,'Statistics NZ'!N$115:N$129)</f>
        <v>33913.462655974319</v>
      </c>
      <c r="O22" s="27">
        <f>'Statistics NZ'!O$22*('Economic Forecasts'!Q$10-'Economic Forecasts'!Q$9)*1000000/SUM('Statistics NZ'!O$15:O$29,'Statistics NZ'!O$115:O$129)</f>
        <v>33793.35911775467</v>
      </c>
      <c r="P22" s="27">
        <f>'Statistics NZ'!P$22*('Economic Forecasts'!R$10-'Economic Forecasts'!R$9)*1000000/SUM('Statistics NZ'!P$15:P$29,'Statistics NZ'!P$115:P$129)</f>
        <v>34162.811327192096</v>
      </c>
      <c r="Q22" s="27">
        <f>'Statistics NZ'!Q$22*('Economic Forecasts'!S$10-'Economic Forecasts'!S$9)*1000000/SUM('Statistics NZ'!Q$15:Q$29,'Statistics NZ'!Q$115:Q$129)</f>
        <v>32737.925479180452</v>
      </c>
      <c r="R22" s="27">
        <f>'Statistics NZ'!R$22*('Economic Forecasts'!T$10-'Economic Forecasts'!T$9)*1000000/SUM('Statistics NZ'!R$15:R$29,'Statistics NZ'!R$115:R$129)</f>
        <v>32783.797386909631</v>
      </c>
      <c r="S22" s="27">
        <f>'Statistics NZ'!S$22*('Economic Forecasts'!U$10-'Economic Forecasts'!U$9)*1000000/SUM('Statistics NZ'!S$15:S$29,'Statistics NZ'!S$115:S$129)</f>
        <v>33033.482478839564</v>
      </c>
      <c r="T22" s="27">
        <f>'Statistics NZ'!T$22*('Economic Forecasts'!V$10-'Economic Forecasts'!V$9)*1000000/SUM('Statistics NZ'!T$15:T$29,'Statistics NZ'!T$115:T$129)</f>
        <v>33921.634708899401</v>
      </c>
      <c r="U22" s="28">
        <f>SUM('Statistics NZ'!U$22,$C$12/5*(U$8-U$9)*1000)*('Economic Forecasts'!W$10-'Economic Forecasts'!W$9)*1000000/SUM('Statistics NZ'!U$15:U$29,'Statistics NZ'!U$115:U$129,SUM($B$12:$D$13)*(U$8-U$9)*1000)</f>
        <v>33247.555827339391</v>
      </c>
      <c r="V22" s="28">
        <f>SUM('Statistics NZ'!V$22,$C$12/5*(V$8-V$9)*1000)*('Economic Forecasts'!X$10-'Economic Forecasts'!X$9)*1000000/SUM('Statistics NZ'!V$15:V$29,'Statistics NZ'!V$115:V$129,SUM($B$12:$D$13)*(V$8-V$9)*1000)</f>
        <v>33100.896374335985</v>
      </c>
      <c r="W22" s="28">
        <f>SUM('Statistics NZ'!W$22,$C$12/5*(W$8-W$9)*1000)*('Economic Forecasts'!Y$10-'Economic Forecasts'!Y$9)*1000000/SUM('Statistics NZ'!W$15:W$29,'Statistics NZ'!W$115:W$129,SUM($B$12:$D$13)*(W$8-W$9)*1000)</f>
        <v>32724.943699739229</v>
      </c>
      <c r="X22" s="28">
        <f>SUM('Statistics NZ'!X$22,$C$12/5*(X$8-X$9)*1000)*('Economic Forecasts'!Z$10-'Economic Forecasts'!Z$9)*1000000/SUM('Statistics NZ'!X$15:X$29,'Statistics NZ'!X$115:X$129,SUM($B$12:$D$13)*(X$8-X$9)*1000)</f>
        <v>33254.339868982883</v>
      </c>
      <c r="Y22" s="28">
        <f>SUM('Statistics NZ'!Y$22,$C$12/5*(Y$8-Y$9)*1000)*('Economic Forecasts'!AA$10-'Economic Forecasts'!AA$9)*1000000/SUM('Statistics NZ'!Y$15:Y$29,'Statistics NZ'!Y$115:Y$129,SUM($B$12:$D$13)*(Y$8-Y$9)*1000)</f>
        <v>33964.068936184842</v>
      </c>
      <c r="Z22" s="28">
        <f>SUM('Statistics NZ'!Z$22,$C$12/5*(Z$8-Z$9)*1000)*('Economic Forecasts'!AB$10-'Economic Forecasts'!AB$9)*1000000/SUM('Statistics NZ'!Z$15:Z$29,'Statistics NZ'!Z$115:Z$129,SUM($B$12:$D$13)*(Z$8-Z$9)*1000)</f>
        <v>31550.185640217238</v>
      </c>
      <c r="AA22" s="28">
        <f>SUM('Statistics NZ'!AA$22,$C$12/5*(AA$8-AA$9)*1000)*('Economic Forecasts'!AC$10-'Economic Forecasts'!AC$9)*1000000/SUM('Statistics NZ'!AA$15:AA$29,'Statistics NZ'!AA$115:AA$129,SUM($B$12:$D$13)*(AA$8-AA$9)*1000)</f>
        <v>32067.308751484812</v>
      </c>
      <c r="AB22" s="18">
        <f>SUM(AA$22,'Statistics NZ'!AB$22-'Statistics NZ'!AA$22,$C$12/5*(AB$8-AB$9)*1000)</f>
        <v>32632.153255431407</v>
      </c>
      <c r="AC22" s="18">
        <f>SUM(AB$22,'Statistics NZ'!AC$22-'Statistics NZ'!AB$22,$C$12/5*(AC$8-AC$9)*1000)</f>
        <v>32702.049591395804</v>
      </c>
      <c r="AD22" s="18">
        <f>SUM(AC$22,'Statistics NZ'!AD$22-'Statistics NZ'!AC$22,$C$12/5*(AD$8-AD$9)*1000)</f>
        <v>32736.173064714301</v>
      </c>
      <c r="AE22" s="18">
        <f>SUM(AD$22,'Statistics NZ'!AE$22-'Statistics NZ'!AD$22,$C$12/5*(AE$8-AE$9)*1000)</f>
        <v>32746.173064714301</v>
      </c>
      <c r="AF22" s="18">
        <f>SUM(AE$22,'Statistics NZ'!AF$22-'Statistics NZ'!AE$22,$C$12/5*(AF$8-AF$9)*1000)</f>
        <v>32746.173064714301</v>
      </c>
      <c r="AG22" s="18">
        <f>SUM(AF$22,'Statistics NZ'!AG$22-'Statistics NZ'!AF$22,$C$12/5*(AG$8-AG$9)*1000)</f>
        <v>32756.173064714301</v>
      </c>
      <c r="AH22" s="18">
        <f>SUM(AG$22,'Statistics NZ'!AH$22-'Statistics NZ'!AG$22,$C$12/5*(AH$8-AH$9)*1000)</f>
        <v>32776.173064714298</v>
      </c>
      <c r="AI22" s="18">
        <f>SUM(AH$22,'Statistics NZ'!AI$22-'Statistics NZ'!AH$22,$C$12/5*(AI$8-AI$9)*1000)</f>
        <v>32806.173064714298</v>
      </c>
      <c r="AJ22" s="18">
        <f>SUM(AI$22,'Statistics NZ'!AJ$22-'Statistics NZ'!AI$22,$C$12/5*(AJ$8-AJ$9)*1000)</f>
        <v>32876.173064714298</v>
      </c>
      <c r="AK22" s="18">
        <f>SUM(AJ$22,'Statistics NZ'!AK$22-'Statistics NZ'!AJ$22,$C$12/5*(AK$8-AK$9)*1000)</f>
        <v>32966.173064714298</v>
      </c>
    </row>
    <row r="23" spans="1:37" x14ac:dyDescent="0.25">
      <c r="A23" s="12">
        <v>8</v>
      </c>
      <c r="B23" s="27">
        <f>'Statistics NZ'!B$23*('Economic Forecasts'!D$10-'Economic Forecasts'!D$9)*1000000/SUM('Statistics NZ'!B$15:B$29,'Statistics NZ'!B$115:B$129)</f>
        <v>30343.366617509662</v>
      </c>
      <c r="C23" s="27">
        <f>'Statistics NZ'!C$23*('Economic Forecasts'!E$10-'Economic Forecasts'!E$9)*1000000/SUM('Statistics NZ'!C$15:C$29,'Statistics NZ'!C$115:C$129)</f>
        <v>29753.46348030966</v>
      </c>
      <c r="D23" s="27">
        <f>'Statistics NZ'!D$23*('Economic Forecasts'!F$10-'Economic Forecasts'!F$9)*1000000/SUM('Statistics NZ'!D$15:D$29,'Statistics NZ'!D$115:D$129)</f>
        <v>30938.528882982886</v>
      </c>
      <c r="E23" s="27">
        <f>'Statistics NZ'!E$23*('Economic Forecasts'!G$10-'Economic Forecasts'!G$9)*1000000/SUM('Statistics NZ'!E$15:E$29,'Statistics NZ'!E$115:E$129)</f>
        <v>30541.485418793553</v>
      </c>
      <c r="F23" s="27">
        <f>'Statistics NZ'!F$23*('Economic Forecasts'!H$10-'Economic Forecasts'!H$9)*1000000/SUM('Statistics NZ'!F$15:F$29,'Statistics NZ'!F$115:F$129)</f>
        <v>29719.620322857711</v>
      </c>
      <c r="G23" s="27">
        <f>'Statistics NZ'!G$23*('Economic Forecasts'!I$10-'Economic Forecasts'!I$9)*1000000/SUM('Statistics NZ'!G$15:G$29,'Statistics NZ'!G$115:G$129)</f>
        <v>29549.276937773826</v>
      </c>
      <c r="H23" s="27">
        <f>'Statistics NZ'!H$23*('Economic Forecasts'!J$10-'Economic Forecasts'!J$9)*1000000/SUM('Statistics NZ'!H$15:H$29,'Statistics NZ'!H$115:H$129)</f>
        <v>30202.575262967013</v>
      </c>
      <c r="I23" s="27">
        <f>'Statistics NZ'!I$23*('Economic Forecasts'!K$10-'Economic Forecasts'!K$9)*1000000/SUM('Statistics NZ'!I$15:I$29,'Statistics NZ'!I$115:I$129)</f>
        <v>29911.464694813978</v>
      </c>
      <c r="J23" s="27">
        <f>'Statistics NZ'!J$23*('Economic Forecasts'!L$10-'Economic Forecasts'!L$9)*1000000/SUM('Statistics NZ'!J$15:J$29,'Statistics NZ'!J$115:J$129)</f>
        <v>30850.313147821114</v>
      </c>
      <c r="K23" s="27">
        <f>'Statistics NZ'!K$23*('Economic Forecasts'!M$10-'Economic Forecasts'!M$9)*1000000/SUM('Statistics NZ'!K$15:K$29,'Statistics NZ'!K$115:K$129)</f>
        <v>32456.283359711841</v>
      </c>
      <c r="L23" s="27">
        <f>'Statistics NZ'!L$23*('Economic Forecasts'!N$10-'Economic Forecasts'!N$9)*1000000/SUM('Statistics NZ'!L$15:L$29,'Statistics NZ'!L$115:L$129)</f>
        <v>33706.279336376036</v>
      </c>
      <c r="M23" s="27">
        <f>'Statistics NZ'!M$23*('Economic Forecasts'!O$10-'Economic Forecasts'!O$9)*1000000/SUM('Statistics NZ'!M$15:M$29,'Statistics NZ'!M$115:M$129)</f>
        <v>33238.019704749</v>
      </c>
      <c r="N23" s="27">
        <f>'Statistics NZ'!N$23*('Economic Forecasts'!P$10-'Economic Forecasts'!P$9)*1000000/SUM('Statistics NZ'!N$15:N$29,'Statistics NZ'!N$115:N$129)</f>
        <v>34389.626718226689</v>
      </c>
      <c r="O23" s="27">
        <f>'Statistics NZ'!O$23*('Economic Forecasts'!Q$10-'Economic Forecasts'!Q$9)*1000000/SUM('Statistics NZ'!O$15:O$29,'Statistics NZ'!O$115:O$129)</f>
        <v>34076.807609888681</v>
      </c>
      <c r="P23" s="27">
        <f>'Statistics NZ'!P$23*('Economic Forecasts'!R$10-'Economic Forecasts'!R$9)*1000000/SUM('Statistics NZ'!P$15:P$29,'Statistics NZ'!P$115:P$129)</f>
        <v>34458.319117479827</v>
      </c>
      <c r="Q23" s="27">
        <f>'Statistics NZ'!Q$23*('Economic Forecasts'!S$10-'Economic Forecasts'!S$9)*1000000/SUM('Statistics NZ'!Q$15:Q$29,'Statistics NZ'!Q$115:Q$129)</f>
        <v>34101.131857237298</v>
      </c>
      <c r="R23" s="27">
        <f>'Statistics NZ'!R$23*('Economic Forecasts'!T$10-'Economic Forecasts'!T$9)*1000000/SUM('Statistics NZ'!R$15:R$29,'Statistics NZ'!R$115:R$129)</f>
        <v>32931.045755025363</v>
      </c>
      <c r="S23" s="27">
        <f>'Statistics NZ'!S$23*('Economic Forecasts'!U$10-'Economic Forecasts'!U$9)*1000000/SUM('Statistics NZ'!S$15:S$29,'Statistics NZ'!S$115:S$129)</f>
        <v>33753.673824963669</v>
      </c>
      <c r="T23" s="27">
        <f>'Statistics NZ'!T$23*('Economic Forecasts'!V$10-'Economic Forecasts'!V$9)*1000000/SUM('Statistics NZ'!T$15:T$29,'Statistics NZ'!T$115:T$129)</f>
        <v>33699.855652583443</v>
      </c>
      <c r="U23" s="28">
        <f>SUM('Statistics NZ'!U$23,$C$12/5*(U$8-U$9)*1000)*('Economic Forecasts'!W$10-'Economic Forecasts'!W$9)*1000000/SUM('Statistics NZ'!U$15:U$29,'Statistics NZ'!U$115:U$129,SUM($B$12:$D$13)*(U$8-U$9)*1000)</f>
        <v>34181.77577538418</v>
      </c>
      <c r="V23" s="28">
        <f>SUM('Statistics NZ'!V$23,$C$12/5*(V$8-V$9)*1000)*('Economic Forecasts'!X$10-'Economic Forecasts'!X$9)*1000000/SUM('Statistics NZ'!V$15:V$29,'Statistics NZ'!V$115:V$129,SUM($B$12:$D$13)*(V$8-V$9)*1000)</f>
        <v>33354.399520124614</v>
      </c>
      <c r="W23" s="28">
        <f>SUM('Statistics NZ'!W$23,$C$12/5*(W$8-W$9)*1000)*('Economic Forecasts'!Y$10-'Economic Forecasts'!Y$9)*1000000/SUM('Statistics NZ'!W$15:W$29,'Statistics NZ'!W$115:W$129,SUM($B$12:$D$13)*(W$8-W$9)*1000)</f>
        <v>33356.39356275653</v>
      </c>
      <c r="X23" s="28">
        <f>SUM('Statistics NZ'!X$23,$C$12/5*(X$8-X$9)*1000)*('Economic Forecasts'!Z$10-'Economic Forecasts'!Z$9)*1000000/SUM('Statistics NZ'!X$15:X$29,'Statistics NZ'!X$115:X$129,SUM($B$12:$D$13)*(X$8-X$9)*1000)</f>
        <v>33392.583067825442</v>
      </c>
      <c r="Y23" s="28">
        <f>SUM('Statistics NZ'!Y$23,$C$12/5*(Y$8-Y$9)*1000)*('Economic Forecasts'!AA$10-'Economic Forecasts'!AA$9)*1000000/SUM('Statistics NZ'!Y$15:Y$29,'Statistics NZ'!Y$115:Y$129,SUM($B$12:$D$13)*(Y$8-Y$9)*1000)</f>
        <v>33942.563989314403</v>
      </c>
      <c r="Z23" s="28">
        <f>SUM('Statistics NZ'!Z$23,$C$12/5*(Z$8-Z$9)*1000)*('Economic Forecasts'!AB$10-'Economic Forecasts'!AB$9)*1000000/SUM('Statistics NZ'!Z$15:Z$29,'Statistics NZ'!Z$115:Z$129,SUM($B$12:$D$13)*(Z$8-Z$9)*1000)</f>
        <v>34683.111480162392</v>
      </c>
      <c r="AA23" s="28">
        <f>SUM('Statistics NZ'!AA$23,$C$12/5*(AA$8-AA$9)*1000)*('Economic Forecasts'!AC$10-'Economic Forecasts'!AC$9)*1000000/SUM('Statistics NZ'!AA$15:AA$29,'Statistics NZ'!AA$115:AA$129,SUM($B$12:$D$13)*(AA$8-AA$9)*1000)</f>
        <v>32221.263764465817</v>
      </c>
      <c r="AB23" s="18">
        <f>SUM(AA$23,'Statistics NZ'!AB$23-'Statistics NZ'!AA$23,$C$12/5*(AB$8-AB$9)*1000)</f>
        <v>32406.108268412412</v>
      </c>
      <c r="AC23" s="18">
        <f>SUM(AB$23,'Statistics NZ'!AC$23-'Statistics NZ'!AB$23,$C$12/5*(AC$8-AC$9)*1000)</f>
        <v>32956.004604376809</v>
      </c>
      <c r="AD23" s="18">
        <f>SUM(AC$23,'Statistics NZ'!AD$23-'Statistics NZ'!AC$23,$C$12/5*(AD$8-AD$9)*1000)</f>
        <v>33020.128077695306</v>
      </c>
      <c r="AE23" s="18">
        <f>SUM(AD$23,'Statistics NZ'!AE$23-'Statistics NZ'!AD$23,$C$12/5*(AE$8-AE$9)*1000)</f>
        <v>33060.128077695306</v>
      </c>
      <c r="AF23" s="18">
        <f>SUM(AE$23,'Statistics NZ'!AF$23-'Statistics NZ'!AE$23,$C$12/5*(AF$8-AF$9)*1000)</f>
        <v>33070.128077695306</v>
      </c>
      <c r="AG23" s="18">
        <f>SUM(AF$23,'Statistics NZ'!AG$23-'Statistics NZ'!AF$23,$C$12/5*(AG$8-AG$9)*1000)</f>
        <v>33080.128077695306</v>
      </c>
      <c r="AH23" s="18">
        <f>SUM(AG$23,'Statistics NZ'!AH$23-'Statistics NZ'!AG$23,$C$12/5*(AH$8-AH$9)*1000)</f>
        <v>33080.128077695306</v>
      </c>
      <c r="AI23" s="18">
        <f>SUM(AH$23,'Statistics NZ'!AI$23-'Statistics NZ'!AH$23,$C$12/5*(AI$8-AI$9)*1000)</f>
        <v>33100.128077695306</v>
      </c>
      <c r="AJ23" s="18">
        <f>SUM(AI$23,'Statistics NZ'!AJ$23-'Statistics NZ'!AI$23,$C$12/5*(AJ$8-AJ$9)*1000)</f>
        <v>33140.128077695306</v>
      </c>
      <c r="AK23" s="18">
        <f>SUM(AJ$23,'Statistics NZ'!AK$23-'Statistics NZ'!AJ$23,$C$12/5*(AK$8-AK$9)*1000)</f>
        <v>33210.128077695306</v>
      </c>
    </row>
    <row r="24" spans="1:37" x14ac:dyDescent="0.25">
      <c r="A24" s="12">
        <v>9</v>
      </c>
      <c r="B24" s="27">
        <f>'Statistics NZ'!B$24*('Economic Forecasts'!D$10-'Economic Forecasts'!D$9)*1000000/SUM('Statistics NZ'!B$15:B$29,'Statistics NZ'!B$115:B$129)</f>
        <v>30502.398937307931</v>
      </c>
      <c r="C24" s="27">
        <f>'Statistics NZ'!C$24*('Economic Forecasts'!E$10-'Economic Forecasts'!E$9)*1000000/SUM('Statistics NZ'!C$15:C$29,'Statistics NZ'!C$115:C$129)</f>
        <v>30470.160439807023</v>
      </c>
      <c r="D24" s="27">
        <f>'Statistics NZ'!D$24*('Economic Forecasts'!F$10-'Economic Forecasts'!F$9)*1000000/SUM('Statistics NZ'!D$15:D$29,'Statistics NZ'!D$115:D$129)</f>
        <v>29936.770108653174</v>
      </c>
      <c r="E24" s="27">
        <f>'Statistics NZ'!E$24*('Economic Forecasts'!G$10-'Economic Forecasts'!G$9)*1000000/SUM('Statistics NZ'!E$15:E$29,'Statistics NZ'!E$115:E$129)</f>
        <v>31174.46957255093</v>
      </c>
      <c r="F24" s="27">
        <f>'Statistics NZ'!F$24*('Economic Forecasts'!H$10-'Economic Forecasts'!H$9)*1000000/SUM('Statistics NZ'!F$15:F$29,'Statistics NZ'!F$115:F$129)</f>
        <v>30808.212390160108</v>
      </c>
      <c r="G24" s="27">
        <f>'Statistics NZ'!G$24*('Economic Forecasts'!I$10-'Economic Forecasts'!I$9)*1000000/SUM('Statistics NZ'!G$15:G$29,'Statistics NZ'!G$115:G$129)</f>
        <v>29866.897255987085</v>
      </c>
      <c r="H24" s="27">
        <f>'Statistics NZ'!H$24*('Economic Forecasts'!J$10-'Economic Forecasts'!J$9)*1000000/SUM('Statistics NZ'!H$15:H$29,'Statistics NZ'!H$115:H$129)</f>
        <v>29524.103933788389</v>
      </c>
      <c r="I24" s="27">
        <f>'Statistics NZ'!I$24*('Economic Forecasts'!K$10-'Economic Forecasts'!K$9)*1000000/SUM('Statistics NZ'!I$15:I$29,'Statistics NZ'!I$115:I$129)</f>
        <v>30219.720727560813</v>
      </c>
      <c r="J24" s="27">
        <f>'Statistics NZ'!J$24*('Economic Forecasts'!L$10-'Economic Forecasts'!L$9)*1000000/SUM('Statistics NZ'!J$15:J$29,'Statistics NZ'!J$115:J$129)</f>
        <v>30188.701451119312</v>
      </c>
      <c r="K24" s="27">
        <f>'Statistics NZ'!K$24*('Economic Forecasts'!M$10-'Economic Forecasts'!M$9)*1000000/SUM('Statistics NZ'!K$15:K$29,'Statistics NZ'!K$115:K$129)</f>
        <v>31171.733886372323</v>
      </c>
      <c r="L24" s="27">
        <f>'Statistics NZ'!L$24*('Economic Forecasts'!N$10-'Economic Forecasts'!N$9)*1000000/SUM('Statistics NZ'!L$15:L$29,'Statistics NZ'!L$115:L$129)</f>
        <v>32670.313209751042</v>
      </c>
      <c r="M24" s="27">
        <f>'Statistics NZ'!M$24*('Economic Forecasts'!O$10-'Economic Forecasts'!O$9)*1000000/SUM('Statistics NZ'!M$15:M$29,'Statistics NZ'!M$115:M$129)</f>
        <v>33788.809068881237</v>
      </c>
      <c r="N24" s="27">
        <f>'Statistics NZ'!N$24*('Economic Forecasts'!P$10-'Economic Forecasts'!P$9)*1000000/SUM('Statistics NZ'!N$15:N$29,'Statistics NZ'!N$115:N$129)</f>
        <v>33479.62428814439</v>
      </c>
      <c r="O24" s="27">
        <f>'Statistics NZ'!O$24*('Economic Forecasts'!Q$10-'Economic Forecasts'!Q$9)*1000000/SUM('Statistics NZ'!O$15:O$29,'Statistics NZ'!O$115:O$129)</f>
        <v>34454.738932734021</v>
      </c>
      <c r="P24" s="27">
        <f>'Statistics NZ'!P$24*('Economic Forecasts'!R$10-'Economic Forecasts'!R$9)*1000000/SUM('Statistics NZ'!P$15:P$29,'Statistics NZ'!P$115:P$129)</f>
        <v>34743.273058114421</v>
      </c>
      <c r="Q24" s="27">
        <f>'Statistics NZ'!Q$24*('Economic Forecasts'!S$10-'Economic Forecasts'!S$9)*1000000/SUM('Statistics NZ'!Q$15:Q$29,'Statistics NZ'!Q$115:Q$129)</f>
        <v>34363.286929940536</v>
      </c>
      <c r="R24" s="27">
        <f>'Statistics NZ'!R$24*('Economic Forecasts'!T$10-'Economic Forecasts'!T$9)*1000000/SUM('Statistics NZ'!R$15:R$29,'Statistics NZ'!R$115:R$129)</f>
        <v>34256.281068066943</v>
      </c>
      <c r="S24" s="27">
        <f>'Statistics NZ'!S$24*('Economic Forecasts'!U$10-'Economic Forecasts'!U$9)*1000000/SUM('Statistics NZ'!S$15:S$29,'Statistics NZ'!S$115:S$129)</f>
        <v>33933.721661494696</v>
      </c>
      <c r="T24" s="27">
        <f>'Statistics NZ'!T$24*('Economic Forecasts'!V$10-'Economic Forecasts'!V$9)*1000000/SUM('Statistics NZ'!T$15:T$29,'Statistics NZ'!T$115:T$129)</f>
        <v>34449.680081080282</v>
      </c>
      <c r="U24" s="28">
        <f>SUM('Statistics NZ'!U$24,$C$12/5*(U$8-U$9)*1000)*('Economic Forecasts'!W$10-'Economic Forecasts'!W$9)*1000000/SUM('Statistics NZ'!U$15:U$29,'Statistics NZ'!U$115:U$129,SUM($B$12:$D$13)*(U$8-U$9)*1000)</f>
        <v>33958.836924146221</v>
      </c>
      <c r="V24" s="28">
        <f>SUM('Statistics NZ'!V$24,$C$12/5*(V$8-V$9)*1000)*('Economic Forecasts'!X$10-'Economic Forecasts'!X$9)*1000000/SUM('Statistics NZ'!V$15:V$29,'Statistics NZ'!V$115:V$129,SUM($B$12:$D$13)*(V$8-V$9)*1000)</f>
        <v>34294.473685757439</v>
      </c>
      <c r="W24" s="28">
        <f>SUM('Statistics NZ'!W$24,$C$12/5*(W$8-W$9)*1000)*('Economic Forecasts'!Y$10-'Economic Forecasts'!Y$9)*1000000/SUM('Statistics NZ'!W$15:W$29,'Statistics NZ'!W$115:W$129,SUM($B$12:$D$13)*(W$8-W$9)*1000)</f>
        <v>33608.973507963448</v>
      </c>
      <c r="X24" s="28">
        <f>SUM('Statistics NZ'!X$24,$C$12/5*(X$8-X$9)*1000)*('Economic Forecasts'!Z$10-'Economic Forecasts'!Z$9)*1000000/SUM('Statistics NZ'!X$15:X$29,'Statistics NZ'!X$115:X$129,SUM($B$12:$D$13)*(X$8-X$9)*1000)</f>
        <v>34030.62860094494</v>
      </c>
      <c r="Y24" s="28">
        <f>SUM('Statistics NZ'!Y$24,$C$12/5*(Y$8-Y$9)*1000)*('Economic Forecasts'!AA$10-'Economic Forecasts'!AA$9)*1000000/SUM('Statistics NZ'!Y$15:Y$29,'Statistics NZ'!Y$115:Y$129,SUM($B$12:$D$13)*(Y$8-Y$9)*1000)</f>
        <v>34071.593670537048</v>
      </c>
      <c r="Z24" s="28">
        <f>SUM('Statistics NZ'!Z$24,$C$12/5*(Z$8-Z$9)*1000)*('Economic Forecasts'!AB$10-'Economic Forecasts'!AB$9)*1000000/SUM('Statistics NZ'!Z$15:Z$29,'Statistics NZ'!Z$115:Z$129,SUM($B$12:$D$13)*(Z$8-Z$9)*1000)</f>
        <v>34650.476835996291</v>
      </c>
      <c r="AA24" s="28">
        <f>SUM('Statistics NZ'!AA$24,$C$12/5*(AA$8-AA$9)*1000)*('Economic Forecasts'!AC$10-'Economic Forecasts'!AC$9)*1000000/SUM('Statistics NZ'!AA$15:AA$29,'Statistics NZ'!AA$115:AA$129,SUM($B$12:$D$13)*(AA$8-AA$9)*1000)</f>
        <v>35388.338317217931</v>
      </c>
      <c r="AB24" s="18">
        <f>SUM(AA$24,'Statistics NZ'!AB$24-'Statistics NZ'!AA$24,$C$12/5*(AB$8-AB$9)*1000)</f>
        <v>32823.182821164526</v>
      </c>
      <c r="AC24" s="18">
        <f>SUM(AB$24,'Statistics NZ'!AC$24-'Statistics NZ'!AB$24,$C$12/5*(AC$8-AC$9)*1000)</f>
        <v>33003.079157128923</v>
      </c>
      <c r="AD24" s="18">
        <f>SUM(AC$24,'Statistics NZ'!AD$24-'Statistics NZ'!AC$24,$C$12/5*(AD$8-AD$9)*1000)</f>
        <v>33557.20263044742</v>
      </c>
      <c r="AE24" s="18">
        <f>SUM(AD$24,'Statistics NZ'!AE$24-'Statistics NZ'!AD$24,$C$12/5*(AE$8-AE$9)*1000)</f>
        <v>33617.20263044742</v>
      </c>
      <c r="AF24" s="18">
        <f>SUM(AE$24,'Statistics NZ'!AF$24-'Statistics NZ'!AE$24,$C$12/5*(AF$8-AF$9)*1000)</f>
        <v>33657.20263044742</v>
      </c>
      <c r="AG24" s="18">
        <f>SUM(AF$24,'Statistics NZ'!AG$24-'Statistics NZ'!AF$24,$C$12/5*(AG$8-AG$9)*1000)</f>
        <v>33667.20263044742</v>
      </c>
      <c r="AH24" s="18">
        <f>SUM(AG$24,'Statistics NZ'!AH$24-'Statistics NZ'!AG$24,$C$12/5*(AH$8-AH$9)*1000)</f>
        <v>33677.20263044742</v>
      </c>
      <c r="AI24" s="18">
        <f>SUM(AH$24,'Statistics NZ'!AI$24-'Statistics NZ'!AH$24,$C$12/5*(AI$8-AI$9)*1000)</f>
        <v>33687.20263044742</v>
      </c>
      <c r="AJ24" s="18">
        <f>SUM(AI$24,'Statistics NZ'!AJ$24-'Statistics NZ'!AI$24,$C$12/5*(AJ$8-AJ$9)*1000)</f>
        <v>33707.20263044742</v>
      </c>
      <c r="AK24" s="18">
        <f>SUM(AJ$24,'Statistics NZ'!AK$24-'Statistics NZ'!AJ$24,$C$12/5*(AK$8-AK$9)*1000)</f>
        <v>33747.20263044742</v>
      </c>
    </row>
    <row r="25" spans="1:37" x14ac:dyDescent="0.25">
      <c r="A25" s="12">
        <v>10</v>
      </c>
      <c r="B25" s="27">
        <f>'Statistics NZ'!B$25*('Economic Forecasts'!D$10-'Economic Forecasts'!D$9)*1000000/SUM('Statistics NZ'!B$15:B$29,'Statistics NZ'!B$115:B$129)</f>
        <v>31011.302360662386</v>
      </c>
      <c r="C25" s="27">
        <f>'Statistics NZ'!C$25*('Economic Forecasts'!E$10-'Economic Forecasts'!E$9)*1000000/SUM('Statistics NZ'!C$15:C$29,'Statistics NZ'!C$115:C$129)</f>
        <v>30554.477729159658</v>
      </c>
      <c r="D25" s="27">
        <f>'Statistics NZ'!D$25*('Economic Forecasts'!F$10-'Economic Forecasts'!F$9)*1000000/SUM('Statistics NZ'!D$15:D$29,'Statistics NZ'!D$115:D$129)</f>
        <v>30674.908152896118</v>
      </c>
      <c r="E25" s="27">
        <f>'Statistics NZ'!E$25*('Economic Forecasts'!G$10-'Economic Forecasts'!G$9)*1000000/SUM('Statistics NZ'!E$15:E$29,'Statistics NZ'!E$115:E$129)</f>
        <v>30119.495982955297</v>
      </c>
      <c r="F25" s="27">
        <f>'Statistics NZ'!F$25*('Economic Forecasts'!H$10-'Economic Forecasts'!H$9)*1000000/SUM('Statistics NZ'!F$15:F$29,'Statistics NZ'!F$115:F$129)</f>
        <v>31463.481401546018</v>
      </c>
      <c r="G25" s="27">
        <f>'Statistics NZ'!G$25*('Economic Forecasts'!I$10-'Economic Forecasts'!I$9)*1000000/SUM('Statistics NZ'!G$15:G$29,'Statistics NZ'!G$115:G$129)</f>
        <v>31031.505089435712</v>
      </c>
      <c r="H25" s="27">
        <f>'Statistics NZ'!H$25*('Economic Forecasts'!J$10-'Economic Forecasts'!J$9)*1000000/SUM('Statistics NZ'!H$15:H$29,'Statistics NZ'!H$115:H$129)</f>
        <v>29905.744056451364</v>
      </c>
      <c r="I25" s="27">
        <f>'Statistics NZ'!I$25*('Economic Forecasts'!K$10-'Economic Forecasts'!K$9)*1000000/SUM('Statistics NZ'!I$15:I$29,'Statistics NZ'!I$115:I$129)</f>
        <v>29656.356253920039</v>
      </c>
      <c r="J25" s="27">
        <f>'Statistics NZ'!J$25*('Economic Forecasts'!L$10-'Economic Forecasts'!L$9)*1000000/SUM('Statistics NZ'!J$15:J$29,'Statistics NZ'!J$115:J$129)</f>
        <v>30455.480361079721</v>
      </c>
      <c r="K25" s="27">
        <f>'Statistics NZ'!K$25*('Economic Forecasts'!M$10-'Economic Forecasts'!M$9)*1000000/SUM('Statistics NZ'!K$15:K$29,'Statistics NZ'!K$115:K$129)</f>
        <v>30540.163728647061</v>
      </c>
      <c r="L25" s="27">
        <f>'Statistics NZ'!L$25*('Economic Forecasts'!N$10-'Economic Forecasts'!N$9)*1000000/SUM('Statistics NZ'!L$15:L$29,'Statistics NZ'!L$115:L$129)</f>
        <v>31431.425883065484</v>
      </c>
      <c r="M25" s="27">
        <f>'Statistics NZ'!M$25*('Economic Forecasts'!O$10-'Economic Forecasts'!O$9)*1000000/SUM('Statistics NZ'!M$15:M$29,'Statistics NZ'!M$115:M$129)</f>
        <v>32782.55926902427</v>
      </c>
      <c r="N25" s="27">
        <f>'Statistics NZ'!N$25*('Economic Forecasts'!P$10-'Economic Forecasts'!P$9)*1000000/SUM('Statistics NZ'!N$15:N$29,'Statistics NZ'!N$115:N$129)</f>
        <v>33998.114044819187</v>
      </c>
      <c r="O25" s="27">
        <f>'Statistics NZ'!O$25*('Economic Forecasts'!Q$10-'Economic Forecasts'!Q$9)*1000000/SUM('Statistics NZ'!O$15:O$29,'Statistics NZ'!O$115:O$129)</f>
        <v>33541.404902524439</v>
      </c>
      <c r="P25" s="27">
        <f>'Statistics NZ'!P$25*('Economic Forecasts'!R$10-'Economic Forecasts'!R$9)*1000000/SUM('Statistics NZ'!P$15:P$29,'Statistics NZ'!P$115:P$129)</f>
        <v>35059.888547708419</v>
      </c>
      <c r="Q25" s="27">
        <f>'Statistics NZ'!Q$25*('Economic Forecasts'!S$10-'Economic Forecasts'!S$9)*1000000/SUM('Statistics NZ'!Q$15:Q$29,'Statistics NZ'!Q$115:Q$129)</f>
        <v>34646.414408460034</v>
      </c>
      <c r="R25" s="27">
        <f>'Statistics NZ'!R$25*('Economic Forecasts'!T$10-'Economic Forecasts'!T$9)*1000000/SUM('Statistics NZ'!R$15:R$29,'Statistics NZ'!R$115:R$129)</f>
        <v>34508.706841979627</v>
      </c>
      <c r="S25" s="27">
        <f>'Statistics NZ'!S$25*('Economic Forecasts'!U$10-'Economic Forecasts'!U$9)*1000000/SUM('Statistics NZ'!S$15:S$29,'Statistics NZ'!S$115:S$129)</f>
        <v>35236.42071404271</v>
      </c>
      <c r="T25" s="27">
        <f>'Statistics NZ'!T$25*('Economic Forecasts'!V$10-'Economic Forecasts'!V$9)*1000000/SUM('Statistics NZ'!T$15:T$29,'Statistics NZ'!T$115:T$129)</f>
        <v>34660.898229952632</v>
      </c>
      <c r="U25" s="28">
        <f>SUM('Statistics NZ'!U$25,$D$12/5*(U$8-U$9)*1000)*('Economic Forecasts'!W$10-'Economic Forecasts'!W$9)*1000000/SUM('Statistics NZ'!U$15:U$29,'Statistics NZ'!U$115:U$129,SUM($B$12:$D$13)*(U$8-U$9)*1000)</f>
        <v>34726.587481262235</v>
      </c>
      <c r="V25" s="28">
        <f>SUM('Statistics NZ'!V$25,$D$12/5*(V$8-V$9)*1000)*('Economic Forecasts'!X$10-'Economic Forecasts'!X$9)*1000000/SUM('Statistics NZ'!V$15:V$29,'Statistics NZ'!V$115:V$129,SUM($B$12:$D$13)*(V$8-V$9)*1000)</f>
        <v>34086.046003934782</v>
      </c>
      <c r="W25" s="28">
        <f>SUM('Statistics NZ'!W$25,$D$12/5*(W$8-W$9)*1000)*('Economic Forecasts'!Y$10-'Economic Forecasts'!Y$9)*1000000/SUM('Statistics NZ'!W$15:W$29,'Statistics NZ'!W$115:W$129,SUM($B$12:$D$13)*(W$8-W$9)*1000)</f>
        <v>34556.284495322427</v>
      </c>
      <c r="X25" s="28">
        <f>SUM('Statistics NZ'!X$25,$D$12/5*(X$8-X$9)*1000)*('Economic Forecasts'!Z$10-'Economic Forecasts'!Z$9)*1000000/SUM('Statistics NZ'!X$15:X$29,'Statistics NZ'!X$115:X$129,SUM($B$12:$D$13)*(X$8-X$9)*1000)</f>
        <v>34295.884572988914</v>
      </c>
      <c r="Y25" s="28">
        <f>SUM('Statistics NZ'!Y$25,$D$12/5*(Y$8-Y$9)*1000)*('Economic Forecasts'!AA$10-'Economic Forecasts'!AA$9)*1000000/SUM('Statistics NZ'!Y$15:Y$29,'Statistics NZ'!Y$115:Y$129,SUM($B$12:$D$13)*(Y$8-Y$9)*1000)</f>
        <v>34737.481712973284</v>
      </c>
      <c r="Z25" s="28">
        <f>SUM('Statistics NZ'!Z$25,$D$12/5*(Z$8-Z$9)*1000)*('Economic Forecasts'!AB$10-'Economic Forecasts'!AB$9)*1000000/SUM('Statistics NZ'!Z$15:Z$29,'Statistics NZ'!Z$115:Z$129,SUM($B$12:$D$13)*(Z$8-Z$9)*1000)</f>
        <v>34802.114894037994</v>
      </c>
      <c r="AA25" s="28">
        <f>SUM('Statistics NZ'!AA$25,$D$12/5*(AA$8-AA$9)*1000)*('Economic Forecasts'!AC$10-'Economic Forecasts'!AC$9)*1000000/SUM('Statistics NZ'!AA$15:AA$29,'Statistics NZ'!AA$115:AA$129,SUM($B$12:$D$13)*(AA$8-AA$9)*1000)</f>
        <v>35365.751789682094</v>
      </c>
      <c r="AB25" s="18">
        <f>SUM(AA$25,'Statistics NZ'!AB$25-'Statistics NZ'!AA$25,$D$12/5*(AB$8-AB$9)*1000)</f>
        <v>35710.20806470696</v>
      </c>
      <c r="AC25" s="18">
        <f>SUM(AB$25,'Statistics NZ'!AC$25-'Statistics NZ'!AB$25,$D$12/5*(AC$8-AC$9)*1000)</f>
        <v>33149.845581390204</v>
      </c>
      <c r="AD25" s="18">
        <f>SUM(AC$25,'Statistics NZ'!AD$25-'Statistics NZ'!AC$25,$D$12/5*(AD$8-AD$9)*1000)</f>
        <v>33323.861213341552</v>
      </c>
      <c r="AE25" s="18">
        <f>SUM(AD$25,'Statistics NZ'!AE$25-'Statistics NZ'!AD$25,$D$12/5*(AE$8-AE$9)*1000)</f>
        <v>33873.861213341552</v>
      </c>
      <c r="AF25" s="18">
        <f>SUM(AE$25,'Statistics NZ'!AF$25-'Statistics NZ'!AE$25,$D$12/5*(AF$8-AF$9)*1000)</f>
        <v>33933.861213341552</v>
      </c>
      <c r="AG25" s="18">
        <f>SUM(AF$25,'Statistics NZ'!AG$25-'Statistics NZ'!AF$25,$D$12/5*(AG$8-AG$9)*1000)</f>
        <v>33973.861213341552</v>
      </c>
      <c r="AH25" s="18">
        <f>SUM(AG$25,'Statistics NZ'!AH$25-'Statistics NZ'!AG$25,$D$12/5*(AH$8-AH$9)*1000)</f>
        <v>33993.861213341552</v>
      </c>
      <c r="AI25" s="18">
        <f>SUM(AH$25,'Statistics NZ'!AI$25-'Statistics NZ'!AH$25,$D$12/5*(AI$8-AI$9)*1000)</f>
        <v>34003.861213341552</v>
      </c>
      <c r="AJ25" s="18">
        <f>SUM(AI$25,'Statistics NZ'!AJ$25-'Statistics NZ'!AI$25,$D$12/5*(AJ$8-AJ$9)*1000)</f>
        <v>34013.861213341552</v>
      </c>
      <c r="AK25" s="18">
        <f>SUM(AJ$25,'Statistics NZ'!AK$25-'Statistics NZ'!AJ$25,$D$12/5*(AK$8-AK$9)*1000)</f>
        <v>34033.861213341552</v>
      </c>
    </row>
    <row r="26" spans="1:37" x14ac:dyDescent="0.25">
      <c r="A26" s="12">
        <v>11</v>
      </c>
      <c r="B26" s="27">
        <f>'Statistics NZ'!B$26*('Economic Forecasts'!D$10-'Economic Forecasts'!D$9)*1000000/SUM('Statistics NZ'!B$15:B$29,'Statistics NZ'!B$115:B$129)</f>
        <v>31774.657495694079</v>
      </c>
      <c r="C26" s="27">
        <f>'Statistics NZ'!C$26*('Economic Forecasts'!E$10-'Economic Forecasts'!E$9)*1000000/SUM('Statistics NZ'!C$15:C$29,'Statistics NZ'!C$115:C$129)</f>
        <v>31018.222820599123</v>
      </c>
      <c r="D26" s="27">
        <f>'Statistics NZ'!D$26*('Economic Forecasts'!F$10-'Economic Forecasts'!F$9)*1000000/SUM('Statistics NZ'!D$15:D$29,'Statistics NZ'!D$115:D$129)</f>
        <v>30769.811615727354</v>
      </c>
      <c r="E26" s="27">
        <f>'Statistics NZ'!E$26*('Economic Forecasts'!G$10-'Economic Forecasts'!G$9)*1000000/SUM('Statistics NZ'!E$15:E$29,'Statistics NZ'!E$115:E$129)</f>
        <v>30879.076967464152</v>
      </c>
      <c r="F26" s="27">
        <f>'Statistics NZ'!F$26*('Economic Forecasts'!H$10-'Economic Forecasts'!H$9)*1000000/SUM('Statistics NZ'!F$15:F$29,'Statistics NZ'!F$115:F$129)</f>
        <v>30332.613914154204</v>
      </c>
      <c r="G26" s="27">
        <f>'Statistics NZ'!G$26*('Economic Forecasts'!I$10-'Economic Forecasts'!I$9)*1000000/SUM('Statistics NZ'!G$15:G$29,'Statistics NZ'!G$115:G$129)</f>
        <v>31634.983694040911</v>
      </c>
      <c r="H26" s="27">
        <f>'Statistics NZ'!H$26*('Economic Forecasts'!J$10-'Economic Forecasts'!J$9)*1000000/SUM('Statistics NZ'!H$15:H$29,'Statistics NZ'!H$115:H$129)</f>
        <v>31146.074455106027</v>
      </c>
      <c r="I26" s="27">
        <f>'Statistics NZ'!I$26*('Economic Forecasts'!K$10-'Economic Forecasts'!K$9)*1000000/SUM('Statistics NZ'!I$15:I$29,'Statistics NZ'!I$115:I$129)</f>
        <v>30060.277952002103</v>
      </c>
      <c r="J26" s="27">
        <f>'Statistics NZ'!J$26*('Economic Forecasts'!L$10-'Economic Forecasts'!L$9)*1000000/SUM('Statistics NZ'!J$15:J$29,'Statistics NZ'!J$115:J$129)</f>
        <v>29921.922541158914</v>
      </c>
      <c r="K26" s="27">
        <f>'Statistics NZ'!K$26*('Economic Forecasts'!M$10-'Economic Forecasts'!M$9)*1000000/SUM('Statistics NZ'!K$15:K$29,'Statistics NZ'!K$115:K$129)</f>
        <v>30764.959886481476</v>
      </c>
      <c r="L26" s="27">
        <f>'Statistics NZ'!L$26*('Economic Forecasts'!N$10-'Economic Forecasts'!N$9)*1000000/SUM('Statistics NZ'!L$15:L$29,'Statistics NZ'!L$115:L$129)</f>
        <v>30790.62209340054</v>
      </c>
      <c r="M26" s="27">
        <f>'Statistics NZ'!M$26*('Economic Forecasts'!O$10-'Economic Forecasts'!O$9)*1000000/SUM('Statistics NZ'!M$15:M$29,'Statistics NZ'!M$115:M$129)</f>
        <v>31511.50689025758</v>
      </c>
      <c r="N26" s="27">
        <f>'Statistics NZ'!N$26*('Economic Forecasts'!P$10-'Economic Forecasts'!P$9)*1000000/SUM('Statistics NZ'!N$15:N$29,'Statistics NZ'!N$115:N$129)</f>
        <v>33098.693038342491</v>
      </c>
      <c r="O26" s="27">
        <f>'Statistics NZ'!O$26*('Economic Forecasts'!Q$10-'Economic Forecasts'!Q$9)*1000000/SUM('Statistics NZ'!O$15:O$29,'Statistics NZ'!O$115:O$129)</f>
        <v>34171.290440600016</v>
      </c>
      <c r="P26" s="27">
        <f>'Statistics NZ'!P$26*('Economic Forecasts'!R$10-'Economic Forecasts'!R$9)*1000000/SUM('Statistics NZ'!P$15:P$29,'Statistics NZ'!P$115:P$129)</f>
        <v>34205.02672580463</v>
      </c>
      <c r="Q26" s="27">
        <f>'Statistics NZ'!Q$26*('Economic Forecasts'!S$10-'Economic Forecasts'!S$9)*1000000/SUM('Statistics NZ'!Q$15:Q$29,'Statistics NZ'!Q$115:Q$129)</f>
        <v>34971.486698612047</v>
      </c>
      <c r="R26" s="27">
        <f>'Statistics NZ'!R$26*('Economic Forecasts'!T$10-'Economic Forecasts'!T$9)*1000000/SUM('Statistics NZ'!R$15:R$29,'Statistics NZ'!R$115:R$129)</f>
        <v>34771.650356472004</v>
      </c>
      <c r="S26" s="27">
        <f>'Statistics NZ'!S$26*('Economic Forecasts'!U$10-'Economic Forecasts'!U$9)*1000000/SUM('Statistics NZ'!S$15:S$29,'Statistics NZ'!S$115:S$129)</f>
        <v>35480.014845819984</v>
      </c>
      <c r="T26" s="27">
        <f>'Statistics NZ'!T$26*('Economic Forecasts'!V$10-'Economic Forecasts'!V$9)*1000000/SUM('Statistics NZ'!T$15:T$29,'Statistics NZ'!T$115:T$129)</f>
        <v>35854.280771081416</v>
      </c>
      <c r="U26" s="28">
        <f>SUM('Statistics NZ'!U$26,$D$12/5*(U$8-U$9)*1000)*('Economic Forecasts'!W$10-'Economic Forecasts'!W$9)*1000000/SUM('Statistics NZ'!U$15:U$29,'Statistics NZ'!U$115:U$129,SUM($B$12:$D$13)*(U$8-U$9)*1000)</f>
        <v>34938.91019672696</v>
      </c>
      <c r="V26" s="28">
        <f>SUM('Statistics NZ'!V$26,$D$12/5*(V$8-V$9)*1000)*('Economic Forecasts'!X$10-'Economic Forecasts'!X$9)*1000000/SUM('Statistics NZ'!V$15:V$29,'Statistics NZ'!V$115:V$129,SUM($B$12:$D$13)*(V$8-V$9)*1000)</f>
        <v>34835.99281022614</v>
      </c>
      <c r="W26" s="28">
        <f>SUM('Statistics NZ'!W$26,$D$12/5*(W$8-W$9)*1000)*('Economic Forecasts'!Y$10-'Economic Forecasts'!Y$9)*1000000/SUM('Statistics NZ'!W$15:W$29,'Statistics NZ'!W$115:W$129,SUM($B$12:$D$13)*(W$8-W$9)*1000)</f>
        <v>34345.801207649994</v>
      </c>
      <c r="X26" s="28">
        <f>SUM('Statistics NZ'!X$26,$D$12/5*(X$8-X$9)*1000)*('Economic Forecasts'!Z$10-'Economic Forecasts'!Z$9)*1000000/SUM('Statistics NZ'!X$15:X$29,'Statistics NZ'!X$115:X$129,SUM($B$12:$D$13)*(X$8-X$9)*1000)</f>
        <v>35242.31878044951</v>
      </c>
      <c r="Y26" s="28">
        <f>SUM('Statistics NZ'!Y$26,$D$12/5*(Y$8-Y$9)*1000)*('Economic Forecasts'!AA$10-'Economic Forecasts'!AA$9)*1000000/SUM('Statistics NZ'!Y$15:Y$29,'Statistics NZ'!Y$115:Y$129,SUM($B$12:$D$13)*(Y$8-Y$9)*1000)</f>
        <v>35006.293548853791</v>
      </c>
      <c r="Z26" s="28">
        <f>SUM('Statistics NZ'!Z$26,$D$12/5*(Z$8-Z$9)*1000)*('Economic Forecasts'!AB$10-'Economic Forecasts'!AB$9)*1000000/SUM('Statistics NZ'!Z$15:Z$29,'Statistics NZ'!Z$115:Z$129,SUM($B$12:$D$13)*(Z$8-Z$9)*1000)</f>
        <v>35465.685992081933</v>
      </c>
      <c r="AA26" s="28">
        <f>SUM('Statistics NZ'!AA$26,$D$12/5*(AA$8-AA$9)*1000)*('Economic Forecasts'!AC$10-'Economic Forecasts'!AC$9)*1000000/SUM('Statistics NZ'!AA$15:AA$29,'Statistics NZ'!AA$115:AA$129,SUM($B$12:$D$13)*(AA$8-AA$9)*1000)</f>
        <v>35519.706802663102</v>
      </c>
      <c r="AB26" s="18">
        <f>SUM(AA$26,'Statistics NZ'!AB$26-'Statistics NZ'!AA$26,$D$12/5*(AB$8-AB$9)*1000)</f>
        <v>35714.163077687968</v>
      </c>
      <c r="AC26" s="18">
        <f>SUM(AB$26,'Statistics NZ'!AC$26-'Statistics NZ'!AB$26,$D$12/5*(AC$8-AC$9)*1000)</f>
        <v>36043.800594371212</v>
      </c>
      <c r="AD26" s="18">
        <f>SUM(AC$26,'Statistics NZ'!AD$26-'Statistics NZ'!AC$26,$D$12/5*(AD$8-AD$9)*1000)</f>
        <v>33477.81622632256</v>
      </c>
      <c r="AE26" s="18">
        <f>SUM(AD$26,'Statistics NZ'!AE$26-'Statistics NZ'!AD$26,$D$12/5*(AE$8-AE$9)*1000)</f>
        <v>33657.81622632256</v>
      </c>
      <c r="AF26" s="18">
        <f>SUM(AE$26,'Statistics NZ'!AF$26-'Statistics NZ'!AE$26,$D$12/5*(AF$8-AF$9)*1000)</f>
        <v>34207.81622632256</v>
      </c>
      <c r="AG26" s="18">
        <f>SUM(AF$26,'Statistics NZ'!AG$26-'Statistics NZ'!AF$26,$D$12/5*(AG$8-AG$9)*1000)</f>
        <v>34267.81622632256</v>
      </c>
      <c r="AH26" s="18">
        <f>SUM(AG$26,'Statistics NZ'!AH$26-'Statistics NZ'!AG$26,$D$12/5*(AH$8-AH$9)*1000)</f>
        <v>34307.81622632256</v>
      </c>
      <c r="AI26" s="18">
        <f>SUM(AH$26,'Statistics NZ'!AI$26-'Statistics NZ'!AH$26,$D$12/5*(AI$8-AI$9)*1000)</f>
        <v>34327.81622632256</v>
      </c>
      <c r="AJ26" s="18">
        <f>SUM(AI$26,'Statistics NZ'!AJ$26-'Statistics NZ'!AI$26,$D$12/5*(AJ$8-AJ$9)*1000)</f>
        <v>34347.81622632256</v>
      </c>
      <c r="AK26" s="18">
        <f>SUM(AJ$26,'Statistics NZ'!AK$26-'Statistics NZ'!AJ$26,$D$12/5*(AK$8-AK$9)*1000)</f>
        <v>34357.81622632256</v>
      </c>
    </row>
    <row r="27" spans="1:37" x14ac:dyDescent="0.25">
      <c r="A27" s="12">
        <v>12</v>
      </c>
      <c r="B27" s="27">
        <f>'Statistics NZ'!B$27*('Economic Forecasts'!D$10-'Economic Forecasts'!D$9)*1000000/SUM('Statistics NZ'!B$15:B$29,'Statistics NZ'!B$115:B$129)</f>
        <v>31795.861805000513</v>
      </c>
      <c r="C27" s="27">
        <f>'Statistics NZ'!C$27*('Economic Forecasts'!E$10-'Economic Forecasts'!E$9)*1000000/SUM('Statistics NZ'!C$15:C$29,'Statistics NZ'!C$115:C$129)</f>
        <v>31713.840457758335</v>
      </c>
      <c r="D27" s="27">
        <f>'Statistics NZ'!D$27*('Economic Forecasts'!F$10-'Economic Forecasts'!F$9)*1000000/SUM('Statistics NZ'!D$15:D$29,'Statistics NZ'!D$115:D$129)</f>
        <v>31117.790979441888</v>
      </c>
      <c r="E27" s="27">
        <f>'Statistics NZ'!E$27*('Economic Forecasts'!G$10-'Economic Forecasts'!G$9)*1000000/SUM('Statistics NZ'!E$15:E$29,'Statistics NZ'!E$115:E$129)</f>
        <v>30984.574326423717</v>
      </c>
      <c r="F27" s="27">
        <f>'Statistics NZ'!F$27*('Economic Forecasts'!H$10-'Economic Forecasts'!H$9)*1000000/SUM('Statistics NZ'!F$15:F$29,'Statistics NZ'!F$115:F$129)</f>
        <v>31199.260025987183</v>
      </c>
      <c r="G27" s="27">
        <f>'Statistics NZ'!G$27*('Economic Forecasts'!I$10-'Economic Forecasts'!I$9)*1000000/SUM('Statistics NZ'!G$15:G$29,'Statistics NZ'!G$115:G$129)</f>
        <v>30565.661956056261</v>
      </c>
      <c r="H27" s="27">
        <f>'Statistics NZ'!H$27*('Economic Forecasts'!J$10-'Economic Forecasts'!J$9)*1000000/SUM('Statistics NZ'!H$15:H$29,'Statistics NZ'!H$115:H$129)</f>
        <v>31707.933524582077</v>
      </c>
      <c r="I27" s="27">
        <f>'Statistics NZ'!I$27*('Economic Forecasts'!K$10-'Economic Forecasts'!K$9)*1000000/SUM('Statistics NZ'!I$15:I$29,'Statistics NZ'!I$115:I$129)</f>
        <v>31335.820156471782</v>
      </c>
      <c r="J27" s="27">
        <f>'Statistics NZ'!J$27*('Economic Forecasts'!L$10-'Economic Forecasts'!L$9)*1000000/SUM('Statistics NZ'!J$15:J$29,'Statistics NZ'!J$115:J$129)</f>
        <v>30412.795735486055</v>
      </c>
      <c r="K27" s="27">
        <f>'Statistics NZ'!K$27*('Economic Forecasts'!M$10-'Economic Forecasts'!M$9)*1000000/SUM('Statistics NZ'!K$15:K$29,'Statistics NZ'!K$115:K$129)</f>
        <v>30326.072149757139</v>
      </c>
      <c r="L27" s="27">
        <f>'Statistics NZ'!L$27*('Economic Forecasts'!N$10-'Economic Forecasts'!N$9)*1000000/SUM('Statistics NZ'!L$15:L$29,'Statistics NZ'!L$115:L$129)</f>
        <v>31057.623672427599</v>
      </c>
      <c r="M27" s="27">
        <f>'Statistics NZ'!M$27*('Economic Forecasts'!O$10-'Economic Forecasts'!O$9)*1000000/SUM('Statistics NZ'!M$15:M$29,'Statistics NZ'!M$115:M$129)</f>
        <v>30928.941216656174</v>
      </c>
      <c r="N27" s="27">
        <f>'Statistics NZ'!N$27*('Economic Forecasts'!P$10-'Economic Forecasts'!P$9)*1000000/SUM('Statistics NZ'!N$15:N$29,'Statistics NZ'!N$115:N$129)</f>
        <v>31828.922205669503</v>
      </c>
      <c r="O27" s="27">
        <f>'Statistics NZ'!O$27*('Economic Forecasts'!Q$10-'Economic Forecasts'!Q$9)*1000000/SUM('Statistics NZ'!O$15:O$29,'Statistics NZ'!O$115:O$129)</f>
        <v>33289.450687294215</v>
      </c>
      <c r="P27" s="27">
        <f>'Statistics NZ'!P$27*('Economic Forecasts'!R$10-'Economic Forecasts'!R$9)*1000000/SUM('Statistics NZ'!P$15:P$29,'Statistics NZ'!P$115:P$129)</f>
        <v>34869.919253952023</v>
      </c>
      <c r="Q27" s="27">
        <f>'Statistics NZ'!Q$27*('Economic Forecasts'!S$10-'Economic Forecasts'!S$9)*1000000/SUM('Statistics NZ'!Q$15:Q$29,'Statistics NZ'!Q$115:Q$129)</f>
        <v>34101.131857237298</v>
      </c>
      <c r="R27" s="27">
        <f>'Statistics NZ'!R$27*('Economic Forecasts'!T$10-'Economic Forecasts'!T$9)*1000000/SUM('Statistics NZ'!R$15:R$29,'Statistics NZ'!R$115:R$129)</f>
        <v>35108.218055022247</v>
      </c>
      <c r="S27" s="27">
        <f>'Statistics NZ'!S$27*('Economic Forecasts'!U$10-'Economic Forecasts'!U$9)*1000000/SUM('Statistics NZ'!S$15:S$29,'Statistics NZ'!S$115:S$129)</f>
        <v>35755.382125220378</v>
      </c>
      <c r="T27" s="27">
        <f>'Statistics NZ'!T$27*('Economic Forecasts'!V$10-'Economic Forecasts'!V$9)*1000000/SUM('Statistics NZ'!T$15:T$29,'Statistics NZ'!T$115:T$129)</f>
        <v>36139.425272059088</v>
      </c>
      <c r="U27" s="28">
        <f>SUM('Statistics NZ'!U$27,$D$12/5*(U$8-U$9)*1000)*('Economic Forecasts'!W$10-'Economic Forecasts'!W$9)*1000000/SUM('Statistics NZ'!U$15:U$29,'Statistics NZ'!U$115:U$129,SUM($B$12:$D$13)*(U$8-U$9)*1000)</f>
        <v>36149.14967487588</v>
      </c>
      <c r="V27" s="28">
        <f>SUM('Statistics NZ'!V$27,$D$12/5*(V$8-V$9)*1000)*('Economic Forecasts'!X$10-'Economic Forecasts'!X$9)*1000000/SUM('Statistics NZ'!V$15:V$29,'Statistics NZ'!V$115:V$129,SUM($B$12:$D$13)*(V$8-V$9)*1000)</f>
        <v>35057.808062791191</v>
      </c>
      <c r="W27" s="28">
        <f>SUM('Statistics NZ'!W$27,$D$12/5*(W$8-W$9)*1000)*('Economic Forecasts'!Y$10-'Economic Forecasts'!Y$9)*1000000/SUM('Statistics NZ'!W$15:W$29,'Statistics NZ'!W$115:W$129,SUM($B$12:$D$13)*(W$8-W$9)*1000)</f>
        <v>35103.541043270758</v>
      </c>
      <c r="X27" s="28">
        <f>SUM('Statistics NZ'!X$27,$D$12/5*(X$8-X$9)*1000)*('Economic Forecasts'!Z$10-'Economic Forecasts'!Z$9)*1000000/SUM('Statistics NZ'!X$15:X$29,'Statistics NZ'!X$115:X$129,SUM($B$12:$D$13)*(X$8-X$9)*1000)</f>
        <v>35040.271028294999</v>
      </c>
      <c r="Y27" s="28">
        <f>SUM('Statistics NZ'!Y$27,$D$12/5*(Y$8-Y$9)*1000)*('Economic Forecasts'!AA$10-'Economic Forecasts'!AA$9)*1000000/SUM('Statistics NZ'!Y$15:Y$29,'Statistics NZ'!Y$115:Y$129,SUM($B$12:$D$13)*(Y$8-Y$9)*1000)</f>
        <v>35974.016158023616</v>
      </c>
      <c r="Z27" s="28">
        <f>SUM('Statistics NZ'!Z$27,$D$12/5*(Z$8-Z$9)*1000)*('Economic Forecasts'!AB$10-'Economic Forecasts'!AB$9)*1000000/SUM('Statistics NZ'!Z$15:Z$29,'Statistics NZ'!Z$115:Z$129,SUM($B$12:$D$13)*(Z$8-Z$9)*1000)</f>
        <v>35748.519574854763</v>
      </c>
      <c r="AA27" s="28">
        <f>SUM('Statistics NZ'!AA$27,$D$12/5*(AA$8-AA$9)*1000)*('Economic Forecasts'!AC$10-'Economic Forecasts'!AC$9)*1000000/SUM('Statistics NZ'!AA$15:AA$29,'Statistics NZ'!AA$115:AA$129,SUM($B$12:$D$13)*(AA$8-AA$9)*1000)</f>
        <v>36190.510787794621</v>
      </c>
      <c r="AB27" s="18">
        <f>SUM(AA$27,'Statistics NZ'!AB$27-'Statistics NZ'!AA$27,$D$12/5*(AB$8-AB$9)*1000)</f>
        <v>35904.967062819487</v>
      </c>
      <c r="AC27" s="18">
        <f>SUM(AB$27,'Statistics NZ'!AC$27-'Statistics NZ'!AB$27,$D$12/5*(AC$8-AC$9)*1000)</f>
        <v>36094.604579502731</v>
      </c>
      <c r="AD27" s="18">
        <f>SUM(AC$27,'Statistics NZ'!AD$27-'Statistics NZ'!AC$27,$D$12/5*(AD$8-AD$9)*1000)</f>
        <v>36428.620211454079</v>
      </c>
      <c r="AE27" s="18">
        <f>SUM(AD$27,'Statistics NZ'!AE$27-'Statistics NZ'!AD$27,$D$12/5*(AE$8-AE$9)*1000)</f>
        <v>33858.620211454079</v>
      </c>
      <c r="AF27" s="18">
        <f>SUM(AE$27,'Statistics NZ'!AF$27-'Statistics NZ'!AE$27,$D$12/5*(AF$8-AF$9)*1000)</f>
        <v>34038.620211454079</v>
      </c>
      <c r="AG27" s="18">
        <f>SUM(AF$27,'Statistics NZ'!AG$27-'Statistics NZ'!AF$27,$D$12/5*(AG$8-AG$9)*1000)</f>
        <v>34588.620211454079</v>
      </c>
      <c r="AH27" s="18">
        <f>SUM(AG$27,'Statistics NZ'!AH$27-'Statistics NZ'!AG$27,$D$12/5*(AH$8-AH$9)*1000)</f>
        <v>34658.620211454079</v>
      </c>
      <c r="AI27" s="18">
        <f>SUM(AH$27,'Statistics NZ'!AI$27-'Statistics NZ'!AH$27,$D$12/5*(AI$8-AI$9)*1000)</f>
        <v>34698.620211454079</v>
      </c>
      <c r="AJ27" s="18">
        <f>SUM(AI$27,'Statistics NZ'!AJ$27-'Statistics NZ'!AI$27,$D$12/5*(AJ$8-AJ$9)*1000)</f>
        <v>34718.620211454079</v>
      </c>
      <c r="AK27" s="18">
        <f>SUM(AJ$27,'Statistics NZ'!AK$27-'Statistics NZ'!AJ$27,$D$12/5*(AK$8-AK$9)*1000)</f>
        <v>34738.620211454079</v>
      </c>
    </row>
    <row r="28" spans="1:37" x14ac:dyDescent="0.25">
      <c r="A28" s="12">
        <v>13</v>
      </c>
      <c r="B28" s="27">
        <f>'Statistics NZ'!B$28*('Economic Forecasts'!D$10-'Economic Forecasts'!D$9)*1000000/SUM('Statistics NZ'!B$15:B$29,'Statistics NZ'!B$115:B$129)</f>
        <v>32601.625558645075</v>
      </c>
      <c r="C28" s="27">
        <f>'Statistics NZ'!C$28*('Economic Forecasts'!E$10-'Economic Forecasts'!E$9)*1000000/SUM('Statistics NZ'!C$15:C$29,'Statistics NZ'!C$115:C$129)</f>
        <v>31713.840457758335</v>
      </c>
      <c r="D28" s="27">
        <f>'Statistics NZ'!D$28*('Economic Forecasts'!F$10-'Economic Forecasts'!F$9)*1000000/SUM('Statistics NZ'!D$15:D$29,'Statistics NZ'!D$115:D$129)</f>
        <v>31761.025560853595</v>
      </c>
      <c r="E28" s="27">
        <f>'Statistics NZ'!E$28*('Economic Forecasts'!G$10-'Economic Forecasts'!G$9)*1000000/SUM('Statistics NZ'!E$15:E$29,'Statistics NZ'!E$115:E$129)</f>
        <v>31258.867459718585</v>
      </c>
      <c r="F28" s="27">
        <f>'Statistics NZ'!F$28*('Economic Forecasts'!H$10-'Economic Forecasts'!H$9)*1000000/SUM('Statistics NZ'!F$15:F$29,'Statistics NZ'!F$115:F$129)</f>
        <v>31273.242011143655</v>
      </c>
      <c r="G28" s="27">
        <f>'Statistics NZ'!G$28*('Economic Forecasts'!I$10-'Economic Forecasts'!I$9)*1000000/SUM('Statistics NZ'!G$15:G$29,'Statistics NZ'!G$115:G$129)</f>
        <v>31370.300095529863</v>
      </c>
      <c r="H28" s="27">
        <f>'Statistics NZ'!H$28*('Economic Forecasts'!J$10-'Economic Forecasts'!J$9)*1000000/SUM('Statistics NZ'!H$15:H$29,'Statistics NZ'!H$115:H$129)</f>
        <v>30647.822072740484</v>
      </c>
      <c r="I28" s="27">
        <f>'Statistics NZ'!I$28*('Economic Forecasts'!K$10-'Economic Forecasts'!K$9)*1000000/SUM('Statistics NZ'!I$15:I$29,'Statistics NZ'!I$115:I$129)</f>
        <v>31814.148483147914</v>
      </c>
      <c r="J28" s="27">
        <f>'Statistics NZ'!J$28*('Economic Forecasts'!L$10-'Economic Forecasts'!L$9)*1000000/SUM('Statistics NZ'!J$15:J$29,'Statistics NZ'!J$115:J$129)</f>
        <v>31618.636408507082</v>
      </c>
      <c r="K28" s="27">
        <f>'Statistics NZ'!K$28*('Economic Forecasts'!M$10-'Economic Forecasts'!M$9)*1000000/SUM('Statistics NZ'!K$15:K$29,'Statistics NZ'!K$115:K$129)</f>
        <v>30829.187360148451</v>
      </c>
      <c r="L28" s="27">
        <f>'Statistics NZ'!L$28*('Economic Forecasts'!N$10-'Economic Forecasts'!N$9)*1000000/SUM('Statistics NZ'!L$15:L$29,'Statistics NZ'!L$115:L$129)</f>
        <v>30587.700893339974</v>
      </c>
      <c r="M28" s="27">
        <f>'Statistics NZ'!M$28*('Economic Forecasts'!O$10-'Economic Forecasts'!O$9)*1000000/SUM('Statistics NZ'!M$15:M$29,'Statistics NZ'!M$115:M$129)</f>
        <v>31140.783279783962</v>
      </c>
      <c r="N28" s="27">
        <f>'Statistics NZ'!N$28*('Economic Forecasts'!P$10-'Economic Forecasts'!P$9)*1000000/SUM('Statistics NZ'!N$15:N$29,'Statistics NZ'!N$115:N$129)</f>
        <v>31310.432448994703</v>
      </c>
      <c r="O28" s="27">
        <f>'Statistics NZ'!O$28*('Economic Forecasts'!Q$10-'Economic Forecasts'!Q$9)*1000000/SUM('Statistics NZ'!O$15:O$29,'Statistics NZ'!O$115:O$129)</f>
        <v>32050.675795745577</v>
      </c>
      <c r="P28" s="27">
        <f>'Statistics NZ'!P$28*('Economic Forecasts'!R$10-'Economic Forecasts'!R$9)*1000000/SUM('Statistics NZ'!P$15:P$29,'Statistics NZ'!P$115:P$129)</f>
        <v>34025.611281701364</v>
      </c>
      <c r="Q28" s="27">
        <f>'Statistics NZ'!Q$28*('Economic Forecasts'!S$10-'Economic Forecasts'!S$9)*1000000/SUM('Statistics NZ'!Q$15:Q$29,'Statistics NZ'!Q$115:Q$129)</f>
        <v>34845.652263714495</v>
      </c>
      <c r="R28" s="27">
        <f>'Statistics NZ'!R$28*('Economic Forecasts'!T$10-'Economic Forecasts'!T$9)*1000000/SUM('Statistics NZ'!R$15:R$29,'Statistics NZ'!R$115:R$129)</f>
        <v>34224.727846327856</v>
      </c>
      <c r="S28" s="27">
        <f>'Statistics NZ'!S$28*('Economic Forecasts'!U$10-'Economic Forecasts'!U$9)*1000000/SUM('Statistics NZ'!S$15:S$29,'Statistics NZ'!S$115:S$129)</f>
        <v>36030.749404620779</v>
      </c>
      <c r="T28" s="27">
        <f>'Statistics NZ'!T$28*('Economic Forecasts'!V$10-'Economic Forecasts'!V$9)*1000000/SUM('Statistics NZ'!T$15:T$29,'Statistics NZ'!T$115:T$129)</f>
        <v>36371.765235818668</v>
      </c>
      <c r="U28" s="28">
        <f>SUM('Statistics NZ'!U$28,$D$12/5*(U$8-U$9)*1000)*('Economic Forecasts'!W$10-'Economic Forecasts'!W$9)*1000000/SUM('Statistics NZ'!U$15:U$29,'Statistics NZ'!U$115:U$129,SUM($B$12:$D$13)*(U$8-U$9)*1000)</f>
        <v>36467.633748072971</v>
      </c>
      <c r="V28" s="28">
        <f>SUM('Statistics NZ'!V$28,$D$12/5*(V$8-V$9)*1000)*('Economic Forecasts'!X$10-'Economic Forecasts'!X$9)*1000000/SUM('Statistics NZ'!V$15:V$29,'Statistics NZ'!V$115:V$129,SUM($B$12:$D$13)*(V$8-V$9)*1000)</f>
        <v>36283.073267436223</v>
      </c>
      <c r="W28" s="28">
        <f>SUM('Statistics NZ'!W$28,$D$12/5*(W$8-W$9)*1000)*('Economic Forecasts'!Y$10-'Economic Forecasts'!Y$9)*1000000/SUM('Statistics NZ'!W$15:W$29,'Statistics NZ'!W$115:W$129,SUM($B$12:$D$13)*(W$8-W$9)*1000)</f>
        <v>35345.596824094057</v>
      </c>
      <c r="X28" s="28">
        <f>SUM('Statistics NZ'!X$28,$D$12/5*(X$8-X$9)*1000)*('Economic Forecasts'!Z$10-'Economic Forecasts'!Z$9)*1000000/SUM('Statistics NZ'!X$15:X$29,'Statistics NZ'!X$115:X$129,SUM($B$12:$D$13)*(X$8-X$9)*1000)</f>
        <v>35827.193852475713</v>
      </c>
      <c r="Y28" s="28">
        <f>SUM('Statistics NZ'!Y$28,$D$12/5*(Y$8-Y$9)*1000)*('Economic Forecasts'!AA$10-'Economic Forecasts'!AA$9)*1000000/SUM('Statistics NZ'!Y$15:Y$29,'Statistics NZ'!Y$115:Y$129,SUM($B$12:$D$13)*(Y$8-Y$9)*1000)</f>
        <v>35780.47163618965</v>
      </c>
      <c r="Z28" s="28">
        <f>SUM('Statistics NZ'!Z$28,$D$12/5*(Z$8-Z$9)*1000)*('Economic Forecasts'!AB$10-'Economic Forecasts'!AB$9)*1000000/SUM('Statistics NZ'!Z$15:Z$29,'Statistics NZ'!Z$115:Z$129,SUM($B$12:$D$13)*(Z$8-Z$9)*1000)</f>
        <v>36749.315329281686</v>
      </c>
      <c r="AA28" s="28">
        <f>SUM('Statistics NZ'!AA$28,$D$12/5*(AA$8-AA$9)*1000)*('Economic Forecasts'!AC$10-'Economic Forecasts'!AC$9)*1000000/SUM('Statistics NZ'!AA$15:AA$29,'Statistics NZ'!AA$115:AA$129,SUM($B$12:$D$13)*(AA$8-AA$9)*1000)</f>
        <v>36498.420813756631</v>
      </c>
      <c r="AB28" s="18">
        <f>SUM(AA$28,'Statistics NZ'!AB$28-'Statistics NZ'!AA$28,$D$12/5*(AB$8-AB$9)*1000)</f>
        <v>36572.877088781497</v>
      </c>
      <c r="AC28" s="18">
        <f>SUM(AB$28,'Statistics NZ'!AC$28-'Statistics NZ'!AB$28,$D$12/5*(AC$8-AC$9)*1000)</f>
        <v>36292.514605464741</v>
      </c>
      <c r="AD28" s="18">
        <f>SUM(AC$28,'Statistics NZ'!AD$28-'Statistics NZ'!AC$28,$D$12/5*(AD$8-AD$9)*1000)</f>
        <v>36466.530237416089</v>
      </c>
      <c r="AE28" s="18">
        <f>SUM(AD$28,'Statistics NZ'!AE$28-'Statistics NZ'!AD$28,$D$12/5*(AE$8-AE$9)*1000)</f>
        <v>36796.530237416089</v>
      </c>
      <c r="AF28" s="18">
        <f>SUM(AE$28,'Statistics NZ'!AF$28-'Statistics NZ'!AE$28,$D$12/5*(AF$8-AF$9)*1000)</f>
        <v>34236.530237416089</v>
      </c>
      <c r="AG28" s="18">
        <f>SUM(AF$28,'Statistics NZ'!AG$28-'Statistics NZ'!AF$28,$D$12/5*(AG$8-AG$9)*1000)</f>
        <v>34416.530237416089</v>
      </c>
      <c r="AH28" s="18">
        <f>SUM(AG$28,'Statistics NZ'!AH$28-'Statistics NZ'!AG$28,$D$12/5*(AH$8-AH$9)*1000)</f>
        <v>34966.530237416089</v>
      </c>
      <c r="AI28" s="18">
        <f>SUM(AH$28,'Statistics NZ'!AI$28-'Statistics NZ'!AH$28,$D$12/5*(AI$8-AI$9)*1000)</f>
        <v>35036.530237416089</v>
      </c>
      <c r="AJ28" s="18">
        <f>SUM(AI$28,'Statistics NZ'!AJ$28-'Statistics NZ'!AI$28,$D$12/5*(AJ$8-AJ$9)*1000)</f>
        <v>35076.530237416089</v>
      </c>
      <c r="AK28" s="18">
        <f>SUM(AJ$28,'Statistics NZ'!AK$28-'Statistics NZ'!AJ$28,$D$12/5*(AK$8-AK$9)*1000)</f>
        <v>35106.530237416089</v>
      </c>
    </row>
    <row r="29" spans="1:37" x14ac:dyDescent="0.25">
      <c r="A29" s="12">
        <v>14</v>
      </c>
      <c r="B29" s="27">
        <f>'Statistics NZ'!B$29*('Economic Forecasts'!D$10-'Economic Forecasts'!D$9)*1000000/SUM('Statistics NZ'!B$15:B$29,'Statistics NZ'!B$115:B$129)</f>
        <v>32824.270806362649</v>
      </c>
      <c r="C29" s="27">
        <f>'Statistics NZ'!C$29*('Economic Forecasts'!E$10-'Economic Forecasts'!E$9)*1000000/SUM('Statistics NZ'!C$15:C$29,'Statistics NZ'!C$115:C$129)</f>
        <v>32441.077078424772</v>
      </c>
      <c r="D29" s="27">
        <f>'Statistics NZ'!D$29*('Economic Forecasts'!F$10-'Economic Forecasts'!F$9)*1000000/SUM('Statistics NZ'!D$15:D$29,'Statistics NZ'!D$115:D$129)</f>
        <v>31750.480731650125</v>
      </c>
      <c r="E29" s="27">
        <f>'Statistics NZ'!E$29*('Economic Forecasts'!G$10-'Economic Forecasts'!G$9)*1000000/SUM('Statistics NZ'!E$15:E$29,'Statistics NZ'!E$115:E$129)</f>
        <v>31828.55319810022</v>
      </c>
      <c r="F29" s="27">
        <f>'Statistics NZ'!F$29*('Economic Forecasts'!H$10-'Economic Forecasts'!H$9)*1000000/SUM('Statistics NZ'!F$15:F$29,'Statistics NZ'!F$115:F$129)</f>
        <v>31526.894531680136</v>
      </c>
      <c r="G29" s="27">
        <f>'Statistics NZ'!G$29*('Economic Forecasts'!I$10-'Economic Forecasts'!I$9)*1000000/SUM('Statistics NZ'!G$15:G$29,'Statistics NZ'!G$115:G$129)</f>
        <v>31539.697598576935</v>
      </c>
      <c r="H29" s="27">
        <f>'Statistics NZ'!H$29*('Economic Forecasts'!J$10-'Economic Forecasts'!J$9)*1000000/SUM('Statistics NZ'!H$15:H$29,'Statistics NZ'!H$115:H$129)</f>
        <v>31485.310119695339</v>
      </c>
      <c r="I29" s="27">
        <f>'Statistics NZ'!I$29*('Economic Forecasts'!K$10-'Economic Forecasts'!K$9)*1000000/SUM('Statistics NZ'!I$15:I$29,'Statistics NZ'!I$115:I$129)</f>
        <v>30825.603274683912</v>
      </c>
      <c r="J29" s="27">
        <f>'Statistics NZ'!J$29*('Economic Forecasts'!L$10-'Economic Forecasts'!L$9)*1000000/SUM('Statistics NZ'!J$15:J$29,'Statistics NZ'!J$115:J$129)</f>
        <v>32045.482664443731</v>
      </c>
      <c r="K29" s="27">
        <f>'Statistics NZ'!K$29*('Economic Forecasts'!M$10-'Economic Forecasts'!M$9)*1000000/SUM('Statistics NZ'!K$15:K$29,'Statistics NZ'!K$115:K$129)</f>
        <v>32028.100201932004</v>
      </c>
      <c r="L29" s="27">
        <f>'Statistics NZ'!L$29*('Economic Forecasts'!N$10-'Economic Forecasts'!N$9)*1000000/SUM('Statistics NZ'!L$15:L$29,'Statistics NZ'!L$115:L$129)</f>
        <v>31185.784430360589</v>
      </c>
      <c r="M29" s="27">
        <f>'Statistics NZ'!M$29*('Economic Forecasts'!O$10-'Economic Forecasts'!O$9)*1000000/SUM('Statistics NZ'!M$15:M$29,'Statistics NZ'!M$115:M$129)</f>
        <v>30823.020185092282</v>
      </c>
      <c r="N29" s="27">
        <f>'Statistics NZ'!N$29*('Economic Forecasts'!P$10-'Economic Forecasts'!P$9)*1000000/SUM('Statistics NZ'!N$15:N$29,'Statistics NZ'!N$115:N$129)</f>
        <v>31479.735226684432</v>
      </c>
      <c r="O29" s="27">
        <f>'Statistics NZ'!O$29*('Economic Forecasts'!Q$10-'Economic Forecasts'!Q$9)*1000000/SUM('Statistics NZ'!O$15:O$29,'Statistics NZ'!O$115:O$129)</f>
        <v>31546.767365285119</v>
      </c>
      <c r="P29" s="27">
        <f>'Statistics NZ'!P$29*('Economic Forecasts'!R$10-'Economic Forecasts'!R$9)*1000000/SUM('Statistics NZ'!P$15:P$29,'Statistics NZ'!P$115:P$129)</f>
        <v>32706.380075059718</v>
      </c>
      <c r="Q29" s="27">
        <f>'Statistics NZ'!Q$29*('Economic Forecasts'!S$10-'Economic Forecasts'!S$9)*1000000/SUM('Statistics NZ'!Q$15:Q$29,'Statistics NZ'!Q$115:Q$129)</f>
        <v>34017.242233972254</v>
      </c>
      <c r="R29" s="27">
        <f>'Statistics NZ'!R$29*('Economic Forecasts'!T$10-'Economic Forecasts'!T$9)*1000000/SUM('Statistics NZ'!R$15:R$29,'Statistics NZ'!R$115:R$129)</f>
        <v>35024.076130384688</v>
      </c>
      <c r="S29" s="27">
        <f>'Statistics NZ'!S$29*('Economic Forecasts'!U$10-'Economic Forecasts'!U$9)*1000000/SUM('Statistics NZ'!S$15:S$29,'Statistics NZ'!S$115:S$129)</f>
        <v>35236.42071404271</v>
      </c>
      <c r="T29" s="27">
        <f>'Statistics NZ'!T$29*('Economic Forecasts'!V$10-'Economic Forecasts'!V$9)*1000000/SUM('Statistics NZ'!T$15:T$29,'Statistics NZ'!T$115:T$129)</f>
        <v>36688.592459127198</v>
      </c>
      <c r="U29" s="28">
        <f>SUM('Statistics NZ'!U$29,$D$12/5*(U$8-U$9)*1000)*('Economic Forecasts'!W$10-'Economic Forecasts'!W$9)*1000000/SUM('Statistics NZ'!U$15:U$29,'Statistics NZ'!U$115:U$129,SUM($B$12:$D$13)*(U$8-U$9)*1000)</f>
        <v>36722.421006630648</v>
      </c>
      <c r="V29" s="28">
        <f>SUM('Statistics NZ'!V$29,$D$12/5*(V$8-V$9)*1000)*('Economic Forecasts'!X$10-'Economic Forecasts'!X$9)*1000000/SUM('Statistics NZ'!V$15:V$29,'Statistics NZ'!V$115:V$129,SUM($B$12:$D$13)*(V$8-V$9)*1000)</f>
        <v>36631.640092895592</v>
      </c>
      <c r="W29" s="28">
        <f>SUM('Statistics NZ'!W$29,$D$12/5*(W$8-W$9)*1000)*('Economic Forecasts'!Y$10-'Economic Forecasts'!Y$9)*1000000/SUM('Statistics NZ'!W$15:W$29,'Statistics NZ'!W$115:W$129,SUM($B$12:$D$13)*(W$8-W$9)*1000)</f>
        <v>36587.44822136141</v>
      </c>
      <c r="X29" s="28">
        <f>SUM('Statistics NZ'!X$29,$D$12/5*(X$8-X$9)*1000)*('Economic Forecasts'!Z$10-'Economic Forecasts'!Z$9)*1000000/SUM('Statistics NZ'!X$15:X$29,'Statistics NZ'!X$115:X$129,SUM($B$12:$D$13)*(X$8-X$9)*1000)</f>
        <v>36103.680250160833</v>
      </c>
      <c r="Y29" s="28">
        <f>SUM('Statistics NZ'!Y$29,$D$12/5*(Y$8-Y$9)*1000)*('Economic Forecasts'!AA$10-'Economic Forecasts'!AA$9)*1000000/SUM('Statistics NZ'!Y$15:Y$29,'Statistics NZ'!Y$115:Y$129,SUM($B$12:$D$13)*(Y$8-Y$9)*1000)</f>
        <v>36619.164564136816</v>
      </c>
      <c r="Z29" s="28">
        <f>SUM('Statistics NZ'!Z$29,$D$12/5*(Z$8-Z$9)*1000)*('Economic Forecasts'!AB$10-'Economic Forecasts'!AB$9)*1000000/SUM('Statistics NZ'!Z$15:Z$29,'Statistics NZ'!Z$115:Z$129,SUM($B$12:$D$13)*(Z$8-Z$9)*1000)</f>
        <v>36586.142108451211</v>
      </c>
      <c r="AA29" s="28">
        <f>SUM('Statistics NZ'!AA$29,$D$12/5*(AA$8-AA$9)*1000)*('Economic Forecasts'!AC$10-'Economic Forecasts'!AC$9)*1000000/SUM('Statistics NZ'!AA$15:AA$29,'Statistics NZ'!AA$115:AA$129,SUM($B$12:$D$13)*(AA$8-AA$9)*1000)</f>
        <v>37543.115544699169</v>
      </c>
      <c r="AB29" s="18">
        <f>SUM(AA$29,'Statistics NZ'!AB$29-'Statistics NZ'!AA$29,$D$12/5*(AB$8-AB$9)*1000)</f>
        <v>36977.571819724035</v>
      </c>
      <c r="AC29" s="18">
        <f>SUM(AB$29,'Statistics NZ'!AC$29-'Statistics NZ'!AB$29,$D$12/5*(AC$8-AC$9)*1000)</f>
        <v>37047.209336407279</v>
      </c>
      <c r="AD29" s="18">
        <f>SUM(AC$29,'Statistics NZ'!AD$29-'Statistics NZ'!AC$29,$D$12/5*(AD$8-AD$9)*1000)</f>
        <v>36761.224968358627</v>
      </c>
      <c r="AE29" s="18">
        <f>SUM(AD$29,'Statistics NZ'!AE$29-'Statistics NZ'!AD$29,$D$12/5*(AE$8-AE$9)*1000)</f>
        <v>36941.224968358627</v>
      </c>
      <c r="AF29" s="18">
        <f>SUM(AE$29,'Statistics NZ'!AF$29-'Statistics NZ'!AE$29,$D$12/5*(AF$8-AF$9)*1000)</f>
        <v>37271.224968358627</v>
      </c>
      <c r="AG29" s="18">
        <f>SUM(AF$29,'Statistics NZ'!AG$29-'Statistics NZ'!AF$29,$D$12/5*(AG$8-AG$9)*1000)</f>
        <v>34711.224968358627</v>
      </c>
      <c r="AH29" s="18">
        <f>SUM(AG$29,'Statistics NZ'!AH$29-'Statistics NZ'!AG$29,$D$12/5*(AH$8-AH$9)*1000)</f>
        <v>34881.224968358627</v>
      </c>
      <c r="AI29" s="18">
        <f>SUM(AH$29,'Statistics NZ'!AI$29-'Statistics NZ'!AH$29,$D$12/5*(AI$8-AI$9)*1000)</f>
        <v>35441.224968358627</v>
      </c>
      <c r="AJ29" s="18">
        <f>SUM(AI$29,'Statistics NZ'!AJ$29-'Statistics NZ'!AI$29,$D$12/5*(AJ$8-AJ$9)*1000)</f>
        <v>35511.224968358627</v>
      </c>
      <c r="AK29" s="18">
        <f>SUM(AJ$29,'Statistics NZ'!AK$29-'Statistics NZ'!AJ$29,$D$12/5*(AK$8-AK$9)*1000)</f>
        <v>35561.224968358627</v>
      </c>
    </row>
    <row r="30" spans="1:37" x14ac:dyDescent="0.25">
      <c r="A30" s="12">
        <v>15</v>
      </c>
      <c r="B30" s="27">
        <f>'Statistics NZ'!B$30*'Economic Forecasts'!D$9*1000000/SUM('Statistics NZ'!B$30:B$110,'Statistics NZ'!B$130:B$210)</f>
        <v>31337.962637122608</v>
      </c>
      <c r="C30" s="27">
        <f>'Statistics NZ'!C$30*'Economic Forecasts'!E$9*1000000/SUM('Statistics NZ'!C$30:C$110,'Statistics NZ'!C$130:C$210)</f>
        <v>30540.443382864822</v>
      </c>
      <c r="D30" s="27">
        <f>'Statistics NZ'!D$30*'Economic Forecasts'!F$9*1000000/SUM('Statistics NZ'!D$30:D$110,'Statistics NZ'!D$130:D$210)</f>
        <v>30322.748079804056</v>
      </c>
      <c r="E30" s="27">
        <f>'Statistics NZ'!E$30*'Economic Forecasts'!G$9*1000000/SUM('Statistics NZ'!E$30:E$110,'Statistics NZ'!E$130:E$210)</f>
        <v>29646.630250717346</v>
      </c>
      <c r="F30" s="27">
        <f>'Statistics NZ'!F$30*'Economic Forecasts'!H$9*1000000/SUM('Statistics NZ'!F$30:F$110,'Statistics NZ'!F$130:F$210)</f>
        <v>29828.656125908132</v>
      </c>
      <c r="G30" s="27">
        <f>'Statistics NZ'!G$30*'Economic Forecasts'!I$9*1000000/SUM('Statistics NZ'!G$30:G$110,'Statistics NZ'!G$130:G$210)</f>
        <v>29408.481944916304</v>
      </c>
      <c r="H30" s="27">
        <f>'Statistics NZ'!H$30*'Economic Forecasts'!J$9*1000000/SUM('Statistics NZ'!H$30:H$110,'Statistics NZ'!H$130:H$210)</f>
        <v>29495.061703690782</v>
      </c>
      <c r="I30" s="27">
        <f>'Statistics NZ'!I$30*'Economic Forecasts'!K$9*1000000/SUM('Statistics NZ'!I$30:I$110,'Statistics NZ'!I$130:I$210)</f>
        <v>29342.041032346438</v>
      </c>
      <c r="J30" s="27">
        <f>'Statistics NZ'!J$30*'Economic Forecasts'!L$9*1000000/SUM('Statistics NZ'!J$30:J$110,'Statistics NZ'!J$130:J$210)</f>
        <v>28582.766856971659</v>
      </c>
      <c r="K30" s="27">
        <f>'Statistics NZ'!K$30*'Economic Forecasts'!M$9*1000000/SUM('Statistics NZ'!K$30:K$110,'Statistics NZ'!K$130:K$210)</f>
        <v>29588.370581768759</v>
      </c>
      <c r="L30" s="27">
        <f>'Statistics NZ'!L$30*'Economic Forecasts'!N$9*1000000/SUM('Statistics NZ'!L$30:L$110,'Statistics NZ'!L$130:L$210)</f>
        <v>29686.939208499251</v>
      </c>
      <c r="M30" s="27">
        <f>'Statistics NZ'!M$30*'Economic Forecasts'!O$9*1000000/SUM('Statistics NZ'!M$30:M$110,'Statistics NZ'!M$130:M$210)</f>
        <v>29162.177917987581</v>
      </c>
      <c r="N30" s="27">
        <f>'Statistics NZ'!N$30*'Economic Forecasts'!P$9*1000000/SUM('Statistics NZ'!N$30:N$110,'Statistics NZ'!N$130:N$210)</f>
        <v>28982.975311951523</v>
      </c>
      <c r="O30" s="27">
        <f>'Statistics NZ'!O$30*'Economic Forecasts'!Q$9*1000000/SUM('Statistics NZ'!O$30:O$110,'Statistics NZ'!O$130:O$210)</f>
        <v>29777.539483420576</v>
      </c>
      <c r="P30" s="27">
        <f>'Statistics NZ'!P$30*'Economic Forecasts'!R$9*1000000/SUM('Statistics NZ'!P$30:P$110,'Statistics NZ'!P$130:P$210)</f>
        <v>30041.547976605452</v>
      </c>
      <c r="Q30" s="27">
        <f>'Statistics NZ'!Q$30*'Economic Forecasts'!S$9*1000000/SUM('Statistics NZ'!Q$30:Q$110,'Statistics NZ'!Q$130:Q$210)</f>
        <v>30824.275375522015</v>
      </c>
      <c r="R30" s="27">
        <f>'Statistics NZ'!R$30*'Economic Forecasts'!T$9*1000000/SUM('Statistics NZ'!R$30:R$110,'Statistics NZ'!R$130:R$210)</f>
        <v>32271.178558940093</v>
      </c>
      <c r="S30" s="27">
        <f>'Statistics NZ'!S$30*'Economic Forecasts'!U$9*1000000/SUM('Statistics NZ'!S$30:S$110,'Statistics NZ'!S$130:S$210)</f>
        <v>33253.619029157417</v>
      </c>
      <c r="T30" s="27">
        <f>'Statistics NZ'!T$30*'Economic Forecasts'!V$9*1000000/SUM('Statistics NZ'!T$30:T$110,'Statistics NZ'!T$130:T$210)</f>
        <v>33498.758476786643</v>
      </c>
      <c r="U30" s="28">
        <f>SUM('Statistics NZ'!U$30,$E$12/5*(U$8-U$9)*1000)*'Economic Forecasts'!W$9*1000000/SUM('Statistics NZ'!U$30:U$110,'Statistics NZ'!U$130:U$210,SUM($E$12:$T$13)*(U$8-U$9)*1000)</f>
        <v>34338.696186825611</v>
      </c>
      <c r="V30" s="28">
        <f>SUM('Statistics NZ'!V$30,$E$12/5*(V$8-V$9)*1000)*'Economic Forecasts'!X$9*1000000/SUM('Statistics NZ'!V$30:V$110,'Statistics NZ'!V$130:V$210,SUM($E$12:$T$13)*(V$8-V$9)*1000)</f>
        <v>34256.866244272125</v>
      </c>
      <c r="W30" s="28">
        <f>SUM('Statistics NZ'!W$30,$E$12/5*(W$8-W$9)*1000)*'Economic Forecasts'!Y$9*1000000/SUM('Statistics NZ'!W$30:W$110,'Statistics NZ'!W$130:W$210,SUM($E$12:$T$13)*(W$8-W$9)*1000)</f>
        <v>34377.199208473634</v>
      </c>
      <c r="X30" s="28">
        <f>SUM('Statistics NZ'!X$30,$E$12/5*(X$8-X$9)*1000)*'Economic Forecasts'!Z$9*1000000/SUM('Statistics NZ'!X$30:X$110,'Statistics NZ'!X$130:X$210,SUM($E$12:$T$13)*(X$8-X$9)*1000)</f>
        <v>34379.107394615537</v>
      </c>
      <c r="Y30" s="28">
        <f>SUM('Statistics NZ'!Y$30,$E$12/5*(Y$8-Y$9)*1000)*'Economic Forecasts'!AA$9*1000000/SUM('Statistics NZ'!Y$30:Y$110,'Statistics NZ'!Y$130:Y$210,SUM($E$12:$T$13)*(Y$8-Y$9)*1000)</f>
        <v>33572.601311907893</v>
      </c>
      <c r="Z30" s="28">
        <f>SUM('Statistics NZ'!Z$30,$E$12/5*(Z$8-Z$9)*1000)*'Economic Forecasts'!AB$9*1000000/SUM('Statistics NZ'!Z$30:Z$110,'Statistics NZ'!Z$130:Z$210,SUM($E$12:$T$13)*(Z$8-Z$9)*1000)</f>
        <v>33672.064020234531</v>
      </c>
      <c r="AA30" s="28">
        <f>SUM('Statistics NZ'!AA$30,$E$12/5*(AA$8-AA$9)*1000)*'Economic Forecasts'!AC$9*1000000/SUM('Statistics NZ'!AA$30:AA$110,'Statistics NZ'!AA$130:AA$210,SUM($E$12:$T$13)*(AA$8-AA$9)*1000)</f>
        <v>33282.641939586778</v>
      </c>
      <c r="AB30" s="18">
        <f>SUM(AA$30,'Statistics NZ'!AB$30-'Statistics NZ'!AA$30,$E$12/5*(AB$8-AB$9)*1000)</f>
        <v>33812.589812987884</v>
      </c>
      <c r="AC30" s="18">
        <f>SUM(AB$30,'Statistics NZ'!AC$30-'Statistics NZ'!AB$30,$E$12/5*(AC$8-AC$9)*1000)</f>
        <v>33245.888395255286</v>
      </c>
      <c r="AD30" s="18">
        <f>SUM(AC$30,'Statistics NZ'!AD$30-'Statistics NZ'!AC$30,$E$12/5*(AD$8-AD$9)*1000)</f>
        <v>33311.429471200041</v>
      </c>
      <c r="AE30" s="18">
        <f>SUM(AD$30,'Statistics NZ'!AE$30-'Statistics NZ'!AD$30,$E$12/5*(AE$8-AE$9)*1000)</f>
        <v>33021.429471200041</v>
      </c>
      <c r="AF30" s="18">
        <f>SUM(AE$30,'Statistics NZ'!AF$30-'Statistics NZ'!AE$30,$E$12/5*(AF$8-AF$9)*1000)</f>
        <v>33201.429471200041</v>
      </c>
      <c r="AG30" s="18">
        <f>SUM(AF$30,'Statistics NZ'!AG$30-'Statistics NZ'!AF$30,$E$12/5*(AG$8-AG$9)*1000)</f>
        <v>33541.429471200041</v>
      </c>
      <c r="AH30" s="18">
        <f>SUM(AG$30,'Statistics NZ'!AH$30-'Statistics NZ'!AG$30,$E$12/5*(AH$8-AH$9)*1000)</f>
        <v>30971.429471200041</v>
      </c>
      <c r="AI30" s="18">
        <f>SUM(AH$30,'Statistics NZ'!AI$30-'Statistics NZ'!AH$30,$E$12/5*(AI$8-AI$9)*1000)</f>
        <v>31161.429471200041</v>
      </c>
      <c r="AJ30" s="18">
        <f>SUM(AI$30,'Statistics NZ'!AJ$30-'Statistics NZ'!AI$30,$E$12/5*(AJ$8-AJ$9)*1000)</f>
        <v>31711.429471200041</v>
      </c>
      <c r="AK30" s="18">
        <f>SUM(AJ$30,'Statistics NZ'!AK$30-'Statistics NZ'!AJ$30,$E$12/5*(AK$8-AK$9)*1000)</f>
        <v>31791.429471200041</v>
      </c>
    </row>
    <row r="31" spans="1:37" x14ac:dyDescent="0.25">
      <c r="A31" s="12">
        <v>16</v>
      </c>
      <c r="B31" s="27">
        <f>'Statistics NZ'!B$31*'Economic Forecasts'!D$9*1000000/SUM('Statistics NZ'!B$30:B$110,'Statistics NZ'!B$130:B$210)</f>
        <v>31298.826873604503</v>
      </c>
      <c r="C31" s="27">
        <f>'Statistics NZ'!C$31*'Economic Forecasts'!E$9*1000000/SUM('Statistics NZ'!C$30:C$110,'Statistics NZ'!C$130:C$210)</f>
        <v>31591.1917564875</v>
      </c>
      <c r="D31" s="27">
        <f>'Statistics NZ'!D$31*'Economic Forecasts'!F$9*1000000/SUM('Statistics NZ'!D$30:D$110,'Statistics NZ'!D$130:D$210)</f>
        <v>30597.784343566451</v>
      </c>
      <c r="E31" s="27">
        <f>'Statistics NZ'!E$31*'Economic Forecasts'!G$9*1000000/SUM('Statistics NZ'!E$30:E$110,'Statistics NZ'!E$130:E$210)</f>
        <v>30480.227197892658</v>
      </c>
      <c r="F31" s="27">
        <f>'Statistics NZ'!F$31*'Economic Forecasts'!H$9*1000000/SUM('Statistics NZ'!F$30:F$110,'Statistics NZ'!F$130:F$210)</f>
        <v>29965.979764764663</v>
      </c>
      <c r="G31" s="27">
        <f>'Statistics NZ'!G$31*'Economic Forecasts'!I$9*1000000/SUM('Statistics NZ'!G$30:G$110,'Statistics NZ'!G$130:G$210)</f>
        <v>30184.457253416098</v>
      </c>
      <c r="H31" s="27">
        <f>'Statistics NZ'!H$31*'Economic Forecasts'!J$9*1000000/SUM('Statistics NZ'!H$30:H$110,'Statistics NZ'!H$130:H$210)</f>
        <v>29632.613623694673</v>
      </c>
      <c r="I31" s="27">
        <f>'Statistics NZ'!I$31*'Economic Forecasts'!K$9*1000000/SUM('Statistics NZ'!I$30:I$110,'Statistics NZ'!I$130:I$210)</f>
        <v>29753.790355219327</v>
      </c>
      <c r="J31" s="27">
        <f>'Statistics NZ'!J$31*'Economic Forecasts'!L$9*1000000/SUM('Statistics NZ'!J$30:J$110,'Statistics NZ'!J$130:J$210)</f>
        <v>29479.940023413619</v>
      </c>
      <c r="K31" s="27">
        <f>'Statistics NZ'!K$31*'Economic Forecasts'!M$9*1000000/SUM('Statistics NZ'!K$30:K$110,'Statistics NZ'!K$130:K$210)</f>
        <v>29013.933640562977</v>
      </c>
      <c r="L31" s="27">
        <f>'Statistics NZ'!L$31*'Economic Forecasts'!N$9*1000000/SUM('Statistics NZ'!L$30:L$110,'Statistics NZ'!L$130:L$210)</f>
        <v>30125.086884584023</v>
      </c>
      <c r="M31" s="27">
        <f>'Statistics NZ'!M$31*'Economic Forecasts'!O$9*1000000/SUM('Statistics NZ'!M$30:M$110,'Statistics NZ'!M$130:M$210)</f>
        <v>30393.144222063442</v>
      </c>
      <c r="N31" s="27">
        <f>'Statistics NZ'!N$31*'Economic Forecasts'!P$9*1000000/SUM('Statistics NZ'!N$30:N$110,'Statistics NZ'!N$130:N$210)</f>
        <v>29785.339922208117</v>
      </c>
      <c r="O31" s="27">
        <f>'Statistics NZ'!O$31*'Economic Forecasts'!Q$9*1000000/SUM('Statistics NZ'!O$30:O$110,'Statistics NZ'!O$130:O$210)</f>
        <v>29590.938807238192</v>
      </c>
      <c r="P31" s="27">
        <f>'Statistics NZ'!P$31*'Economic Forecasts'!R$9*1000000/SUM('Statistics NZ'!P$30:P$110,'Statistics NZ'!P$130:P$210)</f>
        <v>30315.721165440184</v>
      </c>
      <c r="Q31" s="27">
        <f>'Statistics NZ'!Q$31*'Economic Forecasts'!S$9*1000000/SUM('Statistics NZ'!Q$30:Q$110,'Statistics NZ'!Q$130:Q$210)</f>
        <v>30458.731084209732</v>
      </c>
      <c r="R31" s="27">
        <f>'Statistics NZ'!R$31*'Economic Forecasts'!T$9*1000000/SUM('Statistics NZ'!R$30:R$110,'Statistics NZ'!R$130:R$210)</f>
        <v>30976.377826559954</v>
      </c>
      <c r="S31" s="27">
        <f>'Statistics NZ'!S$31*'Economic Forecasts'!U$9*1000000/SUM('Statistics NZ'!S$30:S$110,'Statistics NZ'!S$130:S$210)</f>
        <v>32689.008401613184</v>
      </c>
      <c r="T31" s="27">
        <f>'Statistics NZ'!T$31*'Economic Forecasts'!V$9*1000000/SUM('Statistics NZ'!T$30:T$110,'Statistics NZ'!T$130:T$210)</f>
        <v>34451.65571205008</v>
      </c>
      <c r="U31" s="28">
        <f>SUM('Statistics NZ'!U$31,$E$12/5*(U$8-U$9)*1000)*'Economic Forecasts'!W$9*1000000/SUM('Statistics NZ'!U$30:U$110,'Statistics NZ'!U$130:U$210,SUM($E$12:$T$13)*(U$8-U$9)*1000)</f>
        <v>33718.757270546659</v>
      </c>
      <c r="V31" s="28">
        <f>SUM('Statistics NZ'!V$31,$E$12/5*(V$8-V$9)*1000)*'Economic Forecasts'!X$9*1000000/SUM('Statistics NZ'!V$30:V$110,'Statistics NZ'!V$130:V$210,SUM($E$12:$T$13)*(V$8-V$9)*1000)</f>
        <v>34600.194335537999</v>
      </c>
      <c r="W31" s="28">
        <f>SUM('Statistics NZ'!W$31,$E$12/5*(W$8-W$9)*1000)*'Economic Forecasts'!Y$9*1000000/SUM('Statistics NZ'!W$30:W$110,'Statistics NZ'!W$130:W$210,SUM($E$12:$T$13)*(W$8-W$9)*1000)</f>
        <v>34651.094997697408</v>
      </c>
      <c r="X31" s="28">
        <f>SUM('Statistics NZ'!X$31,$E$12/5*(X$8-X$9)*1000)*'Economic Forecasts'!Z$9*1000000/SUM('Statistics NZ'!X$30:X$110,'Statistics NZ'!X$130:X$210,SUM($E$12:$T$13)*(X$8-X$9)*1000)</f>
        <v>34740.593572650432</v>
      </c>
      <c r="Y31" s="28">
        <f>SUM('Statistics NZ'!Y$31,$E$12/5*(Y$8-Y$9)*1000)*'Economic Forecasts'!AA$9*1000000/SUM('Statistics NZ'!Y$30:Y$110,'Statistics NZ'!Y$130:Y$210,SUM($E$12:$T$13)*(Y$8-Y$9)*1000)</f>
        <v>34764.415691057722</v>
      </c>
      <c r="Z31" s="28">
        <f>SUM('Statistics NZ'!Z$31,$E$12/5*(Z$8-Z$9)*1000)*'Economic Forecasts'!AB$9*1000000/SUM('Statistics NZ'!Z$30:Z$110,'Statistics NZ'!Z$130:Z$210,SUM($E$12:$T$13)*(Z$8-Z$9)*1000)</f>
        <v>33955.424632459457</v>
      </c>
      <c r="AA31" s="28">
        <f>SUM('Statistics NZ'!AA$31,$E$12/5*(AA$8-AA$9)*1000)*'Economic Forecasts'!AC$9*1000000/SUM('Statistics NZ'!AA$30:AA$110,'Statistics NZ'!AA$130:AA$210,SUM($E$12:$T$13)*(AA$8-AA$9)*1000)</f>
        <v>34074.440965994007</v>
      </c>
      <c r="AB31" s="18">
        <f>SUM(AA$31,'Statistics NZ'!AB$31-'Statistics NZ'!AA$31,$E$12/5*(AB$8-AB$9)*1000)</f>
        <v>33684.388839395113</v>
      </c>
      <c r="AC31" s="18">
        <f>SUM(AB$31,'Statistics NZ'!AC$31-'Statistics NZ'!AB$31,$E$12/5*(AC$8-AC$9)*1000)</f>
        <v>34207.687421662515</v>
      </c>
      <c r="AD31" s="18">
        <f>SUM(AC$31,'Statistics NZ'!AD$31-'Statistics NZ'!AC$31,$E$12/5*(AD$8-AD$9)*1000)</f>
        <v>33633.22849760727</v>
      </c>
      <c r="AE31" s="18">
        <f>SUM(AD$31,'Statistics NZ'!AE$31-'Statistics NZ'!AD$31,$E$12/5*(AE$8-AE$9)*1000)</f>
        <v>33703.22849760727</v>
      </c>
      <c r="AF31" s="18">
        <f>SUM(AE$31,'Statistics NZ'!AF$31-'Statistics NZ'!AE$31,$E$12/5*(AF$8-AF$9)*1000)</f>
        <v>33413.22849760727</v>
      </c>
      <c r="AG31" s="18">
        <f>SUM(AF$31,'Statistics NZ'!AG$31-'Statistics NZ'!AF$31,$E$12/5*(AG$8-AG$9)*1000)</f>
        <v>33593.22849760727</v>
      </c>
      <c r="AH31" s="18">
        <f>SUM(AG$31,'Statistics NZ'!AH$31-'Statistics NZ'!AG$31,$E$12/5*(AH$8-AH$9)*1000)</f>
        <v>33933.22849760727</v>
      </c>
      <c r="AI31" s="18">
        <f>SUM(AH$31,'Statistics NZ'!AI$31-'Statistics NZ'!AH$31,$E$12/5*(AI$8-AI$9)*1000)</f>
        <v>31373.22849760727</v>
      </c>
      <c r="AJ31" s="18">
        <f>SUM(AI$31,'Statistics NZ'!AJ$31-'Statistics NZ'!AI$31,$E$12/5*(AJ$8-AJ$9)*1000)</f>
        <v>31553.22849760727</v>
      </c>
      <c r="AK31" s="18">
        <f>SUM(AJ$31,'Statistics NZ'!AK$31-'Statistics NZ'!AJ$31,$E$12/5*(AK$8-AK$9)*1000)</f>
        <v>32113.22849760727</v>
      </c>
    </row>
    <row r="32" spans="1:37" x14ac:dyDescent="0.25">
      <c r="A32" s="12">
        <v>17</v>
      </c>
      <c r="B32" s="27">
        <f>'Statistics NZ'!B$32*'Economic Forecasts'!D$9*1000000/SUM('Statistics NZ'!B$30:B$110,'Statistics NZ'!B$130:B$210)</f>
        <v>30212.809435977084</v>
      </c>
      <c r="C32" s="27">
        <f>'Statistics NZ'!C$32*'Economic Forecasts'!E$9*1000000/SUM('Statistics NZ'!C$30:C$110,'Statistics NZ'!C$130:C$210)</f>
        <v>31502.811052164099</v>
      </c>
      <c r="D32" s="27">
        <f>'Statistics NZ'!D$32*'Economic Forecasts'!F$9*1000000/SUM('Statistics NZ'!D$30:D$110,'Statistics NZ'!D$130:D$210)</f>
        <v>31756.86574085083</v>
      </c>
      <c r="E32" s="27">
        <f>'Statistics NZ'!E$32*'Economic Forecasts'!G$9*1000000/SUM('Statistics NZ'!E$30:E$110,'Statistics NZ'!E$130:E$210)</f>
        <v>30823.472999670728</v>
      </c>
      <c r="F32" s="27">
        <f>'Statistics NZ'!F$32*'Economic Forecasts'!H$9*1000000/SUM('Statistics NZ'!F$30:F$110,'Statistics NZ'!F$130:F$210)</f>
        <v>30819.348091944539</v>
      </c>
      <c r="G32" s="27">
        <f>'Statistics NZ'!G$32*'Economic Forecasts'!I$9*1000000/SUM('Statistics NZ'!G$30:G$110,'Statistics NZ'!G$130:G$210)</f>
        <v>30282.681976011008</v>
      </c>
      <c r="H32" s="27">
        <f>'Statistics NZ'!H$32*'Economic Forecasts'!J$9*1000000/SUM('Statistics NZ'!H$30:H$110,'Statistics NZ'!H$130:H$210)</f>
        <v>30349.848635143517</v>
      </c>
      <c r="I32" s="27">
        <f>'Statistics NZ'!I$32*'Economic Forecasts'!K$9*1000000/SUM('Statistics NZ'!I$30:I$110,'Statistics NZ'!I$130:I$210)</f>
        <v>29842.022352977809</v>
      </c>
      <c r="J32" s="27">
        <f>'Statistics NZ'!J$32*'Economic Forecasts'!L$9*1000000/SUM('Statistics NZ'!J$30:J$110,'Statistics NZ'!J$130:J$210)</f>
        <v>29918.774724390667</v>
      </c>
      <c r="K32" s="27">
        <f>'Statistics NZ'!K$32*'Economic Forecasts'!M$9*1000000/SUM('Statistics NZ'!K$30:K$110,'Statistics NZ'!K$130:K$210)</f>
        <v>29870.720942700409</v>
      </c>
      <c r="L32" s="27">
        <f>'Statistics NZ'!L$32*'Economic Forecasts'!N$9*1000000/SUM('Statistics NZ'!L$30:L$110,'Statistics NZ'!L$130:L$210)</f>
        <v>29540.889983137658</v>
      </c>
      <c r="M32" s="27">
        <f>'Statistics NZ'!M$32*'Economic Forecasts'!O$9*1000000/SUM('Statistics NZ'!M$30:M$110,'Statistics NZ'!M$130:M$210)</f>
        <v>30735.079306528951</v>
      </c>
      <c r="N32" s="27">
        <f>'Statistics NZ'!N$32*'Economic Forecasts'!P$9*1000000/SUM('Statistics NZ'!N$30:N$110,'Statistics NZ'!N$130:N$210)</f>
        <v>30851.897757793096</v>
      </c>
      <c r="O32" s="27">
        <f>'Statistics NZ'!O$32*'Economic Forecasts'!Q$9*1000000/SUM('Statistics NZ'!O$30:O$110,'Statistics NZ'!O$130:O$210)</f>
        <v>30268.593894426853</v>
      </c>
      <c r="P32" s="27">
        <f>'Statistics NZ'!P$32*'Economic Forecasts'!R$9*1000000/SUM('Statistics NZ'!P$30:P$110,'Statistics NZ'!P$130:P$210)</f>
        <v>29875.085683384365</v>
      </c>
      <c r="Q32" s="27">
        <f>'Statistics NZ'!Q$32*'Economic Forecasts'!S$9*1000000/SUM('Statistics NZ'!Q$30:Q$110,'Statistics NZ'!Q$130:Q$210)</f>
        <v>30646.443017586309</v>
      </c>
      <c r="R32" s="27">
        <f>'Statistics NZ'!R$32*'Economic Forecasts'!T$9*1000000/SUM('Statistics NZ'!R$30:R$110,'Statistics NZ'!R$130:R$210)</f>
        <v>30640.3226746445</v>
      </c>
      <c r="S32" s="27">
        <f>'Statistics NZ'!S$32*'Economic Forecasts'!U$9*1000000/SUM('Statistics NZ'!S$30:S$110,'Statistics NZ'!S$130:S$210)</f>
        <v>31238.543168784014</v>
      </c>
      <c r="T32" s="27">
        <f>'Statistics NZ'!T$32*'Economic Forecasts'!V$9*1000000/SUM('Statistics NZ'!T$30:T$110,'Statistics NZ'!T$130:T$210)</f>
        <v>33695.232133541991</v>
      </c>
      <c r="U32" s="28">
        <f>SUM('Statistics NZ'!U$32,$E$12/5*(U$8-U$9)*1000)*'Economic Forecasts'!W$9*1000000/SUM('Statistics NZ'!U$30:U$110,'Statistics NZ'!U$130:U$210,SUM($E$12:$T$13)*(U$8-U$9)*1000)</f>
        <v>34604.384293802301</v>
      </c>
      <c r="V32" s="28">
        <f>SUM('Statistics NZ'!V$32,$E$12/5*(V$8-V$9)*1000)*'Economic Forecasts'!X$9*1000000/SUM('Statistics NZ'!V$30:V$110,'Statistics NZ'!V$130:V$210,SUM($E$12:$T$13)*(V$8-V$9)*1000)</f>
        <v>33923.347527042417</v>
      </c>
      <c r="W32" s="28">
        <f>SUM('Statistics NZ'!W$32,$E$12/5*(W$8-W$9)*1000)*'Economic Forecasts'!Y$9*1000000/SUM('Statistics NZ'!W$30:W$110,'Statistics NZ'!W$130:W$210,SUM($E$12:$T$13)*(W$8-W$9)*1000)</f>
        <v>34934.772779393454</v>
      </c>
      <c r="X32" s="28">
        <f>SUM('Statistics NZ'!X$32,$E$12/5*(X$8-X$9)*1000)*'Economic Forecasts'!Z$9*1000000/SUM('Statistics NZ'!X$30:X$110,'Statistics NZ'!X$130:X$210,SUM($E$12:$T$13)*(X$8-X$9)*1000)</f>
        <v>34955.531300130657</v>
      </c>
      <c r="Y32" s="28">
        <f>SUM('Statistics NZ'!Y$32,$E$12/5*(Y$8-Y$9)*1000)*'Economic Forecasts'!AA$9*1000000/SUM('Statistics NZ'!Y$30:Y$110,'Statistics NZ'!Y$130:Y$210,SUM($E$12:$T$13)*(Y$8-Y$9)*1000)</f>
        <v>35067.253771005642</v>
      </c>
      <c r="Z32" s="28">
        <f>SUM('Statistics NZ'!Z$32,$E$12/5*(Z$8-Z$9)*1000)*'Economic Forecasts'!AB$9*1000000/SUM('Statistics NZ'!Z$30:Z$110,'Statistics NZ'!Z$130:Z$210,SUM($E$12:$T$13)*(Z$8-Z$9)*1000)</f>
        <v>35098.638136953137</v>
      </c>
      <c r="AA32" s="28">
        <f>SUM('Statistics NZ'!AA$32,$E$12/5*(AA$8-AA$9)*1000)*'Economic Forecasts'!AC$9*1000000/SUM('Statistics NZ'!AA$30:AA$110,'Statistics NZ'!AA$130:AA$210,SUM($E$12:$T$13)*(AA$8-AA$9)*1000)</f>
        <v>34309.048084929476</v>
      </c>
      <c r="AB32" s="18">
        <f>SUM(AA$32,'Statistics NZ'!AB$32-'Statistics NZ'!AA$32,$E$12/5*(AB$8-AB$9)*1000)</f>
        <v>34428.995958330583</v>
      </c>
      <c r="AC32" s="18">
        <f>SUM(AB$32,'Statistics NZ'!AC$32-'Statistics NZ'!AB$32,$E$12/5*(AC$8-AC$9)*1000)</f>
        <v>34042.294540597984</v>
      </c>
      <c r="AD32" s="18">
        <f>SUM(AC$32,'Statistics NZ'!AD$32-'Statistics NZ'!AC$32,$E$12/5*(AD$8-AD$9)*1000)</f>
        <v>34557.835616542739</v>
      </c>
      <c r="AE32" s="18">
        <f>SUM(AD$32,'Statistics NZ'!AE$32-'Statistics NZ'!AD$32,$E$12/5*(AE$8-AE$9)*1000)</f>
        <v>33977.835616542739</v>
      </c>
      <c r="AF32" s="18">
        <f>SUM(AE$32,'Statistics NZ'!AF$32-'Statistics NZ'!AE$32,$E$12/5*(AF$8-AF$9)*1000)</f>
        <v>34047.835616542739</v>
      </c>
      <c r="AG32" s="18">
        <f>SUM(AF$32,'Statistics NZ'!AG$32-'Statistics NZ'!AF$32,$E$12/5*(AG$8-AG$9)*1000)</f>
        <v>33757.835616542739</v>
      </c>
      <c r="AH32" s="18">
        <f>SUM(AG$32,'Statistics NZ'!AH$32-'Statistics NZ'!AG$32,$E$12/5*(AH$8-AH$9)*1000)</f>
        <v>33937.835616542739</v>
      </c>
      <c r="AI32" s="18">
        <f>SUM(AH$32,'Statistics NZ'!AI$32-'Statistics NZ'!AH$32,$E$12/5*(AI$8-AI$9)*1000)</f>
        <v>34277.835616542739</v>
      </c>
      <c r="AJ32" s="18">
        <f>SUM(AI$32,'Statistics NZ'!AJ$32-'Statistics NZ'!AI$32,$E$12/5*(AJ$8-AJ$9)*1000)</f>
        <v>31717.835616542739</v>
      </c>
      <c r="AK32" s="18">
        <f>SUM(AJ$32,'Statistics NZ'!AK$32-'Statistics NZ'!AJ$32,$E$12/5*(AK$8-AK$9)*1000)</f>
        <v>31907.835616542739</v>
      </c>
    </row>
    <row r="33" spans="1:37" x14ac:dyDescent="0.25">
      <c r="A33" s="12">
        <v>18</v>
      </c>
      <c r="B33" s="27">
        <f>'Statistics NZ'!B$33*'Economic Forecasts'!D$9*1000000/SUM('Statistics NZ'!B$30:B$110,'Statistics NZ'!B$130:B$210)</f>
        <v>29527.93357441025</v>
      </c>
      <c r="C33" s="27">
        <f>'Statistics NZ'!C$33*'Economic Forecasts'!E$9*1000000/SUM('Statistics NZ'!C$30:C$110,'Statistics NZ'!C$130:C$210)</f>
        <v>30019.979235182564</v>
      </c>
      <c r="D33" s="27">
        <f>'Statistics NZ'!D$33*'Economic Forecasts'!F$9*1000000/SUM('Statistics NZ'!D$30:D$110,'Statistics NZ'!D$130:D$210)</f>
        <v>31177.325042208638</v>
      </c>
      <c r="E33" s="27">
        <f>'Statistics NZ'!E$33*'Economic Forecasts'!G$9*1000000/SUM('Statistics NZ'!E$30:E$110,'Statistics NZ'!E$130:E$210)</f>
        <v>31558.999717766597</v>
      </c>
      <c r="F33" s="27">
        <f>'Statistics NZ'!F$33*'Economic Forecasts'!H$9*1000000/SUM('Statistics NZ'!F$30:F$110,'Statistics NZ'!F$130:F$210)</f>
        <v>30789.921597903856</v>
      </c>
      <c r="G33" s="27">
        <f>'Statistics NZ'!G$33*'Economic Forecasts'!I$9*1000000/SUM('Statistics NZ'!G$30:G$110,'Statistics NZ'!G$130:G$210)</f>
        <v>30695.225810909636</v>
      </c>
      <c r="H33" s="27">
        <f>'Statistics NZ'!H$33*'Economic Forecasts'!J$9*1000000/SUM('Statistics NZ'!H$30:H$110,'Statistics NZ'!H$130:H$210)</f>
        <v>30055.094520849474</v>
      </c>
      <c r="I33" s="27">
        <f>'Statistics NZ'!I$33*'Economic Forecasts'!K$9*1000000/SUM('Statistics NZ'!I$30:I$110,'Statistics NZ'!I$130:I$210)</f>
        <v>30165.539678092216</v>
      </c>
      <c r="J33" s="27">
        <f>'Statistics NZ'!J$33*'Economic Forecasts'!L$9*1000000/SUM('Statistics NZ'!J$30:J$110,'Statistics NZ'!J$130:J$210)</f>
        <v>29879.76719541493</v>
      </c>
      <c r="K33" s="27">
        <f>'Statistics NZ'!K$33*'Economic Forecasts'!M$9*1000000/SUM('Statistics NZ'!K$30:K$110,'Statistics NZ'!K$130:K$210)</f>
        <v>30133.598864947122</v>
      </c>
      <c r="L33" s="27">
        <f>'Statistics NZ'!L$33*'Economic Forecasts'!N$9*1000000/SUM('Statistics NZ'!L$30:L$110,'Statistics NZ'!L$130:L$210)</f>
        <v>30144.560114632233</v>
      </c>
      <c r="M33" s="27">
        <f>'Statistics NZ'!M$33*'Economic Forecasts'!O$9*1000000/SUM('Statistics NZ'!M$30:M$110,'Statistics NZ'!M$130:M$210)</f>
        <v>30002.361268388562</v>
      </c>
      <c r="N33" s="27">
        <f>'Statistics NZ'!N$33*'Economic Forecasts'!P$9*1000000/SUM('Statistics NZ'!N$30:N$110,'Statistics NZ'!N$130:N$210)</f>
        <v>30979.101903321582</v>
      </c>
      <c r="O33" s="27">
        <f>'Statistics NZ'!O$33*'Economic Forecasts'!Q$9*1000000/SUM('Statistics NZ'!O$30:O$110,'Statistics NZ'!O$130:O$210)</f>
        <v>31132.849657797899</v>
      </c>
      <c r="P33" s="27">
        <f>'Statistics NZ'!P$33*'Economic Forecasts'!R$9*1000000/SUM('Statistics NZ'!P$30:P$110,'Statistics NZ'!P$130:P$210)</f>
        <v>30423.432061053827</v>
      </c>
      <c r="Q33" s="27">
        <f>'Statistics NZ'!Q$33*'Economic Forecasts'!S$9*1000000/SUM('Statistics NZ'!Q$30:Q$110,'Statistics NZ'!Q$130:Q$210)</f>
        <v>29974.631887606985</v>
      </c>
      <c r="R33" s="27">
        <f>'Statistics NZ'!R$33*'Economic Forecasts'!T$9*1000000/SUM('Statistics NZ'!R$30:R$110,'Statistics NZ'!R$130:R$210)</f>
        <v>30541.48292408113</v>
      </c>
      <c r="S33" s="27">
        <f>'Statistics NZ'!S$33*'Economic Forecasts'!U$9*1000000/SUM('Statistics NZ'!S$30:S$110,'Statistics NZ'!S$130:S$210)</f>
        <v>30547.381883341917</v>
      </c>
      <c r="T33" s="27">
        <f>'Statistics NZ'!T$33*'Economic Forecasts'!V$9*1000000/SUM('Statistics NZ'!T$30:T$110,'Statistics NZ'!T$130:T$210)</f>
        <v>31828.732394366198</v>
      </c>
      <c r="U33" s="28">
        <f>SUM('Statistics NZ'!U$33,$E$12/5*(U$8-U$9)*1000)*'Economic Forecasts'!W$9*1000000/SUM('Statistics NZ'!U$30:U$110,'Statistics NZ'!U$130:U$210,SUM($E$12:$T$13)*(U$8-U$9)*1000)</f>
        <v>33748.27817132185</v>
      </c>
      <c r="V33" s="28">
        <f>SUM('Statistics NZ'!V$33,$E$12/5*(V$8-V$9)*1000)*'Economic Forecasts'!X$9*1000000/SUM('Statistics NZ'!V$30:V$110,'Statistics NZ'!V$130:V$210,SUM($E$12:$T$13)*(V$8-V$9)*1000)</f>
        <v>34717.906823972007</v>
      </c>
      <c r="W33" s="28">
        <f>SUM('Statistics NZ'!W$33,$E$12/5*(W$8-W$9)*1000)*'Economic Forecasts'!Y$9*1000000/SUM('Statistics NZ'!W$30:W$110,'Statistics NZ'!W$130:W$210,SUM($E$12:$T$13)*(W$8-W$9)*1000)</f>
        <v>34161.995374083534</v>
      </c>
      <c r="X33" s="28">
        <f>SUM('Statistics NZ'!X$33,$E$12/5*(X$8-X$9)*1000)*'Economic Forecasts'!Z$9*1000000/SUM('Statistics NZ'!X$30:X$110,'Statistics NZ'!X$130:X$210,SUM($E$12:$T$13)*(X$8-X$9)*1000)</f>
        <v>35141.159337499936</v>
      </c>
      <c r="Y33" s="28">
        <f>SUM('Statistics NZ'!Y$33,$E$12/5*(Y$8-Y$9)*1000)*'Economic Forecasts'!AA$9*1000000/SUM('Statistics NZ'!Y$30:Y$110,'Statistics NZ'!Y$130:Y$210,SUM($E$12:$T$13)*(Y$8-Y$9)*1000)</f>
        <v>35184.481414856447</v>
      </c>
      <c r="Z33" s="28">
        <f>SUM('Statistics NZ'!Z$33,$E$12/5*(Z$8-Z$9)*1000)*'Economic Forecasts'!AB$9*1000000/SUM('Statistics NZ'!Z$30:Z$110,'Statistics NZ'!Z$130:Z$210,SUM($E$12:$T$13)*(Z$8-Z$9)*1000)</f>
        <v>35303.830304426367</v>
      </c>
      <c r="AA33" s="28">
        <f>SUM('Statistics NZ'!AA$33,$E$12/5*(AA$8-AA$9)*1000)*'Economic Forecasts'!AC$9*1000000/SUM('Statistics NZ'!AA$30:AA$110,'Statistics NZ'!AA$130:AA$210,SUM($E$12:$T$13)*(AA$8-AA$9)*1000)</f>
        <v>35345.229526894487</v>
      </c>
      <c r="AB33" s="18">
        <f>SUM(AA$33,'Statistics NZ'!AB$33-'Statistics NZ'!AA$33,$E$12/5*(AB$8-AB$9)*1000)</f>
        <v>34545.177400295594</v>
      </c>
      <c r="AC33" s="18">
        <f>SUM(AB$33,'Statistics NZ'!AC$33-'Statistics NZ'!AB$33,$E$12/5*(AC$8-AC$9)*1000)</f>
        <v>34668.475982562995</v>
      </c>
      <c r="AD33" s="18">
        <f>SUM(AC$33,'Statistics NZ'!AD$33-'Statistics NZ'!AC$33,$E$12/5*(AD$8-AD$9)*1000)</f>
        <v>34264.01705850775</v>
      </c>
      <c r="AE33" s="18">
        <f>SUM(AD$33,'Statistics NZ'!AE$33-'Statistics NZ'!AD$33,$E$12/5*(AE$8-AE$9)*1000)</f>
        <v>34784.01705850775</v>
      </c>
      <c r="AF33" s="18">
        <f>SUM(AE$33,'Statistics NZ'!AF$33-'Statistics NZ'!AE$33,$E$12/5*(AF$8-AF$9)*1000)</f>
        <v>34204.01705850775</v>
      </c>
      <c r="AG33" s="18">
        <f>SUM(AF$33,'Statistics NZ'!AG$33-'Statistics NZ'!AF$33,$E$12/5*(AG$8-AG$9)*1000)</f>
        <v>34274.01705850775</v>
      </c>
      <c r="AH33" s="18">
        <f>SUM(AG$33,'Statistics NZ'!AH$33-'Statistics NZ'!AG$33,$E$12/5*(AH$8-AH$9)*1000)</f>
        <v>33984.01705850775</v>
      </c>
      <c r="AI33" s="18">
        <f>SUM(AH$33,'Statistics NZ'!AI$33-'Statistics NZ'!AH$33,$E$12/5*(AI$8-AI$9)*1000)</f>
        <v>34174.01705850775</v>
      </c>
      <c r="AJ33" s="18">
        <f>SUM(AI$33,'Statistics NZ'!AJ$33-'Statistics NZ'!AI$33,$E$12/5*(AJ$8-AJ$9)*1000)</f>
        <v>34514.01705850775</v>
      </c>
      <c r="AK33" s="18">
        <f>SUM(AJ$33,'Statistics NZ'!AK$33-'Statistics NZ'!AJ$33,$E$12/5*(AK$8-AK$9)*1000)</f>
        <v>31954.01705850775</v>
      </c>
    </row>
    <row r="34" spans="1:37" x14ac:dyDescent="0.25">
      <c r="A34" s="12">
        <v>19</v>
      </c>
      <c r="B34" s="27">
        <f>'Statistics NZ'!B$34*'Economic Forecasts'!D$9*1000000/SUM('Statistics NZ'!B$30:B$110,'Statistics NZ'!B$130:B$210)</f>
        <v>28441.916136782831</v>
      </c>
      <c r="C34" s="27">
        <f>'Statistics NZ'!C$34*'Economic Forecasts'!E$9*1000000/SUM('Statistics NZ'!C$30:C$110,'Statistics NZ'!C$130:C$210)</f>
        <v>29509.33516575845</v>
      </c>
      <c r="D34" s="27">
        <f>'Statistics NZ'!D$34*'Economic Forecasts'!F$9*1000000/SUM('Statistics NZ'!D$30:D$110,'Statistics NZ'!D$130:D$210)</f>
        <v>29900.37096045466</v>
      </c>
      <c r="E34" s="27">
        <f>'Statistics NZ'!E$34*'Economic Forecasts'!G$9*1000000/SUM('Statistics NZ'!E$30:E$110,'Statistics NZ'!E$130:E$210)</f>
        <v>31186.332847264694</v>
      </c>
      <c r="F34" s="27">
        <f>'Statistics NZ'!F$34*'Economic Forecasts'!H$9*1000000/SUM('Statistics NZ'!F$30:F$110,'Statistics NZ'!F$130:F$210)</f>
        <v>31868.89304606232</v>
      </c>
      <c r="G34" s="27">
        <f>'Statistics NZ'!G$34*'Economic Forecasts'!I$9*1000000/SUM('Statistics NZ'!G$30:G$110,'Statistics NZ'!G$130:G$210)</f>
        <v>30911.32020061844</v>
      </c>
      <c r="H34" s="27">
        <f>'Statistics NZ'!H$34*'Economic Forecasts'!J$9*1000000/SUM('Statistics NZ'!H$30:H$110,'Statistics NZ'!H$130:H$210)</f>
        <v>30791.979806584586</v>
      </c>
      <c r="I34" s="27">
        <f>'Statistics NZ'!I$34*'Economic Forecasts'!K$9*1000000/SUM('Statistics NZ'!I$30:I$110,'Statistics NZ'!I$130:I$210)</f>
        <v>30234.164565237694</v>
      </c>
      <c r="J34" s="27">
        <f>'Statistics NZ'!J$34*'Economic Forecasts'!L$9*1000000/SUM('Statistics NZ'!J$30:J$110,'Statistics NZ'!J$130:J$210)</f>
        <v>30406.368836587382</v>
      </c>
      <c r="K34" s="27">
        <f>'Statistics NZ'!K$34*'Economic Forecasts'!M$9*1000000/SUM('Statistics NZ'!K$30:K$110,'Statistics NZ'!K$130:K$210)</f>
        <v>30367.268129166423</v>
      </c>
      <c r="L34" s="27">
        <f>'Statistics NZ'!L$34*'Economic Forecasts'!N$9*1000000/SUM('Statistics NZ'!L$30:L$110,'Statistics NZ'!L$130:L$210)</f>
        <v>30699.547171006277</v>
      </c>
      <c r="M34" s="27">
        <f>'Statistics NZ'!M$34*'Economic Forecasts'!O$9*1000000/SUM('Statistics NZ'!M$30:M$110,'Statistics NZ'!M$130:M$210)</f>
        <v>30666.692289635848</v>
      </c>
      <c r="N34" s="27">
        <f>'Statistics NZ'!N$34*'Economic Forecasts'!P$9*1000000/SUM('Statistics NZ'!N$30:N$110,'Statistics NZ'!N$130:N$210)</f>
        <v>30333.296241407741</v>
      </c>
      <c r="O34" s="27">
        <f>'Statistics NZ'!O$34*'Economic Forecasts'!Q$9*1000000/SUM('Statistics NZ'!O$30:O$110,'Statistics NZ'!O$130:O$210)</f>
        <v>31427.482304401663</v>
      </c>
      <c r="P34" s="27">
        <f>'Statistics NZ'!P$34*'Economic Forecasts'!R$9*1000000/SUM('Statistics NZ'!P$30:P$110,'Statistics NZ'!P$130:P$210)</f>
        <v>31304.703025165465</v>
      </c>
      <c r="Q34" s="27">
        <f>'Statistics NZ'!Q$34*'Economic Forecasts'!S$9*1000000/SUM('Statistics NZ'!Q$30:Q$110,'Statistics NZ'!Q$130:Q$210)</f>
        <v>30429.092357887115</v>
      </c>
      <c r="R34" s="27">
        <f>'Statistics NZ'!R$34*'Economic Forecasts'!T$9*1000000/SUM('Statistics NZ'!R$30:R$110,'Statistics NZ'!R$130:R$210)</f>
        <v>29770.532869686849</v>
      </c>
      <c r="S34" s="27">
        <f>'Statistics NZ'!S$34*'Economic Forecasts'!U$9*1000000/SUM('Statistics NZ'!S$30:S$110,'Statistics NZ'!S$130:S$210)</f>
        <v>30751.809869176908</v>
      </c>
      <c r="T34" s="27">
        <f>'Statistics NZ'!T$34*'Economic Forecasts'!V$9*1000000/SUM('Statistics NZ'!T$30:T$110,'Statistics NZ'!T$130:T$210)</f>
        <v>31367.019300991131</v>
      </c>
      <c r="U34" s="28">
        <f>SUM('Statistics NZ'!U$34,$E$12/5*(U$8-U$9)*1000)*'Economic Forecasts'!W$9*1000000/SUM('Statistics NZ'!U$30:U$110,'Statistics NZ'!U$130:U$210,SUM($E$12:$T$13)*(U$8-U$9)*1000)</f>
        <v>31849.100221451419</v>
      </c>
      <c r="V34" s="28">
        <f>SUM('Statistics NZ'!V$34,$E$12/5*(V$8-V$9)*1000)*'Economic Forecasts'!X$9*1000000/SUM('Statistics NZ'!V$30:V$110,'Statistics NZ'!V$130:V$210,SUM($E$12:$T$13)*(V$8-V$9)*1000)</f>
        <v>33825.25378668074</v>
      </c>
      <c r="W34" s="28">
        <f>SUM('Statistics NZ'!W$34,$E$12/5*(W$8-W$9)*1000)*'Economic Forecasts'!Y$9*1000000/SUM('Statistics NZ'!W$30:W$110,'Statistics NZ'!W$130:W$210,SUM($E$12:$T$13)*(W$8-W$9)*1000)</f>
        <v>34915.208794448896</v>
      </c>
      <c r="X34" s="28">
        <f>SUM('Statistics NZ'!X$34,$E$12/5*(X$8-X$9)*1000)*'Economic Forecasts'!Z$9*1000000/SUM('Statistics NZ'!X$30:X$110,'Statistics NZ'!X$130:X$210,SUM($E$12:$T$13)*(X$8-X$9)*1000)</f>
        <v>34330.257911097295</v>
      </c>
      <c r="Y34" s="28">
        <f>SUM('Statistics NZ'!Y$34,$E$12/5*(Y$8-Y$9)*1000)*'Economic Forecasts'!AA$9*1000000/SUM('Statistics NZ'!Y$30:Y$110,'Statistics NZ'!Y$130:Y$210,SUM($E$12:$T$13)*(Y$8-Y$9)*1000)</f>
        <v>35331.015969669941</v>
      </c>
      <c r="Z34" s="28">
        <f>SUM('Statistics NZ'!Z$34,$E$12/5*(Z$8-Z$9)*1000)*'Economic Forecasts'!AB$9*1000000/SUM('Statistics NZ'!Z$30:Z$110,'Statistics NZ'!Z$130:Z$210,SUM($E$12:$T$13)*(Z$8-Z$9)*1000)</f>
        <v>35381.99874917807</v>
      </c>
      <c r="AA34" s="28">
        <f>SUM('Statistics NZ'!AA$34,$E$12/5*(AA$8-AA$9)*1000)*'Economic Forecasts'!AC$9*1000000/SUM('Statistics NZ'!AA$30:AA$110,'Statistics NZ'!AA$130:AA$210,SUM($E$12:$T$13)*(AA$8-AA$9)*1000)</f>
        <v>35511.409569473784</v>
      </c>
      <c r="AB34" s="18">
        <f>SUM(AA$34,'Statistics NZ'!AB$34-'Statistics NZ'!AA$34,$E$12/5*(AB$8-AB$9)*1000)</f>
        <v>35561.357442874891</v>
      </c>
      <c r="AC34" s="18">
        <f>SUM(AB$34,'Statistics NZ'!AC$34-'Statistics NZ'!AB$34,$E$12/5*(AC$8-AC$9)*1000)</f>
        <v>34754.656025142292</v>
      </c>
      <c r="AD34" s="18">
        <f>SUM(AC$34,'Statistics NZ'!AD$34-'Statistics NZ'!AC$34,$E$12/5*(AD$8-AD$9)*1000)</f>
        <v>34870.197101087047</v>
      </c>
      <c r="AE34" s="18">
        <f>SUM(AD$34,'Statistics NZ'!AE$34-'Statistics NZ'!AD$34,$E$12/5*(AE$8-AE$9)*1000)</f>
        <v>34470.197101087047</v>
      </c>
      <c r="AF34" s="18">
        <f>SUM(AE$34,'Statistics NZ'!AF$34-'Statistics NZ'!AE$34,$E$12/5*(AF$8-AF$9)*1000)</f>
        <v>34990.197101087047</v>
      </c>
      <c r="AG34" s="18">
        <f>SUM(AF$34,'Statistics NZ'!AG$34-'Statistics NZ'!AF$34,$E$12/5*(AG$8-AG$9)*1000)</f>
        <v>34410.197101087047</v>
      </c>
      <c r="AH34" s="18">
        <f>SUM(AG$34,'Statistics NZ'!AH$34-'Statistics NZ'!AG$34,$E$12/5*(AH$8-AH$9)*1000)</f>
        <v>34480.197101087047</v>
      </c>
      <c r="AI34" s="18">
        <f>SUM(AH$34,'Statistics NZ'!AI$34-'Statistics NZ'!AH$34,$E$12/5*(AI$8-AI$9)*1000)</f>
        <v>34190.197101087047</v>
      </c>
      <c r="AJ34" s="18">
        <f>SUM(AI$34,'Statistics NZ'!AJ$34-'Statistics NZ'!AI$34,$E$12/5*(AJ$8-AJ$9)*1000)</f>
        <v>34380.197101087047</v>
      </c>
      <c r="AK34" s="18">
        <f>SUM(AJ$34,'Statistics NZ'!AK$34-'Statistics NZ'!AJ$34,$E$12/5*(AK$8-AK$9)*1000)</f>
        <v>34720.197101087047</v>
      </c>
    </row>
    <row r="35" spans="1:37" x14ac:dyDescent="0.25">
      <c r="A35" s="12">
        <v>20</v>
      </c>
      <c r="B35" s="27">
        <f>'Statistics NZ'!B$35*'Economic Forecasts'!D$9*1000000/SUM('Statistics NZ'!B$30:B$110,'Statistics NZ'!B$130:B$210)</f>
        <v>29077.872293952045</v>
      </c>
      <c r="C35" s="27">
        <f>'Statistics NZ'!C$35*'Economic Forecasts'!E$9*1000000/SUM('Statistics NZ'!C$30:C$110,'Statistics NZ'!C$130:C$210)</f>
        <v>28507.687183426555</v>
      </c>
      <c r="D35" s="27">
        <f>'Statistics NZ'!D$35*'Economic Forecasts'!F$9*1000000/SUM('Statistics NZ'!D$30:D$110,'Statistics NZ'!D$130:D$210)</f>
        <v>29536.930183340068</v>
      </c>
      <c r="E35" s="27">
        <f>'Statistics NZ'!E$35*'Economic Forecasts'!G$9*1000000/SUM('Statistics NZ'!E$30:E$110,'Statistics NZ'!E$130:E$210)</f>
        <v>29960.454983771582</v>
      </c>
      <c r="F35" s="27">
        <f>'Statistics NZ'!F$35*'Economic Forecasts'!H$9*1000000/SUM('Statistics NZ'!F$30:F$110,'Statistics NZ'!F$130:F$210)</f>
        <v>31584.436937002363</v>
      </c>
      <c r="G35" s="27">
        <f>'Statistics NZ'!G$35*'Economic Forecasts'!I$9*1000000/SUM('Statistics NZ'!G$30:G$110,'Statistics NZ'!G$130:G$210)</f>
        <v>32198.064066611765</v>
      </c>
      <c r="H35" s="27">
        <f>'Statistics NZ'!H$35*'Economic Forecasts'!J$9*1000000/SUM('Statistics NZ'!H$30:H$110,'Statistics NZ'!H$130:H$210)</f>
        <v>31027.783098019816</v>
      </c>
      <c r="I35" s="27">
        <f>'Statistics NZ'!I$35*'Economic Forecasts'!K$9*1000000/SUM('Statistics NZ'!I$30:I$110,'Statistics NZ'!I$130:I$210)</f>
        <v>30969.431213224998</v>
      </c>
      <c r="J35" s="27">
        <f>'Statistics NZ'!J$35*'Economic Forecasts'!L$9*1000000/SUM('Statistics NZ'!J$30:J$110,'Statistics NZ'!J$130:J$210)</f>
        <v>30455.128247807053</v>
      </c>
      <c r="K35" s="27">
        <f>'Statistics NZ'!K$35*'Economic Forecasts'!M$9*1000000/SUM('Statistics NZ'!K$30:K$110,'Statistics NZ'!K$130:K$210)</f>
        <v>30815.134218920077</v>
      </c>
      <c r="L35" s="27">
        <f>'Statistics NZ'!L$35*'Economic Forecasts'!N$9*1000000/SUM('Statistics NZ'!L$30:L$110,'Statistics NZ'!L$130:L$210)</f>
        <v>30962.435776657137</v>
      </c>
      <c r="M35" s="27">
        <f>'Statistics NZ'!M$35*'Economic Forecasts'!O$9*1000000/SUM('Statistics NZ'!M$30:M$110,'Statistics NZ'!M$130:M$210)</f>
        <v>31086.783964836344</v>
      </c>
      <c r="N35" s="27">
        <f>'Statistics NZ'!N$35*'Economic Forecasts'!P$9*1000000/SUM('Statistics NZ'!N$30:N$110,'Statistics NZ'!N$130:N$210)</f>
        <v>31165.015654478597</v>
      </c>
      <c r="O35" s="27">
        <f>'Statistics NZ'!O$35*'Economic Forecasts'!Q$9*1000000/SUM('Statistics NZ'!O$30:O$110,'Statistics NZ'!O$130:O$210)</f>
        <v>30592.689805690996</v>
      </c>
      <c r="P35" s="27">
        <f>'Statistics NZ'!P$35*'Economic Forecasts'!R$9*1000000/SUM('Statistics NZ'!P$30:P$110,'Statistics NZ'!P$130:P$210)</f>
        <v>31706.170908816315</v>
      </c>
      <c r="Q35" s="27">
        <f>'Statistics NZ'!Q$35*'Economic Forecasts'!S$9*1000000/SUM('Statistics NZ'!Q$30:Q$110,'Statistics NZ'!Q$130:Q$210)</f>
        <v>31278.735845802144</v>
      </c>
      <c r="R35" s="27">
        <f>'Statistics NZ'!R$35*'Economic Forecasts'!T$9*1000000/SUM('Statistics NZ'!R$30:R$110,'Statistics NZ'!R$130:R$210)</f>
        <v>30165.891871940326</v>
      </c>
      <c r="S35" s="27">
        <f>'Statistics NZ'!S$35*'Economic Forecasts'!U$9*1000000/SUM('Statistics NZ'!S$30:S$110,'Statistics NZ'!S$130:S$210)</f>
        <v>30119.056579687665</v>
      </c>
      <c r="T35" s="27">
        <f>'Statistics NZ'!T$35*'Economic Forecasts'!V$9*1000000/SUM('Statistics NZ'!T$30:T$110,'Statistics NZ'!T$130:T$210)</f>
        <v>31494.727177882105</v>
      </c>
      <c r="U35" s="28">
        <f>SUM('Statistics NZ'!U$35,$F$12/5*(U$8-U$9)*1000)*'Economic Forecasts'!W$9*1000000/SUM('Statistics NZ'!U$30:U$110,'Statistics NZ'!U$130:U$210,SUM($E$12:$T$13)*(U$8-U$9)*1000)</f>
        <v>31529.108686463354</v>
      </c>
      <c r="V35" s="28">
        <f>SUM('Statistics NZ'!V$35,$F$12/5*(V$8-V$9)*1000)*'Economic Forecasts'!X$9*1000000/SUM('Statistics NZ'!V$30:V$110,'Statistics NZ'!V$130:V$210,SUM($E$12:$T$13)*(V$8-V$9)*1000)</f>
        <v>32054.509952495377</v>
      </c>
      <c r="W35" s="28">
        <f>SUM('Statistics NZ'!W$35,$F$12/5*(W$8-W$9)*1000)*'Economic Forecasts'!Y$9*1000000/SUM('Statistics NZ'!W$30:W$110,'Statistics NZ'!W$130:W$210,SUM($E$12:$T$13)*(W$8-W$9)*1000)</f>
        <v>34012.812663226308</v>
      </c>
      <c r="X35" s="28">
        <f>SUM('Statistics NZ'!X$35,$F$12/5*(X$8-X$9)*1000)*'Economic Forecasts'!Z$9*1000000/SUM('Statistics NZ'!X$30:X$110,'Statistics NZ'!X$130:X$210,SUM($E$12:$T$13)*(X$8-X$9)*1000)</f>
        <v>35031.279704835724</v>
      </c>
      <c r="Y35" s="28">
        <f>SUM('Statistics NZ'!Y$35,$F$12/5*(Y$8-Y$9)*1000)*'Economic Forecasts'!AA$9*1000000/SUM('Statistics NZ'!Y$30:Y$110,'Statistics NZ'!Y$130:Y$210,SUM($E$12:$T$13)*(Y$8-Y$9)*1000)</f>
        <v>34470.165697606062</v>
      </c>
      <c r="Z35" s="28">
        <f>SUM('Statistics NZ'!Z$35,$F$12/5*(Z$8-Z$9)*1000)*'Economic Forecasts'!AB$9*1000000/SUM('Statistics NZ'!Z$30:Z$110,'Statistics NZ'!Z$130:Z$210,SUM($E$12:$T$13)*(Z$8-Z$9)*1000)</f>
        <v>35474.857925488184</v>
      </c>
      <c r="AA35" s="28">
        <f>SUM('Statistics NZ'!AA$35,$F$12/5*(AA$8-AA$9)*1000)*'Economic Forecasts'!AC$9*1000000/SUM('Statistics NZ'!AA$30:AA$110,'Statistics NZ'!AA$130:AA$210,SUM($E$12:$T$13)*(AA$8-AA$9)*1000)</f>
        <v>35549.319346554104</v>
      </c>
      <c r="AB35" s="18">
        <f>SUM(AA$35,'Statistics NZ'!AB$35-'Statistics NZ'!AA$35,$F$12/5*(AB$8-AB$9)*1000)</f>
        <v>35666.789686712415</v>
      </c>
      <c r="AC35" s="18">
        <f>SUM(AB$35,'Statistics NZ'!AC$35-'Statistics NZ'!AB$35,$F$12/5*(AC$8-AC$9)*1000)</f>
        <v>35695.103246817955</v>
      </c>
      <c r="AD35" s="18">
        <f>SUM(AC$35,'Statistics NZ'!AD$35-'Statistics NZ'!AC$35,$F$12/5*(AD$8-AD$9)*1000)</f>
        <v>34874.400563528594</v>
      </c>
      <c r="AE35" s="18">
        <f>SUM(AD$35,'Statistics NZ'!AE$35-'Statistics NZ'!AD$35,$F$12/5*(AE$8-AE$9)*1000)</f>
        <v>34984.400563528594</v>
      </c>
      <c r="AF35" s="18">
        <f>SUM(AE$35,'Statistics NZ'!AF$35-'Statistics NZ'!AE$35,$F$12/5*(AF$8-AF$9)*1000)</f>
        <v>34594.400563528594</v>
      </c>
      <c r="AG35" s="18">
        <f>SUM(AF$35,'Statistics NZ'!AG$35-'Statistics NZ'!AF$35,$F$12/5*(AG$8-AG$9)*1000)</f>
        <v>35104.400563528594</v>
      </c>
      <c r="AH35" s="18">
        <f>SUM(AG$35,'Statistics NZ'!AH$35-'Statistics NZ'!AG$35,$F$12/5*(AH$8-AH$9)*1000)</f>
        <v>34534.400563528594</v>
      </c>
      <c r="AI35" s="18">
        <f>SUM(AH$35,'Statistics NZ'!AI$35-'Statistics NZ'!AH$35,$F$12/5*(AI$8-AI$9)*1000)</f>
        <v>34604.400563528594</v>
      </c>
      <c r="AJ35" s="18">
        <f>SUM(AI$35,'Statistics NZ'!AJ$35-'Statistics NZ'!AI$35,$F$12/5*(AJ$8-AJ$9)*1000)</f>
        <v>34324.400563528594</v>
      </c>
      <c r="AK35" s="18">
        <f>SUM(AJ$35,'Statistics NZ'!AK$35-'Statistics NZ'!AJ$35,$F$12/5*(AK$8-AK$9)*1000)</f>
        <v>34514.400563528594</v>
      </c>
    </row>
    <row r="36" spans="1:37" x14ac:dyDescent="0.25">
      <c r="A36" s="12">
        <v>21</v>
      </c>
      <c r="B36" s="27">
        <f>'Statistics NZ'!B$36*'Economic Forecasts'!D$9*1000000/SUM('Statistics NZ'!B$30:B$110,'Statistics NZ'!B$130:B$210)</f>
        <v>29009.384707795361</v>
      </c>
      <c r="C36" s="27">
        <f>'Statistics NZ'!C$36*'Economic Forecasts'!E$9*1000000/SUM('Statistics NZ'!C$30:C$110,'Statistics NZ'!C$130:C$210)</f>
        <v>28831.7497659457</v>
      </c>
      <c r="D36" s="27">
        <f>'Statistics NZ'!D$36*'Economic Forecasts'!F$9*1000000/SUM('Statistics NZ'!D$30:D$110,'Statistics NZ'!D$130:D$210)</f>
        <v>28250.153377880288</v>
      </c>
      <c r="E36" s="27">
        <f>'Statistics NZ'!E$36*'Economic Forecasts'!G$9*1000000/SUM('Statistics NZ'!E$30:E$110,'Statistics NZ'!E$130:E$210)</f>
        <v>29411.261700926665</v>
      </c>
      <c r="F36" s="27">
        <f>'Statistics NZ'!F$36*'Economic Forecasts'!H$9*1000000/SUM('Statistics NZ'!F$30:F$110,'Statistics NZ'!F$130:F$210)</f>
        <v>30054.259246886719</v>
      </c>
      <c r="G36" s="27">
        <f>'Statistics NZ'!G$36*'Economic Forecasts'!I$9*1000000/SUM('Statistics NZ'!G$30:G$110,'Statistics NZ'!G$130:G$210)</f>
        <v>31539.958425225868</v>
      </c>
      <c r="H36" s="27">
        <f>'Statistics NZ'!H$36*'Economic Forecasts'!J$9*1000000/SUM('Statistics NZ'!H$30:H$110,'Statistics NZ'!H$130:H$210)</f>
        <v>31882.570029472554</v>
      </c>
      <c r="I36" s="27">
        <f>'Statistics NZ'!I$36*'Economic Forecasts'!K$9*1000000/SUM('Statistics NZ'!I$30:I$110,'Statistics NZ'!I$130:I$210)</f>
        <v>30812.57432832104</v>
      </c>
      <c r="J36" s="27">
        <f>'Statistics NZ'!J$36*'Economic Forecasts'!L$9*1000000/SUM('Statistics NZ'!J$30:J$110,'Statistics NZ'!J$130:J$210)</f>
        <v>31049.993064687056</v>
      </c>
      <c r="K36" s="27">
        <f>'Statistics NZ'!K$36*'Economic Forecasts'!M$9*1000000/SUM('Statistics NZ'!K$30:K$110,'Statistics NZ'!K$130:K$210)</f>
        <v>30737.244464180309</v>
      </c>
      <c r="L36" s="27">
        <f>'Statistics NZ'!L$36*'Economic Forecasts'!N$9*1000000/SUM('Statistics NZ'!L$30:L$110,'Statistics NZ'!L$130:L$210)</f>
        <v>31410.320067766017</v>
      </c>
      <c r="M36" s="27">
        <f>'Statistics NZ'!M$36*'Economic Forecasts'!O$9*1000000/SUM('Statistics NZ'!M$30:M$110,'Statistics NZ'!M$130:M$210)</f>
        <v>31448.258196985604</v>
      </c>
      <c r="N36" s="27">
        <f>'Statistics NZ'!N$36*'Economic Forecasts'!P$9*1000000/SUM('Statistics NZ'!N$30:N$110,'Statistics NZ'!N$130:N$210)</f>
        <v>31409.639011264142</v>
      </c>
      <c r="O36" s="27">
        <f>'Statistics NZ'!O$36*'Economic Forecasts'!Q$9*1000000/SUM('Statistics NZ'!O$30:O$110,'Statistics NZ'!O$130:O$210)</f>
        <v>31427.482304401663</v>
      </c>
      <c r="P36" s="27">
        <f>'Statistics NZ'!P$36*'Economic Forecasts'!R$9*1000000/SUM('Statistics NZ'!P$30:P$110,'Statistics NZ'!P$130:P$210)</f>
        <v>30873.859442710884</v>
      </c>
      <c r="Q36" s="27">
        <f>'Statistics NZ'!Q$36*'Economic Forecasts'!S$9*1000000/SUM('Statistics NZ'!Q$30:Q$110,'Statistics NZ'!Q$130:Q$210)</f>
        <v>31762.835042404895</v>
      </c>
      <c r="R36" s="27">
        <f>'Statistics NZ'!R$36*'Economic Forecasts'!T$9*1000000/SUM('Statistics NZ'!R$30:R$110,'Statistics NZ'!R$130:R$210)</f>
        <v>31015.9137267853</v>
      </c>
      <c r="S36" s="27">
        <f>'Statistics NZ'!S$36*'Economic Forecasts'!U$9*1000000/SUM('Statistics NZ'!S$30:S$110,'Statistics NZ'!S$130:S$210)</f>
        <v>30294.28056754623</v>
      </c>
      <c r="T36" s="27">
        <f>'Statistics NZ'!T$36*'Economic Forecasts'!V$9*1000000/SUM('Statistics NZ'!T$30:T$110,'Statistics NZ'!T$130:T$210)</f>
        <v>30679.361502347419</v>
      </c>
      <c r="U36" s="28">
        <f>SUM('Statistics NZ'!U$36,$F$12/5*(U$8-U$9)*1000)*'Economic Forecasts'!W$9*1000000/SUM('Statistics NZ'!U$30:U$110,'Statistics NZ'!U$130:U$210,SUM($E$12:$T$13)*(U$8-U$9)*1000)</f>
        <v>31499.587785688171</v>
      </c>
      <c r="V36" s="28">
        <f>SUM('Statistics NZ'!V$36,$F$12/5*(V$8-V$9)*1000)*'Economic Forecasts'!X$9*1000000/SUM('Statistics NZ'!V$30:V$110,'Statistics NZ'!V$130:V$210,SUM($E$12:$T$13)*(V$8-V$9)*1000)</f>
        <v>31407.091266108306</v>
      </c>
      <c r="W36" s="28">
        <f>SUM('Statistics NZ'!W$36,$F$12/5*(W$8-W$9)*1000)*'Economic Forecasts'!Y$9*1000000/SUM('Statistics NZ'!W$30:W$110,'Statistics NZ'!W$130:W$210,SUM($E$12:$T$13)*(W$8-W$9)*1000)</f>
        <v>31939.030259103489</v>
      </c>
      <c r="X36" s="28">
        <f>SUM('Statistics NZ'!X$36,$F$12/5*(X$8-X$9)*1000)*'Economic Forecasts'!Z$9*1000000/SUM('Statistics NZ'!X$30:X$110,'Statistics NZ'!X$130:X$210,SUM($E$12:$T$13)*(X$8-X$9)*1000)</f>
        <v>33976.130860841942</v>
      </c>
      <c r="Y36" s="28">
        <f>SUM('Statistics NZ'!Y$36,$F$12/5*(Y$8-Y$9)*1000)*'Economic Forecasts'!AA$9*1000000/SUM('Statistics NZ'!Y$30:Y$110,'Statistics NZ'!Y$130:Y$210,SUM($E$12:$T$13)*(Y$8-Y$9)*1000)</f>
        <v>35056.303916860088</v>
      </c>
      <c r="Z36" s="28">
        <f>SUM('Statistics NZ'!Z$36,$F$12/5*(Z$8-Z$9)*1000)*'Economic Forecasts'!AB$9*1000000/SUM('Statistics NZ'!Z$30:Z$110,'Statistics NZ'!Z$130:Z$210,SUM($E$12:$T$13)*(Z$8-Z$9)*1000)</f>
        <v>34507.523421685844</v>
      </c>
      <c r="AA36" s="28">
        <f>SUM('Statistics NZ'!AA$36,$F$12/5*(AA$8-AA$9)*1000)*'Economic Forecasts'!AC$9*1000000/SUM('Statistics NZ'!AA$30:AA$110,'Statistics NZ'!AA$130:AA$210,SUM($E$12:$T$13)*(AA$8-AA$9)*1000)</f>
        <v>35529.76875330948</v>
      </c>
      <c r="AB36" s="18">
        <f>SUM(AA$36,'Statistics NZ'!AB$36-'Statistics NZ'!AA$36,$F$12/5*(AB$8-AB$9)*1000)</f>
        <v>35587.23909346779</v>
      </c>
      <c r="AC36" s="18">
        <f>SUM(AB$36,'Statistics NZ'!AC$36-'Statistics NZ'!AB$36,$F$12/5*(AC$8-AC$9)*1000)</f>
        <v>35705.55265357333</v>
      </c>
      <c r="AD36" s="18">
        <f>SUM(AC$36,'Statistics NZ'!AD$36-'Statistics NZ'!AC$36,$F$12/5*(AD$8-AD$9)*1000)</f>
        <v>35744.849970283969</v>
      </c>
      <c r="AE36" s="18">
        <f>SUM(AD$36,'Statistics NZ'!AE$36-'Statistics NZ'!AD$36,$F$12/5*(AE$8-AE$9)*1000)</f>
        <v>34924.849970283969</v>
      </c>
      <c r="AF36" s="18">
        <f>SUM(AE$36,'Statistics NZ'!AF$36-'Statistics NZ'!AE$36,$F$12/5*(AF$8-AF$9)*1000)</f>
        <v>35044.849970283969</v>
      </c>
      <c r="AG36" s="18">
        <f>SUM(AF$36,'Statistics NZ'!AG$36-'Statistics NZ'!AF$36,$F$12/5*(AG$8-AG$9)*1000)</f>
        <v>34644.849970283969</v>
      </c>
      <c r="AH36" s="18">
        <f>SUM(AG$36,'Statistics NZ'!AH$36-'Statistics NZ'!AG$36,$F$12/5*(AH$8-AH$9)*1000)</f>
        <v>35164.849970283969</v>
      </c>
      <c r="AI36" s="18">
        <f>SUM(AH$36,'Statistics NZ'!AI$36-'Statistics NZ'!AH$36,$F$12/5*(AI$8-AI$9)*1000)</f>
        <v>34594.849970283969</v>
      </c>
      <c r="AJ36" s="18">
        <f>SUM(AI$36,'Statistics NZ'!AJ$36-'Statistics NZ'!AI$36,$F$12/5*(AJ$8-AJ$9)*1000)</f>
        <v>34674.849970283969</v>
      </c>
      <c r="AK36" s="18">
        <f>SUM(AJ$36,'Statistics NZ'!AK$36-'Statistics NZ'!AJ$36,$F$12/5*(AK$8-AK$9)*1000)</f>
        <v>34384.849970283969</v>
      </c>
    </row>
    <row r="37" spans="1:37" x14ac:dyDescent="0.25">
      <c r="A37" s="12">
        <v>22</v>
      </c>
      <c r="B37" s="27">
        <f>'Statistics NZ'!B$37*'Economic Forecasts'!D$9*1000000/SUM('Statistics NZ'!B$30:B$110,'Statistics NZ'!B$130:B$210)</f>
        <v>28608.243131734784</v>
      </c>
      <c r="C37" s="27">
        <f>'Statistics NZ'!C$37*'Economic Forecasts'!E$9*1000000/SUM('Statistics NZ'!C$30:C$110,'Statistics NZ'!C$130:C$210)</f>
        <v>28537.147418201024</v>
      </c>
      <c r="D37" s="27">
        <f>'Statistics NZ'!D$37*'Economic Forecasts'!F$9*1000000/SUM('Statistics NZ'!D$30:D$110,'Statistics NZ'!D$130:D$210)</f>
        <v>28250.153377880288</v>
      </c>
      <c r="E37" s="27">
        <f>'Statistics NZ'!E$37*'Economic Forecasts'!G$9*1000000/SUM('Statistics NZ'!E$30:E$110,'Statistics NZ'!E$130:E$210)</f>
        <v>27950.01528764288</v>
      </c>
      <c r="F37" s="27">
        <f>'Statistics NZ'!F$37*'Economic Forecasts'!H$9*1000000/SUM('Statistics NZ'!F$30:F$110,'Statistics NZ'!F$130:F$210)</f>
        <v>29259.743907788212</v>
      </c>
      <c r="G37" s="27">
        <f>'Statistics NZ'!G$37*'Economic Forecasts'!I$9*1000000/SUM('Statistics NZ'!G$30:G$110,'Statistics NZ'!G$130:G$210)</f>
        <v>29683.511168182053</v>
      </c>
      <c r="H37" s="27">
        <f>'Statistics NZ'!H$37*'Economic Forecasts'!J$9*1000000/SUM('Statistics NZ'!H$30:H$110,'Statistics NZ'!H$130:H$210)</f>
        <v>30850.930629443392</v>
      </c>
      <c r="I37" s="27">
        <f>'Statistics NZ'!I$37*'Economic Forecasts'!K$9*1000000/SUM('Statistics NZ'!I$30:I$110,'Statistics NZ'!I$130:I$210)</f>
        <v>31440.001867936862</v>
      </c>
      <c r="J37" s="27">
        <f>'Statistics NZ'!J$37*'Economic Forecasts'!L$9*1000000/SUM('Statistics NZ'!J$30:J$110,'Statistics NZ'!J$130:J$210)</f>
        <v>30825.699773076565</v>
      </c>
      <c r="K37" s="27">
        <f>'Statistics NZ'!K$37*'Economic Forecasts'!M$9*1000000/SUM('Statistics NZ'!K$30:K$110,'Statistics NZ'!K$130:K$210)</f>
        <v>31311.681405386087</v>
      </c>
      <c r="L37" s="27">
        <f>'Statistics NZ'!L$37*'Economic Forecasts'!N$9*1000000/SUM('Statistics NZ'!L$30:L$110,'Statistics NZ'!L$130:L$210)</f>
        <v>31303.217302500852</v>
      </c>
      <c r="M37" s="27">
        <f>'Statistics NZ'!M$37*'Economic Forecasts'!O$9*1000000/SUM('Statistics NZ'!M$30:M$110,'Statistics NZ'!M$130:M$210)</f>
        <v>31946.506462921068</v>
      </c>
      <c r="N37" s="27">
        <f>'Statistics NZ'!N$37*'Economic Forecasts'!P$9*1000000/SUM('Statistics NZ'!N$30:N$110,'Statistics NZ'!N$130:N$210)</f>
        <v>31722.756907949642</v>
      </c>
      <c r="O37" s="27">
        <f>'Statistics NZ'!O$37*'Economic Forecasts'!Q$9*1000000/SUM('Statistics NZ'!O$30:O$110,'Statistics NZ'!O$130:O$210)</f>
        <v>31751.578215665806</v>
      </c>
      <c r="P37" s="27">
        <f>'Statistics NZ'!P$37*'Economic Forecasts'!R$9*1000000/SUM('Statistics NZ'!P$30:P$110,'Statistics NZ'!P$130:P$210)</f>
        <v>31892.217001239882</v>
      </c>
      <c r="Q37" s="27">
        <f>'Statistics NZ'!Q$37*'Economic Forecasts'!S$9*1000000/SUM('Statistics NZ'!Q$30:Q$110,'Statistics NZ'!Q$130:Q$210)</f>
        <v>30755.118347435906</v>
      </c>
      <c r="R37" s="27">
        <f>'Statistics NZ'!R$37*'Economic Forecasts'!T$9*1000000/SUM('Statistics NZ'!R$30:R$110,'Statistics NZ'!R$130:R$210)</f>
        <v>31421.156704095116</v>
      </c>
      <c r="S37" s="27">
        <f>'Statistics NZ'!S$37*'Economic Forecasts'!U$9*1000000/SUM('Statistics NZ'!S$30:S$110,'Statistics NZ'!S$130:S$210)</f>
        <v>30927.033857035462</v>
      </c>
      <c r="T37" s="27">
        <f>'Statistics NZ'!T$37*'Economic Forecasts'!V$9*1000000/SUM('Statistics NZ'!T$30:T$110,'Statistics NZ'!T$130:T$210)</f>
        <v>30797.245696400627</v>
      </c>
      <c r="U37" s="28">
        <f>SUM('Statistics NZ'!U$37,$F$12/5*(U$8-U$9)*1000)*'Economic Forecasts'!W$9*1000000/SUM('Statistics NZ'!U$30:U$110,'Statistics NZ'!U$130:U$210,SUM($E$12:$T$13)*(U$8-U$9)*1000)</f>
        <v>30663.162263724509</v>
      </c>
      <c r="V37" s="28">
        <f>SUM('Statistics NZ'!V$37,$F$12/5*(V$8-V$9)*1000)*'Economic Forecasts'!X$9*1000000/SUM('Statistics NZ'!V$30:V$110,'Statistics NZ'!V$130:V$210,SUM($E$12:$T$13)*(V$8-V$9)*1000)</f>
        <v>31358.044395927471</v>
      </c>
      <c r="W37" s="28">
        <f>SUM('Statistics NZ'!W$37,$F$12/5*(W$8-W$9)*1000)*'Economic Forecasts'!Y$9*1000000/SUM('Statistics NZ'!W$30:W$110,'Statistics NZ'!W$130:W$210,SUM($E$12:$T$13)*(W$8-W$9)*1000)</f>
        <v>31293.418755933184</v>
      </c>
      <c r="X37" s="28">
        <f>SUM('Statistics NZ'!X$37,$F$12/5*(X$8-X$9)*1000)*'Economic Forecasts'!Z$9*1000000/SUM('Statistics NZ'!X$30:X$110,'Statistics NZ'!X$130:X$210,SUM($E$12:$T$13)*(X$8-X$9)*1000)</f>
        <v>31914.682656372617</v>
      </c>
      <c r="Y37" s="28">
        <f>SUM('Statistics NZ'!Y$37,$F$12/5*(Y$8-Y$9)*1000)*'Economic Forecasts'!AA$9*1000000/SUM('Statistics NZ'!Y$30:Y$110,'Statistics NZ'!Y$130:Y$210,SUM($E$12:$T$13)*(Y$8-Y$9)*1000)</f>
        <v>34001.255122202841</v>
      </c>
      <c r="Z37" s="28">
        <f>SUM('Statistics NZ'!Z$37,$F$12/5*(Z$8-Z$9)*1000)*'Economic Forecasts'!AB$9*1000000/SUM('Statistics NZ'!Z$30:Z$110,'Statistics NZ'!Z$130:Z$210,SUM($E$12:$T$13)*(Z$8-Z$9)*1000)</f>
        <v>35103.557812917585</v>
      </c>
      <c r="AA37" s="28">
        <f>SUM('Statistics NZ'!AA$37,$F$12/5*(AA$8-AA$9)*1000)*'Economic Forecasts'!AC$9*1000000/SUM('Statistics NZ'!AA$30:AA$110,'Statistics NZ'!AA$130:AA$210,SUM($E$12:$T$13)*(AA$8-AA$9)*1000)</f>
        <v>34571.789684322961</v>
      </c>
      <c r="AB37" s="18">
        <f>SUM(AA$37,'Statistics NZ'!AB$37-'Statistics NZ'!AA$37,$F$12/5*(AB$8-AB$9)*1000)</f>
        <v>35599.260024481271</v>
      </c>
      <c r="AC37" s="18">
        <f>SUM(AB$37,'Statistics NZ'!AC$37-'Statistics NZ'!AB$37,$F$12/5*(AC$8-AC$9)*1000)</f>
        <v>35657.573584586811</v>
      </c>
      <c r="AD37" s="18">
        <f>SUM(AC$37,'Statistics NZ'!AD$37-'Statistics NZ'!AC$37,$F$12/5*(AD$8-AD$9)*1000)</f>
        <v>35776.87090129745</v>
      </c>
      <c r="AE37" s="18">
        <f>SUM(AD$37,'Statistics NZ'!AE$37-'Statistics NZ'!AD$37,$F$12/5*(AE$8-AE$9)*1000)</f>
        <v>35816.87090129745</v>
      </c>
      <c r="AF37" s="18">
        <f>SUM(AE$37,'Statistics NZ'!AF$37-'Statistics NZ'!AE$37,$F$12/5*(AF$8-AF$9)*1000)</f>
        <v>35006.87090129745</v>
      </c>
      <c r="AG37" s="18">
        <f>SUM(AF$37,'Statistics NZ'!AG$37-'Statistics NZ'!AF$37,$F$12/5*(AG$8-AG$9)*1000)</f>
        <v>35126.87090129745</v>
      </c>
      <c r="AH37" s="18">
        <f>SUM(AG$37,'Statistics NZ'!AH$37-'Statistics NZ'!AG$37,$F$12/5*(AH$8-AH$9)*1000)</f>
        <v>34726.87090129745</v>
      </c>
      <c r="AI37" s="18">
        <f>SUM(AH$37,'Statistics NZ'!AI$37-'Statistics NZ'!AH$37,$F$12/5*(AI$8-AI$9)*1000)</f>
        <v>35256.87090129745</v>
      </c>
      <c r="AJ37" s="18">
        <f>SUM(AI$37,'Statistics NZ'!AJ$37-'Statistics NZ'!AI$37,$F$12/5*(AJ$8-AJ$9)*1000)</f>
        <v>34686.87090129745</v>
      </c>
      <c r="AK37" s="18">
        <f>SUM(AJ$37,'Statistics NZ'!AK$37-'Statistics NZ'!AJ$37,$F$12/5*(AK$8-AK$9)*1000)</f>
        <v>34766.87090129745</v>
      </c>
    </row>
    <row r="38" spans="1:37" x14ac:dyDescent="0.25">
      <c r="A38" s="12">
        <v>23</v>
      </c>
      <c r="B38" s="27">
        <f>'Statistics NZ'!B$38*'Economic Forecasts'!D$9*1000000/SUM('Statistics NZ'!B$30:B$110,'Statistics NZ'!B$130:B$210)</f>
        <v>28256.021260071833</v>
      </c>
      <c r="C38" s="27">
        <f>'Statistics NZ'!C$38*'Economic Forecasts'!E$9*1000000/SUM('Statistics NZ'!C$30:C$110,'Statistics NZ'!C$130:C$210)</f>
        <v>28134.524209616626</v>
      </c>
      <c r="D38" s="27">
        <f>'Statistics NZ'!D$38*'Economic Forecasts'!F$9*1000000/SUM('Statistics NZ'!D$30:D$110,'Statistics NZ'!D$130:D$210)</f>
        <v>28014.408008941096</v>
      </c>
      <c r="E38" s="27">
        <f>'Statistics NZ'!E$38*'Economic Forecasts'!G$9*1000000/SUM('Statistics NZ'!E$30:E$110,'Statistics NZ'!E$130:E$210)</f>
        <v>27832.331012747545</v>
      </c>
      <c r="F38" s="27">
        <f>'Statistics NZ'!F$38*'Economic Forecasts'!H$9*1000000/SUM('Statistics NZ'!F$30:F$110,'Statistics NZ'!F$130:F$210)</f>
        <v>27857.081025182208</v>
      </c>
      <c r="G38" s="27">
        <f>'Statistics NZ'!G$38*'Economic Forecasts'!I$9*1000000/SUM('Statistics NZ'!G$30:G$110,'Statistics NZ'!G$130:G$210)</f>
        <v>28917.358331941748</v>
      </c>
      <c r="H38" s="27">
        <f>'Statistics NZ'!H$38*'Economic Forecasts'!J$9*1000000/SUM('Statistics NZ'!H$30:H$110,'Statistics NZ'!H$130:H$210)</f>
        <v>29210.132726539876</v>
      </c>
      <c r="I38" s="27">
        <f>'Statistics NZ'!I$38*'Economic Forecasts'!K$9*1000000/SUM('Statistics NZ'!I$30:I$110,'Statistics NZ'!I$130:I$210)</f>
        <v>30420.432116061147</v>
      </c>
      <c r="J38" s="27">
        <f>'Statistics NZ'!J$38*'Economic Forecasts'!L$9*1000000/SUM('Statistics NZ'!J$30:J$110,'Statistics NZ'!J$130:J$210)</f>
        <v>31576.594705859508</v>
      </c>
      <c r="K38" s="27">
        <f>'Statistics NZ'!K$38*'Economic Forecasts'!M$9*1000000/SUM('Statistics NZ'!K$30:K$110,'Statistics NZ'!K$130:K$210)</f>
        <v>31691.393959742451</v>
      </c>
      <c r="L38" s="27">
        <f>'Statistics NZ'!L$38*'Economic Forecasts'!N$9*1000000/SUM('Statistics NZ'!L$30:L$110,'Statistics NZ'!L$130:L$210)</f>
        <v>32276.878804911452</v>
      </c>
      <c r="M38" s="27">
        <f>'Statistics NZ'!M$38*'Economic Forecasts'!O$9*1000000/SUM('Statistics NZ'!M$30:M$110,'Statistics NZ'!M$130:M$210)</f>
        <v>32229.824104335356</v>
      </c>
      <c r="N38" s="27">
        <f>'Statistics NZ'!N$38*'Economic Forecasts'!P$9*1000000/SUM('Statistics NZ'!N$30:N$110,'Statistics NZ'!N$130:N$210)</f>
        <v>32534.906452477655</v>
      </c>
      <c r="O38" s="27">
        <f>'Statistics NZ'!O$38*'Economic Forecasts'!Q$9*1000000/SUM('Statistics NZ'!O$30:O$110,'Statistics NZ'!O$130:O$210)</f>
        <v>32272.095891332458</v>
      </c>
      <c r="P38" s="27">
        <f>'Statistics NZ'!P$38*'Economic Forecasts'!R$9*1000000/SUM('Statistics NZ'!P$30:P$110,'Statistics NZ'!P$130:P$210)</f>
        <v>32460.147178111823</v>
      </c>
      <c r="Q38" s="27">
        <f>'Statistics NZ'!Q$38*'Economic Forecasts'!S$9*1000000/SUM('Statistics NZ'!Q$30:Q$110,'Statistics NZ'!Q$130:Q$210)</f>
        <v>31772.71461784577</v>
      </c>
      <c r="R38" s="27">
        <f>'Statistics NZ'!R$38*'Economic Forecasts'!T$9*1000000/SUM('Statistics NZ'!R$30:R$110,'Statistics NZ'!R$130:R$210)</f>
        <v>30254.847647447357</v>
      </c>
      <c r="S38" s="27">
        <f>'Statistics NZ'!S$38*'Economic Forecasts'!U$9*1000000/SUM('Statistics NZ'!S$30:S$110,'Statistics NZ'!S$130:S$210)</f>
        <v>31588.991144501124</v>
      </c>
      <c r="T38" s="27">
        <f>'Statistics NZ'!T$38*'Economic Forecasts'!V$9*1000000/SUM('Statistics NZ'!T$30:T$110,'Statistics NZ'!T$130:T$210)</f>
        <v>31612.611371935312</v>
      </c>
      <c r="U38" s="28">
        <f>SUM('Statistics NZ'!U$38,$F$12/5*(U$8-U$9)*1000)*'Economic Forecasts'!W$9*1000000/SUM('Statistics NZ'!U$30:U$110,'Statistics NZ'!U$130:U$210,SUM($E$12:$T$13)*(U$8-U$9)*1000)</f>
        <v>30830.447368117239</v>
      </c>
      <c r="V38" s="28">
        <f>SUM('Statistics NZ'!V$38,$F$12/5*(V$8-V$9)*1000)*'Economic Forecasts'!X$9*1000000/SUM('Statistics NZ'!V$30:V$110,'Statistics NZ'!V$130:V$210,SUM($E$12:$T$13)*(V$8-V$9)*1000)</f>
        <v>30583.103847070211</v>
      </c>
      <c r="W38" s="28">
        <f>SUM('Statistics NZ'!W$38,$F$12/5*(W$8-W$9)*1000)*'Economic Forecasts'!Y$9*1000000/SUM('Statistics NZ'!W$30:W$110,'Statistics NZ'!W$130:W$210,SUM($E$12:$T$13)*(W$8-W$9)*1000)</f>
        <v>31303.200748405459</v>
      </c>
      <c r="X38" s="28">
        <f>SUM('Statistics NZ'!X$38,$F$12/5*(X$8-X$9)*1000)*'Economic Forecasts'!Z$9*1000000/SUM('Statistics NZ'!X$30:X$110,'Statistics NZ'!X$130:X$210,SUM($E$12:$T$13)*(X$8-X$9)*1000)</f>
        <v>31318.718957450197</v>
      </c>
      <c r="Y38" s="28">
        <f>SUM('Statistics NZ'!Y$38,$F$12/5*(Y$8-Y$9)*1000)*'Economic Forecasts'!AA$9*1000000/SUM('Statistics NZ'!Y$30:Y$110,'Statistics NZ'!Y$130:Y$210,SUM($E$12:$T$13)*(Y$8-Y$9)*1000)</f>
        <v>31998.616206418286</v>
      </c>
      <c r="Z38" s="28">
        <f>SUM('Statistics NZ'!Z$38,$F$12/5*(Z$8-Z$9)*1000)*'Economic Forecasts'!AB$9*1000000/SUM('Statistics NZ'!Z$30:Z$110,'Statistics NZ'!Z$130:Z$210,SUM($E$12:$T$13)*(Z$8-Z$9)*1000)</f>
        <v>34106.910142333349</v>
      </c>
      <c r="AA38" s="28">
        <f>SUM('Statistics NZ'!AA$38,$F$12/5*(AA$8-AA$9)*1000)*'Economic Forecasts'!AC$9*1000000/SUM('Statistics NZ'!AA$30:AA$110,'Statistics NZ'!AA$130:AA$210,SUM($E$12:$T$13)*(AA$8-AA$9)*1000)</f>
        <v>35226.73455801783</v>
      </c>
      <c r="AB38" s="18">
        <f>SUM(AA$38,'Statistics NZ'!AB$38-'Statistics NZ'!AA$38,$F$12/5*(AB$8-AB$9)*1000)</f>
        <v>34664.20489817614</v>
      </c>
      <c r="AC38" s="18">
        <f>SUM(AB$38,'Statistics NZ'!AC$38-'Statistics NZ'!AB$38,$F$12/5*(AC$8-AC$9)*1000)</f>
        <v>35702.51845828168</v>
      </c>
      <c r="AD38" s="18">
        <f>SUM(AC$38,'Statistics NZ'!AD$38-'Statistics NZ'!AC$38,$F$12/5*(AD$8-AD$9)*1000)</f>
        <v>35761.815774992319</v>
      </c>
      <c r="AE38" s="18">
        <f>SUM(AD$38,'Statistics NZ'!AE$38-'Statistics NZ'!AD$38,$F$12/5*(AE$8-AE$9)*1000)</f>
        <v>35891.815774992319</v>
      </c>
      <c r="AF38" s="18">
        <f>SUM(AE$38,'Statistics NZ'!AF$38-'Statistics NZ'!AE$38,$F$12/5*(AF$8-AF$9)*1000)</f>
        <v>35931.815774992319</v>
      </c>
      <c r="AG38" s="18">
        <f>SUM(AF$38,'Statistics NZ'!AG$38-'Statistics NZ'!AF$38,$F$12/5*(AG$8-AG$9)*1000)</f>
        <v>35121.815774992319</v>
      </c>
      <c r="AH38" s="18">
        <f>SUM(AG$38,'Statistics NZ'!AH$38-'Statistics NZ'!AG$38,$F$12/5*(AH$8-AH$9)*1000)</f>
        <v>35241.815774992319</v>
      </c>
      <c r="AI38" s="18">
        <f>SUM(AH$38,'Statistics NZ'!AI$38-'Statistics NZ'!AH$38,$F$12/5*(AI$8-AI$9)*1000)</f>
        <v>34851.815774992319</v>
      </c>
      <c r="AJ38" s="18">
        <f>SUM(AI$38,'Statistics NZ'!AJ$38-'Statistics NZ'!AI$38,$F$12/5*(AJ$8-AJ$9)*1000)</f>
        <v>35381.815774992319</v>
      </c>
      <c r="AK38" s="18">
        <f>SUM(AJ$38,'Statistics NZ'!AK$38-'Statistics NZ'!AJ$38,$F$12/5*(AK$8-AK$9)*1000)</f>
        <v>34811.815774992319</v>
      </c>
    </row>
    <row r="39" spans="1:37" x14ac:dyDescent="0.25">
      <c r="A39" s="12">
        <v>24</v>
      </c>
      <c r="B39" s="27">
        <f>'Statistics NZ'!B$39*'Economic Forecasts'!D$9*1000000/SUM('Statistics NZ'!B$30:B$110,'Statistics NZ'!B$130:B$210)</f>
        <v>27258.059290360161</v>
      </c>
      <c r="C39" s="27">
        <f>'Statistics NZ'!C$39*'Economic Forecasts'!E$9*1000000/SUM('Statistics NZ'!C$30:C$110,'Statistics NZ'!C$130:C$210)</f>
        <v>27928.302566195354</v>
      </c>
      <c r="D39" s="27">
        <f>'Statistics NZ'!D$39*'Economic Forecasts'!F$9*1000000/SUM('Statistics NZ'!D$30:D$110,'Statistics NZ'!D$130:D$210)</f>
        <v>27749.194468884503</v>
      </c>
      <c r="E39" s="27">
        <f>'Statistics NZ'!E$39*'Economic Forecasts'!G$9*1000000/SUM('Statistics NZ'!E$30:E$110,'Statistics NZ'!E$130:E$210)</f>
        <v>27763.681852391928</v>
      </c>
      <c r="F39" s="27">
        <f>'Statistics NZ'!F$39*'Economic Forecasts'!H$9*1000000/SUM('Statistics NZ'!F$30:F$110,'Statistics NZ'!F$130:F$210)</f>
        <v>27709.948554978779</v>
      </c>
      <c r="G39" s="27">
        <f>'Statistics NZ'!G$39*'Economic Forecasts'!I$9*1000000/SUM('Statistics NZ'!G$30:G$110,'Statistics NZ'!G$130:G$210)</f>
        <v>27679.726827245871</v>
      </c>
      <c r="H39" s="27">
        <f>'Statistics NZ'!H$39*'Economic Forecasts'!J$9*1000000/SUM('Statistics NZ'!H$30:H$110,'Statistics NZ'!H$130:H$210)</f>
        <v>28630.449635094919</v>
      </c>
      <c r="I39" s="27">
        <f>'Statistics NZ'!I$39*'Economic Forecasts'!K$9*1000000/SUM('Statistics NZ'!I$30:I$110,'Statistics NZ'!I$130:I$210)</f>
        <v>29038.130817845027</v>
      </c>
      <c r="J39" s="27">
        <f>'Statistics NZ'!J$39*'Economic Forecasts'!L$9*1000000/SUM('Statistics NZ'!J$30:J$110,'Statistics NZ'!J$130:J$210)</f>
        <v>30864.707302052302</v>
      </c>
      <c r="K39" s="27">
        <f>'Statistics NZ'!K$39*'Economic Forecasts'!M$9*1000000/SUM('Statistics NZ'!K$30:K$110,'Statistics NZ'!K$130:K$210)</f>
        <v>32470.291507140111</v>
      </c>
      <c r="L39" s="27">
        <f>'Statistics NZ'!L$39*'Economic Forecasts'!N$9*1000000/SUM('Statistics NZ'!L$30:L$110,'Statistics NZ'!L$130:L$210)</f>
        <v>32968.178471622981</v>
      </c>
      <c r="M39" s="27">
        <f>'Statistics NZ'!M$39*'Economic Forecasts'!O$9*1000000/SUM('Statistics NZ'!M$30:M$110,'Statistics NZ'!M$130:M$210)</f>
        <v>33343.55552230875</v>
      </c>
      <c r="N39" s="27">
        <f>'Statistics NZ'!N$39*'Economic Forecasts'!P$9*1000000/SUM('Statistics NZ'!N$30:N$110,'Statistics NZ'!N$130:N$210)</f>
        <v>32936.088757605954</v>
      </c>
      <c r="O39" s="27">
        <f>'Statistics NZ'!O$39*'Economic Forecasts'!Q$9*1000000/SUM('Statistics NZ'!O$30:O$110,'Statistics NZ'!O$130:O$210)</f>
        <v>33047.961860722375</v>
      </c>
      <c r="P39" s="27">
        <f>'Statistics NZ'!P$39*'Economic Forecasts'!R$9*1000000/SUM('Statistics NZ'!P$30:P$110,'Statistics NZ'!P$130:P$210)</f>
        <v>33214.123447407335</v>
      </c>
      <c r="Q39" s="27">
        <f>'Statistics NZ'!Q$39*'Economic Forecasts'!S$9*1000000/SUM('Statistics NZ'!Q$30:Q$110,'Statistics NZ'!Q$130:Q$210)</f>
        <v>32316.091267093758</v>
      </c>
      <c r="R39" s="27">
        <f>'Statistics NZ'!R$39*'Economic Forecasts'!T$9*1000000/SUM('Statistics NZ'!R$30:R$110,'Statistics NZ'!R$130:R$210)</f>
        <v>31263.013103193724</v>
      </c>
      <c r="S39" s="27">
        <f>'Statistics NZ'!S$39*'Economic Forecasts'!U$9*1000000/SUM('Statistics NZ'!S$30:S$110,'Statistics NZ'!S$130:S$210)</f>
        <v>30450.035223420502</v>
      </c>
      <c r="T39" s="27">
        <f>'Statistics NZ'!T$39*'Economic Forecasts'!V$9*1000000/SUM('Statistics NZ'!T$30:T$110,'Statistics NZ'!T$130:T$210)</f>
        <v>32231.50339071465</v>
      </c>
      <c r="U39" s="28">
        <f>SUM('Statistics NZ'!U$39,$F$12/5*(U$8-U$9)*1000)*'Economic Forecasts'!W$9*1000000/SUM('Statistics NZ'!U$30:U$110,'Statistics NZ'!U$130:U$210,SUM($E$12:$T$13)*(U$8-U$9)*1000)</f>
        <v>31794.796793440051</v>
      </c>
      <c r="V39" s="28">
        <f>SUM('Statistics NZ'!V$39,$F$12/5*(V$8-V$9)*1000)*'Economic Forecasts'!X$9*1000000/SUM('Statistics NZ'!V$30:V$110,'Statistics NZ'!V$130:V$210,SUM($E$12:$T$13)*(V$8-V$9)*1000)</f>
        <v>30906.813190263754</v>
      </c>
      <c r="W39" s="28">
        <f>SUM('Statistics NZ'!W$39,$F$12/5*(W$8-W$9)*1000)*'Economic Forecasts'!Y$9*1000000/SUM('Statistics NZ'!W$30:W$110,'Statistics NZ'!W$130:W$210,SUM($E$12:$T$13)*(W$8-W$9)*1000)</f>
        <v>30686.935222651973</v>
      </c>
      <c r="X39" s="28">
        <f>SUM('Statistics NZ'!X$39,$F$12/5*(X$8-X$9)*1000)*'Economic Forecasts'!Z$9*1000000/SUM('Statistics NZ'!X$30:X$110,'Statistics NZ'!X$130:X$210,SUM($E$12:$T$13)*(X$8-X$9)*1000)</f>
        <v>31494.577098115828</v>
      </c>
      <c r="Y39" s="28">
        <f>SUM('Statistics NZ'!Y$39,$F$12/5*(Y$8-Y$9)*1000)*'Economic Forecasts'!AA$9*1000000/SUM('Statistics NZ'!Y$30:Y$110,'Statistics NZ'!Y$130:Y$210,SUM($E$12:$T$13)*(Y$8-Y$9)*1000)</f>
        <v>31578.550482619572</v>
      </c>
      <c r="Z39" s="28">
        <f>SUM('Statistics NZ'!Z$39,$F$12/5*(Z$8-Z$9)*1000)*'Economic Forecasts'!AB$9*1000000/SUM('Statistics NZ'!Z$30:Z$110,'Statistics NZ'!Z$130:Z$210,SUM($E$12:$T$13)*(Z$8-Z$9)*1000)</f>
        <v>32279.722746262254</v>
      </c>
      <c r="AA39" s="28">
        <f>SUM('Statistics NZ'!AA$39,$F$12/5*(AA$8-AA$9)*1000)*'Economic Forecasts'!AC$9*1000000/SUM('Statistics NZ'!AA$30:AA$110,'Statistics NZ'!AA$130:AA$210,SUM($E$12:$T$13)*(AA$8-AA$9)*1000)</f>
        <v>34405.609641743671</v>
      </c>
      <c r="AB39" s="18">
        <f>SUM(AA$39,'Statistics NZ'!AB$39-'Statistics NZ'!AA$39,$F$12/5*(AB$8-AB$9)*1000)</f>
        <v>35523.079981901981</v>
      </c>
      <c r="AC39" s="18">
        <f>SUM(AB$39,'Statistics NZ'!AC$39-'Statistics NZ'!AB$39,$F$12/5*(AC$8-AC$9)*1000)</f>
        <v>34971.393542007521</v>
      </c>
      <c r="AD39" s="18">
        <f>SUM(AC$39,'Statistics NZ'!AD$39-'Statistics NZ'!AC$39,$F$12/5*(AD$8-AD$9)*1000)</f>
        <v>36010.690858718161</v>
      </c>
      <c r="AE39" s="18">
        <f>SUM(AD$39,'Statistics NZ'!AE$39-'Statistics NZ'!AD$39,$F$12/5*(AE$8-AE$9)*1000)</f>
        <v>36070.690858718161</v>
      </c>
      <c r="AF39" s="18">
        <f>SUM(AE$39,'Statistics NZ'!AF$39-'Statistics NZ'!AE$39,$F$12/5*(AF$8-AF$9)*1000)</f>
        <v>36210.690858718161</v>
      </c>
      <c r="AG39" s="18">
        <f>SUM(AF$39,'Statistics NZ'!AG$39-'Statistics NZ'!AF$39,$F$12/5*(AG$8-AG$9)*1000)</f>
        <v>36250.690858718161</v>
      </c>
      <c r="AH39" s="18">
        <f>SUM(AG$39,'Statistics NZ'!AH$39-'Statistics NZ'!AG$39,$F$12/5*(AH$8-AH$9)*1000)</f>
        <v>35450.690858718161</v>
      </c>
      <c r="AI39" s="18">
        <f>SUM(AH$39,'Statistics NZ'!AI$39-'Statistics NZ'!AH$39,$F$12/5*(AI$8-AI$9)*1000)</f>
        <v>35570.690858718161</v>
      </c>
      <c r="AJ39" s="18">
        <f>SUM(AI$39,'Statistics NZ'!AJ$39-'Statistics NZ'!AI$39,$F$12/5*(AJ$8-AJ$9)*1000)</f>
        <v>35190.690858718161</v>
      </c>
      <c r="AK39" s="18">
        <f>SUM(AJ$39,'Statistics NZ'!AK$39-'Statistics NZ'!AJ$39,$F$12/5*(AK$8-AK$9)*1000)</f>
        <v>35720.690858718161</v>
      </c>
    </row>
    <row r="40" spans="1:37" x14ac:dyDescent="0.25">
      <c r="A40" s="12">
        <v>25</v>
      </c>
      <c r="B40" s="27">
        <f>'Statistics NZ'!B$40*'Economic Forecasts'!D$9*1000000/SUM('Statistics NZ'!B$30:B$110,'Statistics NZ'!B$130:B$210)</f>
        <v>26553.615547034267</v>
      </c>
      <c r="C40" s="27">
        <f>'Statistics NZ'!C$40*'Economic Forecasts'!E$9*1000000/SUM('Statistics NZ'!C$30:C$110,'Statistics NZ'!C$130:C$210)</f>
        <v>27162.336462059196</v>
      </c>
      <c r="D40" s="27">
        <f>'Statistics NZ'!D$40*'Economic Forecasts'!F$9*1000000/SUM('Statistics NZ'!D$30:D$110,'Statistics NZ'!D$130:D$210)</f>
        <v>27552.739994768508</v>
      </c>
      <c r="E40" s="27">
        <f>'Statistics NZ'!E$40*'Economic Forecasts'!G$9*1000000/SUM('Statistics NZ'!E$30:E$110,'Statistics NZ'!E$130:E$210)</f>
        <v>27626.383531680702</v>
      </c>
      <c r="F40" s="27">
        <f>'Statistics NZ'!F$40*'Economic Forecasts'!H$9*1000000/SUM('Statistics NZ'!F$30:F$110,'Statistics NZ'!F$130:F$210)</f>
        <v>27719.757386325677</v>
      </c>
      <c r="G40" s="27">
        <f>'Statistics NZ'!G$40*'Economic Forecasts'!I$9*1000000/SUM('Statistics NZ'!G$30:G$110,'Statistics NZ'!G$130:G$210)</f>
        <v>27620.791993688927</v>
      </c>
      <c r="H40" s="27">
        <f>'Statistics NZ'!H$40*'Economic Forecasts'!J$9*1000000/SUM('Statistics NZ'!H$30:H$110,'Statistics NZ'!H$130:H$210)</f>
        <v>27539.859412206955</v>
      </c>
      <c r="I40" s="27">
        <f>'Statistics NZ'!I$40*'Economic Forecasts'!K$9*1000000/SUM('Statistics NZ'!I$30:I$110,'Statistics NZ'!I$130:I$210)</f>
        <v>28665.595716198124</v>
      </c>
      <c r="J40" s="27">
        <f>'Statistics NZ'!J$40*'Economic Forecasts'!L$9*1000000/SUM('Statistics NZ'!J$30:J$110,'Statistics NZ'!J$130:J$210)</f>
        <v>29655.473903804439</v>
      </c>
      <c r="K40" s="27">
        <f>'Statistics NZ'!K$40*'Economic Forecasts'!M$9*1000000/SUM('Statistics NZ'!K$30:K$110,'Statistics NZ'!K$130:K$210)</f>
        <v>31856.90968856445</v>
      </c>
      <c r="L40" s="27">
        <f>'Statistics NZ'!L$40*'Economic Forecasts'!N$9*1000000/SUM('Statistics NZ'!L$30:L$110,'Statistics NZ'!L$130:L$210)</f>
        <v>33854.210438816626</v>
      </c>
      <c r="M40" s="27">
        <f>'Statistics NZ'!M$40*'Economic Forecasts'!O$9*1000000/SUM('Statistics NZ'!M$30:M$110,'Statistics NZ'!M$130:M$210)</f>
        <v>34203.278020393474</v>
      </c>
      <c r="N40" s="27">
        <f>'Statistics NZ'!N$40*'Economic Forecasts'!P$9*1000000/SUM('Statistics NZ'!N$30:N$110,'Statistics NZ'!N$130:N$210)</f>
        <v>34227.700081433635</v>
      </c>
      <c r="O40" s="27">
        <f>'Statistics NZ'!O$40*'Economic Forecasts'!Q$9*1000000/SUM('Statistics NZ'!O$30:O$110,'Statistics NZ'!O$130:O$210)</f>
        <v>33647.048242150027</v>
      </c>
      <c r="P40" s="27">
        <f>'Statistics NZ'!P$40*'Economic Forecasts'!R$9*1000000/SUM('Statistics NZ'!P$30:P$110,'Statistics NZ'!P$130:P$210)</f>
        <v>34281.440503942533</v>
      </c>
      <c r="Q40" s="27">
        <f>'Statistics NZ'!Q$40*'Economic Forecasts'!S$9*1000000/SUM('Statistics NZ'!Q$30:Q$110,'Statistics NZ'!Q$130:Q$210)</f>
        <v>33027.420698836562</v>
      </c>
      <c r="R40" s="27">
        <f>'Statistics NZ'!R$40*'Economic Forecasts'!T$9*1000000/SUM('Statistics NZ'!R$30:R$110,'Statistics NZ'!R$130:R$210)</f>
        <v>31727.559930841562</v>
      </c>
      <c r="S40" s="27">
        <f>'Statistics NZ'!S$40*'Economic Forecasts'!U$9*1000000/SUM('Statistics NZ'!S$30:S$110,'Statistics NZ'!S$130:S$210)</f>
        <v>31842.092460296819</v>
      </c>
      <c r="T40" s="27">
        <f>'Statistics NZ'!T$40*'Economic Forecasts'!V$9*1000000/SUM('Statistics NZ'!T$30:T$110,'Statistics NZ'!T$130:T$210)</f>
        <v>31170.545644235786</v>
      </c>
      <c r="U40" s="28">
        <f>SUM('Statistics NZ'!U$40,$G$12/5*(U$8-U$9)*1000)*'Economic Forecasts'!W$9*1000000/SUM('Statistics NZ'!U$30:U$110,'Statistics NZ'!U$130:U$210,SUM($E$12:$T$13)*(U$8-U$9)*1000)</f>
        <v>32280.779611212187</v>
      </c>
      <c r="V40" s="28">
        <f>SUM('Statistics NZ'!V$40,$G$12/5*(V$8-V$9)*1000)*'Economic Forecasts'!X$9*1000000/SUM('Statistics NZ'!V$30:V$110,'Statistics NZ'!V$130:V$210,SUM($E$12:$T$13)*(V$8-V$9)*1000)</f>
        <v>31775.074480140371</v>
      </c>
      <c r="W40" s="28">
        <f>SUM('Statistics NZ'!W$40,$G$12/5*(W$8-W$9)*1000)*'Economic Forecasts'!Y$9*1000000/SUM('Statistics NZ'!W$30:W$110,'Statistics NZ'!W$130:W$210,SUM($E$12:$T$13)*(W$8-W$9)*1000)</f>
        <v>31173.280154201282</v>
      </c>
      <c r="X40" s="28">
        <f>SUM('Statistics NZ'!X$40,$G$12/5*(X$8-X$9)*1000)*'Economic Forecasts'!Z$9*1000000/SUM('Statistics NZ'!X$30:X$110,'Statistics NZ'!X$130:X$210,SUM($E$12:$T$13)*(X$8-X$9)*1000)</f>
        <v>31109.190203939444</v>
      </c>
      <c r="Y40" s="28">
        <f>SUM('Statistics NZ'!Y$40,$G$12/5*(Y$8-Y$9)*1000)*'Economic Forecasts'!AA$9*1000000/SUM('Statistics NZ'!Y$30:Y$110,'Statistics NZ'!Y$130:Y$210,SUM($E$12:$T$13)*(Y$8-Y$9)*1000)</f>
        <v>31989.324417655538</v>
      </c>
      <c r="Z40" s="28">
        <f>SUM('Statistics NZ'!Z$40,$G$12/5*(Z$8-Z$9)*1000)*'Economic Forecasts'!AB$9*1000000/SUM('Statistics NZ'!Z$30:Z$110,'Statistics NZ'!Z$130:Z$210,SUM($E$12:$T$13)*(Z$8-Z$9)*1000)</f>
        <v>32084.114416943041</v>
      </c>
      <c r="AA40" s="28">
        <f>SUM('Statistics NZ'!AA$40,$G$12/5*(AA$8-AA$9)*1000)*'Economic Forecasts'!AC$9*1000000/SUM('Statistics NZ'!AA$30:AA$110,'Statistics NZ'!AA$130:AA$210,SUM($E$12:$T$13)*(AA$8-AA$9)*1000)</f>
        <v>32796.00964544544</v>
      </c>
      <c r="AB40" s="18">
        <f>SUM(AA$40,'Statistics NZ'!AB$40-'Statistics NZ'!AA$40,$G$12/5*(AB$8-AB$9)*1000)</f>
        <v>34991.928240105211</v>
      </c>
      <c r="AC40" s="18">
        <f>SUM(AB$40,'Statistics NZ'!AC$40-'Statistics NZ'!AB$40,$G$12/5*(AC$8-AC$9)*1000)</f>
        <v>36145.87396987839</v>
      </c>
      <c r="AD40" s="18">
        <f>SUM(AC$40,'Statistics NZ'!AD$40-'Statistics NZ'!AC$40,$G$12/5*(AD$8-AD$9)*1000)</f>
        <v>35605.851357283886</v>
      </c>
      <c r="AE40" s="18">
        <f>SUM(AD$40,'Statistics NZ'!AE$40-'Statistics NZ'!AD$40,$G$12/5*(AE$8-AE$9)*1000)</f>
        <v>36655.851357283886</v>
      </c>
      <c r="AF40" s="18">
        <f>SUM(AE$40,'Statistics NZ'!AF$40-'Statistics NZ'!AE$40,$G$12/5*(AF$8-AF$9)*1000)</f>
        <v>36715.851357283886</v>
      </c>
      <c r="AG40" s="18">
        <f>SUM(AF$40,'Statistics NZ'!AG$40-'Statistics NZ'!AF$40,$G$12/5*(AG$8-AG$9)*1000)</f>
        <v>36855.851357283886</v>
      </c>
      <c r="AH40" s="18">
        <f>SUM(AG$40,'Statistics NZ'!AH$40-'Statistics NZ'!AG$40,$G$12/5*(AH$8-AH$9)*1000)</f>
        <v>36905.851357283886</v>
      </c>
      <c r="AI40" s="18">
        <f>SUM(AH$40,'Statistics NZ'!AI$40-'Statistics NZ'!AH$40,$G$12/5*(AI$8-AI$9)*1000)</f>
        <v>36105.851357283886</v>
      </c>
      <c r="AJ40" s="18">
        <f>SUM(AI$40,'Statistics NZ'!AJ$40-'Statistics NZ'!AI$40,$G$12/5*(AJ$8-AJ$9)*1000)</f>
        <v>36235.851357283886</v>
      </c>
      <c r="AK40" s="18">
        <f>SUM(AJ$40,'Statistics NZ'!AK$40-'Statistics NZ'!AJ$40,$G$12/5*(AK$8-AK$9)*1000)</f>
        <v>35845.851357283886</v>
      </c>
    </row>
    <row r="41" spans="1:37" x14ac:dyDescent="0.25">
      <c r="A41" s="12">
        <v>26</v>
      </c>
      <c r="B41" s="27">
        <f>'Statistics NZ'!B$41*'Economic Forecasts'!D$9*1000000/SUM('Statistics NZ'!B$30:B$110,'Statistics NZ'!B$130:B$210)</f>
        <v>26230.745498009903</v>
      </c>
      <c r="C41" s="27">
        <f>'Statistics NZ'!C$41*'Economic Forecasts'!E$9*1000000/SUM('Statistics NZ'!C$30:C$110,'Statistics NZ'!C$130:C$210)</f>
        <v>26710.612862184022</v>
      </c>
      <c r="D41" s="27">
        <f>'Statistics NZ'!D$41*'Economic Forecasts'!F$9*1000000/SUM('Statistics NZ'!D$30:D$110,'Statistics NZ'!D$130:D$210)</f>
        <v>27022.312914655311</v>
      </c>
      <c r="E41" s="27">
        <f>'Statistics NZ'!E$41*'Economic Forecasts'!G$9*1000000/SUM('Statistics NZ'!E$30:E$110,'Statistics NZ'!E$130:E$210)</f>
        <v>27489.085210969472</v>
      </c>
      <c r="F41" s="27">
        <f>'Statistics NZ'!F$41*'Economic Forecasts'!H$9*1000000/SUM('Statistics NZ'!F$30:F$110,'Statistics NZ'!F$130:F$210)</f>
        <v>27749.183880366367</v>
      </c>
      <c r="G41" s="27">
        <f>'Statistics NZ'!G$41*'Economic Forecasts'!I$9*1000000/SUM('Statistics NZ'!G$30:G$110,'Statistics NZ'!G$130:G$210)</f>
        <v>27561.857160131978</v>
      </c>
      <c r="H41" s="27">
        <f>'Statistics NZ'!H$41*'Economic Forecasts'!J$9*1000000/SUM('Statistics NZ'!H$30:H$110,'Statistics NZ'!H$130:H$210)</f>
        <v>27490.733726491279</v>
      </c>
      <c r="I41" s="27">
        <f>'Statistics NZ'!I$41*'Economic Forecasts'!K$9*1000000/SUM('Statistics NZ'!I$30:I$110,'Statistics NZ'!I$130:I$210)</f>
        <v>27685.240185548395</v>
      </c>
      <c r="J41" s="27">
        <f>'Statistics NZ'!J$41*'Economic Forecasts'!L$9*1000000/SUM('Statistics NZ'!J$30:J$110,'Statistics NZ'!J$130:J$210)</f>
        <v>29538.451316877221</v>
      </c>
      <c r="K41" s="27">
        <f>'Statistics NZ'!K$41*'Economic Forecasts'!M$9*1000000/SUM('Statistics NZ'!K$30:K$110,'Statistics NZ'!K$130:K$210)</f>
        <v>30776.189341550191</v>
      </c>
      <c r="L41" s="27">
        <f>'Statistics NZ'!L$41*'Economic Forecasts'!N$9*1000000/SUM('Statistics NZ'!L$30:L$110,'Statistics NZ'!L$130:L$210)</f>
        <v>33425.79937775596</v>
      </c>
      <c r="M41" s="27">
        <f>'Statistics NZ'!M$41*'Economic Forecasts'!O$9*1000000/SUM('Statistics NZ'!M$30:M$110,'Statistics NZ'!M$130:M$210)</f>
        <v>35346.318159892486</v>
      </c>
      <c r="N41" s="27">
        <f>'Statistics NZ'!N$41*'Economic Forecasts'!P$9*1000000/SUM('Statistics NZ'!N$30:N$110,'Statistics NZ'!N$130:N$210)</f>
        <v>35480.171668175637</v>
      </c>
      <c r="O41" s="27">
        <f>'Statistics NZ'!O$41*'Economic Forecasts'!Q$9*1000000/SUM('Statistics NZ'!O$30:O$110,'Statistics NZ'!O$130:O$210)</f>
        <v>35169.316916269483</v>
      </c>
      <c r="P41" s="27">
        <f>'Statistics NZ'!P$41*'Economic Forecasts'!R$9*1000000/SUM('Statistics NZ'!P$30:P$110,'Statistics NZ'!P$130:P$210)</f>
        <v>35015.832974035562</v>
      </c>
      <c r="Q41" s="27">
        <f>'Statistics NZ'!Q$41*'Economic Forecasts'!S$9*1000000/SUM('Statistics NZ'!Q$30:Q$110,'Statistics NZ'!Q$130:Q$210)</f>
        <v>34203.090176300386</v>
      </c>
      <c r="R41" s="27">
        <f>'Statistics NZ'!R$41*'Economic Forecasts'!T$9*1000000/SUM('Statistics NZ'!R$30:R$110,'Statistics NZ'!R$130:R$210)</f>
        <v>32379.902284559797</v>
      </c>
      <c r="S41" s="27">
        <f>'Statistics NZ'!S$41*'Economic Forecasts'!U$9*1000000/SUM('Statistics NZ'!S$30:S$110,'Statistics NZ'!S$130:S$210)</f>
        <v>32513.784413754627</v>
      </c>
      <c r="T41" s="27">
        <f>'Statistics NZ'!T$41*'Economic Forecasts'!V$9*1000000/SUM('Statistics NZ'!T$30:T$110,'Statistics NZ'!T$130:T$210)</f>
        <v>32811.100678142924</v>
      </c>
      <c r="U41" s="28">
        <f>SUM('Statistics NZ'!U$41,$G$12/5*(U$8-U$9)*1000)*'Economic Forecasts'!W$9*1000000/SUM('Statistics NZ'!U$30:U$110,'Statistics NZ'!U$130:U$210,SUM($E$12:$T$13)*(U$8-U$9)*1000)</f>
        <v>31336.110786406167</v>
      </c>
      <c r="V41" s="28">
        <f>SUM('Statistics NZ'!V$41,$G$12/5*(V$8-V$9)*1000)*'Economic Forecasts'!X$9*1000000/SUM('Statistics NZ'!V$30:V$110,'Statistics NZ'!V$130:V$210,SUM($E$12:$T$13)*(V$8-V$9)*1000)</f>
        <v>32697.155639540128</v>
      </c>
      <c r="W41" s="28">
        <f>SUM('Statistics NZ'!W$41,$G$12/5*(W$8-W$9)*1000)*'Economic Forecasts'!Y$9*1000000/SUM('Statistics NZ'!W$30:W$110,'Statistics NZ'!W$130:W$210,SUM($E$12:$T$13)*(W$8-W$9)*1000)</f>
        <v>32425.37519065279</v>
      </c>
      <c r="X41" s="28">
        <f>SUM('Statistics NZ'!X$41,$G$12/5*(X$8-X$9)*1000)*'Economic Forecasts'!Z$9*1000000/SUM('Statistics NZ'!X$30:X$110,'Statistics NZ'!X$130:X$210,SUM($E$12:$T$13)*(X$8-X$9)*1000)</f>
        <v>31724.693696269151</v>
      </c>
      <c r="Y41" s="28">
        <f>SUM('Statistics NZ'!Y$41,$G$12/5*(Y$8-Y$9)*1000)*'Economic Forecasts'!AA$9*1000000/SUM('Statistics NZ'!Y$30:Y$110,'Statistics NZ'!Y$130:Y$210,SUM($E$12:$T$13)*(Y$8-Y$9)*1000)</f>
        <v>31676.717367386726</v>
      </c>
      <c r="Z41" s="28">
        <f>SUM('Statistics NZ'!Z$41,$G$12/5*(Z$8-Z$9)*1000)*'Economic Forecasts'!AB$9*1000000/SUM('Statistics NZ'!Z$30:Z$110,'Statistics NZ'!Z$130:Z$210,SUM($E$12:$T$13)*(Z$8-Z$9)*1000)</f>
        <v>32562.896141047233</v>
      </c>
      <c r="AA41" s="28">
        <f>SUM('Statistics NZ'!AA$41,$G$12/5*(AA$8-AA$9)*1000)*'Economic Forecasts'!AC$9*1000000/SUM('Statistics NZ'!AA$30:AA$110,'Statistics NZ'!AA$130:AA$210,SUM($E$12:$T$13)*(AA$8-AA$9)*1000)</f>
        <v>32668.930789355389</v>
      </c>
      <c r="AB41" s="18">
        <f>SUM(AA$41,'Statistics NZ'!AB$41-'Statistics NZ'!AA$41,$G$12/5*(AB$8-AB$9)*1000)</f>
        <v>33424.849384015164</v>
      </c>
      <c r="AC41" s="18">
        <f>SUM(AB$41,'Statistics NZ'!AC$41-'Statistics NZ'!AB$41,$G$12/5*(AC$8-AC$9)*1000)</f>
        <v>35618.795113788343</v>
      </c>
      <c r="AD41" s="18">
        <f>SUM(AC$41,'Statistics NZ'!AD$41-'Statistics NZ'!AC$41,$G$12/5*(AD$8-AD$9)*1000)</f>
        <v>36758.772501193838</v>
      </c>
      <c r="AE41" s="18">
        <f>SUM(AD$41,'Statistics NZ'!AE$41-'Statistics NZ'!AD$41,$G$12/5*(AE$8-AE$9)*1000)</f>
        <v>36218.772501193838</v>
      </c>
      <c r="AF41" s="18">
        <f>SUM(AE$41,'Statistics NZ'!AF$41-'Statistics NZ'!AE$41,$G$12/5*(AF$8-AF$9)*1000)</f>
        <v>37268.772501193838</v>
      </c>
      <c r="AG41" s="18">
        <f>SUM(AF$41,'Statistics NZ'!AG$41-'Statistics NZ'!AF$41,$G$12/5*(AG$8-AG$9)*1000)</f>
        <v>37338.772501193838</v>
      </c>
      <c r="AH41" s="18">
        <f>SUM(AG$41,'Statistics NZ'!AH$41-'Statistics NZ'!AG$41,$G$12/5*(AH$8-AH$9)*1000)</f>
        <v>37478.772501193838</v>
      </c>
      <c r="AI41" s="18">
        <f>SUM(AH$41,'Statistics NZ'!AI$41-'Statistics NZ'!AH$41,$G$12/5*(AI$8-AI$9)*1000)</f>
        <v>37528.772501193838</v>
      </c>
      <c r="AJ41" s="18">
        <f>SUM(AI$41,'Statistics NZ'!AJ$41-'Statistics NZ'!AI$41,$G$12/5*(AJ$8-AJ$9)*1000)</f>
        <v>36728.772501193838</v>
      </c>
      <c r="AK41" s="18">
        <f>SUM(AJ$41,'Statistics NZ'!AK$41-'Statistics NZ'!AJ$41,$G$12/5*(AK$8-AK$9)*1000)</f>
        <v>36858.772501193838</v>
      </c>
    </row>
    <row r="42" spans="1:37" x14ac:dyDescent="0.25">
      <c r="A42" s="12">
        <v>27</v>
      </c>
      <c r="B42" s="27">
        <f>'Statistics NZ'!B$42*'Economic Forecasts'!D$9*1000000/SUM('Statistics NZ'!B$30:B$110,'Statistics NZ'!B$130:B$210)</f>
        <v>26211.177616250843</v>
      </c>
      <c r="C42" s="27">
        <f>'Statistics NZ'!C$42*'Economic Forecasts'!E$9*1000000/SUM('Statistics NZ'!C$30:C$110,'Statistics NZ'!C$130:C$210)</f>
        <v>26484.75106224644</v>
      </c>
      <c r="D42" s="27">
        <f>'Statistics NZ'!D$42*'Economic Forecasts'!F$9*1000000/SUM('Statistics NZ'!D$30:D$110,'Statistics NZ'!D$130:D$210)</f>
        <v>26766.922098304516</v>
      </c>
      <c r="E42" s="27">
        <f>'Statistics NZ'!E$42*'Economic Forecasts'!G$9*1000000/SUM('Statistics NZ'!E$30:E$110,'Statistics NZ'!E$130:E$210)</f>
        <v>27175.260477915239</v>
      </c>
      <c r="F42" s="27">
        <f>'Statistics NZ'!F$42*'Economic Forecasts'!H$9*1000000/SUM('Statistics NZ'!F$30:F$110,'Statistics NZ'!F$130:F$210)</f>
        <v>27729.566217672571</v>
      </c>
      <c r="G42" s="27">
        <f>'Statistics NZ'!G$42*'Economic Forecasts'!I$9*1000000/SUM('Statistics NZ'!G$30:G$110,'Statistics NZ'!G$130:G$210)</f>
        <v>27630.614465948416</v>
      </c>
      <c r="H42" s="27">
        <f>'Statistics NZ'!H$42*'Economic Forecasts'!J$9*1000000/SUM('Statistics NZ'!H$30:H$110,'Statistics NZ'!H$130:H$210)</f>
        <v>27559.50968649322</v>
      </c>
      <c r="I42" s="27">
        <f>'Statistics NZ'!I$42*'Economic Forecasts'!K$9*1000000/SUM('Statistics NZ'!I$30:I$110,'Statistics NZ'!I$130:I$210)</f>
        <v>27528.383300644437</v>
      </c>
      <c r="J42" s="27">
        <f>'Statistics NZ'!J$42*'Economic Forecasts'!L$9*1000000/SUM('Statistics NZ'!J$30:J$110,'Statistics NZ'!J$130:J$210)</f>
        <v>28475.496152288379</v>
      </c>
      <c r="K42" s="27">
        <f>'Statistics NZ'!K$42*'Economic Forecasts'!M$9*1000000/SUM('Statistics NZ'!K$30:K$110,'Statistics NZ'!K$130:K$210)</f>
        <v>30873.5515349749</v>
      </c>
      <c r="L42" s="27">
        <f>'Statistics NZ'!L$42*'Economic Forecasts'!N$9*1000000/SUM('Statistics NZ'!L$30:L$110,'Statistics NZ'!L$130:L$210)</f>
        <v>32374.244955152513</v>
      </c>
      <c r="M42" s="27">
        <f>'Statistics NZ'!M$42*'Economic Forecasts'!O$9*1000000/SUM('Statistics NZ'!M$30:M$110,'Statistics NZ'!M$130:M$210)</f>
        <v>34926.226484691993</v>
      </c>
      <c r="N42" s="27">
        <f>'Statistics NZ'!N$42*'Economic Forecasts'!P$9*1000000/SUM('Statistics NZ'!N$30:N$110,'Statistics NZ'!N$130:N$210)</f>
        <v>36634.793912203415</v>
      </c>
      <c r="O42" s="27">
        <f>'Statistics NZ'!O$42*'Economic Forecasts'!Q$9*1000000/SUM('Statistics NZ'!O$30:O$110,'Statistics NZ'!O$130:O$210)</f>
        <v>36396.952943785174</v>
      </c>
      <c r="P42" s="27">
        <f>'Statistics NZ'!P$42*'Economic Forecasts'!R$9*1000000/SUM('Statistics NZ'!P$30:P$110,'Statistics NZ'!P$130:P$210)</f>
        <v>36739.207303853866</v>
      </c>
      <c r="Q42" s="27">
        <f>'Statistics NZ'!Q$42*'Economic Forecasts'!S$9*1000000/SUM('Statistics NZ'!Q$30:Q$110,'Statistics NZ'!Q$130:Q$210)</f>
        <v>35003.335787011056</v>
      </c>
      <c r="R42" s="27">
        <f>'Statistics NZ'!R$42*'Economic Forecasts'!T$9*1000000/SUM('Statistics NZ'!R$30:R$110,'Statistics NZ'!R$130:R$210)</f>
        <v>33654.935066827267</v>
      </c>
      <c r="S42" s="27">
        <f>'Statistics NZ'!S$42*'Economic Forecasts'!U$9*1000000/SUM('Statistics NZ'!S$30:S$110,'Statistics NZ'!S$130:S$210)</f>
        <v>33477.516346976692</v>
      </c>
      <c r="T42" s="27">
        <f>'Statistics NZ'!T$42*'Economic Forecasts'!V$9*1000000/SUM('Statistics NZ'!T$30:T$110,'Statistics NZ'!T$130:T$210)</f>
        <v>33803.292644757435</v>
      </c>
      <c r="U42" s="28">
        <f>SUM('Statistics NZ'!U$42,$G$12/5*(U$8-U$9)*1000)*'Economic Forecasts'!W$9*1000000/SUM('Statistics NZ'!U$30:U$110,'Statistics NZ'!U$130:U$210,SUM($E$12:$T$13)*(U$8-U$9)*1000)</f>
        <v>33087.684232400657</v>
      </c>
      <c r="V42" s="28">
        <f>SUM('Statistics NZ'!V$42,$G$12/5*(V$8-V$9)*1000)*'Economic Forecasts'!X$9*1000000/SUM('Statistics NZ'!V$30:V$110,'Statistics NZ'!V$130:V$210,SUM($E$12:$T$13)*(V$8-V$9)*1000)</f>
        <v>31863.358846465871</v>
      </c>
      <c r="W42" s="28">
        <f>SUM('Statistics NZ'!W$42,$G$12/5*(W$8-W$9)*1000)*'Economic Forecasts'!Y$9*1000000/SUM('Statistics NZ'!W$30:W$110,'Statistics NZ'!W$130:W$210,SUM($E$12:$T$13)*(W$8-W$9)*1000)</f>
        <v>33452.48440024192</v>
      </c>
      <c r="X42" s="28">
        <f>SUM('Statistics NZ'!X$42,$G$12/5*(X$8-X$9)*1000)*'Economic Forecasts'!Z$9*1000000/SUM('Statistics NZ'!X$30:X$110,'Statistics NZ'!X$130:X$210,SUM($E$12:$T$13)*(X$8-X$9)*1000)</f>
        <v>33092.47923477961</v>
      </c>
      <c r="Y42" s="28">
        <f>SUM('Statistics NZ'!Y$42,$G$12/5*(Y$8-Y$9)*1000)*'Economic Forecasts'!AA$9*1000000/SUM('Statistics NZ'!Y$30:Y$110,'Statistics NZ'!Y$130:Y$210,SUM($E$12:$T$13)*(Y$8-Y$9)*1000)</f>
        <v>32399.621171133349</v>
      </c>
      <c r="Z42" s="28">
        <f>SUM('Statistics NZ'!Z$42,$G$12/5*(Z$8-Z$9)*1000)*'Economic Forecasts'!AB$9*1000000/SUM('Statistics NZ'!Z$30:Z$110,'Statistics NZ'!Z$130:Z$210,SUM($E$12:$T$13)*(Z$8-Z$9)*1000)</f>
        <v>32347.932917980044</v>
      </c>
      <c r="AA42" s="28">
        <f>SUM('Statistics NZ'!AA$42,$G$12/5*(AA$8-AA$9)*1000)*'Economic Forecasts'!AC$9*1000000/SUM('Statistics NZ'!AA$30:AA$110,'Statistics NZ'!AA$130:AA$210,SUM($E$12:$T$13)*(AA$8-AA$9)*1000)</f>
        <v>33245.673290071762</v>
      </c>
      <c r="AB42" s="18">
        <f>SUM(AA$42,'Statistics NZ'!AB$42-'Statistics NZ'!AA$42,$G$12/5*(AB$8-AB$9)*1000)</f>
        <v>33391.591884731533</v>
      </c>
      <c r="AC42" s="18">
        <f>SUM(AB$42,'Statistics NZ'!AC$42-'Statistics NZ'!AB$42,$G$12/5*(AC$8-AC$9)*1000)</f>
        <v>34145.537614504712</v>
      </c>
      <c r="AD42" s="18">
        <f>SUM(AC$42,'Statistics NZ'!AD$42-'Statistics NZ'!AC$42,$G$12/5*(AD$8-AD$9)*1000)</f>
        <v>36315.515001910208</v>
      </c>
      <c r="AE42" s="18">
        <f>SUM(AD$42,'Statistics NZ'!AE$42-'Statistics NZ'!AD$42,$G$12/5*(AE$8-AE$9)*1000)</f>
        <v>37455.515001910208</v>
      </c>
      <c r="AF42" s="18">
        <f>SUM(AE$42,'Statistics NZ'!AF$42-'Statistics NZ'!AE$42,$G$12/5*(AF$8-AF$9)*1000)</f>
        <v>36915.515001910208</v>
      </c>
      <c r="AG42" s="18">
        <f>SUM(AF$42,'Statistics NZ'!AG$42-'Statistics NZ'!AF$42,$G$12/5*(AG$8-AG$9)*1000)</f>
        <v>37965.515001910208</v>
      </c>
      <c r="AH42" s="18">
        <f>SUM(AG$42,'Statistics NZ'!AH$42-'Statistics NZ'!AG$42,$G$12/5*(AH$8-AH$9)*1000)</f>
        <v>38045.515001910208</v>
      </c>
      <c r="AI42" s="18">
        <f>SUM(AH$42,'Statistics NZ'!AI$42-'Statistics NZ'!AH$42,$G$12/5*(AI$8-AI$9)*1000)</f>
        <v>38185.515001910208</v>
      </c>
      <c r="AJ42" s="18">
        <f>SUM(AI$42,'Statistics NZ'!AJ$42-'Statistics NZ'!AI$42,$G$12/5*(AJ$8-AJ$9)*1000)</f>
        <v>38245.515001910208</v>
      </c>
      <c r="AK42" s="18">
        <f>SUM(AJ$42,'Statistics NZ'!AK$42-'Statistics NZ'!AJ$42,$G$12/5*(AK$8-AK$9)*1000)</f>
        <v>37445.515001910208</v>
      </c>
    </row>
    <row r="43" spans="1:37" x14ac:dyDescent="0.25">
      <c r="A43" s="12">
        <v>28</v>
      </c>
      <c r="B43" s="27">
        <f>'Statistics NZ'!B$43*'Economic Forecasts'!D$9*1000000/SUM('Statistics NZ'!B$30:B$110,'Statistics NZ'!B$130:B$210)</f>
        <v>25487.165991165904</v>
      </c>
      <c r="C43" s="27">
        <f>'Statistics NZ'!C$43*'Economic Forecasts'!E$9*1000000/SUM('Statistics NZ'!C$30:C$110,'Statistics NZ'!C$130:C$210)</f>
        <v>26612.412079602462</v>
      </c>
      <c r="D43" s="27">
        <f>'Statistics NZ'!D$43*'Economic Forecasts'!F$9*1000000/SUM('Statistics NZ'!D$30:D$110,'Statistics NZ'!D$130:D$210)</f>
        <v>26698.163032363918</v>
      </c>
      <c r="E43" s="27">
        <f>'Statistics NZ'!E$43*'Economic Forecasts'!G$9*1000000/SUM('Statistics NZ'!E$30:E$110,'Statistics NZ'!E$130:E$210)</f>
        <v>27008.541088480179</v>
      </c>
      <c r="F43" s="27">
        <f>'Statistics NZ'!F$43*'Economic Forecasts'!H$9*1000000/SUM('Statistics NZ'!F$30:F$110,'Statistics NZ'!F$130:F$210)</f>
        <v>27386.257120531242</v>
      </c>
      <c r="G43" s="27">
        <f>'Statistics NZ'!G$43*'Economic Forecasts'!I$9*1000000/SUM('Statistics NZ'!G$30:G$110,'Statistics NZ'!G$130:G$210)</f>
        <v>27846.70885565722</v>
      </c>
      <c r="H43" s="27">
        <f>'Statistics NZ'!H$43*'Economic Forecasts'!J$9*1000000/SUM('Statistics NZ'!H$30:H$110,'Statistics NZ'!H$130:H$210)</f>
        <v>27638.110783638302</v>
      </c>
      <c r="I43" s="27">
        <f>'Statistics NZ'!I$43*'Economic Forecasts'!K$9*1000000/SUM('Statistics NZ'!I$30:I$110,'Statistics NZ'!I$130:I$210)</f>
        <v>27734.257962080883</v>
      </c>
      <c r="J43" s="27">
        <f>'Statistics NZ'!J$43*'Economic Forecasts'!L$9*1000000/SUM('Statistics NZ'!J$30:J$110,'Statistics NZ'!J$130:J$210)</f>
        <v>28270.706625165752</v>
      </c>
      <c r="K43" s="27">
        <f>'Statistics NZ'!K$43*'Economic Forecasts'!M$9*1000000/SUM('Statistics NZ'!K$30:K$110,'Statistics NZ'!K$130:K$210)</f>
        <v>29695.468994535939</v>
      </c>
      <c r="L43" s="27">
        <f>'Statistics NZ'!L$43*'Economic Forecasts'!N$9*1000000/SUM('Statistics NZ'!L$30:L$110,'Statistics NZ'!L$130:L$210)</f>
        <v>32549.504025586419</v>
      </c>
      <c r="M43" s="27">
        <f>'Statistics NZ'!M$43*'Economic Forecasts'!O$9*1000000/SUM('Statistics NZ'!M$30:M$110,'Statistics NZ'!M$130:M$210)</f>
        <v>34086.043134291016</v>
      </c>
      <c r="N43" s="27">
        <f>'Statistics NZ'!N$43*'Economic Forecasts'!P$9*1000000/SUM('Statistics NZ'!N$30:N$110,'Statistics NZ'!N$130:N$210)</f>
        <v>36292.321212703646</v>
      </c>
      <c r="O43" s="27">
        <f>'Statistics NZ'!O$43*'Economic Forecasts'!Q$9*1000000/SUM('Statistics NZ'!O$30:O$110,'Statistics NZ'!O$130:O$210)</f>
        <v>37359.41958935748</v>
      </c>
      <c r="P43" s="27">
        <f>'Statistics NZ'!P$43*'Economic Forecasts'!R$9*1000000/SUM('Statistics NZ'!P$30:P$110,'Statistics NZ'!P$130:P$210)</f>
        <v>37855.483858395266</v>
      </c>
      <c r="Q43" s="27">
        <f>'Statistics NZ'!Q$43*'Economic Forecasts'!S$9*1000000/SUM('Statistics NZ'!Q$30:Q$110,'Statistics NZ'!Q$130:Q$210)</f>
        <v>36623.586159314138</v>
      </c>
      <c r="R43" s="27">
        <f>'Statistics NZ'!R$43*'Economic Forecasts'!T$9*1000000/SUM('Statistics NZ'!R$30:R$110,'Statistics NZ'!R$130:R$210)</f>
        <v>34386.349220996199</v>
      </c>
      <c r="S43" s="27">
        <f>'Statistics NZ'!S$43*'Economic Forecasts'!U$9*1000000/SUM('Statistics NZ'!S$30:S$110,'Statistics NZ'!S$130:S$210)</f>
        <v>35074.001569687993</v>
      </c>
      <c r="T43" s="27">
        <f>'Statistics NZ'!T$43*'Economic Forecasts'!V$9*1000000/SUM('Statistics NZ'!T$30:T$110,'Statistics NZ'!T$130:T$210)</f>
        <v>34667.776734480962</v>
      </c>
      <c r="U43" s="28">
        <f>SUM('Statistics NZ'!U$43,$G$12/5*(U$8-U$9)*1000)*'Economic Forecasts'!W$9*1000000/SUM('Statistics NZ'!U$30:U$110,'Statistics NZ'!U$130:U$210,SUM($E$12:$T$13)*(U$8-U$9)*1000)</f>
        <v>34120.915759532239</v>
      </c>
      <c r="V43" s="28">
        <f>SUM('Statistics NZ'!V$43,$G$12/5*(V$8-V$9)*1000)*'Economic Forecasts'!X$9*1000000/SUM('Statistics NZ'!V$30:V$110,'Statistics NZ'!V$130:V$210,SUM($E$12:$T$13)*(V$8-V$9)*1000)</f>
        <v>33648.664921048403</v>
      </c>
      <c r="W43" s="28">
        <f>SUM('Statistics NZ'!W$43,$G$12/5*(W$8-W$9)*1000)*'Economic Forecasts'!Y$9*1000000/SUM('Statistics NZ'!W$30:W$110,'Statistics NZ'!W$130:W$210,SUM($E$12:$T$13)*(W$8-W$9)*1000)</f>
        <v>32650.361017515177</v>
      </c>
      <c r="X43" s="28">
        <f>SUM('Statistics NZ'!X$43,$G$12/5*(X$8-X$9)*1000)*'Economic Forecasts'!Z$9*1000000/SUM('Statistics NZ'!X$30:X$110,'Statistics NZ'!X$130:X$210,SUM($E$12:$T$13)*(X$8-X$9)*1000)</f>
        <v>34137.858182069744</v>
      </c>
      <c r="Y43" s="28">
        <f>SUM('Statistics NZ'!Y$43,$G$12/5*(Y$8-Y$9)*1000)*'Economic Forecasts'!AA$9*1000000/SUM('Statistics NZ'!Y$30:Y$110,'Statistics NZ'!Y$130:Y$210,SUM($E$12:$T$13)*(Y$8-Y$9)*1000)</f>
        <v>33786.814956701193</v>
      </c>
      <c r="Z43" s="28">
        <f>SUM('Statistics NZ'!Z$43,$G$12/5*(Z$8-Z$9)*1000)*'Economic Forecasts'!AB$9*1000000/SUM('Statistics NZ'!Z$30:Z$110,'Statistics NZ'!Z$130:Z$210,SUM($E$12:$T$13)*(Z$8-Z$9)*1000)</f>
        <v>33100.304198715203</v>
      </c>
      <c r="AA43" s="28">
        <f>SUM('Statistics NZ'!AA$43,$G$12/5*(AA$8-AA$9)*1000)*'Economic Forecasts'!AC$9*1000000/SUM('Statistics NZ'!AA$30:AA$110,'Statistics NZ'!AA$130:AA$210,SUM($E$12:$T$13)*(AA$8-AA$9)*1000)</f>
        <v>33069.717950870159</v>
      </c>
      <c r="AB43" s="18">
        <f>SUM(AA$43,'Statistics NZ'!AB$43-'Statistics NZ'!AA$43,$G$12/5*(AB$8-AB$9)*1000)</f>
        <v>34015.636545529931</v>
      </c>
      <c r="AC43" s="18">
        <f>SUM(AB$43,'Statistics NZ'!AC$43-'Statistics NZ'!AB$43,$G$12/5*(AC$8-AC$9)*1000)</f>
        <v>34149.58227530311</v>
      </c>
      <c r="AD43" s="18">
        <f>SUM(AC$43,'Statistics NZ'!AD$43-'Statistics NZ'!AC$43,$G$12/5*(AD$8-AD$9)*1000)</f>
        <v>34889.559662708605</v>
      </c>
      <c r="AE43" s="18">
        <f>SUM(AD$43,'Statistics NZ'!AE$43-'Statistics NZ'!AD$43,$G$12/5*(AE$8-AE$9)*1000)</f>
        <v>37059.559662708605</v>
      </c>
      <c r="AF43" s="18">
        <f>SUM(AE$43,'Statistics NZ'!AF$43-'Statistics NZ'!AE$43,$G$12/5*(AF$8-AF$9)*1000)</f>
        <v>38199.559662708605</v>
      </c>
      <c r="AG43" s="18">
        <f>SUM(AF$43,'Statistics NZ'!AG$43-'Statistics NZ'!AF$43,$G$12/5*(AG$8-AG$9)*1000)</f>
        <v>37669.559662708605</v>
      </c>
      <c r="AH43" s="18">
        <f>SUM(AG$43,'Statistics NZ'!AH$43-'Statistics NZ'!AG$43,$G$12/5*(AH$8-AH$9)*1000)</f>
        <v>38719.559662708605</v>
      </c>
      <c r="AI43" s="18">
        <f>SUM(AH$43,'Statistics NZ'!AI$43-'Statistics NZ'!AH$43,$G$12/5*(AI$8-AI$9)*1000)</f>
        <v>38799.559662708605</v>
      </c>
      <c r="AJ43" s="18">
        <f>SUM(AI$43,'Statistics NZ'!AJ$43-'Statistics NZ'!AI$43,$G$12/5*(AJ$8-AJ$9)*1000)</f>
        <v>38939.559662708605</v>
      </c>
      <c r="AK43" s="18">
        <f>SUM(AJ$43,'Statistics NZ'!AK$43-'Statistics NZ'!AJ$43,$G$12/5*(AK$8-AK$9)*1000)</f>
        <v>38999.559662708605</v>
      </c>
    </row>
    <row r="44" spans="1:37" x14ac:dyDescent="0.25">
      <c r="A44" s="12">
        <v>29</v>
      </c>
      <c r="B44" s="27">
        <f>'Statistics NZ'!B$44*'Economic Forecasts'!D$9*1000000/SUM('Statistics NZ'!B$30:B$110,'Statistics NZ'!B$130:B$210)</f>
        <v>26230.745498009903</v>
      </c>
      <c r="C44" s="27">
        <f>'Statistics NZ'!C$44*'Economic Forecasts'!E$9*1000000/SUM('Statistics NZ'!C$30:C$110,'Statistics NZ'!C$130:C$210)</f>
        <v>26072.307775403893</v>
      </c>
      <c r="D44" s="27">
        <f>'Statistics NZ'!D$44*'Economic Forecasts'!F$9*1000000/SUM('Statistics NZ'!D$30:D$110,'Statistics NZ'!D$130:D$210)</f>
        <v>26953.553848714713</v>
      </c>
      <c r="E44" s="27">
        <f>'Statistics NZ'!E$44*'Economic Forecasts'!G$9*1000000/SUM('Statistics NZ'!E$30:E$110,'Statistics NZ'!E$130:E$210)</f>
        <v>27018.348111388121</v>
      </c>
      <c r="F44" s="27">
        <f>'Statistics NZ'!F$44*'Economic Forecasts'!H$9*1000000/SUM('Statistics NZ'!F$30:F$110,'Statistics NZ'!F$130:F$210)</f>
        <v>27278.359975715393</v>
      </c>
      <c r="G44" s="27">
        <f>'Statistics NZ'!G$44*'Economic Forecasts'!I$9*1000000/SUM('Statistics NZ'!G$30:G$110,'Statistics NZ'!G$130:G$210)</f>
        <v>27640.436938207909</v>
      </c>
      <c r="H44" s="27">
        <f>'Statistics NZ'!H$44*'Economic Forecasts'!J$9*1000000/SUM('Statistics NZ'!H$30:H$110,'Statistics NZ'!H$130:H$210)</f>
        <v>27873.914075073539</v>
      </c>
      <c r="I44" s="27">
        <f>'Statistics NZ'!I$44*'Economic Forecasts'!K$9*1000000/SUM('Statistics NZ'!I$30:I$110,'Statistics NZ'!I$130:I$210)</f>
        <v>27744.061517387385</v>
      </c>
      <c r="J44" s="27">
        <f>'Statistics NZ'!J$44*'Economic Forecasts'!L$9*1000000/SUM('Statistics NZ'!J$30:J$110,'Statistics NZ'!J$130:J$210)</f>
        <v>28524.255563508053</v>
      </c>
      <c r="K44" s="27">
        <f>'Statistics NZ'!K$44*'Economic Forecasts'!M$9*1000000/SUM('Statistics NZ'!K$30:K$110,'Statistics NZ'!K$130:K$210)</f>
        <v>29442.327291631693</v>
      </c>
      <c r="L44" s="27">
        <f>'Statistics NZ'!L$44*'Economic Forecasts'!N$9*1000000/SUM('Statistics NZ'!L$30:L$110,'Statistics NZ'!L$130:L$210)</f>
        <v>31157.16807713926</v>
      </c>
      <c r="M44" s="27">
        <f>'Statistics NZ'!M$44*'Economic Forecasts'!O$9*1000000/SUM('Statistics NZ'!M$30:M$110,'Statistics NZ'!M$130:M$210)</f>
        <v>34144.660577342242</v>
      </c>
      <c r="N44" s="27">
        <f>'Statistics NZ'!N$44*'Economic Forecasts'!P$9*1000000/SUM('Statistics NZ'!N$30:N$110,'Statistics NZ'!N$130:N$210)</f>
        <v>35313.827785561465</v>
      </c>
      <c r="O44" s="27">
        <f>'Statistics NZ'!O$44*'Economic Forecasts'!Q$9*1000000/SUM('Statistics NZ'!O$30:O$110,'Statistics NZ'!O$130:O$210)</f>
        <v>37408.525030458106</v>
      </c>
      <c r="P44" s="27">
        <f>'Statistics NZ'!P$44*'Economic Forecasts'!R$9*1000000/SUM('Statistics NZ'!P$30:P$110,'Statistics NZ'!P$130:P$210)</f>
        <v>38815.09001931682</v>
      </c>
      <c r="Q44" s="27">
        <f>'Statistics NZ'!Q$44*'Economic Forecasts'!S$9*1000000/SUM('Statistics NZ'!Q$30:Q$110,'Statistics NZ'!Q$130:Q$210)</f>
        <v>37838.773938541446</v>
      </c>
      <c r="R44" s="27">
        <f>'Statistics NZ'!R$44*'Economic Forecasts'!T$9*1000000/SUM('Statistics NZ'!R$30:R$110,'Statistics NZ'!R$130:R$210)</f>
        <v>36135.812805967827</v>
      </c>
      <c r="S44" s="27">
        <f>'Statistics NZ'!S$44*'Economic Forecasts'!U$9*1000000/SUM('Statistics NZ'!S$30:S$110,'Statistics NZ'!S$130:S$210)</f>
        <v>35872.24418104365</v>
      </c>
      <c r="T44" s="27">
        <f>'Statistics NZ'!T$44*'Economic Forecasts'!V$9*1000000/SUM('Statistics NZ'!T$30:T$110,'Statistics NZ'!T$130:T$210)</f>
        <v>36406.56859676577</v>
      </c>
      <c r="U44" s="28">
        <f>SUM('Statistics NZ'!U$44,$G$12/5*(U$8-U$9)*1000)*'Economic Forecasts'!W$9*1000000/SUM('Statistics NZ'!U$30:U$110,'Statistics NZ'!U$130:U$210,SUM($E$12:$T$13)*(U$8-U$9)*1000)</f>
        <v>34996.702482529479</v>
      </c>
      <c r="V44" s="28">
        <f>SUM('Statistics NZ'!V$44,$G$12/5*(V$8-V$9)*1000)*'Economic Forecasts'!X$9*1000000/SUM('Statistics NZ'!V$30:V$110,'Statistics NZ'!V$130:V$210,SUM($E$12:$T$13)*(V$8-V$9)*1000)</f>
        <v>34678.649194846024</v>
      </c>
      <c r="W44" s="28">
        <f>SUM('Statistics NZ'!W$44,$G$12/5*(W$8-W$9)*1000)*'Economic Forecasts'!Y$9*1000000/SUM('Statistics NZ'!W$30:W$110,'Statistics NZ'!W$130:W$210,SUM($E$12:$T$13)*(W$8-W$9)*1000)</f>
        <v>34420.901654997389</v>
      </c>
      <c r="X44" s="28">
        <f>SUM('Statistics NZ'!X$44,$G$12/5*(X$8-X$9)*1000)*'Economic Forecasts'!Z$9*1000000/SUM('Statistics NZ'!X$30:X$110,'Statistics NZ'!X$130:X$210,SUM($E$12:$T$13)*(X$8-X$9)*1000)</f>
        <v>33336.726652370751</v>
      </c>
      <c r="Y44" s="28">
        <f>SUM('Statistics NZ'!Y$44,$G$12/5*(Y$8-Y$9)*1000)*'Economic Forecasts'!AA$9*1000000/SUM('Statistics NZ'!Y$30:Y$110,'Statistics NZ'!Y$130:Y$210,SUM($E$12:$T$13)*(Y$8-Y$9)*1000)</f>
        <v>34832.094781037529</v>
      </c>
      <c r="Z44" s="28">
        <f>SUM('Statistics NZ'!Z$44,$G$12/5*(Z$8-Z$9)*1000)*'Economic Forecasts'!AB$9*1000000/SUM('Statistics NZ'!Z$30:Z$110,'Statistics NZ'!Z$130:Z$210,SUM($E$12:$T$13)*(Z$8-Z$9)*1000)</f>
        <v>34478.023037463994</v>
      </c>
      <c r="AA44" s="28">
        <f>SUM('Statistics NZ'!AA$44,$G$12/5*(AA$8-AA$9)*1000)*'Economic Forecasts'!AC$9*1000000/SUM('Statistics NZ'!AA$30:AA$110,'Statistics NZ'!AA$130:AA$210,SUM($E$12:$T$13)*(AA$8-AA$9)*1000)</f>
        <v>33802.865197543506</v>
      </c>
      <c r="AB44" s="18">
        <f>SUM(AA$44,'Statistics NZ'!AB$44-'Statistics NZ'!AA$44,$G$12/5*(AB$8-AB$9)*1000)</f>
        <v>33808.783792203278</v>
      </c>
      <c r="AC44" s="18">
        <f>SUM(AB$44,'Statistics NZ'!AC$44-'Statistics NZ'!AB$44,$G$12/5*(AC$8-AC$9)*1000)</f>
        <v>34742.729521976456</v>
      </c>
      <c r="AD44" s="18">
        <f>SUM(AC$44,'Statistics NZ'!AD$44-'Statistics NZ'!AC$44,$G$12/5*(AD$8-AD$9)*1000)</f>
        <v>34872.706909381952</v>
      </c>
      <c r="AE44" s="18">
        <f>SUM(AD$44,'Statistics NZ'!AE$44-'Statistics NZ'!AD$44,$G$12/5*(AE$8-AE$9)*1000)</f>
        <v>35602.706909381952</v>
      </c>
      <c r="AF44" s="18">
        <f>SUM(AE$44,'Statistics NZ'!AF$44-'Statistics NZ'!AE$44,$G$12/5*(AF$8-AF$9)*1000)</f>
        <v>37772.706909381952</v>
      </c>
      <c r="AG44" s="18">
        <f>SUM(AF$44,'Statistics NZ'!AG$44-'Statistics NZ'!AF$44,$G$12/5*(AG$8-AG$9)*1000)</f>
        <v>38922.706909381952</v>
      </c>
      <c r="AH44" s="18">
        <f>SUM(AG$44,'Statistics NZ'!AH$44-'Statistics NZ'!AG$44,$G$12/5*(AH$8-AH$9)*1000)</f>
        <v>38382.706909381952</v>
      </c>
      <c r="AI44" s="18">
        <f>SUM(AH$44,'Statistics NZ'!AI$44-'Statistics NZ'!AH$44,$G$12/5*(AI$8-AI$9)*1000)</f>
        <v>39442.706909381952</v>
      </c>
      <c r="AJ44" s="18">
        <f>SUM(AI$44,'Statistics NZ'!AJ$44-'Statistics NZ'!AI$44,$G$12/5*(AJ$8-AJ$9)*1000)</f>
        <v>39522.706909381952</v>
      </c>
      <c r="AK44" s="18">
        <f>SUM(AJ$44,'Statistics NZ'!AK$44-'Statistics NZ'!AJ$44,$G$12/5*(AK$8-AK$9)*1000)</f>
        <v>39672.706909381952</v>
      </c>
    </row>
    <row r="45" spans="1:37" x14ac:dyDescent="0.25">
      <c r="A45" s="12">
        <v>30</v>
      </c>
      <c r="B45" s="27">
        <f>'Statistics NZ'!B$45*'Economic Forecasts'!D$9*1000000/SUM('Statistics NZ'!B$30:B$110,'Statistics NZ'!B$130:B$210)</f>
        <v>26494.91190175711</v>
      </c>
      <c r="C45" s="27">
        <f>'Statistics NZ'!C$45*'Economic Forecasts'!E$9*1000000/SUM('Statistics NZ'!C$30:C$110,'Statistics NZ'!C$130:C$210)</f>
        <v>26769.533331732957</v>
      </c>
      <c r="D45" s="27">
        <f>'Statistics NZ'!D$45*'Economic Forecasts'!F$9*1000000/SUM('Statistics NZ'!D$30:D$110,'Statistics NZ'!D$130:D$210)</f>
        <v>26462.417663424727</v>
      </c>
      <c r="E45" s="27">
        <f>'Statistics NZ'!E$45*'Economic Forecasts'!G$9*1000000/SUM('Statistics NZ'!E$30:E$110,'Statistics NZ'!E$130:E$210)</f>
        <v>27371.400936074137</v>
      </c>
      <c r="F45" s="27">
        <f>'Statistics NZ'!F$45*'Economic Forecasts'!H$9*1000000/SUM('Statistics NZ'!F$30:F$110,'Statistics NZ'!F$130:F$210)</f>
        <v>27474.536602653297</v>
      </c>
      <c r="G45" s="27">
        <f>'Statistics NZ'!G$45*'Economic Forecasts'!I$9*1000000/SUM('Statistics NZ'!G$30:G$110,'Statistics NZ'!G$130:G$210)</f>
        <v>27424.342548499106</v>
      </c>
      <c r="H45" s="27">
        <f>'Statistics NZ'!H$45*'Economic Forecasts'!J$9*1000000/SUM('Statistics NZ'!H$30:H$110,'Statistics NZ'!H$130:H$210)</f>
        <v>27765.837566499056</v>
      </c>
      <c r="I45" s="27">
        <f>'Statistics NZ'!I$45*'Economic Forecasts'!K$9*1000000/SUM('Statistics NZ'!I$30:I$110,'Statistics NZ'!I$130:I$210)</f>
        <v>28067.578842501793</v>
      </c>
      <c r="J45" s="27">
        <f>'Statistics NZ'!J$45*'Economic Forecasts'!L$9*1000000/SUM('Statistics NZ'!J$30:J$110,'Statistics NZ'!J$130:J$210)</f>
        <v>28436.488623312642</v>
      </c>
      <c r="K45" s="27">
        <f>'Statistics NZ'!K$45*'Economic Forecasts'!M$9*1000000/SUM('Statistics NZ'!K$30:K$110,'Statistics NZ'!K$130:K$210)</f>
        <v>29559.161923741343</v>
      </c>
      <c r="L45" s="27">
        <f>'Statistics NZ'!L$45*'Economic Forecasts'!N$9*1000000/SUM('Statistics NZ'!L$30:L$110,'Statistics NZ'!L$130:L$210)</f>
        <v>30806.649936271446</v>
      </c>
      <c r="M45" s="27">
        <f>'Statistics NZ'!M$45*'Economic Forecasts'!O$9*1000000/SUM('Statistics NZ'!M$30:M$110,'Statistics NZ'!M$130:M$210)</f>
        <v>32532.680893433382</v>
      </c>
      <c r="N45" s="27">
        <f>'Statistics NZ'!N$45*'Economic Forecasts'!P$9*1000000/SUM('Statistics NZ'!N$30:N$110,'Statistics NZ'!N$130:N$210)</f>
        <v>35392.107259732838</v>
      </c>
      <c r="O45" s="27">
        <f>'Statistics NZ'!O$45*'Economic Forecasts'!Q$9*1000000/SUM('Statistics NZ'!O$30:O$110,'Statistics NZ'!O$130:O$210)</f>
        <v>36318.384238024169</v>
      </c>
      <c r="P45" s="27">
        <f>'Statistics NZ'!P$45*'Economic Forecasts'!R$9*1000000/SUM('Statistics NZ'!P$30:P$110,'Statistics NZ'!P$130:P$210)</f>
        <v>38570.292529285813</v>
      </c>
      <c r="Q45" s="27">
        <f>'Statistics NZ'!Q$45*'Economic Forecasts'!S$9*1000000/SUM('Statistics NZ'!Q$30:Q$110,'Statistics NZ'!Q$130:Q$210)</f>
        <v>38965.045538800907</v>
      </c>
      <c r="R45" s="27">
        <f>'Statistics NZ'!R$45*'Economic Forecasts'!T$9*1000000/SUM('Statistics NZ'!R$30:R$110,'Statistics NZ'!R$130:R$210)</f>
        <v>37400.961613178966</v>
      </c>
      <c r="S45" s="27">
        <f>'Statistics NZ'!S$45*'Economic Forecasts'!U$9*1000000/SUM('Statistics NZ'!S$30:S$110,'Statistics NZ'!S$130:S$210)</f>
        <v>37692.626721574226</v>
      </c>
      <c r="T45" s="27">
        <f>'Statistics NZ'!T$45*'Economic Forecasts'!V$9*1000000/SUM('Statistics NZ'!T$30:T$110,'Statistics NZ'!T$130:T$210)</f>
        <v>37359.465832029215</v>
      </c>
      <c r="U45" s="28">
        <f>SUM('Statistics NZ'!U$45,$H$12/5*(U$8-U$9)*1000)*'Economic Forecasts'!W$9*1000000/SUM('Statistics NZ'!U$30:U$110,'Statistics NZ'!U$130:U$210,SUM($E$12:$T$13)*(U$8-U$9)*1000)</f>
        <v>36701.002862475267</v>
      </c>
      <c r="V45" s="28">
        <f>SUM('Statistics NZ'!V$45,$H$12/5*(V$8-V$9)*1000)*'Economic Forecasts'!X$9*1000000/SUM('Statistics NZ'!V$30:V$110,'Statistics NZ'!V$130:V$210,SUM($E$12:$T$13)*(V$8-V$9)*1000)</f>
        <v>35515.647335345013</v>
      </c>
      <c r="W45" s="28">
        <f>SUM('Statistics NZ'!W$45,$H$12/5*(W$8-W$9)*1000)*'Economic Forecasts'!Y$9*1000000/SUM('Statistics NZ'!W$30:W$110,'Statistics NZ'!W$130:W$210,SUM($E$12:$T$13)*(W$8-W$9)*1000)</f>
        <v>35428.128028939544</v>
      </c>
      <c r="X45" s="28">
        <f>SUM('Statistics NZ'!X$45,$H$12/5*(X$8-X$9)*1000)*'Economic Forecasts'!Z$9*1000000/SUM('Statistics NZ'!X$30:X$110,'Statistics NZ'!X$130:X$210,SUM($E$12:$T$13)*(X$8-X$9)*1000)</f>
        <v>35077.148243494419</v>
      </c>
      <c r="Y45" s="28">
        <f>SUM('Statistics NZ'!Y$45,$H$12/5*(Y$8-Y$9)*1000)*'Economic Forecasts'!AA$9*1000000/SUM('Statistics NZ'!Y$30:Y$110,'Statistics NZ'!Y$130:Y$210,SUM($E$12:$T$13)*(Y$8-Y$9)*1000)</f>
        <v>34003.483648061956</v>
      </c>
      <c r="Z45" s="28">
        <f>SUM('Statistics NZ'!Z$45,$H$12/5*(Z$8-Z$9)*1000)*'Economic Forecasts'!AB$9*1000000/SUM('Statistics NZ'!Z$30:Z$110,'Statistics NZ'!Z$130:Z$210,SUM($E$12:$T$13)*(Z$8-Z$9)*1000)</f>
        <v>35495.699125537496</v>
      </c>
      <c r="AA45" s="28">
        <f>SUM('Statistics NZ'!AA$45,$H$12/5*(AA$8-AA$9)*1000)*'Economic Forecasts'!AC$9*1000000/SUM('Statistics NZ'!AA$30:AA$110,'Statistics NZ'!AA$130:AA$210,SUM($E$12:$T$13)*(AA$8-AA$9)*1000)</f>
        <v>35162.959063239112</v>
      </c>
      <c r="AB45" s="18">
        <f>SUM(AA$45,'Statistics NZ'!AB$45-'Statistics NZ'!AA$45,$H$12/5*(AB$8-AB$9)*1000)</f>
        <v>34499.855528317392</v>
      </c>
      <c r="AC45" s="18">
        <f>SUM(AB$45,'Statistics NZ'!AC$45-'Statistics NZ'!AB$45,$H$12/5*(AC$8-AC$9)*1000)</f>
        <v>34494.453171702909</v>
      </c>
      <c r="AD45" s="18">
        <f>SUM(AC$45,'Statistics NZ'!AD$45-'Statistics NZ'!AC$45,$H$12/5*(AD$8-AD$9)*1000)</f>
        <v>35424.702189780211</v>
      </c>
      <c r="AE45" s="18">
        <f>SUM(AD$45,'Statistics NZ'!AE$45-'Statistics NZ'!AD$45,$H$12/5*(AE$8-AE$9)*1000)</f>
        <v>35544.702189780211</v>
      </c>
      <c r="AF45" s="18">
        <f>SUM(AE$45,'Statistics NZ'!AF$45-'Statistics NZ'!AE$45,$H$12/5*(AF$8-AF$9)*1000)</f>
        <v>36274.702189780211</v>
      </c>
      <c r="AG45" s="18">
        <f>SUM(AF$45,'Statistics NZ'!AG$45-'Statistics NZ'!AF$45,$H$12/5*(AG$8-AG$9)*1000)</f>
        <v>38444.702189780211</v>
      </c>
      <c r="AH45" s="18">
        <f>SUM(AG$45,'Statistics NZ'!AH$45-'Statistics NZ'!AG$45,$H$12/5*(AH$8-AH$9)*1000)</f>
        <v>39594.702189780211</v>
      </c>
      <c r="AI45" s="18">
        <f>SUM(AH$45,'Statistics NZ'!AI$45-'Statistics NZ'!AH$45,$H$12/5*(AI$8-AI$9)*1000)</f>
        <v>39064.702189780211</v>
      </c>
      <c r="AJ45" s="18">
        <f>SUM(AI$45,'Statistics NZ'!AJ$45-'Statistics NZ'!AI$45,$H$12/5*(AJ$8-AJ$9)*1000)</f>
        <v>40124.702189780211</v>
      </c>
      <c r="AK45" s="18">
        <f>SUM(AJ$45,'Statistics NZ'!AK$45-'Statistics NZ'!AJ$45,$H$12/5*(AK$8-AK$9)*1000)</f>
        <v>40204.702189780211</v>
      </c>
    </row>
    <row r="46" spans="1:37" x14ac:dyDescent="0.25">
      <c r="A46" s="12">
        <v>31</v>
      </c>
      <c r="B46" s="27">
        <f>'Statistics NZ'!B$46*'Economic Forecasts'!D$9*1000000/SUM('Statistics NZ'!B$30:B$110,'Statistics NZ'!B$130:B$210)</f>
        <v>28050.558501601787</v>
      </c>
      <c r="C46" s="27">
        <f>'Statistics NZ'!C$46*'Economic Forecasts'!E$9*1000000/SUM('Statistics NZ'!C$30:C$110,'Statistics NZ'!C$130:C$210)</f>
        <v>27113.236070768413</v>
      </c>
      <c r="D46" s="27">
        <f>'Statistics NZ'!D$46*'Economic Forecasts'!F$9*1000000/SUM('Statistics NZ'!D$30:D$110,'Statistics NZ'!D$130:D$210)</f>
        <v>27100.894704301711</v>
      </c>
      <c r="E46" s="27">
        <f>'Statistics NZ'!E$46*'Economic Forecasts'!G$9*1000000/SUM('Statistics NZ'!E$30:E$110,'Statistics NZ'!E$130:E$210)</f>
        <v>26851.62872195306</v>
      </c>
      <c r="F46" s="27">
        <f>'Statistics NZ'!F$46*'Economic Forecasts'!H$9*1000000/SUM('Statistics NZ'!F$30:F$110,'Statistics NZ'!F$130:F$210)</f>
        <v>27690.33089228499</v>
      </c>
      <c r="G46" s="27">
        <f>'Statistics NZ'!G$46*'Economic Forecasts'!I$9*1000000/SUM('Statistics NZ'!G$30:G$110,'Statistics NZ'!G$130:G$210)</f>
        <v>27699.371771764854</v>
      </c>
      <c r="H46" s="27">
        <f>'Statistics NZ'!H$46*'Economic Forecasts'!J$9*1000000/SUM('Statistics NZ'!H$30:H$110,'Statistics NZ'!H$130:H$210)</f>
        <v>27539.859412206955</v>
      </c>
      <c r="I46" s="27">
        <f>'Statistics NZ'!I$46*'Economic Forecasts'!K$9*1000000/SUM('Statistics NZ'!I$30:I$110,'Statistics NZ'!I$130:I$210)</f>
        <v>27949.936178823824</v>
      </c>
      <c r="J46" s="27">
        <f>'Statistics NZ'!J$46*'Economic Forecasts'!L$9*1000000/SUM('Statistics NZ'!J$30:J$110,'Statistics NZ'!J$130:J$210)</f>
        <v>28582.766856971659</v>
      </c>
      <c r="K46" s="27">
        <f>'Statistics NZ'!K$46*'Economic Forecasts'!M$9*1000000/SUM('Statistics NZ'!K$30:K$110,'Statistics NZ'!K$130:K$210)</f>
        <v>29413.118633604281</v>
      </c>
      <c r="L46" s="27">
        <f>'Statistics NZ'!L$46*'Economic Forecasts'!N$9*1000000/SUM('Statistics NZ'!L$30:L$110,'Statistics NZ'!L$130:L$210)</f>
        <v>30923.489316560714</v>
      </c>
      <c r="M46" s="27">
        <f>'Statistics NZ'!M$46*'Economic Forecasts'!O$9*1000000/SUM('Statistics NZ'!M$30:M$110,'Statistics NZ'!M$130:M$210)</f>
        <v>32073.5109228654</v>
      </c>
      <c r="N46" s="27">
        <f>'Statistics NZ'!N$46*'Economic Forecasts'!P$9*1000000/SUM('Statistics NZ'!N$30:N$110,'Statistics NZ'!N$130:N$210)</f>
        <v>33640.604025148328</v>
      </c>
      <c r="O46" s="27">
        <f>'Statistics NZ'!O$46*'Economic Forecasts'!Q$9*1000000/SUM('Statistics NZ'!O$30:O$110,'Statistics NZ'!O$130:O$210)</f>
        <v>36338.026414464424</v>
      </c>
      <c r="P46" s="27">
        <f>'Statistics NZ'!P$46*'Economic Forecasts'!R$9*1000000/SUM('Statistics NZ'!P$30:P$110,'Statistics NZ'!P$130:P$210)</f>
        <v>37356.096978732006</v>
      </c>
      <c r="Q46" s="27">
        <f>'Statistics NZ'!Q$46*'Economic Forecasts'!S$9*1000000/SUM('Statistics NZ'!Q$30:Q$110,'Statistics NZ'!Q$130:Q$210)</f>
        <v>38797.092756306076</v>
      </c>
      <c r="R46" s="27">
        <f>'Statistics NZ'!R$46*'Economic Forecasts'!T$9*1000000/SUM('Statistics NZ'!R$30:R$110,'Statistics NZ'!R$130:R$210)</f>
        <v>38685.878370502767</v>
      </c>
      <c r="S46" s="27">
        <f>'Statistics NZ'!S$46*'Economic Forecasts'!U$9*1000000/SUM('Statistics NZ'!S$30:S$110,'Statistics NZ'!S$130:S$210)</f>
        <v>38753.705314717714</v>
      </c>
      <c r="T46" s="27">
        <f>'Statistics NZ'!T$46*'Economic Forecasts'!V$9*1000000/SUM('Statistics NZ'!T$30:T$110,'Statistics NZ'!T$130:T$210)</f>
        <v>39265.260302556075</v>
      </c>
      <c r="U46" s="28">
        <f>SUM('Statistics NZ'!U$46,$H$12/5*(U$8-U$9)*1000)*'Economic Forecasts'!W$9*1000000/SUM('Statistics NZ'!U$30:U$110,'Statistics NZ'!U$130:U$210,SUM($E$12:$T$13)*(U$8-U$9)*1000)</f>
        <v>37635.831387022881</v>
      </c>
      <c r="V46" s="28">
        <f>SUM('Statistics NZ'!V$46,$H$12/5*(V$8-V$9)*1000)*'Economic Forecasts'!X$9*1000000/SUM('Statistics NZ'!V$30:V$110,'Statistics NZ'!V$130:V$210,SUM($E$12:$T$13)*(V$8-V$9)*1000)</f>
        <v>37212.669043602036</v>
      </c>
      <c r="W46" s="28">
        <f>SUM('Statistics NZ'!W$46,$H$12/5*(W$8-W$9)*1000)*'Economic Forecasts'!Y$9*1000000/SUM('Statistics NZ'!W$30:W$110,'Statistics NZ'!W$130:W$210,SUM($E$12:$T$13)*(W$8-W$9)*1000)</f>
        <v>36249.815396610851</v>
      </c>
      <c r="X46" s="28">
        <f>SUM('Statistics NZ'!X$46,$H$12/5*(X$8-X$9)*1000)*'Economic Forecasts'!Z$9*1000000/SUM('Statistics NZ'!X$30:X$110,'Statistics NZ'!X$130:X$210,SUM($E$12:$T$13)*(X$8-X$9)*1000)</f>
        <v>36063.907810562676</v>
      </c>
      <c r="Y46" s="28">
        <f>SUM('Statistics NZ'!Y$46,$H$12/5*(Y$8-Y$9)*1000)*'Economic Forecasts'!AA$9*1000000/SUM('Statistics NZ'!Y$30:Y$110,'Statistics NZ'!Y$130:Y$210,SUM($E$12:$T$13)*(Y$8-Y$9)*1000)</f>
        <v>35722.822424540405</v>
      </c>
      <c r="Z46" s="28">
        <f>SUM('Statistics NZ'!Z$46,$H$12/5*(Z$8-Z$9)*1000)*'Economic Forecasts'!AB$9*1000000/SUM('Statistics NZ'!Z$30:Z$110,'Statistics NZ'!Z$130:Z$210,SUM($E$12:$T$13)*(Z$8-Z$9)*1000)</f>
        <v>34645.617288862712</v>
      </c>
      <c r="AA46" s="28">
        <f>SUM('Statistics NZ'!AA$46,$H$12/5*(AA$8-AA$9)*1000)*'Economic Forecasts'!AC$9*1000000/SUM('Statistics NZ'!AA$30:AA$110,'Statistics NZ'!AA$130:AA$210,SUM($E$12:$T$13)*(AA$8-AA$9)*1000)</f>
        <v>36150.26402209256</v>
      </c>
      <c r="AB46" s="18">
        <f>SUM(AA$46,'Statistics NZ'!AB$46-'Statistics NZ'!AA$46,$H$12/5*(AB$8-AB$9)*1000)</f>
        <v>35837.16048717084</v>
      </c>
      <c r="AC46" s="18">
        <f>SUM(AB$46,'Statistics NZ'!AC$46-'Statistics NZ'!AB$46,$H$12/5*(AC$8-AC$9)*1000)</f>
        <v>35171.758130556358</v>
      </c>
      <c r="AD46" s="18">
        <f>SUM(AC$46,'Statistics NZ'!AD$46-'Statistics NZ'!AC$46,$H$12/5*(AD$8-AD$9)*1000)</f>
        <v>35152.00714863366</v>
      </c>
      <c r="AE46" s="18">
        <f>SUM(AD$46,'Statistics NZ'!AE$46-'Statistics NZ'!AD$46,$H$12/5*(AE$8-AE$9)*1000)</f>
        <v>36072.00714863366</v>
      </c>
      <c r="AF46" s="18">
        <f>SUM(AE$46,'Statistics NZ'!AF$46-'Statistics NZ'!AE$46,$H$12/5*(AF$8-AF$9)*1000)</f>
        <v>36192.00714863366</v>
      </c>
      <c r="AG46" s="18">
        <f>SUM(AF$46,'Statistics NZ'!AG$46-'Statistics NZ'!AF$46,$H$12/5*(AG$8-AG$9)*1000)</f>
        <v>36932.00714863366</v>
      </c>
      <c r="AH46" s="18">
        <f>SUM(AG$46,'Statistics NZ'!AH$46-'Statistics NZ'!AG$46,$H$12/5*(AH$8-AH$9)*1000)</f>
        <v>39112.00714863366</v>
      </c>
      <c r="AI46" s="18">
        <f>SUM(AH$46,'Statistics NZ'!AI$46-'Statistics NZ'!AH$46,$H$12/5*(AI$8-AI$9)*1000)</f>
        <v>40262.00714863366</v>
      </c>
      <c r="AJ46" s="18">
        <f>SUM(AI$46,'Statistics NZ'!AJ$46-'Statistics NZ'!AI$46,$H$12/5*(AJ$8-AJ$9)*1000)</f>
        <v>39732.00714863366</v>
      </c>
      <c r="AK46" s="18">
        <f>SUM(AJ$46,'Statistics NZ'!AK$46-'Statistics NZ'!AJ$46,$H$12/5*(AK$8-AK$9)*1000)</f>
        <v>40792.00714863366</v>
      </c>
    </row>
    <row r="47" spans="1:37" x14ac:dyDescent="0.25">
      <c r="A47" s="12">
        <v>32</v>
      </c>
      <c r="B47" s="27">
        <f>'Statistics NZ'!B$47*'Economic Forecasts'!D$9*1000000/SUM('Statistics NZ'!B$30:B$110,'Statistics NZ'!B$130:B$210)</f>
        <v>29312.686875060674</v>
      </c>
      <c r="C47" s="27">
        <f>'Statistics NZ'!C$47*'Economic Forecasts'!E$9*1000000/SUM('Statistics NZ'!C$30:C$110,'Statistics NZ'!C$130:C$210)</f>
        <v>28468.40687039393</v>
      </c>
      <c r="D47" s="27">
        <f>'Statistics NZ'!D$47*'Economic Forecasts'!F$9*1000000/SUM('Statistics NZ'!D$30:D$110,'Statistics NZ'!D$130:D$210)</f>
        <v>27316.994625829306</v>
      </c>
      <c r="E47" s="27">
        <f>'Statistics NZ'!E$47*'Economic Forecasts'!G$9*1000000/SUM('Statistics NZ'!E$30:E$110,'Statistics NZ'!E$130:E$210)</f>
        <v>27243.909638270849</v>
      </c>
      <c r="F47" s="27">
        <f>'Statistics NZ'!F$47*'Economic Forecasts'!H$9*1000000/SUM('Statistics NZ'!F$30:F$110,'Statistics NZ'!F$130:F$210)</f>
        <v>26993.903866655433</v>
      </c>
      <c r="G47" s="27">
        <f>'Statistics NZ'!G$47*'Economic Forecasts'!I$9*1000000/SUM('Statistics NZ'!G$30:G$110,'Statistics NZ'!G$130:G$210)</f>
        <v>27797.596494359765</v>
      </c>
      <c r="H47" s="27">
        <f>'Statistics NZ'!H$47*'Economic Forecasts'!J$9*1000000/SUM('Statistics NZ'!H$30:H$110,'Statistics NZ'!H$130:H$210)</f>
        <v>27647.935920781438</v>
      </c>
      <c r="I47" s="27">
        <f>'Statistics NZ'!I$47*'Economic Forecasts'!K$9*1000000/SUM('Statistics NZ'!I$30:I$110,'Statistics NZ'!I$130:I$210)</f>
        <v>27459.758413498956</v>
      </c>
      <c r="J47" s="27">
        <f>'Statistics NZ'!J$47*'Economic Forecasts'!L$9*1000000/SUM('Statistics NZ'!J$30:J$110,'Statistics NZ'!J$130:J$210)</f>
        <v>28280.458507409694</v>
      </c>
      <c r="K47" s="27">
        <f>'Statistics NZ'!K$47*'Economic Forecasts'!M$9*1000000/SUM('Statistics NZ'!K$30:K$110,'Statistics NZ'!K$130:K$210)</f>
        <v>29208.658027412395</v>
      </c>
      <c r="L47" s="27">
        <f>'Statistics NZ'!L$47*'Economic Forecasts'!N$9*1000000/SUM('Statistics NZ'!L$30:L$110,'Statistics NZ'!L$130:L$210)</f>
        <v>30446.395180379521</v>
      </c>
      <c r="M47" s="27">
        <f>'Statistics NZ'!M$47*'Economic Forecasts'!O$9*1000000/SUM('Statistics NZ'!M$30:M$110,'Statistics NZ'!M$130:M$210)</f>
        <v>32034.432627497914</v>
      </c>
      <c r="N47" s="27">
        <f>'Statistics NZ'!N$47*'Economic Forecasts'!P$9*1000000/SUM('Statistics NZ'!N$30:N$110,'Statistics NZ'!N$130:N$210)</f>
        <v>33161.142245848656</v>
      </c>
      <c r="O47" s="27">
        <f>'Statistics NZ'!O$47*'Economic Forecasts'!Q$9*1000000/SUM('Statistics NZ'!O$30:O$110,'Statistics NZ'!O$130:O$210)</f>
        <v>34472.019652640578</v>
      </c>
      <c r="P47" s="27">
        <f>'Statistics NZ'!P$47*'Economic Forecasts'!R$9*1000000/SUM('Statistics NZ'!P$30:P$110,'Statistics NZ'!P$130:P$210)</f>
        <v>37219.010384314643</v>
      </c>
      <c r="Q47" s="27">
        <f>'Statistics NZ'!Q$47*'Economic Forecasts'!S$9*1000000/SUM('Statistics NZ'!Q$30:Q$110,'Statistics NZ'!Q$130:Q$210)</f>
        <v>37670.821156046615</v>
      </c>
      <c r="R47" s="27">
        <f>'Statistics NZ'!R$47*'Economic Forecasts'!T$9*1000000/SUM('Statistics NZ'!R$30:R$110,'Statistics NZ'!R$130:R$210)</f>
        <v>38596.922594995733</v>
      </c>
      <c r="S47" s="27">
        <f>'Statistics NZ'!S$47*'Economic Forecasts'!U$9*1000000/SUM('Statistics NZ'!S$30:S$110,'Statistics NZ'!S$130:S$210)</f>
        <v>39775.84524389264</v>
      </c>
      <c r="T47" s="27">
        <f>'Statistics NZ'!T$47*'Economic Forecasts'!V$9*1000000/SUM('Statistics NZ'!T$30:T$110,'Statistics NZ'!T$130:T$210)</f>
        <v>40316.394366197186</v>
      </c>
      <c r="U47" s="28">
        <f>SUM('Statistics NZ'!U$47,$H$12/5*(U$8-U$9)*1000)*'Economic Forecasts'!W$9*1000000/SUM('Statistics NZ'!U$30:U$110,'Statistics NZ'!U$130:U$210,SUM($E$12:$T$13)*(U$8-U$9)*1000)</f>
        <v>39544.84963715171</v>
      </c>
      <c r="V47" s="28">
        <f>SUM('Statistics NZ'!V$47,$H$12/5*(V$8-V$9)*1000)*'Economic Forecasts'!X$9*1000000/SUM('Statistics NZ'!V$30:V$110,'Statistics NZ'!V$130:V$210,SUM($E$12:$T$13)*(V$8-V$9)*1000)</f>
        <v>38124.940828965642</v>
      </c>
      <c r="W47" s="28">
        <f>SUM('Statistics NZ'!W$47,$H$12/5*(W$8-W$9)*1000)*'Economic Forecasts'!Y$9*1000000/SUM('Statistics NZ'!W$30:W$110,'Statistics NZ'!W$130:W$210,SUM($E$12:$T$13)*(W$8-W$9)*1000)</f>
        <v>37922.536109370289</v>
      </c>
      <c r="X47" s="28">
        <f>SUM('Statistics NZ'!X$47,$H$12/5*(X$8-X$9)*1000)*'Economic Forecasts'!Z$9*1000000/SUM('Statistics NZ'!X$30:X$110,'Statistics NZ'!X$130:X$210,SUM($E$12:$T$13)*(X$8-X$9)*1000)</f>
        <v>36874.809236965302</v>
      </c>
      <c r="Y47" s="28">
        <f>SUM('Statistics NZ'!Y$47,$H$12/5*(Y$8-Y$9)*1000)*'Economic Forecasts'!AA$9*1000000/SUM('Statistics NZ'!Y$30:Y$110,'Statistics NZ'!Y$130:Y$210,SUM($E$12:$T$13)*(Y$8-Y$9)*1000)</f>
        <v>36689.950486309535</v>
      </c>
      <c r="Z47" s="28">
        <f>SUM('Statistics NZ'!Z$47,$H$12/5*(Z$8-Z$9)*1000)*'Economic Forecasts'!AB$9*1000000/SUM('Statistics NZ'!Z$30:Z$110,'Statistics NZ'!Z$130:Z$210,SUM($E$12:$T$13)*(Z$8-Z$9)*1000)</f>
        <v>36355.552017806251</v>
      </c>
      <c r="AA47" s="28">
        <f>SUM('Statistics NZ'!AA$47,$H$12/5*(AA$8-AA$9)*1000)*'Economic Forecasts'!AC$9*1000000/SUM('Statistics NZ'!AA$30:AA$110,'Statistics NZ'!AA$130:AA$210,SUM($E$12:$T$13)*(AA$8-AA$9)*1000)</f>
        <v>35290.037919329166</v>
      </c>
      <c r="AB47" s="18">
        <f>SUM(AA$47,'Statistics NZ'!AB$47-'Statistics NZ'!AA$47,$H$12/5*(AB$8-AB$9)*1000)</f>
        <v>36866.934384407446</v>
      </c>
      <c r="AC47" s="18">
        <f>SUM(AB$47,'Statistics NZ'!AC$47-'Statistics NZ'!AB$47,$H$12/5*(AC$8-AC$9)*1000)</f>
        <v>36541.532027792964</v>
      </c>
      <c r="AD47" s="18">
        <f>SUM(AC$47,'Statistics NZ'!AD$47-'Statistics NZ'!AC$47,$H$12/5*(AD$8-AD$9)*1000)</f>
        <v>35861.781045870266</v>
      </c>
      <c r="AE47" s="18">
        <f>SUM(AD$47,'Statistics NZ'!AE$47-'Statistics NZ'!AD$47,$H$12/5*(AE$8-AE$9)*1000)</f>
        <v>35831.781045870266</v>
      </c>
      <c r="AF47" s="18">
        <f>SUM(AE$47,'Statistics NZ'!AF$47-'Statistics NZ'!AE$47,$H$12/5*(AF$8-AF$9)*1000)</f>
        <v>36761.781045870266</v>
      </c>
      <c r="AG47" s="18">
        <f>SUM(AF$47,'Statistics NZ'!AG$47-'Statistics NZ'!AF$47,$H$12/5*(AG$8-AG$9)*1000)</f>
        <v>36881.781045870266</v>
      </c>
      <c r="AH47" s="18">
        <f>SUM(AG$47,'Statistics NZ'!AH$47-'Statistics NZ'!AG$47,$H$12/5*(AH$8-AH$9)*1000)</f>
        <v>37621.781045870266</v>
      </c>
      <c r="AI47" s="18">
        <f>SUM(AH$47,'Statistics NZ'!AI$47-'Statistics NZ'!AH$47,$H$12/5*(AI$8-AI$9)*1000)</f>
        <v>39801.781045870266</v>
      </c>
      <c r="AJ47" s="18">
        <f>SUM(AI$47,'Statistics NZ'!AJ$47-'Statistics NZ'!AI$47,$H$12/5*(AJ$8-AJ$9)*1000)</f>
        <v>40951.781045870266</v>
      </c>
      <c r="AK47" s="18">
        <f>SUM(AJ$47,'Statistics NZ'!AK$47-'Statistics NZ'!AJ$47,$H$12/5*(AK$8-AK$9)*1000)</f>
        <v>40431.781045870266</v>
      </c>
    </row>
    <row r="48" spans="1:37" x14ac:dyDescent="0.25">
      <c r="A48" s="12">
        <v>33</v>
      </c>
      <c r="B48" s="27">
        <f>'Statistics NZ'!B$48*'Economic Forecasts'!D$9*1000000/SUM('Statistics NZ'!B$30:B$110,'Statistics NZ'!B$130:B$210)</f>
        <v>30565.031307640034</v>
      </c>
      <c r="C48" s="27">
        <f>'Statistics NZ'!C$48*'Economic Forecasts'!E$9*1000000/SUM('Statistics NZ'!C$30:C$110,'Statistics NZ'!C$130:C$210)</f>
        <v>29735.196965696043</v>
      </c>
      <c r="D48" s="27">
        <f>'Statistics NZ'!D$48*'Economic Forecasts'!F$9*1000000/SUM('Statistics NZ'!D$30:D$110,'Statistics NZ'!D$130:D$210)</f>
        <v>28682.353220935485</v>
      </c>
      <c r="E48" s="27">
        <f>'Statistics NZ'!E$48*'Economic Forecasts'!G$9*1000000/SUM('Statistics NZ'!E$30:E$110,'Statistics NZ'!E$130:E$210)</f>
        <v>27420.436050613862</v>
      </c>
      <c r="F48" s="27">
        <f>'Statistics NZ'!F$48*'Economic Forecasts'!H$9*1000000/SUM('Statistics NZ'!F$30:F$110,'Statistics NZ'!F$130:F$210)</f>
        <v>27445.110108612611</v>
      </c>
      <c r="G48" s="27">
        <f>'Statistics NZ'!G$48*'Economic Forecasts'!I$9*1000000/SUM('Statistics NZ'!G$30:G$110,'Statistics NZ'!G$130:G$210)</f>
        <v>27060.911074897933</v>
      </c>
      <c r="H48" s="27">
        <f>'Statistics NZ'!H$48*'Economic Forecasts'!J$9*1000000/SUM('Statistics NZ'!H$30:H$110,'Statistics NZ'!H$130:H$210)</f>
        <v>27795.312977928461</v>
      </c>
      <c r="I48" s="27">
        <f>'Statistics NZ'!I$48*'Economic Forecasts'!K$9*1000000/SUM('Statistics NZ'!I$30:I$110,'Statistics NZ'!I$130:I$210)</f>
        <v>27587.204632483426</v>
      </c>
      <c r="J48" s="27">
        <f>'Statistics NZ'!J$48*'Economic Forecasts'!L$9*1000000/SUM('Statistics NZ'!J$30:J$110,'Statistics NZ'!J$130:J$210)</f>
        <v>27870.879453164445</v>
      </c>
      <c r="K48" s="27">
        <f>'Statistics NZ'!K$48*'Economic Forecasts'!M$9*1000000/SUM('Statistics NZ'!K$30:K$110,'Statistics NZ'!K$130:K$210)</f>
        <v>28955.516324508153</v>
      </c>
      <c r="L48" s="27">
        <f>'Statistics NZ'!L$48*'Economic Forecasts'!N$9*1000000/SUM('Statistics NZ'!L$30:L$110,'Statistics NZ'!L$130:L$210)</f>
        <v>30086.140424487599</v>
      </c>
      <c r="M48" s="27">
        <f>'Statistics NZ'!M$48*'Economic Forecasts'!O$9*1000000/SUM('Statistics NZ'!M$30:M$110,'Statistics NZ'!M$130:M$210)</f>
        <v>31487.33649235309</v>
      </c>
      <c r="N48" s="27">
        <f>'Statistics NZ'!N$48*'Economic Forecasts'!P$9*1000000/SUM('Statistics NZ'!N$30:N$110,'Statistics NZ'!N$130:N$210)</f>
        <v>32799.099677806043</v>
      </c>
      <c r="O48" s="27">
        <f>'Statistics NZ'!O$48*'Economic Forecasts'!Q$9*1000000/SUM('Statistics NZ'!O$30:O$110,'Statistics NZ'!O$130:O$210)</f>
        <v>33823.827830112292</v>
      </c>
      <c r="P48" s="27">
        <f>'Statistics NZ'!P$48*'Economic Forecasts'!R$9*1000000/SUM('Statistics NZ'!P$30:P$110,'Statistics NZ'!P$130:P$210)</f>
        <v>35182.295267256646</v>
      </c>
      <c r="Q48" s="27">
        <f>'Statistics NZ'!Q$48*'Economic Forecasts'!S$9*1000000/SUM('Statistics NZ'!Q$30:Q$110,'Statistics NZ'!Q$130:Q$210)</f>
        <v>37532.507099874398</v>
      </c>
      <c r="R48" s="27">
        <f>'Statistics NZ'!R$48*'Economic Forecasts'!T$9*1000000/SUM('Statistics NZ'!R$30:R$110,'Statistics NZ'!R$130:R$210)</f>
        <v>37499.801363742336</v>
      </c>
      <c r="S48" s="27">
        <f>'Statistics NZ'!S$48*'Economic Forecasts'!U$9*1000000/SUM('Statistics NZ'!S$30:S$110,'Statistics NZ'!S$130:S$210)</f>
        <v>39590.886590041941</v>
      </c>
      <c r="T48" s="27">
        <f>'Statistics NZ'!T$48*'Economic Forecasts'!V$9*1000000/SUM('Statistics NZ'!T$30:T$110,'Statistics NZ'!T$130:T$210)</f>
        <v>41357.70474700052</v>
      </c>
      <c r="U48" s="28">
        <f>SUM('Statistics NZ'!U$48,$H$12/5*(U$8-U$9)*1000)*'Economic Forecasts'!W$9*1000000/SUM('Statistics NZ'!U$30:U$110,'Statistics NZ'!U$130:U$210,SUM($E$12:$T$13)*(U$8-U$9)*1000)</f>
        <v>40587.921464541687</v>
      </c>
      <c r="V48" s="28">
        <f>SUM('Statistics NZ'!V$48,$H$12/5*(V$8-V$9)*1000)*'Economic Forecasts'!X$9*1000000/SUM('Statistics NZ'!V$30:V$110,'Statistics NZ'!V$130:V$210,SUM($E$12:$T$13)*(V$8-V$9)*1000)</f>
        <v>40018.150017946027</v>
      </c>
      <c r="W48" s="28">
        <f>SUM('Statistics NZ'!W$48,$H$12/5*(W$8-W$9)*1000)*'Economic Forecasts'!Y$9*1000000/SUM('Statistics NZ'!W$30:W$110,'Statistics NZ'!W$130:W$210,SUM($E$12:$T$13)*(W$8-W$9)*1000)</f>
        <v>38832.261409292092</v>
      </c>
      <c r="X48" s="28">
        <f>SUM('Statistics NZ'!X$48,$H$12/5*(X$8-X$9)*1000)*'Economic Forecasts'!Z$9*1000000/SUM('Statistics NZ'!X$30:X$110,'Statistics NZ'!X$130:X$210,SUM($E$12:$T$13)*(X$8-X$9)*1000)</f>
        <v>38535.691676585142</v>
      </c>
      <c r="Y48" s="28">
        <f>SUM('Statistics NZ'!Y$48,$H$12/5*(Y$8-Y$9)*1000)*'Economic Forecasts'!AA$9*1000000/SUM('Statistics NZ'!Y$30:Y$110,'Statistics NZ'!Y$130:Y$210,SUM($E$12:$T$13)*(Y$8-Y$9)*1000)</f>
        <v>37500.775022944261</v>
      </c>
      <c r="Z48" s="28">
        <f>SUM('Statistics NZ'!Z$48,$H$12/5*(Z$8-Z$9)*1000)*'Economic Forecasts'!AB$9*1000000/SUM('Statistics NZ'!Z$30:Z$110,'Statistics NZ'!Z$130:Z$210,SUM($E$12:$T$13)*(Z$8-Z$9)*1000)</f>
        <v>37313.115466014635</v>
      </c>
      <c r="AA48" s="28">
        <f>SUM('Statistics NZ'!AA$48,$H$12/5*(AA$8-AA$9)*1000)*'Economic Forecasts'!AC$9*1000000/SUM('Statistics NZ'!AA$30:AA$110,'Statistics NZ'!AA$130:AA$210,SUM($E$12:$T$13)*(AA$8-AA$9)*1000)</f>
        <v>36990.939531611344</v>
      </c>
      <c r="AB48" s="18">
        <f>SUM(AA$48,'Statistics NZ'!AB$48-'Statistics NZ'!AA$48,$H$12/5*(AB$8-AB$9)*1000)</f>
        <v>35937.835996689624</v>
      </c>
      <c r="AC48" s="18">
        <f>SUM(AB$48,'Statistics NZ'!AC$48-'Statistics NZ'!AB$48,$H$12/5*(AC$8-AC$9)*1000)</f>
        <v>37492.433640075142</v>
      </c>
      <c r="AD48" s="18">
        <f>SUM(AC$48,'Statistics NZ'!AD$48-'Statistics NZ'!AC$48,$H$12/5*(AD$8-AD$9)*1000)</f>
        <v>37162.682658152444</v>
      </c>
      <c r="AE48" s="18">
        <f>SUM(AD$48,'Statistics NZ'!AE$48-'Statistics NZ'!AD$48,$H$12/5*(AE$8-AE$9)*1000)</f>
        <v>36482.682658152444</v>
      </c>
      <c r="AF48" s="18">
        <f>SUM(AE$48,'Statistics NZ'!AF$48-'Statistics NZ'!AE$48,$H$12/5*(AF$8-AF$9)*1000)</f>
        <v>36452.682658152444</v>
      </c>
      <c r="AG48" s="18">
        <f>SUM(AF$48,'Statistics NZ'!AG$48-'Statistics NZ'!AF$48,$H$12/5*(AG$8-AG$9)*1000)</f>
        <v>37382.682658152444</v>
      </c>
      <c r="AH48" s="18">
        <f>SUM(AG$48,'Statistics NZ'!AH$48-'Statistics NZ'!AG$48,$H$12/5*(AH$8-AH$9)*1000)</f>
        <v>37512.682658152444</v>
      </c>
      <c r="AI48" s="18">
        <f>SUM(AH$48,'Statistics NZ'!AI$48-'Statistics NZ'!AH$48,$H$12/5*(AI$8-AI$9)*1000)</f>
        <v>38252.682658152444</v>
      </c>
      <c r="AJ48" s="18">
        <f>SUM(AI$48,'Statistics NZ'!AJ$48-'Statistics NZ'!AI$48,$H$12/5*(AJ$8-AJ$9)*1000)</f>
        <v>40432.682658152444</v>
      </c>
      <c r="AK48" s="18">
        <f>SUM(AJ$48,'Statistics NZ'!AK$48-'Statistics NZ'!AJ$48,$H$12/5*(AK$8-AK$9)*1000)</f>
        <v>41582.682658152444</v>
      </c>
    </row>
    <row r="49" spans="1:37" x14ac:dyDescent="0.25">
      <c r="A49" s="12">
        <v>34</v>
      </c>
      <c r="B49" s="27">
        <f>'Statistics NZ'!B$49*'Economic Forecasts'!D$9*1000000/SUM('Statistics NZ'!B$30:B$110,'Statistics NZ'!B$130:B$210)</f>
        <v>32032.622439568968</v>
      </c>
      <c r="C49" s="27">
        <f>'Statistics NZ'!C$49*'Economic Forecasts'!E$9*1000000/SUM('Statistics NZ'!C$30:C$110,'Statistics NZ'!C$130:C$210)</f>
        <v>30952.886669707368</v>
      </c>
      <c r="D49" s="27">
        <f>'Statistics NZ'!D$49*'Economic Forecasts'!F$9*1000000/SUM('Statistics NZ'!D$30:D$110,'Statistics NZ'!D$130:D$210)</f>
        <v>29969.130026395258</v>
      </c>
      <c r="E49" s="27">
        <f>'Statistics NZ'!E$49*'Economic Forecasts'!G$9*1000000/SUM('Statistics NZ'!E$30:E$110,'Statistics NZ'!E$130:E$210)</f>
        <v>28852.261395173809</v>
      </c>
      <c r="F49" s="27">
        <f>'Statistics NZ'!F$49*'Economic Forecasts'!H$9*1000000/SUM('Statistics NZ'!F$30:F$110,'Statistics NZ'!F$130:F$210)</f>
        <v>27621.669072856723</v>
      </c>
      <c r="G49" s="27">
        <f>'Statistics NZ'!G$49*'Economic Forecasts'!I$9*1000000/SUM('Statistics NZ'!G$30:G$110,'Statistics NZ'!G$130:G$210)</f>
        <v>27532.389743353506</v>
      </c>
      <c r="H49" s="27">
        <f>'Statistics NZ'!H$49*'Economic Forecasts'!J$9*1000000/SUM('Statistics NZ'!H$30:H$110,'Statistics NZ'!H$130:H$210)</f>
        <v>27078.077966479617</v>
      </c>
      <c r="I49" s="27">
        <f>'Statistics NZ'!I$49*'Economic Forecasts'!K$9*1000000/SUM('Statistics NZ'!I$30:I$110,'Statistics NZ'!I$130:I$210)</f>
        <v>27734.257962080883</v>
      </c>
      <c r="J49" s="27">
        <f>'Statistics NZ'!J$49*'Economic Forecasts'!L$9*1000000/SUM('Statistics NZ'!J$30:J$110,'Statistics NZ'!J$130:J$210)</f>
        <v>27880.631335408383</v>
      </c>
      <c r="K49" s="27">
        <f>'Statistics NZ'!K$49*'Economic Forecasts'!M$9*1000000/SUM('Statistics NZ'!K$30:K$110,'Statistics NZ'!K$130:K$210)</f>
        <v>28468.705357384617</v>
      </c>
      <c r="L49" s="27">
        <f>'Statistics NZ'!L$49*'Economic Forecasts'!N$9*1000000/SUM('Statistics NZ'!L$30:L$110,'Statistics NZ'!L$130:L$210)</f>
        <v>29716.149053571567</v>
      </c>
      <c r="M49" s="27">
        <f>'Statistics NZ'!M$49*'Economic Forecasts'!O$9*1000000/SUM('Statistics NZ'!M$30:M$110,'Statistics NZ'!M$130:M$210)</f>
        <v>30989.088226417625</v>
      </c>
      <c r="N49" s="27">
        <f>'Statistics NZ'!N$49*'Economic Forecasts'!P$9*1000000/SUM('Statistics NZ'!N$30:N$110,'Statistics NZ'!N$130:N$210)</f>
        <v>32348.99270132064</v>
      </c>
      <c r="O49" s="27">
        <f>'Statistics NZ'!O$49*'Economic Forecasts'!Q$9*1000000/SUM('Statistics NZ'!O$30:O$110,'Statistics NZ'!O$130:O$210)</f>
        <v>33539.016271728651</v>
      </c>
      <c r="P49" s="27">
        <f>'Statistics NZ'!P$49*'Economic Forecasts'!R$9*1000000/SUM('Statistics NZ'!P$30:P$110,'Statistics NZ'!P$130:P$210)</f>
        <v>34467.4865963661</v>
      </c>
      <c r="Q49" s="27">
        <f>'Statistics NZ'!Q$49*'Economic Forecasts'!S$9*1000000/SUM('Statistics NZ'!Q$30:Q$110,'Statistics NZ'!Q$130:Q$210)</f>
        <v>35576.351162581661</v>
      </c>
      <c r="R49" s="27">
        <f>'Statistics NZ'!R$49*'Economic Forecasts'!T$9*1000000/SUM('Statistics NZ'!R$30:R$110,'Statistics NZ'!R$130:R$210)</f>
        <v>37400.961613178966</v>
      </c>
      <c r="S49" s="27">
        <f>'Statistics NZ'!S$49*'Economic Forecasts'!U$9*1000000/SUM('Statistics NZ'!S$30:S$110,'Statistics NZ'!S$130:S$210)</f>
        <v>38461.665334953454</v>
      </c>
      <c r="T49" s="27">
        <f>'Statistics NZ'!T$49*'Economic Forecasts'!V$9*1000000/SUM('Statistics NZ'!T$30:T$110,'Statistics NZ'!T$130:T$210)</f>
        <v>41171.054773082942</v>
      </c>
      <c r="U49" s="28">
        <f>SUM('Statistics NZ'!U$49,$H$12/5*(U$8-U$9)*1000)*'Economic Forecasts'!W$9*1000000/SUM('Statistics NZ'!U$30:U$110,'Statistics NZ'!U$130:U$210,SUM($E$12:$T$13)*(U$8-U$9)*1000)</f>
        <v>41601.472391156472</v>
      </c>
      <c r="V49" s="28">
        <f>SUM('Statistics NZ'!V$49,$H$12/5*(V$8-V$9)*1000)*'Economic Forecasts'!X$9*1000000/SUM('Statistics NZ'!V$30:V$110,'Statistics NZ'!V$130:V$210,SUM($E$12:$T$13)*(V$8-V$9)*1000)</f>
        <v>41028.51554367131</v>
      </c>
      <c r="W49" s="28">
        <f>SUM('Statistics NZ'!W$49,$H$12/5*(W$8-W$9)*1000)*'Economic Forecasts'!Y$9*1000000/SUM('Statistics NZ'!W$30:W$110,'Statistics NZ'!W$130:W$210,SUM($E$12:$T$13)*(W$8-W$9)*1000)</f>
        <v>40690.8399790248</v>
      </c>
      <c r="X49" s="28">
        <f>SUM('Statistics NZ'!X$49,$H$12/5*(X$8-X$9)*1000)*'Economic Forecasts'!Z$9*1000000/SUM('Statistics NZ'!X$30:X$110,'Statistics NZ'!X$130:X$210,SUM($E$12:$T$13)*(X$8-X$9)*1000)</f>
        <v>39424.752276616935</v>
      </c>
      <c r="Y49" s="28">
        <f>SUM('Statistics NZ'!Y$49,$H$12/5*(Y$8-Y$9)*1000)*'Economic Forecasts'!AA$9*1000000/SUM('Statistics NZ'!Y$30:Y$110,'Statistics NZ'!Y$130:Y$210,SUM($E$12:$T$13)*(Y$8-Y$9)*1000)</f>
        <v>39132.193066534615</v>
      </c>
      <c r="Z49" s="28">
        <f>SUM('Statistics NZ'!Z$49,$H$12/5*(Z$8-Z$9)*1000)*'Economic Forecasts'!AB$9*1000000/SUM('Statistics NZ'!Z$30:Z$110,'Statistics NZ'!Z$130:Z$210,SUM($E$12:$T$13)*(Z$8-Z$9)*1000)</f>
        <v>38094.799913531671</v>
      </c>
      <c r="AA49" s="28">
        <f>SUM('Statistics NZ'!AA$49,$H$12/5*(AA$8-AA$9)*1000)*'Economic Forecasts'!AC$9*1000000/SUM('Statistics NZ'!AA$30:AA$110,'Statistics NZ'!AA$130:AA$210,SUM($E$12:$T$13)*(AA$8-AA$9)*1000)</f>
        <v>37929.368007353238</v>
      </c>
      <c r="AB49" s="18">
        <f>SUM(AA$49,'Statistics NZ'!AB$49-'Statistics NZ'!AA$49,$H$12/5*(AB$8-AB$9)*1000)</f>
        <v>37626.264472431518</v>
      </c>
      <c r="AC49" s="18">
        <f>SUM(AB$49,'Statistics NZ'!AC$49-'Statistics NZ'!AB$49,$H$12/5*(AC$8-AC$9)*1000)</f>
        <v>36560.862115817035</v>
      </c>
      <c r="AD49" s="18">
        <f>SUM(AC$49,'Statistics NZ'!AD$49-'Statistics NZ'!AC$49,$H$12/5*(AD$8-AD$9)*1000)</f>
        <v>38111.111133894337</v>
      </c>
      <c r="AE49" s="18">
        <f>SUM(AD$49,'Statistics NZ'!AE$49-'Statistics NZ'!AD$49,$H$12/5*(AE$8-AE$9)*1000)</f>
        <v>37771.111133894337</v>
      </c>
      <c r="AF49" s="18">
        <f>SUM(AE$49,'Statistics NZ'!AF$49-'Statistics NZ'!AE$49,$H$12/5*(AF$8-AF$9)*1000)</f>
        <v>37091.111133894337</v>
      </c>
      <c r="AG49" s="18">
        <f>SUM(AF$49,'Statistics NZ'!AG$49-'Statistics NZ'!AF$49,$H$12/5*(AG$8-AG$9)*1000)</f>
        <v>37071.111133894337</v>
      </c>
      <c r="AH49" s="18">
        <f>SUM(AG$49,'Statistics NZ'!AH$49-'Statistics NZ'!AG$49,$H$12/5*(AH$8-AH$9)*1000)</f>
        <v>38001.111133894337</v>
      </c>
      <c r="AI49" s="18">
        <f>SUM(AH$49,'Statistics NZ'!AI$49-'Statistics NZ'!AH$49,$H$12/5*(AI$8-AI$9)*1000)</f>
        <v>38131.111133894337</v>
      </c>
      <c r="AJ49" s="18">
        <f>SUM(AI$49,'Statistics NZ'!AJ$49-'Statistics NZ'!AI$49,$H$12/5*(AJ$8-AJ$9)*1000)</f>
        <v>38871.111133894337</v>
      </c>
      <c r="AK49" s="18">
        <f>SUM(AJ$49,'Statistics NZ'!AK$49-'Statistics NZ'!AJ$49,$H$12/5*(AK$8-AK$9)*1000)</f>
        <v>41051.111133894337</v>
      </c>
    </row>
    <row r="50" spans="1:37" x14ac:dyDescent="0.25">
      <c r="A50" s="12">
        <v>35</v>
      </c>
      <c r="B50" s="27">
        <f>'Statistics NZ'!B$50*'Economic Forecasts'!D$9*1000000/SUM('Statistics NZ'!B$30:B$110,'Statistics NZ'!B$130:B$210)</f>
        <v>32639.226774099603</v>
      </c>
      <c r="C50" s="27">
        <f>'Statistics NZ'!C$50*'Economic Forecasts'!E$9*1000000/SUM('Statistics NZ'!C$30:C$110,'Statistics NZ'!C$130:C$210)</f>
        <v>32445.538564947066</v>
      </c>
      <c r="D50" s="27">
        <f>'Statistics NZ'!D$50*'Economic Forecasts'!F$9*1000000/SUM('Statistics NZ'!D$30:D$110,'Statistics NZ'!D$130:D$210)</f>
        <v>31147.85687109124</v>
      </c>
      <c r="E50" s="27">
        <f>'Statistics NZ'!E$50*'Economic Forecasts'!G$9*1000000/SUM('Statistics NZ'!E$30:E$110,'Statistics NZ'!E$130:E$210)</f>
        <v>30205.630556470205</v>
      </c>
      <c r="F50" s="27">
        <f>'Statistics NZ'!F$50*'Economic Forecasts'!H$9*1000000/SUM('Statistics NZ'!F$30:F$110,'Statistics NZ'!F$130:F$210)</f>
        <v>29053.758449503413</v>
      </c>
      <c r="G50" s="27">
        <f>'Statistics NZ'!G$50*'Economic Forecasts'!I$9*1000000/SUM('Statistics NZ'!G$30:G$110,'Statistics NZ'!G$130:G$210)</f>
        <v>27738.66166080282</v>
      </c>
      <c r="H50" s="27">
        <f>'Statistics NZ'!H$50*'Economic Forecasts'!J$9*1000000/SUM('Statistics NZ'!H$30:H$110,'Statistics NZ'!H$130:H$210)</f>
        <v>27510.384000777551</v>
      </c>
      <c r="I50" s="27">
        <f>'Statistics NZ'!I$50*'Economic Forecasts'!K$9*1000000/SUM('Statistics NZ'!I$30:I$110,'Statistics NZ'!I$130:I$210)</f>
        <v>27087.22331185206</v>
      </c>
      <c r="J50" s="27">
        <f>'Statistics NZ'!J$50*'Economic Forecasts'!L$9*1000000/SUM('Statistics NZ'!J$30:J$110,'Statistics NZ'!J$130:J$210)</f>
        <v>27978.150157847725</v>
      </c>
      <c r="K50" s="27">
        <f>'Statistics NZ'!K$50*'Economic Forecasts'!M$9*1000000/SUM('Statistics NZ'!K$30:K$110,'Statistics NZ'!K$130:K$210)</f>
        <v>28312.92584790508</v>
      </c>
      <c r="L50" s="27">
        <f>'Statistics NZ'!L$50*'Economic Forecasts'!N$9*1000000/SUM('Statistics NZ'!L$30:L$110,'Statistics NZ'!L$130:L$210)</f>
        <v>29063.795846956466</v>
      </c>
      <c r="M50" s="27">
        <f>'Statistics NZ'!M$50*'Economic Forecasts'!O$9*1000000/SUM('Statistics NZ'!M$30:M$110,'Statistics NZ'!M$130:M$210)</f>
        <v>30559.226977375263</v>
      </c>
      <c r="N50" s="27">
        <f>'Statistics NZ'!N$50*'Economic Forecasts'!P$9*1000000/SUM('Statistics NZ'!N$30:N$110,'Statistics NZ'!N$130:N$210)</f>
        <v>31810.821316392441</v>
      </c>
      <c r="O50" s="27">
        <f>'Statistics NZ'!O$50*'Economic Forecasts'!Q$9*1000000/SUM('Statistics NZ'!O$30:O$110,'Statistics NZ'!O$130:O$210)</f>
        <v>33057.782948942498</v>
      </c>
      <c r="P50" s="27">
        <f>'Statistics NZ'!P$50*'Economic Forecasts'!R$9*1000000/SUM('Statistics NZ'!P$30:P$110,'Statistics NZ'!P$130:P$210)</f>
        <v>34242.272905537568</v>
      </c>
      <c r="Q50" s="27">
        <f>'Statistics NZ'!Q$50*'Economic Forecasts'!S$9*1000000/SUM('Statistics NZ'!Q$30:Q$110,'Statistics NZ'!Q$130:Q$210)</f>
        <v>34785.985127311862</v>
      </c>
      <c r="R50" s="27">
        <f>'Statistics NZ'!R$50*'Economic Forecasts'!T$9*1000000/SUM('Statistics NZ'!R$30:R$110,'Statistics NZ'!R$130:R$210)</f>
        <v>35582.310202812972</v>
      </c>
      <c r="S50" s="27">
        <f>'Statistics NZ'!S$50*'Economic Forecasts'!U$9*1000000/SUM('Statistics NZ'!S$30:S$110,'Statistics NZ'!S$130:S$210)</f>
        <v>38111.217359236332</v>
      </c>
      <c r="T50" s="27">
        <f>'Statistics NZ'!T$50*'Economic Forecasts'!V$9*1000000/SUM('Statistics NZ'!T$30:T$110,'Statistics NZ'!T$130:T$210)</f>
        <v>40060.978612415223</v>
      </c>
      <c r="U50" s="28">
        <f>SUM('Statistics NZ'!U$50,$I$12/5*(U$8-U$9)*1000)*'Economic Forecasts'!W$9*1000000/SUM('Statistics NZ'!U$30:U$110,'Statistics NZ'!U$130:U$210,SUM($E$12:$T$13)*(U$8-U$9)*1000)</f>
        <v>41504.223638542986</v>
      </c>
      <c r="V50" s="28">
        <f>SUM('Statistics NZ'!V$50,$I$12/5*(V$8-V$9)*1000)*'Economic Forecasts'!X$9*1000000/SUM('Statistics NZ'!V$30:V$110,'Statistics NZ'!V$130:V$210,SUM($E$12:$T$13)*(V$8-V$9)*1000)</f>
        <v>42100.822294317171</v>
      </c>
      <c r="W50" s="28">
        <f>SUM('Statistics NZ'!W$50,$I$12/5*(W$8-W$9)*1000)*'Economic Forecasts'!Y$9*1000000/SUM('Statistics NZ'!W$30:W$110,'Statistics NZ'!W$130:W$210,SUM($E$12:$T$13)*(W$8-W$9)*1000)</f>
        <v>41683.229975255817</v>
      </c>
      <c r="X50" s="28">
        <f>SUM('Statistics NZ'!X$50,$I$12/5*(X$8-X$9)*1000)*'Economic Forecasts'!Z$9*1000000/SUM('Statistics NZ'!X$30:X$110,'Statistics NZ'!X$130:X$210,SUM($E$12:$T$13)*(X$8-X$9)*1000)</f>
        <v>41232.641972070909</v>
      </c>
      <c r="Y50" s="28">
        <f>SUM('Statistics NZ'!Y$50,$I$12/5*(Y$8-Y$9)*1000)*'Economic Forecasts'!AA$9*1000000/SUM('Statistics NZ'!Y$30:Y$110,'Statistics NZ'!Y$130:Y$210,SUM($E$12:$T$13)*(Y$8-Y$9)*1000)</f>
        <v>39967.64657390504</v>
      </c>
      <c r="Z50" s="28">
        <f>SUM('Statistics NZ'!Z$50,$I$12/5*(Z$8-Z$9)*1000)*'Economic Forecasts'!AB$9*1000000/SUM('Statistics NZ'!Z$30:Z$110,'Statistics NZ'!Z$130:Z$210,SUM($E$12:$T$13)*(Z$8-Z$9)*1000)</f>
        <v>39686.472892627906</v>
      </c>
      <c r="AA50" s="28">
        <f>SUM('Statistics NZ'!AA$50,$I$12/5*(AA$8-AA$9)*1000)*'Economic Forecasts'!AC$9*1000000/SUM('Statistics NZ'!AA$30:AA$110,'Statistics NZ'!AA$130:AA$210,SUM($E$12:$T$13)*(AA$8-AA$9)*1000)</f>
        <v>38673.483899298379</v>
      </c>
      <c r="AB50" s="18">
        <f>SUM(AA$50,'Statistics NZ'!AB$50-'Statistics NZ'!AA$50,$I$12/5*(AB$8-AB$9)*1000)</f>
        <v>38516.859325968122</v>
      </c>
      <c r="AC50" s="18">
        <f>SUM(AB$50,'Statistics NZ'!AC$50-'Statistics NZ'!AB$50,$I$12/5*(AC$8-AC$9)*1000)</f>
        <v>38192.442943747948</v>
      </c>
      <c r="AD50" s="18">
        <f>SUM(AC$50,'Statistics NZ'!AD$50-'Statistics NZ'!AC$50,$I$12/5*(AD$8-AD$9)*1000)</f>
        <v>37118.936117822879</v>
      </c>
      <c r="AE50" s="18">
        <f>SUM(AD$50,'Statistics NZ'!AE$50-'Statistics NZ'!AD$50,$I$12/5*(AE$8-AE$9)*1000)</f>
        <v>38658.936117822879</v>
      </c>
      <c r="AF50" s="18">
        <f>SUM(AE$50,'Statistics NZ'!AF$50-'Statistics NZ'!AE$50,$I$12/5*(AF$8-AF$9)*1000)</f>
        <v>38318.936117822879</v>
      </c>
      <c r="AG50" s="18">
        <f>SUM(AF$50,'Statistics NZ'!AG$50-'Statistics NZ'!AF$50,$I$12/5*(AG$8-AG$9)*1000)</f>
        <v>37648.936117822879</v>
      </c>
      <c r="AH50" s="18">
        <f>SUM(AG$50,'Statistics NZ'!AH$50-'Statistics NZ'!AG$50,$I$12/5*(AH$8-AH$9)*1000)</f>
        <v>37628.936117822879</v>
      </c>
      <c r="AI50" s="18">
        <f>SUM(AH$50,'Statistics NZ'!AI$50-'Statistics NZ'!AH$50,$I$12/5*(AI$8-AI$9)*1000)</f>
        <v>38558.936117822879</v>
      </c>
      <c r="AJ50" s="18">
        <f>SUM(AI$50,'Statistics NZ'!AJ$50-'Statistics NZ'!AI$50,$I$12/5*(AJ$8-AJ$9)*1000)</f>
        <v>38688.936117822879</v>
      </c>
      <c r="AK50" s="18">
        <f>SUM(AJ$50,'Statistics NZ'!AK$50-'Statistics NZ'!AJ$50,$I$12/5*(AK$8-AK$9)*1000)</f>
        <v>39438.936117822879</v>
      </c>
    </row>
    <row r="51" spans="1:37" x14ac:dyDescent="0.25">
      <c r="A51" s="12">
        <v>36</v>
      </c>
      <c r="B51" s="27">
        <f>'Statistics NZ'!B$51*'Economic Forecasts'!D$9*1000000/SUM('Statistics NZ'!B$30:B$110,'Statistics NZ'!B$130:B$210)</f>
        <v>31817.375740219395</v>
      </c>
      <c r="C51" s="27">
        <f>'Statistics NZ'!C$51*'Economic Forecasts'!E$9*1000000/SUM('Statistics NZ'!C$30:C$110,'Statistics NZ'!C$130:C$210)</f>
        <v>33074.023573469043</v>
      </c>
      <c r="D51" s="27">
        <f>'Statistics NZ'!D$51*'Economic Forecasts'!F$9*1000000/SUM('Statistics NZ'!D$30:D$110,'Statistics NZ'!D$130:D$210)</f>
        <v>32640.910874372814</v>
      </c>
      <c r="E51" s="27">
        <f>'Statistics NZ'!E$51*'Economic Forecasts'!G$9*1000000/SUM('Statistics NZ'!E$30:E$110,'Statistics NZ'!E$130:E$210)</f>
        <v>31313.824145067974</v>
      </c>
      <c r="F51" s="27">
        <f>'Statistics NZ'!F$51*'Economic Forecasts'!H$9*1000000/SUM('Statistics NZ'!F$30:F$110,'Statistics NZ'!F$130:F$210)</f>
        <v>30387.759512681154</v>
      </c>
      <c r="G51" s="27">
        <f>'Statistics NZ'!G$51*'Economic Forecasts'!I$9*1000000/SUM('Statistics NZ'!G$30:G$110,'Statistics NZ'!G$130:G$210)</f>
        <v>29162.920138429025</v>
      </c>
      <c r="H51" s="27">
        <f>'Statistics NZ'!H$51*'Economic Forecasts'!J$9*1000000/SUM('Statistics NZ'!H$30:H$110,'Statistics NZ'!H$130:H$210)</f>
        <v>27716.711880783376</v>
      </c>
      <c r="I51" s="27">
        <f>'Statistics NZ'!I$51*'Economic Forecasts'!K$9*1000000/SUM('Statistics NZ'!I$30:I$110,'Statistics NZ'!I$130:I$210)</f>
        <v>27508.776190031444</v>
      </c>
      <c r="J51" s="27">
        <f>'Statistics NZ'!J$51*'Economic Forecasts'!L$9*1000000/SUM('Statistics NZ'!J$30:J$110,'Statistics NZ'!J$130:J$210)</f>
        <v>27276.014636284446</v>
      </c>
      <c r="K51" s="27">
        <f>'Statistics NZ'!K$51*'Economic Forecasts'!M$9*1000000/SUM('Statistics NZ'!K$30:K$110,'Statistics NZ'!K$130:K$210)</f>
        <v>28400.551821987316</v>
      </c>
      <c r="L51" s="27">
        <f>'Statistics NZ'!L$51*'Economic Forecasts'!N$9*1000000/SUM('Statistics NZ'!L$30:L$110,'Statistics NZ'!L$130:L$210)</f>
        <v>28956.693081691301</v>
      </c>
      <c r="M51" s="27">
        <f>'Statistics NZ'!M$51*'Economic Forecasts'!O$9*1000000/SUM('Statistics NZ'!M$30:M$110,'Statistics NZ'!M$130:M$210)</f>
        <v>29806.969791551128</v>
      </c>
      <c r="N51" s="27">
        <f>'Statistics NZ'!N$51*'Economic Forecasts'!P$9*1000000/SUM('Statistics NZ'!N$30:N$110,'Statistics NZ'!N$130:N$210)</f>
        <v>31243.29512864997</v>
      </c>
      <c r="O51" s="27">
        <f>'Statistics NZ'!O$51*'Economic Forecasts'!Q$9*1000000/SUM('Statistics NZ'!O$30:O$110,'Statistics NZ'!O$130:O$210)</f>
        <v>32537.265273275847</v>
      </c>
      <c r="P51" s="27">
        <f>'Statistics NZ'!P$51*'Economic Forecasts'!R$9*1000000/SUM('Statistics NZ'!P$30:P$110,'Statistics NZ'!P$130:P$210)</f>
        <v>33625.383230659427</v>
      </c>
      <c r="Q51" s="27">
        <f>'Statistics NZ'!Q$51*'Economic Forecasts'!S$9*1000000/SUM('Statistics NZ'!Q$30:Q$110,'Statistics NZ'!Q$130:Q$210)</f>
        <v>34618.032344817031</v>
      </c>
      <c r="R51" s="27">
        <f>'Statistics NZ'!R$51*'Economic Forecasts'!T$9*1000000/SUM('Statistics NZ'!R$30:R$110,'Statistics NZ'!R$130:R$210)</f>
        <v>34722.404372911653</v>
      </c>
      <c r="S51" s="27">
        <f>'Statistics NZ'!S$51*'Economic Forecasts'!U$9*1000000/SUM('Statistics NZ'!S$30:S$110,'Statistics NZ'!S$130:S$210)</f>
        <v>36388.181478627179</v>
      </c>
      <c r="T51" s="27">
        <f>'Statistics NZ'!T$51*'Economic Forecasts'!V$9*1000000/SUM('Statistics NZ'!T$30:T$110,'Statistics NZ'!T$130:T$210)</f>
        <v>39618.912884715697</v>
      </c>
      <c r="U51" s="28">
        <f>SUM('Statistics NZ'!U$51,$I$12/5*(U$8-U$9)*1000)*'Economic Forecasts'!W$9*1000000/SUM('Statistics NZ'!U$30:U$110,'Statistics NZ'!U$130:U$210,SUM($E$12:$T$13)*(U$8-U$9)*1000)</f>
        <v>40362.748808569049</v>
      </c>
      <c r="V51" s="28">
        <f>SUM('Statistics NZ'!V$51,$I$12/5*(V$8-V$9)*1000)*'Economic Forecasts'!X$9*1000000/SUM('Statistics NZ'!V$30:V$110,'Statistics NZ'!V$130:V$210,SUM($E$12:$T$13)*(V$8-V$9)*1000)</f>
        <v>41875.206691485313</v>
      </c>
      <c r="W51" s="28">
        <f>SUM('Statistics NZ'!W$51,$I$12/5*(W$8-W$9)*1000)*'Economic Forecasts'!Y$9*1000000/SUM('Statistics NZ'!W$30:W$110,'Statistics NZ'!W$130:W$210,SUM($E$12:$T$13)*(W$8-W$9)*1000)</f>
        <v>42641.865237539016</v>
      </c>
      <c r="X51" s="28">
        <f>SUM('Statistics NZ'!X$51,$I$12/5*(X$8-X$9)*1000)*'Economic Forecasts'!Z$9*1000000/SUM('Statistics NZ'!X$30:X$110,'Statistics NZ'!X$130:X$210,SUM($E$12:$T$13)*(X$8-X$9)*1000)</f>
        <v>42190.091849028227</v>
      </c>
      <c r="Y51" s="28">
        <f>SUM('Statistics NZ'!Y$51,$I$12/5*(Y$8-Y$9)*1000)*'Economic Forecasts'!AA$9*1000000/SUM('Statistics NZ'!Y$30:Y$110,'Statistics NZ'!Y$130:Y$210,SUM($E$12:$T$13)*(Y$8-Y$9)*1000)</f>
        <v>41774.906083271591</v>
      </c>
      <c r="Z51" s="28">
        <f>SUM('Statistics NZ'!Z$51,$I$12/5*(Z$8-Z$9)*1000)*'Economic Forecasts'!AB$9*1000000/SUM('Statistics NZ'!Z$30:Z$110,'Statistics NZ'!Z$130:Z$210,SUM($E$12:$T$13)*(Z$8-Z$9)*1000)</f>
        <v>40526.783673708735</v>
      </c>
      <c r="AA51" s="28">
        <f>SUM('Statistics NZ'!AA$51,$I$12/5*(AA$8-AA$9)*1000)*'Economic Forecasts'!AC$9*1000000/SUM('Statistics NZ'!AA$30:AA$110,'Statistics NZ'!AA$130:AA$210,SUM($E$12:$T$13)*(AA$8-AA$9)*1000)</f>
        <v>40257.081952112829</v>
      </c>
      <c r="AB51" s="18">
        <f>SUM(AA$51,'Statistics NZ'!AB$51-'Statistics NZ'!AA$51,$I$12/5*(AB$8-AB$9)*1000)</f>
        <v>39230.457378782572</v>
      </c>
      <c r="AC51" s="18">
        <f>SUM(AB$51,'Statistics NZ'!AC$51-'Statistics NZ'!AB$51,$I$12/5*(AC$8-AC$9)*1000)</f>
        <v>39076.040996562399</v>
      </c>
      <c r="AD51" s="18">
        <f>SUM(AC$51,'Statistics NZ'!AD$51-'Statistics NZ'!AC$51,$I$12/5*(AD$8-AD$9)*1000)</f>
        <v>38742.534170637329</v>
      </c>
      <c r="AE51" s="18">
        <f>SUM(AD$51,'Statistics NZ'!AE$51-'Statistics NZ'!AD$51,$I$12/5*(AE$8-AE$9)*1000)</f>
        <v>37662.534170637329</v>
      </c>
      <c r="AF51" s="18">
        <f>SUM(AE$51,'Statistics NZ'!AF$51-'Statistics NZ'!AE$51,$I$12/5*(AF$8-AF$9)*1000)</f>
        <v>39212.534170637329</v>
      </c>
      <c r="AG51" s="18">
        <f>SUM(AF$51,'Statistics NZ'!AG$51-'Statistics NZ'!AF$51,$I$12/5*(AG$8-AG$9)*1000)</f>
        <v>38872.534170637329</v>
      </c>
      <c r="AH51" s="18">
        <f>SUM(AG$51,'Statistics NZ'!AH$51-'Statistics NZ'!AG$51,$I$12/5*(AH$8-AH$9)*1000)</f>
        <v>38202.534170637329</v>
      </c>
      <c r="AI51" s="18">
        <f>SUM(AH$51,'Statistics NZ'!AI$51-'Statistics NZ'!AH$51,$I$12/5*(AI$8-AI$9)*1000)</f>
        <v>38182.534170637329</v>
      </c>
      <c r="AJ51" s="18">
        <f>SUM(AI$51,'Statistics NZ'!AJ$51-'Statistics NZ'!AI$51,$I$12/5*(AJ$8-AJ$9)*1000)</f>
        <v>39122.534170637329</v>
      </c>
      <c r="AK51" s="18">
        <f>SUM(AJ$51,'Statistics NZ'!AK$51-'Statistics NZ'!AJ$51,$I$12/5*(AK$8-AK$9)*1000)</f>
        <v>39252.534170637329</v>
      </c>
    </row>
    <row r="52" spans="1:37" x14ac:dyDescent="0.25">
      <c r="A52" s="12">
        <v>37</v>
      </c>
      <c r="B52" s="27">
        <f>'Statistics NZ'!B$52*'Economic Forecasts'!D$9*1000000/SUM('Statistics NZ'!B$30:B$110,'Statistics NZ'!B$130:B$210)</f>
        <v>32159.813671002816</v>
      </c>
      <c r="C52" s="27">
        <f>'Statistics NZ'!C$52*'Economic Forecasts'!E$9*1000000/SUM('Statistics NZ'!C$30:C$110,'Statistics NZ'!C$130:C$210)</f>
        <v>32160.756295460546</v>
      </c>
      <c r="D52" s="27">
        <f>'Statistics NZ'!D$52*'Economic Forecasts'!F$9*1000000/SUM('Statistics NZ'!D$30:D$110,'Statistics NZ'!D$130:D$210)</f>
        <v>33249.9197441324</v>
      </c>
      <c r="E52" s="27">
        <f>'Statistics NZ'!E$52*'Economic Forecasts'!G$9*1000000/SUM('Statistics NZ'!E$30:E$110,'Statistics NZ'!E$130:E$210)</f>
        <v>32784.877581259709</v>
      </c>
      <c r="F52" s="27">
        <f>'Statistics NZ'!F$52*'Economic Forecasts'!H$9*1000000/SUM('Statistics NZ'!F$30:F$110,'Statistics NZ'!F$130:F$210)</f>
        <v>31486.348623533409</v>
      </c>
      <c r="G52" s="27">
        <f>'Statistics NZ'!G$52*'Economic Forecasts'!I$9*1000000/SUM('Statistics NZ'!G$30:G$110,'Statistics NZ'!G$130:G$210)</f>
        <v>30439.841532162867</v>
      </c>
      <c r="H52" s="27">
        <f>'Statistics NZ'!H$52*'Economic Forecasts'!J$9*1000000/SUM('Statistics NZ'!H$30:H$110,'Statistics NZ'!H$130:H$210)</f>
        <v>29180.657315110471</v>
      </c>
      <c r="I52" s="27">
        <f>'Statistics NZ'!I$52*'Economic Forecasts'!K$9*1000000/SUM('Statistics NZ'!I$30:I$110,'Statistics NZ'!I$130:I$210)</f>
        <v>27744.061517387385</v>
      </c>
      <c r="J52" s="27">
        <f>'Statistics NZ'!J$52*'Economic Forecasts'!L$9*1000000/SUM('Statistics NZ'!J$30:J$110,'Statistics NZ'!J$130:J$210)</f>
        <v>27685.593690529695</v>
      </c>
      <c r="K52" s="27">
        <f>'Statistics NZ'!K$52*'Economic Forecasts'!M$9*1000000/SUM('Statistics NZ'!K$30:K$110,'Statistics NZ'!K$130:K$210)</f>
        <v>27592.445616562247</v>
      </c>
      <c r="L52" s="27">
        <f>'Statistics NZ'!L$52*'Economic Forecasts'!N$9*1000000/SUM('Statistics NZ'!L$30:L$110,'Statistics NZ'!L$130:L$210)</f>
        <v>28956.693081691301</v>
      </c>
      <c r="M52" s="27">
        <f>'Statistics NZ'!M$52*'Economic Forecasts'!O$9*1000000/SUM('Statistics NZ'!M$30:M$110,'Statistics NZ'!M$130:M$210)</f>
        <v>29679.965331606792</v>
      </c>
      <c r="N52" s="27">
        <f>'Statistics NZ'!N$52*'Economic Forecasts'!P$9*1000000/SUM('Statistics NZ'!N$30:N$110,'Statistics NZ'!N$130:N$210)</f>
        <v>30411.575715579114</v>
      </c>
      <c r="O52" s="27">
        <f>'Statistics NZ'!O$52*'Economic Forecasts'!Q$9*1000000/SUM('Statistics NZ'!O$30:O$110,'Statistics NZ'!O$130:O$210)</f>
        <v>31957.821068288438</v>
      </c>
      <c r="P52" s="27">
        <f>'Statistics NZ'!P$52*'Economic Forecasts'!R$9*1000000/SUM('Statistics NZ'!P$30:P$110,'Statistics NZ'!P$130:P$210)</f>
        <v>33135.788250597412</v>
      </c>
      <c r="Q52" s="27">
        <f>'Statistics NZ'!Q$52*'Economic Forecasts'!S$9*1000000/SUM('Statistics NZ'!Q$30:Q$110,'Statistics NZ'!Q$130:Q$210)</f>
        <v>33946.221214837708</v>
      </c>
      <c r="R52" s="27">
        <f>'Statistics NZ'!R$52*'Economic Forecasts'!T$9*1000000/SUM('Statistics NZ'!R$30:R$110,'Statistics NZ'!R$130:R$210)</f>
        <v>34633.448597404618</v>
      </c>
      <c r="S52" s="27">
        <f>'Statistics NZ'!S$52*'Economic Forecasts'!U$9*1000000/SUM('Statistics NZ'!S$30:S$110,'Statistics NZ'!S$130:S$210)</f>
        <v>35297.898887507261</v>
      </c>
      <c r="T52" s="27">
        <f>'Statistics NZ'!T$52*'Economic Forecasts'!V$9*1000000/SUM('Statistics NZ'!T$30:T$110,'Statistics NZ'!T$130:T$210)</f>
        <v>37880.121022430874</v>
      </c>
      <c r="U52" s="28">
        <f>SUM('Statistics NZ'!U$52,$I$12/5*(U$8-U$9)*1000)*'Economic Forecasts'!W$9*1000000/SUM('Statistics NZ'!U$30:U$110,'Statistics NZ'!U$130:U$210,SUM($E$12:$T$13)*(U$8-U$9)*1000)</f>
        <v>39880.574095907643</v>
      </c>
      <c r="V52" s="28">
        <f>SUM('Statistics NZ'!V$52,$I$12/5*(V$8-V$9)*1000)*'Economic Forecasts'!X$9*1000000/SUM('Statistics NZ'!V$30:V$110,'Statistics NZ'!V$130:V$210,SUM($E$12:$T$13)*(V$8-V$9)*1000)</f>
        <v>40707.891181181352</v>
      </c>
      <c r="W52" s="28">
        <f>SUM('Statistics NZ'!W$52,$I$12/5*(W$8-W$9)*1000)*'Economic Forecasts'!Y$9*1000000/SUM('Statistics NZ'!W$30:W$110,'Statistics NZ'!W$130:W$210,SUM($E$12:$T$13)*(W$8-W$9)*1000)</f>
        <v>42377.751440787513</v>
      </c>
      <c r="X52" s="28">
        <f>SUM('Statistics NZ'!X$52,$I$12/5*(X$8-X$9)*1000)*'Economic Forecasts'!Z$9*1000000/SUM('Statistics NZ'!X$30:X$110,'Statistics NZ'!X$130:X$210,SUM($E$12:$T$13)*(X$8-X$9)*1000)</f>
        <v>43118.232035874615</v>
      </c>
      <c r="Y52" s="28">
        <f>SUM('Statistics NZ'!Y$52,$I$12/5*(Y$8-Y$9)*1000)*'Economic Forecasts'!AA$9*1000000/SUM('Statistics NZ'!Y$30:Y$110,'Statistics NZ'!Y$130:Y$210,SUM($E$12:$T$13)*(Y$8-Y$9)*1000)</f>
        <v>42702.958263757122</v>
      </c>
      <c r="Z52" s="28">
        <f>SUM('Statistics NZ'!Z$52,$I$12/5*(Z$8-Z$9)*1000)*'Economic Forecasts'!AB$9*1000000/SUM('Statistics NZ'!Z$30:Z$110,'Statistics NZ'!Z$130:Z$210,SUM($E$12:$T$13)*(Z$8-Z$9)*1000)</f>
        <v>42295.344736216044</v>
      </c>
      <c r="AA52" s="28">
        <f>SUM('Statistics NZ'!AA$52,$I$12/5*(AA$8-AA$9)*1000)*'Economic Forecasts'!AC$9*1000000/SUM('Statistics NZ'!AA$30:AA$110,'Statistics NZ'!AA$130:AA$210,SUM($E$12:$T$13)*(AA$8-AA$9)*1000)</f>
        <v>41058.656275142363</v>
      </c>
      <c r="AB52" s="18">
        <f>SUM(AA$52,'Statistics NZ'!AB$52-'Statistics NZ'!AA$52,$I$12/5*(AB$8-AB$9)*1000)</f>
        <v>40802.031701812106</v>
      </c>
      <c r="AC52" s="18">
        <f>SUM(AB$52,'Statistics NZ'!AC$52-'Statistics NZ'!AB$52,$I$12/5*(AC$8-AC$9)*1000)</f>
        <v>39767.615319591932</v>
      </c>
      <c r="AD52" s="18">
        <f>SUM(AC$52,'Statistics NZ'!AD$52-'Statistics NZ'!AC$52,$I$12/5*(AD$8-AD$9)*1000)</f>
        <v>39604.108493666863</v>
      </c>
      <c r="AE52" s="18">
        <f>SUM(AD$52,'Statistics NZ'!AE$52-'Statistics NZ'!AD$52,$I$12/5*(AE$8-AE$9)*1000)</f>
        <v>39274.108493666863</v>
      </c>
      <c r="AF52" s="18">
        <f>SUM(AE$52,'Statistics NZ'!AF$52-'Statistics NZ'!AE$52,$I$12/5*(AF$8-AF$9)*1000)</f>
        <v>38204.108493666863</v>
      </c>
      <c r="AG52" s="18">
        <f>SUM(AF$52,'Statistics NZ'!AG$52-'Statistics NZ'!AF$52,$I$12/5*(AG$8-AG$9)*1000)</f>
        <v>39744.108493666863</v>
      </c>
      <c r="AH52" s="18">
        <f>SUM(AG$52,'Statistics NZ'!AH$52-'Statistics NZ'!AG$52,$I$12/5*(AH$8-AH$9)*1000)</f>
        <v>39414.108493666863</v>
      </c>
      <c r="AI52" s="18">
        <f>SUM(AH$52,'Statistics NZ'!AI$52-'Statistics NZ'!AH$52,$I$12/5*(AI$8-AI$9)*1000)</f>
        <v>38744.108493666863</v>
      </c>
      <c r="AJ52" s="18">
        <f>SUM(AI$52,'Statistics NZ'!AJ$52-'Statistics NZ'!AI$52,$I$12/5*(AJ$8-AJ$9)*1000)</f>
        <v>38734.108493666863</v>
      </c>
      <c r="AK52" s="18">
        <f>SUM(AJ$52,'Statistics NZ'!AK$52-'Statistics NZ'!AJ$52,$I$12/5*(AK$8-AK$9)*1000)</f>
        <v>39664.108493666863</v>
      </c>
    </row>
    <row r="53" spans="1:37" x14ac:dyDescent="0.25">
      <c r="A53" s="12">
        <v>38</v>
      </c>
      <c r="B53" s="27">
        <f>'Statistics NZ'!B$53*'Economic Forecasts'!D$9*1000000/SUM('Statistics NZ'!B$30:B$110,'Statistics NZ'!B$130:B$210)</f>
        <v>31748.888154062712</v>
      </c>
      <c r="C53" s="27">
        <f>'Statistics NZ'!C$53*'Economic Forecasts'!E$9*1000000/SUM('Statistics NZ'!C$30:C$110,'Statistics NZ'!C$130:C$210)</f>
        <v>32484.818877979691</v>
      </c>
      <c r="D53" s="27">
        <f>'Statistics NZ'!D$53*'Economic Forecasts'!F$9*1000000/SUM('Statistics NZ'!D$30:D$110,'Statistics NZ'!D$130:D$210)</f>
        <v>32248.001926140823</v>
      </c>
      <c r="E53" s="27">
        <f>'Statistics NZ'!E$53*'Economic Forecasts'!G$9*1000000/SUM('Statistics NZ'!E$30:E$110,'Statistics NZ'!E$130:E$210)</f>
        <v>33343.877887012561</v>
      </c>
      <c r="F53" s="27">
        <f>'Statistics NZ'!F$53*'Economic Forecasts'!H$9*1000000/SUM('Statistics NZ'!F$30:F$110,'Statistics NZ'!F$130:F$210)</f>
        <v>32938.055662873892</v>
      </c>
      <c r="G53" s="27">
        <f>'Statistics NZ'!G$53*'Economic Forecasts'!I$9*1000000/SUM('Statistics NZ'!G$30:G$110,'Statistics NZ'!G$130:G$210)</f>
        <v>31618.538203301796</v>
      </c>
      <c r="H53" s="27">
        <f>'Statistics NZ'!H$53*'Economic Forecasts'!J$9*1000000/SUM('Statistics NZ'!H$30:H$110,'Statistics NZ'!H$130:H$210)</f>
        <v>30418.624595145458</v>
      </c>
      <c r="I53" s="27">
        <f>'Statistics NZ'!I$53*'Economic Forecasts'!K$9*1000000/SUM('Statistics NZ'!I$30:I$110,'Statistics NZ'!I$130:I$210)</f>
        <v>29204.791258055477</v>
      </c>
      <c r="J53" s="27">
        <f>'Statistics NZ'!J$53*'Economic Forecasts'!L$9*1000000/SUM('Statistics NZ'!J$30:J$110,'Statistics NZ'!J$130:J$210)</f>
        <v>27822.120041944774</v>
      </c>
      <c r="K53" s="27">
        <f>'Statistics NZ'!K$53*'Economic Forecasts'!M$9*1000000/SUM('Statistics NZ'!K$30:K$110,'Statistics NZ'!K$130:K$210)</f>
        <v>28069.520364343309</v>
      </c>
      <c r="L53" s="27">
        <f>'Statistics NZ'!L$53*'Economic Forecasts'!N$9*1000000/SUM('Statistics NZ'!L$30:L$110,'Statistics NZ'!L$130:L$210)</f>
        <v>28148.5540346905</v>
      </c>
      <c r="M53" s="27">
        <f>'Statistics NZ'!M$53*'Economic Forecasts'!O$9*1000000/SUM('Statistics NZ'!M$30:M$110,'Statistics NZ'!M$130:M$210)</f>
        <v>29572.5000193462</v>
      </c>
      <c r="N53" s="27">
        <f>'Statistics NZ'!N$53*'Economic Forecasts'!P$9*1000000/SUM('Statistics NZ'!N$30:N$110,'Statistics NZ'!N$130:N$210)</f>
        <v>30245.231832964942</v>
      </c>
      <c r="O53" s="27">
        <f>'Statistics NZ'!O$53*'Economic Forecasts'!Q$9*1000000/SUM('Statistics NZ'!O$30:O$110,'Statistics NZ'!O$130:O$210)</f>
        <v>31083.744216697269</v>
      </c>
      <c r="P53" s="27">
        <f>'Statistics NZ'!P$53*'Economic Forecasts'!R$9*1000000/SUM('Statistics NZ'!P$30:P$110,'Statistics NZ'!P$130:P$210)</f>
        <v>32489.522876915544</v>
      </c>
      <c r="Q53" s="27">
        <f>'Statistics NZ'!Q$53*'Economic Forecasts'!S$9*1000000/SUM('Statistics NZ'!Q$30:Q$110,'Statistics NZ'!Q$130:Q$210)</f>
        <v>33521.399470880191</v>
      </c>
      <c r="R53" s="27">
        <f>'Statistics NZ'!R$53*'Economic Forecasts'!T$9*1000000/SUM('Statistics NZ'!R$30:R$110,'Statistics NZ'!R$130:R$210)</f>
        <v>33862.498543010333</v>
      </c>
      <c r="S53" s="27">
        <f>'Statistics NZ'!S$53*'Economic Forecasts'!U$9*1000000/SUM('Statistics NZ'!S$30:S$110,'Statistics NZ'!S$130:S$210)</f>
        <v>35190.817561593707</v>
      </c>
      <c r="T53" s="27">
        <f>'Statistics NZ'!T$53*'Economic Forecasts'!V$9*1000000/SUM('Statistics NZ'!T$30:T$110,'Statistics NZ'!T$130:T$210)</f>
        <v>36691.455399061029</v>
      </c>
      <c r="U53" s="28">
        <f>SUM('Statistics NZ'!U$53,$I$12/5*(U$8-U$9)*1000)*'Economic Forecasts'!W$9*1000000/SUM('Statistics NZ'!U$30:U$110,'Statistics NZ'!U$130:U$210,SUM($E$12:$T$13)*(U$8-U$9)*1000)</f>
        <v>38099.479749137965</v>
      </c>
      <c r="V53" s="28">
        <f>SUM('Statistics NZ'!V$53,$I$12/5*(V$8-V$9)*1000)*'Economic Forecasts'!X$9*1000000/SUM('Statistics NZ'!V$30:V$110,'Statistics NZ'!V$130:V$210,SUM($E$12:$T$13)*(V$8-V$9)*1000)</f>
        <v>40178.18498322829</v>
      </c>
      <c r="W53" s="28">
        <f>SUM('Statistics NZ'!W$53,$I$12/5*(W$8-W$9)*1000)*'Economic Forecasts'!Y$9*1000000/SUM('Statistics NZ'!W$30:W$110,'Statistics NZ'!W$130:W$210,SUM($E$12:$T$13)*(W$8-W$9)*1000)</f>
        <v>41155.002381752834</v>
      </c>
      <c r="X53" s="28">
        <f>SUM('Statistics NZ'!X$53,$I$12/5*(X$8-X$9)*1000)*'Economic Forecasts'!Z$9*1000000/SUM('Statistics NZ'!X$30:X$110,'Statistics NZ'!X$130:X$210,SUM($E$12:$T$13)*(X$8-X$9)*1000)</f>
        <v>42795.825444654292</v>
      </c>
      <c r="Y53" s="28">
        <f>SUM('Statistics NZ'!Y$53,$I$12/5*(Y$8-Y$9)*1000)*'Economic Forecasts'!AA$9*1000000/SUM('Statistics NZ'!Y$30:Y$110,'Statistics NZ'!Y$130:Y$210,SUM($E$12:$T$13)*(Y$8-Y$9)*1000)</f>
        <v>43572.396622317247</v>
      </c>
      <c r="Z53" s="28">
        <f>SUM('Statistics NZ'!Z$53,$I$12/5*(Z$8-Z$9)*1000)*'Economic Forecasts'!AB$9*1000000/SUM('Statistics NZ'!Z$30:Z$110,'Statistics NZ'!Z$130:Z$210,SUM($E$12:$T$13)*(Z$8-Z$9)*1000)</f>
        <v>43164.968684078762</v>
      </c>
      <c r="AA53" s="28">
        <f>SUM('Statistics NZ'!AA$53,$I$12/5*(AA$8-AA$9)*1000)*'Economic Forecasts'!AC$9*1000000/SUM('Statistics NZ'!AA$30:AA$110,'Statistics NZ'!AA$130:AA$210,SUM($E$12:$T$13)*(AA$8-AA$9)*1000)</f>
        <v>42779.108480669172</v>
      </c>
      <c r="AB53" s="18">
        <f>SUM(AA$53,'Statistics NZ'!AB$53-'Statistics NZ'!AA$53,$I$12/5*(AB$8-AB$9)*1000)</f>
        <v>41532.483907338916</v>
      </c>
      <c r="AC53" s="18">
        <f>SUM(AB$53,'Statistics NZ'!AC$53-'Statistics NZ'!AB$53,$I$12/5*(AC$8-AC$9)*1000)</f>
        <v>41268.067525118742</v>
      </c>
      <c r="AD53" s="18">
        <f>SUM(AC$53,'Statistics NZ'!AD$53-'Statistics NZ'!AC$53,$I$12/5*(AD$8-AD$9)*1000)</f>
        <v>40224.560699193673</v>
      </c>
      <c r="AE53" s="18">
        <f>SUM(AD$53,'Statistics NZ'!AE$53-'Statistics NZ'!AD$53,$I$12/5*(AE$8-AE$9)*1000)</f>
        <v>40054.560699193673</v>
      </c>
      <c r="AF53" s="18">
        <f>SUM(AE$53,'Statistics NZ'!AF$53-'Statistics NZ'!AE$53,$I$12/5*(AF$8-AF$9)*1000)</f>
        <v>39734.560699193673</v>
      </c>
      <c r="AG53" s="18">
        <f>SUM(AF$53,'Statistics NZ'!AG$53-'Statistics NZ'!AF$53,$I$12/5*(AG$8-AG$9)*1000)</f>
        <v>38654.560699193673</v>
      </c>
      <c r="AH53" s="18">
        <f>SUM(AG$53,'Statistics NZ'!AH$53-'Statistics NZ'!AG$53,$I$12/5*(AH$8-AH$9)*1000)</f>
        <v>40204.560699193673</v>
      </c>
      <c r="AI53" s="18">
        <f>SUM(AH$53,'Statistics NZ'!AI$53-'Statistics NZ'!AH$53,$I$12/5*(AI$8-AI$9)*1000)</f>
        <v>39874.560699193673</v>
      </c>
      <c r="AJ53" s="18">
        <f>SUM(AI$53,'Statistics NZ'!AJ$53-'Statistics NZ'!AI$53,$I$12/5*(AJ$8-AJ$9)*1000)</f>
        <v>39214.560699193673</v>
      </c>
      <c r="AK53" s="18">
        <f>SUM(AJ$53,'Statistics NZ'!AK$53-'Statistics NZ'!AJ$53,$I$12/5*(AK$8-AK$9)*1000)</f>
        <v>39204.560699193673</v>
      </c>
    </row>
    <row r="54" spans="1:37" x14ac:dyDescent="0.25">
      <c r="A54" s="12">
        <v>39</v>
      </c>
      <c r="B54" s="27">
        <f>'Statistics NZ'!B$54*'Economic Forecasts'!D$9*1000000/SUM('Statistics NZ'!B$30:B$110,'Statistics NZ'!B$130:B$210)</f>
        <v>31523.857513833609</v>
      </c>
      <c r="C54" s="27">
        <f>'Statistics NZ'!C$54*'Economic Forecasts'!E$9*1000000/SUM('Statistics NZ'!C$30:C$110,'Statistics NZ'!C$130:C$210)</f>
        <v>31974.174808555581</v>
      </c>
      <c r="D54" s="27">
        <f>'Statistics NZ'!D$54*'Economic Forecasts'!F$9*1000000/SUM('Statistics NZ'!D$30:D$110,'Statistics NZ'!D$130:D$210)</f>
        <v>32611.442703255412</v>
      </c>
      <c r="E54" s="27">
        <f>'Statistics NZ'!E$54*'Economic Forecasts'!G$9*1000000/SUM('Statistics NZ'!E$30:E$110,'Statistics NZ'!E$130:E$210)</f>
        <v>32323.947504586296</v>
      </c>
      <c r="F54" s="27">
        <f>'Statistics NZ'!F$54*'Economic Forecasts'!H$9*1000000/SUM('Statistics NZ'!F$30:F$110,'Statistics NZ'!F$130:F$210)</f>
        <v>33487.350218300016</v>
      </c>
      <c r="G54" s="27">
        <f>'Statistics NZ'!G$54*'Economic Forecasts'!I$9*1000000/SUM('Statistics NZ'!G$30:G$110,'Statistics NZ'!G$130:G$210)</f>
        <v>33003.506791890039</v>
      </c>
      <c r="H54" s="27">
        <f>'Statistics NZ'!H$54*'Economic Forecasts'!J$9*1000000/SUM('Statistics NZ'!H$30:H$110,'Statistics NZ'!H$130:H$210)</f>
        <v>31715.542698039262</v>
      </c>
      <c r="I54" s="27">
        <f>'Statistics NZ'!I$54*'Economic Forecasts'!K$9*1000000/SUM('Statistics NZ'!I$30:I$110,'Statistics NZ'!I$130:I$210)</f>
        <v>30459.646337287133</v>
      </c>
      <c r="J54" s="27">
        <f>'Statistics NZ'!J$54*'Economic Forecasts'!L$9*1000000/SUM('Statistics NZ'!J$30:J$110,'Statistics NZ'!J$130:J$210)</f>
        <v>29265.398614047059</v>
      </c>
      <c r="K54" s="27">
        <f>'Statistics NZ'!K$54*'Economic Forecasts'!M$9*1000000/SUM('Statistics NZ'!K$30:K$110,'Statistics NZ'!K$130:K$210)</f>
        <v>28069.520364343309</v>
      </c>
      <c r="L54" s="27">
        <f>'Statistics NZ'!L$54*'Economic Forecasts'!N$9*1000000/SUM('Statistics NZ'!L$30:L$110,'Statistics NZ'!L$130:L$210)</f>
        <v>28499.072175558314</v>
      </c>
      <c r="M54" s="27">
        <f>'Statistics NZ'!M$54*'Economic Forecasts'!O$9*1000000/SUM('Statistics NZ'!M$30:M$110,'Statistics NZ'!M$130:M$210)</f>
        <v>28742.086242787089</v>
      </c>
      <c r="N54" s="27">
        <f>'Statistics NZ'!N$54*'Economic Forecasts'!P$9*1000000/SUM('Statistics NZ'!N$30:N$110,'Statistics NZ'!N$130:N$210)</f>
        <v>30039.748213265084</v>
      </c>
      <c r="O54" s="27">
        <f>'Statistics NZ'!O$54*'Economic Forecasts'!Q$9*1000000/SUM('Statistics NZ'!O$30:O$110,'Statistics NZ'!O$130:O$210)</f>
        <v>30818.574834753879</v>
      </c>
      <c r="P54" s="27">
        <f>'Statistics NZ'!P$54*'Economic Forecasts'!R$9*1000000/SUM('Statistics NZ'!P$30:P$110,'Statistics NZ'!P$130:P$210)</f>
        <v>31559.29241479771</v>
      </c>
      <c r="Q54" s="27">
        <f>'Statistics NZ'!Q$54*'Economic Forecasts'!S$9*1000000/SUM('Statistics NZ'!Q$30:Q$110,'Statistics NZ'!Q$130:Q$210)</f>
        <v>32859.467916341739</v>
      </c>
      <c r="R54" s="27">
        <f>'Statistics NZ'!R$54*'Economic Forecasts'!T$9*1000000/SUM('Statistics NZ'!R$30:R$110,'Statistics NZ'!R$130:R$210)</f>
        <v>33477.023515813205</v>
      </c>
      <c r="S54" s="27">
        <f>'Statistics NZ'!S$54*'Economic Forecasts'!U$9*1000000/SUM('Statistics NZ'!S$30:S$110,'Statistics NZ'!S$130:S$210)</f>
        <v>34304.962956308773</v>
      </c>
      <c r="T54" s="27">
        <f>'Statistics NZ'!T$54*'Economic Forecasts'!V$9*1000000/SUM('Statistics NZ'!T$30:T$110,'Statistics NZ'!T$130:T$210)</f>
        <v>36436.039645279081</v>
      </c>
      <c r="U54" s="28">
        <f>SUM('Statistics NZ'!U$54,$I$12/5*(U$8-U$9)*1000)*'Economic Forecasts'!W$9*1000000/SUM('Statistics NZ'!U$30:U$110,'Statistics NZ'!U$130:U$210,SUM($E$12:$T$13)*(U$8-U$9)*1000)</f>
        <v>36879.282517096864</v>
      </c>
      <c r="V54" s="28">
        <f>SUM('Statistics NZ'!V$54,$I$12/5*(V$8-V$9)*1000)*'Economic Forecasts'!X$9*1000000/SUM('Statistics NZ'!V$30:V$110,'Statistics NZ'!V$130:V$210,SUM($E$12:$T$13)*(V$8-V$9)*1000)</f>
        <v>38363.450786537251</v>
      </c>
      <c r="W54" s="28">
        <f>SUM('Statistics NZ'!W$54,$I$12/5*(W$8-W$9)*1000)*'Economic Forecasts'!Y$9*1000000/SUM('Statistics NZ'!W$30:W$110,'Statistics NZ'!W$130:W$210,SUM($E$12:$T$13)*(W$8-W$9)*1000)</f>
        <v>40597.428810833022</v>
      </c>
      <c r="X54" s="28">
        <f>SUM('Statistics NZ'!X$54,$I$12/5*(X$8-X$9)*1000)*'Economic Forecasts'!Z$9*1000000/SUM('Statistics NZ'!X$30:X$110,'Statistics NZ'!X$130:X$210,SUM($E$12:$T$13)*(X$8-X$9)*1000)</f>
        <v>41545.27866658759</v>
      </c>
      <c r="Y54" s="28">
        <f>SUM('Statistics NZ'!Y$54,$I$12/5*(Y$8-Y$9)*1000)*'Economic Forecasts'!AA$9*1000000/SUM('Statistics NZ'!Y$30:Y$110,'Statistics NZ'!Y$130:Y$210,SUM($E$12:$T$13)*(Y$8-Y$9)*1000)</f>
        <v>43220.713690764838</v>
      </c>
      <c r="Z54" s="28">
        <f>SUM('Statistics NZ'!Z$54,$I$12/5*(Z$8-Z$9)*1000)*'Economic Forecasts'!AB$9*1000000/SUM('Statistics NZ'!Z$30:Z$110,'Statistics NZ'!Z$130:Z$210,SUM($E$12:$T$13)*(Z$8-Z$9)*1000)</f>
        <v>43995.508409565628</v>
      </c>
      <c r="AA54" s="28">
        <f>SUM('Statistics NZ'!AA$54,$I$12/5*(AA$8-AA$9)*1000)*'Economic Forecasts'!AC$9*1000000/SUM('Statistics NZ'!AA$30:AA$110,'Statistics NZ'!AA$130:AA$210,SUM($E$12:$T$13)*(AA$8-AA$9)*1000)</f>
        <v>43610.008693565644</v>
      </c>
      <c r="AB54" s="18">
        <f>SUM(AA$54,'Statistics NZ'!AB$54-'Statistics NZ'!AA$54,$I$12/5*(AB$8-AB$9)*1000)</f>
        <v>43223.384120235387</v>
      </c>
      <c r="AC54" s="18">
        <f>SUM(AB$54,'Statistics NZ'!AC$54-'Statistics NZ'!AB$54,$I$12/5*(AC$8-AC$9)*1000)</f>
        <v>41968.967738015213</v>
      </c>
      <c r="AD54" s="18">
        <f>SUM(AC$54,'Statistics NZ'!AD$54-'Statistics NZ'!AC$54,$I$12/5*(AD$8-AD$9)*1000)</f>
        <v>41695.460912090144</v>
      </c>
      <c r="AE54" s="18">
        <f>SUM(AD$54,'Statistics NZ'!AE$54-'Statistics NZ'!AD$54,$I$12/5*(AE$8-AE$9)*1000)</f>
        <v>40655.460912090144</v>
      </c>
      <c r="AF54" s="18">
        <f>SUM(AE$54,'Statistics NZ'!AF$54-'Statistics NZ'!AE$54,$I$12/5*(AF$8-AF$9)*1000)</f>
        <v>40495.460912090144</v>
      </c>
      <c r="AG54" s="18">
        <f>SUM(AF$54,'Statistics NZ'!AG$54-'Statistics NZ'!AF$54,$I$12/5*(AG$8-AG$9)*1000)</f>
        <v>40165.460912090144</v>
      </c>
      <c r="AH54" s="18">
        <f>SUM(AG$54,'Statistics NZ'!AH$54-'Statistics NZ'!AG$54,$I$12/5*(AH$8-AH$9)*1000)</f>
        <v>39095.460912090144</v>
      </c>
      <c r="AI54" s="18">
        <f>SUM(AH$54,'Statistics NZ'!AI$54-'Statistics NZ'!AH$54,$I$12/5*(AI$8-AI$9)*1000)</f>
        <v>40645.460912090144</v>
      </c>
      <c r="AJ54" s="18">
        <f>SUM(AI$54,'Statistics NZ'!AJ$54-'Statistics NZ'!AI$54,$I$12/5*(AJ$8-AJ$9)*1000)</f>
        <v>40325.460912090144</v>
      </c>
      <c r="AK54" s="18">
        <f>SUM(AJ$54,'Statistics NZ'!AK$54-'Statistics NZ'!AJ$54,$I$12/5*(AK$8-AK$9)*1000)</f>
        <v>39665.460912090144</v>
      </c>
    </row>
    <row r="55" spans="1:37" x14ac:dyDescent="0.25">
      <c r="A55" s="12">
        <v>40</v>
      </c>
      <c r="B55" s="27">
        <f>'Statistics NZ'!B$55*'Economic Forecasts'!D$9*1000000/SUM('Statistics NZ'!B$30:B$110,'Statistics NZ'!B$130:B$210)</f>
        <v>31328.178696243078</v>
      </c>
      <c r="C55" s="27">
        <f>'Statistics NZ'!C$55*'Economic Forecasts'!E$9*1000000/SUM('Statistics NZ'!C$30:C$110,'Statistics NZ'!C$130:C$210)</f>
        <v>31797.413399908775</v>
      </c>
      <c r="D55" s="27">
        <f>'Statistics NZ'!D$55*'Economic Forecasts'!F$9*1000000/SUM('Statistics NZ'!D$30:D$110,'Statistics NZ'!D$130:D$210)</f>
        <v>32100.661070553826</v>
      </c>
      <c r="E55" s="27">
        <f>'Statistics NZ'!E$55*'Economic Forecasts'!G$9*1000000/SUM('Statistics NZ'!E$30:E$110,'Statistics NZ'!E$130:E$210)</f>
        <v>32657.386283456424</v>
      </c>
      <c r="F55" s="27">
        <f>'Statistics NZ'!F$55*'Economic Forecasts'!H$9*1000000/SUM('Statistics NZ'!F$30:F$110,'Statistics NZ'!F$130:F$210)</f>
        <v>32467.231758222926</v>
      </c>
      <c r="G55" s="27">
        <f>'Statistics NZ'!G$55*'Economic Forecasts'!I$9*1000000/SUM('Statistics NZ'!G$30:G$110,'Statistics NZ'!G$130:G$210)</f>
        <v>33583.032655200012</v>
      </c>
      <c r="H55" s="27">
        <f>'Statistics NZ'!H$55*'Economic Forecasts'!J$9*1000000/SUM('Statistics NZ'!H$30:H$110,'Statistics NZ'!H$130:H$210)</f>
        <v>32963.335115217378</v>
      </c>
      <c r="I55" s="27">
        <f>'Statistics NZ'!I$55*'Economic Forecasts'!K$9*1000000/SUM('Statistics NZ'!I$30:I$110,'Statistics NZ'!I$130:I$210)</f>
        <v>31724.304971825284</v>
      </c>
      <c r="J55" s="27">
        <f>'Statistics NZ'!J$55*'Economic Forecasts'!L$9*1000000/SUM('Statistics NZ'!J$30:J$110,'Statistics NZ'!J$130:J$210)</f>
        <v>30581.902716978202</v>
      </c>
      <c r="K55" s="27">
        <f>'Statistics NZ'!K$55*'Economic Forecasts'!M$9*1000000/SUM('Statistics NZ'!K$30:K$110,'Statistics NZ'!K$130:K$210)</f>
        <v>29529.953265713932</v>
      </c>
      <c r="L55" s="27">
        <f>'Statistics NZ'!L$55*'Economic Forecasts'!N$9*1000000/SUM('Statistics NZ'!L$30:L$110,'Statistics NZ'!L$130:L$210)</f>
        <v>28469.862330486001</v>
      </c>
      <c r="M55" s="27">
        <f>'Statistics NZ'!M$55*'Economic Forecasts'!O$9*1000000/SUM('Statistics NZ'!M$30:M$110,'Statistics NZ'!M$130:M$210)</f>
        <v>29054.712605726992</v>
      </c>
      <c r="N55" s="27">
        <f>'Statistics NZ'!N$55*'Economic Forecasts'!P$9*1000000/SUM('Statistics NZ'!N$30:N$110,'Statistics NZ'!N$130:N$210)</f>
        <v>29227.598668737071</v>
      </c>
      <c r="O55" s="27">
        <f>'Statistics NZ'!O$55*'Economic Forecasts'!Q$9*1000000/SUM('Statistics NZ'!O$30:O$110,'Statistics NZ'!O$130:O$210)</f>
        <v>30563.226541030617</v>
      </c>
      <c r="P55" s="27">
        <f>'Statistics NZ'!P$55*'Economic Forecasts'!R$9*1000000/SUM('Statistics NZ'!P$30:P$110,'Statistics NZ'!P$130:P$210)</f>
        <v>31265.5354267605</v>
      </c>
      <c r="Q55" s="27">
        <f>'Statistics NZ'!Q$55*'Economic Forecasts'!S$9*1000000/SUM('Statistics NZ'!Q$30:Q$110,'Statistics NZ'!Q$130:Q$210)</f>
        <v>31950.546975781475</v>
      </c>
      <c r="R55" s="27">
        <f>'Statistics NZ'!R$55*'Economic Forecasts'!T$9*1000000/SUM('Statistics NZ'!R$30:R$110,'Statistics NZ'!R$130:R$210)</f>
        <v>32814.797187038625</v>
      </c>
      <c r="S55" s="27">
        <f>'Statistics NZ'!S$55*'Economic Forecasts'!U$9*1000000/SUM('Statistics NZ'!S$30:S$110,'Statistics NZ'!S$130:S$210)</f>
        <v>33915.57631662309</v>
      </c>
      <c r="T55" s="27">
        <f>'Statistics NZ'!T$55*'Economic Forecasts'!V$9*1000000/SUM('Statistics NZ'!T$30:T$110,'Statistics NZ'!T$130:T$210)</f>
        <v>35453.67136150234</v>
      </c>
      <c r="U55" s="28">
        <f>SUM('Statistics NZ'!U$55,$J$12/5*(U$8-U$9)*1000)*'Economic Forecasts'!W$9*1000000/SUM('Statistics NZ'!U$30:U$110,'Statistics NZ'!U$130:U$210,SUM($E$12:$T$13)*(U$8-U$9)*1000)</f>
        <v>36666.360790677834</v>
      </c>
      <c r="V55" s="28">
        <f>SUM('Statistics NZ'!V$55,$J$12/5*(V$8-V$9)*1000)*'Economic Forecasts'!X$9*1000000/SUM('Statistics NZ'!V$30:V$110,'Statistics NZ'!V$130:V$210,SUM($E$12:$T$13)*(V$8-V$9)*1000)</f>
        <v>37176.577631583583</v>
      </c>
      <c r="W55" s="28">
        <f>SUM('Statistics NZ'!W$55,$J$12/5*(W$8-W$9)*1000)*'Economic Forecasts'!Y$9*1000000/SUM('Statistics NZ'!W$30:W$110,'Statistics NZ'!W$130:W$210,SUM($E$12:$T$13)*(W$8-W$9)*1000)</f>
        <v>38742.166444979339</v>
      </c>
      <c r="X55" s="28">
        <f>SUM('Statistics NZ'!X$55,$J$12/5*(X$8-X$9)*1000)*'Economic Forecasts'!Z$9*1000000/SUM('Statistics NZ'!X$30:X$110,'Statistics NZ'!X$130:X$210,SUM($E$12:$T$13)*(X$8-X$9)*1000)</f>
        <v>40925.192623417541</v>
      </c>
      <c r="Y55" s="28">
        <f>SUM('Statistics NZ'!Y$55,$J$12/5*(Y$8-Y$9)*1000)*'Economic Forecasts'!AA$9*1000000/SUM('Statistics NZ'!Y$30:Y$110,'Statistics NZ'!Y$130:Y$210,SUM($E$12:$T$13)*(Y$8-Y$9)*1000)</f>
        <v>41903.225797345622</v>
      </c>
      <c r="Z55" s="28">
        <f>SUM('Statistics NZ'!Z$55,$J$12/5*(Z$8-Z$9)*1000)*'Economic Forecasts'!AB$9*1000000/SUM('Statistics NZ'!Z$30:Z$110,'Statistics NZ'!Z$130:Z$210,SUM($E$12:$T$13)*(Z$8-Z$9)*1000)</f>
        <v>43579.436814818269</v>
      </c>
      <c r="AA55" s="28">
        <f>SUM('Statistics NZ'!AA$55,$J$12/5*(AA$8-AA$9)*1000)*'Economic Forecasts'!AC$9*1000000/SUM('Statistics NZ'!AA$30:AA$110,'Statistics NZ'!AA$130:AA$210,SUM($E$12:$T$13)*(AA$8-AA$9)*1000)</f>
        <v>44378.224365385286</v>
      </c>
      <c r="AB55" s="18">
        <f>SUM(AA$55,'Statistics NZ'!AB$55-'Statistics NZ'!AA$55,$J$12/5*(AB$8-AB$9)*1000)</f>
        <v>43981.429459512583</v>
      </c>
      <c r="AC55" s="18">
        <f>SUM(AB$55,'Statistics NZ'!AC$55-'Statistics NZ'!AB$55,$J$12/5*(AC$8-AC$9)*1000)</f>
        <v>43580.232855597445</v>
      </c>
      <c r="AD55" s="18">
        <f>SUM(AC$55,'Statistics NZ'!AD$55-'Statistics NZ'!AC$55,$J$12/5*(AD$8-AD$9)*1000)</f>
        <v>42323.90093729947</v>
      </c>
      <c r="AE55" s="18">
        <f>SUM(AD$55,'Statistics NZ'!AE$55-'Statistics NZ'!AD$55,$J$12/5*(AE$8-AE$9)*1000)</f>
        <v>42043.90093729947</v>
      </c>
      <c r="AF55" s="18">
        <f>SUM(AE$55,'Statistics NZ'!AF$55-'Statistics NZ'!AE$55,$J$12/5*(AF$8-AF$9)*1000)</f>
        <v>41003.90093729947</v>
      </c>
      <c r="AG55" s="18">
        <f>SUM(AF$55,'Statistics NZ'!AG$55-'Statistics NZ'!AF$55,$J$12/5*(AG$8-AG$9)*1000)</f>
        <v>40843.90093729947</v>
      </c>
      <c r="AH55" s="18">
        <f>SUM(AG$55,'Statistics NZ'!AH$55-'Statistics NZ'!AG$55,$J$12/5*(AH$8-AH$9)*1000)</f>
        <v>40523.90093729947</v>
      </c>
      <c r="AI55" s="18">
        <f>SUM(AH$55,'Statistics NZ'!AI$55-'Statistics NZ'!AH$55,$J$12/5*(AI$8-AI$9)*1000)</f>
        <v>39463.90093729947</v>
      </c>
      <c r="AJ55" s="18">
        <f>SUM(AI$55,'Statistics NZ'!AJ$55-'Statistics NZ'!AI$55,$J$12/5*(AJ$8-AJ$9)*1000)</f>
        <v>41013.90093729947</v>
      </c>
      <c r="AK55" s="18">
        <f>SUM(AJ$55,'Statistics NZ'!AK$55-'Statistics NZ'!AJ$55,$J$12/5*(AK$8-AK$9)*1000)</f>
        <v>40693.90093729947</v>
      </c>
    </row>
    <row r="56" spans="1:37" x14ac:dyDescent="0.25">
      <c r="A56" s="12">
        <v>41</v>
      </c>
      <c r="B56" s="27">
        <f>'Statistics NZ'!B$56*'Economic Forecasts'!D$9*1000000/SUM('Statistics NZ'!B$30:B$110,'Statistics NZ'!B$130:B$210)</f>
        <v>31719.536331424133</v>
      </c>
      <c r="C56" s="27">
        <f>'Statistics NZ'!C$56*'Economic Forecasts'!E$9*1000000/SUM('Statistics NZ'!C$30:C$110,'Statistics NZ'!C$130:C$210)</f>
        <v>31532.271286938565</v>
      </c>
      <c r="D56" s="27">
        <f>'Statistics NZ'!D$56*'Economic Forecasts'!F$9*1000000/SUM('Statistics NZ'!D$30:D$110,'Statistics NZ'!D$130:D$210)</f>
        <v>31864.915701614624</v>
      </c>
      <c r="E56" s="27">
        <f>'Statistics NZ'!E$56*'Economic Forecasts'!G$9*1000000/SUM('Statistics NZ'!E$30:E$110,'Statistics NZ'!E$130:E$210)</f>
        <v>32108.193000611507</v>
      </c>
      <c r="F56" s="27">
        <f>'Statistics NZ'!F$56*'Economic Forecasts'!H$9*1000000/SUM('Statistics NZ'!F$30:F$110,'Statistics NZ'!F$130:F$210)</f>
        <v>32732.070204589094</v>
      </c>
      <c r="G56" s="27">
        <f>'Statistics NZ'!G$56*'Economic Forecasts'!I$9*1000000/SUM('Statistics NZ'!G$30:G$110,'Statistics NZ'!G$130:G$210)</f>
        <v>32512.383178915483</v>
      </c>
      <c r="H56" s="27">
        <f>'Statistics NZ'!H$56*'Economic Forecasts'!J$9*1000000/SUM('Statistics NZ'!H$30:H$110,'Statistics NZ'!H$130:H$210)</f>
        <v>33592.143892378015</v>
      </c>
      <c r="I56" s="27">
        <f>'Statistics NZ'!I$56*'Economic Forecasts'!K$9*1000000/SUM('Statistics NZ'!I$30:I$110,'Statistics NZ'!I$130:I$210)</f>
        <v>32890.928053298463</v>
      </c>
      <c r="J56" s="27">
        <f>'Statistics NZ'!J$56*'Economic Forecasts'!L$9*1000000/SUM('Statistics NZ'!J$30:J$110,'Statistics NZ'!J$130:J$210)</f>
        <v>31674.113528298851</v>
      </c>
      <c r="K56" s="27">
        <f>'Statistics NZ'!K$56*'Economic Forecasts'!M$9*1000000/SUM('Statistics NZ'!K$30:K$110,'Statistics NZ'!K$130:K$210)</f>
        <v>30863.81531563243</v>
      </c>
      <c r="L56" s="27">
        <f>'Statistics NZ'!L$56*'Economic Forecasts'!N$9*1000000/SUM('Statistics NZ'!L$30:L$110,'Statistics NZ'!L$130:L$210)</f>
        <v>29940.091199126007</v>
      </c>
      <c r="M56" s="27">
        <f>'Statistics NZ'!M$56*'Economic Forecasts'!O$9*1000000/SUM('Statistics NZ'!M$30:M$110,'Statistics NZ'!M$130:M$210)</f>
        <v>28947.2472934664</v>
      </c>
      <c r="N56" s="27">
        <f>'Statistics NZ'!N$56*'Economic Forecasts'!P$9*1000000/SUM('Statistics NZ'!N$30:N$110,'Statistics NZ'!N$130:N$210)</f>
        <v>29442.867222708352</v>
      </c>
      <c r="O56" s="27">
        <f>'Statistics NZ'!O$56*'Economic Forecasts'!Q$9*1000000/SUM('Statistics NZ'!O$30:O$110,'Statistics NZ'!O$130:O$210)</f>
        <v>29669.507512999196</v>
      </c>
      <c r="P56" s="27">
        <f>'Statistics NZ'!P$56*'Economic Forecasts'!R$9*1000000/SUM('Statistics NZ'!P$30:P$110,'Statistics NZ'!P$130:P$210)</f>
        <v>30922.818940717087</v>
      </c>
      <c r="Q56" s="27">
        <f>'Statistics NZ'!Q$56*'Economic Forecasts'!S$9*1000000/SUM('Statistics NZ'!Q$30:Q$110,'Statistics NZ'!Q$130:Q$210)</f>
        <v>31594.882259910064</v>
      </c>
      <c r="R56" s="27">
        <f>'Statistics NZ'!R$56*'Economic Forecasts'!T$9*1000000/SUM('Statistics NZ'!R$30:R$110,'Statistics NZ'!R$130:R$210)</f>
        <v>31846.167631517605</v>
      </c>
      <c r="S56" s="27">
        <f>'Statistics NZ'!S$56*'Economic Forecasts'!U$9*1000000/SUM('Statistics NZ'!S$30:S$110,'Statistics NZ'!S$130:S$210)</f>
        <v>33195.211033204578</v>
      </c>
      <c r="T56" s="27">
        <f>'Statistics NZ'!T$56*'Economic Forecasts'!V$9*1000000/SUM('Statistics NZ'!T$30:T$110,'Statistics NZ'!T$130:T$210)</f>
        <v>35041.076682316118</v>
      </c>
      <c r="U56" s="28">
        <f>SUM('Statistics NZ'!U$56,$J$12/5*(U$8-U$9)*1000)*'Economic Forecasts'!W$9*1000000/SUM('Statistics NZ'!U$30:U$110,'Statistics NZ'!U$130:U$210,SUM($E$12:$T$13)*(U$8-U$9)*1000)</f>
        <v>35633.129263546252</v>
      </c>
      <c r="V56" s="28">
        <f>SUM('Statistics NZ'!V$56,$J$12/5*(V$8-V$9)*1000)*'Economic Forecasts'!X$9*1000000/SUM('Statistics NZ'!V$30:V$110,'Statistics NZ'!V$130:V$210,SUM($E$12:$T$13)*(V$8-V$9)*1000)</f>
        <v>36833.249540317716</v>
      </c>
      <c r="W56" s="28">
        <f>SUM('Statistics NZ'!W$56,$J$12/5*(W$8-W$9)*1000)*'Economic Forecasts'!Y$9*1000000/SUM('Statistics NZ'!W$30:W$110,'Statistics NZ'!W$130:W$210,SUM($E$12:$T$13)*(W$8-W$9)*1000)</f>
        <v>37450.943438638715</v>
      </c>
      <c r="X56" s="28">
        <f>SUM('Statistics NZ'!X$56,$J$12/5*(X$8-X$9)*1000)*'Economic Forecasts'!Z$9*1000000/SUM('Statistics NZ'!X$30:X$110,'Statistics NZ'!X$130:X$210,SUM($E$12:$T$13)*(X$8-X$9)*1000)</f>
        <v>39029.832662910201</v>
      </c>
      <c r="Y56" s="28">
        <f>SUM('Statistics NZ'!Y$56,$J$12/5*(Y$8-Y$9)*1000)*'Economic Forecasts'!AA$9*1000000/SUM('Statistics NZ'!Y$30:Y$110,'Statistics NZ'!Y$130:Y$210,SUM($E$12:$T$13)*(Y$8-Y$9)*1000)</f>
        <v>41248.704785845301</v>
      </c>
      <c r="Z56" s="28">
        <f>SUM('Statistics NZ'!Z$56,$J$12/5*(Z$8-Z$9)*1000)*'Economic Forecasts'!AB$9*1000000/SUM('Statistics NZ'!Z$30:Z$110,'Statistics NZ'!Z$130:Z$210,SUM($E$12:$T$13)*(Z$8-Z$9)*1000)</f>
        <v>42231.031142851367</v>
      </c>
      <c r="AA56" s="28">
        <f>SUM('Statistics NZ'!AA$56,$J$12/5*(AA$8-AA$9)*1000)*'Economic Forecasts'!AC$9*1000000/SUM('Statistics NZ'!AA$30:AA$110,'Statistics NZ'!AA$130:AA$210,SUM($E$12:$T$13)*(AA$8-AA$9)*1000)</f>
        <v>43928.560720758964</v>
      </c>
      <c r="AB56" s="18">
        <f>SUM(AA$56,'Statistics NZ'!AB$56-'Statistics NZ'!AA$56,$J$12/5*(AB$8-AB$9)*1000)</f>
        <v>44741.765814886261</v>
      </c>
      <c r="AC56" s="18">
        <f>SUM(AB$56,'Statistics NZ'!AC$56-'Statistics NZ'!AB$56,$J$12/5*(AC$8-AC$9)*1000)</f>
        <v>44340.569210971124</v>
      </c>
      <c r="AD56" s="18">
        <f>SUM(AC$56,'Statistics NZ'!AD$56-'Statistics NZ'!AC$56,$J$12/5*(AD$8-AD$9)*1000)</f>
        <v>43934.237292673148</v>
      </c>
      <c r="AE56" s="18">
        <f>SUM(AD$56,'Statistics NZ'!AE$56-'Statistics NZ'!AD$56,$J$12/5*(AE$8-AE$9)*1000)</f>
        <v>42674.237292673148</v>
      </c>
      <c r="AF56" s="18">
        <f>SUM(AE$56,'Statistics NZ'!AF$56-'Statistics NZ'!AE$56,$J$12/5*(AF$8-AF$9)*1000)</f>
        <v>42404.237292673148</v>
      </c>
      <c r="AG56" s="18">
        <f>SUM(AF$56,'Statistics NZ'!AG$56-'Statistics NZ'!AF$56,$J$12/5*(AG$8-AG$9)*1000)</f>
        <v>41374.237292673148</v>
      </c>
      <c r="AH56" s="18">
        <f>SUM(AG$56,'Statistics NZ'!AH$56-'Statistics NZ'!AG$56,$J$12/5*(AH$8-AH$9)*1000)</f>
        <v>41214.237292673148</v>
      </c>
      <c r="AI56" s="18">
        <f>SUM(AH$56,'Statistics NZ'!AI$56-'Statistics NZ'!AH$56,$J$12/5*(AI$8-AI$9)*1000)</f>
        <v>40894.237292673148</v>
      </c>
      <c r="AJ56" s="18">
        <f>SUM(AI$56,'Statistics NZ'!AJ$56-'Statistics NZ'!AI$56,$J$12/5*(AJ$8-AJ$9)*1000)</f>
        <v>39834.237292673148</v>
      </c>
      <c r="AK56" s="18">
        <f>SUM(AJ$56,'Statistics NZ'!AK$56-'Statistics NZ'!AJ$56,$J$12/5*(AK$8-AK$9)*1000)</f>
        <v>41384.237292673148</v>
      </c>
    </row>
    <row r="57" spans="1:37" x14ac:dyDescent="0.25">
      <c r="A57" s="12">
        <v>42</v>
      </c>
      <c r="B57" s="27">
        <f>'Statistics NZ'!B$57*'Economic Forecasts'!D$9*1000000/SUM('Statistics NZ'!B$30:B$110,'Statistics NZ'!B$130:B$210)</f>
        <v>32785.985887292496</v>
      </c>
      <c r="C57" s="27">
        <f>'Statistics NZ'!C$57*'Economic Forecasts'!E$9*1000000/SUM('Statistics NZ'!C$30:C$110,'Statistics NZ'!C$130:C$210)</f>
        <v>31925.074417264805</v>
      </c>
      <c r="D57" s="27">
        <f>'Statistics NZ'!D$57*'Economic Forecasts'!F$9*1000000/SUM('Statistics NZ'!D$30:D$110,'Statistics NZ'!D$130:D$210)</f>
        <v>31589.879437852229</v>
      </c>
      <c r="E57" s="27">
        <f>'Statistics NZ'!E$57*'Economic Forecasts'!G$9*1000000/SUM('Statistics NZ'!E$30:E$110,'Statistics NZ'!E$130:E$210)</f>
        <v>31833.596359189054</v>
      </c>
      <c r="F57" s="27">
        <f>'Statistics NZ'!F$57*'Economic Forecasts'!H$9*1000000/SUM('Statistics NZ'!F$30:F$110,'Statistics NZ'!F$130:F$210)</f>
        <v>32172.966817816072</v>
      </c>
      <c r="G57" s="27">
        <f>'Statistics NZ'!G$57*'Economic Forecasts'!I$9*1000000/SUM('Statistics NZ'!G$30:G$110,'Statistics NZ'!G$130:G$210)</f>
        <v>32767.767457662252</v>
      </c>
      <c r="H57" s="27">
        <f>'Statistics NZ'!H$57*'Economic Forecasts'!J$9*1000000/SUM('Statistics NZ'!H$30:H$110,'Statistics NZ'!H$130:H$210)</f>
        <v>32472.078258060639</v>
      </c>
      <c r="I57" s="27">
        <f>'Statistics NZ'!I$57*'Economic Forecasts'!K$9*1000000/SUM('Statistics NZ'!I$30:I$110,'Statistics NZ'!I$130:I$210)</f>
        <v>33567.373369446781</v>
      </c>
      <c r="J57" s="27">
        <f>'Statistics NZ'!J$57*'Economic Forecasts'!L$9*1000000/SUM('Statistics NZ'!J$30:J$110,'Statistics NZ'!J$130:J$210)</f>
        <v>32932.106337766389</v>
      </c>
      <c r="K57" s="27">
        <f>'Statistics NZ'!K$57*'Economic Forecasts'!M$9*1000000/SUM('Statistics NZ'!K$30:K$110,'Statistics NZ'!K$130:K$210)</f>
        <v>31847.17346922198</v>
      </c>
      <c r="L57" s="27">
        <f>'Statistics NZ'!L$57*'Economic Forecasts'!N$9*1000000/SUM('Statistics NZ'!L$30:L$110,'Statistics NZ'!L$130:L$210)</f>
        <v>31225.324382307997</v>
      </c>
      <c r="M57" s="27">
        <f>'Statistics NZ'!M$57*'Economic Forecasts'!O$9*1000000/SUM('Statistics NZ'!M$30:M$110,'Statistics NZ'!M$130:M$210)</f>
        <v>30393.144222063442</v>
      </c>
      <c r="N57" s="27">
        <f>'Statistics NZ'!N$57*'Economic Forecasts'!P$9*1000000/SUM('Statistics NZ'!N$30:N$110,'Statistics NZ'!N$130:N$210)</f>
        <v>29276.52334009418</v>
      </c>
      <c r="O57" s="27">
        <f>'Statistics NZ'!O$57*'Economic Forecasts'!Q$9*1000000/SUM('Statistics NZ'!O$30:O$110,'Statistics NZ'!O$130:O$210)</f>
        <v>29856.108189181581</v>
      </c>
      <c r="P57" s="27">
        <f>'Statistics NZ'!P$57*'Economic Forecasts'!R$9*1000000/SUM('Statistics NZ'!P$30:P$110,'Statistics NZ'!P$130:P$210)</f>
        <v>29953.420880194288</v>
      </c>
      <c r="Q57" s="27">
        <f>'Statistics NZ'!Q$57*'Economic Forecasts'!S$9*1000000/SUM('Statistics NZ'!Q$30:Q$110,'Statistics NZ'!Q$130:Q$210)</f>
        <v>31209.578817716039</v>
      </c>
      <c r="R57" s="27">
        <f>'Statistics NZ'!R$57*'Economic Forecasts'!T$9*1000000/SUM('Statistics NZ'!R$30:R$110,'Statistics NZ'!R$130:R$210)</f>
        <v>31470.576579376801</v>
      </c>
      <c r="S57" s="27">
        <f>'Statistics NZ'!S$57*'Economic Forecasts'!U$9*1000000/SUM('Statistics NZ'!S$30:S$110,'Statistics NZ'!S$130:S$210)</f>
        <v>32202.275102006075</v>
      </c>
      <c r="T57" s="27">
        <f>'Statistics NZ'!T$57*'Economic Forecasts'!V$9*1000000/SUM('Statistics NZ'!T$30:T$110,'Statistics NZ'!T$130:T$210)</f>
        <v>34196.239958268125</v>
      </c>
      <c r="U57" s="28">
        <f>SUM('Statistics NZ'!U$57,$J$12/5*(U$8-U$9)*1000)*'Economic Forecasts'!W$9*1000000/SUM('Statistics NZ'!U$30:U$110,'Statistics NZ'!U$130:U$210,SUM($E$12:$T$13)*(U$8-U$9)*1000)</f>
        <v>35190.315751918431</v>
      </c>
      <c r="V57" s="28">
        <f>SUM('Statistics NZ'!V$57,$J$12/5*(V$8-V$9)*1000)*'Economic Forecasts'!X$9*1000000/SUM('Statistics NZ'!V$30:V$110,'Statistics NZ'!V$130:V$210,SUM($E$12:$T$13)*(V$8-V$9)*1000)</f>
        <v>35773.837144411591</v>
      </c>
      <c r="W57" s="28">
        <f>SUM('Statistics NZ'!W$57,$J$12/5*(W$8-W$9)*1000)*'Economic Forecasts'!Y$9*1000000/SUM('Statistics NZ'!W$30:W$110,'Statistics NZ'!W$130:W$210,SUM($E$12:$T$13)*(W$8-W$9)*1000)</f>
        <v>37069.445732219894</v>
      </c>
      <c r="X57" s="28">
        <f>SUM('Statistics NZ'!X$57,$J$12/5*(X$8-X$9)*1000)*'Economic Forecasts'!Z$9*1000000/SUM('Statistics NZ'!X$30:X$110,'Statistics NZ'!X$130:X$210,SUM($E$12:$T$13)*(X$8-X$9)*1000)</f>
        <v>37691.356814510676</v>
      </c>
      <c r="Y57" s="28">
        <f>SUM('Statistics NZ'!Y$57,$J$12/5*(Y$8-Y$9)*1000)*'Economic Forecasts'!AA$9*1000000/SUM('Statistics NZ'!Y$30:Y$110,'Statistics NZ'!Y$130:Y$210,SUM($E$12:$T$13)*(Y$8-Y$9)*1000)</f>
        <v>39304.679691986144</v>
      </c>
      <c r="Z57" s="28">
        <f>SUM('Statistics NZ'!Z$57,$J$12/5*(Z$8-Z$9)*1000)*'Economic Forecasts'!AB$9*1000000/SUM('Statistics NZ'!Z$30:Z$110,'Statistics NZ'!Z$130:Z$210,SUM($E$12:$T$13)*(Z$8-Z$9)*1000)</f>
        <v>41537.28619567999</v>
      </c>
      <c r="AA57" s="28">
        <f>SUM('Statistics NZ'!AA$57,$J$12/5*(AA$8-AA$9)*1000)*'Economic Forecasts'!AC$9*1000000/SUM('Statistics NZ'!AA$30:AA$110,'Statistics NZ'!AA$130:AA$210,SUM($E$12:$T$13)*(AA$8-AA$9)*1000)</f>
        <v>42530.693303768428</v>
      </c>
      <c r="AB57" s="18">
        <f>SUM(AA$57,'Statistics NZ'!AB$57-'Statistics NZ'!AA$57,$J$12/5*(AB$8-AB$9)*1000)</f>
        <v>44263.898397895726</v>
      </c>
      <c r="AC57" s="18">
        <f>SUM(AB$57,'Statistics NZ'!AC$57-'Statistics NZ'!AB$57,$J$12/5*(AC$8-AC$9)*1000)</f>
        <v>45072.701793980588</v>
      </c>
      <c r="AD57" s="18">
        <f>SUM(AC$57,'Statistics NZ'!AD$57-'Statistics NZ'!AC$57,$J$12/5*(AD$8-AD$9)*1000)</f>
        <v>44676.369875682612</v>
      </c>
      <c r="AE57" s="18">
        <f>SUM(AD$57,'Statistics NZ'!AE$57-'Statistics NZ'!AD$57,$J$12/5*(AE$8-AE$9)*1000)</f>
        <v>44276.369875682612</v>
      </c>
      <c r="AF57" s="18">
        <f>SUM(AE$57,'Statistics NZ'!AF$57-'Statistics NZ'!AE$57,$J$12/5*(AF$8-AF$9)*1000)</f>
        <v>43016.369875682612</v>
      </c>
      <c r="AG57" s="18">
        <f>SUM(AF$57,'Statistics NZ'!AG$57-'Statistics NZ'!AF$57,$J$12/5*(AG$8-AG$9)*1000)</f>
        <v>42746.369875682612</v>
      </c>
      <c r="AH57" s="18">
        <f>SUM(AG$57,'Statistics NZ'!AH$57-'Statistics NZ'!AG$57,$J$12/5*(AH$8-AH$9)*1000)</f>
        <v>41716.369875682612</v>
      </c>
      <c r="AI57" s="18">
        <f>SUM(AH$57,'Statistics NZ'!AI$57-'Statistics NZ'!AH$57,$J$12/5*(AI$8-AI$9)*1000)</f>
        <v>41556.369875682612</v>
      </c>
      <c r="AJ57" s="18">
        <f>SUM(AI$57,'Statistics NZ'!AJ$57-'Statistics NZ'!AI$57,$J$12/5*(AJ$8-AJ$9)*1000)</f>
        <v>41246.369875682612</v>
      </c>
      <c r="AK57" s="18">
        <f>SUM(AJ$57,'Statistics NZ'!AK$57-'Statistics NZ'!AJ$57,$J$12/5*(AK$8-AK$9)*1000)</f>
        <v>40186.369875682612</v>
      </c>
    </row>
    <row r="58" spans="1:37" x14ac:dyDescent="0.25">
      <c r="A58" s="12">
        <v>43</v>
      </c>
      <c r="B58" s="27">
        <f>'Statistics NZ'!B$58*'Economic Forecasts'!D$9*1000000/SUM('Statistics NZ'!B$30:B$110,'Statistics NZ'!B$130:B$210)</f>
        <v>33676.324507329387</v>
      </c>
      <c r="C58" s="27">
        <f>'Statistics NZ'!C$58*'Economic Forecasts'!E$9*1000000/SUM('Statistics NZ'!C$30:C$110,'Statistics NZ'!C$130:C$210)</f>
        <v>33005.283025661956</v>
      </c>
      <c r="D58" s="27">
        <f>'Statistics NZ'!D$58*'Economic Forecasts'!F$9*1000000/SUM('Statistics NZ'!D$30:D$110,'Statistics NZ'!D$130:D$210)</f>
        <v>31874.738425320425</v>
      </c>
      <c r="E58" s="27">
        <f>'Statistics NZ'!E$58*'Economic Forecasts'!G$9*1000000/SUM('Statistics NZ'!E$30:E$110,'Statistics NZ'!E$130:E$210)</f>
        <v>31519.771626134818</v>
      </c>
      <c r="F58" s="27">
        <f>'Statistics NZ'!F$58*'Economic Forecasts'!H$9*1000000/SUM('Statistics NZ'!F$30:F$110,'Statistics NZ'!F$130:F$210)</f>
        <v>31917.937202796795</v>
      </c>
      <c r="G58" s="27">
        <f>'Statistics NZ'!G$58*'Economic Forecasts'!I$9*1000000/SUM('Statistics NZ'!G$30:G$110,'Statistics NZ'!G$130:G$210)</f>
        <v>32168.596649833296</v>
      </c>
      <c r="H58" s="27">
        <f>'Statistics NZ'!H$58*'Economic Forecasts'!J$9*1000000/SUM('Statistics NZ'!H$30:H$110,'Statistics NZ'!H$130:H$210)</f>
        <v>32688.231275209604</v>
      </c>
      <c r="I58" s="27">
        <f>'Statistics NZ'!I$58*'Economic Forecasts'!K$9*1000000/SUM('Statistics NZ'!I$30:I$110,'Statistics NZ'!I$130:I$210)</f>
        <v>32420.357398586599</v>
      </c>
      <c r="J58" s="27">
        <f>'Statistics NZ'!J$58*'Economic Forecasts'!L$9*1000000/SUM('Statistics NZ'!J$30:J$110,'Statistics NZ'!J$130:J$210)</f>
        <v>33526.971154646388</v>
      </c>
      <c r="K58" s="27">
        <f>'Statistics NZ'!K$58*'Economic Forecasts'!M$9*1000000/SUM('Statistics NZ'!K$30:K$110,'Statistics NZ'!K$130:K$210)</f>
        <v>33132.354422428129</v>
      </c>
      <c r="L58" s="27">
        <f>'Statistics NZ'!L$58*'Economic Forecasts'!N$9*1000000/SUM('Statistics NZ'!L$30:L$110,'Statistics NZ'!L$130:L$210)</f>
        <v>32082.146504429329</v>
      </c>
      <c r="M58" s="27">
        <f>'Statistics NZ'!M$58*'Economic Forecasts'!O$9*1000000/SUM('Statistics NZ'!M$30:M$110,'Statistics NZ'!M$130:M$210)</f>
        <v>31643.649673823042</v>
      </c>
      <c r="N58" s="27">
        <f>'Statistics NZ'!N$58*'Economic Forecasts'!P$9*1000000/SUM('Statistics NZ'!N$30:N$110,'Statistics NZ'!N$130:N$210)</f>
        <v>30656.19907236466</v>
      </c>
      <c r="O58" s="27">
        <f>'Statistics NZ'!O$58*'Economic Forecasts'!Q$9*1000000/SUM('Statistics NZ'!O$30:O$110,'Statistics NZ'!O$130:O$210)</f>
        <v>29669.507512999196</v>
      </c>
      <c r="P58" s="27">
        <f>'Statistics NZ'!P$58*'Economic Forecasts'!R$9*1000000/SUM('Statistics NZ'!P$30:P$110,'Statistics NZ'!P$130:P$210)</f>
        <v>30119.883173415375</v>
      </c>
      <c r="Q58" s="27">
        <f>'Statistics NZ'!Q$58*'Economic Forecasts'!S$9*1000000/SUM('Statistics NZ'!Q$30:Q$110,'Statistics NZ'!Q$130:Q$210)</f>
        <v>30271.019150833155</v>
      </c>
      <c r="R58" s="27">
        <f>'Statistics NZ'!R$58*'Economic Forecasts'!T$9*1000000/SUM('Statistics NZ'!R$30:R$110,'Statistics NZ'!R$130:R$210)</f>
        <v>31094.985527235996</v>
      </c>
      <c r="S58" s="27">
        <f>'Statistics NZ'!S$58*'Economic Forecasts'!U$9*1000000/SUM('Statistics NZ'!S$30:S$110,'Statistics NZ'!S$130:S$210)</f>
        <v>31676.603138430404</v>
      </c>
      <c r="T58" s="27">
        <f>'Statistics NZ'!T$58*'Economic Forecasts'!V$9*1000000/SUM('Statistics NZ'!T$30:T$110,'Statistics NZ'!T$130:T$210)</f>
        <v>33135.282211789257</v>
      </c>
      <c r="U58" s="28">
        <f>SUM('Statistics NZ'!U$58,$J$12/5*(U$8-U$9)*1000)*'Economic Forecasts'!W$9*1000000/SUM('Statistics NZ'!U$30:U$110,'Statistics NZ'!U$130:U$210,SUM($E$12:$T$13)*(U$8-U$9)*1000)</f>
        <v>34314.529028921184</v>
      </c>
      <c r="V58" s="28">
        <f>SUM('Statistics NZ'!V$58,$J$12/5*(V$8-V$9)*1000)*'Economic Forecasts'!X$9*1000000/SUM('Statistics NZ'!V$30:V$110,'Statistics NZ'!V$130:V$210,SUM($E$12:$T$13)*(V$8-V$9)*1000)</f>
        <v>35293.177816639371</v>
      </c>
      <c r="W58" s="28">
        <f>SUM('Statistics NZ'!W$58,$J$12/5*(W$8-W$9)*1000)*'Economic Forecasts'!Y$9*1000000/SUM('Statistics NZ'!W$30:W$110,'Statistics NZ'!W$130:W$210,SUM($E$12:$T$13)*(W$8-W$9)*1000)</f>
        <v>35973.862575324812</v>
      </c>
      <c r="X58" s="28">
        <f>SUM('Statistics NZ'!X$58,$J$12/5*(X$8-X$9)*1000)*'Economic Forecasts'!Z$9*1000000/SUM('Statistics NZ'!X$30:X$110,'Statistics NZ'!X$130:X$210,SUM($E$12:$T$13)*(X$8-X$9)*1000)</f>
        <v>37271.251256253898</v>
      </c>
      <c r="Y58" s="28">
        <f>SUM('Statistics NZ'!Y$58,$J$12/5*(Y$8-Y$9)*1000)*'Economic Forecasts'!AA$9*1000000/SUM('Statistics NZ'!Y$30:Y$110,'Statistics NZ'!Y$130:Y$210,SUM($E$12:$T$13)*(Y$8-Y$9)*1000)</f>
        <v>37927.2548767392</v>
      </c>
      <c r="Z58" s="28">
        <f>SUM('Statistics NZ'!Z$58,$J$12/5*(Z$8-Z$9)*1000)*'Economic Forecasts'!AB$9*1000000/SUM('Statistics NZ'!Z$30:Z$110,'Statistics NZ'!Z$130:Z$210,SUM($E$12:$T$13)*(Z$8-Z$9)*1000)</f>
        <v>39553.761910105481</v>
      </c>
      <c r="AA58" s="28">
        <f>SUM('Statistics NZ'!AA$58,$J$12/5*(AA$8-AA$9)*1000)*'Economic Forecasts'!AC$9*1000000/SUM('Statistics NZ'!AA$30:AA$110,'Statistics NZ'!AA$130:AA$210,SUM($E$12:$T$13)*(AA$8-AA$9)*1000)</f>
        <v>41797.546057095075</v>
      </c>
      <c r="AB58" s="18">
        <f>SUM(AA$58,'Statistics NZ'!AB$58-'Statistics NZ'!AA$58,$J$12/5*(AB$8-AB$9)*1000)</f>
        <v>42820.751151222372</v>
      </c>
      <c r="AC58" s="18">
        <f>SUM(AB$58,'Statistics NZ'!AC$58-'Statistics NZ'!AB$58,$J$12/5*(AC$8-AC$9)*1000)</f>
        <v>44539.554547307234</v>
      </c>
      <c r="AD58" s="18">
        <f>SUM(AC$58,'Statistics NZ'!AD$58-'Statistics NZ'!AC$58,$J$12/5*(AD$8-AD$9)*1000)</f>
        <v>45353.222629009259</v>
      </c>
      <c r="AE58" s="18">
        <f>SUM(AD$58,'Statistics NZ'!AE$58-'Statistics NZ'!AD$58,$J$12/5*(AE$8-AE$9)*1000)</f>
        <v>44953.222629009259</v>
      </c>
      <c r="AF58" s="18">
        <f>SUM(AE$58,'Statistics NZ'!AF$58-'Statistics NZ'!AE$58,$J$12/5*(AF$8-AF$9)*1000)</f>
        <v>44553.222629009259</v>
      </c>
      <c r="AG58" s="18">
        <f>SUM(AF$58,'Statistics NZ'!AG$58-'Statistics NZ'!AF$58,$J$12/5*(AG$8-AG$9)*1000)</f>
        <v>43303.222629009259</v>
      </c>
      <c r="AH58" s="18">
        <f>SUM(AG$58,'Statistics NZ'!AH$58-'Statistics NZ'!AG$58,$J$12/5*(AH$8-AH$9)*1000)</f>
        <v>43033.222629009259</v>
      </c>
      <c r="AI58" s="18">
        <f>SUM(AH$58,'Statistics NZ'!AI$58-'Statistics NZ'!AH$58,$J$12/5*(AI$8-AI$9)*1000)</f>
        <v>42003.222629009259</v>
      </c>
      <c r="AJ58" s="18">
        <f>SUM(AI$58,'Statistics NZ'!AJ$58-'Statistics NZ'!AI$58,$J$12/5*(AJ$8-AJ$9)*1000)</f>
        <v>41853.222629009259</v>
      </c>
      <c r="AK58" s="18">
        <f>SUM(AJ$58,'Statistics NZ'!AK$58-'Statistics NZ'!AJ$58,$J$12/5*(AK$8-AK$9)*1000)</f>
        <v>41543.222629009259</v>
      </c>
    </row>
    <row r="59" spans="1:37" x14ac:dyDescent="0.25">
      <c r="A59" s="12">
        <v>44</v>
      </c>
      <c r="B59" s="27">
        <f>'Statistics NZ'!B$59*'Economic Forecasts'!D$9*1000000/SUM('Statistics NZ'!B$30:B$110,'Statistics NZ'!B$130:B$210)</f>
        <v>33431.725985341232</v>
      </c>
      <c r="C59" s="27">
        <f>'Statistics NZ'!C$59*'Economic Forecasts'!E$9*1000000/SUM('Statistics NZ'!C$30:C$110,'Statistics NZ'!C$130:C$210)</f>
        <v>33869.44991237967</v>
      </c>
      <c r="D59" s="27">
        <f>'Statistics NZ'!D$59*'Economic Forecasts'!F$9*1000000/SUM('Statistics NZ'!D$30:D$110,'Statistics NZ'!D$130:D$210)</f>
        <v>32965.060756664207</v>
      </c>
      <c r="E59" s="27">
        <f>'Statistics NZ'!E$59*'Economic Forecasts'!G$9*1000000/SUM('Statistics NZ'!E$30:E$110,'Statistics NZ'!E$130:E$210)</f>
        <v>31813.982313373162</v>
      </c>
      <c r="F59" s="27">
        <f>'Statistics NZ'!F$59*'Economic Forecasts'!H$9*1000000/SUM('Statistics NZ'!F$30:F$110,'Statistics NZ'!F$130:F$210)</f>
        <v>31545.201611614782</v>
      </c>
      <c r="G59" s="27">
        <f>'Statistics NZ'!G$59*'Economic Forecasts'!I$9*1000000/SUM('Statistics NZ'!G$30:G$110,'Statistics NZ'!G$130:G$210)</f>
        <v>31952.502260124493</v>
      </c>
      <c r="H59" s="27">
        <f>'Statistics NZ'!H$59*'Economic Forecasts'!J$9*1000000/SUM('Statistics NZ'!H$30:H$110,'Statistics NZ'!H$130:H$210)</f>
        <v>32108.548183764651</v>
      </c>
      <c r="I59" s="27">
        <f>'Statistics NZ'!I$59*'Economic Forecasts'!K$9*1000000/SUM('Statistics NZ'!I$30:I$110,'Statistics NZ'!I$130:I$210)</f>
        <v>32528.196506958066</v>
      </c>
      <c r="J59" s="27">
        <f>'Statistics NZ'!J$59*'Economic Forecasts'!L$9*1000000/SUM('Statistics NZ'!J$30:J$110,'Statistics NZ'!J$130:J$210)</f>
        <v>32405.504696593933</v>
      </c>
      <c r="K59" s="27">
        <f>'Statistics NZ'!K$59*'Economic Forecasts'!M$9*1000000/SUM('Statistics NZ'!K$30:K$110,'Statistics NZ'!K$130:K$210)</f>
        <v>33697.055144291429</v>
      </c>
      <c r="L59" s="27">
        <f>'Statistics NZ'!L$59*'Economic Forecasts'!N$9*1000000/SUM('Statistics NZ'!L$30:L$110,'Statistics NZ'!L$130:L$210)</f>
        <v>33425.79937775596</v>
      </c>
      <c r="M59" s="27">
        <f>'Statistics NZ'!M$59*'Economic Forecasts'!O$9*1000000/SUM('Statistics NZ'!M$30:M$110,'Statistics NZ'!M$130:M$210)</f>
        <v>32454.52430269841</v>
      </c>
      <c r="N59" s="27">
        <f>'Statistics NZ'!N$59*'Economic Forecasts'!P$9*1000000/SUM('Statistics NZ'!N$30:N$110,'Statistics NZ'!N$130:N$210)</f>
        <v>31967.380264735188</v>
      </c>
      <c r="O59" s="27">
        <f>'Statistics NZ'!O$59*'Economic Forecasts'!Q$9*1000000/SUM('Statistics NZ'!O$30:O$110,'Statistics NZ'!O$130:O$210)</f>
        <v>30965.891158055765</v>
      </c>
      <c r="P59" s="27">
        <f>'Statistics NZ'!P$59*'Economic Forecasts'!R$9*1000000/SUM('Statistics NZ'!P$30:P$110,'Statistics NZ'!P$130:P$210)</f>
        <v>29884.877582985606</v>
      </c>
      <c r="Q59" s="27">
        <f>'Statistics NZ'!Q$59*'Economic Forecasts'!S$9*1000000/SUM('Statistics NZ'!Q$30:Q$110,'Statistics NZ'!Q$130:Q$210)</f>
        <v>30429.092357887115</v>
      </c>
      <c r="R59" s="27">
        <f>'Statistics NZ'!R$59*'Economic Forecasts'!T$9*1000000/SUM('Statistics NZ'!R$30:R$110,'Statistics NZ'!R$130:R$210)</f>
        <v>30156.007896883988</v>
      </c>
      <c r="S59" s="27">
        <f>'Statistics NZ'!S$59*'Economic Forecasts'!U$9*1000000/SUM('Statistics NZ'!S$30:S$110,'Statistics NZ'!S$130:S$210)</f>
        <v>31199.604504815441</v>
      </c>
      <c r="T59" s="27">
        <f>'Statistics NZ'!T$59*'Economic Forecasts'!V$9*1000000/SUM('Statistics NZ'!T$30:T$110,'Statistics NZ'!T$130:T$210)</f>
        <v>32545.861241523213</v>
      </c>
      <c r="U59" s="28">
        <f>SUM('Statistics NZ'!U$59,$J$12/5*(U$8-U$9)*1000)*'Economic Forecasts'!W$9*1000000/SUM('Statistics NZ'!U$30:U$110,'Statistics NZ'!U$130:U$210,SUM($E$12:$T$13)*(U$8-U$9)*1000)</f>
        <v>33192.734799464044</v>
      </c>
      <c r="V59" s="28">
        <f>SUM('Statistics NZ'!V$59,$J$12/5*(V$8-V$9)*1000)*'Economic Forecasts'!X$9*1000000/SUM('Statistics NZ'!V$30:V$110,'Statistics NZ'!V$130:V$210,SUM($E$12:$T$13)*(V$8-V$9)*1000)</f>
        <v>34371.096657239599</v>
      </c>
      <c r="W59" s="28">
        <f>SUM('Statistics NZ'!W$59,$J$12/5*(W$8-W$9)*1000)*'Economic Forecasts'!Y$9*1000000/SUM('Statistics NZ'!W$30:W$110,'Statistics NZ'!W$130:W$210,SUM($E$12:$T$13)*(W$8-W$9)*1000)</f>
        <v>35435.852989349551</v>
      </c>
      <c r="X59" s="28">
        <f>SUM('Statistics NZ'!X$59,$J$12/5*(X$8-X$9)*1000)*'Economic Forecasts'!Z$9*1000000/SUM('Statistics NZ'!X$30:X$110,'Statistics NZ'!X$130:X$210,SUM($E$12:$T$13)*(X$8-X$9)*1000)</f>
        <v>36128.1733419273</v>
      </c>
      <c r="Y59" s="28">
        <f>SUM('Statistics NZ'!Y$59,$J$12/5*(Y$8-Y$9)*1000)*'Economic Forecasts'!AA$9*1000000/SUM('Statistics NZ'!Y$30:Y$110,'Statistics NZ'!Y$130:Y$210,SUM($E$12:$T$13)*(Y$8-Y$9)*1000)</f>
        <v>37458.344301335979</v>
      </c>
      <c r="Z59" s="28">
        <f>SUM('Statistics NZ'!Z$59,$J$12/5*(Z$8-Z$9)*1000)*'Economic Forecasts'!AB$9*1000000/SUM('Statistics NZ'!Z$30:Z$110,'Statistics NZ'!Z$130:Z$210,SUM($E$12:$T$13)*(Z$8-Z$9)*1000)</f>
        <v>38127.187793386875</v>
      </c>
      <c r="AA59" s="28">
        <f>SUM('Statistics NZ'!AA$59,$J$12/5*(AA$8-AA$9)*1000)*'Economic Forecasts'!AC$9*1000000/SUM('Statistics NZ'!AA$30:AA$110,'Statistics NZ'!AA$130:AA$210,SUM($E$12:$T$13)*(AA$8-AA$9)*1000)</f>
        <v>39764.284359654303</v>
      </c>
      <c r="AB59" s="18">
        <f>SUM(AA$59,'Statistics NZ'!AB$59-'Statistics NZ'!AA$59,$J$12/5*(AB$8-AB$9)*1000)</f>
        <v>42057.4894537816</v>
      </c>
      <c r="AC59" s="18">
        <f>SUM(AB$59,'Statistics NZ'!AC$59-'Statistics NZ'!AB$59,$J$12/5*(AC$8-AC$9)*1000)</f>
        <v>43076.292849866462</v>
      </c>
      <c r="AD59" s="18">
        <f>SUM(AC$59,'Statistics NZ'!AD$59-'Statistics NZ'!AC$59,$J$12/5*(AD$8-AD$9)*1000)</f>
        <v>44799.960931568487</v>
      </c>
      <c r="AE59" s="18">
        <f>SUM(AD$59,'Statistics NZ'!AE$59-'Statistics NZ'!AD$59,$J$12/5*(AE$8-AE$9)*1000)</f>
        <v>45599.960931568487</v>
      </c>
      <c r="AF59" s="18">
        <f>SUM(AE$59,'Statistics NZ'!AF$59-'Statistics NZ'!AE$59,$J$12/5*(AF$8-AF$9)*1000)</f>
        <v>45209.960931568487</v>
      </c>
      <c r="AG59" s="18">
        <f>SUM(AF$59,'Statistics NZ'!AG$59-'Statistics NZ'!AF$59,$J$12/5*(AG$8-AG$9)*1000)</f>
        <v>44809.960931568487</v>
      </c>
      <c r="AH59" s="18">
        <f>SUM(AG$59,'Statistics NZ'!AH$59-'Statistics NZ'!AG$59,$J$12/5*(AH$8-AH$9)*1000)</f>
        <v>43559.960931568487</v>
      </c>
      <c r="AI59" s="18">
        <f>SUM(AH$59,'Statistics NZ'!AI$59-'Statistics NZ'!AH$59,$J$12/5*(AI$8-AI$9)*1000)</f>
        <v>43299.960931568487</v>
      </c>
      <c r="AJ59" s="18">
        <f>SUM(AI$59,'Statistics NZ'!AJ$59-'Statistics NZ'!AI$59,$J$12/5*(AJ$8-AJ$9)*1000)</f>
        <v>42269.960931568487</v>
      </c>
      <c r="AK59" s="18">
        <f>SUM(AJ$59,'Statistics NZ'!AK$59-'Statistics NZ'!AJ$59,$J$12/5*(AK$8-AK$9)*1000)</f>
        <v>42119.960931568487</v>
      </c>
    </row>
    <row r="60" spans="1:37" x14ac:dyDescent="0.25">
      <c r="A60" s="12">
        <v>45</v>
      </c>
      <c r="B60" s="27">
        <f>'Statistics NZ'!B$60*'Economic Forecasts'!D$9*1000000/SUM('Statistics NZ'!B$30:B$110,'Statistics NZ'!B$130:B$210)</f>
        <v>32785.985887292496</v>
      </c>
      <c r="C60" s="27">
        <f>'Statistics NZ'!C$60*'Economic Forecasts'!E$9*1000000/SUM('Statistics NZ'!C$30:C$110,'Statistics NZ'!C$130:C$210)</f>
        <v>33555.20740811868</v>
      </c>
      <c r="D60" s="27">
        <f>'Statistics NZ'!D$60*'Economic Forecasts'!F$9*1000000/SUM('Statistics NZ'!D$30:D$110,'Statistics NZ'!D$130:D$210)</f>
        <v>33760.701376833997</v>
      </c>
      <c r="E60" s="27">
        <f>'Statistics NZ'!E$60*'Economic Forecasts'!G$9*1000000/SUM('Statistics NZ'!E$30:E$110,'Statistics NZ'!E$130:E$210)</f>
        <v>32863.333764523268</v>
      </c>
      <c r="F60" s="27">
        <f>'Statistics NZ'!F$60*'Economic Forecasts'!H$9*1000000/SUM('Statistics NZ'!F$30:F$110,'Statistics NZ'!F$130:F$210)</f>
        <v>31770.804732593369</v>
      </c>
      <c r="G60" s="27">
        <f>'Statistics NZ'!G$60*'Economic Forecasts'!I$9*1000000/SUM('Statistics NZ'!G$30:G$110,'Statistics NZ'!G$130:G$210)</f>
        <v>31520.313480706885</v>
      </c>
      <c r="H60" s="27">
        <f>'Statistics NZ'!H$60*'Economic Forecasts'!J$9*1000000/SUM('Statistics NZ'!H$30:H$110,'Statistics NZ'!H$130:H$210)</f>
        <v>31872.744892329418</v>
      </c>
      <c r="I60" s="27">
        <f>'Statistics NZ'!I$60*'Economic Forecasts'!K$9*1000000/SUM('Statistics NZ'!I$30:I$110,'Statistics NZ'!I$130:I$210)</f>
        <v>32008.608075713706</v>
      </c>
      <c r="J60" s="27">
        <f>'Statistics NZ'!J$60*'Economic Forecasts'!L$9*1000000/SUM('Statistics NZ'!J$30:J$110,'Statistics NZ'!J$130:J$210)</f>
        <v>32454.264107813604</v>
      </c>
      <c r="K60" s="27">
        <f>'Statistics NZ'!K$60*'Economic Forecasts'!M$9*1000000/SUM('Statistics NZ'!K$30:K$110,'Statistics NZ'!K$130:K$210)</f>
        <v>32528.708823194935</v>
      </c>
      <c r="L60" s="27">
        <f>'Statistics NZ'!L$60*'Economic Forecasts'!N$9*1000000/SUM('Statistics NZ'!L$30:L$110,'Statistics NZ'!L$130:L$210)</f>
        <v>33932.103359009474</v>
      </c>
      <c r="M60" s="27">
        <f>'Statistics NZ'!M$60*'Economic Forecasts'!O$9*1000000/SUM('Statistics NZ'!M$30:M$110,'Statistics NZ'!M$130:M$210)</f>
        <v>33822.264640560476</v>
      </c>
      <c r="N60" s="27">
        <f>'Statistics NZ'!N$60*'Economic Forecasts'!P$9*1000000/SUM('Statistics NZ'!N$30:N$110,'Statistics NZ'!N$130:N$210)</f>
        <v>32730.605137906092</v>
      </c>
      <c r="O60" s="27">
        <f>'Statistics NZ'!O$60*'Economic Forecasts'!Q$9*1000000/SUM('Statistics NZ'!O$30:O$110,'Statistics NZ'!O$130:O$210)</f>
        <v>32222.990450231831</v>
      </c>
      <c r="P60" s="27">
        <f>'Statistics NZ'!P$60*'Economic Forecasts'!R$9*1000000/SUM('Statistics NZ'!P$30:P$110,'Statistics NZ'!P$130:P$210)</f>
        <v>31138.240731944374</v>
      </c>
      <c r="Q60" s="27">
        <f>'Statistics NZ'!Q$60*'Economic Forecasts'!S$9*1000000/SUM('Statistics NZ'!Q$30:Q$110,'Statistics NZ'!Q$130:Q$210)</f>
        <v>30122.82551922007</v>
      </c>
      <c r="R60" s="27">
        <f>'Statistics NZ'!R$60*'Economic Forecasts'!T$9*1000000/SUM('Statistics NZ'!R$30:R$110,'Statistics NZ'!R$130:R$210)</f>
        <v>30353.687398010727</v>
      </c>
      <c r="S60" s="27">
        <f>'Statistics NZ'!S$60*'Economic Forecasts'!U$9*1000000/SUM('Statistics NZ'!S$30:S$110,'Statistics NZ'!S$130:S$210)</f>
        <v>30187.199241632661</v>
      </c>
      <c r="T60" s="27">
        <f>'Statistics NZ'!T$60*'Economic Forecasts'!V$9*1000000/SUM('Statistics NZ'!T$30:T$110,'Statistics NZ'!T$130:T$210)</f>
        <v>31985.911319770476</v>
      </c>
      <c r="U60" s="28">
        <f>SUM('Statistics NZ'!U$60,$K$12/5*(U$8-U$9)*1000)*'Economic Forecasts'!W$9*1000000/SUM('Statistics NZ'!U$30:U$110,'Statistics NZ'!U$130:U$210,SUM($E$12:$T$13)*(U$8-U$9)*1000)</f>
        <v>32641.759473006907</v>
      </c>
      <c r="V60" s="28">
        <f>SUM('Statistics NZ'!V$60,$K$12/5*(V$8-V$9)*1000)*'Economic Forecasts'!X$9*1000000/SUM('Statistics NZ'!V$30:V$110,'Statistics NZ'!V$130:V$210,SUM($E$12:$T$13)*(V$8-V$9)*1000)</f>
        <v>33279.407898004902</v>
      </c>
      <c r="W60" s="28">
        <f>SUM('Statistics NZ'!W$60,$K$12/5*(W$8-W$9)*1000)*'Economic Forecasts'!Y$9*1000000/SUM('Statistics NZ'!W$30:W$110,'Statistics NZ'!W$130:W$210,SUM($E$12:$T$13)*(W$8-W$9)*1000)</f>
        <v>34470.611556686308</v>
      </c>
      <c r="X60" s="28">
        <f>SUM('Statistics NZ'!X$60,$K$12/5*(X$8-X$9)*1000)*'Economic Forecasts'!Z$9*1000000/SUM('Statistics NZ'!X$30:X$110,'Statistics NZ'!X$130:X$210,SUM($E$12:$T$13)*(X$8-X$9)*1000)</f>
        <v>35528.234661030838</v>
      </c>
      <c r="Y60" s="28">
        <f>SUM('Statistics NZ'!Y$60,$K$12/5*(Y$8-Y$9)*1000)*'Economic Forecasts'!AA$9*1000000/SUM('Statistics NZ'!Y$30:Y$110,'Statistics NZ'!Y$130:Y$210,SUM($E$12:$T$13)*(Y$8-Y$9)*1000)</f>
        <v>36239.317183105195</v>
      </c>
      <c r="Z60" s="28">
        <f>SUM('Statistics NZ'!Z$60,$K$12/5*(Z$8-Z$9)*1000)*'Economic Forecasts'!AB$9*1000000/SUM('Statistics NZ'!Z$30:Z$110,'Statistics NZ'!Z$130:Z$210,SUM($E$12:$T$13)*(Z$8-Z$9)*1000)</f>
        <v>37584.746858463579</v>
      </c>
      <c r="AA60" s="28">
        <f>SUM('Statistics NZ'!AA$60,$K$12/5*(AA$8-AA$9)*1000)*'Economic Forecasts'!AC$9*1000000/SUM('Statistics NZ'!AA$30:AA$110,'Statistics NZ'!AA$130:AA$210,SUM($E$12:$T$13)*(AA$8-AA$9)*1000)</f>
        <v>38265.215738824256</v>
      </c>
      <c r="AB60" s="18">
        <f>SUM(AA$60,'Statistics NZ'!AB$60-'Statistics NZ'!AA$60,$K$12/5*(AB$8-AB$9)*1000)</f>
        <v>39928.681031675194</v>
      </c>
      <c r="AC60" s="18">
        <f>SUM(AB$60,'Statistics NZ'!AC$60-'Statistics NZ'!AB$60,$K$12/5*(AC$8-AC$9)*1000)</f>
        <v>42210.991226909158</v>
      </c>
      <c r="AD60" s="18">
        <f>SUM(AC$60,'Statistics NZ'!AD$60-'Statistics NZ'!AC$60,$K$12/5*(AD$8-AD$9)*1000)</f>
        <v>43221.953808256643</v>
      </c>
      <c r="AE60" s="18">
        <f>SUM(AD$60,'Statistics NZ'!AE$60-'Statistics NZ'!AD$60,$K$12/5*(AE$8-AE$9)*1000)</f>
        <v>44941.953808256643</v>
      </c>
      <c r="AF60" s="18">
        <f>SUM(AE$60,'Statistics NZ'!AF$60-'Statistics NZ'!AE$60,$K$12/5*(AF$8-AF$9)*1000)</f>
        <v>45751.953808256643</v>
      </c>
      <c r="AG60" s="18">
        <f>SUM(AF$60,'Statistics NZ'!AG$60-'Statistics NZ'!AF$60,$K$12/5*(AG$8-AG$9)*1000)</f>
        <v>45361.953808256643</v>
      </c>
      <c r="AH60" s="18">
        <f>SUM(AG$60,'Statistics NZ'!AH$60-'Statistics NZ'!AG$60,$K$12/5*(AH$8-AH$9)*1000)</f>
        <v>44961.953808256643</v>
      </c>
      <c r="AI60" s="18">
        <f>SUM(AH$60,'Statistics NZ'!AI$60-'Statistics NZ'!AH$60,$K$12/5*(AI$8-AI$9)*1000)</f>
        <v>43721.953808256643</v>
      </c>
      <c r="AJ60" s="18">
        <f>SUM(AI$60,'Statistics NZ'!AJ$60-'Statistics NZ'!AI$60,$K$12/5*(AJ$8-AJ$9)*1000)</f>
        <v>43461.953808256643</v>
      </c>
      <c r="AK60" s="18">
        <f>SUM(AJ$60,'Statistics NZ'!AK$60-'Statistics NZ'!AJ$60,$K$12/5*(AK$8-AK$9)*1000)</f>
        <v>42431.953808256643</v>
      </c>
    </row>
    <row r="61" spans="1:37" x14ac:dyDescent="0.25">
      <c r="A61" s="12">
        <v>46</v>
      </c>
      <c r="B61" s="27">
        <f>'Statistics NZ'!B$61*'Economic Forecasts'!D$9*1000000/SUM('Statistics NZ'!B$30:B$110,'Statistics NZ'!B$130:B$210)</f>
        <v>31230.33928744782</v>
      </c>
      <c r="C61" s="27">
        <f>'Statistics NZ'!C$61*'Economic Forecasts'!E$9*1000000/SUM('Statistics NZ'!C$30:C$110,'Statistics NZ'!C$130:C$210)</f>
        <v>32877.622008305923</v>
      </c>
      <c r="D61" s="27">
        <f>'Statistics NZ'!D$61*'Economic Forecasts'!F$9*1000000/SUM('Statistics NZ'!D$30:D$110,'Statistics NZ'!D$130:D$210)</f>
        <v>33505.310560483194</v>
      </c>
      <c r="E61" s="27">
        <f>'Statistics NZ'!E$61*'Economic Forecasts'!G$9*1000000/SUM('Statistics NZ'!E$30:E$110,'Statistics NZ'!E$130:E$210)</f>
        <v>33618.474528435021</v>
      </c>
      <c r="F61" s="27">
        <f>'Statistics NZ'!F$61*'Economic Forecasts'!H$9*1000000/SUM('Statistics NZ'!F$30:F$110,'Statistics NZ'!F$130:F$210)</f>
        <v>32839.967349404942</v>
      </c>
      <c r="G61" s="27">
        <f>'Statistics NZ'!G$61*'Economic Forecasts'!I$9*1000000/SUM('Statistics NZ'!G$30:G$110,'Statistics NZ'!G$130:G$210)</f>
        <v>31706.940453637217</v>
      </c>
      <c r="H61" s="27">
        <f>'Statistics NZ'!H$61*'Economic Forecasts'!J$9*1000000/SUM('Statistics NZ'!H$30:H$110,'Statistics NZ'!H$130:H$210)</f>
        <v>31361.837760886407</v>
      </c>
      <c r="I61" s="27">
        <f>'Statistics NZ'!I$61*'Economic Forecasts'!K$9*1000000/SUM('Statistics NZ'!I$30:I$110,'Statistics NZ'!I$130:I$210)</f>
        <v>31753.715637744779</v>
      </c>
      <c r="J61" s="27">
        <f>'Statistics NZ'!J$61*'Economic Forecasts'!L$9*1000000/SUM('Statistics NZ'!J$30:J$110,'Statistics NZ'!J$130:J$210)</f>
        <v>31937.414348885082</v>
      </c>
      <c r="K61" s="27">
        <f>'Statistics NZ'!K$61*'Economic Forecasts'!M$9*1000000/SUM('Statistics NZ'!K$30:K$110,'Statistics NZ'!K$130:K$210)</f>
        <v>32499.500165167523</v>
      </c>
      <c r="L61" s="27">
        <f>'Statistics NZ'!L$61*'Economic Forecasts'!N$9*1000000/SUM('Statistics NZ'!L$30:L$110,'Statistics NZ'!L$130:L$210)</f>
        <v>32676.080020899801</v>
      </c>
      <c r="M61" s="27">
        <f>'Statistics NZ'!M$61*'Economic Forecasts'!O$9*1000000/SUM('Statistics NZ'!M$30:M$110,'Statistics NZ'!M$130:M$210)</f>
        <v>34222.817168077221</v>
      </c>
      <c r="N61" s="27">
        <f>'Statistics NZ'!N$61*'Economic Forecasts'!P$9*1000000/SUM('Statistics NZ'!N$30:N$110,'Statistics NZ'!N$130:N$210)</f>
        <v>34071.141133090889</v>
      </c>
      <c r="O61" s="27">
        <f>'Statistics NZ'!O$61*'Economic Forecasts'!Q$9*1000000/SUM('Statistics NZ'!O$30:O$110,'Statistics NZ'!O$130:O$210)</f>
        <v>32969.393154961363</v>
      </c>
      <c r="P61" s="27">
        <f>'Statistics NZ'!P$61*'Economic Forecasts'!R$9*1000000/SUM('Statistics NZ'!P$30:P$110,'Statistics NZ'!P$130:P$210)</f>
        <v>32342.644382896939</v>
      </c>
      <c r="Q61" s="27">
        <f>'Statistics NZ'!Q$61*'Economic Forecasts'!S$9*1000000/SUM('Statistics NZ'!Q$30:Q$110,'Statistics NZ'!Q$130:Q$210)</f>
        <v>31397.290751092616</v>
      </c>
      <c r="R61" s="27">
        <f>'Statistics NZ'!R$61*'Economic Forecasts'!T$9*1000000/SUM('Statistics NZ'!R$30:R$110,'Statistics NZ'!R$130:R$210)</f>
        <v>30017.632246095272</v>
      </c>
      <c r="S61" s="27">
        <f>'Statistics NZ'!S$61*'Economic Forecasts'!U$9*1000000/SUM('Statistics NZ'!S$30:S$110,'Statistics NZ'!S$130:S$210)</f>
        <v>30313.749899530507</v>
      </c>
      <c r="T61" s="27">
        <f>'Statistics NZ'!T$61*'Economic Forecasts'!V$9*1000000/SUM('Statistics NZ'!T$30:T$110,'Statistics NZ'!T$130:T$210)</f>
        <v>30836.54042775169</v>
      </c>
      <c r="U61" s="28">
        <f>SUM('Statistics NZ'!U$61,$K$12/5*(U$8-U$9)*1000)*'Economic Forecasts'!W$9*1000000/SUM('Statistics NZ'!U$30:U$110,'Statistics NZ'!U$130:U$210,SUM($E$12:$T$13)*(U$8-U$9)*1000)</f>
        <v>32031.660856986357</v>
      </c>
      <c r="V61" s="28">
        <f>SUM('Statistics NZ'!V$61,$K$12/5*(V$8-V$9)*1000)*'Economic Forecasts'!X$9*1000000/SUM('Statistics NZ'!V$30:V$110,'Statistics NZ'!V$130:V$210,SUM($E$12:$T$13)*(V$8-V$9)*1000)</f>
        <v>32582.942341436988</v>
      </c>
      <c r="W61" s="28">
        <f>SUM('Statistics NZ'!W$61,$K$12/5*(W$8-W$9)*1000)*'Economic Forecasts'!Y$9*1000000/SUM('Statistics NZ'!W$30:W$110,'Statistics NZ'!W$130:W$210,SUM($E$12:$T$13)*(W$8-W$9)*1000)</f>
        <v>33257.644490123908</v>
      </c>
      <c r="X61" s="28">
        <f>SUM('Statistics NZ'!X$61,$K$12/5*(X$8-X$9)*1000)*'Economic Forecasts'!Z$9*1000000/SUM('Statistics NZ'!X$30:X$110,'Statistics NZ'!X$130:X$210,SUM($E$12:$T$13)*(X$8-X$9)*1000)</f>
        <v>34502.395507147994</v>
      </c>
      <c r="Y61" s="28">
        <f>SUM('Statistics NZ'!Y$61,$K$12/5*(Y$8-Y$9)*1000)*'Economic Forecasts'!AA$9*1000000/SUM('Statistics NZ'!Y$30:Y$110,'Statistics NZ'!Y$130:Y$210,SUM($E$12:$T$13)*(Y$8-Y$9)*1000)</f>
        <v>35604.334112246681</v>
      </c>
      <c r="Z61" s="28">
        <f>SUM('Statistics NZ'!Z$61,$K$12/5*(Z$8-Z$9)*1000)*'Economic Forecasts'!AB$9*1000000/SUM('Statistics NZ'!Z$30:Z$110,'Statistics NZ'!Z$130:Z$210,SUM($E$12:$T$13)*(Z$8-Z$9)*1000)</f>
        <v>36334.051742436306</v>
      </c>
      <c r="AA61" s="28">
        <f>SUM('Statistics NZ'!AA$61,$K$12/5*(AA$8-AA$9)*1000)*'Economic Forecasts'!AC$9*1000000/SUM('Statistics NZ'!AA$30:AA$110,'Statistics NZ'!AA$130:AA$210,SUM($E$12:$T$13)*(AA$8-AA$9)*1000)</f>
        <v>37678.697941485567</v>
      </c>
      <c r="AB61" s="18">
        <f>SUM(AA$61,'Statistics NZ'!AB$61-'Statistics NZ'!AA$61,$K$12/5*(AB$8-AB$9)*1000)</f>
        <v>38372.163234336505</v>
      </c>
      <c r="AC61" s="18">
        <f>SUM(AB$61,'Statistics NZ'!AC$61-'Statistics NZ'!AB$61,$K$12/5*(AC$8-AC$9)*1000)</f>
        <v>40034.473429570469</v>
      </c>
      <c r="AD61" s="18">
        <f>SUM(AC$61,'Statistics NZ'!AD$61-'Statistics NZ'!AC$61,$K$12/5*(AD$8-AD$9)*1000)</f>
        <v>42315.436010917954</v>
      </c>
      <c r="AE61" s="18">
        <f>SUM(AD$61,'Statistics NZ'!AE$61-'Statistics NZ'!AD$61,$K$12/5*(AE$8-AE$9)*1000)</f>
        <v>43325.436010917954</v>
      </c>
      <c r="AF61" s="18">
        <f>SUM(AE$61,'Statistics NZ'!AF$61-'Statistics NZ'!AE$61,$K$12/5*(AF$8-AF$9)*1000)</f>
        <v>45045.436010917954</v>
      </c>
      <c r="AG61" s="18">
        <f>SUM(AF$61,'Statistics NZ'!AG$61-'Statistics NZ'!AF$61,$K$12/5*(AG$8-AG$9)*1000)</f>
        <v>45855.436010917954</v>
      </c>
      <c r="AH61" s="18">
        <f>SUM(AG$61,'Statistics NZ'!AH$61-'Statistics NZ'!AG$61,$K$12/5*(AH$8-AH$9)*1000)</f>
        <v>45465.436010917954</v>
      </c>
      <c r="AI61" s="18">
        <f>SUM(AH$61,'Statistics NZ'!AI$61-'Statistics NZ'!AH$61,$K$12/5*(AI$8-AI$9)*1000)</f>
        <v>45065.436010917954</v>
      </c>
      <c r="AJ61" s="18">
        <f>SUM(AI$61,'Statistics NZ'!AJ$61-'Statistics NZ'!AI$61,$K$12/5*(AJ$8-AJ$9)*1000)</f>
        <v>43825.436010917954</v>
      </c>
      <c r="AK61" s="18">
        <f>SUM(AJ$61,'Statistics NZ'!AK$61-'Statistics NZ'!AJ$61,$K$12/5*(AK$8-AK$9)*1000)</f>
        <v>43565.436010917954</v>
      </c>
    </row>
    <row r="62" spans="1:37" x14ac:dyDescent="0.25">
      <c r="A62" s="12">
        <v>47</v>
      </c>
      <c r="B62" s="27">
        <f>'Statistics NZ'!B$62*'Economic Forecasts'!D$9*1000000/SUM('Statistics NZ'!B$30:B$110,'Statistics NZ'!B$130:B$210)</f>
        <v>30692.222539073875</v>
      </c>
      <c r="C62" s="27">
        <f>'Statistics NZ'!C$62*'Economic Forecasts'!E$9*1000000/SUM('Statistics NZ'!C$30:C$110,'Statistics NZ'!C$130:C$210)</f>
        <v>31326.04964351729</v>
      </c>
      <c r="D62" s="27">
        <f>'Statistics NZ'!D$62*'Economic Forecasts'!F$9*1000000/SUM('Statistics NZ'!D$30:D$110,'Statistics NZ'!D$130:D$210)</f>
        <v>32817.719901077209</v>
      </c>
      <c r="E62" s="27">
        <f>'Statistics NZ'!E$62*'Economic Forecasts'!G$9*1000000/SUM('Statistics NZ'!E$30:E$110,'Statistics NZ'!E$130:E$210)</f>
        <v>33373.298955736391</v>
      </c>
      <c r="F62" s="27">
        <f>'Statistics NZ'!F$62*'Economic Forecasts'!H$9*1000000/SUM('Statistics NZ'!F$30:F$110,'Statistics NZ'!F$130:F$210)</f>
        <v>33585.438531768974</v>
      </c>
      <c r="G62" s="27">
        <f>'Statistics NZ'!G$62*'Economic Forecasts'!I$9*1000000/SUM('Statistics NZ'!G$30:G$110,'Statistics NZ'!G$130:G$210)</f>
        <v>32807.057346700218</v>
      </c>
      <c r="H62" s="27">
        <f>'Statistics NZ'!H$62*'Economic Forecasts'!J$9*1000000/SUM('Statistics NZ'!H$30:H$110,'Statistics NZ'!H$130:H$210)</f>
        <v>31548.515366605967</v>
      </c>
      <c r="I62" s="27">
        <f>'Statistics NZ'!I$62*'Economic Forecasts'!K$9*1000000/SUM('Statistics NZ'!I$30:I$110,'Statistics NZ'!I$130:I$210)</f>
        <v>31165.502319354942</v>
      </c>
      <c r="J62" s="27">
        <f>'Statistics NZ'!J$62*'Economic Forecasts'!L$9*1000000/SUM('Statistics NZ'!J$30:J$110,'Statistics NZ'!J$130:J$210)</f>
        <v>31566.842823615578</v>
      </c>
      <c r="K62" s="27">
        <f>'Statistics NZ'!K$62*'Economic Forecasts'!M$9*1000000/SUM('Statistics NZ'!K$30:K$110,'Statistics NZ'!K$130:K$210)</f>
        <v>31993.216759359042</v>
      </c>
      <c r="L62" s="27">
        <f>'Statistics NZ'!L$62*'Economic Forecasts'!N$9*1000000/SUM('Statistics NZ'!L$30:L$110,'Statistics NZ'!L$130:L$210)</f>
        <v>32676.080020899801</v>
      </c>
      <c r="M62" s="27">
        <f>'Statistics NZ'!M$62*'Economic Forecasts'!O$9*1000000/SUM('Statistics NZ'!M$30:M$110,'Statistics NZ'!M$130:M$210)</f>
        <v>32913.694273266388</v>
      </c>
      <c r="N62" s="27">
        <f>'Statistics NZ'!N$62*'Economic Forecasts'!P$9*1000000/SUM('Statistics NZ'!N$30:N$110,'Statistics NZ'!N$130:N$210)</f>
        <v>34354.90422696212</v>
      </c>
      <c r="O62" s="27">
        <f>'Statistics NZ'!O$62*'Economic Forecasts'!Q$9*1000000/SUM('Statistics NZ'!O$30:O$110,'Statistics NZ'!O$130:O$210)</f>
        <v>34197.029182477054</v>
      </c>
      <c r="P62" s="27">
        <f>'Statistics NZ'!P$62*'Economic Forecasts'!R$9*1000000/SUM('Statistics NZ'!P$30:P$110,'Statistics NZ'!P$130:P$210)</f>
        <v>33106.412551793685</v>
      </c>
      <c r="Q62" s="27">
        <f>'Statistics NZ'!Q$62*'Economic Forecasts'!S$9*1000000/SUM('Statistics NZ'!Q$30:Q$110,'Statistics NZ'!Q$130:Q$210)</f>
        <v>32582.839803997307</v>
      </c>
      <c r="R62" s="27">
        <f>'Statistics NZ'!R$62*'Economic Forecasts'!T$9*1000000/SUM('Statistics NZ'!R$30:R$110,'Statistics NZ'!R$130:R$210)</f>
        <v>31272.897078250062</v>
      </c>
      <c r="S62" s="27">
        <f>'Statistics NZ'!S$62*'Economic Forecasts'!U$9*1000000/SUM('Statistics NZ'!S$30:S$110,'Statistics NZ'!S$130:S$210)</f>
        <v>29934.097925836966</v>
      </c>
      <c r="T62" s="27">
        <f>'Statistics NZ'!T$62*'Economic Forecasts'!V$9*1000000/SUM('Statistics NZ'!T$30:T$110,'Statistics NZ'!T$130:T$210)</f>
        <v>30846.36411058946</v>
      </c>
      <c r="U62" s="28">
        <f>SUM('Statistics NZ'!U$62,$K$12/5*(U$8-U$9)*1000)*'Economic Forecasts'!W$9*1000000/SUM('Statistics NZ'!U$30:U$110,'Statistics NZ'!U$130:U$210,SUM($E$12:$T$13)*(U$8-U$9)*1000)</f>
        <v>30840.984525720436</v>
      </c>
      <c r="V62" s="28">
        <f>SUM('Statistics NZ'!V$62,$K$12/5*(V$8-V$9)*1000)*'Economic Forecasts'!X$9*1000000/SUM('Statistics NZ'!V$30:V$110,'Statistics NZ'!V$130:V$210,SUM($E$12:$T$13)*(V$8-V$9)*1000)</f>
        <v>31925.714281013752</v>
      </c>
      <c r="W62" s="28">
        <f>SUM('Statistics NZ'!W$62,$K$12/5*(W$8-W$9)*1000)*'Economic Forecasts'!Y$9*1000000/SUM('Statistics NZ'!W$30:W$110,'Statistics NZ'!W$130:W$210,SUM($E$12:$T$13)*(W$8-W$9)*1000)</f>
        <v>32523.995054703108</v>
      </c>
      <c r="X62" s="28">
        <f>SUM('Statistics NZ'!X$62,$K$12/5*(X$8-X$9)*1000)*'Economic Forecasts'!Z$9*1000000/SUM('Statistics NZ'!X$30:X$110,'Statistics NZ'!X$130:X$210,SUM($E$12:$T$13)*(X$8-X$9)*1000)</f>
        <v>33242.078832377651</v>
      </c>
      <c r="Y62" s="28">
        <f>SUM('Statistics NZ'!Y$62,$K$12/5*(Y$8-Y$9)*1000)*'Economic Forecasts'!AA$9*1000000/SUM('Statistics NZ'!Y$30:Y$110,'Statistics NZ'!Y$130:Y$210,SUM($E$12:$T$13)*(Y$8-Y$9)*1000)</f>
        <v>34519.978406626738</v>
      </c>
      <c r="Z62" s="28">
        <f>SUM('Statistics NZ'!Z$62,$K$12/5*(Z$8-Z$9)*1000)*'Economic Forecasts'!AB$9*1000000/SUM('Statistics NZ'!Z$30:Z$110,'Statistics NZ'!Z$130:Z$210,SUM($E$12:$T$13)*(Z$8-Z$9)*1000)</f>
        <v>35630.535739670959</v>
      </c>
      <c r="AA62" s="28">
        <f>SUM('Statistics NZ'!AA$62,$K$12/5*(AA$8-AA$9)*1000)*'Economic Forecasts'!AC$9*1000000/SUM('Statistics NZ'!AA$30:AA$110,'Statistics NZ'!AA$130:AA$210,SUM($E$12:$T$13)*(AA$8-AA$9)*1000)</f>
        <v>36368.808194095836</v>
      </c>
      <c r="AB62" s="18">
        <f>SUM(AA$62,'Statistics NZ'!AB$62-'Statistics NZ'!AA$62,$K$12/5*(AB$8-AB$9)*1000)</f>
        <v>37742.273486946775</v>
      </c>
      <c r="AC62" s="18">
        <f>SUM(AB$62,'Statistics NZ'!AC$62-'Statistics NZ'!AB$62,$K$12/5*(AC$8-AC$9)*1000)</f>
        <v>38434.583682180739</v>
      </c>
      <c r="AD62" s="18">
        <f>SUM(AC$62,'Statistics NZ'!AD$62-'Statistics NZ'!AC$62,$K$12/5*(AD$8-AD$9)*1000)</f>
        <v>40095.546263528224</v>
      </c>
      <c r="AE62" s="18">
        <f>SUM(AD$62,'Statistics NZ'!AE$62-'Statistics NZ'!AD$62,$K$12/5*(AE$8-AE$9)*1000)</f>
        <v>42375.546263528224</v>
      </c>
      <c r="AF62" s="18">
        <f>SUM(AE$62,'Statistics NZ'!AF$62-'Statistics NZ'!AE$62,$K$12/5*(AF$8-AF$9)*1000)</f>
        <v>43385.546263528224</v>
      </c>
      <c r="AG62" s="18">
        <f>SUM(AF$62,'Statistics NZ'!AG$62-'Statistics NZ'!AF$62,$K$12/5*(AG$8-AG$9)*1000)</f>
        <v>45105.546263528224</v>
      </c>
      <c r="AH62" s="18">
        <f>SUM(AG$62,'Statistics NZ'!AH$62-'Statistics NZ'!AG$62,$K$12/5*(AH$8-AH$9)*1000)</f>
        <v>45915.546263528224</v>
      </c>
      <c r="AI62" s="18">
        <f>SUM(AH$62,'Statistics NZ'!AI$62-'Statistics NZ'!AH$62,$K$12/5*(AI$8-AI$9)*1000)</f>
        <v>45525.546263528224</v>
      </c>
      <c r="AJ62" s="18">
        <f>SUM(AI$62,'Statistics NZ'!AJ$62-'Statistics NZ'!AI$62,$K$12/5*(AJ$8-AJ$9)*1000)</f>
        <v>45135.546263528224</v>
      </c>
      <c r="AK62" s="18">
        <f>SUM(AJ$62,'Statistics NZ'!AK$62-'Statistics NZ'!AJ$62,$K$12/5*(AK$8-AK$9)*1000)</f>
        <v>43895.546263528224</v>
      </c>
    </row>
    <row r="63" spans="1:37" x14ac:dyDescent="0.25">
      <c r="A63" s="12">
        <v>48</v>
      </c>
      <c r="B63" s="27">
        <f>'Statistics NZ'!B$63*'Economic Forecasts'!D$9*1000000/SUM('Statistics NZ'!B$30:B$110,'Statistics NZ'!B$130:B$210)</f>
        <v>29322.470815940196</v>
      </c>
      <c r="C63" s="27">
        <f>'Statistics NZ'!C$63*'Economic Forecasts'!E$9*1000000/SUM('Statistics NZ'!C$30:C$110,'Statistics NZ'!C$130:C$210)</f>
        <v>30756.485104544256</v>
      </c>
      <c r="D63" s="27">
        <f>'Statistics NZ'!D$63*'Economic Forecasts'!F$9*1000000/SUM('Statistics NZ'!D$30:D$110,'Statistics NZ'!D$130:D$210)</f>
        <v>31216.615937031842</v>
      </c>
      <c r="E63" s="27">
        <f>'Statistics NZ'!E$63*'Economic Forecasts'!G$9*1000000/SUM('Statistics NZ'!E$30:E$110,'Statistics NZ'!E$130:E$210)</f>
        <v>32677.000329272312</v>
      </c>
      <c r="F63" s="27">
        <f>'Statistics NZ'!F$63*'Economic Forecasts'!H$9*1000000/SUM('Statistics NZ'!F$30:F$110,'Statistics NZ'!F$130:F$210)</f>
        <v>33310.791254055905</v>
      </c>
      <c r="G63" s="27">
        <f>'Statistics NZ'!G$63*'Economic Forecasts'!I$9*1000000/SUM('Statistics NZ'!G$30:G$110,'Statistics NZ'!G$130:G$210)</f>
        <v>33524.097821643067</v>
      </c>
      <c r="H63" s="27">
        <f>'Statistics NZ'!H$63*'Economic Forecasts'!J$9*1000000/SUM('Statistics NZ'!H$30:H$110,'Statistics NZ'!H$130:H$210)</f>
        <v>32609.63017806453</v>
      </c>
      <c r="I63" s="27">
        <f>'Statistics NZ'!I$63*'Economic Forecasts'!K$9*1000000/SUM('Statistics NZ'!I$30:I$110,'Statistics NZ'!I$130:I$210)</f>
        <v>31341.96631487189</v>
      </c>
      <c r="J63" s="27">
        <f>'Statistics NZ'!J$63*'Economic Forecasts'!L$9*1000000/SUM('Statistics NZ'!J$30:J$110,'Statistics NZ'!J$130:J$210)</f>
        <v>30971.978006735579</v>
      </c>
      <c r="K63" s="27">
        <f>'Statistics NZ'!K$63*'Economic Forecasts'!M$9*1000000/SUM('Statistics NZ'!K$30:K$110,'Statistics NZ'!K$130:K$210)</f>
        <v>31594.031766317737</v>
      </c>
      <c r="L63" s="27">
        <f>'Statistics NZ'!L$63*'Economic Forecasts'!N$9*1000000/SUM('Statistics NZ'!L$30:L$110,'Statistics NZ'!L$130:L$210)</f>
        <v>32160.03942462218</v>
      </c>
      <c r="M63" s="27">
        <f>'Statistics NZ'!M$63*'Economic Forecasts'!O$9*1000000/SUM('Statistics NZ'!M$30:M$110,'Statistics NZ'!M$130:M$210)</f>
        <v>32952.772568633874</v>
      </c>
      <c r="N63" s="27">
        <f>'Statistics NZ'!N$63*'Economic Forecasts'!P$9*1000000/SUM('Statistics NZ'!N$30:N$110,'Statistics NZ'!N$130:N$210)</f>
        <v>33014.368231777327</v>
      </c>
      <c r="O63" s="27">
        <f>'Statistics NZ'!O$63*'Economic Forecasts'!Q$9*1000000/SUM('Statistics NZ'!O$30:O$110,'Statistics NZ'!O$130:O$210)</f>
        <v>34540.767270181452</v>
      </c>
      <c r="P63" s="27">
        <f>'Statistics NZ'!P$63*'Economic Forecasts'!R$9*1000000/SUM('Statistics NZ'!P$30:P$110,'Statistics NZ'!P$130:P$210)</f>
        <v>34144.353909525169</v>
      </c>
      <c r="Q63" s="27">
        <f>'Statistics NZ'!Q$63*'Economic Forecasts'!S$9*1000000/SUM('Statistics NZ'!Q$30:Q$110,'Statistics NZ'!Q$130:Q$210)</f>
        <v>33383.085414707974</v>
      </c>
      <c r="R63" s="27">
        <f>'Statistics NZ'!R$63*'Economic Forecasts'!T$9*1000000/SUM('Statistics NZ'!R$30:R$110,'Statistics NZ'!R$130:R$210)</f>
        <v>32389.786259616139</v>
      </c>
      <c r="S63" s="27">
        <f>'Statistics NZ'!S$63*'Economic Forecasts'!U$9*1000000/SUM('Statistics NZ'!S$30:S$110,'Statistics NZ'!S$130:S$210)</f>
        <v>31034.115182949026</v>
      </c>
      <c r="T63" s="27">
        <f>'Statistics NZ'!T$63*'Economic Forecasts'!V$9*1000000/SUM('Statistics NZ'!T$30:T$110,'Statistics NZ'!T$130:T$210)</f>
        <v>30404.298382889931</v>
      </c>
      <c r="U63" s="28">
        <f>SUM('Statistics NZ'!U$63,$K$12/5*(U$8-U$9)*1000)*'Economic Forecasts'!W$9*1000000/SUM('Statistics NZ'!U$30:U$110,'Statistics NZ'!U$130:U$210,SUM($E$12:$T$13)*(U$8-U$9)*1000)</f>
        <v>30801.623324686854</v>
      </c>
      <c r="V63" s="28">
        <f>SUM('Statistics NZ'!V$63,$K$12/5*(V$8-V$9)*1000)*'Economic Forecasts'!X$9*1000000/SUM('Statistics NZ'!V$30:V$110,'Statistics NZ'!V$130:V$210,SUM($E$12:$T$13)*(V$8-V$9)*1000)</f>
        <v>30699.542526492784</v>
      </c>
      <c r="W63" s="28">
        <f>SUM('Statistics NZ'!W$63,$K$12/5*(W$8-W$9)*1000)*'Economic Forecasts'!Y$9*1000000/SUM('Statistics NZ'!W$30:W$110,'Statistics NZ'!W$130:W$210,SUM($E$12:$T$13)*(W$8-W$9)*1000)</f>
        <v>31819.691596699129</v>
      </c>
      <c r="X63" s="28">
        <f>SUM('Statistics NZ'!X$63,$K$12/5*(X$8-X$9)*1000)*'Economic Forecasts'!Z$9*1000000/SUM('Statistics NZ'!X$30:X$110,'Statistics NZ'!X$130:X$210,SUM($E$12:$T$13)*(X$8-X$9)*1000)</f>
        <v>32460.487096085959</v>
      </c>
      <c r="Y63" s="28">
        <f>SUM('Statistics NZ'!Y$63,$K$12/5*(Y$8-Y$9)*1000)*'Economic Forecasts'!AA$9*1000000/SUM('Statistics NZ'!Y$30:Y$110,'Statistics NZ'!Y$130:Y$210,SUM($E$12:$T$13)*(Y$8-Y$9)*1000)</f>
        <v>33210.936383626096</v>
      </c>
      <c r="Z63" s="28">
        <f>SUM('Statistics NZ'!Z$63,$K$12/5*(Z$8-Z$9)*1000)*'Economic Forecasts'!AB$9*1000000/SUM('Statistics NZ'!Z$30:Z$110,'Statistics NZ'!Z$130:Z$210,SUM($E$12:$T$13)*(Z$8-Z$9)*1000)</f>
        <v>34506.864346365204</v>
      </c>
      <c r="AA63" s="28">
        <f>SUM('Statistics NZ'!AA$63,$K$12/5*(AA$8-AA$9)*1000)*'Economic Forecasts'!AC$9*1000000/SUM('Statistics NZ'!AA$30:AA$110,'Statistics NZ'!AA$130:AA$210,SUM($E$12:$T$13)*(AA$8-AA$9)*1000)</f>
        <v>35625.88565080017</v>
      </c>
      <c r="AB63" s="18">
        <f>SUM(AA$63,'Statistics NZ'!AB$63-'Statistics NZ'!AA$63,$K$12/5*(AB$8-AB$9)*1000)</f>
        <v>36369.350943651109</v>
      </c>
      <c r="AC63" s="18">
        <f>SUM(AB$63,'Statistics NZ'!AC$63-'Statistics NZ'!AB$63,$K$12/5*(AC$8-AC$9)*1000)</f>
        <v>37741.661138885072</v>
      </c>
      <c r="AD63" s="18">
        <f>SUM(AC$63,'Statistics NZ'!AD$63-'Statistics NZ'!AC$63,$K$12/5*(AD$8-AD$9)*1000)</f>
        <v>38432.623720232557</v>
      </c>
      <c r="AE63" s="18">
        <f>SUM(AD$63,'Statistics NZ'!AE$63-'Statistics NZ'!AD$63,$K$12/5*(AE$8-AE$9)*1000)</f>
        <v>40092.623720232557</v>
      </c>
      <c r="AF63" s="18">
        <f>SUM(AE$63,'Statistics NZ'!AF$63-'Statistics NZ'!AE$63,$K$12/5*(AF$8-AF$9)*1000)</f>
        <v>42372.623720232557</v>
      </c>
      <c r="AG63" s="18">
        <f>SUM(AF$63,'Statistics NZ'!AG$63-'Statistics NZ'!AF$63,$K$12/5*(AG$8-AG$9)*1000)</f>
        <v>43382.623720232557</v>
      </c>
      <c r="AH63" s="18">
        <f>SUM(AG$63,'Statistics NZ'!AH$63-'Statistics NZ'!AG$63,$K$12/5*(AH$8-AH$9)*1000)</f>
        <v>45102.623720232557</v>
      </c>
      <c r="AI63" s="18">
        <f>SUM(AH$63,'Statistics NZ'!AI$63-'Statistics NZ'!AH$63,$K$12/5*(AI$8-AI$9)*1000)</f>
        <v>45912.623720232557</v>
      </c>
      <c r="AJ63" s="18">
        <f>SUM(AI$63,'Statistics NZ'!AJ$63-'Statistics NZ'!AI$63,$K$12/5*(AJ$8-AJ$9)*1000)</f>
        <v>45532.623720232557</v>
      </c>
      <c r="AK63" s="18">
        <f>SUM(AJ$63,'Statistics NZ'!AK$63-'Statistics NZ'!AJ$63,$K$12/5*(AK$8-AK$9)*1000)</f>
        <v>45142.623720232557</v>
      </c>
    </row>
    <row r="64" spans="1:37" x14ac:dyDescent="0.25">
      <c r="A64" s="12">
        <v>49</v>
      </c>
      <c r="B64" s="27">
        <f>'Statistics NZ'!B$64*'Economic Forecasts'!D$9*1000000/SUM('Statistics NZ'!B$30:B$110,'Statistics NZ'!B$130:B$210)</f>
        <v>28647.378895252888</v>
      </c>
      <c r="C64" s="27">
        <f>'Statistics NZ'!C$64*'Economic Forecasts'!E$9*1000000/SUM('Statistics NZ'!C$30:C$110,'Statistics NZ'!C$130:C$210)</f>
        <v>29303.113522337178</v>
      </c>
      <c r="D64" s="27">
        <f>'Statistics NZ'!D$64*'Economic Forecasts'!F$9*1000000/SUM('Statistics NZ'!D$30:D$110,'Statistics NZ'!D$130:D$210)</f>
        <v>30676.36613321285</v>
      </c>
      <c r="E64" s="27">
        <f>'Statistics NZ'!E$64*'Economic Forecasts'!G$9*1000000/SUM('Statistics NZ'!E$30:E$110,'Statistics NZ'!E$130:E$210)</f>
        <v>31088.262618185243</v>
      </c>
      <c r="F64" s="27">
        <f>'Statistics NZ'!F$64*'Economic Forecasts'!H$9*1000000/SUM('Statistics NZ'!F$30:F$110,'Statistics NZ'!F$130:F$210)</f>
        <v>32624.173059773246</v>
      </c>
      <c r="G64" s="27">
        <f>'Statistics NZ'!G$64*'Economic Forecasts'!I$9*1000000/SUM('Statistics NZ'!G$30:G$110,'Statistics NZ'!G$130:G$210)</f>
        <v>33229.423653858335</v>
      </c>
      <c r="H64" s="27">
        <f>'Statistics NZ'!H$64*'Economic Forecasts'!J$9*1000000/SUM('Statistics NZ'!H$30:H$110,'Statistics NZ'!H$130:H$210)</f>
        <v>33336.690326656506</v>
      </c>
      <c r="I64" s="27">
        <f>'Statistics NZ'!I$64*'Economic Forecasts'!K$9*1000000/SUM('Statistics NZ'!I$30:I$110,'Statistics NZ'!I$130:I$210)</f>
        <v>32449.76806450609</v>
      </c>
      <c r="J64" s="27">
        <f>'Statistics NZ'!J$64*'Economic Forecasts'!L$9*1000000/SUM('Statistics NZ'!J$30:J$110,'Statistics NZ'!J$130:J$210)</f>
        <v>31215.775062833938</v>
      </c>
      <c r="K64" s="27">
        <f>'Statistics NZ'!K$64*'Economic Forecasts'!M$9*1000000/SUM('Statistics NZ'!K$30:K$110,'Statistics NZ'!K$130:K$210)</f>
        <v>30961.177509057135</v>
      </c>
      <c r="L64" s="27">
        <f>'Statistics NZ'!L$64*'Economic Forecasts'!N$9*1000000/SUM('Statistics NZ'!L$30:L$110,'Statistics NZ'!L$130:L$210)</f>
        <v>31653.735443368667</v>
      </c>
      <c r="M64" s="27">
        <f>'Statistics NZ'!M$64*'Economic Forecasts'!O$9*1000000/SUM('Statistics NZ'!M$30:M$110,'Statistics NZ'!M$130:M$210)</f>
        <v>32415.44600733092</v>
      </c>
      <c r="N64" s="27">
        <f>'Statistics NZ'!N$64*'Economic Forecasts'!P$9*1000000/SUM('Statistics NZ'!N$30:N$110,'Statistics NZ'!N$130:N$210)</f>
        <v>33102.432640220126</v>
      </c>
      <c r="O64" s="27">
        <f>'Statistics NZ'!O$64*'Economic Forecasts'!Q$9*1000000/SUM('Statistics NZ'!O$30:O$110,'Statistics NZ'!O$130:O$210)</f>
        <v>33087.246213602877</v>
      </c>
      <c r="P64" s="27">
        <f>'Statistics NZ'!P$64*'Economic Forecasts'!R$9*1000000/SUM('Statistics NZ'!P$30:P$110,'Statistics NZ'!P$130:P$210)</f>
        <v>34516.446094372302</v>
      </c>
      <c r="Q64" s="27">
        <f>'Statistics NZ'!Q$64*'Economic Forecasts'!S$9*1000000/SUM('Statistics NZ'!Q$30:Q$110,'Statistics NZ'!Q$130:Q$210)</f>
        <v>34351.283807913474</v>
      </c>
      <c r="R64" s="27">
        <f>'Statistics NZ'!R$64*'Economic Forecasts'!T$9*1000000/SUM('Statistics NZ'!R$30:R$110,'Statistics NZ'!R$130:R$210)</f>
        <v>33259.57606457379</v>
      </c>
      <c r="S64" s="27">
        <f>'Statistics NZ'!S$64*'Economic Forecasts'!U$9*1000000/SUM('Statistics NZ'!S$30:S$110,'Statistics NZ'!S$130:S$210)</f>
        <v>32007.581782163237</v>
      </c>
      <c r="T64" s="27">
        <f>'Statistics NZ'!T$64*'Economic Forecasts'!V$9*1000000/SUM('Statistics NZ'!T$30:T$110,'Statistics NZ'!T$130:T$210)</f>
        <v>31445.608763693272</v>
      </c>
      <c r="U64" s="28">
        <f>SUM('Statistics NZ'!U$64,$K$12/5*(U$8-U$9)*1000)*'Economic Forecasts'!W$9*1000000/SUM('Statistics NZ'!U$30:U$110,'Statistics NZ'!U$130:U$210,SUM($E$12:$T$13)*(U$8-U$9)*1000)</f>
        <v>30329.288912283846</v>
      </c>
      <c r="V64" s="28">
        <f>SUM('Statistics NZ'!V$64,$K$12/5*(V$8-V$9)*1000)*'Economic Forecasts'!X$9*1000000/SUM('Statistics NZ'!V$30:V$110,'Statistics NZ'!V$130:V$210,SUM($E$12:$T$13)*(V$8-V$9)*1000)</f>
        <v>30630.876908239603</v>
      </c>
      <c r="W64" s="28">
        <f>SUM('Statistics NZ'!W$64,$K$12/5*(W$8-W$9)*1000)*'Economic Forecasts'!Y$9*1000000/SUM('Statistics NZ'!W$30:W$110,'Statistics NZ'!W$130:W$210,SUM($E$12:$T$13)*(W$8-W$9)*1000)</f>
        <v>30567.596560247617</v>
      </c>
      <c r="X64" s="28">
        <f>SUM('Statistics NZ'!X$64,$K$12/5*(X$8-X$9)*1000)*'Economic Forecasts'!Z$9*1000000/SUM('Statistics NZ'!X$30:X$110,'Statistics NZ'!X$130:X$210,SUM($E$12:$T$13)*(X$8-X$9)*1000)</f>
        <v>31727.744843312499</v>
      </c>
      <c r="Y64" s="28">
        <f>SUM('Statistics NZ'!Y$64,$K$12/5*(Y$8-Y$9)*1000)*'Economic Forecasts'!AA$9*1000000/SUM('Statistics NZ'!Y$30:Y$110,'Statistics NZ'!Y$130:Y$210,SUM($E$12:$T$13)*(Y$8-Y$9)*1000)</f>
        <v>32400.111846991374</v>
      </c>
      <c r="Z64" s="28">
        <f>SUM('Statistics NZ'!Z$64,$K$12/5*(Z$8-Z$9)*1000)*'Economic Forecasts'!AB$9*1000000/SUM('Statistics NZ'!Z$30:Z$110,'Statistics NZ'!Z$130:Z$210,SUM($E$12:$T$13)*(Z$8-Z$9)*1000)</f>
        <v>33168.229729992265</v>
      </c>
      <c r="AA64" s="28">
        <f>SUM('Statistics NZ'!AA$64,$K$12/5*(AA$8-AA$9)*1000)*'Economic Forecasts'!AC$9*1000000/SUM('Statistics NZ'!AA$30:AA$110,'Statistics NZ'!AA$130:AA$210,SUM($E$12:$T$13)*(AA$8-AA$9)*1000)</f>
        <v>34472.400649367417</v>
      </c>
      <c r="AB64" s="18">
        <f>SUM(AA$64,'Statistics NZ'!AB$64-'Statistics NZ'!AA$64,$K$12/5*(AB$8-AB$9)*1000)</f>
        <v>35605.865942218355</v>
      </c>
      <c r="AC64" s="18">
        <f>SUM(AB$64,'Statistics NZ'!AC$64-'Statistics NZ'!AB$64,$K$12/5*(AC$8-AC$9)*1000)</f>
        <v>36348.176137452319</v>
      </c>
      <c r="AD64" s="18">
        <f>SUM(AC$64,'Statistics NZ'!AD$64-'Statistics NZ'!AC$64,$K$12/5*(AD$8-AD$9)*1000)</f>
        <v>37719.138718799804</v>
      </c>
      <c r="AE64" s="18">
        <f>SUM(AD$64,'Statistics NZ'!AE$64-'Statistics NZ'!AD$64,$K$12/5*(AE$8-AE$9)*1000)</f>
        <v>38409.138718799804</v>
      </c>
      <c r="AF64" s="18">
        <f>SUM(AE$64,'Statistics NZ'!AF$64-'Statistics NZ'!AE$64,$K$12/5*(AF$8-AF$9)*1000)</f>
        <v>40069.138718799804</v>
      </c>
      <c r="AG64" s="18">
        <f>SUM(AF$64,'Statistics NZ'!AG$64-'Statistics NZ'!AF$64,$K$12/5*(AG$8-AG$9)*1000)</f>
        <v>42339.138718799804</v>
      </c>
      <c r="AH64" s="18">
        <f>SUM(AG$64,'Statistics NZ'!AH$64-'Statistics NZ'!AG$64,$K$12/5*(AH$8-AH$9)*1000)</f>
        <v>43359.138718799804</v>
      </c>
      <c r="AI64" s="18">
        <f>SUM(AH$64,'Statistics NZ'!AI$64-'Statistics NZ'!AH$64,$K$12/5*(AI$8-AI$9)*1000)</f>
        <v>45079.138718799804</v>
      </c>
      <c r="AJ64" s="18">
        <f>SUM(AI$64,'Statistics NZ'!AJ$64-'Statistics NZ'!AI$64,$K$12/5*(AJ$8-AJ$9)*1000)</f>
        <v>45889.138718799804</v>
      </c>
      <c r="AK64" s="18">
        <f>SUM(AJ$64,'Statistics NZ'!AK$64-'Statistics NZ'!AJ$64,$K$12/5*(AK$8-AK$9)*1000)</f>
        <v>45509.138718799804</v>
      </c>
    </row>
    <row r="65" spans="1:37" x14ac:dyDescent="0.25">
      <c r="A65" s="12">
        <v>50</v>
      </c>
      <c r="B65" s="27">
        <f>'Statistics NZ'!B$65*'Economic Forecasts'!D$9*1000000/SUM('Statistics NZ'!B$30:B$110,'Statistics NZ'!B$130:B$210)</f>
        <v>27962.503033686051</v>
      </c>
      <c r="C65" s="27">
        <f>'Statistics NZ'!C$65*'Economic Forecasts'!E$9*1000000/SUM('Statistics NZ'!C$30:C$110,'Statistics NZ'!C$130:C$210)</f>
        <v>28674.628513815205</v>
      </c>
      <c r="D65" s="27">
        <f>'Statistics NZ'!D$65*'Economic Forecasts'!F$9*1000000/SUM('Statistics NZ'!D$30:D$110,'Statistics NZ'!D$130:D$210)</f>
        <v>29202.957577342873</v>
      </c>
      <c r="E65" s="27">
        <f>'Statistics NZ'!E$65*'Economic Forecasts'!G$9*1000000/SUM('Statistics NZ'!E$30:E$110,'Statistics NZ'!E$130:E$210)</f>
        <v>30548.876358248275</v>
      </c>
      <c r="F65" s="27">
        <f>'Statistics NZ'!F$65*'Economic Forecasts'!H$9*1000000/SUM('Statistics NZ'!F$30:F$110,'Statistics NZ'!F$130:F$210)</f>
        <v>31044.95121292313</v>
      </c>
      <c r="G65" s="27">
        <f>'Statistics NZ'!G$65*'Economic Forecasts'!I$9*1000000/SUM('Statistics NZ'!G$30:G$110,'Statistics NZ'!G$130:G$210)</f>
        <v>32502.560706655993</v>
      </c>
      <c r="H65" s="27">
        <f>'Statistics NZ'!H$65*'Economic Forecasts'!J$9*1000000/SUM('Statistics NZ'!H$30:H$110,'Statistics NZ'!H$130:H$210)</f>
        <v>33051.761349505599</v>
      </c>
      <c r="I65" s="27">
        <f>'Statistics NZ'!I$65*'Economic Forecasts'!K$9*1000000/SUM('Statistics NZ'!I$30:I$110,'Statistics NZ'!I$130:I$210)</f>
        <v>33126.213380654408</v>
      </c>
      <c r="J65" s="27">
        <f>'Statistics NZ'!J$65*'Economic Forecasts'!L$9*1000000/SUM('Statistics NZ'!J$30:J$110,'Statistics NZ'!J$130:J$210)</f>
        <v>32298.233991910653</v>
      </c>
      <c r="K65" s="27">
        <f>'Statistics NZ'!K$65*'Economic Forecasts'!M$9*1000000/SUM('Statistics NZ'!K$30:K$110,'Statistics NZ'!K$130:K$210)</f>
        <v>31292.208966701146</v>
      </c>
      <c r="L65" s="27">
        <f>'Statistics NZ'!L$65*'Economic Forecasts'!N$9*1000000/SUM('Statistics NZ'!L$30:L$110,'Statistics NZ'!L$130:L$210)</f>
        <v>31050.065311874096</v>
      </c>
      <c r="M65" s="27">
        <f>'Statistics NZ'!M$65*'Economic Forecasts'!O$9*1000000/SUM('Statistics NZ'!M$30:M$110,'Statistics NZ'!M$130:M$210)</f>
        <v>31809.73242913486</v>
      </c>
      <c r="N65" s="27">
        <f>'Statistics NZ'!N$65*'Economic Forecasts'!P$9*1000000/SUM('Statistics NZ'!N$30:N$110,'Statistics NZ'!N$130:N$210)</f>
        <v>32515.336583934812</v>
      </c>
      <c r="O65" s="27">
        <f>'Statistics NZ'!O$65*'Economic Forecasts'!Q$9*1000000/SUM('Statistics NZ'!O$30:O$110,'Statistics NZ'!O$130:O$210)</f>
        <v>33205.099272244384</v>
      </c>
      <c r="P65" s="27">
        <f>'Statistics NZ'!P$65*'Economic Forecasts'!R$9*1000000/SUM('Statistics NZ'!P$30:P$110,'Statistics NZ'!P$130:P$210)</f>
        <v>33096.620652192447</v>
      </c>
      <c r="Q65" s="27">
        <f>'Statistics NZ'!Q$65*'Economic Forecasts'!S$9*1000000/SUM('Statistics NZ'!Q$30:Q$110,'Statistics NZ'!Q$130:Q$210)</f>
        <v>34726.707674666628</v>
      </c>
      <c r="R65" s="27">
        <f>'Statistics NZ'!R$65*'Economic Forecasts'!T$9*1000000/SUM('Statistics NZ'!R$30:R$110,'Statistics NZ'!R$130:R$210)</f>
        <v>34168.901769756783</v>
      </c>
      <c r="S65" s="27">
        <f>'Statistics NZ'!S$65*'Economic Forecasts'!U$9*1000000/SUM('Statistics NZ'!S$30:S$110,'Statistics NZ'!S$130:S$210)</f>
        <v>32825.293725503172</v>
      </c>
      <c r="T65" s="27">
        <f>'Statistics NZ'!T$65*'Economic Forecasts'!V$9*1000000/SUM('Statistics NZ'!T$30:T$110,'Statistics NZ'!T$130:T$210)</f>
        <v>32388.682316118935</v>
      </c>
      <c r="U65" s="28">
        <f>SUM('Statistics NZ'!U$65,$L$12/5*(U$8-U$9)*1000)*'Economic Forecasts'!W$9*1000000/SUM('Statistics NZ'!U$30:U$110,'Statistics NZ'!U$130:U$210,SUM($E$12:$T$13)*(U$8-U$9)*1000)</f>
        <v>31373.258956715734</v>
      </c>
      <c r="V65" s="28">
        <f>SUM('Statistics NZ'!V$65,$L$12/5*(V$8-V$9)*1000)*'Economic Forecasts'!X$9*1000000/SUM('Statistics NZ'!V$30:V$110,'Statistics NZ'!V$130:V$210,SUM($E$12:$T$13)*(V$8-V$9)*1000)</f>
        <v>30157.595730965582</v>
      </c>
      <c r="W65" s="28">
        <f>SUM('Statistics NZ'!W$65,$L$12/5*(W$8-W$9)*1000)*'Economic Forecasts'!Y$9*1000000/SUM('Statistics NZ'!W$30:W$110,'Statistics NZ'!W$130:W$210,SUM($E$12:$T$13)*(W$8-W$9)*1000)</f>
        <v>30470.60596848503</v>
      </c>
      <c r="X65" s="28">
        <f>SUM('Statistics NZ'!X$65,$L$12/5*(X$8-X$9)*1000)*'Economic Forecasts'!Z$9*1000000/SUM('Statistics NZ'!X$30:X$110,'Statistics NZ'!X$130:X$210,SUM($E$12:$T$13)*(X$8-X$9)*1000)</f>
        <v>30444.299042801307</v>
      </c>
      <c r="Y65" s="28">
        <f>SUM('Statistics NZ'!Y$65,$L$12/5*(Y$8-Y$9)*1000)*'Economic Forecasts'!AA$9*1000000/SUM('Statistics NZ'!Y$30:Y$110,'Statistics NZ'!Y$130:Y$210,SUM($E$12:$T$13)*(Y$8-Y$9)*1000)</f>
        <v>31633.576902893565</v>
      </c>
      <c r="Z65" s="28">
        <f>SUM('Statistics NZ'!Z$65,$L$12/5*(Z$8-Z$9)*1000)*'Economic Forecasts'!AB$9*1000000/SUM('Statistics NZ'!Z$30:Z$110,'Statistics NZ'!Z$130:Z$210,SUM($E$12:$T$13)*(Z$8-Z$9)*1000)</f>
        <v>32324.053055578679</v>
      </c>
      <c r="AA65" s="28">
        <f>SUM('Statistics NZ'!AA$65,$L$12/5*(AA$8-AA$9)*1000)*'Economic Forecasts'!AC$9*1000000/SUM('Statistics NZ'!AA$30:AA$110,'Statistics NZ'!AA$130:AA$210,SUM($E$12:$T$13)*(AA$8-AA$9)*1000)</f>
        <v>33100.40593359663</v>
      </c>
      <c r="AB65" s="18">
        <f>SUM(AA$65,'Statistics NZ'!AB$65-'Statistics NZ'!AA$65,$L$12/5*(AB$8-AB$9)*1000)</f>
        <v>34421.327778486811</v>
      </c>
      <c r="AC65" s="18">
        <f>SUM(AB$65,'Statistics NZ'!AC$65-'Statistics NZ'!AB$65,$L$12/5*(AC$8-AC$9)*1000)</f>
        <v>35551.942341746937</v>
      </c>
      <c r="AD65" s="18">
        <f>SUM(AC$65,'Statistics NZ'!AD$65-'Statistics NZ'!AC$65,$L$12/5*(AD$8-AD$9)*1000)</f>
        <v>36302.198409771991</v>
      </c>
      <c r="AE65" s="18">
        <f>SUM(AD$65,'Statistics NZ'!AE$65-'Statistics NZ'!AD$65,$L$12/5*(AE$8-AE$9)*1000)</f>
        <v>37662.198409771991</v>
      </c>
      <c r="AF65" s="18">
        <f>SUM(AE$65,'Statistics NZ'!AF$65-'Statistics NZ'!AE$65,$L$12/5*(AF$8-AF$9)*1000)</f>
        <v>38352.198409771991</v>
      </c>
      <c r="AG65" s="18">
        <f>SUM(AF$65,'Statistics NZ'!AG$65-'Statistics NZ'!AF$65,$L$12/5*(AG$8-AG$9)*1000)</f>
        <v>40012.198409771991</v>
      </c>
      <c r="AH65" s="18">
        <f>SUM(AG$65,'Statistics NZ'!AH$65-'Statistics NZ'!AG$65,$L$12/5*(AH$8-AH$9)*1000)</f>
        <v>42292.198409771991</v>
      </c>
      <c r="AI65" s="18">
        <f>SUM(AH$65,'Statistics NZ'!AI$65-'Statistics NZ'!AH$65,$L$12/5*(AI$8-AI$9)*1000)</f>
        <v>43302.198409771991</v>
      </c>
      <c r="AJ65" s="18">
        <f>SUM(AI$65,'Statistics NZ'!AJ$65-'Statistics NZ'!AI$65,$L$12/5*(AJ$8-AJ$9)*1000)</f>
        <v>45022.198409771991</v>
      </c>
      <c r="AK65" s="18">
        <f>SUM(AJ$65,'Statistics NZ'!AK$65-'Statistics NZ'!AJ$65,$L$12/5*(AK$8-AK$9)*1000)</f>
        <v>45832.198409771991</v>
      </c>
    </row>
    <row r="66" spans="1:37" x14ac:dyDescent="0.25">
      <c r="A66" s="12">
        <v>51</v>
      </c>
      <c r="B66" s="27">
        <f>'Statistics NZ'!B$66*'Economic Forecasts'!D$9*1000000/SUM('Statistics NZ'!B$30:B$110,'Statistics NZ'!B$130:B$210)</f>
        <v>26954.757123094842</v>
      </c>
      <c r="C66" s="27">
        <f>'Statistics NZ'!C$66*'Economic Forecasts'!E$9*1000000/SUM('Statistics NZ'!C$30:C$110,'Statistics NZ'!C$130:C$210)</f>
        <v>27977.402957486138</v>
      </c>
      <c r="D66" s="27">
        <f>'Statistics NZ'!D$66*'Economic Forecasts'!F$9*1000000/SUM('Statistics NZ'!D$30:D$110,'Statistics NZ'!D$130:D$210)</f>
        <v>28574.303260171688</v>
      </c>
      <c r="E66" s="27">
        <f>'Statistics NZ'!E$66*'Economic Forecasts'!G$9*1000000/SUM('Statistics NZ'!E$30:E$110,'Statistics NZ'!E$130:E$210)</f>
        <v>29038.594830424765</v>
      </c>
      <c r="F66" s="27">
        <f>'Statistics NZ'!F$66*'Economic Forecasts'!H$9*1000000/SUM('Statistics NZ'!F$30:F$110,'Statistics NZ'!F$130:F$210)</f>
        <v>30495.656657497002</v>
      </c>
      <c r="G66" s="27">
        <f>'Statistics NZ'!G$66*'Economic Forecasts'!I$9*1000000/SUM('Statistics NZ'!G$30:G$110,'Statistics NZ'!G$130:G$210)</f>
        <v>30960.432561915895</v>
      </c>
      <c r="H66" s="27">
        <f>'Statistics NZ'!H$66*'Economic Forecasts'!J$9*1000000/SUM('Statistics NZ'!H$30:H$110,'Statistics NZ'!H$130:H$210)</f>
        <v>32373.826886629296</v>
      </c>
      <c r="I66" s="27">
        <f>'Statistics NZ'!I$66*'Economic Forecasts'!K$9*1000000/SUM('Statistics NZ'!I$30:I$110,'Statistics NZ'!I$130:I$210)</f>
        <v>32841.910276765986</v>
      </c>
      <c r="J66" s="27">
        <f>'Statistics NZ'!J$66*'Economic Forecasts'!L$9*1000000/SUM('Statistics NZ'!J$30:J$110,'Statistics NZ'!J$130:J$210)</f>
        <v>32932.106337766389</v>
      </c>
      <c r="K66" s="27">
        <f>'Statistics NZ'!K$66*'Economic Forecasts'!M$9*1000000/SUM('Statistics NZ'!K$30:K$110,'Statistics NZ'!K$130:K$210)</f>
        <v>32333.984436345519</v>
      </c>
      <c r="L66" s="27">
        <f>'Statistics NZ'!L$66*'Economic Forecasts'!N$9*1000000/SUM('Statistics NZ'!L$30:L$110,'Statistics NZ'!L$130:L$210)</f>
        <v>31478.476372934754</v>
      </c>
      <c r="M66" s="27">
        <f>'Statistics NZ'!M$66*'Economic Forecasts'!O$9*1000000/SUM('Statistics NZ'!M$30:M$110,'Statistics NZ'!M$130:M$210)</f>
        <v>31243.097146306292</v>
      </c>
      <c r="N66" s="27">
        <f>'Statistics NZ'!N$66*'Economic Forecasts'!P$9*1000000/SUM('Statistics NZ'!N$30:N$110,'Statistics NZ'!N$130:N$210)</f>
        <v>31879.315856292393</v>
      </c>
      <c r="O66" s="27">
        <f>'Statistics NZ'!O$66*'Economic Forecasts'!Q$9*1000000/SUM('Statistics NZ'!O$30:O$110,'Statistics NZ'!O$130:O$210)</f>
        <v>32537.265273275847</v>
      </c>
      <c r="P66" s="27">
        <f>'Statistics NZ'!P$66*'Economic Forecasts'!R$9*1000000/SUM('Statistics NZ'!P$30:P$110,'Statistics NZ'!P$130:P$210)</f>
        <v>33194.539648204853</v>
      </c>
      <c r="Q66" s="27">
        <f>'Statistics NZ'!Q$66*'Economic Forecasts'!S$9*1000000/SUM('Statistics NZ'!Q$30:Q$110,'Statistics NZ'!Q$130:Q$210)</f>
        <v>33244.771358535756</v>
      </c>
      <c r="R66" s="27">
        <f>'Statistics NZ'!R$66*'Economic Forecasts'!T$9*1000000/SUM('Statistics NZ'!R$30:R$110,'Statistics NZ'!R$130:R$210)</f>
        <v>34495.072946615903</v>
      </c>
      <c r="S66" s="27">
        <f>'Statistics NZ'!S$66*'Economic Forecasts'!U$9*1000000/SUM('Statistics NZ'!S$30:S$110,'Statistics NZ'!S$130:S$210)</f>
        <v>33672.209666819537</v>
      </c>
      <c r="T66" s="27">
        <f>'Statistics NZ'!T$66*'Economic Forecasts'!V$9*1000000/SUM('Statistics NZ'!T$30:T$110,'Statistics NZ'!T$130:T$210)</f>
        <v>33154.929577464791</v>
      </c>
      <c r="U66" s="28">
        <f>SUM('Statistics NZ'!U$66,$L$12/5*(U$8-U$9)*1000)*'Economic Forecasts'!W$9*1000000/SUM('Statistics NZ'!U$30:U$110,'Statistics NZ'!U$130:U$210,SUM($E$12:$T$13)*(U$8-U$9)*1000)</f>
        <v>32317.927781521747</v>
      </c>
      <c r="V66" s="28">
        <f>SUM('Statistics NZ'!V$66,$L$12/5*(V$8-V$9)*1000)*'Economic Forecasts'!X$9*1000000/SUM('Statistics NZ'!V$30:V$110,'Statistics NZ'!V$130:V$210,SUM($E$12:$T$13)*(V$8-V$9)*1000)</f>
        <v>31167.961256690869</v>
      </c>
      <c r="W66" s="28">
        <f>SUM('Statistics NZ'!W$66,$L$12/5*(W$8-W$9)*1000)*'Economic Forecasts'!Y$9*1000000/SUM('Statistics NZ'!W$30:W$110,'Statistics NZ'!W$130:W$210,SUM($E$12:$T$13)*(W$8-W$9)*1000)</f>
        <v>29981.506344871163</v>
      </c>
      <c r="X66" s="28">
        <f>SUM('Statistics NZ'!X$66,$L$12/5*(X$8-X$9)*1000)*'Economic Forecasts'!Z$9*1000000/SUM('Statistics NZ'!X$30:X$110,'Statistics NZ'!X$130:X$210,SUM($E$12:$T$13)*(X$8-X$9)*1000)</f>
        <v>30346.600075764847</v>
      </c>
      <c r="Y66" s="28">
        <f>SUM('Statistics NZ'!Y$66,$L$12/5*(Y$8-Y$9)*1000)*'Economic Forecasts'!AA$9*1000000/SUM('Statistics NZ'!Y$30:Y$110,'Statistics NZ'!Y$130:Y$210,SUM($E$12:$T$13)*(Y$8-Y$9)*1000)</f>
        <v>30363.610761176518</v>
      </c>
      <c r="Z66" s="28">
        <f>SUM('Statistics NZ'!Z$66,$L$12/5*(Z$8-Z$9)*1000)*'Economic Forecasts'!AB$9*1000000/SUM('Statistics NZ'!Z$30:Z$110,'Statistics NZ'!Z$130:Z$210,SUM($E$12:$T$13)*(Z$8-Z$9)*1000)</f>
        <v>31561.910719249561</v>
      </c>
      <c r="AA66" s="28">
        <f>SUM('Statistics NZ'!AA$66,$L$12/5*(AA$8-AA$9)*1000)*'Economic Forecasts'!AC$9*1000000/SUM('Statistics NZ'!AA$30:AA$110,'Statistics NZ'!AA$130:AA$210,SUM($E$12:$T$13)*(AA$8-AA$9)*1000)</f>
        <v>32259.730424077839</v>
      </c>
      <c r="AB66" s="18">
        <f>SUM(AA$66,'Statistics NZ'!AB$66-'Statistics NZ'!AA$66,$L$12/5*(AB$8-AB$9)*1000)</f>
        <v>33040.652268968021</v>
      </c>
      <c r="AC66" s="18">
        <f>SUM(AB$66,'Statistics NZ'!AC$66-'Statistics NZ'!AB$66,$L$12/5*(AC$8-AC$9)*1000)</f>
        <v>34361.266832228146</v>
      </c>
      <c r="AD66" s="18">
        <f>SUM(AC$66,'Statistics NZ'!AD$66-'Statistics NZ'!AC$66,$L$12/5*(AD$8-AD$9)*1000)</f>
        <v>35491.5229002532</v>
      </c>
      <c r="AE66" s="18">
        <f>SUM(AD$66,'Statistics NZ'!AE$66-'Statistics NZ'!AD$66,$L$12/5*(AE$8-AE$9)*1000)</f>
        <v>36231.5229002532</v>
      </c>
      <c r="AF66" s="18">
        <f>SUM(AE$66,'Statistics NZ'!AF$66-'Statistics NZ'!AE$66,$L$12/5*(AF$8-AF$9)*1000)</f>
        <v>37601.5229002532</v>
      </c>
      <c r="AG66" s="18">
        <f>SUM(AF$66,'Statistics NZ'!AG$66-'Statistics NZ'!AF$66,$L$12/5*(AG$8-AG$9)*1000)</f>
        <v>38291.5229002532</v>
      </c>
      <c r="AH66" s="18">
        <f>SUM(AG$66,'Statistics NZ'!AH$66-'Statistics NZ'!AG$66,$L$12/5*(AH$8-AH$9)*1000)</f>
        <v>39951.5229002532</v>
      </c>
      <c r="AI66" s="18">
        <f>SUM(AH$66,'Statistics NZ'!AI$66-'Statistics NZ'!AH$66,$L$12/5*(AI$8-AI$9)*1000)</f>
        <v>42221.5229002532</v>
      </c>
      <c r="AJ66" s="18">
        <f>SUM(AI$66,'Statistics NZ'!AJ$66-'Statistics NZ'!AI$66,$L$12/5*(AJ$8-AJ$9)*1000)</f>
        <v>43241.5229002532</v>
      </c>
      <c r="AK66" s="18">
        <f>SUM(AJ$66,'Statistics NZ'!AK$66-'Statistics NZ'!AJ$66,$L$12/5*(AK$8-AK$9)*1000)</f>
        <v>44961.5229002532</v>
      </c>
    </row>
    <row r="67" spans="1:37" x14ac:dyDescent="0.25">
      <c r="A67" s="12">
        <v>52</v>
      </c>
      <c r="B67" s="27">
        <f>'Statistics NZ'!B$67*'Economic Forecasts'!D$9*1000000/SUM('Statistics NZ'!B$30:B$110,'Statistics NZ'!B$130:B$210)</f>
        <v>26201.393675371324</v>
      </c>
      <c r="C67" s="27">
        <f>'Statistics NZ'!C$67*'Economic Forecasts'!E$9*1000000/SUM('Statistics NZ'!C$30:C$110,'Statistics NZ'!C$130:C$210)</f>
        <v>26936.474662121607</v>
      </c>
      <c r="D67" s="27">
        <f>'Statistics NZ'!D$67*'Economic Forecasts'!F$9*1000000/SUM('Statistics NZ'!D$30:D$110,'Statistics NZ'!D$130:D$210)</f>
        <v>27857.244429648297</v>
      </c>
      <c r="E67" s="27">
        <f>'Statistics NZ'!E$67*'Economic Forecasts'!G$9*1000000/SUM('Statistics NZ'!E$30:E$110,'Statistics NZ'!E$130:E$210)</f>
        <v>28410.945364316289</v>
      </c>
      <c r="F67" s="27">
        <f>'Statistics NZ'!F$67*'Economic Forecasts'!H$9*1000000/SUM('Statistics NZ'!F$30:F$110,'Statistics NZ'!F$130:F$210)</f>
        <v>29004.714292768938</v>
      </c>
      <c r="G67" s="27">
        <f>'Statistics NZ'!G$67*'Economic Forecasts'!I$9*1000000/SUM('Statistics NZ'!G$30:G$110,'Statistics NZ'!G$130:G$210)</f>
        <v>30420.196587643884</v>
      </c>
      <c r="H67" s="27">
        <f>'Statistics NZ'!H$67*'Economic Forecasts'!J$9*1000000/SUM('Statistics NZ'!H$30:H$110,'Statistics NZ'!H$130:H$210)</f>
        <v>30791.979806584586</v>
      </c>
      <c r="I67" s="27">
        <f>'Statistics NZ'!I$67*'Economic Forecasts'!K$9*1000000/SUM('Statistics NZ'!I$30:I$110,'Statistics NZ'!I$130:I$210)</f>
        <v>32126.250739391679</v>
      </c>
      <c r="J67" s="27">
        <f>'Statistics NZ'!J$67*'Economic Forecasts'!L$9*1000000/SUM('Statistics NZ'!J$30:J$110,'Statistics NZ'!J$130:J$210)</f>
        <v>32659.053634936226</v>
      </c>
      <c r="K67" s="27">
        <f>'Statistics NZ'!K$67*'Economic Forecasts'!M$9*1000000/SUM('Statistics NZ'!K$30:K$110,'Statistics NZ'!K$130:K$210)</f>
        <v>32937.63003557871</v>
      </c>
      <c r="L67" s="27">
        <f>'Statistics NZ'!L$67*'Economic Forecasts'!N$9*1000000/SUM('Statistics NZ'!L$30:L$110,'Statistics NZ'!L$130:L$210)</f>
        <v>32403.454800224827</v>
      </c>
      <c r="M67" s="27">
        <f>'Statistics NZ'!M$67*'Economic Forecasts'!O$9*1000000/SUM('Statistics NZ'!M$30:M$110,'Statistics NZ'!M$130:M$210)</f>
        <v>31682.727969190528</v>
      </c>
      <c r="N67" s="27">
        <f>'Statistics NZ'!N$67*'Economic Forecasts'!P$9*1000000/SUM('Statistics NZ'!N$30:N$110,'Statistics NZ'!N$130:N$210)</f>
        <v>31341.14447136419</v>
      </c>
      <c r="O67" s="27">
        <f>'Statistics NZ'!O$67*'Economic Forecasts'!Q$9*1000000/SUM('Statistics NZ'!O$30:O$110,'Statistics NZ'!O$130:O$210)</f>
        <v>31869.431274307313</v>
      </c>
      <c r="P67" s="27">
        <f>'Statistics NZ'!P$67*'Economic Forecasts'!R$9*1000000/SUM('Statistics NZ'!P$30:P$110,'Statistics NZ'!P$130:P$210)</f>
        <v>32548.274274522988</v>
      </c>
      <c r="Q67" s="27">
        <f>'Statistics NZ'!Q$67*'Economic Forecasts'!S$9*1000000/SUM('Statistics NZ'!Q$30:Q$110,'Statistics NZ'!Q$130:Q$210)</f>
        <v>33323.80796206274</v>
      </c>
      <c r="R67" s="27">
        <f>'Statistics NZ'!R$67*'Economic Forecasts'!T$9*1000000/SUM('Statistics NZ'!R$30:R$110,'Statistics NZ'!R$130:R$210)</f>
        <v>33042.128613334375</v>
      </c>
      <c r="S67" s="27">
        <f>'Statistics NZ'!S$67*'Economic Forecasts'!U$9*1000000/SUM('Statistics NZ'!S$30:S$110,'Statistics NZ'!S$130:S$210)</f>
        <v>33944.780314599513</v>
      </c>
      <c r="T67" s="27">
        <f>'Statistics NZ'!T$67*'Economic Forecasts'!V$9*1000000/SUM('Statistics NZ'!T$30:T$110,'Statistics NZ'!T$130:T$210)</f>
        <v>33901.52947313511</v>
      </c>
      <c r="U67" s="28">
        <f>SUM('Statistics NZ'!U$67,$L$12/5*(U$8-U$9)*1000)*'Economic Forecasts'!W$9*1000000/SUM('Statistics NZ'!U$30:U$110,'Statistics NZ'!U$130:U$210,SUM($E$12:$T$13)*(U$8-U$9)*1000)</f>
        <v>33075.630901418241</v>
      </c>
      <c r="V67" s="28">
        <f>SUM('Statistics NZ'!V$67,$L$12/5*(V$8-V$9)*1000)*'Economic Forecasts'!X$9*1000000/SUM('Statistics NZ'!V$30:V$110,'Statistics NZ'!V$130:V$210,SUM($E$12:$T$13)*(V$8-V$9)*1000)</f>
        <v>32109.661164162975</v>
      </c>
      <c r="W67" s="28">
        <f>SUM('Statistics NZ'!W$67,$L$12/5*(W$8-W$9)*1000)*'Economic Forecasts'!Y$9*1000000/SUM('Statistics NZ'!W$30:W$110,'Statistics NZ'!W$130:W$210,SUM($E$12:$T$13)*(W$8-W$9)*1000)</f>
        <v>30998.833561988013</v>
      </c>
      <c r="X67" s="28">
        <f>SUM('Statistics NZ'!X$67,$L$12/5*(X$8-X$9)*1000)*'Economic Forecasts'!Z$9*1000000/SUM('Statistics NZ'!X$30:X$110,'Statistics NZ'!X$130:X$210,SUM($E$12:$T$13)*(X$8-X$9)*1000)</f>
        <v>29858.105240582539</v>
      </c>
      <c r="Y67" s="28">
        <f>SUM('Statistics NZ'!Y$67,$L$12/5*(Y$8-Y$9)*1000)*'Economic Forecasts'!AA$9*1000000/SUM('Statistics NZ'!Y$30:Y$110,'Statistics NZ'!Y$130:Y$210,SUM($E$12:$T$13)*(Y$8-Y$9)*1000)</f>
        <v>30265.921057967513</v>
      </c>
      <c r="Z67" s="28">
        <f>SUM('Statistics NZ'!Z$67,$L$12/5*(Z$8-Z$9)*1000)*'Economic Forecasts'!AB$9*1000000/SUM('Statistics NZ'!Z$30:Z$110,'Statistics NZ'!Z$130:Z$210,SUM($E$12:$T$13)*(Z$8-Z$9)*1000)</f>
        <v>30291.673492034359</v>
      </c>
      <c r="AA67" s="28">
        <f>SUM('Statistics NZ'!AA$67,$L$12/5*(AA$8-AA$9)*1000)*'Economic Forecasts'!AC$9*1000000/SUM('Statistics NZ'!AA$30:AA$110,'Statistics NZ'!AA$130:AA$210,SUM($E$12:$T$13)*(AA$8-AA$9)*1000)</f>
        <v>31497.257287537563</v>
      </c>
      <c r="AB67" s="18">
        <f>SUM(AA$67,'Statistics NZ'!AB$67-'Statistics NZ'!AA$67,$L$12/5*(AB$8-AB$9)*1000)</f>
        <v>32198.179132427747</v>
      </c>
      <c r="AC67" s="18">
        <f>SUM(AB$67,'Statistics NZ'!AC$67-'Statistics NZ'!AB$67,$L$12/5*(AC$8-AC$9)*1000)</f>
        <v>32978.793695687869</v>
      </c>
      <c r="AD67" s="18">
        <f>SUM(AC$67,'Statistics NZ'!AD$67-'Statistics NZ'!AC$67,$L$12/5*(AD$8-AD$9)*1000)</f>
        <v>34299.049763712923</v>
      </c>
      <c r="AE67" s="18">
        <f>SUM(AD$67,'Statistics NZ'!AE$67-'Statistics NZ'!AD$67,$L$12/5*(AE$8-AE$9)*1000)</f>
        <v>35429.049763712923</v>
      </c>
      <c r="AF67" s="18">
        <f>SUM(AE$67,'Statistics NZ'!AF$67-'Statistics NZ'!AE$67,$L$12/5*(AF$8-AF$9)*1000)</f>
        <v>36179.049763712923</v>
      </c>
      <c r="AG67" s="18">
        <f>SUM(AF$67,'Statistics NZ'!AG$67-'Statistics NZ'!AF$67,$L$12/5*(AG$8-AG$9)*1000)</f>
        <v>37539.049763712923</v>
      </c>
      <c r="AH67" s="18">
        <f>SUM(AG$67,'Statistics NZ'!AH$67-'Statistics NZ'!AG$67,$L$12/5*(AH$8-AH$9)*1000)</f>
        <v>38239.049763712923</v>
      </c>
      <c r="AI67" s="18">
        <f>SUM(AH$67,'Statistics NZ'!AI$67-'Statistics NZ'!AH$67,$L$12/5*(AI$8-AI$9)*1000)</f>
        <v>39889.049763712923</v>
      </c>
      <c r="AJ67" s="18">
        <f>SUM(AI$67,'Statistics NZ'!AJ$67-'Statistics NZ'!AI$67,$L$12/5*(AJ$8-AJ$9)*1000)</f>
        <v>42159.049763712923</v>
      </c>
      <c r="AK67" s="18">
        <f>SUM(AJ$67,'Statistics NZ'!AK$67-'Statistics NZ'!AJ$67,$L$12/5*(AK$8-AK$9)*1000)</f>
        <v>43179.049763712923</v>
      </c>
    </row>
    <row r="68" spans="1:37" x14ac:dyDescent="0.25">
      <c r="A68" s="12">
        <v>53</v>
      </c>
      <c r="B68" s="27">
        <f>'Statistics NZ'!B$68*'Economic Forecasts'!D$9*1000000/SUM('Statistics NZ'!B$30:B$110,'Statistics NZ'!B$130:B$210)</f>
        <v>25056.672592466752</v>
      </c>
      <c r="C68" s="27">
        <f>'Statistics NZ'!C$68*'Economic Forecasts'!E$9*1000000/SUM('Statistics NZ'!C$30:C$110,'Statistics NZ'!C$130:C$210)</f>
        <v>26229.429027534388</v>
      </c>
      <c r="D68" s="27">
        <f>'Statistics NZ'!D$68*'Economic Forecasts'!F$9*1000000/SUM('Statistics NZ'!D$30:D$110,'Statistics NZ'!D$130:D$210)</f>
        <v>26865.149335362519</v>
      </c>
      <c r="E68" s="27">
        <f>'Statistics NZ'!E$68*'Economic Forecasts'!G$9*1000000/SUM('Statistics NZ'!E$30:E$110,'Statistics NZ'!E$130:E$210)</f>
        <v>27724.453760760149</v>
      </c>
      <c r="F68" s="27">
        <f>'Statistics NZ'!F$68*'Economic Forecasts'!H$9*1000000/SUM('Statistics NZ'!F$30:F$110,'Statistics NZ'!F$130:F$210)</f>
        <v>28416.18441195523</v>
      </c>
      <c r="G68" s="27">
        <f>'Statistics NZ'!G$68*'Economic Forecasts'!I$9*1000000/SUM('Statistics NZ'!G$30:G$110,'Statistics NZ'!G$130:G$210)</f>
        <v>28887.890915163276</v>
      </c>
      <c r="H68" s="27">
        <f>'Statistics NZ'!H$68*'Economic Forecasts'!J$9*1000000/SUM('Statistics NZ'!H$30:H$110,'Statistics NZ'!H$130:H$210)</f>
        <v>30290.897812284704</v>
      </c>
      <c r="I68" s="27">
        <f>'Statistics NZ'!I$68*'Economic Forecasts'!K$9*1000000/SUM('Statistics NZ'!I$30:I$110,'Statistics NZ'!I$130:I$210)</f>
        <v>30626.306777497586</v>
      </c>
      <c r="J68" s="27">
        <f>'Statistics NZ'!J$68*'Economic Forecasts'!L$9*1000000/SUM('Statistics NZ'!J$30:J$110,'Statistics NZ'!J$130:J$210)</f>
        <v>31927.662466641144</v>
      </c>
      <c r="K68" s="27">
        <f>'Statistics NZ'!K$68*'Economic Forecasts'!M$9*1000000/SUM('Statistics NZ'!K$30:K$110,'Statistics NZ'!K$130:K$210)</f>
        <v>32635.807235962115</v>
      </c>
      <c r="L68" s="27">
        <f>'Statistics NZ'!L$68*'Economic Forecasts'!N$9*1000000/SUM('Statistics NZ'!L$30:L$110,'Statistics NZ'!L$130:L$210)</f>
        <v>33065.544621864035</v>
      </c>
      <c r="M68" s="27">
        <f>'Statistics NZ'!M$68*'Economic Forecasts'!O$9*1000000/SUM('Statistics NZ'!M$30:M$110,'Statistics NZ'!M$130:M$210)</f>
        <v>32601.067910326485</v>
      </c>
      <c r="N68" s="27">
        <f>'Statistics NZ'!N$68*'Economic Forecasts'!P$9*1000000/SUM('Statistics NZ'!N$30:N$110,'Statistics NZ'!N$130:N$210)</f>
        <v>31859.745987749549</v>
      </c>
      <c r="O68" s="27">
        <f>'Statistics NZ'!O$68*'Economic Forecasts'!Q$9*1000000/SUM('Statistics NZ'!O$30:O$110,'Statistics NZ'!O$130:O$210)</f>
        <v>31329.271422200407</v>
      </c>
      <c r="P68" s="27">
        <f>'Statistics NZ'!P$68*'Economic Forecasts'!R$9*1000000/SUM('Statistics NZ'!P$30:P$110,'Statistics NZ'!P$130:P$210)</f>
        <v>31892.217001239882</v>
      </c>
      <c r="Q68" s="27">
        <f>'Statistics NZ'!Q$68*'Economic Forecasts'!S$9*1000000/SUM('Statistics NZ'!Q$30:Q$110,'Statistics NZ'!Q$130:Q$210)</f>
        <v>32572.960228556432</v>
      </c>
      <c r="R68" s="27">
        <f>'Statistics NZ'!R$68*'Economic Forecasts'!T$9*1000000/SUM('Statistics NZ'!R$30:R$110,'Statistics NZ'!R$130:R$210)</f>
        <v>33002.592713109028</v>
      </c>
      <c r="S68" s="27">
        <f>'Statistics NZ'!S$68*'Economic Forecasts'!U$9*1000000/SUM('Statistics NZ'!S$30:S$110,'Statistics NZ'!S$130:S$210)</f>
        <v>32484.580415778193</v>
      </c>
      <c r="T68" s="27">
        <f>'Statistics NZ'!T$68*'Economic Forecasts'!V$9*1000000/SUM('Statistics NZ'!T$30:T$110,'Statistics NZ'!T$130:T$210)</f>
        <v>34215.887323943658</v>
      </c>
      <c r="U68" s="28">
        <f>SUM('Statistics NZ'!U$68,$L$12/5*(U$8-U$9)*1000)*'Economic Forecasts'!W$9*1000000/SUM('Statistics NZ'!U$30:U$110,'Statistics NZ'!U$130:U$210,SUM($E$12:$T$13)*(U$8-U$9)*1000)</f>
        <v>33833.334021314731</v>
      </c>
      <c r="V68" s="28">
        <f>SUM('Statistics NZ'!V$68,$L$12/5*(V$8-V$9)*1000)*'Economic Forecasts'!X$9*1000000/SUM('Statistics NZ'!V$30:V$110,'Statistics NZ'!V$130:V$210,SUM($E$12:$T$13)*(V$8-V$9)*1000)</f>
        <v>32874.792338984058</v>
      </c>
      <c r="W68" s="28">
        <f>SUM('Statistics NZ'!W$68,$L$12/5*(W$8-W$9)*1000)*'Economic Forecasts'!Y$9*1000000/SUM('Statistics NZ'!W$30:W$110,'Statistics NZ'!W$130:W$210,SUM($E$12:$T$13)*(W$8-W$9)*1000)</f>
        <v>31937.904839326653</v>
      </c>
      <c r="X68" s="28">
        <f>SUM('Statistics NZ'!X$68,$L$12/5*(X$8-X$9)*1000)*'Economic Forecasts'!Z$9*1000000/SUM('Statistics NZ'!X$30:X$110,'Statistics NZ'!X$130:X$210,SUM($E$12:$T$13)*(X$8-X$9)*1000)</f>
        <v>30874.174497761735</v>
      </c>
      <c r="Y68" s="28">
        <f>SUM('Statistics NZ'!Y$68,$L$12/5*(Y$8-Y$9)*1000)*'Economic Forecasts'!AA$9*1000000/SUM('Statistics NZ'!Y$30:Y$110,'Statistics NZ'!Y$130:Y$210,SUM($E$12:$T$13)*(Y$8-Y$9)*1000)</f>
        <v>29787.241512243399</v>
      </c>
      <c r="Z68" s="28">
        <f>SUM('Statistics NZ'!Z$68,$L$12/5*(Z$8-Z$9)*1000)*'Economic Forecasts'!AB$9*1000000/SUM('Statistics NZ'!Z$30:Z$110,'Statistics NZ'!Z$130:Z$210,SUM($E$12:$T$13)*(Z$8-Z$9)*1000)</f>
        <v>30203.733991688692</v>
      </c>
      <c r="AA68" s="28">
        <f>SUM('Statistics NZ'!AA$68,$L$12/5*(AA$8-AA$9)*1000)*'Economic Forecasts'!AC$9*1000000/SUM('Statistics NZ'!AA$30:AA$110,'Statistics NZ'!AA$130:AA$210,SUM($E$12:$T$13)*(AA$8-AA$9)*1000)</f>
        <v>30236.244023259391</v>
      </c>
      <c r="AB68" s="18">
        <f>SUM(AA$68,'Statistics NZ'!AB$68-'Statistics NZ'!AA$68,$L$12/5*(AB$8-AB$9)*1000)</f>
        <v>31457.165868149576</v>
      </c>
      <c r="AC68" s="18">
        <f>SUM(AB$68,'Statistics NZ'!AC$68-'Statistics NZ'!AB$68,$L$12/5*(AC$8-AC$9)*1000)</f>
        <v>32157.780431409697</v>
      </c>
      <c r="AD68" s="18">
        <f>SUM(AC$68,'Statistics NZ'!AD$68-'Statistics NZ'!AC$68,$L$12/5*(AD$8-AD$9)*1000)</f>
        <v>32938.036499434755</v>
      </c>
      <c r="AE68" s="18">
        <f>SUM(AD$68,'Statistics NZ'!AE$68-'Statistics NZ'!AD$68,$L$12/5*(AE$8-AE$9)*1000)</f>
        <v>34258.036499434755</v>
      </c>
      <c r="AF68" s="18">
        <f>SUM(AE$68,'Statistics NZ'!AF$68-'Statistics NZ'!AE$68,$L$12/5*(AF$8-AF$9)*1000)</f>
        <v>35388.036499434755</v>
      </c>
      <c r="AG68" s="18">
        <f>SUM(AF$68,'Statistics NZ'!AG$68-'Statistics NZ'!AF$68,$L$12/5*(AG$8-AG$9)*1000)</f>
        <v>36138.036499434755</v>
      </c>
      <c r="AH68" s="18">
        <f>SUM(AG$68,'Statistics NZ'!AH$68-'Statistics NZ'!AG$68,$L$12/5*(AH$8-AH$9)*1000)</f>
        <v>37498.036499434755</v>
      </c>
      <c r="AI68" s="18">
        <f>SUM(AH$68,'Statistics NZ'!AI$68-'Statistics NZ'!AH$68,$L$12/5*(AI$8-AI$9)*1000)</f>
        <v>38198.036499434755</v>
      </c>
      <c r="AJ68" s="18">
        <f>SUM(AI$68,'Statistics NZ'!AJ$68-'Statistics NZ'!AI$68,$L$12/5*(AJ$8-AJ$9)*1000)</f>
        <v>39848.036499434755</v>
      </c>
      <c r="AK68" s="18">
        <f>SUM(AJ$68,'Statistics NZ'!AK$68-'Statistics NZ'!AJ$68,$L$12/5*(AK$8-AK$9)*1000)</f>
        <v>42118.036499434755</v>
      </c>
    </row>
    <row r="69" spans="1:37" x14ac:dyDescent="0.25">
      <c r="A69" s="12">
        <v>54</v>
      </c>
      <c r="B69" s="27">
        <f>'Statistics NZ'!B$69*'Economic Forecasts'!D$9*1000000/SUM('Statistics NZ'!B$30:B$110,'Statistics NZ'!B$130:B$210)</f>
        <v>24665.3149572857</v>
      </c>
      <c r="C69" s="27">
        <f>'Statistics NZ'!C$69*'Economic Forecasts'!E$9*1000000/SUM('Statistics NZ'!C$30:C$110,'Statistics NZ'!C$130:C$210)</f>
        <v>25080.47987133015</v>
      </c>
      <c r="D69" s="27">
        <f>'Statistics NZ'!D$69*'Economic Forecasts'!F$9*1000000/SUM('Statistics NZ'!D$30:D$110,'Statistics NZ'!D$130:D$210)</f>
        <v>26138.267781133327</v>
      </c>
      <c r="E69" s="27">
        <f>'Statistics NZ'!E$69*'Economic Forecasts'!G$9*1000000/SUM('Statistics NZ'!E$30:E$110,'Statistics NZ'!E$130:E$210)</f>
        <v>26704.523378333881</v>
      </c>
      <c r="F69" s="27">
        <f>'Statistics NZ'!F$69*'Economic Forecasts'!H$9*1000000/SUM('Statistics NZ'!F$30:F$110,'Statistics NZ'!F$130:F$210)</f>
        <v>27680.522060938096</v>
      </c>
      <c r="G69" s="27">
        <f>'Statistics NZ'!G$69*'Economic Forecasts'!I$9*1000000/SUM('Statistics NZ'!G$30:G$110,'Statistics NZ'!G$130:G$210)</f>
        <v>28386.944829929231</v>
      </c>
      <c r="H69" s="27">
        <f>'Statistics NZ'!H$69*'Economic Forecasts'!J$9*1000000/SUM('Statistics NZ'!H$30:H$110,'Statistics NZ'!H$130:H$210)</f>
        <v>28807.302103671347</v>
      </c>
      <c r="I69" s="27">
        <f>'Statistics NZ'!I$69*'Economic Forecasts'!K$9*1000000/SUM('Statistics NZ'!I$30:I$110,'Statistics NZ'!I$130:I$210)</f>
        <v>30096.914790946736</v>
      </c>
      <c r="J69" s="27">
        <f>'Statistics NZ'!J$69*'Economic Forecasts'!L$9*1000000/SUM('Statistics NZ'!J$30:J$110,'Statistics NZ'!J$130:J$210)</f>
        <v>30425.872601075254</v>
      </c>
      <c r="K69" s="27">
        <f>'Statistics NZ'!K$69*'Economic Forecasts'!M$9*1000000/SUM('Statistics NZ'!K$30:K$110,'Statistics NZ'!K$130:K$210)</f>
        <v>31895.854565934336</v>
      </c>
      <c r="L69" s="27">
        <f>'Statistics NZ'!L$69*'Economic Forecasts'!N$9*1000000/SUM('Statistics NZ'!L$30:L$110,'Statistics NZ'!L$130:L$210)</f>
        <v>32666.343405875694</v>
      </c>
      <c r="M69" s="27">
        <f>'Statistics NZ'!M$69*'Economic Forecasts'!O$9*1000000/SUM('Statistics NZ'!M$30:M$110,'Statistics NZ'!M$130:M$210)</f>
        <v>33275.168505415648</v>
      </c>
      <c r="N69" s="27">
        <f>'Statistics NZ'!N$69*'Economic Forecasts'!P$9*1000000/SUM('Statistics NZ'!N$30:N$110,'Statistics NZ'!N$130:N$210)</f>
        <v>32711.035269363249</v>
      </c>
      <c r="O69" s="27">
        <f>'Statistics NZ'!O$69*'Economic Forecasts'!Q$9*1000000/SUM('Statistics NZ'!O$30:O$110,'Statistics NZ'!O$130:O$210)</f>
        <v>31761.39930388593</v>
      </c>
      <c r="P69" s="27">
        <f>'Statistics NZ'!P$69*'Economic Forecasts'!R$9*1000000/SUM('Statistics NZ'!P$30:P$110,'Statistics NZ'!P$130:P$210)</f>
        <v>31294.91112556422</v>
      </c>
      <c r="Q69" s="27">
        <f>'Statistics NZ'!Q$69*'Economic Forecasts'!S$9*1000000/SUM('Statistics NZ'!Q$30:Q$110,'Statistics NZ'!Q$130:Q$210)</f>
        <v>31999.944852985835</v>
      </c>
      <c r="R69" s="27">
        <f>'Statistics NZ'!R$69*'Economic Forecasts'!T$9*1000000/SUM('Statistics NZ'!R$30:R$110,'Statistics NZ'!R$130:R$210)</f>
        <v>32271.178558940093</v>
      </c>
      <c r="S69" s="27">
        <f>'Statistics NZ'!S$69*'Economic Forecasts'!U$9*1000000/SUM('Statistics NZ'!S$30:S$110,'Statistics NZ'!S$130:S$210)</f>
        <v>32406.703087841066</v>
      </c>
      <c r="T69" s="27">
        <f>'Statistics NZ'!T$69*'Economic Forecasts'!V$9*1000000/SUM('Statistics NZ'!T$30:T$110,'Statistics NZ'!T$130:T$210)</f>
        <v>32683.392801251957</v>
      </c>
      <c r="U69" s="28">
        <f>SUM('Statistics NZ'!U$69,$L$12/5*(U$8-U$9)*1000)*'Economic Forecasts'!W$9*1000000/SUM('Statistics NZ'!U$30:U$110,'Statistics NZ'!U$130:U$210,SUM($E$12:$T$13)*(U$8-U$9)*1000)</f>
        <v>34167.904230100197</v>
      </c>
      <c r="V69" s="28">
        <f>SUM('Statistics NZ'!V$69,$L$12/5*(V$8-V$9)*1000)*'Economic Forecasts'!X$9*1000000/SUM('Statistics NZ'!V$30:V$110,'Statistics NZ'!V$130:V$210,SUM($E$12:$T$13)*(V$8-V$9)*1000)</f>
        <v>33639.923513805144</v>
      </c>
      <c r="W69" s="28">
        <f>SUM('Statistics NZ'!W$69,$L$12/5*(W$8-W$9)*1000)*'Economic Forecasts'!Y$9*1000000/SUM('Statistics NZ'!W$30:W$110,'Statistics NZ'!W$130:W$210,SUM($E$12:$T$13)*(W$8-W$9)*1000)</f>
        <v>32710.682244636566</v>
      </c>
      <c r="X69" s="28">
        <f>SUM('Statistics NZ'!X$69,$L$12/5*(X$8-X$9)*1000)*'Economic Forecasts'!Z$9*1000000/SUM('Statistics NZ'!X$30:X$110,'Statistics NZ'!X$130:X$210,SUM($E$12:$T$13)*(X$8-X$9)*1000)</f>
        <v>31831.624374719057</v>
      </c>
      <c r="Y69" s="28">
        <f>SUM('Statistics NZ'!Y$69,$L$12/5*(Y$8-Y$9)*1000)*'Economic Forecasts'!AA$9*1000000/SUM('Statistics NZ'!Y$30:Y$110,'Statistics NZ'!Y$130:Y$210,SUM($E$12:$T$13)*(Y$8-Y$9)*1000)</f>
        <v>30812.983395937939</v>
      </c>
      <c r="Z69" s="28">
        <f>SUM('Statistics NZ'!Z$69,$L$12/5*(Z$8-Z$9)*1000)*'Economic Forecasts'!AB$9*1000000/SUM('Statistics NZ'!Z$30:Z$110,'Statistics NZ'!Z$130:Z$210,SUM($E$12:$T$13)*(Z$8-Z$9)*1000)</f>
        <v>29734.723323178467</v>
      </c>
      <c r="AA69" s="28">
        <f>SUM('Statistics NZ'!AA$69,$L$12/5*(AA$8-AA$9)*1000)*'Economic Forecasts'!AC$9*1000000/SUM('Statistics NZ'!AA$30:AA$110,'Statistics NZ'!AA$130:AA$210,SUM($E$12:$T$13)*(AA$8-AA$9)*1000)</f>
        <v>30158.041650280891</v>
      </c>
      <c r="AB69" s="18">
        <f>SUM(AA$69,'Statistics NZ'!AB$69-'Statistics NZ'!AA$69,$L$12/5*(AB$8-AB$9)*1000)</f>
        <v>30178.963495171076</v>
      </c>
      <c r="AC69" s="18">
        <f>SUM(AB$69,'Statistics NZ'!AC$69-'Statistics NZ'!AB$69,$L$12/5*(AC$8-AC$9)*1000)</f>
        <v>31409.578058431198</v>
      </c>
      <c r="AD69" s="18">
        <f>SUM(AC$69,'Statistics NZ'!AD$69-'Statistics NZ'!AC$69,$L$12/5*(AD$8-AD$9)*1000)</f>
        <v>32109.834126456248</v>
      </c>
      <c r="AE69" s="18">
        <f>SUM(AD$69,'Statistics NZ'!AE$69-'Statistics NZ'!AD$69,$L$12/5*(AE$8-AE$9)*1000)</f>
        <v>32889.834126456248</v>
      </c>
      <c r="AF69" s="18">
        <f>SUM(AE$69,'Statistics NZ'!AF$69-'Statistics NZ'!AE$69,$L$12/5*(AF$8-AF$9)*1000)</f>
        <v>34199.834126456248</v>
      </c>
      <c r="AG69" s="18">
        <f>SUM(AF$69,'Statistics NZ'!AG$69-'Statistics NZ'!AF$69,$L$12/5*(AG$8-AG$9)*1000)</f>
        <v>35329.834126456248</v>
      </c>
      <c r="AH69" s="18">
        <f>SUM(AG$69,'Statistics NZ'!AH$69-'Statistics NZ'!AG$69,$L$12/5*(AH$8-AH$9)*1000)</f>
        <v>36079.834126456248</v>
      </c>
      <c r="AI69" s="18">
        <f>SUM(AH$69,'Statistics NZ'!AI$69-'Statistics NZ'!AH$69,$L$12/5*(AI$8-AI$9)*1000)</f>
        <v>37449.834126456248</v>
      </c>
      <c r="AJ69" s="18">
        <f>SUM(AI$69,'Statistics NZ'!AJ$69-'Statistics NZ'!AI$69,$L$12/5*(AJ$8-AJ$9)*1000)</f>
        <v>38139.834126456248</v>
      </c>
      <c r="AK69" s="18">
        <f>SUM(AJ$69,'Statistics NZ'!AK$69-'Statistics NZ'!AJ$69,$L$12/5*(AK$8-AK$9)*1000)</f>
        <v>39799.834126456248</v>
      </c>
    </row>
    <row r="70" spans="1:37" x14ac:dyDescent="0.25">
      <c r="A70" s="12">
        <v>55</v>
      </c>
      <c r="B70" s="27">
        <f>'Statistics NZ'!B$70*'Economic Forecasts'!D$9*1000000/SUM('Statistics NZ'!B$30:B$110,'Statistics NZ'!B$130:B$210)</f>
        <v>24234.821558586544</v>
      </c>
      <c r="C70" s="27">
        <f>'Statistics NZ'!C$70*'Economic Forecasts'!E$9*1000000/SUM('Statistics NZ'!C$30:C$110,'Statistics NZ'!C$130:C$210)</f>
        <v>24658.216506229441</v>
      </c>
      <c r="D70" s="27">
        <f>'Statistics NZ'!D$70*'Economic Forecasts'!F$9*1000000/SUM('Statistics NZ'!D$30:D$110,'Statistics NZ'!D$130:D$210)</f>
        <v>25047.945449789546</v>
      </c>
      <c r="E70" s="27">
        <f>'Statistics NZ'!E$70*'Economic Forecasts'!G$9*1000000/SUM('Statistics NZ'!E$30:E$110,'Statistics NZ'!E$130:E$210)</f>
        <v>26067.06688931747</v>
      </c>
      <c r="F70" s="27">
        <f>'Statistics NZ'!F$70*'Economic Forecasts'!H$9*1000000/SUM('Statistics NZ'!F$30:F$110,'Statistics NZ'!F$130:F$210)</f>
        <v>26689.830094901685</v>
      </c>
      <c r="G70" s="27">
        <f>'Statistics NZ'!G$70*'Economic Forecasts'!I$9*1000000/SUM('Statistics NZ'!G$30:G$110,'Statistics NZ'!G$130:G$210)</f>
        <v>27610.969521429433</v>
      </c>
      <c r="H70" s="27">
        <f>'Statistics NZ'!H$70*'Economic Forecasts'!J$9*1000000/SUM('Statistics NZ'!H$30:H$110,'Statistics NZ'!H$130:H$210)</f>
        <v>28335.695520800877</v>
      </c>
      <c r="I70" s="27">
        <f>'Statistics NZ'!I$70*'Economic Forecasts'!K$9*1000000/SUM('Statistics NZ'!I$30:I$110,'Statistics NZ'!I$130:I$210)</f>
        <v>28655.792160891629</v>
      </c>
      <c r="J70" s="27">
        <f>'Statistics NZ'!J$70*'Economic Forecasts'!L$9*1000000/SUM('Statistics NZ'!J$30:J$110,'Statistics NZ'!J$130:J$210)</f>
        <v>29909.022842146729</v>
      </c>
      <c r="K70" s="27">
        <f>'Statistics NZ'!K$70*'Economic Forecasts'!M$9*1000000/SUM('Statistics NZ'!K$30:K$110,'Statistics NZ'!K$130:K$210)</f>
        <v>30396.476787193831</v>
      </c>
      <c r="L70" s="27">
        <f>'Statistics NZ'!L$70*'Economic Forecasts'!N$9*1000000/SUM('Statistics NZ'!L$30:L$110,'Statistics NZ'!L$130:L$210)</f>
        <v>31936.097279067737</v>
      </c>
      <c r="M70" s="27">
        <f>'Statistics NZ'!M$70*'Economic Forecasts'!O$9*1000000/SUM('Statistics NZ'!M$30:M$110,'Statistics NZ'!M$130:M$210)</f>
        <v>32796.459387163923</v>
      </c>
      <c r="N70" s="27">
        <f>'Statistics NZ'!N$70*'Economic Forecasts'!P$9*1000000/SUM('Statistics NZ'!N$30:N$110,'Statistics NZ'!N$130:N$210)</f>
        <v>33386.195734091358</v>
      </c>
      <c r="O70" s="27">
        <f>'Statistics NZ'!O$70*'Economic Forecasts'!Q$9*1000000/SUM('Statistics NZ'!O$30:O$110,'Statistics NZ'!O$130:O$210)</f>
        <v>32674.760508357605</v>
      </c>
      <c r="P70" s="27">
        <f>'Statistics NZ'!P$70*'Economic Forecasts'!R$9*1000000/SUM('Statistics NZ'!P$30:P$110,'Statistics NZ'!P$130:P$210)</f>
        <v>31784.506105626238</v>
      </c>
      <c r="Q70" s="27">
        <f>'Statistics NZ'!Q$70*'Economic Forecasts'!S$9*1000000/SUM('Statistics NZ'!Q$30:Q$110,'Statistics NZ'!Q$130:Q$210)</f>
        <v>31258.976694920402</v>
      </c>
      <c r="R70" s="27">
        <f>'Statistics NZ'!R$70*'Economic Forecasts'!T$9*1000000/SUM('Statistics NZ'!R$30:R$110,'Statistics NZ'!R$130:R$210)</f>
        <v>31776.979806123247</v>
      </c>
      <c r="S70" s="27">
        <f>'Statistics NZ'!S$70*'Economic Forecasts'!U$9*1000000/SUM('Statistics NZ'!S$30:S$110,'Statistics NZ'!S$130:S$210)</f>
        <v>31618.195142477554</v>
      </c>
      <c r="T70" s="27">
        <f>'Statistics NZ'!T$70*'Economic Forecasts'!V$9*1000000/SUM('Statistics NZ'!T$30:T$110,'Statistics NZ'!T$130:T$210)</f>
        <v>32585.155972874283</v>
      </c>
      <c r="U70" s="28">
        <f>SUM('Statistics NZ'!U$70,$M$12/5*(U$8-U$9)*1000)*'Economic Forecasts'!W$9*1000000/SUM('Statistics NZ'!U$30:U$110,'Statistics NZ'!U$130:U$210,SUM($E$12:$T$13)*(U$8-U$9)*1000)</f>
        <v>32619.493951540757</v>
      </c>
      <c r="V70" s="28">
        <f>SUM('Statistics NZ'!V$70,$M$12/5*(V$8-V$9)*1000)*'Economic Forecasts'!X$9*1000000/SUM('Statistics NZ'!V$30:V$110,'Statistics NZ'!V$130:V$210,SUM($E$12:$T$13)*(V$8-V$9)*1000)</f>
        <v>33963.905142487376</v>
      </c>
      <c r="W70" s="28">
        <f>SUM('Statistics NZ'!W$70,$M$12/5*(W$8-W$9)*1000)*'Economic Forecasts'!Y$9*1000000/SUM('Statistics NZ'!W$30:W$110,'Statistics NZ'!W$130:W$210,SUM($E$12:$T$13)*(W$8-W$9)*1000)</f>
        <v>33482.526143841424</v>
      </c>
      <c r="X70" s="28">
        <f>SUM('Statistics NZ'!X$70,$M$12/5*(X$8-X$9)*1000)*'Economic Forecasts'!Z$9*1000000/SUM('Statistics NZ'!X$30:X$110,'Statistics NZ'!X$130:X$210,SUM($E$12:$T$13)*(X$8-X$9)*1000)</f>
        <v>32617.256302112877</v>
      </c>
      <c r="Y70" s="28">
        <f>SUM('Statistics NZ'!Y$70,$M$12/5*(Y$8-Y$9)*1000)*'Economic Forecasts'!AA$9*1000000/SUM('Statistics NZ'!Y$30:Y$110,'Statistics NZ'!Y$130:Y$210,SUM($E$12:$T$13)*(Y$8-Y$9)*1000)</f>
        <v>31785.238906336082</v>
      </c>
      <c r="Z70" s="28">
        <f>SUM('Statistics NZ'!Z$70,$M$12/5*(Z$8-Z$9)*1000)*'Economic Forecasts'!AB$9*1000000/SUM('Statistics NZ'!Z$30:Z$110,'Statistics NZ'!Z$130:Z$210,SUM($E$12:$T$13)*(Z$8-Z$9)*1000)</f>
        <v>30774.806707277665</v>
      </c>
      <c r="AA70" s="28">
        <f>SUM('Statistics NZ'!AA$70,$M$12/5*(AA$8-AA$9)*1000)*'Economic Forecasts'!AC$9*1000000/SUM('Statistics NZ'!AA$30:AA$110,'Statistics NZ'!AA$130:AA$210,SUM($E$12:$T$13)*(AA$8-AA$9)*1000)</f>
        <v>29712.26495195819</v>
      </c>
      <c r="AB70" s="18">
        <f>SUM(AA$70,'Statistics NZ'!AB$70-'Statistics NZ'!AA$70,$M$12/5*(AB$8-AB$9)*1000)</f>
        <v>30136.04972924494</v>
      </c>
      <c r="AC70" s="18">
        <f>SUM(AB$70,'Statistics NZ'!AC$70-'Statistics NZ'!AB$70,$M$12/5*(AC$8-AC$9)*1000)</f>
        <v>30168.572914102773</v>
      </c>
      <c r="AD70" s="18">
        <f>SUM(AC$70,'Statistics NZ'!AD$70-'Statistics NZ'!AC$70,$M$12/5*(AD$8-AD$9)*1000)</f>
        <v>31389.624241126872</v>
      </c>
      <c r="AE70" s="18">
        <f>SUM(AD$70,'Statistics NZ'!AE$70-'Statistics NZ'!AD$70,$M$12/5*(AE$8-AE$9)*1000)</f>
        <v>32089.624241126872</v>
      </c>
      <c r="AF70" s="18">
        <f>SUM(AE$70,'Statistics NZ'!AF$70-'Statistics NZ'!AE$70,$M$12/5*(AF$8-AF$9)*1000)</f>
        <v>32869.624241126876</v>
      </c>
      <c r="AG70" s="18">
        <f>SUM(AF$70,'Statistics NZ'!AG$70-'Statistics NZ'!AF$70,$M$12/5*(AG$8-AG$9)*1000)</f>
        <v>34189.624241126876</v>
      </c>
      <c r="AH70" s="18">
        <f>SUM(AG$70,'Statistics NZ'!AH$70-'Statistics NZ'!AG$70,$M$12/5*(AH$8-AH$9)*1000)</f>
        <v>35319.624241126876</v>
      </c>
      <c r="AI70" s="18">
        <f>SUM(AH$70,'Statistics NZ'!AI$70-'Statistics NZ'!AH$70,$M$12/5*(AI$8-AI$9)*1000)</f>
        <v>36059.624241126876</v>
      </c>
      <c r="AJ70" s="18">
        <f>SUM(AI$70,'Statistics NZ'!AJ$70-'Statistics NZ'!AI$70,$M$12/5*(AJ$8-AJ$9)*1000)</f>
        <v>37429.624241126876</v>
      </c>
      <c r="AK70" s="18">
        <f>SUM(AJ$70,'Statistics NZ'!AK$70-'Statistics NZ'!AJ$70,$M$12/5*(AK$8-AK$9)*1000)</f>
        <v>38119.624241126876</v>
      </c>
    </row>
    <row r="71" spans="1:37" x14ac:dyDescent="0.25">
      <c r="A71" s="12">
        <v>56</v>
      </c>
      <c r="B71" s="27">
        <f>'Statistics NZ'!B$71*'Economic Forecasts'!D$9*1000000/SUM('Statistics NZ'!B$30:B$110,'Statistics NZ'!B$130:B$210)</f>
        <v>24391.364612658967</v>
      </c>
      <c r="C71" s="27">
        <f>'Statistics NZ'!C$71*'Economic Forecasts'!E$9*1000000/SUM('Statistics NZ'!C$30:C$110,'Statistics NZ'!C$130:C$210)</f>
        <v>24285.053532419515</v>
      </c>
      <c r="D71" s="27">
        <f>'Statistics NZ'!D$71*'Economic Forecasts'!F$9*1000000/SUM('Statistics NZ'!D$30:D$110,'Statistics NZ'!D$130:D$210)</f>
        <v>24596.100159322759</v>
      </c>
      <c r="E71" s="27">
        <f>'Statistics NZ'!E$71*'Economic Forecasts'!G$9*1000000/SUM('Statistics NZ'!E$30:E$110,'Statistics NZ'!E$130:E$210)</f>
        <v>25007.908415259422</v>
      </c>
      <c r="F71" s="27">
        <f>'Statistics NZ'!F$71*'Economic Forecasts'!H$9*1000000/SUM('Statistics NZ'!F$30:F$110,'Statistics NZ'!F$130:F$210)</f>
        <v>26062.064888700395</v>
      </c>
      <c r="G71" s="27">
        <f>'Statistics NZ'!G$71*'Economic Forecasts'!I$9*1000000/SUM('Statistics NZ'!G$30:G$110,'Statistics NZ'!G$130:G$210)</f>
        <v>26677.834656777781</v>
      </c>
      <c r="H71" s="27">
        <f>'Statistics NZ'!H$71*'Economic Forecasts'!J$9*1000000/SUM('Statistics NZ'!H$30:H$110,'Statistics NZ'!H$130:H$210)</f>
        <v>27549.684549350088</v>
      </c>
      <c r="I71" s="27">
        <f>'Statistics NZ'!I$71*'Economic Forecasts'!K$9*1000000/SUM('Statistics NZ'!I$30:I$110,'Statistics NZ'!I$130:I$210)</f>
        <v>28224.435727405751</v>
      </c>
      <c r="J71" s="27">
        <f>'Statistics NZ'!J$71*'Economic Forecasts'!L$9*1000000/SUM('Statistics NZ'!J$30:J$110,'Statistics NZ'!J$130:J$210)</f>
        <v>28553.511210239856</v>
      </c>
      <c r="K71" s="27">
        <f>'Statistics NZ'!K$71*'Economic Forecasts'!M$9*1000000/SUM('Statistics NZ'!K$30:K$110,'Statistics NZ'!K$130:K$210)</f>
        <v>29899.929600727821</v>
      </c>
      <c r="L71" s="27">
        <f>'Statistics NZ'!L$71*'Economic Forecasts'!N$9*1000000/SUM('Statistics NZ'!L$30:L$110,'Statistics NZ'!L$130:L$210)</f>
        <v>30475.605025451834</v>
      </c>
      <c r="M71" s="27">
        <f>'Statistics NZ'!M$71*'Economic Forecasts'!O$9*1000000/SUM('Statistics NZ'!M$30:M$110,'Statistics NZ'!M$130:M$210)</f>
        <v>32102.81964439102</v>
      </c>
      <c r="N71" s="27">
        <f>'Statistics NZ'!N$71*'Economic Forecasts'!P$9*1000000/SUM('Statistics NZ'!N$30:N$110,'Statistics NZ'!N$130:N$210)</f>
        <v>32867.594217705999</v>
      </c>
      <c r="O71" s="27">
        <f>'Statistics NZ'!O$71*'Economic Forecasts'!Q$9*1000000/SUM('Statistics NZ'!O$30:O$110,'Statistics NZ'!O$130:O$210)</f>
        <v>33322.952330885884</v>
      </c>
      <c r="P71" s="27">
        <f>'Statistics NZ'!P$71*'Economic Forecasts'!R$9*1000000/SUM('Statistics NZ'!P$30:P$110,'Statistics NZ'!P$130:P$210)</f>
        <v>32646.193270535394</v>
      </c>
      <c r="Q71" s="27">
        <f>'Statistics NZ'!Q$71*'Economic Forecasts'!S$9*1000000/SUM('Statistics NZ'!Q$30:Q$110,'Statistics NZ'!Q$130:Q$210)</f>
        <v>31733.196316082278</v>
      </c>
      <c r="R71" s="27">
        <f>'Statistics NZ'!R$71*'Economic Forecasts'!T$9*1000000/SUM('Statistics NZ'!R$30:R$110,'Statistics NZ'!R$130:R$210)</f>
        <v>30926.957951278269</v>
      </c>
      <c r="S71" s="27">
        <f>'Statistics NZ'!S$71*'Economic Forecasts'!U$9*1000000/SUM('Statistics NZ'!S$30:S$110,'Statistics NZ'!S$130:S$210)</f>
        <v>31121.727176878303</v>
      </c>
      <c r="T71" s="27">
        <f>'Statistics NZ'!T$71*'Economic Forecasts'!V$9*1000000/SUM('Statistics NZ'!T$30:T$110,'Statistics NZ'!T$130:T$210)</f>
        <v>31769.79029733959</v>
      </c>
      <c r="U71" s="28">
        <f>SUM('Statistics NZ'!U$71,$M$12/5*(U$8-U$9)*1000)*'Economic Forecasts'!W$9*1000000/SUM('Statistics NZ'!U$30:U$110,'Statistics NZ'!U$130:U$210,SUM($E$12:$T$13)*(U$8-U$9)*1000)</f>
        <v>32540.771549473578</v>
      </c>
      <c r="V71" s="28">
        <f>SUM('Statistics NZ'!V$71,$M$12/5*(V$8-V$9)*1000)*'Economic Forecasts'!X$9*1000000/SUM('Statistics NZ'!V$30:V$110,'Statistics NZ'!V$130:V$210,SUM($E$12:$T$13)*(V$8-V$9)*1000)</f>
        <v>32463.070914953711</v>
      </c>
      <c r="W71" s="28">
        <f>SUM('Statistics NZ'!W$71,$M$12/5*(W$8-W$9)*1000)*'Economic Forecasts'!Y$9*1000000/SUM('Statistics NZ'!W$30:W$110,'Statistics NZ'!W$130:W$210,SUM($E$12:$T$13)*(W$8-W$9)*1000)</f>
        <v>33834.677872843415</v>
      </c>
      <c r="X71" s="28">
        <f>SUM('Statistics NZ'!X$71,$M$12/5*(X$8-X$9)*1000)*'Economic Forecasts'!Z$9*1000000/SUM('Statistics NZ'!X$30:X$110,'Statistics NZ'!X$130:X$210,SUM($E$12:$T$13)*(X$8-X$9)*1000)</f>
        <v>33398.848038404569</v>
      </c>
      <c r="Y71" s="28">
        <f>SUM('Statistics NZ'!Y$71,$M$12/5*(Y$8-Y$9)*1000)*'Economic Forecasts'!AA$9*1000000/SUM('Statistics NZ'!Y$30:Y$110,'Statistics NZ'!Y$130:Y$210,SUM($E$12:$T$13)*(Y$8-Y$9)*1000)</f>
        <v>32576.525502329001</v>
      </c>
      <c r="Z71" s="28">
        <f>SUM('Statistics NZ'!Z$71,$M$12/5*(Z$8-Z$9)*1000)*'Economic Forecasts'!AB$9*1000000/SUM('Statistics NZ'!Z$30:Z$110,'Statistics NZ'!Z$130:Z$210,SUM($E$12:$T$13)*(Z$8-Z$9)*1000)</f>
        <v>31751.912266673975</v>
      </c>
      <c r="AA71" s="28">
        <f>SUM('Statistics NZ'!AA$71,$M$12/5*(AA$8-AA$9)*1000)*'Economic Forecasts'!AC$9*1000000/SUM('Statistics NZ'!AA$30:AA$110,'Statistics NZ'!AA$130:AA$210,SUM($E$12:$T$13)*(AA$8-AA$9)*1000)</f>
        <v>30758.221690545506</v>
      </c>
      <c r="AB71" s="18">
        <f>SUM(AA$71,'Statistics NZ'!AB$71-'Statistics NZ'!AA$71,$M$12/5*(AB$8-AB$9)*1000)</f>
        <v>29662.006467832256</v>
      </c>
      <c r="AC71" s="18">
        <f>SUM(AB$71,'Statistics NZ'!AC$71-'Statistics NZ'!AB$71,$M$12/5*(AC$8-AC$9)*1000)</f>
        <v>30094.529652690089</v>
      </c>
      <c r="AD71" s="18">
        <f>SUM(AC$71,'Statistics NZ'!AD$71-'Statistics NZ'!AC$71,$M$12/5*(AD$8-AD$9)*1000)</f>
        <v>30115.580979714188</v>
      </c>
      <c r="AE71" s="18">
        <f>SUM(AD$71,'Statistics NZ'!AE$71-'Statistics NZ'!AD$71,$M$12/5*(AE$8-AE$9)*1000)</f>
        <v>31335.580979714188</v>
      </c>
      <c r="AF71" s="18">
        <f>SUM(AE$71,'Statistics NZ'!AF$71-'Statistics NZ'!AE$71,$M$12/5*(AF$8-AF$9)*1000)</f>
        <v>32045.580979714188</v>
      </c>
      <c r="AG71" s="18">
        <f>SUM(AF$71,'Statistics NZ'!AG$71-'Statistics NZ'!AF$71,$M$12/5*(AG$8-AG$9)*1000)</f>
        <v>32825.580979714185</v>
      </c>
      <c r="AH71" s="18">
        <f>SUM(AG$71,'Statistics NZ'!AH$71-'Statistics NZ'!AG$71,$M$12/5*(AH$8-AH$9)*1000)</f>
        <v>34135.580979714185</v>
      </c>
      <c r="AI71" s="18">
        <f>SUM(AH$71,'Statistics NZ'!AI$71-'Statistics NZ'!AH$71,$M$12/5*(AI$8-AI$9)*1000)</f>
        <v>35265.580979714185</v>
      </c>
      <c r="AJ71" s="18">
        <f>SUM(AI$71,'Statistics NZ'!AJ$71-'Statistics NZ'!AI$71,$M$12/5*(AJ$8-AJ$9)*1000)</f>
        <v>36015.580979714185</v>
      </c>
      <c r="AK71" s="18">
        <f>SUM(AJ$71,'Statistics NZ'!AK$71-'Statistics NZ'!AJ$71,$M$12/5*(AK$8-AK$9)*1000)</f>
        <v>37375.580979714185</v>
      </c>
    </row>
    <row r="72" spans="1:37" x14ac:dyDescent="0.25">
      <c r="A72" s="12">
        <v>57</v>
      </c>
      <c r="B72" s="27">
        <f>'Statistics NZ'!B$72*'Economic Forecasts'!D$9*1000000/SUM('Statistics NZ'!B$30:B$110,'Statistics NZ'!B$130:B$210)</f>
        <v>23569.513578778759</v>
      </c>
      <c r="C72" s="27">
        <f>'Statistics NZ'!C$72*'Economic Forecasts'!E$9*1000000/SUM('Statistics NZ'!C$30:C$110,'Statistics NZ'!C$130:C$210)</f>
        <v>24402.894471517393</v>
      </c>
      <c r="D72" s="27">
        <f>'Statistics NZ'!D$72*'Economic Forecasts'!F$9*1000000/SUM('Statistics NZ'!D$30:D$110,'Statistics NZ'!D$130:D$210)</f>
        <v>24242.482105913961</v>
      </c>
      <c r="E72" s="27">
        <f>'Statistics NZ'!E$72*'Economic Forecasts'!G$9*1000000/SUM('Statistics NZ'!E$30:E$110,'Statistics NZ'!E$130:E$210)</f>
        <v>24517.55726986218</v>
      </c>
      <c r="F72" s="27">
        <f>'Statistics NZ'!F$72*'Economic Forecasts'!H$9*1000000/SUM('Statistics NZ'!F$30:F$110,'Statistics NZ'!F$130:F$210)</f>
        <v>25022.328765929509</v>
      </c>
      <c r="G72" s="27">
        <f>'Statistics NZ'!G$72*'Economic Forecasts'!I$9*1000000/SUM('Statistics NZ'!G$30:G$110,'Statistics NZ'!G$130:G$210)</f>
        <v>26068.841376689335</v>
      </c>
      <c r="H72" s="27">
        <f>'Statistics NZ'!H$72*'Economic Forecasts'!J$9*1000000/SUM('Statistics NZ'!H$30:H$110,'Statistics NZ'!H$130:H$210)</f>
        <v>26665.422206467952</v>
      </c>
      <c r="I72" s="27">
        <f>'Statistics NZ'!I$72*'Economic Forecasts'!K$9*1000000/SUM('Statistics NZ'!I$30:I$110,'Statistics NZ'!I$130:I$210)</f>
        <v>27420.544192272973</v>
      </c>
      <c r="J72" s="27">
        <f>'Statistics NZ'!J$72*'Economic Forecasts'!L$9*1000000/SUM('Statistics NZ'!J$30:J$110,'Statistics NZ'!J$130:J$210)</f>
        <v>27987.90204009166</v>
      </c>
      <c r="K72" s="27">
        <f>'Statistics NZ'!K$72*'Economic Forecasts'!M$9*1000000/SUM('Statistics NZ'!K$30:K$110,'Statistics NZ'!K$130:K$210)</f>
        <v>28585.539989494268</v>
      </c>
      <c r="L72" s="27">
        <f>'Statistics NZ'!L$72*'Economic Forecasts'!N$9*1000000/SUM('Statistics NZ'!L$30:L$110,'Statistics NZ'!L$130:L$210)</f>
        <v>29959.564429174217</v>
      </c>
      <c r="M72" s="27">
        <f>'Statistics NZ'!M$72*'Economic Forecasts'!O$9*1000000/SUM('Statistics NZ'!M$30:M$110,'Statistics NZ'!M$130:M$210)</f>
        <v>30588.535698900872</v>
      </c>
      <c r="N72" s="27">
        <f>'Statistics NZ'!N$72*'Economic Forecasts'!P$9*1000000/SUM('Statistics NZ'!N$30:N$110,'Statistics NZ'!N$130:N$210)</f>
        <v>32123.939213077938</v>
      </c>
      <c r="O72" s="27">
        <f>'Statistics NZ'!O$72*'Economic Forecasts'!Q$9*1000000/SUM('Statistics NZ'!O$30:O$110,'Statistics NZ'!O$130:O$210)</f>
        <v>32881.003360980241</v>
      </c>
      <c r="P72" s="27">
        <f>'Statistics NZ'!P$72*'Economic Forecasts'!R$9*1000000/SUM('Statistics NZ'!P$30:P$110,'Statistics NZ'!P$130:P$210)</f>
        <v>33351.210041824699</v>
      </c>
      <c r="Q72" s="27">
        <f>'Statistics NZ'!Q$72*'Economic Forecasts'!S$9*1000000/SUM('Statistics NZ'!Q$30:Q$110,'Statistics NZ'!Q$130:Q$210)</f>
        <v>32592.719379438178</v>
      </c>
      <c r="R72" s="27">
        <f>'Statistics NZ'!R$72*'Economic Forecasts'!T$9*1000000/SUM('Statistics NZ'!R$30:R$110,'Statistics NZ'!R$130:R$210)</f>
        <v>31361.852853757093</v>
      </c>
      <c r="S72" s="27">
        <f>'Statistics NZ'!S$72*'Economic Forecasts'!U$9*1000000/SUM('Statistics NZ'!S$30:S$110,'Statistics NZ'!S$130:S$210)</f>
        <v>30323.484565522649</v>
      </c>
      <c r="T72" s="27">
        <f>'Statistics NZ'!T$72*'Economic Forecasts'!V$9*1000000/SUM('Statistics NZ'!T$30:T$110,'Statistics NZ'!T$130:T$210)</f>
        <v>31298.253521126757</v>
      </c>
      <c r="U72" s="28">
        <f>SUM('Statistics NZ'!U$72,$M$12/5*(U$8-U$9)*1000)*'Economic Forecasts'!W$9*1000000/SUM('Statistics NZ'!U$30:U$110,'Statistics NZ'!U$130:U$210,SUM($E$12:$T$13)*(U$8-U$9)*1000)</f>
        <v>31733.866928285108</v>
      </c>
      <c r="V72" s="28">
        <f>SUM('Statistics NZ'!V$72,$M$12/5*(V$8-V$9)*1000)*'Economic Forecasts'!X$9*1000000/SUM('Statistics NZ'!V$30:V$110,'Statistics NZ'!V$130:V$210,SUM($E$12:$T$13)*(V$8-V$9)*1000)</f>
        <v>32394.405296700537</v>
      </c>
      <c r="W72" s="28">
        <f>SUM('Statistics NZ'!W$72,$M$12/5*(W$8-W$9)*1000)*'Economic Forecasts'!Y$9*1000000/SUM('Statistics NZ'!W$30:W$110,'Statistics NZ'!W$130:W$210,SUM($E$12:$T$13)*(W$8-W$9)*1000)</f>
        <v>32357.597009529516</v>
      </c>
      <c r="X72" s="28">
        <f>SUM('Statistics NZ'!X$72,$M$12/5*(X$8-X$9)*1000)*'Economic Forecasts'!Z$9*1000000/SUM('Statistics NZ'!X$30:X$110,'Statistics NZ'!X$130:X$210,SUM($E$12:$T$13)*(X$8-X$9)*1000)</f>
        <v>33760.334216439471</v>
      </c>
      <c r="Y72" s="28">
        <f>SUM('Statistics NZ'!Y$72,$M$12/5*(Y$8-Y$9)*1000)*'Economic Forecasts'!AA$9*1000000/SUM('Statistics NZ'!Y$30:Y$110,'Statistics NZ'!Y$130:Y$210,SUM($E$12:$T$13)*(Y$8-Y$9)*1000)</f>
        <v>33367.812098321934</v>
      </c>
      <c r="Z72" s="28">
        <f>SUM('Statistics NZ'!Z$72,$M$12/5*(Z$8-Z$9)*1000)*'Economic Forecasts'!AB$9*1000000/SUM('Statistics NZ'!Z$30:Z$110,'Statistics NZ'!Z$130:Z$210,SUM($E$12:$T$13)*(Z$8-Z$9)*1000)</f>
        <v>32553.138825378941</v>
      </c>
      <c r="AA72" s="28">
        <f>SUM('Statistics NZ'!AA$72,$M$12/5*(AA$8-AA$9)*1000)*'Economic Forecasts'!AC$9*1000000/SUM('Statistics NZ'!AA$30:AA$110,'Statistics NZ'!AA$130:AA$210,SUM($E$12:$T$13)*(AA$8-AA$9)*1000)</f>
        <v>31735.751352776653</v>
      </c>
      <c r="AB72" s="18">
        <f>SUM(AA$72,'Statistics NZ'!AB$72-'Statistics NZ'!AA$72,$M$12/5*(AB$8-AB$9)*1000)</f>
        <v>30719.536130063403</v>
      </c>
      <c r="AC72" s="18">
        <f>SUM(AB$72,'Statistics NZ'!AC$72-'Statistics NZ'!AB$72,$M$12/5*(AC$8-AC$9)*1000)</f>
        <v>29632.059314921236</v>
      </c>
      <c r="AD72" s="18">
        <f>SUM(AC$72,'Statistics NZ'!AD$72-'Statistics NZ'!AC$72,$M$12/5*(AD$8-AD$9)*1000)</f>
        <v>30053.110641945335</v>
      </c>
      <c r="AE72" s="18">
        <f>SUM(AD$72,'Statistics NZ'!AE$72-'Statistics NZ'!AD$72,$M$12/5*(AE$8-AE$9)*1000)</f>
        <v>30083.110641945335</v>
      </c>
      <c r="AF72" s="18">
        <f>SUM(AE$72,'Statistics NZ'!AF$72-'Statistics NZ'!AE$72,$M$12/5*(AF$8-AF$9)*1000)</f>
        <v>31303.110641945335</v>
      </c>
      <c r="AG72" s="18">
        <f>SUM(AF$72,'Statistics NZ'!AG$72-'Statistics NZ'!AF$72,$M$12/5*(AG$8-AG$9)*1000)</f>
        <v>32013.110641945335</v>
      </c>
      <c r="AH72" s="18">
        <f>SUM(AG$72,'Statistics NZ'!AH$72-'Statistics NZ'!AG$72,$M$12/5*(AH$8-AH$9)*1000)</f>
        <v>32793.110641945335</v>
      </c>
      <c r="AI72" s="18">
        <f>SUM(AH$72,'Statistics NZ'!AI$72-'Statistics NZ'!AH$72,$M$12/5*(AI$8-AI$9)*1000)</f>
        <v>34103.110641945335</v>
      </c>
      <c r="AJ72" s="18">
        <f>SUM(AI$72,'Statistics NZ'!AJ$72-'Statistics NZ'!AI$72,$M$12/5*(AJ$8-AJ$9)*1000)</f>
        <v>35233.110641945335</v>
      </c>
      <c r="AK72" s="18">
        <f>SUM(AJ$72,'Statistics NZ'!AK$72-'Statistics NZ'!AJ$72,$M$12/5*(AK$8-AK$9)*1000)</f>
        <v>35983.110641945335</v>
      </c>
    </row>
    <row r="73" spans="1:37" x14ac:dyDescent="0.25">
      <c r="A73" s="12">
        <v>58</v>
      </c>
      <c r="B73" s="27">
        <f>'Statistics NZ'!B$73*'Economic Forecasts'!D$9*1000000/SUM('Statistics NZ'!B$30:B$110,'Statistics NZ'!B$130:B$210)</f>
        <v>23951.08727308028</v>
      </c>
      <c r="C73" s="27">
        <f>'Statistics NZ'!C$73*'Economic Forecasts'!E$9*1000000/SUM('Statistics NZ'!C$30:C$110,'Statistics NZ'!C$130:C$210)</f>
        <v>23617.288210864921</v>
      </c>
      <c r="D73" s="27">
        <f>'Statistics NZ'!D$73*'Economic Forecasts'!F$9*1000000/SUM('Statistics NZ'!D$30:D$110,'Statistics NZ'!D$130:D$210)</f>
        <v>24262.127553325565</v>
      </c>
      <c r="E73" s="27">
        <f>'Statistics NZ'!E$73*'Economic Forecasts'!G$9*1000000/SUM('Statistics NZ'!E$30:E$110,'Statistics NZ'!E$130:E$210)</f>
        <v>24095.855284820551</v>
      </c>
      <c r="F73" s="27">
        <f>'Statistics NZ'!F$73*'Economic Forecasts'!H$9*1000000/SUM('Statistics NZ'!F$30:F$110,'Statistics NZ'!F$130:F$210)</f>
        <v>24522.07836723786</v>
      </c>
      <c r="G73" s="27">
        <f>'Statistics NZ'!G$73*'Economic Forecasts'!I$9*1000000/SUM('Statistics NZ'!G$30:G$110,'Statistics NZ'!G$130:G$210)</f>
        <v>25027.659317183279</v>
      </c>
      <c r="H73" s="27">
        <f>'Statistics NZ'!H$73*'Economic Forecasts'!J$9*1000000/SUM('Statistics NZ'!H$30:H$110,'Statistics NZ'!H$130:H$210)</f>
        <v>26066.088840736727</v>
      </c>
      <c r="I73" s="27">
        <f>'Statistics NZ'!I$73*'Economic Forecasts'!K$9*1000000/SUM('Statistics NZ'!I$30:I$110,'Statistics NZ'!I$130:I$210)</f>
        <v>26567.6348806077</v>
      </c>
      <c r="J73" s="27">
        <f>'Statistics NZ'!J$73*'Economic Forecasts'!L$9*1000000/SUM('Statistics NZ'!J$30:J$110,'Statistics NZ'!J$130:J$210)</f>
        <v>27227.255225064775</v>
      </c>
      <c r="K73" s="27">
        <f>'Statistics NZ'!K$73*'Economic Forecasts'!M$9*1000000/SUM('Statistics NZ'!K$30:K$110,'Statistics NZ'!K$130:K$210)</f>
        <v>27913.740854863783</v>
      </c>
      <c r="L73" s="27">
        <f>'Statistics NZ'!L$73*'Economic Forecasts'!N$9*1000000/SUM('Statistics NZ'!L$30:L$110,'Statistics NZ'!L$130:L$210)</f>
        <v>28674.331245992227</v>
      </c>
      <c r="M73" s="27">
        <f>'Statistics NZ'!M$73*'Economic Forecasts'!O$9*1000000/SUM('Statistics NZ'!M$30:M$110,'Statistics NZ'!M$130:M$210)</f>
        <v>30100.057006807285</v>
      </c>
      <c r="N73" s="27">
        <f>'Statistics NZ'!N$73*'Economic Forecasts'!P$9*1000000/SUM('Statistics NZ'!N$30:N$110,'Statistics NZ'!N$130:N$210)</f>
        <v>30617.059335278973</v>
      </c>
      <c r="O73" s="27">
        <f>'Statistics NZ'!O$73*'Economic Forecasts'!Q$9*1000000/SUM('Statistics NZ'!O$30:O$110,'Statistics NZ'!O$130:O$210)</f>
        <v>32036.389774049447</v>
      </c>
      <c r="P73" s="27">
        <f>'Statistics NZ'!P$73*'Economic Forecasts'!R$9*1000000/SUM('Statistics NZ'!P$30:P$110,'Statistics NZ'!P$130:P$210)</f>
        <v>32949.742158173838</v>
      </c>
      <c r="Q73" s="27">
        <f>'Statistics NZ'!Q$73*'Economic Forecasts'!S$9*1000000/SUM('Statistics NZ'!Q$30:Q$110,'Statistics NZ'!Q$130:Q$210)</f>
        <v>33225.012207654021</v>
      </c>
      <c r="R73" s="27">
        <f>'Statistics NZ'!R$73*'Economic Forecasts'!T$9*1000000/SUM('Statistics NZ'!R$30:R$110,'Statistics NZ'!R$130:R$210)</f>
        <v>32172.338808376724</v>
      </c>
      <c r="S73" s="27">
        <f>'Statistics NZ'!S$73*'Economic Forecasts'!U$9*1000000/SUM('Statistics NZ'!S$30:S$110,'Statistics NZ'!S$130:S$210)</f>
        <v>30673.93254123977</v>
      </c>
      <c r="T73" s="27">
        <f>'Statistics NZ'!T$73*'Economic Forecasts'!V$9*1000000/SUM('Statistics NZ'!T$30:T$110,'Statistics NZ'!T$130:T$210)</f>
        <v>30473.064162754301</v>
      </c>
      <c r="U73" s="28">
        <f>SUM('Statistics NZ'!U$73,$M$12/5*(U$8-U$9)*1000)*'Economic Forecasts'!W$9*1000000/SUM('Statistics NZ'!U$30:U$110,'Statistics NZ'!U$130:U$210,SUM($E$12:$T$13)*(U$8-U$9)*1000)</f>
        <v>31271.372816140498</v>
      </c>
      <c r="V73" s="28">
        <f>SUM('Statistics NZ'!V$73,$M$12/5*(V$8-V$9)*1000)*'Economic Forecasts'!X$9*1000000/SUM('Statistics NZ'!V$30:V$110,'Statistics NZ'!V$130:V$210,SUM($E$12:$T$13)*(V$8-V$9)*1000)</f>
        <v>31599.845999770951</v>
      </c>
      <c r="W73" s="28">
        <f>SUM('Statistics NZ'!W$73,$M$12/5*(W$8-W$9)*1000)*'Economic Forecasts'!Y$9*1000000/SUM('Statistics NZ'!W$30:W$110,'Statistics NZ'!W$130:W$210,SUM($E$12:$T$13)*(W$8-W$9)*1000)</f>
        <v>32289.123062223574</v>
      </c>
      <c r="X73" s="28">
        <f>SUM('Statistics NZ'!X$73,$M$12/5*(X$8-X$9)*1000)*'Economic Forecasts'!Z$9*1000000/SUM('Statistics NZ'!X$30:X$110,'Statistics NZ'!X$130:X$210,SUM($E$12:$T$13)*(X$8-X$9)*1000)</f>
        <v>32294.849710892559</v>
      </c>
      <c r="Y73" s="28">
        <f>SUM('Statistics NZ'!Y$73,$M$12/5*(Y$8-Y$9)*1000)*'Economic Forecasts'!AA$9*1000000/SUM('Statistics NZ'!Y$30:Y$110,'Statistics NZ'!Y$130:Y$210,SUM($E$12:$T$13)*(Y$8-Y$9)*1000)</f>
        <v>33729.264000195246</v>
      </c>
      <c r="Z73" s="28">
        <f>SUM('Statistics NZ'!Z$73,$M$12/5*(Z$8-Z$9)*1000)*'Economic Forecasts'!AB$9*1000000/SUM('Statistics NZ'!Z$30:Z$110,'Statistics NZ'!Z$130:Z$210,SUM($E$12:$T$13)*(Z$8-Z$9)*1000)</f>
        <v>33344.594328489955</v>
      </c>
      <c r="AA73" s="28">
        <f>SUM('Statistics NZ'!AA$73,$M$12/5*(AA$8-AA$9)*1000)*'Economic Forecasts'!AC$9*1000000/SUM('Statistics NZ'!AA$30:AA$110,'Statistics NZ'!AA$130:AA$210,SUM($E$12:$T$13)*(AA$8-AA$9)*1000)</f>
        <v>32547.1009724285</v>
      </c>
      <c r="AB73" s="18">
        <f>SUM(AA$73,'Statistics NZ'!AB$73-'Statistics NZ'!AA$73,$M$12/5*(AB$8-AB$9)*1000)</f>
        <v>31710.885749715249</v>
      </c>
      <c r="AC73" s="18">
        <f>SUM(AB$73,'Statistics NZ'!AC$73-'Statistics NZ'!AB$73,$M$12/5*(AC$8-AC$9)*1000)</f>
        <v>30693.408934573083</v>
      </c>
      <c r="AD73" s="18">
        <f>SUM(AC$73,'Statistics NZ'!AD$73-'Statistics NZ'!AC$73,$M$12/5*(AD$8-AD$9)*1000)</f>
        <v>29614.460261597182</v>
      </c>
      <c r="AE73" s="18">
        <f>SUM(AD$73,'Statistics NZ'!AE$73-'Statistics NZ'!AD$73,$M$12/5*(AE$8-AE$9)*1000)</f>
        <v>30044.460261597182</v>
      </c>
      <c r="AF73" s="18">
        <f>SUM(AE$73,'Statistics NZ'!AF$73-'Statistics NZ'!AE$73,$M$12/5*(AF$8-AF$9)*1000)</f>
        <v>30074.460261597182</v>
      </c>
      <c r="AG73" s="18">
        <f>SUM(AF$73,'Statistics NZ'!AG$73-'Statistics NZ'!AF$73,$M$12/5*(AG$8-AG$9)*1000)</f>
        <v>31294.460261597182</v>
      </c>
      <c r="AH73" s="18">
        <f>SUM(AG$73,'Statistics NZ'!AH$73-'Statistics NZ'!AG$73,$M$12/5*(AH$8-AH$9)*1000)</f>
        <v>31994.460261597182</v>
      </c>
      <c r="AI73" s="18">
        <f>SUM(AH$73,'Statistics NZ'!AI$73-'Statistics NZ'!AH$73,$M$12/5*(AI$8-AI$9)*1000)</f>
        <v>32774.460261597182</v>
      </c>
      <c r="AJ73" s="18">
        <f>SUM(AI$73,'Statistics NZ'!AJ$73-'Statistics NZ'!AI$73,$M$12/5*(AJ$8-AJ$9)*1000)</f>
        <v>34084.460261597182</v>
      </c>
      <c r="AK73" s="18">
        <f>SUM(AJ$73,'Statistics NZ'!AK$73-'Statistics NZ'!AJ$73,$M$12/5*(AK$8-AK$9)*1000)</f>
        <v>35214.460261597182</v>
      </c>
    </row>
    <row r="74" spans="1:37" x14ac:dyDescent="0.25">
      <c r="A74" s="12">
        <v>59</v>
      </c>
      <c r="B74" s="27">
        <f>'Statistics NZ'!B$74*'Economic Forecasts'!D$9*1000000/SUM('Statistics NZ'!B$30:B$110,'Statistics NZ'!B$130:B$210)</f>
        <v>24127.198208911756</v>
      </c>
      <c r="C74" s="27">
        <f>'Statistics NZ'!C$74*'Economic Forecasts'!E$9*1000000/SUM('Statistics NZ'!C$30:C$110,'Statistics NZ'!C$130:C$210)</f>
        <v>24010.091341191157</v>
      </c>
      <c r="D74" s="27">
        <f>'Statistics NZ'!D$74*'Economic Forecasts'!F$9*1000000/SUM('Statistics NZ'!D$30:D$110,'Statistics NZ'!D$130:D$210)</f>
        <v>23554.891446507972</v>
      </c>
      <c r="E74" s="27">
        <f>'Statistics NZ'!E$74*'Economic Forecasts'!G$9*1000000/SUM('Statistics NZ'!E$30:E$110,'Statistics NZ'!E$130:E$210)</f>
        <v>24154.697422268215</v>
      </c>
      <c r="F74" s="27">
        <f>'Statistics NZ'!F$74*'Economic Forecasts'!H$9*1000000/SUM('Statistics NZ'!F$30:F$110,'Statistics NZ'!F$130:F$210)</f>
        <v>24031.636799893102</v>
      </c>
      <c r="G74" s="27">
        <f>'Statistics NZ'!G$74*'Economic Forecasts'!I$9*1000000/SUM('Statistics NZ'!G$30:G$110,'Statistics NZ'!G$130:G$210)</f>
        <v>24526.713231949234</v>
      </c>
      <c r="H74" s="27">
        <f>'Statistics NZ'!H$74*'Economic Forecasts'!J$9*1000000/SUM('Statistics NZ'!H$30:H$110,'Statistics NZ'!H$130:H$210)</f>
        <v>25034.449440707569</v>
      </c>
      <c r="I74" s="27">
        <f>'Statistics NZ'!I$74*'Economic Forecasts'!K$9*1000000/SUM('Statistics NZ'!I$30:I$110,'Statistics NZ'!I$130:I$210)</f>
        <v>25969.618006911373</v>
      </c>
      <c r="J74" s="27">
        <f>'Statistics NZ'!J$74*'Economic Forecasts'!L$9*1000000/SUM('Statistics NZ'!J$30:J$110,'Statistics NZ'!J$130:J$210)</f>
        <v>26388.593352086424</v>
      </c>
      <c r="K74" s="27">
        <f>'Statistics NZ'!K$74*'Economic Forecasts'!M$9*1000000/SUM('Statistics NZ'!K$30:K$110,'Statistics NZ'!K$130:K$210)</f>
        <v>27183.524404178468</v>
      </c>
      <c r="L74" s="27">
        <f>'Statistics NZ'!L$74*'Economic Forecasts'!N$9*1000000/SUM('Statistics NZ'!L$30:L$110,'Statistics NZ'!L$130:L$210)</f>
        <v>27944.085119184274</v>
      </c>
      <c r="M74" s="27">
        <f>'Statistics NZ'!M$74*'Economic Forecasts'!O$9*1000000/SUM('Statistics NZ'!M$30:M$110,'Statistics NZ'!M$130:M$210)</f>
        <v>28878.860276573298</v>
      </c>
      <c r="N74" s="27">
        <f>'Statistics NZ'!N$74*'Economic Forecasts'!P$9*1000000/SUM('Statistics NZ'!N$30:N$110,'Statistics NZ'!N$130:N$210)</f>
        <v>30118.027687436457</v>
      </c>
      <c r="O74" s="27">
        <f>'Statistics NZ'!O$74*'Economic Forecasts'!Q$9*1000000/SUM('Statistics NZ'!O$30:O$110,'Statistics NZ'!O$130:O$210)</f>
        <v>30592.689805690996</v>
      </c>
      <c r="P74" s="27">
        <f>'Statistics NZ'!P$74*'Economic Forecasts'!R$9*1000000/SUM('Statistics NZ'!P$30:P$110,'Statistics NZ'!P$130:P$210)</f>
        <v>32029.303595657246</v>
      </c>
      <c r="Q74" s="27">
        <f>'Statistics NZ'!Q$74*'Economic Forecasts'!S$9*1000000/SUM('Statistics NZ'!Q$30:Q$110,'Statistics NZ'!Q$130:Q$210)</f>
        <v>32889.106642664352</v>
      </c>
      <c r="R74" s="27">
        <f>'Statistics NZ'!R$74*'Economic Forecasts'!T$9*1000000/SUM('Statistics NZ'!R$30:R$110,'Statistics NZ'!R$130:R$210)</f>
        <v>32804.91321198229</v>
      </c>
      <c r="S74" s="27">
        <f>'Statistics NZ'!S$74*'Economic Forecasts'!U$9*1000000/SUM('Statistics NZ'!S$30:S$110,'Statistics NZ'!S$130:S$210)</f>
        <v>31442.971154618994</v>
      </c>
      <c r="T74" s="27">
        <f>'Statistics NZ'!T$74*'Economic Forecasts'!V$9*1000000/SUM('Statistics NZ'!T$30:T$110,'Statistics NZ'!T$130:T$210)</f>
        <v>30807.069379238386</v>
      </c>
      <c r="U74" s="28">
        <f>SUM('Statistics NZ'!U$74,$M$12/5*(U$8-U$9)*1000)*'Economic Forecasts'!W$9*1000000/SUM('Statistics NZ'!U$30:U$110,'Statistics NZ'!U$130:U$210,SUM($E$12:$T$13)*(U$8-U$9)*1000)</f>
        <v>30454.627894693633</v>
      </c>
      <c r="V74" s="28">
        <f>SUM('Statistics NZ'!V$74,$M$12/5*(V$8-V$9)*1000)*'Economic Forecasts'!X$9*1000000/SUM('Statistics NZ'!V$30:V$110,'Statistics NZ'!V$130:V$210,SUM($E$12:$T$13)*(V$8-V$9)*1000)</f>
        <v>31138.805420071061</v>
      </c>
      <c r="W74" s="28">
        <f>SUM('Statistics NZ'!W$74,$M$12/5*(W$8-W$9)*1000)*'Economic Forecasts'!Y$9*1000000/SUM('Statistics NZ'!W$30:W$110,'Statistics NZ'!W$130:W$210,SUM($E$12:$T$13)*(W$8-W$9)*1000)</f>
        <v>31506.563664441379</v>
      </c>
      <c r="X74" s="28">
        <f>SUM('Statistics NZ'!X$74,$M$12/5*(X$8-X$9)*1000)*'Economic Forecasts'!Z$9*1000000/SUM('Statistics NZ'!X$30:X$110,'Statistics NZ'!X$130:X$210,SUM($E$12:$T$13)*(X$8-X$9)*1000)</f>
        <v>32236.230330670682</v>
      </c>
      <c r="Y74" s="28">
        <f>SUM('Statistics NZ'!Y$74,$M$12/5*(Y$8-Y$9)*1000)*'Economic Forecasts'!AA$9*1000000/SUM('Statistics NZ'!Y$30:Y$110,'Statistics NZ'!Y$130:Y$210,SUM($E$12:$T$13)*(Y$8-Y$9)*1000)</f>
        <v>32273.687422381092</v>
      </c>
      <c r="Z74" s="28">
        <f>SUM('Statistics NZ'!Z$74,$M$12/5*(Z$8-Z$9)*1000)*'Economic Forecasts'!AB$9*1000000/SUM('Statistics NZ'!Z$30:Z$110,'Statistics NZ'!Z$130:Z$210,SUM($E$12:$T$13)*(Z$8-Z$9)*1000)</f>
        <v>33715.894441060555</v>
      </c>
      <c r="AA74" s="28">
        <f>SUM('Statistics NZ'!AA$74,$M$12/5*(AA$8-AA$9)*1000)*'Economic Forecasts'!AC$9*1000000/SUM('Statistics NZ'!AA$30:AA$110,'Statistics NZ'!AA$130:AA$210,SUM($E$12:$T$13)*(AA$8-AA$9)*1000)</f>
        <v>33348.675295458037</v>
      </c>
      <c r="AB74" s="18">
        <f>SUM(AA$74,'Statistics NZ'!AB$74-'Statistics NZ'!AA$74,$M$12/5*(AB$8-AB$9)*1000)</f>
        <v>32522.460072744787</v>
      </c>
      <c r="AC74" s="18">
        <f>SUM(AB$74,'Statistics NZ'!AC$74-'Statistics NZ'!AB$74,$M$12/5*(AC$8-AC$9)*1000)</f>
        <v>31694.98325760262</v>
      </c>
      <c r="AD74" s="18">
        <f>SUM(AC$74,'Statistics NZ'!AD$74-'Statistics NZ'!AC$74,$M$12/5*(AD$8-AD$9)*1000)</f>
        <v>30686.034584626719</v>
      </c>
      <c r="AE74" s="18">
        <f>SUM(AD$74,'Statistics NZ'!AE$74-'Statistics NZ'!AD$74,$M$12/5*(AE$8-AE$9)*1000)</f>
        <v>29606.034584626719</v>
      </c>
      <c r="AF74" s="18">
        <f>SUM(AE$74,'Statistics NZ'!AF$74-'Statistics NZ'!AE$74,$M$12/5*(AF$8-AF$9)*1000)</f>
        <v>30036.034584626719</v>
      </c>
      <c r="AG74" s="18">
        <f>SUM(AF$74,'Statistics NZ'!AG$74-'Statistics NZ'!AF$74,$M$12/5*(AG$8-AG$9)*1000)</f>
        <v>30066.034584626719</v>
      </c>
      <c r="AH74" s="18">
        <f>SUM(AG$74,'Statistics NZ'!AH$74-'Statistics NZ'!AG$74,$M$12/5*(AH$8-AH$9)*1000)</f>
        <v>31286.034584626719</v>
      </c>
      <c r="AI74" s="18">
        <f>SUM(AH$74,'Statistics NZ'!AI$74-'Statistics NZ'!AH$74,$M$12/5*(AI$8-AI$9)*1000)</f>
        <v>31986.034584626719</v>
      </c>
      <c r="AJ74" s="18">
        <f>SUM(AI$74,'Statistics NZ'!AJ$74-'Statistics NZ'!AI$74,$M$12/5*(AJ$8-AJ$9)*1000)</f>
        <v>32766.034584626719</v>
      </c>
      <c r="AK74" s="18">
        <f>SUM(AJ$74,'Statistics NZ'!AK$74-'Statistics NZ'!AJ$74,$M$12/5*(AK$8-AK$9)*1000)</f>
        <v>34076.034584626716</v>
      </c>
    </row>
    <row r="75" spans="1:37" x14ac:dyDescent="0.25">
      <c r="A75" s="12">
        <v>60</v>
      </c>
      <c r="B75" s="27">
        <f>'Statistics NZ'!B$75*'Economic Forecasts'!D$9*1000000/SUM('Statistics NZ'!B$30:B$110,'Statistics NZ'!B$130:B$210)</f>
        <v>20350.597029414621</v>
      </c>
      <c r="C75" s="27">
        <f>'Statistics NZ'!C$75*'Economic Forecasts'!E$9*1000000/SUM('Statistics NZ'!C$30:C$110,'Statistics NZ'!C$130:C$210)</f>
        <v>24127.932280289024</v>
      </c>
      <c r="D75" s="27">
        <f>'Statistics NZ'!D$75*'Economic Forecasts'!F$9*1000000/SUM('Statistics NZ'!D$30:D$110,'Statistics NZ'!D$130:D$210)</f>
        <v>23977.268565857372</v>
      </c>
      <c r="E75" s="27">
        <f>'Statistics NZ'!E$75*'Economic Forecasts'!G$9*1000000/SUM('Statistics NZ'!E$30:E$110,'Statistics NZ'!E$130:E$210)</f>
        <v>23468.205818712075</v>
      </c>
      <c r="F75" s="27">
        <f>'Statistics NZ'!F$75*'Economic Forecasts'!H$9*1000000/SUM('Statistics NZ'!F$30:F$110,'Statistics NZ'!F$130:F$210)</f>
        <v>24090.489787974475</v>
      </c>
      <c r="G75" s="27">
        <f>'Statistics NZ'!G$75*'Economic Forecasts'!I$9*1000000/SUM('Statistics NZ'!G$30:G$110,'Statistics NZ'!G$130:G$210)</f>
        <v>24055.234563493665</v>
      </c>
      <c r="H75" s="27">
        <f>'Statistics NZ'!H$75*'Economic Forecasts'!J$9*1000000/SUM('Statistics NZ'!H$30:H$110,'Statistics NZ'!H$130:H$210)</f>
        <v>24543.192583550826</v>
      </c>
      <c r="I75" s="27">
        <f>'Statistics NZ'!I$75*'Economic Forecasts'!K$9*1000000/SUM('Statistics NZ'!I$30:I$110,'Statistics NZ'!I$130:I$210)</f>
        <v>24989.262476261636</v>
      </c>
      <c r="J75" s="27">
        <f>'Statistics NZ'!J$75*'Economic Forecasts'!L$9*1000000/SUM('Statistics NZ'!J$30:J$110,'Statistics NZ'!J$130:J$210)</f>
        <v>25813.232299694297</v>
      </c>
      <c r="K75" s="27">
        <f>'Statistics NZ'!K$75*'Economic Forecasts'!M$9*1000000/SUM('Statistics NZ'!K$30:K$110,'Statistics NZ'!K$130:K$210)</f>
        <v>26385.154418095863</v>
      </c>
      <c r="L75" s="27">
        <f>'Statistics NZ'!L$75*'Economic Forecasts'!N$9*1000000/SUM('Statistics NZ'!L$30:L$110,'Statistics NZ'!L$130:L$210)</f>
        <v>27194.365762328111</v>
      </c>
      <c r="M75" s="27">
        <f>'Statistics NZ'!M$75*'Economic Forecasts'!O$9*1000000/SUM('Statistics NZ'!M$30:M$110,'Statistics NZ'!M$130:M$210)</f>
        <v>28009.3682046467</v>
      </c>
      <c r="N75" s="27">
        <f>'Statistics NZ'!N$75*'Economic Forecasts'!P$9*1000000/SUM('Statistics NZ'!N$30:N$110,'Statistics NZ'!N$130:N$210)</f>
        <v>28924.265706322993</v>
      </c>
      <c r="O75" s="27">
        <f>'Statistics NZ'!O$75*'Economic Forecasts'!Q$9*1000000/SUM('Statistics NZ'!O$30:O$110,'Statistics NZ'!O$130:O$210)</f>
        <v>30072.172130024341</v>
      </c>
      <c r="P75" s="27">
        <f>'Statistics NZ'!P$75*'Economic Forecasts'!R$9*1000000/SUM('Statistics NZ'!P$30:P$110,'Statistics NZ'!P$130:P$210)</f>
        <v>30658.437651483597</v>
      </c>
      <c r="Q75" s="27">
        <f>'Statistics NZ'!Q$75*'Economic Forecasts'!S$9*1000000/SUM('Statistics NZ'!Q$30:Q$110,'Statistics NZ'!Q$130:Q$210)</f>
        <v>31891.269523136238</v>
      </c>
      <c r="R75" s="27">
        <f>'Statistics NZ'!R$75*'Economic Forecasts'!T$9*1000000/SUM('Statistics NZ'!R$30:R$110,'Statistics NZ'!R$130:R$210)</f>
        <v>32557.813835573867</v>
      </c>
      <c r="S75" s="27">
        <f>'Statistics NZ'!S$75*'Economic Forecasts'!U$9*1000000/SUM('Statistics NZ'!S$30:S$110,'Statistics NZ'!S$130:S$210)</f>
        <v>32056.255112123945</v>
      </c>
      <c r="T75" s="27">
        <f>'Statistics NZ'!T$75*'Economic Forecasts'!V$9*1000000/SUM('Statistics NZ'!T$30:T$110,'Statistics NZ'!T$130:T$210)</f>
        <v>31632.258737610849</v>
      </c>
      <c r="U75" s="28">
        <f>SUM('Statistics NZ'!U$75,$N$12/5*(U$8-U$9)*1000)*'Economic Forecasts'!W$9*1000000/SUM('Statistics NZ'!U$30:U$110,'Statistics NZ'!U$130:U$210,SUM($E$12:$T$13)*(U$8-U$9)*1000)</f>
        <v>30755.296307655877</v>
      </c>
      <c r="V75" s="28">
        <f>SUM('Statistics NZ'!V$75,$N$12/5*(V$8-V$9)*1000)*'Economic Forecasts'!X$9*1000000/SUM('Statistics NZ'!V$30:V$110,'Statistics NZ'!V$130:V$210,SUM($E$12:$T$13)*(V$8-V$9)*1000)</f>
        <v>30312.749766331897</v>
      </c>
      <c r="W75" s="28">
        <f>SUM('Statistics NZ'!W$75,$N$12/5*(W$8-W$9)*1000)*'Economic Forecasts'!Y$9*1000000/SUM('Statistics NZ'!W$30:W$110,'Statistics NZ'!W$130:W$210,SUM($E$12:$T$13)*(W$8-W$9)*1000)</f>
        <v>31046.236899503809</v>
      </c>
      <c r="X75" s="28">
        <f>SUM('Statistics NZ'!X$75,$N$12/5*(X$8-X$9)*1000)*'Economic Forecasts'!Z$9*1000000/SUM('Statistics NZ'!X$30:X$110,'Statistics NZ'!X$130:X$210,SUM($E$12:$T$13)*(X$8-X$9)*1000)</f>
        <v>31447.349141266888</v>
      </c>
      <c r="Y75" s="28">
        <f>SUM('Statistics NZ'!Y$75,$N$12/5*(Y$8-Y$9)*1000)*'Economic Forecasts'!AA$9*1000000/SUM('Statistics NZ'!Y$30:Y$110,'Statistics NZ'!Y$130:Y$210,SUM($E$12:$T$13)*(Y$8-Y$9)*1000)</f>
        <v>32208.452586944593</v>
      </c>
      <c r="Z75" s="28">
        <f>SUM('Statistics NZ'!Z$75,$N$12/5*(Z$8-Z$9)*1000)*'Economic Forecasts'!AB$9*1000000/SUM('Statistics NZ'!Z$30:Z$110,'Statistics NZ'!Z$130:Z$210,SUM($E$12:$T$13)*(Z$8-Z$9)*1000)</f>
        <v>32262.678721364056</v>
      </c>
      <c r="AA75" s="28">
        <f>SUM('Statistics NZ'!AA$75,$N$12/5*(AA$8-AA$9)*1000)*'Economic Forecasts'!AC$9*1000000/SUM('Statistics NZ'!AA$30:AA$110,'Statistics NZ'!AA$130:AA$210,SUM($E$12:$T$13)*(AA$8-AA$9)*1000)</f>
        <v>33712.747630634796</v>
      </c>
      <c r="AB75" s="18">
        <f>SUM(AA$75,'Statistics NZ'!AB$75-'Statistics NZ'!AA$75,$N$12/5*(AB$8-AB$9)*1000)</f>
        <v>33328.290082778156</v>
      </c>
      <c r="AC75" s="18">
        <f>SUM(AB$75,'Statistics NZ'!AC$75-'Statistics NZ'!AB$75,$N$12/5*(AC$8-AC$9)*1000)</f>
        <v>32511.985050873729</v>
      </c>
      <c r="AD75" s="18">
        <f>SUM(AC$75,'Statistics NZ'!AD$75-'Statistics NZ'!AC$75,$N$12/5*(AD$8-AD$9)*1000)</f>
        <v>31683.524620913551</v>
      </c>
      <c r="AE75" s="18">
        <f>SUM(AD$75,'Statistics NZ'!AE$75-'Statistics NZ'!AD$75,$N$12/5*(AE$8-AE$9)*1000)</f>
        <v>30683.524620913551</v>
      </c>
      <c r="AF75" s="18">
        <f>SUM(AE$75,'Statistics NZ'!AF$75-'Statistics NZ'!AE$75,$N$12/5*(AF$8-AF$9)*1000)</f>
        <v>29613.524620913551</v>
      </c>
      <c r="AG75" s="18">
        <f>SUM(AF$75,'Statistics NZ'!AG$75-'Statistics NZ'!AF$75,$N$12/5*(AG$8-AG$9)*1000)</f>
        <v>30033.524620913551</v>
      </c>
      <c r="AH75" s="18">
        <f>SUM(AG$75,'Statistics NZ'!AH$75-'Statistics NZ'!AG$75,$N$12/5*(AH$8-AH$9)*1000)</f>
        <v>30073.524620913551</v>
      </c>
      <c r="AI75" s="18">
        <f>SUM(AH$75,'Statistics NZ'!AI$75-'Statistics NZ'!AH$75,$N$12/5*(AI$8-AI$9)*1000)</f>
        <v>31293.524620913551</v>
      </c>
      <c r="AJ75" s="18">
        <f>SUM(AI$75,'Statistics NZ'!AJ$75-'Statistics NZ'!AI$75,$N$12/5*(AJ$8-AJ$9)*1000)</f>
        <v>31993.524620913551</v>
      </c>
      <c r="AK75" s="18">
        <f>SUM(AJ$75,'Statistics NZ'!AK$75-'Statistics NZ'!AJ$75,$N$12/5*(AK$8-AK$9)*1000)</f>
        <v>32783.524620913551</v>
      </c>
    </row>
    <row r="76" spans="1:37" x14ac:dyDescent="0.25">
      <c r="A76" s="12">
        <v>61</v>
      </c>
      <c r="B76" s="27">
        <f>'Statistics NZ'!B$76*'Economic Forecasts'!D$9*1000000/SUM('Statistics NZ'!B$30:B$110,'Statistics NZ'!B$130:B$210)</f>
        <v>19274.363532666728</v>
      </c>
      <c r="C76" s="27">
        <f>'Statistics NZ'!C$76*'Economic Forecasts'!E$9*1000000/SUM('Statistics NZ'!C$30:C$110,'Statistics NZ'!C$130:C$210)</f>
        <v>20376.662385673477</v>
      </c>
      <c r="D76" s="27">
        <f>'Statistics NZ'!D$76*'Economic Forecasts'!F$9*1000000/SUM('Statistics NZ'!D$30:D$110,'Statistics NZ'!D$130:D$210)</f>
        <v>24036.204908092164</v>
      </c>
      <c r="E76" s="27">
        <f>'Statistics NZ'!E$76*'Economic Forecasts'!G$9*1000000/SUM('Statistics NZ'!E$30:E$110,'Statistics NZ'!E$130:E$210)</f>
        <v>23870.293757937816</v>
      </c>
      <c r="F76" s="27">
        <f>'Statistics NZ'!F$76*'Economic Forecasts'!H$9*1000000/SUM('Statistics NZ'!F$30:F$110,'Statistics NZ'!F$130:F$210)</f>
        <v>23433.298087732499</v>
      </c>
      <c r="G76" s="27">
        <f>'Statistics NZ'!G$76*'Economic Forecasts'!I$9*1000000/SUM('Statistics NZ'!G$30:G$110,'Statistics NZ'!G$130:G$210)</f>
        <v>24104.34692479112</v>
      </c>
      <c r="H76" s="27">
        <f>'Statistics NZ'!H$76*'Economic Forecasts'!J$9*1000000/SUM('Statistics NZ'!H$30:H$110,'Statistics NZ'!H$130:H$210)</f>
        <v>24012.635177821547</v>
      </c>
      <c r="I76" s="27">
        <f>'Statistics NZ'!I$76*'Economic Forecasts'!K$9*1000000/SUM('Statistics NZ'!I$30:I$110,'Statistics NZ'!I$130:I$210)</f>
        <v>24479.477600323775</v>
      </c>
      <c r="J76" s="27">
        <f>'Statistics NZ'!J$76*'Economic Forecasts'!L$9*1000000/SUM('Statistics NZ'!J$30:J$110,'Statistics NZ'!J$130:J$210)</f>
        <v>24838.044075300855</v>
      </c>
      <c r="K76" s="27">
        <f>'Statistics NZ'!K$76*'Economic Forecasts'!M$9*1000000/SUM('Statistics NZ'!K$30:K$110,'Statistics NZ'!K$130:K$210)</f>
        <v>25732.827722150319</v>
      </c>
      <c r="L76" s="27">
        <f>'Statistics NZ'!L$76*'Economic Forecasts'!N$9*1000000/SUM('Statistics NZ'!L$30:L$110,'Statistics NZ'!L$130:L$210)</f>
        <v>26503.066095616581</v>
      </c>
      <c r="M76" s="27">
        <f>'Statistics NZ'!M$76*'Economic Forecasts'!O$9*1000000/SUM('Statistics NZ'!M$30:M$110,'Statistics NZ'!M$130:M$210)</f>
        <v>27227.802297296948</v>
      </c>
      <c r="N76" s="27">
        <f>'Statistics NZ'!N$76*'Economic Forecasts'!P$9*1000000/SUM('Statistics NZ'!N$30:N$110,'Statistics NZ'!N$130:N$210)</f>
        <v>27994.696950537917</v>
      </c>
      <c r="O76" s="27">
        <f>'Statistics NZ'!O$76*'Economic Forecasts'!Q$9*1000000/SUM('Statistics NZ'!O$30:O$110,'Statistics NZ'!O$130:O$210)</f>
        <v>28932.925896489782</v>
      </c>
      <c r="P76" s="27">
        <f>'Statistics NZ'!P$76*'Economic Forecasts'!R$9*1000000/SUM('Statistics NZ'!P$30:P$110,'Statistics NZ'!P$130:P$210)</f>
        <v>30129.675073016617</v>
      </c>
      <c r="Q76" s="27">
        <f>'Statistics NZ'!Q$76*'Economic Forecasts'!S$9*1000000/SUM('Statistics NZ'!Q$30:Q$110,'Statistics NZ'!Q$130:Q$210)</f>
        <v>30458.731084209732</v>
      </c>
      <c r="R76" s="27">
        <f>'Statistics NZ'!R$76*'Economic Forecasts'!T$9*1000000/SUM('Statistics NZ'!R$30:R$110,'Statistics NZ'!R$130:R$210)</f>
        <v>31421.156704095116</v>
      </c>
      <c r="S76" s="27">
        <f>'Statistics NZ'!S$76*'Economic Forecasts'!U$9*1000000/SUM('Statistics NZ'!S$30:S$110,'Statistics NZ'!S$130:S$210)</f>
        <v>31764.215132359681</v>
      </c>
      <c r="T76" s="27">
        <f>'Statistics NZ'!T$76*'Economic Forecasts'!V$9*1000000/SUM('Statistics NZ'!T$30:T$110,'Statistics NZ'!T$130:T$210)</f>
        <v>32221.679707876883</v>
      </c>
      <c r="U76" s="28">
        <f>SUM('Statistics NZ'!U$76,$N$12/5*(U$8-U$9)*1000)*'Economic Forecasts'!W$9*1000000/SUM('Statistics NZ'!U$30:U$110,'Statistics NZ'!U$130:U$210,SUM($E$12:$T$13)*(U$8-U$9)*1000)</f>
        <v>31581.881529361137</v>
      </c>
      <c r="V76" s="28">
        <f>SUM('Statistics NZ'!V$76,$N$12/5*(V$8-V$9)*1000)*'Economic Forecasts'!X$9*1000000/SUM('Statistics NZ'!V$30:V$110,'Statistics NZ'!V$130:V$210,SUM($E$12:$T$13)*(V$8-V$9)*1000)</f>
        <v>30626.649735489271</v>
      </c>
      <c r="W76" s="28">
        <f>SUM('Statistics NZ'!W$76,$N$12/5*(W$8-W$9)*1000)*'Economic Forecasts'!Y$9*1000000/SUM('Statistics NZ'!W$30:W$110,'Statistics NZ'!W$130:W$210,SUM($E$12:$T$13)*(W$8-W$9)*1000)</f>
        <v>30234.331524304776</v>
      </c>
      <c r="X76" s="28">
        <f>SUM('Statistics NZ'!X$76,$N$12/5*(X$8-X$9)*1000)*'Economic Forecasts'!Z$9*1000000/SUM('Statistics NZ'!X$30:X$110,'Statistics NZ'!X$130:X$210,SUM($E$12:$T$13)*(X$8-X$9)*1000)</f>
        <v>30988.163996195522</v>
      </c>
      <c r="Y76" s="28">
        <f>SUM('Statistics NZ'!Y$76,$N$12/5*(Y$8-Y$9)*1000)*'Economic Forecasts'!AA$9*1000000/SUM('Statistics NZ'!Y$30:Y$110,'Statistics NZ'!Y$130:Y$210,SUM($E$12:$T$13)*(Y$8-Y$9)*1000)</f>
        <v>31426.934961272567</v>
      </c>
      <c r="Z76" s="28">
        <f>SUM('Statistics NZ'!Z$76,$N$12/5*(Z$8-Z$9)*1000)*'Economic Forecasts'!AB$9*1000000/SUM('Statistics NZ'!Z$30:Z$110,'Statistics NZ'!Z$130:Z$210,SUM($E$12:$T$13)*(Z$8-Z$9)*1000)</f>
        <v>32194.281332206316</v>
      </c>
      <c r="AA76" s="28">
        <f>SUM('Statistics NZ'!AA$76,$N$12/5*(AA$8-AA$9)*1000)*'Economic Forecasts'!AC$9*1000000/SUM('Statistics NZ'!AA$30:AA$110,'Statistics NZ'!AA$130:AA$210,SUM($E$12:$T$13)*(AA$8-AA$9)*1000)</f>
        <v>32256.228433910394</v>
      </c>
      <c r="AB76" s="18">
        <f>SUM(AA$76,'Statistics NZ'!AB$76-'Statistics NZ'!AA$76,$N$12/5*(AB$8-AB$9)*1000)</f>
        <v>33731.770886053753</v>
      </c>
      <c r="AC76" s="18">
        <f>SUM(AB$76,'Statistics NZ'!AC$76-'Statistics NZ'!AB$76,$N$12/5*(AC$8-AC$9)*1000)</f>
        <v>33355.465854149326</v>
      </c>
      <c r="AD76" s="18">
        <f>SUM(AC$76,'Statistics NZ'!AD$76-'Statistics NZ'!AC$76,$N$12/5*(AD$8-AD$9)*1000)</f>
        <v>32537.005424189148</v>
      </c>
      <c r="AE76" s="18">
        <f>SUM(AD$76,'Statistics NZ'!AE$76-'Statistics NZ'!AD$76,$N$12/5*(AE$8-AE$9)*1000)</f>
        <v>31717.005424189148</v>
      </c>
      <c r="AF76" s="18">
        <f>SUM(AE$76,'Statistics NZ'!AF$76-'Statistics NZ'!AE$76,$N$12/5*(AF$8-AF$9)*1000)</f>
        <v>30717.005424189148</v>
      </c>
      <c r="AG76" s="18">
        <f>SUM(AF$76,'Statistics NZ'!AG$76-'Statistics NZ'!AF$76,$N$12/5*(AG$8-AG$9)*1000)</f>
        <v>29657.005424189148</v>
      </c>
      <c r="AH76" s="18">
        <f>SUM(AG$76,'Statistics NZ'!AH$76-'Statistics NZ'!AG$76,$N$12/5*(AH$8-AH$9)*1000)</f>
        <v>30087.005424189148</v>
      </c>
      <c r="AI76" s="18">
        <f>SUM(AH$76,'Statistics NZ'!AI$76-'Statistics NZ'!AH$76,$N$12/5*(AI$8-AI$9)*1000)</f>
        <v>30127.005424189148</v>
      </c>
      <c r="AJ76" s="18">
        <f>SUM(AI$76,'Statistics NZ'!AJ$76-'Statistics NZ'!AI$76,$N$12/5*(AJ$8-AJ$9)*1000)</f>
        <v>31337.005424189148</v>
      </c>
      <c r="AK76" s="18">
        <f>SUM(AJ$76,'Statistics NZ'!AK$76-'Statistics NZ'!AJ$76,$N$12/5*(AK$8-AK$9)*1000)</f>
        <v>32047.005424189148</v>
      </c>
    </row>
    <row r="77" spans="1:37" x14ac:dyDescent="0.25">
      <c r="A77" s="12">
        <v>62</v>
      </c>
      <c r="B77" s="27">
        <f>'Statistics NZ'!B$77*'Economic Forecasts'!D$9*1000000/SUM('Statistics NZ'!B$30:B$110,'Statistics NZ'!B$130:B$210)</f>
        <v>18276.401562955052</v>
      </c>
      <c r="C77" s="27">
        <f>'Statistics NZ'!C$77*'Economic Forecasts'!E$9*1000000/SUM('Statistics NZ'!C$30:C$110,'Statistics NZ'!C$130:C$210)</f>
        <v>19257.1734642437</v>
      </c>
      <c r="D77" s="27">
        <f>'Statistics NZ'!D$77*'Economic Forecasts'!F$9*1000000/SUM('Statistics NZ'!D$30:D$110,'Statistics NZ'!D$130:D$210)</f>
        <v>20313.392623594034</v>
      </c>
      <c r="E77" s="27">
        <f>'Statistics NZ'!E$77*'Economic Forecasts'!G$9*1000000/SUM('Statistics NZ'!E$30:E$110,'Statistics NZ'!E$130:E$210)</f>
        <v>23899.714826661653</v>
      </c>
      <c r="F77" s="27">
        <f>'Statistics NZ'!F$77*'Economic Forecasts'!H$9*1000000/SUM('Statistics NZ'!F$30:F$110,'Statistics NZ'!F$130:F$210)</f>
        <v>23815.842510261409</v>
      </c>
      <c r="G77" s="27">
        <f>'Statistics NZ'!G$77*'Economic Forecasts'!I$9*1000000/SUM('Statistics NZ'!G$30:G$110,'Statistics NZ'!G$130:G$210)</f>
        <v>23416.773866626743</v>
      </c>
      <c r="H77" s="27">
        <f>'Statistics NZ'!H$77*'Economic Forecasts'!J$9*1000000/SUM('Statistics NZ'!H$30:H$110,'Statistics NZ'!H$130:H$210)</f>
        <v>24081.411137823492</v>
      </c>
      <c r="I77" s="27">
        <f>'Statistics NZ'!I$77*'Economic Forecasts'!K$9*1000000/SUM('Statistics NZ'!I$30:I$110,'Statistics NZ'!I$130:I$210)</f>
        <v>23901.067837240436</v>
      </c>
      <c r="J77" s="27">
        <f>'Statistics NZ'!J$77*'Economic Forecasts'!L$9*1000000/SUM('Statistics NZ'!J$30:J$110,'Statistics NZ'!J$130:J$210)</f>
        <v>24301.690551884469</v>
      </c>
      <c r="K77" s="27">
        <f>'Statistics NZ'!K$77*'Economic Forecasts'!M$9*1000000/SUM('Statistics NZ'!K$30:K$110,'Statistics NZ'!K$130:K$210)</f>
        <v>24759.20578790324</v>
      </c>
      <c r="L77" s="27">
        <f>'Statistics NZ'!L$77*'Economic Forecasts'!N$9*1000000/SUM('Statistics NZ'!L$30:L$110,'Statistics NZ'!L$130:L$210)</f>
        <v>25704.663663639887</v>
      </c>
      <c r="M77" s="27">
        <f>'Statistics NZ'!M$77*'Economic Forecasts'!O$9*1000000/SUM('Statistics NZ'!M$30:M$110,'Statistics NZ'!M$130:M$210)</f>
        <v>26553.701702207785</v>
      </c>
      <c r="N77" s="27">
        <f>'Statistics NZ'!N$77*'Economic Forecasts'!P$9*1000000/SUM('Statistics NZ'!N$30:N$110,'Statistics NZ'!N$130:N$210)</f>
        <v>27221.687143095591</v>
      </c>
      <c r="O77" s="27">
        <f>'Statistics NZ'!O$77*'Economic Forecasts'!Q$9*1000000/SUM('Statistics NZ'!O$30:O$110,'Statistics NZ'!O$130:O$210)</f>
        <v>28009.743603797982</v>
      </c>
      <c r="P77" s="27">
        <f>'Statistics NZ'!P$77*'Economic Forecasts'!R$9*1000000/SUM('Statistics NZ'!P$30:P$110,'Statistics NZ'!P$130:P$210)</f>
        <v>29023.190418076454</v>
      </c>
      <c r="Q77" s="27">
        <f>'Statistics NZ'!Q$77*'Economic Forecasts'!S$9*1000000/SUM('Statistics NZ'!Q$30:Q$110,'Statistics NZ'!Q$130:Q$210)</f>
        <v>30024.029764811345</v>
      </c>
      <c r="R77" s="27">
        <f>'Statistics NZ'!R$77*'Economic Forecasts'!T$9*1000000/SUM('Statistics NZ'!R$30:R$110,'Statistics NZ'!R$130:R$210)</f>
        <v>30027.516221151604</v>
      </c>
      <c r="S77" s="27">
        <f>'Statistics NZ'!S$77*'Economic Forecasts'!U$9*1000000/SUM('Statistics NZ'!S$30:S$110,'Statistics NZ'!S$130:S$210)</f>
        <v>30673.93254123977</v>
      </c>
      <c r="T77" s="27">
        <f>'Statistics NZ'!T$77*'Economic Forecasts'!V$9*1000000/SUM('Statistics NZ'!T$30:T$110,'Statistics NZ'!T$130:T$210)</f>
        <v>31877.850808555035</v>
      </c>
      <c r="U77" s="28">
        <f>SUM('Statistics NZ'!U$77,$N$12/5*(U$8-U$9)*1000)*'Economic Forecasts'!W$9*1000000/SUM('Statistics NZ'!U$30:U$110,'Statistics NZ'!U$130:U$210,SUM($E$12:$T$13)*(U$8-U$9)*1000)</f>
        <v>32162.4592446065</v>
      </c>
      <c r="V77" s="28">
        <f>SUM('Statistics NZ'!V$77,$N$12/5*(V$8-V$9)*1000)*'Economic Forecasts'!X$9*1000000/SUM('Statistics NZ'!V$30:V$110,'Statistics NZ'!V$130:V$210,SUM($E$12:$T$13)*(V$8-V$9)*1000)</f>
        <v>31431.01840645503</v>
      </c>
      <c r="W77" s="28">
        <f>SUM('Statistics NZ'!W$77,$N$12/5*(W$8-W$9)*1000)*'Economic Forecasts'!Y$9*1000000/SUM('Statistics NZ'!W$30:W$110,'Statistics NZ'!W$130:W$210,SUM($E$12:$T$13)*(W$8-W$9)*1000)</f>
        <v>30537.57329094538</v>
      </c>
      <c r="X77" s="28">
        <f>SUM('Statistics NZ'!X$77,$N$12/5*(X$8-X$9)*1000)*'Economic Forecasts'!Z$9*1000000/SUM('Statistics NZ'!X$30:X$110,'Statistics NZ'!X$130:X$210,SUM($E$12:$T$13)*(X$8-X$9)*1000)</f>
        <v>30167.492673089244</v>
      </c>
      <c r="Y77" s="28">
        <f>SUM('Statistics NZ'!Y$77,$N$12/5*(Y$8-Y$9)*1000)*'Economic Forecasts'!AA$9*1000000/SUM('Statistics NZ'!Y$30:Y$110,'Statistics NZ'!Y$130:Y$210,SUM($E$12:$T$13)*(Y$8-Y$9)*1000)</f>
        <v>30958.024385869354</v>
      </c>
      <c r="Z77" s="28">
        <f>SUM('Statistics NZ'!Z$77,$N$12/5*(Z$8-Z$9)*1000)*'Economic Forecasts'!AB$9*1000000/SUM('Statistics NZ'!Z$30:Z$110,'Statistics NZ'!Z$130:Z$210,SUM($E$12:$T$13)*(Z$8-Z$9)*1000)</f>
        <v>31402.825829095313</v>
      </c>
      <c r="AA77" s="28">
        <f>SUM('Statistics NZ'!AA$77,$N$12/5*(AA$8-AA$9)*1000)*'Economic Forecasts'!AC$9*1000000/SUM('Statistics NZ'!AA$30:AA$110,'Statistics NZ'!AA$130:AA$210,SUM($E$12:$T$13)*(AA$8-AA$9)*1000)</f>
        <v>32178.026060931905</v>
      </c>
      <c r="AB77" s="18">
        <f>SUM(AA$77,'Statistics NZ'!AB$77-'Statistics NZ'!AA$77,$N$12/5*(AB$8-AB$9)*1000)</f>
        <v>32243.568513075264</v>
      </c>
      <c r="AC77" s="18">
        <f>SUM(AB$77,'Statistics NZ'!AC$77-'Statistics NZ'!AB$77,$N$12/5*(AC$8-AC$9)*1000)</f>
        <v>33707.263481170841</v>
      </c>
      <c r="AD77" s="18">
        <f>SUM(AC$77,'Statistics NZ'!AD$77-'Statistics NZ'!AC$77,$N$12/5*(AD$8-AD$9)*1000)</f>
        <v>33338.803051210663</v>
      </c>
      <c r="AE77" s="18">
        <f>SUM(AD$77,'Statistics NZ'!AE$77-'Statistics NZ'!AD$77,$N$12/5*(AE$8-AE$9)*1000)</f>
        <v>32528.803051210663</v>
      </c>
      <c r="AF77" s="18">
        <f>SUM(AE$77,'Statistics NZ'!AF$77-'Statistics NZ'!AE$77,$N$12/5*(AF$8-AF$9)*1000)</f>
        <v>31718.803051210663</v>
      </c>
      <c r="AG77" s="18">
        <f>SUM(AF$77,'Statistics NZ'!AG$77-'Statistics NZ'!AF$77,$N$12/5*(AG$8-AG$9)*1000)</f>
        <v>30718.803051210663</v>
      </c>
      <c r="AH77" s="18">
        <f>SUM(AG$77,'Statistics NZ'!AH$77-'Statistics NZ'!AG$77,$N$12/5*(AH$8-AH$9)*1000)</f>
        <v>29668.803051210663</v>
      </c>
      <c r="AI77" s="18">
        <f>SUM(AH$77,'Statistics NZ'!AI$77-'Statistics NZ'!AH$77,$N$12/5*(AI$8-AI$9)*1000)</f>
        <v>30098.803051210663</v>
      </c>
      <c r="AJ77" s="18">
        <f>SUM(AI$77,'Statistics NZ'!AJ$77-'Statistics NZ'!AI$77,$N$12/5*(AJ$8-AJ$9)*1000)</f>
        <v>30138.803051210663</v>
      </c>
      <c r="AK77" s="18">
        <f>SUM(AJ$77,'Statistics NZ'!AK$77-'Statistics NZ'!AJ$77,$N$12/5*(AK$8-AK$9)*1000)</f>
        <v>31348.803051210663</v>
      </c>
    </row>
    <row r="78" spans="1:37" x14ac:dyDescent="0.25">
      <c r="A78" s="12">
        <v>63</v>
      </c>
      <c r="B78" s="27">
        <f>'Statistics NZ'!B$78*'Economic Forecasts'!D$9*1000000/SUM('Statistics NZ'!B$30:B$110,'Statistics NZ'!B$130:B$210)</f>
        <v>16476.156441122221</v>
      </c>
      <c r="C78" s="27">
        <f>'Statistics NZ'!C$78*'Economic Forecasts'!E$9*1000000/SUM('Statistics NZ'!C$30:C$110,'Statistics NZ'!C$130:C$210)</f>
        <v>18265.345560169957</v>
      </c>
      <c r="D78" s="27">
        <f>'Statistics NZ'!D$78*'Economic Forecasts'!F$9*1000000/SUM('Statistics NZ'!D$30:D$110,'Statistics NZ'!D$130:D$210)</f>
        <v>19193.602121132855</v>
      </c>
      <c r="E78" s="27">
        <f>'Statistics NZ'!E$78*'Economic Forecasts'!G$9*1000000/SUM('Statistics NZ'!E$30:E$110,'Statistics NZ'!E$130:E$210)</f>
        <v>20182.853144550547</v>
      </c>
      <c r="F78" s="27">
        <f>'Statistics NZ'!F$78*'Economic Forecasts'!H$9*1000000/SUM('Statistics NZ'!F$30:F$110,'Statistics NZ'!F$130:F$210)</f>
        <v>23806.033678914511</v>
      </c>
      <c r="G78" s="27">
        <f>'Statistics NZ'!G$78*'Economic Forecasts'!I$9*1000000/SUM('Statistics NZ'!G$30:G$110,'Statistics NZ'!G$130:G$210)</f>
        <v>23770.382867968423</v>
      </c>
      <c r="H78" s="27">
        <f>'Statistics NZ'!H$78*'Economic Forecasts'!J$9*1000000/SUM('Statistics NZ'!H$30:H$110,'Statistics NZ'!H$130:H$210)</f>
        <v>23403.476674947186</v>
      </c>
      <c r="I78" s="27">
        <f>'Statistics NZ'!I$78*'Economic Forecasts'!K$9*1000000/SUM('Statistics NZ'!I$30:I$110,'Statistics NZ'!I$130:I$210)</f>
        <v>23989.29983499891</v>
      </c>
      <c r="J78" s="27">
        <f>'Statistics NZ'!J$78*'Economic Forecasts'!L$9*1000000/SUM('Statistics NZ'!J$30:J$110,'Statistics NZ'!J$130:J$210)</f>
        <v>23667.818206028729</v>
      </c>
      <c r="K78" s="27">
        <f>'Statistics NZ'!K$78*'Economic Forecasts'!M$9*1000000/SUM('Statistics NZ'!K$30:K$110,'Statistics NZ'!K$130:K$210)</f>
        <v>24262.65860143723</v>
      </c>
      <c r="L78" s="27">
        <f>'Statistics NZ'!L$78*'Economic Forecasts'!N$9*1000000/SUM('Statistics NZ'!L$30:L$110,'Statistics NZ'!L$130:L$210)</f>
        <v>24750.475391277501</v>
      </c>
      <c r="M78" s="27">
        <f>'Statistics NZ'!M$78*'Economic Forecasts'!O$9*1000000/SUM('Statistics NZ'!M$30:M$110,'Statistics NZ'!M$130:M$210)</f>
        <v>25762.366221016167</v>
      </c>
      <c r="N78" s="27">
        <f>'Statistics NZ'!N$78*'Economic Forecasts'!P$9*1000000/SUM('Statistics NZ'!N$30:N$110,'Statistics NZ'!N$130:N$210)</f>
        <v>26536.74174409606</v>
      </c>
      <c r="O78" s="27">
        <f>'Statistics NZ'!O$78*'Economic Forecasts'!Q$9*1000000/SUM('Statistics NZ'!O$30:O$110,'Statistics NZ'!O$130:O$210)</f>
        <v>27263.340899068444</v>
      </c>
      <c r="P78" s="27">
        <f>'Statistics NZ'!P$78*'Economic Forecasts'!R$9*1000000/SUM('Statistics NZ'!P$30:P$110,'Statistics NZ'!P$130:P$210)</f>
        <v>28132.127554363578</v>
      </c>
      <c r="Q78" s="27">
        <f>'Statistics NZ'!Q$78*'Economic Forecasts'!S$9*1000000/SUM('Statistics NZ'!Q$30:Q$110,'Statistics NZ'!Q$130:Q$210)</f>
        <v>28868.119438229271</v>
      </c>
      <c r="R78" s="27">
        <f>'Statistics NZ'!R$78*'Economic Forecasts'!T$9*1000000/SUM('Statistics NZ'!R$30:R$110,'Statistics NZ'!R$130:R$210)</f>
        <v>29543.201443391095</v>
      </c>
      <c r="S78" s="27">
        <f>'Statistics NZ'!S$78*'Economic Forecasts'!U$9*1000000/SUM('Statistics NZ'!S$30:S$110,'Statistics NZ'!S$130:S$210)</f>
        <v>29320.813968332015</v>
      </c>
      <c r="T78" s="27">
        <f>'Statistics NZ'!T$78*'Economic Forecasts'!V$9*1000000/SUM('Statistics NZ'!T$30:T$110,'Statistics NZ'!T$130:T$210)</f>
        <v>30816.893062076157</v>
      </c>
      <c r="U78" s="28">
        <f>SUM('Statistics NZ'!U$78,$N$12/5*(U$8-U$9)*1000)*'Economic Forecasts'!W$9*1000000/SUM('Statistics NZ'!U$30:U$110,'Statistics NZ'!U$130:U$210,SUM($E$12:$T$13)*(U$8-U$9)*1000)</f>
        <v>31798.368135045857</v>
      </c>
      <c r="V78" s="28">
        <f>SUM('Statistics NZ'!V$78,$N$12/5*(V$8-V$9)*1000)*'Economic Forecasts'!X$9*1000000/SUM('Statistics NZ'!V$30:V$110,'Statistics NZ'!V$130:V$210,SUM($E$12:$T$13)*(V$8-V$9)*1000)</f>
        <v>31990.152726516586</v>
      </c>
      <c r="W78" s="28">
        <f>SUM('Statistics NZ'!W$78,$N$12/5*(W$8-W$9)*1000)*'Economic Forecasts'!Y$9*1000000/SUM('Statistics NZ'!W$30:W$110,'Statistics NZ'!W$130:W$210,SUM($E$12:$T$13)*(W$8-W$9)*1000)</f>
        <v>31320.132688727579</v>
      </c>
      <c r="X78" s="28">
        <f>SUM('Statistics NZ'!X$78,$N$12/5*(X$8-X$9)*1000)*'Economic Forecasts'!Z$9*1000000/SUM('Statistics NZ'!X$30:X$110,'Statistics NZ'!X$130:X$210,SUM($E$12:$T$13)*(X$8-X$9)*1000)</f>
        <v>30460.589574198631</v>
      </c>
      <c r="Y78" s="28">
        <f>SUM('Statistics NZ'!Y$78,$N$12/5*(Y$8-Y$9)*1000)*'Economic Forecasts'!AA$9*1000000/SUM('Statistics NZ'!Y$30:Y$110,'Statistics NZ'!Y$130:Y$210,SUM($E$12:$T$13)*(Y$8-Y$9)*1000)</f>
        <v>30127.661908592825</v>
      </c>
      <c r="Z78" s="28">
        <f>SUM('Statistics NZ'!Z$78,$N$12/5*(Z$8-Z$9)*1000)*'Economic Forecasts'!AB$9*1000000/SUM('Statistics NZ'!Z$30:Z$110,'Statistics NZ'!Z$130:Z$210,SUM($E$12:$T$13)*(Z$8-Z$9)*1000)</f>
        <v>30924.044104991124</v>
      </c>
      <c r="AA78" s="28">
        <f>SUM('Statistics NZ'!AA$78,$N$12/5*(AA$8-AA$9)*1000)*'Economic Forecasts'!AC$9*1000000/SUM('Statistics NZ'!AA$30:AA$110,'Statistics NZ'!AA$130:AA$210,SUM($E$12:$T$13)*(AA$8-AA$9)*1000)</f>
        <v>31376.451737902367</v>
      </c>
      <c r="AB78" s="18">
        <f>SUM(AA$78,'Statistics NZ'!AB$78-'Statistics NZ'!AA$78,$N$12/5*(AB$8-AB$9)*1000)</f>
        <v>32161.994190045727</v>
      </c>
      <c r="AC78" s="18">
        <f>SUM(AB$78,'Statistics NZ'!AC$78-'Statistics NZ'!AB$78,$N$12/5*(AC$8-AC$9)*1000)</f>
        <v>32225.6891581413</v>
      </c>
      <c r="AD78" s="18">
        <f>SUM(AC$78,'Statistics NZ'!AD$78-'Statistics NZ'!AC$78,$N$12/5*(AD$8-AD$9)*1000)</f>
        <v>33687.228728181122</v>
      </c>
      <c r="AE78" s="18">
        <f>SUM(AD$78,'Statistics NZ'!AE$78-'Statistics NZ'!AD$78,$N$12/5*(AE$8-AE$9)*1000)</f>
        <v>33317.228728181122</v>
      </c>
      <c r="AF78" s="18">
        <f>SUM(AE$78,'Statistics NZ'!AF$78-'Statistics NZ'!AE$78,$N$12/5*(AF$8-AF$9)*1000)</f>
        <v>32527.228728181122</v>
      </c>
      <c r="AG78" s="18">
        <f>SUM(AF$78,'Statistics NZ'!AG$78-'Statistics NZ'!AF$78,$N$12/5*(AG$8-AG$9)*1000)</f>
        <v>31717.228728181122</v>
      </c>
      <c r="AH78" s="18">
        <f>SUM(AG$78,'Statistics NZ'!AH$78-'Statistics NZ'!AG$78,$N$12/5*(AH$8-AH$9)*1000)</f>
        <v>30727.228728181122</v>
      </c>
      <c r="AI78" s="18">
        <f>SUM(AH$78,'Statistics NZ'!AI$78-'Statistics NZ'!AH$78,$N$12/5*(AI$8-AI$9)*1000)</f>
        <v>29677.228728181122</v>
      </c>
      <c r="AJ78" s="18">
        <f>SUM(AI$78,'Statistics NZ'!AJ$78-'Statistics NZ'!AI$78,$N$12/5*(AJ$8-AJ$9)*1000)</f>
        <v>30107.228728181122</v>
      </c>
      <c r="AK78" s="18">
        <f>SUM(AJ$78,'Statistics NZ'!AK$78-'Statistics NZ'!AJ$78,$N$12/5*(AK$8-AK$9)*1000)</f>
        <v>30157.228728181122</v>
      </c>
    </row>
    <row r="79" spans="1:37" x14ac:dyDescent="0.25">
      <c r="A79" s="12">
        <v>64</v>
      </c>
      <c r="B79" s="27">
        <f>'Statistics NZ'!B$79*'Economic Forecasts'!D$9*1000000/SUM('Statistics NZ'!B$30:B$110,'Statistics NZ'!B$130:B$210)</f>
        <v>18325.321267352683</v>
      </c>
      <c r="C79" s="27">
        <f>'Statistics NZ'!C$79*'Economic Forecasts'!E$9*1000000/SUM('Statistics NZ'!C$30:C$110,'Statistics NZ'!C$130:C$210)</f>
        <v>16448.631082411117</v>
      </c>
      <c r="D79" s="27">
        <f>'Statistics NZ'!D$79*'Economic Forecasts'!F$9*1000000/SUM('Statistics NZ'!D$30:D$110,'Statistics NZ'!D$130:D$210)</f>
        <v>18201.507026847074</v>
      </c>
      <c r="E79" s="27">
        <f>'Statistics NZ'!E$79*'Economic Forecasts'!G$9*1000000/SUM('Statistics NZ'!E$30:E$110,'Statistics NZ'!E$130:E$210)</f>
        <v>19113.887647584554</v>
      </c>
      <c r="F79" s="27">
        <f>'Statistics NZ'!F$79*'Economic Forecasts'!H$9*1000000/SUM('Statistics NZ'!F$30:F$110,'Statistics NZ'!F$130:F$210)</f>
        <v>20127.721923828834</v>
      </c>
      <c r="G79" s="27">
        <f>'Statistics NZ'!G$79*'Economic Forecasts'!I$9*1000000/SUM('Statistics NZ'!G$30:G$110,'Statistics NZ'!G$130:G$210)</f>
        <v>23740.915451189947</v>
      </c>
      <c r="H79" s="27">
        <f>'Statistics NZ'!H$79*'Economic Forecasts'!J$9*1000000/SUM('Statistics NZ'!H$30:H$110,'Statistics NZ'!H$130:H$210)</f>
        <v>23727.706200670636</v>
      </c>
      <c r="I79" s="27">
        <f>'Statistics NZ'!I$79*'Economic Forecasts'!K$9*1000000/SUM('Statistics NZ'!I$30:I$110,'Statistics NZ'!I$130:I$210)</f>
        <v>23332.461629463593</v>
      </c>
      <c r="J79" s="27">
        <f>'Statistics NZ'!J$79*'Economic Forecasts'!L$9*1000000/SUM('Statistics NZ'!J$30:J$110,'Statistics NZ'!J$130:J$210)</f>
        <v>23765.337028468071</v>
      </c>
      <c r="K79" s="27">
        <f>'Statistics NZ'!K$79*'Economic Forecasts'!M$9*1000000/SUM('Statistics NZ'!K$30:K$110,'Statistics NZ'!K$130:K$210)</f>
        <v>23503.23349272451</v>
      </c>
      <c r="L79" s="27">
        <f>'Statistics NZ'!L$79*'Economic Forecasts'!N$9*1000000/SUM('Statistics NZ'!L$30:L$110,'Statistics NZ'!L$130:L$210)</f>
        <v>24176.01510485524</v>
      </c>
      <c r="M79" s="27">
        <f>'Statistics NZ'!M$79*'Economic Forecasts'!O$9*1000000/SUM('Statistics NZ'!M$30:M$110,'Statistics NZ'!M$130:M$210)</f>
        <v>24814.71755835459</v>
      </c>
      <c r="N79" s="27">
        <f>'Statistics NZ'!N$79*'Economic Forecasts'!P$9*1000000/SUM('Statistics NZ'!N$30:N$110,'Statistics NZ'!N$130:N$210)</f>
        <v>25675.667528210939</v>
      </c>
      <c r="O79" s="27">
        <f>'Statistics NZ'!O$79*'Economic Forecasts'!Q$9*1000000/SUM('Statistics NZ'!O$30:O$110,'Statistics NZ'!O$130:O$210)</f>
        <v>26507.117106118778</v>
      </c>
      <c r="P79" s="27">
        <f>'Statistics NZ'!P$79*'Economic Forecasts'!R$9*1000000/SUM('Statistics NZ'!P$30:P$110,'Statistics NZ'!P$130:P$210)</f>
        <v>27417.318883473032</v>
      </c>
      <c r="Q79" s="27">
        <f>'Statistics NZ'!Q$79*'Economic Forecasts'!S$9*1000000/SUM('Statistics NZ'!Q$30:Q$110,'Statistics NZ'!Q$130:Q$210)</f>
        <v>28038.235101195987</v>
      </c>
      <c r="R79" s="27">
        <f>'Statistics NZ'!R$79*'Economic Forecasts'!T$9*1000000/SUM('Statistics NZ'!R$30:R$110,'Statistics NZ'!R$130:R$210)</f>
        <v>28465.848162250371</v>
      </c>
      <c r="S79" s="27">
        <f>'Statistics NZ'!S$79*'Economic Forecasts'!U$9*1000000/SUM('Statistics NZ'!S$30:S$110,'Statistics NZ'!S$130:S$210)</f>
        <v>28824.346002732767</v>
      </c>
      <c r="T79" s="27">
        <f>'Statistics NZ'!T$79*'Economic Forecasts'!V$9*1000000/SUM('Statistics NZ'!T$30:T$110,'Statistics NZ'!T$130:T$210)</f>
        <v>29431.75378195096</v>
      </c>
      <c r="U79" s="28">
        <f>SUM('Statistics NZ'!U$79,$N$12/5*(U$8-U$9)*1000)*'Economic Forecasts'!W$9*1000000/SUM('Statistics NZ'!U$30:U$110,'Statistics NZ'!U$130:U$210,SUM($E$12:$T$13)*(U$8-U$9)*1000)</f>
        <v>30715.935106622295</v>
      </c>
      <c r="V79" s="28">
        <f>SUM('Statistics NZ'!V$79,$N$12/5*(V$8-V$9)*1000)*'Economic Forecasts'!X$9*1000000/SUM('Statistics NZ'!V$30:V$110,'Statistics NZ'!V$130:V$210,SUM($E$12:$T$13)*(V$8-V$9)*1000)</f>
        <v>31607.58713910605</v>
      </c>
      <c r="W79" s="28">
        <f>SUM('Statistics NZ'!W$79,$N$12/5*(W$8-W$9)*1000)*'Economic Forecasts'!Y$9*1000000/SUM('Statistics NZ'!W$30:W$110,'Statistics NZ'!W$130:W$210,SUM($E$12:$T$13)*(W$8-W$9)*1000)</f>
        <v>31848.360282230562</v>
      </c>
      <c r="X79" s="28">
        <f>SUM('Statistics NZ'!X$79,$N$12/5*(X$8-X$9)*1000)*'Economic Forecasts'!Z$9*1000000/SUM('Statistics NZ'!X$30:X$110,'Statistics NZ'!X$130:X$210,SUM($E$12:$T$13)*(X$8-X$9)*1000)</f>
        <v>31212.871620379388</v>
      </c>
      <c r="Y79" s="28">
        <f>SUM('Statistics NZ'!Y$79,$N$12/5*(Y$8-Y$9)*1000)*'Economic Forecasts'!AA$9*1000000/SUM('Statistics NZ'!Y$30:Y$110,'Statistics NZ'!Y$130:Y$210,SUM($E$12:$T$13)*(Y$8-Y$9)*1000)</f>
        <v>30381.655136936235</v>
      </c>
      <c r="Z79" s="28">
        <f>SUM('Statistics NZ'!Z$79,$N$12/5*(Z$8-Z$9)*1000)*'Economic Forecasts'!AB$9*1000000/SUM('Statistics NZ'!Z$30:Z$110,'Statistics NZ'!Z$130:Z$210,SUM($E$12:$T$13)*(Z$8-Z$9)*1000)</f>
        <v>30064.191212722366</v>
      </c>
      <c r="AA79" s="28">
        <f>SUM('Statistics NZ'!AA$79,$N$12/5*(AA$8-AA$9)*1000)*'Economic Forecasts'!AC$9*1000000/SUM('Statistics NZ'!AA$30:AA$110,'Statistics NZ'!AA$130:AA$210,SUM($E$12:$T$13)*(AA$8-AA$9)*1000)</f>
        <v>30868.136313542174</v>
      </c>
      <c r="AB79" s="18">
        <f>SUM(AA$79,'Statistics NZ'!AB$79-'Statistics NZ'!AA$79,$N$12/5*(AB$8-AB$9)*1000)</f>
        <v>31323.678765685534</v>
      </c>
      <c r="AC79" s="18">
        <f>SUM(AB$79,'Statistics NZ'!AC$79-'Statistics NZ'!AB$79,$N$12/5*(AC$8-AC$9)*1000)</f>
        <v>32117.373733781107</v>
      </c>
      <c r="AD79" s="18">
        <f>SUM(AC$79,'Statistics NZ'!AD$79-'Statistics NZ'!AC$79,$N$12/5*(AD$8-AD$9)*1000)</f>
        <v>32178.913303820929</v>
      </c>
      <c r="AE79" s="18">
        <f>SUM(AD$79,'Statistics NZ'!AE$79-'Statistics NZ'!AD$79,$N$12/5*(AE$8-AE$9)*1000)</f>
        <v>33638.913303820926</v>
      </c>
      <c r="AF79" s="18">
        <f>SUM(AE$79,'Statistics NZ'!AF$79-'Statistics NZ'!AE$79,$N$12/5*(AF$8-AF$9)*1000)</f>
        <v>33278.913303820926</v>
      </c>
      <c r="AG79" s="18">
        <f>SUM(AF$79,'Statistics NZ'!AG$79-'Statistics NZ'!AF$79,$N$12/5*(AG$8-AG$9)*1000)</f>
        <v>32488.913303820926</v>
      </c>
      <c r="AH79" s="18">
        <f>SUM(AG$79,'Statistics NZ'!AH$79-'Statistics NZ'!AG$79,$N$12/5*(AH$8-AH$9)*1000)</f>
        <v>31688.913303820926</v>
      </c>
      <c r="AI79" s="18">
        <f>SUM(AH$79,'Statistics NZ'!AI$79-'Statistics NZ'!AH$79,$N$12/5*(AI$8-AI$9)*1000)</f>
        <v>30708.913303820926</v>
      </c>
      <c r="AJ79" s="18">
        <f>SUM(AI$79,'Statistics NZ'!AJ$79-'Statistics NZ'!AI$79,$N$12/5*(AJ$8-AJ$9)*1000)</f>
        <v>29668.913303820926</v>
      </c>
      <c r="AK79" s="18">
        <f>SUM(AJ$79,'Statistics NZ'!AK$79-'Statistics NZ'!AJ$79,$N$12/5*(AK$8-AK$9)*1000)</f>
        <v>30098.913303820926</v>
      </c>
    </row>
    <row r="80" spans="1:37" x14ac:dyDescent="0.25">
      <c r="A80" s="12">
        <v>65</v>
      </c>
      <c r="B80" s="27">
        <f>'Statistics NZ'!B$80*'Economic Forecasts'!D$9*1000000/SUM('Statistics NZ'!B$30:B$110,'Statistics NZ'!B$130:B$210)</f>
        <v>18002.451218328319</v>
      </c>
      <c r="C80" s="27">
        <f>'Statistics NZ'!C$80*'Economic Forecasts'!E$9*1000000/SUM('Statistics NZ'!C$30:C$110,'Statistics NZ'!C$130:C$210)</f>
        <v>18294.805794944426</v>
      </c>
      <c r="D80" s="27">
        <f>'Statistics NZ'!D$80*'Economic Forecasts'!F$9*1000000/SUM('Statistics NZ'!D$30:D$110,'Statistics NZ'!D$130:D$210)</f>
        <v>16374.480417568304</v>
      </c>
      <c r="E80" s="27">
        <f>'Statistics NZ'!E$80*'Economic Forecasts'!G$9*1000000/SUM('Statistics NZ'!E$30:E$110,'Statistics NZ'!E$130:E$210)</f>
        <v>18084.150242250344</v>
      </c>
      <c r="F80" s="27">
        <f>'Statistics NZ'!F$80*'Economic Forecasts'!H$9*1000000/SUM('Statistics NZ'!F$30:F$110,'Statistics NZ'!F$130:F$210)</f>
        <v>19068.368138364156</v>
      </c>
      <c r="G80" s="27">
        <f>'Statistics NZ'!G$80*'Economic Forecasts'!I$9*1000000/SUM('Statistics NZ'!G$30:G$110,'Statistics NZ'!G$130:G$210)</f>
        <v>20086.955770659264</v>
      </c>
      <c r="H80" s="27">
        <f>'Statistics NZ'!H$80*'Economic Forecasts'!J$9*1000000/SUM('Statistics NZ'!H$30:H$110,'Statistics NZ'!H$130:H$210)</f>
        <v>23619.629692096154</v>
      </c>
      <c r="I80" s="27">
        <f>'Statistics NZ'!I$80*'Economic Forecasts'!K$9*1000000/SUM('Statistics NZ'!I$30:I$110,'Statistics NZ'!I$130:I$210)</f>
        <v>23577.550512126025</v>
      </c>
      <c r="J80" s="27">
        <f>'Statistics NZ'!J$80*'Economic Forecasts'!L$9*1000000/SUM('Statistics NZ'!J$30:J$110,'Statistics NZ'!J$130:J$210)</f>
        <v>23033.945860173</v>
      </c>
      <c r="K80" s="27">
        <f>'Statistics NZ'!K$80*'Economic Forecasts'!M$9*1000000/SUM('Statistics NZ'!K$30:K$110,'Statistics NZ'!K$130:K$210)</f>
        <v>23629.804344176628</v>
      </c>
      <c r="L80" s="27">
        <f>'Statistics NZ'!L$80*'Economic Forecasts'!N$9*1000000/SUM('Statistics NZ'!L$30:L$110,'Statistics NZ'!L$130:L$210)</f>
        <v>23416.559132974973</v>
      </c>
      <c r="M80" s="27">
        <f>'Statistics NZ'!M$80*'Economic Forecasts'!O$9*1000000/SUM('Statistics NZ'!M$30:M$110,'Statistics NZ'!M$130:M$210)</f>
        <v>24150.386537107301</v>
      </c>
      <c r="N80" s="27">
        <f>'Statistics NZ'!N$80*'Economic Forecasts'!P$9*1000000/SUM('Statistics NZ'!N$30:N$110,'Statistics NZ'!N$130:N$210)</f>
        <v>24755.883706697285</v>
      </c>
      <c r="O80" s="27">
        <f>'Statistics NZ'!O$80*'Economic Forecasts'!Q$9*1000000/SUM('Statistics NZ'!O$30:O$110,'Statistics NZ'!O$130:O$210)</f>
        <v>25603.57698986723</v>
      </c>
      <c r="P80" s="27">
        <f>'Statistics NZ'!P$80*'Economic Forecasts'!R$9*1000000/SUM('Statistics NZ'!P$30:P$110,'Statistics NZ'!P$130:P$210)</f>
        <v>26585.0074173676</v>
      </c>
      <c r="Q80" s="27">
        <f>'Statistics NZ'!Q$80*'Economic Forecasts'!S$9*1000000/SUM('Statistics NZ'!Q$30:Q$110,'Statistics NZ'!Q$130:Q$210)</f>
        <v>27287.38736768968</v>
      </c>
      <c r="R80" s="27">
        <f>'Statistics NZ'!R$80*'Economic Forecasts'!T$9*1000000/SUM('Statistics NZ'!R$30:R$110,'Statistics NZ'!R$130:R$210)</f>
        <v>27625.710282461732</v>
      </c>
      <c r="S80" s="27">
        <f>'Statistics NZ'!S$80*'Economic Forecasts'!U$9*1000000/SUM('Statistics NZ'!S$30:S$110,'Statistics NZ'!S$130:S$210)</f>
        <v>27753.532743597138</v>
      </c>
      <c r="T80" s="27">
        <f>'Statistics NZ'!T$80*'Economic Forecasts'!V$9*1000000/SUM('Statistics NZ'!T$30:T$110,'Statistics NZ'!T$130:T$210)</f>
        <v>28911.098591549293</v>
      </c>
      <c r="U80" s="28">
        <f>SUM('Statistics NZ'!U$80,$O$12/5*(U$8-U$9)*1000)*'Economic Forecasts'!W$9*1000000/SUM('Statistics NZ'!U$30:U$110,'Statistics NZ'!U$130:U$210,SUM($E$12:$T$13)*(U$8-U$9)*1000)</f>
        <v>29340.691441639319</v>
      </c>
      <c r="V80" s="28">
        <f>SUM('Statistics NZ'!V$80,$O$12/5*(V$8-V$9)*1000)*'Economic Forecasts'!X$9*1000000/SUM('Statistics NZ'!V$30:V$110,'Statistics NZ'!V$130:V$210,SUM($E$12:$T$13)*(V$8-V$9)*1000)</f>
        <v>30527.377707342337</v>
      </c>
      <c r="W80" s="28">
        <f>SUM('Statistics NZ'!W$80,$O$12/5*(W$8-W$9)*1000)*'Economic Forecasts'!Y$9*1000000/SUM('Statistics NZ'!W$30:W$110,'Statistics NZ'!W$130:W$210,SUM($E$12:$T$13)*(W$8-W$9)*1000)</f>
        <v>31438.406388049407</v>
      </c>
      <c r="X80" s="28">
        <f>SUM('Statistics NZ'!X$80,$O$12/5*(X$8-X$9)*1000)*'Economic Forecasts'!Z$9*1000000/SUM('Statistics NZ'!X$30:X$110,'Statistics NZ'!X$130:X$210,SUM($E$12:$T$13)*(X$8-X$9)*1000)</f>
        <v>31697.51546816546</v>
      </c>
      <c r="Y80" s="28">
        <f>SUM('Statistics NZ'!Y$80,$O$12/5*(Y$8-Y$9)*1000)*'Economic Forecasts'!AA$9*1000000/SUM('Statistics NZ'!Y$30:Y$110,'Statistics NZ'!Y$130:Y$210,SUM($E$12:$T$13)*(Y$8-Y$9)*1000)</f>
        <v>31099.671612448637</v>
      </c>
      <c r="Z80" s="28">
        <f>SUM('Statistics NZ'!Z$80,$O$12/5*(Z$8-Z$9)*1000)*'Economic Forecasts'!AB$9*1000000/SUM('Statistics NZ'!Z$30:Z$110,'Statistics NZ'!Z$130:Z$210,SUM($E$12:$T$13)*(Z$8-Z$9)*1000)</f>
        <v>30294.548837844941</v>
      </c>
      <c r="AA80" s="28">
        <f>SUM('Statistics NZ'!AA$80,$O$12/5*(AA$8-AA$9)*1000)*'Economic Forecasts'!AC$9*1000000/SUM('Statistics NZ'!AA$30:AA$110,'Statistics NZ'!AA$130:AA$210,SUM($E$12:$T$13)*(AA$8-AA$9)*1000)</f>
        <v>29994.429995045793</v>
      </c>
      <c r="AB80" s="18">
        <f>SUM(AA$80,'Statistics NZ'!AB$80-'Statistics NZ'!AA$80,$O$12/5*(AB$8-AB$9)*1000)</f>
        <v>30807.243587019741</v>
      </c>
      <c r="AC80" s="18">
        <f>SUM(AB$80,'Statistics NZ'!AC$80-'Statistics NZ'!AB$80,$O$12/5*(AC$8-AC$9)*1000)</f>
        <v>31259.119315002372</v>
      </c>
      <c r="AD80" s="18">
        <f>SUM(AC$80,'Statistics NZ'!AD$80-'Statistics NZ'!AC$80,$O$12/5*(AD$8-AD$9)*1000)</f>
        <v>32049.90086832847</v>
      </c>
      <c r="AE80" s="18">
        <f>SUM(AD$80,'Statistics NZ'!AE$80-'Statistics NZ'!AD$80,$O$12/5*(AE$8-AE$9)*1000)</f>
        <v>32109.90086832847</v>
      </c>
      <c r="AF80" s="18">
        <f>SUM(AE$80,'Statistics NZ'!AF$80-'Statistics NZ'!AE$80,$O$12/5*(AF$8-AF$9)*1000)</f>
        <v>33569.90086832847</v>
      </c>
      <c r="AG80" s="18">
        <f>SUM(AF$80,'Statistics NZ'!AG$80-'Statistics NZ'!AF$80,$O$12/5*(AG$8-AG$9)*1000)</f>
        <v>33209.90086832847</v>
      </c>
      <c r="AH80" s="18">
        <f>SUM(AG$80,'Statistics NZ'!AH$80-'Statistics NZ'!AG$80,$O$12/5*(AH$8-AH$9)*1000)</f>
        <v>32429.90086832847</v>
      </c>
      <c r="AI80" s="18">
        <f>SUM(AH$80,'Statistics NZ'!AI$80-'Statistics NZ'!AH$80,$O$12/5*(AI$8-AI$9)*1000)</f>
        <v>31639.90086832847</v>
      </c>
      <c r="AJ80" s="18">
        <f>SUM(AI$80,'Statistics NZ'!AJ$80-'Statistics NZ'!AI$80,$O$12/5*(AJ$8-AJ$9)*1000)</f>
        <v>30669.90086832847</v>
      </c>
      <c r="AK80" s="18">
        <f>SUM(AJ$80,'Statistics NZ'!AK$80-'Statistics NZ'!AJ$80,$O$12/5*(AK$8-AK$9)*1000)</f>
        <v>29629.90086832847</v>
      </c>
    </row>
    <row r="81" spans="1:37" x14ac:dyDescent="0.25">
      <c r="A81" s="12">
        <v>66</v>
      </c>
      <c r="B81" s="27">
        <f>'Statistics NZ'!B$81*'Economic Forecasts'!D$9*1000000/SUM('Statistics NZ'!B$30:B$110,'Statistics NZ'!B$130:B$210)</f>
        <v>16534.860086399378</v>
      </c>
      <c r="C81" s="27">
        <f>'Statistics NZ'!C$81*'Economic Forecasts'!E$9*1000000/SUM('Statistics NZ'!C$30:C$110,'Statistics NZ'!C$130:C$210)</f>
        <v>17911.822742876346</v>
      </c>
      <c r="D81" s="27">
        <f>'Statistics NZ'!D$81*'Economic Forecasts'!F$9*1000000/SUM('Statistics NZ'!D$30:D$110,'Statistics NZ'!D$130:D$210)</f>
        <v>18142.570684612274</v>
      </c>
      <c r="E81" s="27">
        <f>'Statistics NZ'!E$81*'Economic Forecasts'!G$9*1000000/SUM('Statistics NZ'!E$30:E$110,'Statistics NZ'!E$130:E$210)</f>
        <v>16250.236958464653</v>
      </c>
      <c r="F81" s="27">
        <f>'Statistics NZ'!F$81*'Economic Forecasts'!H$9*1000000/SUM('Statistics NZ'!F$30:F$110,'Statistics NZ'!F$130:F$210)</f>
        <v>17989.396690205693</v>
      </c>
      <c r="G81" s="27">
        <f>'Statistics NZ'!G$81*'Economic Forecasts'!I$9*1000000/SUM('Statistics NZ'!G$30:G$110,'Statistics NZ'!G$130:G$210)</f>
        <v>18986.838877596263</v>
      </c>
      <c r="H81" s="27">
        <f>'Statistics NZ'!H$81*'Economic Forecasts'!J$9*1000000/SUM('Statistics NZ'!H$30:H$110,'Statistics NZ'!H$130:H$210)</f>
        <v>19994.154086279399</v>
      </c>
      <c r="I81" s="27">
        <f>'Statistics NZ'!I$81*'Economic Forecasts'!K$9*1000000/SUM('Statistics NZ'!I$30:I$110,'Statistics NZ'!I$130:I$210)</f>
        <v>23469.711403754554</v>
      </c>
      <c r="J81" s="27">
        <f>'Statistics NZ'!J$81*'Economic Forecasts'!L$9*1000000/SUM('Statistics NZ'!J$30:J$110,'Statistics NZ'!J$130:J$210)</f>
        <v>23316.750445247093</v>
      </c>
      <c r="K81" s="27">
        <f>'Statistics NZ'!K$81*'Economic Forecasts'!M$9*1000000/SUM('Statistics NZ'!K$30:K$110,'Statistics NZ'!K$130:K$210)</f>
        <v>22831.434358094026</v>
      </c>
      <c r="L81" s="27">
        <f>'Statistics NZ'!L$81*'Economic Forecasts'!N$9*1000000/SUM('Statistics NZ'!L$30:L$110,'Statistics NZ'!L$130:L$210)</f>
        <v>23455.505593071397</v>
      </c>
      <c r="M81" s="27">
        <f>'Statistics NZ'!M$81*'Economic Forecasts'!O$9*1000000/SUM('Statistics NZ'!M$30:M$110,'Statistics NZ'!M$130:M$210)</f>
        <v>23398.129351283169</v>
      </c>
      <c r="N81" s="27">
        <f>'Statistics NZ'!N$81*'Economic Forecasts'!P$9*1000000/SUM('Statistics NZ'!N$30:N$110,'Statistics NZ'!N$130:N$210)</f>
        <v>24041.583504883489</v>
      </c>
      <c r="O81" s="27">
        <f>'Statistics NZ'!O$81*'Economic Forecasts'!Q$9*1000000/SUM('Statistics NZ'!O$30:O$110,'Statistics NZ'!O$130:O$210)</f>
        <v>24621.468167854677</v>
      </c>
      <c r="P81" s="27">
        <f>'Statistics NZ'!P$81*'Economic Forecasts'!R$9*1000000/SUM('Statistics NZ'!P$30:P$110,'Statistics NZ'!P$130:P$210)</f>
        <v>25674.360754452249</v>
      </c>
      <c r="Q81" s="27">
        <f>'Statistics NZ'!Q$81*'Economic Forecasts'!S$9*1000000/SUM('Statistics NZ'!Q$30:Q$110,'Statistics NZ'!Q$130:Q$210)</f>
        <v>26417.984728892905</v>
      </c>
      <c r="R81" s="27">
        <f>'Statistics NZ'!R$81*'Economic Forecasts'!T$9*1000000/SUM('Statistics NZ'!R$30:R$110,'Statistics NZ'!R$130:R$210)</f>
        <v>26854.760228067447</v>
      </c>
      <c r="S81" s="27">
        <f>'Statistics NZ'!S$81*'Economic Forecasts'!U$9*1000000/SUM('Statistics NZ'!S$30:S$110,'Statistics NZ'!S$130:S$210)</f>
        <v>26994.228796210053</v>
      </c>
      <c r="T81" s="27">
        <f>'Statistics NZ'!T$81*'Economic Forecasts'!V$9*1000000/SUM('Statistics NZ'!T$30:T$110,'Statistics NZ'!T$130:T$210)</f>
        <v>27850.140845070422</v>
      </c>
      <c r="U81" s="28">
        <f>SUM('Statistics NZ'!U$81,$O$12/5*(U$8-U$9)*1000)*'Economic Forecasts'!W$9*1000000/SUM('Statistics NZ'!U$30:U$110,'Statistics NZ'!U$130:U$210,SUM($E$12:$T$13)*(U$8-U$9)*1000)</f>
        <v>28789.634627169144</v>
      </c>
      <c r="V81" s="28">
        <f>SUM('Statistics NZ'!V$81,$O$12/5*(V$8-V$9)*1000)*'Economic Forecasts'!X$9*1000000/SUM('Statistics NZ'!V$30:V$110,'Statistics NZ'!V$130:V$210,SUM($E$12:$T$13)*(V$8-V$9)*1000)</f>
        <v>29114.827846134176</v>
      </c>
      <c r="W81" s="28">
        <f>SUM('Statistics NZ'!W$81,$O$12/5*(W$8-W$9)*1000)*'Economic Forecasts'!Y$9*1000000/SUM('Statistics NZ'!W$30:W$110,'Statistics NZ'!W$130:W$210,SUM($E$12:$T$13)*(W$8-W$9)*1000)</f>
        <v>30323.259246209778</v>
      </c>
      <c r="X81" s="28">
        <f>SUM('Statistics NZ'!X$81,$O$12/5*(X$8-X$9)*1000)*'Economic Forecasts'!Z$9*1000000/SUM('Statistics NZ'!X$30:X$110,'Statistics NZ'!X$130:X$210,SUM($E$12:$T$13)*(X$8-X$9)*1000)</f>
        <v>31267.640013205037</v>
      </c>
      <c r="Y81" s="28">
        <f>SUM('Statistics NZ'!Y$81,$O$12/5*(Y$8-Y$9)*1000)*'Economic Forecasts'!AA$9*1000000/SUM('Statistics NZ'!Y$30:Y$110,'Statistics NZ'!Y$130:Y$210,SUM($E$12:$T$13)*(Y$8-Y$9)*1000)</f>
        <v>31568.582187851851</v>
      </c>
      <c r="Z81" s="28">
        <f>SUM('Statistics NZ'!Z$81,$O$12/5*(Z$8-Z$9)*1000)*'Economic Forecasts'!AB$9*1000000/SUM('Statistics NZ'!Z$30:Z$110,'Statistics NZ'!Z$130:Z$210,SUM($E$12:$T$13)*(Z$8-Z$9)*1000)</f>
        <v>30988.293785016314</v>
      </c>
      <c r="AA81" s="28">
        <f>SUM('Statistics NZ'!AA$81,$O$12/5*(AA$8-AA$9)*1000)*'Economic Forecasts'!AC$9*1000000/SUM('Statistics NZ'!AA$30:AA$110,'Statistics NZ'!AA$130:AA$210,SUM($E$12:$T$13)*(AA$8-AA$9)*1000)</f>
        <v>30199.711224114333</v>
      </c>
      <c r="AB81" s="18">
        <f>SUM(AA$81,'Statistics NZ'!AB$81-'Statistics NZ'!AA$81,$O$12/5*(AB$8-AB$9)*1000)</f>
        <v>29882.52481608828</v>
      </c>
      <c r="AC81" s="18">
        <f>SUM(AB$81,'Statistics NZ'!AC$81-'Statistics NZ'!AB$81,$O$12/5*(AC$8-AC$9)*1000)</f>
        <v>30694.400544070912</v>
      </c>
      <c r="AD81" s="18">
        <f>SUM(AC$81,'Statistics NZ'!AD$81-'Statistics NZ'!AC$81,$O$12/5*(AD$8-AD$9)*1000)</f>
        <v>31155.18209739701</v>
      </c>
      <c r="AE81" s="18">
        <f>SUM(AD$81,'Statistics NZ'!AE$81-'Statistics NZ'!AD$81,$O$12/5*(AE$8-AE$9)*1000)</f>
        <v>31945.18209739701</v>
      </c>
      <c r="AF81" s="18">
        <f>SUM(AE$81,'Statistics NZ'!AF$81-'Statistics NZ'!AE$81,$O$12/5*(AF$8-AF$9)*1000)</f>
        <v>32005.18209739701</v>
      </c>
      <c r="AG81" s="18">
        <f>SUM(AF$81,'Statistics NZ'!AG$81-'Statistics NZ'!AF$81,$O$12/5*(AG$8-AG$9)*1000)</f>
        <v>33465.18209739701</v>
      </c>
      <c r="AH81" s="18">
        <f>SUM(AG$81,'Statistics NZ'!AH$81-'Statistics NZ'!AG$81,$O$12/5*(AH$8-AH$9)*1000)</f>
        <v>33115.18209739701</v>
      </c>
      <c r="AI81" s="18">
        <f>SUM(AH$81,'Statistics NZ'!AI$81-'Statistics NZ'!AH$81,$O$12/5*(AI$8-AI$9)*1000)</f>
        <v>32335.18209739701</v>
      </c>
      <c r="AJ81" s="18">
        <f>SUM(AI$81,'Statistics NZ'!AJ$81-'Statistics NZ'!AI$81,$O$12/5*(AJ$8-AJ$9)*1000)</f>
        <v>31555.18209739701</v>
      </c>
      <c r="AK81" s="18">
        <f>SUM(AJ$81,'Statistics NZ'!AK$81-'Statistics NZ'!AJ$81,$O$12/5*(AK$8-AK$9)*1000)</f>
        <v>30585.18209739701</v>
      </c>
    </row>
    <row r="82" spans="1:37" x14ac:dyDescent="0.25">
      <c r="A82" s="12">
        <v>67</v>
      </c>
      <c r="B82" s="27">
        <f>'Statistics NZ'!B$82*'Economic Forecasts'!D$9*1000000/SUM('Statistics NZ'!B$30:B$110,'Statistics NZ'!B$130:B$210)</f>
        <v>15282.515653820017</v>
      </c>
      <c r="C82" s="27">
        <f>'Statistics NZ'!C$82*'Economic Forecasts'!E$9*1000000/SUM('Statistics NZ'!C$30:C$110,'Statistics NZ'!C$130:C$210)</f>
        <v>16438.811004152962</v>
      </c>
      <c r="D82" s="27">
        <f>'Statistics NZ'!D$82*'Economic Forecasts'!F$9*1000000/SUM('Statistics NZ'!D$30:D$110,'Statistics NZ'!D$130:D$210)</f>
        <v>17730.016288968684</v>
      </c>
      <c r="E82" s="27">
        <f>'Statistics NZ'!E$82*'Economic Forecasts'!G$9*1000000/SUM('Statistics NZ'!E$30:E$110,'Statistics NZ'!E$130:E$210)</f>
        <v>18015.50108189473</v>
      </c>
      <c r="F82" s="27">
        <f>'Statistics NZ'!F$82*'Economic Forecasts'!H$9*1000000/SUM('Statistics NZ'!F$30:F$110,'Statistics NZ'!F$130:F$210)</f>
        <v>16115.909902948722</v>
      </c>
      <c r="G82" s="27">
        <f>'Statistics NZ'!G$82*'Economic Forecasts'!I$9*1000000/SUM('Statistics NZ'!G$30:G$110,'Statistics NZ'!G$130:G$210)</f>
        <v>17886.721984533262</v>
      </c>
      <c r="H82" s="27">
        <f>'Statistics NZ'!H$82*'Economic Forecasts'!J$9*1000000/SUM('Statistics NZ'!H$30:H$110,'Statistics NZ'!H$130:H$210)</f>
        <v>18854.438177675755</v>
      </c>
      <c r="I82" s="27">
        <f>'Statistics NZ'!I$82*'Economic Forecasts'!K$9*1000000/SUM('Statistics NZ'!I$30:I$110,'Statistics NZ'!I$130:I$210)</f>
        <v>19793.378163818063</v>
      </c>
      <c r="J82" s="27">
        <f>'Statistics NZ'!J$82*'Economic Forecasts'!L$9*1000000/SUM('Statistics NZ'!J$30:J$110,'Statistics NZ'!J$130:J$210)</f>
        <v>23141.216564856273</v>
      </c>
      <c r="K82" s="27">
        <f>'Statistics NZ'!K$82*'Economic Forecasts'!M$9*1000000/SUM('Statistics NZ'!K$30:K$110,'Statistics NZ'!K$130:K$210)</f>
        <v>23094.312280340731</v>
      </c>
      <c r="L82" s="27">
        <f>'Statistics NZ'!L$82*'Economic Forecasts'!N$9*1000000/SUM('Statistics NZ'!L$30:L$110,'Statistics NZ'!L$130:L$210)</f>
        <v>22666.839776118813</v>
      </c>
      <c r="M82" s="27">
        <f>'Statistics NZ'!M$82*'Economic Forecasts'!O$9*1000000/SUM('Statistics NZ'!M$30:M$110,'Statistics NZ'!M$130:M$210)</f>
        <v>23359.051055915683</v>
      </c>
      <c r="N82" s="27">
        <f>'Statistics NZ'!N$82*'Economic Forecasts'!P$9*1000000/SUM('Statistics NZ'!N$30:N$110,'Statistics NZ'!N$130:N$210)</f>
        <v>23200.079157541211</v>
      </c>
      <c r="O82" s="27">
        <f>'Statistics NZ'!O$82*'Economic Forecasts'!Q$9*1000000/SUM('Statistics NZ'!O$30:O$110,'Statistics NZ'!O$130:O$210)</f>
        <v>23924.170904225764</v>
      </c>
      <c r="P82" s="27">
        <f>'Statistics NZ'!P$82*'Economic Forecasts'!R$9*1000000/SUM('Statistics NZ'!P$30:P$110,'Statistics NZ'!P$130:P$210)</f>
        <v>24597.251798315807</v>
      </c>
      <c r="Q82" s="27">
        <f>'Statistics NZ'!Q$82*'Economic Forecasts'!S$9*1000000/SUM('Statistics NZ'!Q$30:Q$110,'Statistics NZ'!Q$130:Q$210)</f>
        <v>25430.027184805662</v>
      </c>
      <c r="R82" s="27">
        <f>'Statistics NZ'!R$82*'Economic Forecasts'!T$9*1000000/SUM('Statistics NZ'!R$30:R$110,'Statistics NZ'!R$130:R$210)</f>
        <v>25925.666572771781</v>
      </c>
      <c r="S82" s="27">
        <f>'Statistics NZ'!S$82*'Economic Forecasts'!U$9*1000000/SUM('Statistics NZ'!S$30:S$110,'Statistics NZ'!S$130:S$210)</f>
        <v>26127.843522909403</v>
      </c>
      <c r="T82" s="27">
        <f>'Statistics NZ'!T$82*'Economic Forecasts'!V$9*1000000/SUM('Statistics NZ'!T$30:T$110,'Statistics NZ'!T$130:T$210)</f>
        <v>26956.185706833596</v>
      </c>
      <c r="U82" s="28">
        <f>SUM('Statistics NZ'!U$82,$O$12/5*(U$8-U$9)*1000)*'Economic Forecasts'!W$9*1000000/SUM('Statistics NZ'!U$30:U$110,'Statistics NZ'!U$130:U$210,SUM($E$12:$T$13)*(U$8-U$9)*1000)</f>
        <v>27707.201598745585</v>
      </c>
      <c r="V82" s="28">
        <f>SUM('Statistics NZ'!V$82,$O$12/5*(V$8-V$9)*1000)*'Economic Forecasts'!X$9*1000000/SUM('Statistics NZ'!V$30:V$110,'Statistics NZ'!V$130:V$210,SUM($E$12:$T$13)*(V$8-V$9)*1000)</f>
        <v>28545.884152036448</v>
      </c>
      <c r="W82" s="28">
        <f>SUM('Statistics NZ'!W$82,$O$12/5*(W$8-W$9)*1000)*'Economic Forecasts'!Y$9*1000000/SUM('Statistics NZ'!W$30:W$110,'Statistics NZ'!W$130:W$210,SUM($E$12:$T$13)*(W$8-W$9)*1000)</f>
        <v>28895.088345257271</v>
      </c>
      <c r="X82" s="28">
        <f>SUM('Statistics NZ'!X$82,$O$12/5*(X$8-X$9)*1000)*'Economic Forecasts'!Z$9*1000000/SUM('Statistics NZ'!X$30:X$110,'Statistics NZ'!X$130:X$210,SUM($E$12:$T$13)*(X$8-X$9)*1000)</f>
        <v>30134.331995582084</v>
      </c>
      <c r="Y82" s="28">
        <f>SUM('Statistics NZ'!Y$82,$O$12/5*(Y$8-Y$9)*1000)*'Economic Forecasts'!AA$9*1000000/SUM('Statistics NZ'!Y$30:Y$110,'Statistics NZ'!Y$130:Y$210,SUM($E$12:$T$13)*(Y$8-Y$9)*1000)</f>
        <v>31109.440582769537</v>
      </c>
      <c r="Z82" s="28">
        <f>SUM('Statistics NZ'!Z$82,$O$12/5*(Z$8-Z$9)*1000)*'Economic Forecasts'!AB$9*1000000/SUM('Statistics NZ'!Z$30:Z$110,'Statistics NZ'!Z$130:Z$210,SUM($E$12:$T$13)*(Z$8-Z$9)*1000)</f>
        <v>31427.991286744658</v>
      </c>
      <c r="AA82" s="28">
        <f>SUM('Statistics NZ'!AA$82,$O$12/5*(AA$8-AA$9)*1000)*'Economic Forecasts'!AC$9*1000000/SUM('Statistics NZ'!AA$30:AA$110,'Statistics NZ'!AA$130:AA$210,SUM($E$12:$T$13)*(AA$8-AA$9)*1000)</f>
        <v>30854.656097809195</v>
      </c>
      <c r="AB82" s="18">
        <f>SUM(AA$82,'Statistics NZ'!AB$82-'Statistics NZ'!AA$82,$O$12/5*(AB$8-AB$9)*1000)</f>
        <v>30047.469689783142</v>
      </c>
      <c r="AC82" s="18">
        <f>SUM(AB$82,'Statistics NZ'!AC$82-'Statistics NZ'!AB$82,$O$12/5*(AC$8-AC$9)*1000)</f>
        <v>29739.345417765773</v>
      </c>
      <c r="AD82" s="18">
        <f>SUM(AC$82,'Statistics NZ'!AD$82-'Statistics NZ'!AC$82,$O$12/5*(AD$8-AD$9)*1000)</f>
        <v>30550.126971091871</v>
      </c>
      <c r="AE82" s="18">
        <f>SUM(AD$82,'Statistics NZ'!AE$82-'Statistics NZ'!AD$82,$O$12/5*(AE$8-AE$9)*1000)</f>
        <v>31010.126971091871</v>
      </c>
      <c r="AF82" s="18">
        <f>SUM(AE$82,'Statistics NZ'!AF$82-'Statistics NZ'!AE$82,$O$12/5*(AF$8-AF$9)*1000)</f>
        <v>31800.126971091871</v>
      </c>
      <c r="AG82" s="18">
        <f>SUM(AF$82,'Statistics NZ'!AG$82-'Statistics NZ'!AF$82,$O$12/5*(AG$8-AG$9)*1000)</f>
        <v>31870.126971091871</v>
      </c>
      <c r="AH82" s="18">
        <f>SUM(AG$82,'Statistics NZ'!AH$82-'Statistics NZ'!AG$82,$O$12/5*(AH$8-AH$9)*1000)</f>
        <v>33320.126971091871</v>
      </c>
      <c r="AI82" s="18">
        <f>SUM(AH$82,'Statistics NZ'!AI$82-'Statistics NZ'!AH$82,$O$12/5*(AI$8-AI$9)*1000)</f>
        <v>32980.126971091871</v>
      </c>
      <c r="AJ82" s="18">
        <f>SUM(AI$82,'Statistics NZ'!AJ$82-'Statistics NZ'!AI$82,$O$12/5*(AJ$8-AJ$9)*1000)</f>
        <v>32210.126971091871</v>
      </c>
      <c r="AK82" s="18">
        <f>SUM(AJ$82,'Statistics NZ'!AK$82-'Statistics NZ'!AJ$82,$O$12/5*(AK$8-AK$9)*1000)</f>
        <v>31430.126971091871</v>
      </c>
    </row>
    <row r="83" spans="1:37" x14ac:dyDescent="0.25">
      <c r="A83" s="12">
        <v>68</v>
      </c>
      <c r="B83" s="27">
        <f>'Statistics NZ'!B$83*'Economic Forecasts'!D$9*1000000/SUM('Statistics NZ'!B$30:B$110,'Statistics NZ'!B$130:B$210)</f>
        <v>14441.096738180757</v>
      </c>
      <c r="C83" s="27">
        <f>'Statistics NZ'!C$83*'Economic Forecasts'!E$9*1000000/SUM('Statistics NZ'!C$30:C$110,'Statistics NZ'!C$130:C$210)</f>
        <v>15132.740595818228</v>
      </c>
      <c r="D83" s="27">
        <f>'Statistics NZ'!D$83*'Economic Forecasts'!F$9*1000000/SUM('Statistics NZ'!D$30:D$110,'Statistics NZ'!D$130:D$210)</f>
        <v>16276.253180510306</v>
      </c>
      <c r="E83" s="27">
        <f>'Statistics NZ'!E$83*'Economic Forecasts'!G$9*1000000/SUM('Statistics NZ'!E$30:E$110,'Statistics NZ'!E$130:E$210)</f>
        <v>17515.342913589542</v>
      </c>
      <c r="F83" s="27">
        <f>'Statistics NZ'!F$83*'Economic Forecasts'!H$9*1000000/SUM('Statistics NZ'!F$30:F$110,'Statistics NZ'!F$130:F$210)</f>
        <v>17842.264220002267</v>
      </c>
      <c r="G83" s="27">
        <f>'Statistics NZ'!G$83*'Economic Forecasts'!I$9*1000000/SUM('Statistics NZ'!G$30:G$110,'Statistics NZ'!G$130:G$210)</f>
        <v>16000.807310710974</v>
      </c>
      <c r="H83" s="27">
        <f>'Statistics NZ'!H$83*'Economic Forecasts'!J$9*1000000/SUM('Statistics NZ'!H$30:H$110,'Statistics NZ'!H$130:H$210)</f>
        <v>17734.372543358386</v>
      </c>
      <c r="I83" s="27">
        <f>'Statistics NZ'!I$83*'Economic Forecasts'!K$9*1000000/SUM('Statistics NZ'!I$30:I$110,'Statistics NZ'!I$130:I$210)</f>
        <v>18734.594190716354</v>
      </c>
      <c r="J83" s="27">
        <f>'Statistics NZ'!J$83*'Economic Forecasts'!L$9*1000000/SUM('Statistics NZ'!J$30:J$110,'Statistics NZ'!J$130:J$210)</f>
        <v>19513.516370112684</v>
      </c>
      <c r="K83" s="27">
        <f>'Statistics NZ'!K$83*'Economic Forecasts'!M$9*1000000/SUM('Statistics NZ'!K$30:K$110,'Statistics NZ'!K$130:K$210)</f>
        <v>22841.170577436496</v>
      </c>
      <c r="L83" s="27">
        <f>'Statistics NZ'!L$83*'Economic Forecasts'!N$9*1000000/SUM('Statistics NZ'!L$30:L$110,'Statistics NZ'!L$130:L$210)</f>
        <v>22890.78192167325</v>
      </c>
      <c r="M83" s="27">
        <f>'Statistics NZ'!M$83*'Economic Forecasts'!O$9*1000000/SUM('Statistics NZ'!M$30:M$110,'Statistics NZ'!M$130:M$210)</f>
        <v>22538.406853198441</v>
      </c>
      <c r="N83" s="27">
        <f>'Statistics NZ'!N$83*'Economic Forecasts'!P$9*1000000/SUM('Statistics NZ'!N$30:N$110,'Statistics NZ'!N$130:N$210)</f>
        <v>23170.724354726943</v>
      </c>
      <c r="O83" s="27">
        <f>'Statistics NZ'!O$83*'Economic Forecasts'!Q$9*1000000/SUM('Statistics NZ'!O$30:O$110,'Statistics NZ'!O$130:O$210)</f>
        <v>23050.094052634595</v>
      </c>
      <c r="P83" s="27">
        <f>'Statistics NZ'!P$83*'Economic Forecasts'!R$9*1000000/SUM('Statistics NZ'!P$30:P$110,'Statistics NZ'!P$130:P$210)</f>
        <v>23853.06742862154</v>
      </c>
      <c r="Q83" s="27">
        <f>'Statistics NZ'!Q$83*'Economic Forecasts'!S$9*1000000/SUM('Statistics NZ'!Q$30:Q$110,'Statistics NZ'!Q$130:Q$210)</f>
        <v>24382.792188073181</v>
      </c>
      <c r="R83" s="27">
        <f>'Statistics NZ'!R$83*'Economic Forecasts'!T$9*1000000/SUM('Statistics NZ'!R$30:R$110,'Statistics NZ'!R$130:R$210)</f>
        <v>24986.688942419773</v>
      </c>
      <c r="S83" s="27">
        <f>'Statistics NZ'!S$83*'Economic Forecasts'!U$9*1000000/SUM('Statistics NZ'!S$30:S$110,'Statistics NZ'!S$130:S$210)</f>
        <v>25134.907591710908</v>
      </c>
      <c r="T83" s="27">
        <f>'Statistics NZ'!T$83*'Economic Forecasts'!V$9*1000000/SUM('Statistics NZ'!T$30:T$110,'Statistics NZ'!T$130:T$210)</f>
        <v>26140.820031298903</v>
      </c>
      <c r="U83" s="28">
        <f>SUM('Statistics NZ'!U$83,$O$12/5*(U$8-U$9)*1000)*'Economic Forecasts'!W$9*1000000/SUM('Statistics NZ'!U$30:U$110,'Statistics NZ'!U$130:U$210,SUM($E$12:$T$13)*(U$8-U$9)*1000)</f>
        <v>26792.053674714756</v>
      </c>
      <c r="V83" s="28">
        <f>SUM('Statistics NZ'!V$83,$O$12/5*(V$8-V$9)*1000)*'Economic Forecasts'!X$9*1000000/SUM('Statistics NZ'!V$30:V$110,'Statistics NZ'!V$130:V$210,SUM($E$12:$T$13)*(V$8-V$9)*1000)</f>
        <v>27447.234259985653</v>
      </c>
      <c r="W83" s="28">
        <f>SUM('Statistics NZ'!W$83,$O$12/5*(W$8-W$9)*1000)*'Economic Forecasts'!Y$9*1000000/SUM('Statistics NZ'!W$30:W$110,'Statistics NZ'!W$130:W$210,SUM($E$12:$T$13)*(W$8-W$9)*1000)</f>
        <v>28298.38680444835</v>
      </c>
      <c r="X83" s="28">
        <f>SUM('Statistics NZ'!X$83,$O$12/5*(X$8-X$9)*1000)*'Economic Forecasts'!Z$9*1000000/SUM('Statistics NZ'!X$30:X$110,'Statistics NZ'!X$130:X$210,SUM($E$12:$T$13)*(X$8-X$9)*1000)</f>
        <v>28688.387283442462</v>
      </c>
      <c r="Y83" s="28">
        <f>SUM('Statistics NZ'!Y$83,$O$12/5*(Y$8-Y$9)*1000)*'Economic Forecasts'!AA$9*1000000/SUM('Statistics NZ'!Y$30:Y$110,'Statistics NZ'!Y$130:Y$210,SUM($E$12:$T$13)*(Y$8-Y$9)*1000)</f>
        <v>29946.933114582393</v>
      </c>
      <c r="Z83" s="28">
        <f>SUM('Statistics NZ'!Z$83,$O$12/5*(Z$8-Z$9)*1000)*'Economic Forecasts'!AB$9*1000000/SUM('Statistics NZ'!Z$30:Z$110,'Statistics NZ'!Z$130:Z$210,SUM($E$12:$T$13)*(Z$8-Z$9)*1000)</f>
        <v>30939.438507046507</v>
      </c>
      <c r="AA83" s="28">
        <f>SUM('Statistics NZ'!AA$83,$O$12/5*(AA$8-AA$9)*1000)*'Economic Forecasts'!AC$9*1000000/SUM('Statistics NZ'!AA$30:AA$110,'Statistics NZ'!AA$130:AA$210,SUM($E$12:$T$13)*(AA$8-AA$9)*1000)</f>
        <v>31255.443259323965</v>
      </c>
      <c r="AB83" s="18">
        <f>SUM(AA$83,'Statistics NZ'!AB$83-'Statistics NZ'!AA$83,$O$12/5*(AB$8-AB$9)*1000)</f>
        <v>30678.256851297912</v>
      </c>
      <c r="AC83" s="18">
        <f>SUM(AB$83,'Statistics NZ'!AC$83-'Statistics NZ'!AB$83,$O$12/5*(AC$8-AC$9)*1000)</f>
        <v>29880.132579280544</v>
      </c>
      <c r="AD83" s="18">
        <f>SUM(AC$83,'Statistics NZ'!AD$83-'Statistics NZ'!AC$83,$O$12/5*(AD$8-AD$9)*1000)</f>
        <v>29580.914132606642</v>
      </c>
      <c r="AE83" s="18">
        <f>SUM(AD$83,'Statistics NZ'!AE$83-'Statistics NZ'!AD$83,$O$12/5*(AE$8-AE$9)*1000)</f>
        <v>30390.914132606642</v>
      </c>
      <c r="AF83" s="18">
        <f>SUM(AE$83,'Statistics NZ'!AF$83-'Statistics NZ'!AE$83,$O$12/5*(AF$8-AF$9)*1000)</f>
        <v>30850.914132606642</v>
      </c>
      <c r="AG83" s="18">
        <f>SUM(AF$83,'Statistics NZ'!AG$83-'Statistics NZ'!AF$83,$O$12/5*(AG$8-AG$9)*1000)</f>
        <v>31640.914132606642</v>
      </c>
      <c r="AH83" s="18">
        <f>SUM(AG$83,'Statistics NZ'!AH$83-'Statistics NZ'!AG$83,$O$12/5*(AH$8-AH$9)*1000)</f>
        <v>31710.914132606642</v>
      </c>
      <c r="AI83" s="18">
        <f>SUM(AH$83,'Statistics NZ'!AI$83-'Statistics NZ'!AH$83,$O$12/5*(AI$8-AI$9)*1000)</f>
        <v>33160.914132606646</v>
      </c>
      <c r="AJ83" s="18">
        <f>SUM(AI$83,'Statistics NZ'!AJ$83-'Statistics NZ'!AI$83,$O$12/5*(AJ$8-AJ$9)*1000)</f>
        <v>32820.914132606646</v>
      </c>
      <c r="AK83" s="18">
        <f>SUM(AJ$83,'Statistics NZ'!AK$83-'Statistics NZ'!AJ$83,$O$12/5*(AK$8-AK$9)*1000)</f>
        <v>32060.914132606646</v>
      </c>
    </row>
    <row r="84" spans="1:37" x14ac:dyDescent="0.25">
      <c r="A84" s="12">
        <v>69</v>
      </c>
      <c r="B84" s="27">
        <f>'Statistics NZ'!B$84*'Economic Forecasts'!D$9*1000000/SUM('Statistics NZ'!B$30:B$110,'Statistics NZ'!B$130:B$210)</f>
        <v>13922.547871565865</v>
      </c>
      <c r="C84" s="27">
        <f>'Statistics NZ'!C$84*'Economic Forecasts'!E$9*1000000/SUM('Statistics NZ'!C$30:C$110,'Statistics NZ'!C$130:C$210)</f>
        <v>14337.314256907603</v>
      </c>
      <c r="D84" s="27">
        <f>'Statistics NZ'!D$84*'Economic Forecasts'!F$9*1000000/SUM('Statistics NZ'!D$30:D$110,'Statistics NZ'!D$130:D$210)</f>
        <v>14950.18548022733</v>
      </c>
      <c r="E84" s="27">
        <f>'Statistics NZ'!E$84*'Economic Forecasts'!G$9*1000000/SUM('Statistics NZ'!E$30:E$110,'Statistics NZ'!E$130:E$210)</f>
        <v>16063.903523213698</v>
      </c>
      <c r="F84" s="27">
        <f>'Statistics NZ'!F$84*'Economic Forecasts'!H$9*1000000/SUM('Statistics NZ'!F$30:F$110,'Statistics NZ'!F$130:F$210)</f>
        <v>17342.013821310615</v>
      </c>
      <c r="G84" s="27">
        <f>'Statistics NZ'!G$84*'Economic Forecasts'!I$9*1000000/SUM('Statistics NZ'!G$30:G$110,'Statistics NZ'!G$130:G$210)</f>
        <v>17680.450067083952</v>
      </c>
      <c r="H84" s="27">
        <f>'Statistics NZ'!H$84*'Economic Forecasts'!J$9*1000000/SUM('Statistics NZ'!H$30:H$110,'Statistics NZ'!H$130:H$210)</f>
        <v>15828.295937590226</v>
      </c>
      <c r="I84" s="27">
        <f>'Statistics NZ'!I$84*'Economic Forecasts'!K$9*1000000/SUM('Statistics NZ'!I$30:I$110,'Statistics NZ'!I$130:I$210)</f>
        <v>17548.363998630182</v>
      </c>
      <c r="J84" s="27">
        <f>'Statistics NZ'!J$84*'Economic Forecasts'!L$9*1000000/SUM('Statistics NZ'!J$30:J$110,'Statistics NZ'!J$130:J$210)</f>
        <v>18411.553676548101</v>
      </c>
      <c r="K84" s="27">
        <f>'Statistics NZ'!K$84*'Economic Forecasts'!M$9*1000000/SUM('Statistics NZ'!K$30:K$110,'Statistics NZ'!K$130:K$210)</f>
        <v>19258.241859407237</v>
      </c>
      <c r="L84" s="27">
        <f>'Statistics NZ'!L$84*'Economic Forecasts'!N$9*1000000/SUM('Statistics NZ'!L$30:L$110,'Statistics NZ'!L$130:L$210)</f>
        <v>22559.737010853642</v>
      </c>
      <c r="M84" s="27">
        <f>'Statistics NZ'!M$84*'Economic Forecasts'!O$9*1000000/SUM('Statistics NZ'!M$30:M$110,'Statistics NZ'!M$130:M$210)</f>
        <v>22733.798330035879</v>
      </c>
      <c r="N84" s="27">
        <f>'Statistics NZ'!N$84*'Economic Forecasts'!P$9*1000000/SUM('Statistics NZ'!N$30:N$110,'Statistics NZ'!N$130:N$210)</f>
        <v>22250.940533213292</v>
      </c>
      <c r="O84" s="27">
        <f>'Statistics NZ'!O$84*'Economic Forecasts'!Q$9*1000000/SUM('Statistics NZ'!O$30:O$110,'Statistics NZ'!O$130:O$210)</f>
        <v>23020.63078797422</v>
      </c>
      <c r="P84" s="27">
        <f>'Statistics NZ'!P$84*'Economic Forecasts'!R$9*1000000/SUM('Statistics NZ'!P$30:P$110,'Statistics NZ'!P$130:P$210)</f>
        <v>22942.420765706185</v>
      </c>
      <c r="Q84" s="27">
        <f>'Statistics NZ'!Q$84*'Economic Forecasts'!S$9*1000000/SUM('Statistics NZ'!Q$30:Q$110,'Statistics NZ'!Q$130:Q$210)</f>
        <v>23671.462756330366</v>
      </c>
      <c r="R84" s="27">
        <f>'Statistics NZ'!R$84*'Economic Forecasts'!T$9*1000000/SUM('Statistics NZ'!R$30:R$110,'Statistics NZ'!R$130:R$210)</f>
        <v>23929.103611391722</v>
      </c>
      <c r="S84" s="27">
        <f>'Statistics NZ'!S$84*'Economic Forecasts'!U$9*1000000/SUM('Statistics NZ'!S$30:S$110,'Statistics NZ'!S$130:S$210)</f>
        <v>24317.195648370976</v>
      </c>
      <c r="T84" s="27">
        <f>'Statistics NZ'!T$84*'Economic Forecasts'!V$9*1000000/SUM('Statistics NZ'!T$30:T$110,'Statistics NZ'!T$130:T$210)</f>
        <v>25109.333333333332</v>
      </c>
      <c r="U84" s="28">
        <f>SUM('Statistics NZ'!U$84,$O$12/5*(U$8-U$9)*1000)*'Economic Forecasts'!W$9*1000000/SUM('Statistics NZ'!U$30:U$110,'Statistics NZ'!U$130:U$210,SUM($E$12:$T$13)*(U$8-U$9)*1000)</f>
        <v>25955.628152751095</v>
      </c>
      <c r="V84" s="28">
        <f>SUM('Statistics NZ'!V$84,$O$12/5*(V$8-V$9)*1000)*'Economic Forecasts'!X$9*1000000/SUM('Statistics NZ'!V$30:V$110,'Statistics NZ'!V$130:V$210,SUM($E$12:$T$13)*(V$8-V$9)*1000)</f>
        <v>26505.534352513547</v>
      </c>
      <c r="W84" s="28">
        <f>SUM('Statistics NZ'!W$84,$O$12/5*(W$8-W$9)*1000)*'Economic Forecasts'!Y$9*1000000/SUM('Statistics NZ'!W$30:W$110,'Statistics NZ'!W$130:W$210,SUM($E$12:$T$13)*(W$8-W$9)*1000)</f>
        <v>27183.239662608714</v>
      </c>
      <c r="X84" s="28">
        <f>SUM('Statistics NZ'!X$84,$O$12/5*(X$8-X$9)*1000)*'Economic Forecasts'!Z$9*1000000/SUM('Statistics NZ'!X$30:X$110,'Statistics NZ'!X$130:X$210,SUM($E$12:$T$13)*(X$8-X$9)*1000)</f>
        <v>28063.113894409111</v>
      </c>
      <c r="Y84" s="28">
        <f>SUM('Statistics NZ'!Y$84,$O$12/5*(Y$8-Y$9)*1000)*'Economic Forecasts'!AA$9*1000000/SUM('Statistics NZ'!Y$30:Y$110,'Statistics NZ'!Y$130:Y$210,SUM($E$12:$T$13)*(Y$8-Y$9)*1000)</f>
        <v>28491.356536768246</v>
      </c>
      <c r="Z84" s="28">
        <f>SUM('Statistics NZ'!Z$84,$O$12/5*(Z$8-Z$9)*1000)*'Economic Forecasts'!AB$9*1000000/SUM('Statistics NZ'!Z$30:Z$110,'Statistics NZ'!Z$130:Z$210,SUM($E$12:$T$13)*(Z$8-Z$9)*1000)</f>
        <v>29757.140780176967</v>
      </c>
      <c r="AA84" s="28">
        <f>SUM('Statistics NZ'!AA$84,$O$12/5*(AA$8-AA$9)*1000)*'Economic Forecasts'!AC$9*1000000/SUM('Statistics NZ'!AA$30:AA$110,'Statistics NZ'!AA$130:AA$210,SUM($E$12:$T$13)*(AA$8-AA$9)*1000)</f>
        <v>30747.127834963772</v>
      </c>
      <c r="AB84" s="18">
        <f>SUM(AA$84,'Statistics NZ'!AB$84-'Statistics NZ'!AA$84,$O$12/5*(AB$8-AB$9)*1000)</f>
        <v>31069.941426937719</v>
      </c>
      <c r="AC84" s="18">
        <f>SUM(AB$84,'Statistics NZ'!AC$84-'Statistics NZ'!AB$84,$O$12/5*(AC$8-AC$9)*1000)</f>
        <v>30501.817154920351</v>
      </c>
      <c r="AD84" s="18">
        <f>SUM(AC$84,'Statistics NZ'!AD$84-'Statistics NZ'!AC$84,$O$12/5*(AD$8-AD$9)*1000)</f>
        <v>29712.598708246449</v>
      </c>
      <c r="AE84" s="18">
        <f>SUM(AD$84,'Statistics NZ'!AE$84-'Statistics NZ'!AD$84,$O$12/5*(AE$8-AE$9)*1000)</f>
        <v>29412.598708246449</v>
      </c>
      <c r="AF84" s="18">
        <f>SUM(AE$84,'Statistics NZ'!AF$84-'Statistics NZ'!AE$84,$O$12/5*(AF$8-AF$9)*1000)</f>
        <v>30222.598708246449</v>
      </c>
      <c r="AG84" s="18">
        <f>SUM(AF$84,'Statistics NZ'!AG$84-'Statistics NZ'!AF$84,$O$12/5*(AG$8-AG$9)*1000)</f>
        <v>30692.598708246449</v>
      </c>
      <c r="AH84" s="18">
        <f>SUM(AG$84,'Statistics NZ'!AH$84-'Statistics NZ'!AG$84,$O$12/5*(AH$8-AH$9)*1000)</f>
        <v>31472.598708246449</v>
      </c>
      <c r="AI84" s="18">
        <f>SUM(AH$84,'Statistics NZ'!AI$84-'Statistics NZ'!AH$84,$O$12/5*(AI$8-AI$9)*1000)</f>
        <v>31562.598708246449</v>
      </c>
      <c r="AJ84" s="18">
        <f>SUM(AI$84,'Statistics NZ'!AJ$84-'Statistics NZ'!AI$84,$O$12/5*(AJ$8-AJ$9)*1000)</f>
        <v>33002.598708246449</v>
      </c>
      <c r="AK84" s="18">
        <f>SUM(AJ$84,'Statistics NZ'!AK$84-'Statistics NZ'!AJ$84,$O$12/5*(AK$8-AK$9)*1000)</f>
        <v>32672.598708246449</v>
      </c>
    </row>
    <row r="85" spans="1:37" x14ac:dyDescent="0.25">
      <c r="A85" s="12">
        <v>70</v>
      </c>
      <c r="B85" s="27">
        <f>'Statistics NZ'!B$85*'Economic Forecasts'!D$9*1000000/SUM('Statistics NZ'!B$30:B$110,'Statistics NZ'!B$130:B$210)</f>
        <v>13169.184423842345</v>
      </c>
      <c r="C85" s="27">
        <f>'Statistics NZ'!C$85*'Economic Forecasts'!E$9*1000000/SUM('Statistics NZ'!C$30:C$110,'Statistics NZ'!C$130:C$210)</f>
        <v>13738.289483160093</v>
      </c>
      <c r="D85" s="27">
        <f>'Statistics NZ'!D$85*'Economic Forecasts'!F$9*1000000/SUM('Statistics NZ'!D$30:D$110,'Statistics NZ'!D$130:D$210)</f>
        <v>14144.722136351747</v>
      </c>
      <c r="E85" s="27">
        <f>'Statistics NZ'!E$85*'Economic Forecasts'!G$9*1000000/SUM('Statistics NZ'!E$30:E$110,'Statistics NZ'!E$130:E$210)</f>
        <v>14710.534361917307</v>
      </c>
      <c r="F85" s="27">
        <f>'Statistics NZ'!F$85*'Economic Forecasts'!H$9*1000000/SUM('Statistics NZ'!F$30:F$110,'Statistics NZ'!F$130:F$210)</f>
        <v>15860.880287929447</v>
      </c>
      <c r="G85" s="27">
        <f>'Statistics NZ'!G$85*'Economic Forecasts'!I$9*1000000/SUM('Statistics NZ'!G$30:G$110,'Statistics NZ'!G$130:G$210)</f>
        <v>17140.214092811941</v>
      </c>
      <c r="H85" s="27">
        <f>'Statistics NZ'!H$85*'Economic Forecasts'!J$9*1000000/SUM('Statistics NZ'!H$30:H$110,'Statistics NZ'!H$130:H$210)</f>
        <v>17478.918977636877</v>
      </c>
      <c r="I85" s="27">
        <f>'Statistics NZ'!I$85*'Economic Forecasts'!K$9*1000000/SUM('Statistics NZ'!I$30:I$110,'Statistics NZ'!I$130:I$210)</f>
        <v>15617.06360325021</v>
      </c>
      <c r="J85" s="27">
        <f>'Statistics NZ'!J$85*'Economic Forecasts'!L$9*1000000/SUM('Statistics NZ'!J$30:J$110,'Statistics NZ'!J$130:J$210)</f>
        <v>17251.079689519913</v>
      </c>
      <c r="K85" s="27">
        <f>'Statistics NZ'!K$85*'Economic Forecasts'!M$9*1000000/SUM('Statistics NZ'!K$30:K$110,'Statistics NZ'!K$130:K$210)</f>
        <v>18148.312854365566</v>
      </c>
      <c r="L85" s="27">
        <f>'Statistics NZ'!L$85*'Economic Forecasts'!N$9*1000000/SUM('Statistics NZ'!L$30:L$110,'Statistics NZ'!L$130:L$210)</f>
        <v>19035.082372127268</v>
      </c>
      <c r="M85" s="27">
        <f>'Statistics NZ'!M$85*'Economic Forecasts'!O$9*1000000/SUM('Statistics NZ'!M$30:M$110,'Statistics NZ'!M$130:M$210)</f>
        <v>22343.015376361007</v>
      </c>
      <c r="N85" s="27">
        <f>'Statistics NZ'!N$85*'Economic Forecasts'!P$9*1000000/SUM('Statistics NZ'!N$30:N$110,'Statistics NZ'!N$130:N$210)</f>
        <v>22475.994021455994</v>
      </c>
      <c r="O85" s="27">
        <f>'Statistics NZ'!O$85*'Economic Forecasts'!Q$9*1000000/SUM('Statistics NZ'!O$30:O$110,'Statistics NZ'!O$130:O$210)</f>
        <v>22058.164142401918</v>
      </c>
      <c r="P85" s="27">
        <f>'Statistics NZ'!P$85*'Economic Forecasts'!R$9*1000000/SUM('Statistics NZ'!P$30:P$110,'Statistics NZ'!P$130:P$210)</f>
        <v>22873.877468497503</v>
      </c>
      <c r="Q85" s="27">
        <f>'Statistics NZ'!Q$85*'Economic Forecasts'!S$9*1000000/SUM('Statistics NZ'!Q$30:Q$110,'Statistics NZ'!Q$130:Q$210)</f>
        <v>22732.903089447485</v>
      </c>
      <c r="R85" s="27">
        <f>'Statistics NZ'!R$85*'Economic Forecasts'!T$9*1000000/SUM('Statistics NZ'!R$30:R$110,'Statistics NZ'!R$130:R$210)</f>
        <v>23207.573432279125</v>
      </c>
      <c r="S85" s="27">
        <f>'Statistics NZ'!S$85*'Economic Forecasts'!U$9*1000000/SUM('Statistics NZ'!S$30:S$110,'Statistics NZ'!S$130:S$210)</f>
        <v>23187.974393282493</v>
      </c>
      <c r="T85" s="27">
        <f>'Statistics NZ'!T$85*'Economic Forecasts'!V$9*1000000/SUM('Statistics NZ'!T$30:T$110,'Statistics NZ'!T$130:T$210)</f>
        <v>24254.672926447573</v>
      </c>
      <c r="U85" s="28">
        <f>SUM('Statistics NZ'!U$85,$P$12/5*(U$8-U$9)*1000)*'Economic Forecasts'!W$9*1000000/SUM('Statistics NZ'!U$30:U$110,'Statistics NZ'!U$130:U$210,SUM($E$12:$T$13)*(U$8-U$9)*1000)</f>
        <v>24926.117204736267</v>
      </c>
      <c r="V85" s="28">
        <f>SUM('Statistics NZ'!V$85,$P$12/5*(V$8-V$9)*1000)*'Economic Forecasts'!X$9*1000000/SUM('Statistics NZ'!V$30:V$110,'Statistics NZ'!V$130:V$210,SUM($E$12:$T$13)*(V$8-V$9)*1000)</f>
        <v>25673.254295190669</v>
      </c>
      <c r="W85" s="28">
        <f>SUM('Statistics NZ'!W$85,$P$12/5*(W$8-W$9)*1000)*'Economic Forecasts'!Y$9*1000000/SUM('Statistics NZ'!W$30:W$110,'Statistics NZ'!W$130:W$210,SUM($E$12:$T$13)*(W$8-W$9)*1000)</f>
        <v>26234.932900594133</v>
      </c>
      <c r="X85" s="28">
        <f>SUM('Statistics NZ'!X$85,$P$12/5*(X$8-X$9)*1000)*'Economic Forecasts'!Z$9*1000000/SUM('Statistics NZ'!X$30:X$110,'Statistics NZ'!X$130:X$210,SUM($E$12:$T$13)*(X$8-X$9)*1000)</f>
        <v>26937.210501400008</v>
      </c>
      <c r="Y85" s="28">
        <f>SUM('Statistics NZ'!Y$85,$P$12/5*(Y$8-Y$9)*1000)*'Economic Forecasts'!AA$9*1000000/SUM('Statistics NZ'!Y$30:Y$110,'Statistics NZ'!Y$130:Y$210,SUM($E$12:$T$13)*(Y$8-Y$9)*1000)</f>
        <v>27853.371674452959</v>
      </c>
      <c r="Z85" s="28">
        <f>SUM('Statistics NZ'!Z$85,$P$12/5*(Z$8-Z$9)*1000)*'Economic Forecasts'!AB$9*1000000/SUM('Statistics NZ'!Z$30:Z$110,'Statistics NZ'!Z$130:Z$210,SUM($E$12:$T$13)*(Z$8-Z$9)*1000)</f>
        <v>28279.163867244933</v>
      </c>
      <c r="AA85" s="28">
        <f>SUM('Statistics NZ'!AA$85,$P$12/5*(AA$8-AA$9)*1000)*'Economic Forecasts'!AC$9*1000000/SUM('Statistics NZ'!AA$30:AA$110,'Statistics NZ'!AA$130:AA$210,SUM($E$12:$T$13)*(AA$8-AA$9)*1000)</f>
        <v>29552.266089927252</v>
      </c>
      <c r="AB85" s="18">
        <f>SUM(AA$85,'Statistics NZ'!AB$85-'Statistics NZ'!AA$85,$P$12/5*(AB$8-AB$9)*1000)</f>
        <v>30553.403619081051</v>
      </c>
      <c r="AC85" s="18">
        <f>SUM(AB$85,'Statistics NZ'!AC$85-'Statistics NZ'!AB$85,$P$12/5*(AC$8-AC$9)*1000)</f>
        <v>30874.161971850252</v>
      </c>
      <c r="AD85" s="18">
        <f>SUM(AC$85,'Statistics NZ'!AD$85-'Statistics NZ'!AC$85,$P$12/5*(AD$8-AD$9)*1000)</f>
        <v>30314.47795217075</v>
      </c>
      <c r="AE85" s="18">
        <f>SUM(AD$85,'Statistics NZ'!AE$85-'Statistics NZ'!AD$85,$P$12/5*(AE$8-AE$9)*1000)</f>
        <v>29534.47795217075</v>
      </c>
      <c r="AF85" s="18">
        <f>SUM(AE$85,'Statistics NZ'!AF$85-'Statistics NZ'!AE$85,$P$12/5*(AF$8-AF$9)*1000)</f>
        <v>29244.47795217075</v>
      </c>
      <c r="AG85" s="18">
        <f>SUM(AF$85,'Statistics NZ'!AG$85-'Statistics NZ'!AF$85,$P$12/5*(AG$8-AG$9)*1000)</f>
        <v>30054.47795217075</v>
      </c>
      <c r="AH85" s="18">
        <f>SUM(AG$85,'Statistics NZ'!AH$85-'Statistics NZ'!AG$85,$P$12/5*(AH$8-AH$9)*1000)</f>
        <v>30524.47795217075</v>
      </c>
      <c r="AI85" s="18">
        <f>SUM(AH$85,'Statistics NZ'!AI$85-'Statistics NZ'!AH$85,$P$12/5*(AI$8-AI$9)*1000)</f>
        <v>31304.47795217075</v>
      </c>
      <c r="AJ85" s="18">
        <f>SUM(AI$85,'Statistics NZ'!AJ$85-'Statistics NZ'!AI$85,$P$12/5*(AJ$8-AJ$9)*1000)</f>
        <v>31394.47795217075</v>
      </c>
      <c r="AK85" s="18">
        <f>SUM(AJ$85,'Statistics NZ'!AK$85-'Statistics NZ'!AJ$85,$P$12/5*(AK$8-AK$9)*1000)</f>
        <v>32834.477952170753</v>
      </c>
    </row>
    <row r="86" spans="1:37" x14ac:dyDescent="0.25">
      <c r="A86" s="12">
        <v>71</v>
      </c>
      <c r="B86" s="27">
        <f>'Statistics NZ'!B$86*'Economic Forecasts'!D$9*1000000/SUM('Statistics NZ'!B$30:B$110,'Statistics NZ'!B$130:B$210)</f>
        <v>12376.685212600718</v>
      </c>
      <c r="C86" s="27">
        <f>'Statistics NZ'!C$86*'Economic Forecasts'!E$9*1000000/SUM('Statistics NZ'!C$30:C$110,'Statistics NZ'!C$130:C$210)</f>
        <v>13011.603692056557</v>
      </c>
      <c r="D86" s="27">
        <f>'Statistics NZ'!D$86*'Economic Forecasts'!F$9*1000000/SUM('Statistics NZ'!D$30:D$110,'Statistics NZ'!D$130:D$210)</f>
        <v>13525.890542886358</v>
      </c>
      <c r="E86" s="27">
        <f>'Statistics NZ'!E$86*'Economic Forecasts'!G$9*1000000/SUM('Statistics NZ'!E$30:E$110,'Statistics NZ'!E$130:E$210)</f>
        <v>13916.165506373773</v>
      </c>
      <c r="F86" s="27">
        <f>'Statistics NZ'!F$86*'Economic Forecasts'!H$9*1000000/SUM('Statistics NZ'!F$30:F$110,'Statistics NZ'!F$130:F$210)</f>
        <v>14497.452730711024</v>
      </c>
      <c r="G86" s="27">
        <f>'Statistics NZ'!G$86*'Economic Forecasts'!I$9*1000000/SUM('Statistics NZ'!G$30:G$110,'Statistics NZ'!G$130:G$210)</f>
        <v>15617.730892590822</v>
      </c>
      <c r="H86" s="27">
        <f>'Statistics NZ'!H$86*'Economic Forecasts'!J$9*1000000/SUM('Statistics NZ'!H$30:H$110,'Statistics NZ'!H$130:H$210)</f>
        <v>16909.061023335056</v>
      </c>
      <c r="I86" s="27">
        <f>'Statistics NZ'!I$86*'Economic Forecasts'!K$9*1000000/SUM('Statistics NZ'!I$30:I$110,'Statistics NZ'!I$130:I$210)</f>
        <v>17224.846673515771</v>
      </c>
      <c r="J86" s="27">
        <f>'Statistics NZ'!J$86*'Economic Forecasts'!L$9*1000000/SUM('Statistics NZ'!J$30:J$110,'Statistics NZ'!J$130:J$210)</f>
        <v>15310.455122976971</v>
      </c>
      <c r="K86" s="27">
        <f>'Statistics NZ'!K$86*'Economic Forecasts'!M$9*1000000/SUM('Statistics NZ'!K$30:K$110,'Statistics NZ'!K$130:K$210)</f>
        <v>16999.438971954016</v>
      </c>
      <c r="L86" s="27">
        <f>'Statistics NZ'!L$86*'Economic Forecasts'!N$9*1000000/SUM('Statistics NZ'!L$30:L$110,'Statistics NZ'!L$130:L$210)</f>
        <v>17886.161799282756</v>
      </c>
      <c r="M86" s="27">
        <f>'Statistics NZ'!M$86*'Economic Forecasts'!O$9*1000000/SUM('Statistics NZ'!M$30:M$110,'Statistics NZ'!M$130:M$210)</f>
        <v>18845.507940970871</v>
      </c>
      <c r="N86" s="27">
        <f>'Statistics NZ'!N$86*'Economic Forecasts'!P$9*1000000/SUM('Statistics NZ'!N$30:N$110,'Statistics NZ'!N$130:N$210)</f>
        <v>22035.671979242008</v>
      </c>
      <c r="O86" s="27">
        <f>'Statistics NZ'!O$86*'Economic Forecasts'!Q$9*1000000/SUM('Statistics NZ'!O$30:O$110,'Statistics NZ'!O$130:O$210)</f>
        <v>22234.943730364175</v>
      </c>
      <c r="P86" s="27">
        <f>'Statistics NZ'!P$86*'Economic Forecasts'!R$9*1000000/SUM('Statistics NZ'!P$30:P$110,'Statistics NZ'!P$130:P$210)</f>
        <v>21875.103709170984</v>
      </c>
      <c r="Q86" s="27">
        <f>'Statistics NZ'!Q$86*'Economic Forecasts'!S$9*1000000/SUM('Statistics NZ'!Q$30:Q$110,'Statistics NZ'!Q$130:Q$210)</f>
        <v>22693.384787683997</v>
      </c>
      <c r="R86" s="27">
        <f>'Statistics NZ'!R$86*'Economic Forecasts'!T$9*1000000/SUM('Statistics NZ'!R$30:R$110,'Statistics NZ'!R$130:R$210)</f>
        <v>22278.479776983448</v>
      </c>
      <c r="S86" s="27">
        <f>'Statistics NZ'!S$86*'Economic Forecasts'!U$9*1000000/SUM('Statistics NZ'!S$30:S$110,'Statistics NZ'!S$130:S$210)</f>
        <v>22487.078441848258</v>
      </c>
      <c r="T86" s="27">
        <f>'Statistics NZ'!T$86*'Economic Forecasts'!V$9*1000000/SUM('Statistics NZ'!T$30:T$110,'Statistics NZ'!T$130:T$210)</f>
        <v>23124.949400104331</v>
      </c>
      <c r="U86" s="28">
        <f>SUM('Statistics NZ'!U$86,$P$12/5*(U$8-U$9)*1000)*'Economic Forecasts'!W$9*1000000/SUM('Statistics NZ'!U$30:U$110,'Statistics NZ'!U$130:U$210,SUM($E$12:$T$13)*(U$8-U$9)*1000)</f>
        <v>24040.490181480622</v>
      </c>
      <c r="V86" s="28">
        <f>SUM('Statistics NZ'!V$86,$P$12/5*(V$8-V$9)*1000)*'Economic Forecasts'!X$9*1000000/SUM('Statistics NZ'!V$30:V$110,'Statistics NZ'!V$130:V$210,SUM($E$12:$T$13)*(V$8-V$9)*1000)</f>
        <v>24604.032525248378</v>
      </c>
      <c r="W86" s="28">
        <f>SUM('Statistics NZ'!W$86,$P$12/5*(W$8-W$9)*1000)*'Economic Forecasts'!Y$9*1000000/SUM('Statistics NZ'!W$30:W$110,'Statistics NZ'!W$130:W$210,SUM($E$12:$T$13)*(W$8-W$9)*1000)</f>
        <v>25364.335570561441</v>
      </c>
      <c r="X86" s="28">
        <f>SUM('Statistics NZ'!X$86,$P$12/5*(X$8-X$9)*1000)*'Economic Forecasts'!Z$9*1000000/SUM('Statistics NZ'!X$30:X$110,'Statistics NZ'!X$130:X$210,SUM($E$12:$T$13)*(X$8-X$9)*1000)</f>
        <v>25969.990727739045</v>
      </c>
      <c r="Y86" s="28">
        <f>SUM('Statistics NZ'!Y$86,$P$12/5*(Y$8-Y$9)*1000)*'Economic Forecasts'!AA$9*1000000/SUM('Statistics NZ'!Y$30:Y$110,'Statistics NZ'!Y$130:Y$210,SUM($E$12:$T$13)*(Y$8-Y$9)*1000)</f>
        <v>26700.633176586718</v>
      </c>
      <c r="Z86" s="28">
        <f>SUM('Statistics NZ'!Z$86,$P$12/5*(Z$8-Z$9)*1000)*'Economic Forecasts'!AB$9*1000000/SUM('Statistics NZ'!Z$30:Z$110,'Statistics NZ'!Z$130:Z$210,SUM($E$12:$T$13)*(Z$8-Z$9)*1000)</f>
        <v>27614.732086855445</v>
      </c>
      <c r="AA86" s="28">
        <f>SUM('Statistics NZ'!AA$86,$P$12/5*(AA$8-AA$9)*1000)*'Economic Forecasts'!AC$9*1000000/SUM('Statistics NZ'!AA$30:AA$110,'Statistics NZ'!AA$130:AA$210,SUM($E$12:$T$13)*(AA$8-AA$9)*1000)</f>
        <v>28056.6457067136</v>
      </c>
      <c r="AB86" s="18">
        <f>SUM(AA$86,'Statistics NZ'!AB$86-'Statistics NZ'!AA$86,$P$12/5*(AB$8-AB$9)*1000)</f>
        <v>29337.783235867399</v>
      </c>
      <c r="AC86" s="18">
        <f>SUM(AB$86,'Statistics NZ'!AC$86-'Statistics NZ'!AB$86,$P$12/5*(AC$8-AC$9)*1000)</f>
        <v>30338.541588636599</v>
      </c>
      <c r="AD86" s="18">
        <f>SUM(AC$86,'Statistics NZ'!AD$86-'Statistics NZ'!AC$86,$P$12/5*(AD$8-AD$9)*1000)</f>
        <v>30668.857568957097</v>
      </c>
      <c r="AE86" s="18">
        <f>SUM(AD$86,'Statistics NZ'!AE$86-'Statistics NZ'!AD$86,$P$12/5*(AE$8-AE$9)*1000)</f>
        <v>30108.857568957097</v>
      </c>
      <c r="AF86" s="18">
        <f>SUM(AE$86,'Statistics NZ'!AF$86-'Statistics NZ'!AE$86,$P$12/5*(AF$8-AF$9)*1000)</f>
        <v>29348.857568957097</v>
      </c>
      <c r="AG86" s="18">
        <f>SUM(AF$86,'Statistics NZ'!AG$86-'Statistics NZ'!AF$86,$P$12/5*(AG$8-AG$9)*1000)</f>
        <v>29068.857568957097</v>
      </c>
      <c r="AH86" s="18">
        <f>SUM(AG$86,'Statistics NZ'!AH$86-'Statistics NZ'!AG$86,$P$12/5*(AH$8-AH$9)*1000)</f>
        <v>29878.857568957097</v>
      </c>
      <c r="AI86" s="18">
        <f>SUM(AH$86,'Statistics NZ'!AI$86-'Statistics NZ'!AH$86,$P$12/5*(AI$8-AI$9)*1000)</f>
        <v>30338.857568957097</v>
      </c>
      <c r="AJ86" s="18">
        <f>SUM(AI$86,'Statistics NZ'!AJ$86-'Statistics NZ'!AI$86,$P$12/5*(AJ$8-AJ$9)*1000)</f>
        <v>31128.857568957097</v>
      </c>
      <c r="AK86" s="18">
        <f>SUM(AJ$86,'Statistics NZ'!AK$86-'Statistics NZ'!AJ$86,$P$12/5*(AK$8-AK$9)*1000)</f>
        <v>31218.857568957097</v>
      </c>
    </row>
    <row r="87" spans="1:37" x14ac:dyDescent="0.25">
      <c r="A87" s="12">
        <v>72</v>
      </c>
      <c r="B87" s="27">
        <f>'Statistics NZ'!B$87*'Economic Forecasts'!D$9*1000000/SUM('Statistics NZ'!B$30:B$110,'Statistics NZ'!B$130:B$210)</f>
        <v>12141.870631492087</v>
      </c>
      <c r="C87" s="27">
        <f>'Statistics NZ'!C$87*'Economic Forecasts'!E$9*1000000/SUM('Statistics NZ'!C$30:C$110,'Statistics NZ'!C$130:C$210)</f>
        <v>12216.177353145929</v>
      </c>
      <c r="D87" s="27">
        <f>'Statistics NZ'!D$87*'Economic Forecasts'!F$9*1000000/SUM('Statistics NZ'!D$30:D$110,'Statistics NZ'!D$130:D$210)</f>
        <v>12808.831712362971</v>
      </c>
      <c r="E87" s="27">
        <f>'Statistics NZ'!E$87*'Economic Forecasts'!G$9*1000000/SUM('Statistics NZ'!E$30:E$110,'Statistics NZ'!E$130:E$210)</f>
        <v>13278.709017357354</v>
      </c>
      <c r="F87" s="27">
        <f>'Statistics NZ'!F$87*'Economic Forecasts'!H$9*1000000/SUM('Statistics NZ'!F$30:F$110,'Statistics NZ'!F$130:F$210)</f>
        <v>13732.363885653202</v>
      </c>
      <c r="G87" s="27">
        <f>'Statistics NZ'!G$87*'Economic Forecasts'!I$9*1000000/SUM('Statistics NZ'!G$30:G$110,'Statistics NZ'!G$130:G$210)</f>
        <v>14311.342082078509</v>
      </c>
      <c r="H87" s="27">
        <f>'Statistics NZ'!H$87*'Economic Forecasts'!J$9*1000000/SUM('Statistics NZ'!H$30:H$110,'Statistics NZ'!H$130:H$210)</f>
        <v>15405.815040435427</v>
      </c>
      <c r="I87" s="27">
        <f>'Statistics NZ'!I$87*'Economic Forecasts'!K$9*1000000/SUM('Statistics NZ'!I$30:I$110,'Statistics NZ'!I$130:I$210)</f>
        <v>16626.829799819436</v>
      </c>
      <c r="J87" s="27">
        <f>'Statistics NZ'!J$87*'Economic Forecasts'!L$9*1000000/SUM('Statistics NZ'!J$30:J$110,'Statistics NZ'!J$130:J$210)</f>
        <v>16890.260046494339</v>
      </c>
      <c r="K87" s="27">
        <f>'Statistics NZ'!K$87*'Economic Forecasts'!M$9*1000000/SUM('Statistics NZ'!K$30:K$110,'Statistics NZ'!K$130:K$210)</f>
        <v>15052.195103459853</v>
      </c>
      <c r="L87" s="27">
        <f>'Statistics NZ'!L$87*'Economic Forecasts'!N$9*1000000/SUM('Statistics NZ'!L$30:L$110,'Statistics NZ'!L$130:L$210)</f>
        <v>16727.504611414137</v>
      </c>
      <c r="M87" s="27">
        <f>'Statistics NZ'!M$87*'Economic Forecasts'!O$9*1000000/SUM('Statistics NZ'!M$30:M$110,'Statistics NZ'!M$130:M$210)</f>
        <v>17653.6199322625</v>
      </c>
      <c r="N87" s="27">
        <f>'Statistics NZ'!N$87*'Economic Forecasts'!P$9*1000000/SUM('Statistics NZ'!N$30:N$110,'Statistics NZ'!N$130:N$210)</f>
        <v>18571.805247158674</v>
      </c>
      <c r="O87" s="27">
        <f>'Statistics NZ'!O$87*'Economic Forecasts'!Q$9*1000000/SUM('Statistics NZ'!O$30:O$110,'Statistics NZ'!O$130:O$210)</f>
        <v>21822.458025118904</v>
      </c>
      <c r="P87" s="27">
        <f>'Statistics NZ'!P$87*'Economic Forecasts'!R$9*1000000/SUM('Statistics NZ'!P$30:P$110,'Statistics NZ'!P$130:P$210)</f>
        <v>22002.39840398711</v>
      </c>
      <c r="Q87" s="27">
        <f>'Statistics NZ'!Q$87*'Economic Forecasts'!S$9*1000000/SUM('Statistics NZ'!Q$30:Q$110,'Statistics NZ'!Q$130:Q$210)</f>
        <v>21616.511064628899</v>
      </c>
      <c r="R87" s="27">
        <f>'Statistics NZ'!R$87*'Economic Forecasts'!T$9*1000000/SUM('Statistics NZ'!R$30:R$110,'Statistics NZ'!R$130:R$210)</f>
        <v>22238.943876758105</v>
      </c>
      <c r="S87" s="27">
        <f>'Statistics NZ'!S$87*'Economic Forecasts'!U$9*1000000/SUM('Statistics NZ'!S$30:S$110,'Statistics NZ'!S$130:S$210)</f>
        <v>21562.285172594758</v>
      </c>
      <c r="T87" s="27">
        <f>'Statistics NZ'!T$87*'Economic Forecasts'!V$9*1000000/SUM('Statistics NZ'!T$30:T$110,'Statistics NZ'!T$130:T$210)</f>
        <v>22407.820552947309</v>
      </c>
      <c r="U87" s="28">
        <f>SUM('Statistics NZ'!U$87,$P$12/5*(U$8-U$9)*1000)*'Economic Forecasts'!W$9*1000000/SUM('Statistics NZ'!U$30:U$110,'Statistics NZ'!U$130:U$210,SUM($E$12:$T$13)*(U$8-U$9)*1000)</f>
        <v>22889.175051248294</v>
      </c>
      <c r="V87" s="28">
        <f>SUM('Statistics NZ'!V$87,$P$12/5*(V$8-V$9)*1000)*'Economic Forecasts'!X$9*1000000/SUM('Statistics NZ'!V$30:V$110,'Statistics NZ'!V$130:V$210,SUM($E$12:$T$13)*(V$8-V$9)*1000)</f>
        <v>23711.379487957111</v>
      </c>
      <c r="W87" s="28">
        <f>SUM('Statistics NZ'!W$87,$P$12/5*(W$8-W$9)*1000)*'Economic Forecasts'!Y$9*1000000/SUM('Statistics NZ'!W$30:W$110,'Statistics NZ'!W$130:W$210,SUM($E$12:$T$13)*(W$8-W$9)*1000)</f>
        <v>24288.316398610918</v>
      </c>
      <c r="X87" s="28">
        <f>SUM('Statistics NZ'!X$87,$P$12/5*(X$8-X$9)*1000)*'Economic Forecasts'!Z$9*1000000/SUM('Statistics NZ'!X$30:X$110,'Statistics NZ'!X$130:X$210,SUM($E$12:$T$13)*(X$8-X$9)*1000)</f>
        <v>25071.1602310036</v>
      </c>
      <c r="Y87" s="28">
        <f>SUM('Statistics NZ'!Y$87,$P$12/5*(Y$8-Y$9)*1000)*'Economic Forecasts'!AA$9*1000000/SUM('Statistics NZ'!Y$30:Y$110,'Statistics NZ'!Y$130:Y$210,SUM($E$12:$T$13)*(Y$8-Y$9)*1000)</f>
        <v>25704.198203854889</v>
      </c>
      <c r="Z87" s="28">
        <f>SUM('Statistics NZ'!Z$87,$P$12/5*(Z$8-Z$9)*1000)*'Economic Forecasts'!AB$9*1000000/SUM('Statistics NZ'!Z$30:Z$110,'Statistics NZ'!Z$130:Z$210,SUM($E$12:$T$13)*(Z$8-Z$9)*1000)</f>
        <v>26442.205415579876</v>
      </c>
      <c r="AA87" s="28">
        <f>SUM('Statistics NZ'!AA$87,$P$12/5*(AA$8-AA$9)*1000)*'Economic Forecasts'!AC$9*1000000/SUM('Statistics NZ'!AA$30:AA$110,'Statistics NZ'!AA$130:AA$210,SUM($E$12:$T$13)*(AA$8-AA$9)*1000)</f>
        <v>27362.599646529496</v>
      </c>
      <c r="AB87" s="18">
        <f>SUM(AA$87,'Statistics NZ'!AB$87-'Statistics NZ'!AA$87,$P$12/5*(AB$8-AB$9)*1000)</f>
        <v>27803.737175683294</v>
      </c>
      <c r="AC87" s="18">
        <f>SUM(AB$87,'Statistics NZ'!AC$87-'Statistics NZ'!AB$87,$P$12/5*(AC$8-AC$9)*1000)</f>
        <v>29084.495528452495</v>
      </c>
      <c r="AD87" s="18">
        <f>SUM(AC$87,'Statistics NZ'!AD$87-'Statistics NZ'!AC$87,$P$12/5*(AD$8-AD$9)*1000)</f>
        <v>30074.811508772993</v>
      </c>
      <c r="AE87" s="18">
        <f>SUM(AD$87,'Statistics NZ'!AE$87-'Statistics NZ'!AD$87,$P$12/5*(AE$8-AE$9)*1000)</f>
        <v>30404.811508772993</v>
      </c>
      <c r="AF87" s="18">
        <f>SUM(AE$87,'Statistics NZ'!AF$87-'Statistics NZ'!AE$87,$P$12/5*(AF$8-AF$9)*1000)</f>
        <v>29864.811508772993</v>
      </c>
      <c r="AG87" s="18">
        <f>SUM(AF$87,'Statistics NZ'!AG$87-'Statistics NZ'!AF$87,$P$12/5*(AG$8-AG$9)*1000)</f>
        <v>29114.811508772993</v>
      </c>
      <c r="AH87" s="18">
        <f>SUM(AG$87,'Statistics NZ'!AH$87-'Statistics NZ'!AG$87,$P$12/5*(AH$8-AH$9)*1000)</f>
        <v>28844.811508772993</v>
      </c>
      <c r="AI87" s="18">
        <f>SUM(AH$87,'Statistics NZ'!AI$87-'Statistics NZ'!AH$87,$P$12/5*(AI$8-AI$9)*1000)</f>
        <v>29654.811508772993</v>
      </c>
      <c r="AJ87" s="18">
        <f>SUM(AI$87,'Statistics NZ'!AJ$87-'Statistics NZ'!AI$87,$P$12/5*(AJ$8-AJ$9)*1000)</f>
        <v>30114.811508772993</v>
      </c>
      <c r="AK87" s="18">
        <f>SUM(AJ$87,'Statistics NZ'!AK$87-'Statistics NZ'!AJ$87,$P$12/5*(AK$8-AK$9)*1000)</f>
        <v>30904.811508772993</v>
      </c>
    </row>
    <row r="88" spans="1:37" x14ac:dyDescent="0.25">
      <c r="A88" s="12">
        <v>73</v>
      </c>
      <c r="B88" s="27">
        <f>'Statistics NZ'!B$88*'Economic Forecasts'!D$9*1000000/SUM('Statistics NZ'!B$30:B$110,'Statistics NZ'!B$130:B$210)</f>
        <v>12034.247281817297</v>
      </c>
      <c r="C88" s="27">
        <f>'Statistics NZ'!C$88*'Economic Forecasts'!E$9*1000000/SUM('Statistics NZ'!C$30:C$110,'Statistics NZ'!C$130:C$210)</f>
        <v>11931.395083659409</v>
      </c>
      <c r="D88" s="27">
        <f>'Statistics NZ'!D$88*'Economic Forecasts'!F$9*1000000/SUM('Statistics NZ'!D$30:D$110,'Statistics NZ'!D$130:D$210)</f>
        <v>11964.077473664185</v>
      </c>
      <c r="E88" s="27">
        <f>'Statistics NZ'!E$88*'Economic Forecasts'!G$9*1000000/SUM('Statistics NZ'!E$30:E$110,'Statistics NZ'!E$130:E$210)</f>
        <v>12533.375276353547</v>
      </c>
      <c r="F88" s="27">
        <f>'Statistics NZ'!F$88*'Economic Forecasts'!H$9*1000000/SUM('Statistics NZ'!F$30:F$110,'Statistics NZ'!F$130:F$210)</f>
        <v>13026.128028676751</v>
      </c>
      <c r="G88" s="27">
        <f>'Statistics NZ'!G$88*'Economic Forecasts'!I$9*1000000/SUM('Statistics NZ'!G$30:G$110,'Statistics NZ'!G$130:G$210)</f>
        <v>13515.72182905973</v>
      </c>
      <c r="H88" s="27">
        <f>'Statistics NZ'!H$88*'Economic Forecasts'!J$9*1000000/SUM('Statistics NZ'!H$30:H$110,'Statistics NZ'!H$130:H$210)</f>
        <v>14099.071800398495</v>
      </c>
      <c r="I88" s="27">
        <f>'Statistics NZ'!I$88*'Economic Forecasts'!K$9*1000000/SUM('Statistics NZ'!I$30:I$110,'Statistics NZ'!I$130:I$210)</f>
        <v>15185.707169764328</v>
      </c>
      <c r="J88" s="27">
        <f>'Statistics NZ'!J$88*'Economic Forecasts'!L$9*1000000/SUM('Statistics NZ'!J$30:J$110,'Statistics NZ'!J$130:J$210)</f>
        <v>16285.643347370407</v>
      </c>
      <c r="K88" s="27">
        <f>'Statistics NZ'!K$88*'Economic Forecasts'!M$9*1000000/SUM('Statistics NZ'!K$30:K$110,'Statistics NZ'!K$130:K$210)</f>
        <v>16600.253978912711</v>
      </c>
      <c r="L88" s="27">
        <f>'Statistics NZ'!L$88*'Economic Forecasts'!N$9*1000000/SUM('Statistics NZ'!L$30:L$110,'Statistics NZ'!L$130:L$210)</f>
        <v>14809.391451665255</v>
      </c>
      <c r="M88" s="27">
        <f>'Statistics NZ'!M$88*'Economic Forecasts'!O$9*1000000/SUM('Statistics NZ'!M$30:M$110,'Statistics NZ'!M$130:M$210)</f>
        <v>16451.962349712259</v>
      </c>
      <c r="N88" s="27">
        <f>'Statistics NZ'!N$88*'Economic Forecasts'!P$9*1000000/SUM('Statistics NZ'!N$30:N$110,'Statistics NZ'!N$130:N$210)</f>
        <v>17338.903528959523</v>
      </c>
      <c r="O88" s="27">
        <f>'Statistics NZ'!O$88*'Economic Forecasts'!Q$9*1000000/SUM('Statistics NZ'!O$30:O$110,'Statistics NZ'!O$130:O$210)</f>
        <v>18267.224089433468</v>
      </c>
      <c r="P88" s="27">
        <f>'Statistics NZ'!P$88*'Economic Forecasts'!R$9*1000000/SUM('Statistics NZ'!P$30:P$110,'Statistics NZ'!P$130:P$210)</f>
        <v>21581.346721133774</v>
      </c>
      <c r="Q88" s="27">
        <f>'Statistics NZ'!Q$88*'Economic Forecasts'!S$9*1000000/SUM('Statistics NZ'!Q$30:Q$110,'Statistics NZ'!Q$130:Q$210)</f>
        <v>21735.065969919367</v>
      </c>
      <c r="R88" s="27">
        <f>'Statistics NZ'!R$88*'Economic Forecasts'!T$9*1000000/SUM('Statistics NZ'!R$30:R$110,'Statistics NZ'!R$130:R$210)</f>
        <v>21131.93867044837</v>
      </c>
      <c r="S88" s="27">
        <f>'Statistics NZ'!S$88*'Economic Forecasts'!U$9*1000000/SUM('Statistics NZ'!S$30:S$110,'Statistics NZ'!S$130:S$210)</f>
        <v>21542.815840610478</v>
      </c>
      <c r="T88" s="27">
        <f>'Statistics NZ'!T$88*'Economic Forecasts'!V$9*1000000/SUM('Statistics NZ'!T$30:T$110,'Statistics NZ'!T$130:T$210)</f>
        <v>21445.099634846109</v>
      </c>
      <c r="U88" s="28">
        <f>SUM('Statistics NZ'!U$88,$P$12/5*(U$8-U$9)*1000)*'Economic Forecasts'!W$9*1000000/SUM('Statistics NZ'!U$30:U$110,'Statistics NZ'!U$130:U$210,SUM($E$12:$T$13)*(U$8-U$9)*1000)</f>
        <v>22151.152531868593</v>
      </c>
      <c r="V88" s="28">
        <f>SUM('Statistics NZ'!V$88,$P$12/5*(V$8-V$9)*1000)*'Economic Forecasts'!X$9*1000000/SUM('Statistics NZ'!V$30:V$110,'Statistics NZ'!V$130:V$210,SUM($E$12:$T$13)*(V$8-V$9)*1000)</f>
        <v>22544.063977653146</v>
      </c>
      <c r="W88" s="28">
        <f>SUM('Statistics NZ'!W$88,$P$12/5*(W$8-W$9)*1000)*'Economic Forecasts'!Y$9*1000000/SUM('Statistics NZ'!W$30:W$110,'Statistics NZ'!W$130:W$210,SUM($E$12:$T$13)*(W$8-W$9)*1000)</f>
        <v>23368.809106216842</v>
      </c>
      <c r="X88" s="28">
        <f>SUM('Statistics NZ'!X$88,$P$12/5*(X$8-X$9)*1000)*'Economic Forecasts'!Z$9*1000000/SUM('Statistics NZ'!X$30:X$110,'Statistics NZ'!X$130:X$210,SUM($E$12:$T$13)*(X$8-X$9)*1000)</f>
        <v>23976.931800195238</v>
      </c>
      <c r="Y88" s="28">
        <f>SUM('Statistics NZ'!Y$88,$P$12/5*(Y$8-Y$9)*1000)*'Economic Forecasts'!AA$9*1000000/SUM('Statistics NZ'!Y$30:Y$110,'Statistics NZ'!Y$130:Y$210,SUM($E$12:$T$13)*(Y$8-Y$9)*1000)</f>
        <v>24785.914993690254</v>
      </c>
      <c r="Z88" s="28">
        <f>SUM('Statistics NZ'!Z$88,$P$12/5*(Z$8-Z$9)*1000)*'Economic Forecasts'!AB$9*1000000/SUM('Statistics NZ'!Z$30:Z$110,'Statistics NZ'!Z$130:Z$210,SUM($E$12:$T$13)*(Z$8-Z$9)*1000)</f>
        <v>25426.015633807718</v>
      </c>
      <c r="AA88" s="28">
        <f>SUM('Statistics NZ'!AA$88,$P$12/5*(AA$8-AA$9)*1000)*'Economic Forecasts'!AC$9*1000000/SUM('Statistics NZ'!AA$30:AA$110,'Statistics NZ'!AA$130:AA$210,SUM($E$12:$T$13)*(AA$8-AA$9)*1000)</f>
        <v>26170.0134586075</v>
      </c>
      <c r="AB88" s="18">
        <f>SUM(AA$88,'Statistics NZ'!AB$88-'Statistics NZ'!AA$88,$P$12/5*(AB$8-AB$9)*1000)</f>
        <v>27101.150987761299</v>
      </c>
      <c r="AC88" s="18">
        <f>SUM(AB$88,'Statistics NZ'!AC$88-'Statistics NZ'!AB$88,$P$12/5*(AC$8-AC$9)*1000)</f>
        <v>27541.909340530499</v>
      </c>
      <c r="AD88" s="18">
        <f>SUM(AC$88,'Statistics NZ'!AD$88-'Statistics NZ'!AC$88,$P$12/5*(AD$8-AD$9)*1000)</f>
        <v>28812.225320850997</v>
      </c>
      <c r="AE88" s="18">
        <f>SUM(AD$88,'Statistics NZ'!AE$88-'Statistics NZ'!AD$88,$P$12/5*(AE$8-AE$9)*1000)</f>
        <v>29802.225320850997</v>
      </c>
      <c r="AF88" s="18">
        <f>SUM(AE$88,'Statistics NZ'!AF$88-'Statistics NZ'!AE$88,$P$12/5*(AF$8-AF$9)*1000)</f>
        <v>30142.225320850997</v>
      </c>
      <c r="AG88" s="18">
        <f>SUM(AF$88,'Statistics NZ'!AG$88-'Statistics NZ'!AF$88,$P$12/5*(AG$8-AG$9)*1000)</f>
        <v>29612.225320850997</v>
      </c>
      <c r="AH88" s="18">
        <f>SUM(AG$88,'Statistics NZ'!AH$88-'Statistics NZ'!AG$88,$P$12/5*(AH$8-AH$9)*1000)</f>
        <v>28872.225320850997</v>
      </c>
      <c r="AI88" s="18">
        <f>SUM(AH$88,'Statistics NZ'!AI$88-'Statistics NZ'!AH$88,$P$12/5*(AI$8-AI$9)*1000)</f>
        <v>28602.225320850997</v>
      </c>
      <c r="AJ88" s="18">
        <f>SUM(AI$88,'Statistics NZ'!AJ$88-'Statistics NZ'!AI$88,$P$12/5*(AJ$8-AJ$9)*1000)</f>
        <v>29412.225320850997</v>
      </c>
      <c r="AK88" s="18">
        <f>SUM(AJ$88,'Statistics NZ'!AK$88-'Statistics NZ'!AJ$88,$P$12/5*(AK$8-AK$9)*1000)</f>
        <v>29882.225320850997</v>
      </c>
    </row>
    <row r="89" spans="1:37" x14ac:dyDescent="0.25">
      <c r="A89" s="12">
        <v>74</v>
      </c>
      <c r="B89" s="27">
        <f>'Statistics NZ'!B$89*'Economic Forecasts'!D$9*1000000/SUM('Statistics NZ'!B$30:B$110,'Statistics NZ'!B$130:B$210)</f>
        <v>11701.593291913407</v>
      </c>
      <c r="C89" s="27">
        <f>'Statistics NZ'!C$89*'Economic Forecasts'!E$9*1000000/SUM('Statistics NZ'!C$30:C$110,'Statistics NZ'!C$130:C$210)</f>
        <v>11813.554144561538</v>
      </c>
      <c r="D89" s="27">
        <f>'Statistics NZ'!D$89*'Economic Forecasts'!F$9*1000000/SUM('Statistics NZ'!D$30:D$110,'Statistics NZ'!D$130:D$210)</f>
        <v>11669.395762490189</v>
      </c>
      <c r="E89" s="27">
        <f>'Statistics NZ'!E$89*'Economic Forecasts'!G$9*1000000/SUM('Statistics NZ'!E$30:E$110,'Statistics NZ'!E$130:E$210)</f>
        <v>11699.778329178233</v>
      </c>
      <c r="F89" s="27">
        <f>'Statistics NZ'!F$89*'Economic Forecasts'!H$9*1000000/SUM('Statistics NZ'!F$30:F$110,'Statistics NZ'!F$130:F$210)</f>
        <v>12261.03918361893</v>
      </c>
      <c r="G89" s="27">
        <f>'Statistics NZ'!G$89*'Economic Forecasts'!I$9*1000000/SUM('Statistics NZ'!G$30:G$110,'Statistics NZ'!G$130:G$210)</f>
        <v>12818.326298635864</v>
      </c>
      <c r="H89" s="27">
        <f>'Statistics NZ'!H$89*'Economic Forecasts'!J$9*1000000/SUM('Statistics NZ'!H$30:H$110,'Statistics NZ'!H$130:H$210)</f>
        <v>13273.760280375165</v>
      </c>
      <c r="I89" s="27">
        <f>'Statistics NZ'!I$89*'Economic Forecasts'!K$9*1000000/SUM('Statistics NZ'!I$30:I$110,'Statistics NZ'!I$130:I$210)</f>
        <v>13783.798760935213</v>
      </c>
      <c r="J89" s="27">
        <f>'Statistics NZ'!J$89*'Economic Forecasts'!L$9*1000000/SUM('Statistics NZ'!J$30:J$110,'Statistics NZ'!J$130:J$210)</f>
        <v>14852.116657512055</v>
      </c>
      <c r="K89" s="27">
        <f>'Statistics NZ'!K$89*'Economic Forecasts'!M$9*1000000/SUM('Statistics NZ'!K$30:K$110,'Statistics NZ'!K$130:K$210)</f>
        <v>15938.191063624696</v>
      </c>
      <c r="L89" s="27">
        <f>'Statistics NZ'!L$89*'Economic Forecasts'!N$9*1000000/SUM('Statistics NZ'!L$30:L$110,'Statistics NZ'!L$130:L$210)</f>
        <v>16299.093550353473</v>
      </c>
      <c r="M89" s="27">
        <f>'Statistics NZ'!M$89*'Economic Forecasts'!O$9*1000000/SUM('Statistics NZ'!M$30:M$110,'Statistics NZ'!M$130:M$210)</f>
        <v>14556.665024389109</v>
      </c>
      <c r="N89" s="27">
        <f>'Statistics NZ'!N$89*'Economic Forecasts'!P$9*1000000/SUM('Statistics NZ'!N$30:N$110,'Statistics NZ'!N$130:N$210)</f>
        <v>16135.356613574633</v>
      </c>
      <c r="O89" s="27">
        <f>'Statistics NZ'!O$89*'Economic Forecasts'!Q$9*1000000/SUM('Statistics NZ'!O$30:O$110,'Statistics NZ'!O$130:O$210)</f>
        <v>17039.588061917777</v>
      </c>
      <c r="P89" s="27">
        <f>'Statistics NZ'!P$89*'Economic Forecasts'!R$9*1000000/SUM('Statistics NZ'!P$30:P$110,'Statistics NZ'!P$130:P$210)</f>
        <v>18017.095266282278</v>
      </c>
      <c r="Q89" s="27">
        <f>'Statistics NZ'!Q$89*'Economic Forecasts'!S$9*1000000/SUM('Statistics NZ'!Q$30:Q$110,'Statistics NZ'!Q$130:Q$210)</f>
        <v>21359.642103166218</v>
      </c>
      <c r="R89" s="27">
        <f>'Statistics NZ'!R$89*'Economic Forecasts'!T$9*1000000/SUM('Statistics NZ'!R$30:R$110,'Statistics NZ'!R$130:R$210)</f>
        <v>21260.430346180743</v>
      </c>
      <c r="S89" s="27">
        <f>'Statistics NZ'!S$89*'Economic Forecasts'!U$9*1000000/SUM('Statistics NZ'!S$30:S$110,'Statistics NZ'!S$130:S$210)</f>
        <v>20413.594585521991</v>
      </c>
      <c r="T89" s="27">
        <f>'Statistics NZ'!T$89*'Economic Forecasts'!V$9*1000000/SUM('Statistics NZ'!T$30:T$110,'Statistics NZ'!T$130:T$210)</f>
        <v>21405.804903495042</v>
      </c>
      <c r="U89" s="28">
        <f>SUM('Statistics NZ'!U$89,$P$12/5*(U$8-U$9)*1000)*'Economic Forecasts'!W$9*1000000/SUM('Statistics NZ'!U$30:U$110,'Statistics NZ'!U$130:U$210,SUM($E$12:$T$13)*(U$8-U$9)*1000)</f>
        <v>21167.122506028994</v>
      </c>
      <c r="V89" s="28">
        <f>SUM('Statistics NZ'!V$89,$P$12/5*(V$8-V$9)*1000)*'Economic Forecasts'!X$9*1000000/SUM('Statistics NZ'!V$30:V$110,'Statistics NZ'!V$130:V$210,SUM($E$12:$T$13)*(V$8-V$9)*1000)</f>
        <v>21778.932802832056</v>
      </c>
      <c r="W89" s="28">
        <f>SUM('Statistics NZ'!W$89,$P$12/5*(W$8-W$9)*1000)*'Economic Forecasts'!Y$9*1000000/SUM('Statistics NZ'!W$30:W$110,'Statistics NZ'!W$130:W$210,SUM($E$12:$T$13)*(W$8-W$9)*1000)</f>
        <v>22185.188017071268</v>
      </c>
      <c r="X89" s="28">
        <f>SUM('Statistics NZ'!X$89,$P$12/5*(X$8-X$9)*1000)*'Economic Forecasts'!Z$9*1000000/SUM('Statistics NZ'!X$30:X$110,'Statistics NZ'!X$130:X$210,SUM($E$12:$T$13)*(X$8-X$9)*1000)</f>
        <v>23029.251819941564</v>
      </c>
      <c r="Y89" s="28">
        <f>SUM('Statistics NZ'!Y$89,$P$12/5*(Y$8-Y$9)*1000)*'Economic Forecasts'!AA$9*1000000/SUM('Statistics NZ'!Y$30:Y$110,'Statistics NZ'!Y$130:Y$210,SUM($E$12:$T$13)*(Y$8-Y$9)*1000)</f>
        <v>23672.252377107623</v>
      </c>
      <c r="Z89" s="28">
        <f>SUM('Statistics NZ'!Z$89,$P$12/5*(Z$8-Z$9)*1000)*'Economic Forecasts'!AB$9*1000000/SUM('Statistics NZ'!Z$30:Z$110,'Statistics NZ'!Z$130:Z$210,SUM($E$12:$T$13)*(Z$8-Z$9)*1000)</f>
        <v>24487.994296787259</v>
      </c>
      <c r="AA89" s="28">
        <f>SUM('Statistics NZ'!AA$89,$P$12/5*(AA$8-AA$9)*1000)*'Economic Forecasts'!AC$9*1000000/SUM('Statistics NZ'!AA$30:AA$110,'Statistics NZ'!AA$130:AA$210,SUM($E$12:$T$13)*(AA$8-AA$9)*1000)</f>
        <v>25124.05672002018</v>
      </c>
      <c r="AB89" s="18">
        <f>SUM(AA$89,'Statistics NZ'!AB$89-'Statistics NZ'!AA$89,$P$12/5*(AB$8-AB$9)*1000)</f>
        <v>25875.194249173979</v>
      </c>
      <c r="AC89" s="18">
        <f>SUM(AB$89,'Statistics NZ'!AC$89-'Statistics NZ'!AB$89,$P$12/5*(AC$8-AC$9)*1000)</f>
        <v>26795.95260194318</v>
      </c>
      <c r="AD89" s="18">
        <f>SUM(AC$89,'Statistics NZ'!AD$89-'Statistics NZ'!AC$89,$P$12/5*(AD$8-AD$9)*1000)</f>
        <v>27236.268582263678</v>
      </c>
      <c r="AE89" s="18">
        <f>SUM(AD$89,'Statistics NZ'!AE$89-'Statistics NZ'!AD$89,$P$12/5*(AE$8-AE$9)*1000)</f>
        <v>28506.268582263678</v>
      </c>
      <c r="AF89" s="18">
        <f>SUM(AE$89,'Statistics NZ'!AF$89-'Statistics NZ'!AE$89,$P$12/5*(AF$8-AF$9)*1000)</f>
        <v>29496.268582263678</v>
      </c>
      <c r="AG89" s="18">
        <f>SUM(AF$89,'Statistics NZ'!AG$89-'Statistics NZ'!AF$89,$P$12/5*(AG$8-AG$9)*1000)</f>
        <v>29836.268582263678</v>
      </c>
      <c r="AH89" s="18">
        <f>SUM(AG$89,'Statistics NZ'!AH$89-'Statistics NZ'!AG$89,$P$12/5*(AH$8-AH$9)*1000)</f>
        <v>29316.268582263678</v>
      </c>
      <c r="AI89" s="18">
        <f>SUM(AH$89,'Statistics NZ'!AI$89-'Statistics NZ'!AH$89,$P$12/5*(AI$8-AI$9)*1000)</f>
        <v>28596.268582263678</v>
      </c>
      <c r="AJ89" s="18">
        <f>SUM(AI$89,'Statistics NZ'!AJ$89-'Statistics NZ'!AI$89,$P$12/5*(AJ$8-AJ$9)*1000)</f>
        <v>28336.268582263678</v>
      </c>
      <c r="AK89" s="18">
        <f>SUM(AJ$89,'Statistics NZ'!AK$89-'Statistics NZ'!AJ$89,$P$12/5*(AK$8-AK$9)*1000)</f>
        <v>29146.268582263678</v>
      </c>
    </row>
    <row r="90" spans="1:37" x14ac:dyDescent="0.25">
      <c r="A90" s="12">
        <v>75</v>
      </c>
      <c r="B90" s="27">
        <f>'Statistics NZ'!B$90*'Economic Forecasts'!D$9*1000000/SUM('Statistics NZ'!B$30:B$110,'Statistics NZ'!B$130:B$210)</f>
        <v>11867.92028686535</v>
      </c>
      <c r="C90" s="27">
        <f>'Statistics NZ'!C$90*'Economic Forecasts'!E$9*1000000/SUM('Statistics NZ'!C$30:C$110,'Statistics NZ'!C$130:C$210)</f>
        <v>11440.391170751613</v>
      </c>
      <c r="D90" s="27">
        <f>'Statistics NZ'!D$90*'Economic Forecasts'!F$9*1000000/SUM('Statistics NZ'!D$30:D$110,'Statistics NZ'!D$130:D$210)</f>
        <v>11512.232183197393</v>
      </c>
      <c r="E90" s="27">
        <f>'Statistics NZ'!E$90*'Economic Forecasts'!G$9*1000000/SUM('Statistics NZ'!E$30:E$110,'Statistics NZ'!E$130:E$210)</f>
        <v>11356.532527400163</v>
      </c>
      <c r="F90" s="27">
        <f>'Statistics NZ'!F$90*'Economic Forecasts'!H$9*1000000/SUM('Statistics NZ'!F$30:F$110,'Statistics NZ'!F$130:F$210)</f>
        <v>11437.097350479737</v>
      </c>
      <c r="G90" s="27">
        <f>'Statistics NZ'!G$90*'Economic Forecasts'!I$9*1000000/SUM('Statistics NZ'!G$30:G$110,'Statistics NZ'!G$130:G$210)</f>
        <v>11993.238628838613</v>
      </c>
      <c r="H90" s="27">
        <f>'Statistics NZ'!H$90*'Economic Forecasts'!J$9*1000000/SUM('Statistics NZ'!H$30:H$110,'Statistics NZ'!H$130:H$210)</f>
        <v>12527.049857496921</v>
      </c>
      <c r="I90" s="27">
        <f>'Statistics NZ'!I$90*'Economic Forecasts'!K$9*1000000/SUM('Statistics NZ'!I$30:I$110,'Statistics NZ'!I$130:I$210)</f>
        <v>12960.30011518944</v>
      </c>
      <c r="J90" s="27">
        <f>'Statistics NZ'!J$90*'Economic Forecasts'!L$9*1000000/SUM('Statistics NZ'!J$30:J$110,'Statistics NZ'!J$130:J$210)</f>
        <v>13457.59749662944</v>
      </c>
      <c r="K90" s="27">
        <f>'Statistics NZ'!K$90*'Economic Forecasts'!M$9*1000000/SUM('Statistics NZ'!K$30:K$110,'Statistics NZ'!K$130:K$210)</f>
        <v>14555.647916993843</v>
      </c>
      <c r="L90" s="27">
        <f>'Statistics NZ'!L$90*'Economic Forecasts'!N$9*1000000/SUM('Statistics NZ'!L$30:L$110,'Statistics NZ'!L$130:L$210)</f>
        <v>15627.267113690161</v>
      </c>
      <c r="M90" s="27">
        <f>'Statistics NZ'!M$90*'Economic Forecasts'!O$9*1000000/SUM('Statistics NZ'!M$30:M$110,'Statistics NZ'!M$130:M$210)</f>
        <v>16002.561952986151</v>
      </c>
      <c r="N90" s="27">
        <f>'Statistics NZ'!N$90*'Economic Forecasts'!P$9*1000000/SUM('Statistics NZ'!N$30:N$110,'Statistics NZ'!N$130:N$210)</f>
        <v>14227.294430647373</v>
      </c>
      <c r="O90" s="27">
        <f>'Statistics NZ'!O$90*'Economic Forecasts'!Q$9*1000000/SUM('Statistics NZ'!O$30:O$110,'Statistics NZ'!O$130:O$210)</f>
        <v>15851.236387282586</v>
      </c>
      <c r="P90" s="27">
        <f>'Statistics NZ'!P$90*'Economic Forecasts'!R$9*1000000/SUM('Statistics NZ'!P$30:P$110,'Statistics NZ'!P$130:P$210)</f>
        <v>16753.940217722273</v>
      </c>
      <c r="Q90" s="27">
        <f>'Statistics NZ'!Q$90*'Economic Forecasts'!S$9*1000000/SUM('Statistics NZ'!Q$30:Q$110,'Statistics NZ'!Q$130:Q$210)</f>
        <v>17743.717491806903</v>
      </c>
      <c r="R90" s="27">
        <f>'Statistics NZ'!R$90*'Economic Forecasts'!T$9*1000000/SUM('Statistics NZ'!R$30:R$110,'Statistics NZ'!R$130:R$210)</f>
        <v>20835.419418758262</v>
      </c>
      <c r="S90" s="27">
        <f>'Statistics NZ'!S$90*'Economic Forecasts'!U$9*1000000/SUM('Statistics NZ'!S$30:S$110,'Statistics NZ'!S$130:S$210)</f>
        <v>20403.859919529848</v>
      </c>
      <c r="T90" s="27">
        <f>'Statistics NZ'!T$90*'Economic Forecasts'!V$9*1000000/SUM('Statistics NZ'!T$30:T$110,'Statistics NZ'!T$130:T$210)</f>
        <v>20207.315597287426</v>
      </c>
      <c r="U90" s="28">
        <f>SUM('Statistics NZ'!U$90,$Q$12/5*(U$8-U$9)*1000)*'Economic Forecasts'!W$9*1000000/SUM('Statistics NZ'!U$30:U$110,'Statistics NZ'!U$130:U$210,SUM($E$12:$T$13)*(U$8-U$9)*1000)</f>
        <v>21092.530006081775</v>
      </c>
      <c r="V90" s="28">
        <f>SUM('Statistics NZ'!V$90,$Q$12/5*(V$8-V$9)*1000)*'Economic Forecasts'!X$9*1000000/SUM('Statistics NZ'!V$30:V$110,'Statistics NZ'!V$130:V$210,SUM($E$12:$T$13)*(V$8-V$9)*1000)</f>
        <v>20772.01659064526</v>
      </c>
      <c r="W90" s="28">
        <f>SUM('Statistics NZ'!W$90,$Q$12/5*(W$8-W$9)*1000)*'Economic Forecasts'!Y$9*1000000/SUM('Statistics NZ'!W$30:W$110,'Statistics NZ'!W$130:W$210,SUM($E$12:$T$13)*(W$8-W$9)*1000)</f>
        <v>21393.013063199287</v>
      </c>
      <c r="X90" s="28">
        <f>SUM('Statistics NZ'!X$90,$Q$12/5*(X$8-X$9)*1000)*'Economic Forecasts'!Z$9*1000000/SUM('Statistics NZ'!X$30:X$110,'Statistics NZ'!X$130:X$210,SUM($E$12:$T$13)*(X$8-X$9)*1000)</f>
        <v>21826.834192887527</v>
      </c>
      <c r="Y90" s="28">
        <f>SUM('Statistics NZ'!Y$90,$Q$12/5*(Y$8-Y$9)*1000)*'Economic Forecasts'!AA$9*1000000/SUM('Statistics NZ'!Y$30:Y$110,'Statistics NZ'!Y$130:Y$210,SUM($E$12:$T$13)*(Y$8-Y$9)*1000)</f>
        <v>22694.441163528467</v>
      </c>
      <c r="Z90" s="28">
        <f>SUM('Statistics NZ'!Z$90,$Q$12/5*(Z$8-Z$9)*1000)*'Economic Forecasts'!AB$9*1000000/SUM('Statistics NZ'!Z$30:Z$110,'Statistics NZ'!Z$130:Z$210,SUM($E$12:$T$13)*(Z$8-Z$9)*1000)</f>
        <v>23334.233901983898</v>
      </c>
      <c r="AA90" s="28">
        <f>SUM('Statistics NZ'!AA$90,$Q$12/5*(AA$8-AA$9)*1000)*'Economic Forecasts'!AC$9*1000000/SUM('Statistics NZ'!AA$30:AA$110,'Statistics NZ'!AA$130:AA$210,SUM($E$12:$T$13)*(AA$8-AA$9)*1000)</f>
        <v>24155.609344180131</v>
      </c>
      <c r="AB90" s="18">
        <f>SUM(AA$90,'Statistics NZ'!AB$90-'Statistics NZ'!AA$90,$Q$12/5*(AB$8-AB$9)*1000)</f>
        <v>24796.23643627431</v>
      </c>
      <c r="AC90" s="18">
        <f>SUM(AB$90,'Statistics NZ'!AC$90-'Statistics NZ'!AB$90,$Q$12/5*(AC$8-AC$9)*1000)</f>
        <v>25546.654497670428</v>
      </c>
      <c r="AD90" s="18">
        <f>SUM(AC$90,'Statistics NZ'!AD$90-'Statistics NZ'!AC$90,$Q$12/5*(AD$8-AD$9)*1000)</f>
        <v>26466.82868991881</v>
      </c>
      <c r="AE90" s="18">
        <f>SUM(AD$90,'Statistics NZ'!AE$90-'Statistics NZ'!AD$90,$Q$12/5*(AE$8-AE$9)*1000)</f>
        <v>26906.82868991881</v>
      </c>
      <c r="AF90" s="18">
        <f>SUM(AE$90,'Statistics NZ'!AF$90-'Statistics NZ'!AE$90,$Q$12/5*(AF$8-AF$9)*1000)</f>
        <v>28166.82868991881</v>
      </c>
      <c r="AG90" s="18">
        <f>SUM(AF$90,'Statistics NZ'!AG$90-'Statistics NZ'!AF$90,$Q$12/5*(AG$8-AG$9)*1000)</f>
        <v>29146.82868991881</v>
      </c>
      <c r="AH90" s="18">
        <f>SUM(AG$90,'Statistics NZ'!AH$90-'Statistics NZ'!AG$90,$Q$12/5*(AH$8-AH$9)*1000)</f>
        <v>29496.82868991881</v>
      </c>
      <c r="AI90" s="18">
        <f>SUM(AH$90,'Statistics NZ'!AI$90-'Statistics NZ'!AH$90,$Q$12/5*(AI$8-AI$9)*1000)</f>
        <v>28996.82868991881</v>
      </c>
      <c r="AJ90" s="18">
        <f>SUM(AI$90,'Statistics NZ'!AJ$90-'Statistics NZ'!AI$90,$Q$12/5*(AJ$8-AJ$9)*1000)</f>
        <v>28286.82868991881</v>
      </c>
      <c r="AK90" s="18">
        <f>SUM(AJ$90,'Statistics NZ'!AK$90-'Statistics NZ'!AJ$90,$Q$12/5*(AK$8-AK$9)*1000)</f>
        <v>28036.82868991881</v>
      </c>
    </row>
    <row r="91" spans="1:37" x14ac:dyDescent="0.25">
      <c r="A91" s="12">
        <v>76</v>
      </c>
      <c r="B91" s="27">
        <f>'Statistics NZ'!B$91*'Economic Forecasts'!D$9*1000000/SUM('Statistics NZ'!B$30:B$110,'Statistics NZ'!B$130:B$210)</f>
        <v>11554.834178720512</v>
      </c>
      <c r="C91" s="27">
        <f>'Statistics NZ'!C$91*'Economic Forecasts'!E$9*1000000/SUM('Statistics NZ'!C$30:C$110,'Statistics NZ'!C$130:C$210)</f>
        <v>11597.512422882106</v>
      </c>
      <c r="D91" s="27">
        <f>'Statistics NZ'!D$91*'Economic Forecasts'!F$9*1000000/SUM('Statistics NZ'!D$30:D$110,'Statistics NZ'!D$130:D$210)</f>
        <v>11168.436853494397</v>
      </c>
      <c r="E91" s="27">
        <f>'Statistics NZ'!E$91*'Economic Forecasts'!G$9*1000000/SUM('Statistics NZ'!E$30:E$110,'Statistics NZ'!E$130:E$210)</f>
        <v>11229.041229596876</v>
      </c>
      <c r="F91" s="27">
        <f>'Statistics NZ'!F$91*'Economic Forecasts'!H$9*1000000/SUM('Statistics NZ'!F$30:F$110,'Statistics NZ'!F$130:F$210)</f>
        <v>11103.597084685302</v>
      </c>
      <c r="G91" s="27">
        <f>'Statistics NZ'!G$91*'Economic Forecasts'!I$9*1000000/SUM('Statistics NZ'!G$30:G$110,'Statistics NZ'!G$130:G$210)</f>
        <v>11177.973431300852</v>
      </c>
      <c r="H91" s="27">
        <f>'Statistics NZ'!H$91*'Economic Forecasts'!J$9*1000000/SUM('Statistics NZ'!H$30:H$110,'Statistics NZ'!H$130:H$210)</f>
        <v>11672.262926044188</v>
      </c>
      <c r="I91" s="27">
        <f>'Statistics NZ'!I$91*'Economic Forecasts'!K$9*1000000/SUM('Statistics NZ'!I$30:I$110,'Statistics NZ'!I$130:I$210)</f>
        <v>12225.033467202144</v>
      </c>
      <c r="J91" s="27">
        <f>'Statistics NZ'!J$91*'Economic Forecasts'!L$9*1000000/SUM('Statistics NZ'!J$30:J$110,'Statistics NZ'!J$130:J$210)</f>
        <v>12609.183741407149</v>
      </c>
      <c r="K91" s="27">
        <f>'Statistics NZ'!K$91*'Economic Forecasts'!M$9*1000000/SUM('Statistics NZ'!K$30:K$110,'Statistics NZ'!K$130:K$210)</f>
        <v>13143.896112335577</v>
      </c>
      <c r="L91" s="27">
        <f>'Statistics NZ'!L$91*'Economic Forecasts'!N$9*1000000/SUM('Statistics NZ'!L$30:L$110,'Statistics NZ'!L$130:L$210)</f>
        <v>14254.404395291212</v>
      </c>
      <c r="M91" s="27">
        <f>'Statistics NZ'!M$91*'Economic Forecasts'!O$9*1000000/SUM('Statistics NZ'!M$30:M$110,'Statistics NZ'!M$130:M$210)</f>
        <v>15318.691784055118</v>
      </c>
      <c r="N91" s="27">
        <f>'Statistics NZ'!N$91*'Economic Forecasts'!P$9*1000000/SUM('Statistics NZ'!N$30:N$110,'Statistics NZ'!N$130:N$210)</f>
        <v>15675.464702817806</v>
      </c>
      <c r="O91" s="27">
        <f>'Statistics NZ'!O$91*'Economic Forecasts'!Q$9*1000000/SUM('Statistics NZ'!O$30:O$110,'Statistics NZ'!O$130:O$210)</f>
        <v>13955.766360798363</v>
      </c>
      <c r="P91" s="27">
        <f>'Statistics NZ'!P$91*'Economic Forecasts'!R$9*1000000/SUM('Statistics NZ'!P$30:P$110,'Statistics NZ'!P$130:P$210)</f>
        <v>15539.744667168465</v>
      </c>
      <c r="Q91" s="27">
        <f>'Statistics NZ'!Q$91*'Economic Forecasts'!S$9*1000000/SUM('Statistics NZ'!Q$30:Q$110,'Statistics NZ'!Q$130:Q$210)</f>
        <v>16469.252259934357</v>
      </c>
      <c r="R91" s="27">
        <f>'Statistics NZ'!R$91*'Economic Forecasts'!T$9*1000000/SUM('Statistics NZ'!R$30:R$110,'Statistics NZ'!R$130:R$210)</f>
        <v>17227.768523195278</v>
      </c>
      <c r="S91" s="27">
        <f>'Statistics NZ'!S$91*'Economic Forecasts'!U$9*1000000/SUM('Statistics NZ'!S$30:S$110,'Statistics NZ'!S$130:S$210)</f>
        <v>20043.677277820589</v>
      </c>
      <c r="T91" s="27">
        <f>'Statistics NZ'!T$91*'Economic Forecasts'!V$9*1000000/SUM('Statistics NZ'!T$30:T$110,'Statistics NZ'!T$130:T$210)</f>
        <v>20187.668231611889</v>
      </c>
      <c r="U91" s="28">
        <f>SUM('Statistics NZ'!U$91,$Q$12/5*(U$8-U$9)*1000)*'Economic Forecasts'!W$9*1000000/SUM('Statistics NZ'!U$30:U$110,'Statistics NZ'!U$130:U$210,SUM($E$12:$T$13)*(U$8-U$9)*1000)</f>
        <v>19872.332774040675</v>
      </c>
      <c r="V91" s="28">
        <f>SUM('Statistics NZ'!V$91,$Q$12/5*(V$8-V$9)*1000)*'Economic Forecasts'!X$9*1000000/SUM('Statistics NZ'!V$30:V$110,'Statistics NZ'!V$130:V$210,SUM($E$12:$T$13)*(V$8-V$9)*1000)</f>
        <v>20654.304102211245</v>
      </c>
      <c r="W91" s="28">
        <f>SUM('Statistics NZ'!W$91,$Q$12/5*(W$8-W$9)*1000)*'Economic Forecasts'!Y$9*1000000/SUM('Statistics NZ'!W$30:W$110,'Statistics NZ'!W$130:W$210,SUM($E$12:$T$13)*(W$8-W$9)*1000)</f>
        <v>20365.903853610154</v>
      </c>
      <c r="X91" s="28">
        <f>SUM('Statistics NZ'!X$91,$Q$12/5*(X$8-X$9)*1000)*'Economic Forecasts'!Z$9*1000000/SUM('Statistics NZ'!X$30:X$110,'Statistics NZ'!X$130:X$210,SUM($E$12:$T$13)*(X$8-X$9)*1000)</f>
        <v>21006.162869781252</v>
      </c>
      <c r="Y91" s="28">
        <f>SUM('Statistics NZ'!Y$91,$Q$12/5*(Y$8-Y$9)*1000)*'Economic Forecasts'!AA$9*1000000/SUM('Statistics NZ'!Y$30:Y$110,'Statistics NZ'!Y$130:Y$210,SUM($E$12:$T$13)*(Y$8-Y$9)*1000)</f>
        <v>21463.550903095027</v>
      </c>
      <c r="Z91" s="28">
        <f>SUM('Statistics NZ'!Z$91,$Q$12/5*(Z$8-Z$9)*1000)*'Economic Forecasts'!AB$9*1000000/SUM('Statistics NZ'!Z$30:Z$110,'Statistics NZ'!Z$130:Z$210,SUM($E$12:$T$13)*(Z$8-Z$9)*1000)</f>
        <v>22337.586231399666</v>
      </c>
      <c r="AA91" s="28">
        <f>SUM('Statistics NZ'!AA$91,$Q$12/5*(AA$8-AA$9)*1000)*'Economic Forecasts'!AC$9*1000000/SUM('Statistics NZ'!AA$30:AA$110,'Statistics NZ'!AA$130:AA$210,SUM($E$12:$T$13)*(AA$8-AA$9)*1000)</f>
        <v>22982.573749502761</v>
      </c>
      <c r="AB91" s="18">
        <f>SUM(AA$91,'Statistics NZ'!AB$91-'Statistics NZ'!AA$91,$Q$12/5*(AB$8-AB$9)*1000)</f>
        <v>23803.200841596939</v>
      </c>
      <c r="AC91" s="18">
        <f>SUM(AB$91,'Statistics NZ'!AC$91-'Statistics NZ'!AB$91,$Q$12/5*(AC$8-AC$9)*1000)</f>
        <v>24443.618902993057</v>
      </c>
      <c r="AD91" s="18">
        <f>SUM(AC$91,'Statistics NZ'!AD$91-'Statistics NZ'!AC$91,$Q$12/5*(AD$8-AD$9)*1000)</f>
        <v>25193.793095241439</v>
      </c>
      <c r="AE91" s="18">
        <f>SUM(AD$91,'Statistics NZ'!AE$91-'Statistics NZ'!AD$91,$Q$12/5*(AE$8-AE$9)*1000)</f>
        <v>26103.793095241439</v>
      </c>
      <c r="AF91" s="18">
        <f>SUM(AE$91,'Statistics NZ'!AF$91-'Statistics NZ'!AE$91,$Q$12/5*(AF$8-AF$9)*1000)</f>
        <v>26553.793095241439</v>
      </c>
      <c r="AG91" s="18">
        <f>SUM(AF$91,'Statistics NZ'!AG$91-'Statistics NZ'!AF$91,$Q$12/5*(AG$8-AG$9)*1000)</f>
        <v>27793.793095241439</v>
      </c>
      <c r="AH91" s="18">
        <f>SUM(AG$91,'Statistics NZ'!AH$91-'Statistics NZ'!AG$91,$Q$12/5*(AH$8-AH$9)*1000)</f>
        <v>28773.793095241439</v>
      </c>
      <c r="AI91" s="18">
        <f>SUM(AH$91,'Statistics NZ'!AI$91-'Statistics NZ'!AH$91,$Q$12/5*(AI$8-AI$9)*1000)</f>
        <v>29123.793095241439</v>
      </c>
      <c r="AJ91" s="18">
        <f>SUM(AI$91,'Statistics NZ'!AJ$91-'Statistics NZ'!AI$91,$Q$12/5*(AJ$8-AJ$9)*1000)</f>
        <v>28633.793095241439</v>
      </c>
      <c r="AK91" s="18">
        <f>SUM(AJ$91,'Statistics NZ'!AK$91-'Statistics NZ'!AJ$91,$Q$12/5*(AK$8-AK$9)*1000)</f>
        <v>27943.793095241439</v>
      </c>
    </row>
    <row r="92" spans="1:37" x14ac:dyDescent="0.25">
      <c r="A92" s="12">
        <v>77</v>
      </c>
      <c r="B92" s="27">
        <f>'Statistics NZ'!B$92*'Economic Forecasts'!D$9*1000000/SUM('Statistics NZ'!B$30:B$110,'Statistics NZ'!B$130:B$210)</f>
        <v>10840.606494515096</v>
      </c>
      <c r="C92" s="27">
        <f>'Statistics NZ'!C$92*'Economic Forecasts'!E$9*1000000/SUM('Statistics NZ'!C$30:C$110,'Statistics NZ'!C$130:C$210)</f>
        <v>11253.809683846652</v>
      </c>
      <c r="D92" s="27">
        <f>'Statistics NZ'!D$92*'Economic Forecasts'!F$9*1000000/SUM('Statistics NZ'!D$30:D$110,'Statistics NZ'!D$130:D$210)</f>
        <v>11266.664090552396</v>
      </c>
      <c r="E92" s="27">
        <f>'Statistics NZ'!E$92*'Economic Forecasts'!G$9*1000000/SUM('Statistics NZ'!E$30:E$110,'Statistics NZ'!E$130:E$210)</f>
        <v>10836.760313279081</v>
      </c>
      <c r="F92" s="27">
        <f>'Statistics NZ'!F$92*'Economic Forecasts'!H$9*1000000/SUM('Statistics NZ'!F$30:F$110,'Statistics NZ'!F$130:F$210)</f>
        <v>10907.420457747399</v>
      </c>
      <c r="G92" s="27">
        <f>'Statistics NZ'!G$92*'Economic Forecasts'!I$9*1000000/SUM('Statistics NZ'!G$30:G$110,'Statistics NZ'!G$130:G$210)</f>
        <v>10853.831846737647</v>
      </c>
      <c r="H92" s="27">
        <f>'Statistics NZ'!H$92*'Economic Forecasts'!J$9*1000000/SUM('Statistics NZ'!H$30:H$110,'Statistics NZ'!H$130:H$210)</f>
        <v>10876.426817450267</v>
      </c>
      <c r="I92" s="27">
        <f>'Statistics NZ'!I$92*'Economic Forecasts'!K$9*1000000/SUM('Statistics NZ'!I$30:I$110,'Statistics NZ'!I$130:I$210)</f>
        <v>11313.302823697892</v>
      </c>
      <c r="J92" s="27">
        <f>'Statistics NZ'!J$92*'Economic Forecasts'!L$9*1000000/SUM('Statistics NZ'!J$30:J$110,'Statistics NZ'!J$130:J$210)</f>
        <v>11819.281279648463</v>
      </c>
      <c r="K92" s="27">
        <f>'Statistics NZ'!K$92*'Economic Forecasts'!M$9*1000000/SUM('Statistics NZ'!K$30:K$110,'Statistics NZ'!K$130:K$210)</f>
        <v>12287.108810198148</v>
      </c>
      <c r="L92" s="27">
        <f>'Statistics NZ'!L$92*'Economic Forecasts'!N$9*1000000/SUM('Statistics NZ'!L$30:L$110,'Statistics NZ'!L$130:L$210)</f>
        <v>12832.858601771733</v>
      </c>
      <c r="M92" s="27">
        <f>'Statistics NZ'!M$92*'Economic Forecasts'!O$9*1000000/SUM('Statistics NZ'!M$30:M$110,'Statistics NZ'!M$130:M$210)</f>
        <v>13960.721020034925</v>
      </c>
      <c r="N92" s="27">
        <f>'Statistics NZ'!N$92*'Economic Forecasts'!P$9*1000000/SUM('Statistics NZ'!N$30:N$110,'Statistics NZ'!N$130:N$210)</f>
        <v>14922.024763918324</v>
      </c>
      <c r="O92" s="27">
        <f>'Statistics NZ'!O$92*'Economic Forecasts'!Q$9*1000000/SUM('Statistics NZ'!O$30:O$110,'Statistics NZ'!O$130:O$210)</f>
        <v>15311.076535175685</v>
      </c>
      <c r="P92" s="27">
        <f>'Statistics NZ'!P$92*'Economic Forecasts'!R$9*1000000/SUM('Statistics NZ'!P$30:P$110,'Statistics NZ'!P$130:P$210)</f>
        <v>13689.075642534035</v>
      </c>
      <c r="Q92" s="27">
        <f>'Statistics NZ'!Q$92*'Economic Forecasts'!S$9*1000000/SUM('Statistics NZ'!Q$30:Q$110,'Statistics NZ'!Q$130:Q$210)</f>
        <v>15283.703207029665</v>
      </c>
      <c r="R92" s="27">
        <f>'Statistics NZ'!R$92*'Economic Forecasts'!T$9*1000000/SUM('Statistics NZ'!R$30:R$110,'Statistics NZ'!R$130:R$210)</f>
        <v>15942.851765871477</v>
      </c>
      <c r="S92" s="27">
        <f>'Statistics NZ'!S$92*'Economic Forecasts'!U$9*1000000/SUM('Statistics NZ'!S$30:S$110,'Statistics NZ'!S$130:S$210)</f>
        <v>16471.054858704436</v>
      </c>
      <c r="T92" s="27">
        <f>'Statistics NZ'!T$92*'Economic Forecasts'!V$9*1000000/SUM('Statistics NZ'!T$30:T$110,'Statistics NZ'!T$130:T$210)</f>
        <v>19775.073552425663</v>
      </c>
      <c r="U92" s="28">
        <f>SUM('Statistics NZ'!U$92,$Q$12/5*(U$8-U$9)*1000)*'Economic Forecasts'!W$9*1000000/SUM('Statistics NZ'!U$30:U$110,'Statistics NZ'!U$130:U$210,SUM($E$12:$T$13)*(U$8-U$9)*1000)</f>
        <v>19803.450672231906</v>
      </c>
      <c r="V92" s="28">
        <f>SUM('Statistics NZ'!V$92,$Q$12/5*(V$8-V$9)*1000)*'Economic Forecasts'!X$9*1000000/SUM('Statistics NZ'!V$30:V$110,'Statistics NZ'!V$130:V$210,SUM($E$12:$T$13)*(V$8-V$9)*1000)</f>
        <v>19418.322973654107</v>
      </c>
      <c r="W92" s="28">
        <f>SUM('Statistics NZ'!W$92,$Q$12/5*(W$8-W$9)*1000)*'Economic Forecasts'!Y$9*1000000/SUM('Statistics NZ'!W$30:W$110,'Statistics NZ'!W$130:W$210,SUM($E$12:$T$13)*(W$8-W$9)*1000)</f>
        <v>20199.609981581438</v>
      </c>
      <c r="X92" s="28">
        <f>SUM('Statistics NZ'!X$92,$Q$12/5*(X$8-X$9)*1000)*'Economic Forecasts'!Z$9*1000000/SUM('Statistics NZ'!X$30:X$110,'Statistics NZ'!X$130:X$210,SUM($E$12:$T$13)*(X$8-X$9)*1000)</f>
        <v>19951.014025787474</v>
      </c>
      <c r="Y92" s="28">
        <f>SUM('Statistics NZ'!Y$92,$Q$12/5*(Y$8-Y$9)*1000)*'Economic Forecasts'!AA$9*1000000/SUM('Statistics NZ'!Y$30:Y$110,'Statistics NZ'!Y$130:Y$210,SUM($E$12:$T$13)*(Y$8-Y$9)*1000)</f>
        <v>20613.650485176699</v>
      </c>
      <c r="Z92" s="28">
        <f>SUM('Statistics NZ'!Z$92,$Q$12/5*(Z$8-Z$9)*1000)*'Economic Forecasts'!AB$9*1000000/SUM('Statistics NZ'!Z$30:Z$110,'Statistics NZ'!Z$130:Z$210,SUM($E$12:$T$13)*(Z$8-Z$9)*1000)</f>
        <v>21086.891115372393</v>
      </c>
      <c r="AA92" s="28">
        <f>SUM('Statistics NZ'!AA$92,$Q$12/5*(AA$8-AA$9)*1000)*'Economic Forecasts'!AC$9*1000000/SUM('Statistics NZ'!AA$30:AA$110,'Statistics NZ'!AA$130:AA$210,SUM($E$12:$T$13)*(AA$8-AA$9)*1000)</f>
        <v>21946.392307537746</v>
      </c>
      <c r="AB92" s="18">
        <f>SUM(AA$92,'Statistics NZ'!AB$92-'Statistics NZ'!AA$92,$Q$12/5*(AB$8-AB$9)*1000)</f>
        <v>22597.019399631925</v>
      </c>
      <c r="AC92" s="18">
        <f>SUM(AB$92,'Statistics NZ'!AC$92-'Statistics NZ'!AB$92,$Q$12/5*(AC$8-AC$9)*1000)</f>
        <v>23417.437461028043</v>
      </c>
      <c r="AD92" s="18">
        <f>SUM(AC$92,'Statistics NZ'!AD$92-'Statistics NZ'!AC$92,$Q$12/5*(AD$8-AD$9)*1000)</f>
        <v>24057.611653276424</v>
      </c>
      <c r="AE92" s="18">
        <f>SUM(AD$92,'Statistics NZ'!AE$92-'Statistics NZ'!AD$92,$Q$12/5*(AE$8-AE$9)*1000)</f>
        <v>24797.611653276424</v>
      </c>
      <c r="AF92" s="18">
        <f>SUM(AE$92,'Statistics NZ'!AF$92-'Statistics NZ'!AE$92,$Q$12/5*(AF$8-AF$9)*1000)</f>
        <v>25697.611653276424</v>
      </c>
      <c r="AG92" s="18">
        <f>SUM(AF$92,'Statistics NZ'!AG$92-'Statistics NZ'!AF$92,$Q$12/5*(AG$8-AG$9)*1000)</f>
        <v>26147.611653276424</v>
      </c>
      <c r="AH92" s="18">
        <f>SUM(AG$92,'Statistics NZ'!AH$92-'Statistics NZ'!AG$92,$Q$12/5*(AH$8-AH$9)*1000)</f>
        <v>27387.611653276424</v>
      </c>
      <c r="AI92" s="18">
        <f>SUM(AH$92,'Statistics NZ'!AI$92-'Statistics NZ'!AH$92,$Q$12/5*(AI$8-AI$9)*1000)</f>
        <v>28357.611653276424</v>
      </c>
      <c r="AJ92" s="18">
        <f>SUM(AI$92,'Statistics NZ'!AJ$92-'Statistics NZ'!AI$92,$Q$12/5*(AJ$8-AJ$9)*1000)</f>
        <v>28707.611653276424</v>
      </c>
      <c r="AK92" s="18">
        <f>SUM(AJ$92,'Statistics NZ'!AK$92-'Statistics NZ'!AJ$92,$Q$12/5*(AK$8-AK$9)*1000)</f>
        <v>28237.611653276424</v>
      </c>
    </row>
    <row r="93" spans="1:37" x14ac:dyDescent="0.25">
      <c r="A93" s="12">
        <v>78</v>
      </c>
      <c r="B93" s="27">
        <f>'Statistics NZ'!B$93*'Economic Forecasts'!D$9*1000000/SUM('Statistics NZ'!B$30:B$110,'Statistics NZ'!B$130:B$210)</f>
        <v>10566.65614988836</v>
      </c>
      <c r="C93" s="27">
        <f>'Statistics NZ'!C$93*'Economic Forecasts'!E$9*1000000/SUM('Statistics NZ'!C$30:C$110,'Statistics NZ'!C$130:C$210)</f>
        <v>10546.764049259426</v>
      </c>
      <c r="D93" s="27">
        <f>'Statistics NZ'!D$93*'Economic Forecasts'!F$9*1000000/SUM('Statistics NZ'!D$30:D$110,'Statistics NZ'!D$130:D$210)</f>
        <v>10913.046037143604</v>
      </c>
      <c r="E93" s="27">
        <f>'Statistics NZ'!E$93*'Economic Forecasts'!G$9*1000000/SUM('Statistics NZ'!E$30:E$110,'Statistics NZ'!E$130:E$210)</f>
        <v>10915.216496542644</v>
      </c>
      <c r="F93" s="27">
        <f>'Statistics NZ'!F$93*'Economic Forecasts'!H$9*1000000/SUM('Statistics NZ'!F$30:F$110,'Statistics NZ'!F$130:F$210)</f>
        <v>10505.258372524699</v>
      </c>
      <c r="G93" s="27">
        <f>'Statistics NZ'!G$93*'Economic Forecasts'!I$9*1000000/SUM('Statistics NZ'!G$30:G$110,'Statistics NZ'!G$130:G$210)</f>
        <v>10608.270040250371</v>
      </c>
      <c r="H93" s="27">
        <f>'Statistics NZ'!H$93*'Economic Forecasts'!J$9*1000000/SUM('Statistics NZ'!H$30:H$110,'Statistics NZ'!H$130:H$210)</f>
        <v>10562.022428869952</v>
      </c>
      <c r="I93" s="27">
        <f>'Statistics NZ'!I$93*'Economic Forecasts'!K$9*1000000/SUM('Statistics NZ'!I$30:I$110,'Statistics NZ'!I$130:I$210)</f>
        <v>10519.214843871612</v>
      </c>
      <c r="J93" s="27">
        <f>'Statistics NZ'!J$93*'Economic Forecasts'!L$9*1000000/SUM('Statistics NZ'!J$30:J$110,'Statistics NZ'!J$130:J$210)</f>
        <v>10902.604348718631</v>
      </c>
      <c r="K93" s="27">
        <f>'Statistics NZ'!K$93*'Economic Forecasts'!M$9*1000000/SUM('Statistics NZ'!K$30:K$110,'Statistics NZ'!K$130:K$210)</f>
        <v>11440.057727403188</v>
      </c>
      <c r="L93" s="27">
        <f>'Statistics NZ'!L$93*'Economic Forecasts'!N$9*1000000/SUM('Statistics NZ'!L$30:L$110,'Statistics NZ'!L$130:L$210)</f>
        <v>11898.143559457556</v>
      </c>
      <c r="M93" s="27">
        <f>'Statistics NZ'!M$93*'Economic Forecasts'!O$9*1000000/SUM('Statistics NZ'!M$30:M$110,'Statistics NZ'!M$130:M$210)</f>
        <v>12544.132812963502</v>
      </c>
      <c r="N93" s="27">
        <f>'Statistics NZ'!N$93*'Economic Forecasts'!P$9*1000000/SUM('Statistics NZ'!N$30:N$110,'Statistics NZ'!N$130:N$210)</f>
        <v>13561.918900190687</v>
      </c>
      <c r="O93" s="27">
        <f>'Statistics NZ'!O$93*'Economic Forecasts'!Q$9*1000000/SUM('Statistics NZ'!O$30:O$110,'Statistics NZ'!O$130:O$210)</f>
        <v>14574.494918666271</v>
      </c>
      <c r="P93" s="27">
        <f>'Statistics NZ'!P$93*'Economic Forecasts'!R$9*1000000/SUM('Statistics NZ'!P$30:P$110,'Statistics NZ'!P$130:P$210)</f>
        <v>14903.271193087841</v>
      </c>
      <c r="Q93" s="27">
        <f>'Statistics NZ'!Q$93*'Economic Forecasts'!S$9*1000000/SUM('Statistics NZ'!Q$30:Q$110,'Statistics NZ'!Q$130:Q$210)</f>
        <v>13446.102175027392</v>
      </c>
      <c r="R93" s="27">
        <f>'Statistics NZ'!R$93*'Economic Forecasts'!T$9*1000000/SUM('Statistics NZ'!R$30:R$110,'Statistics NZ'!R$130:R$210)</f>
        <v>14776.542709223717</v>
      </c>
      <c r="S93" s="27">
        <f>'Statistics NZ'!S$93*'Economic Forecasts'!U$9*1000000/SUM('Statistics NZ'!S$30:S$110,'Statistics NZ'!S$130:S$210)</f>
        <v>15244.486943694536</v>
      </c>
      <c r="T93" s="27">
        <f>'Statistics NZ'!T$93*'Economic Forecasts'!V$9*1000000/SUM('Statistics NZ'!T$30:T$110,'Statistics NZ'!T$130:T$210)</f>
        <v>16238.547730829421</v>
      </c>
      <c r="U93" s="28">
        <f>SUM('Statistics NZ'!U$93,$Q$12/5*(U$8-U$9)*1000)*'Economic Forecasts'!W$9*1000000/SUM('Statistics NZ'!U$30:U$110,'Statistics NZ'!U$130:U$210,SUM($E$12:$T$13)*(U$8-U$9)*1000)</f>
        <v>19340.956560087292</v>
      </c>
      <c r="V93" s="28">
        <f>SUM('Statistics NZ'!V$93,$Q$12/5*(V$8-V$9)*1000)*'Economic Forecasts'!X$9*1000000/SUM('Statistics NZ'!V$30:V$110,'Statistics NZ'!V$130:V$210,SUM($E$12:$T$13)*(V$8-V$9)*1000)</f>
        <v>19300.610485220092</v>
      </c>
      <c r="W93" s="28">
        <f>SUM('Statistics NZ'!W$93,$Q$12/5*(W$8-W$9)*1000)*'Economic Forecasts'!Y$9*1000000/SUM('Statistics NZ'!W$30:W$110,'Statistics NZ'!W$130:W$210,SUM($E$12:$T$13)*(W$8-W$9)*1000)</f>
        <v>18937.732952657647</v>
      </c>
      <c r="X93" s="28">
        <f>SUM('Statistics NZ'!X$93,$Q$12/5*(X$8-X$9)*1000)*'Economic Forecasts'!Z$9*1000000/SUM('Statistics NZ'!X$30:X$110,'Statistics NZ'!X$130:X$210,SUM($E$12:$T$13)*(X$8-X$9)*1000)</f>
        <v>19745.846195010905</v>
      </c>
      <c r="Y93" s="28">
        <f>SUM('Statistics NZ'!Y$93,$Q$12/5*(Y$8-Y$9)*1000)*'Economic Forecasts'!AA$9*1000000/SUM('Statistics NZ'!Y$30:Y$110,'Statistics NZ'!Y$130:Y$210,SUM($E$12:$T$13)*(Y$8-Y$9)*1000)</f>
        <v>19529.294779556763</v>
      </c>
      <c r="Z93" s="28">
        <f>SUM('Statistics NZ'!Z$93,$Q$12/5*(Z$8-Z$9)*1000)*'Economic Forecasts'!AB$9*1000000/SUM('Statistics NZ'!Z$30:Z$110,'Statistics NZ'!Z$130:Z$210,SUM($E$12:$T$13)*(Z$8-Z$9)*1000)</f>
        <v>20197.725056321753</v>
      </c>
      <c r="AA93" s="28">
        <f>SUM('Statistics NZ'!AA$93,$Q$12/5*(AA$8-AA$9)*1000)*'Economic Forecasts'!AC$9*1000000/SUM('Statistics NZ'!AA$30:AA$110,'Statistics NZ'!AA$130:AA$210,SUM($E$12:$T$13)*(AA$8-AA$9)*1000)</f>
        <v>20665.828450014953</v>
      </c>
      <c r="AB93" s="18">
        <f>SUM(AA$93,'Statistics NZ'!AB$93-'Statistics NZ'!AA$93,$Q$12/5*(AB$8-AB$9)*1000)</f>
        <v>21536.455542109132</v>
      </c>
      <c r="AC93" s="18">
        <f>SUM(AB$93,'Statistics NZ'!AC$93-'Statistics NZ'!AB$93,$Q$12/5*(AC$8-AC$9)*1000)</f>
        <v>22176.87360350525</v>
      </c>
      <c r="AD93" s="18">
        <f>SUM(AC$93,'Statistics NZ'!AD$93-'Statistics NZ'!AC$93,$Q$12/5*(AD$8-AD$9)*1000)</f>
        <v>22987.047795753631</v>
      </c>
      <c r="AE93" s="18">
        <f>SUM(AD$93,'Statistics NZ'!AE$93-'Statistics NZ'!AD$93,$Q$12/5*(AE$8-AE$9)*1000)</f>
        <v>23627.047795753631</v>
      </c>
      <c r="AF93" s="18">
        <f>SUM(AE$93,'Statistics NZ'!AF$93-'Statistics NZ'!AE$93,$Q$12/5*(AF$8-AF$9)*1000)</f>
        <v>24357.047795753631</v>
      </c>
      <c r="AG93" s="18">
        <f>SUM(AF$93,'Statistics NZ'!AG$93-'Statistics NZ'!AF$93,$Q$12/5*(AG$8-AG$9)*1000)</f>
        <v>25257.047795753631</v>
      </c>
      <c r="AH93" s="18">
        <f>SUM(AG$93,'Statistics NZ'!AH$93-'Statistics NZ'!AG$93,$Q$12/5*(AH$8-AH$9)*1000)</f>
        <v>25707.047795753631</v>
      </c>
      <c r="AI93" s="18">
        <f>SUM(AH$93,'Statistics NZ'!AI$93-'Statistics NZ'!AH$93,$Q$12/5*(AI$8-AI$9)*1000)</f>
        <v>26937.047795753631</v>
      </c>
      <c r="AJ93" s="18">
        <f>SUM(AI$93,'Statistics NZ'!AJ$93-'Statistics NZ'!AI$93,$Q$12/5*(AJ$8-AJ$9)*1000)</f>
        <v>27897.047795753631</v>
      </c>
      <c r="AK93" s="18">
        <f>SUM(AJ$93,'Statistics NZ'!AK$93-'Statistics NZ'!AJ$93,$Q$12/5*(AK$8-AK$9)*1000)</f>
        <v>28257.047795753631</v>
      </c>
    </row>
    <row r="94" spans="1:37" x14ac:dyDescent="0.25">
      <c r="A94" s="12">
        <v>79</v>
      </c>
      <c r="B94" s="27">
        <f>'Statistics NZ'!B$94*'Economic Forecasts'!D$9*1000000/SUM('Statistics NZ'!B$30:B$110,'Statistics NZ'!B$130:B$210)</f>
        <v>9999.1875788758352</v>
      </c>
      <c r="C94" s="27">
        <f>'Statistics NZ'!C$94*'Economic Forecasts'!E$9*1000000/SUM('Statistics NZ'!C$30:C$110,'Statistics NZ'!C$130:C$210)</f>
        <v>10203.061310223971</v>
      </c>
      <c r="D94" s="27">
        <f>'Statistics NZ'!D$94*'Economic Forecasts'!F$9*1000000/SUM('Statistics NZ'!D$30:D$110,'Statistics NZ'!D$130:D$210)</f>
        <v>10176.341759208617</v>
      </c>
      <c r="E94" s="27">
        <f>'Statistics NZ'!E$94*'Economic Forecasts'!G$9*1000000/SUM('Statistics NZ'!E$30:E$110,'Statistics NZ'!E$130:E$210)</f>
        <v>10503.321534408959</v>
      </c>
      <c r="F94" s="27">
        <f>'Statistics NZ'!F$94*'Economic Forecasts'!H$9*1000000/SUM('Statistics NZ'!F$30:F$110,'Statistics NZ'!F$130:F$210)</f>
        <v>10593.537854646755</v>
      </c>
      <c r="G94" s="27">
        <f>'Statistics NZ'!G$94*'Economic Forecasts'!I$9*1000000/SUM('Statistics NZ'!G$30:G$110,'Statistics NZ'!G$130:G$210)</f>
        <v>10176.081260832761</v>
      </c>
      <c r="H94" s="27">
        <f>'Statistics NZ'!H$94*'Economic Forecasts'!J$9*1000000/SUM('Statistics NZ'!H$30:H$110,'Statistics NZ'!H$130:H$210)</f>
        <v>10277.093451719042</v>
      </c>
      <c r="I94" s="27">
        <f>'Statistics NZ'!I$94*'Economic Forecasts'!K$9*1000000/SUM('Statistics NZ'!I$30:I$110,'Statistics NZ'!I$130:I$210)</f>
        <v>10176.090408144204</v>
      </c>
      <c r="J94" s="27">
        <f>'Statistics NZ'!J$94*'Economic Forecasts'!L$9*1000000/SUM('Statistics NZ'!J$30:J$110,'Statistics NZ'!J$130:J$210)</f>
        <v>10122.453769203883</v>
      </c>
      <c r="K94" s="27">
        <f>'Statistics NZ'!K$94*'Economic Forecasts'!M$9*1000000/SUM('Statistics NZ'!K$30:K$110,'Statistics NZ'!K$130:K$210)</f>
        <v>10544.325547895874</v>
      </c>
      <c r="L94" s="27">
        <f>'Statistics NZ'!L$94*'Economic Forecasts'!N$9*1000000/SUM('Statistics NZ'!L$30:L$110,'Statistics NZ'!L$130:L$210)</f>
        <v>11041.321437336226</v>
      </c>
      <c r="M94" s="27">
        <f>'Statistics NZ'!M$94*'Economic Forecasts'!O$9*1000000/SUM('Statistics NZ'!M$30:M$110,'Statistics NZ'!M$130:M$210)</f>
        <v>11557.405854934441</v>
      </c>
      <c r="N94" s="27">
        <f>'Statistics NZ'!N$94*'Economic Forecasts'!P$9*1000000/SUM('Statistics NZ'!N$30:N$110,'Statistics NZ'!N$130:N$210)</f>
        <v>12143.103430834517</v>
      </c>
      <c r="O94" s="27">
        <f>'Statistics NZ'!O$94*'Economic Forecasts'!Q$9*1000000/SUM('Statistics NZ'!O$30:O$110,'Statistics NZ'!O$130:O$210)</f>
        <v>13160.258214968197</v>
      </c>
      <c r="P94" s="27">
        <f>'Statistics NZ'!P$94*'Economic Forecasts'!R$9*1000000/SUM('Statistics NZ'!P$30:P$110,'Statistics NZ'!P$130:P$210)</f>
        <v>14159.086823393574</v>
      </c>
      <c r="Q94" s="27">
        <f>'Statistics NZ'!Q$94*'Economic Forecasts'!S$9*1000000/SUM('Statistics NZ'!Q$30:Q$110,'Statistics NZ'!Q$130:Q$210)</f>
        <v>14542.735048964232</v>
      </c>
      <c r="R94" s="27">
        <f>'Statistics NZ'!R$94*'Economic Forecasts'!T$9*1000000/SUM('Statistics NZ'!R$30:R$110,'Statistics NZ'!R$130:R$210)</f>
        <v>13007.311174139406</v>
      </c>
      <c r="S94" s="27">
        <f>'Statistics NZ'!S$94*'Economic Forecasts'!U$9*1000000/SUM('Statistics NZ'!S$30:S$110,'Statistics NZ'!S$130:S$210)</f>
        <v>14027.653694676772</v>
      </c>
      <c r="T94" s="27">
        <f>'Statistics NZ'!T$94*'Economic Forecasts'!V$9*1000000/SUM('Statistics NZ'!T$30:T$110,'Statistics NZ'!T$130:T$210)</f>
        <v>14902.52686489306</v>
      </c>
      <c r="U94" s="28">
        <f>SUM('Statistics NZ'!U$94,$Q$12/5*(U$8-U$9)*1000)*'Economic Forecasts'!W$9*1000000/SUM('Statistics NZ'!U$30:U$110,'Statistics NZ'!U$130:U$210,SUM($E$12:$T$13)*(U$8-U$9)*1000)</f>
        <v>15827.969367839918</v>
      </c>
      <c r="V94" s="28">
        <f>SUM('Statistics NZ'!V$94,$Q$12/5*(V$8-V$9)*1000)*'Economic Forecasts'!X$9*1000000/SUM('Statistics NZ'!V$30:V$110,'Statistics NZ'!V$130:V$210,SUM($E$12:$T$13)*(V$8-V$9)*1000)</f>
        <v>18780.713661303202</v>
      </c>
      <c r="W94" s="28">
        <f>SUM('Statistics NZ'!W$94,$Q$12/5*(W$8-W$9)*1000)*'Economic Forecasts'!Y$9*1000000/SUM('Statistics NZ'!W$30:W$110,'Statistics NZ'!W$130:W$210,SUM($E$12:$T$13)*(W$8-W$9)*1000)</f>
        <v>18761.657088156651</v>
      </c>
      <c r="X94" s="28">
        <f>SUM('Statistics NZ'!X$94,$Q$12/5*(X$8-X$9)*1000)*'Economic Forecasts'!Z$9*1000000/SUM('Statistics NZ'!X$30:X$110,'Statistics NZ'!X$130:X$210,SUM($E$12:$T$13)*(X$8-X$9)*1000)</f>
        <v>18446.449933425971</v>
      </c>
      <c r="Y94" s="28">
        <f>SUM('Statistics NZ'!Y$94,$Q$12/5*(Y$8-Y$9)*1000)*'Economic Forecasts'!AA$9*1000000/SUM('Statistics NZ'!Y$30:Y$110,'Statistics NZ'!Y$130:Y$210,SUM($E$12:$T$13)*(Y$8-Y$9)*1000)</f>
        <v>19265.532580892457</v>
      </c>
      <c r="Z94" s="28">
        <f>SUM('Statistics NZ'!Z$94,$Q$12/5*(Z$8-Z$9)*1000)*'Economic Forecasts'!AB$9*1000000/SUM('Statistics NZ'!Z$30:Z$110,'Statistics NZ'!Z$130:Z$210,SUM($E$12:$T$13)*(Z$8-Z$9)*1000)</f>
        <v>19074.053663015999</v>
      </c>
      <c r="AA94" s="28">
        <f>SUM('Statistics NZ'!AA$94,$Q$12/5*(AA$8-AA$9)*1000)*'Economic Forecasts'!AC$9*1000000/SUM('Statistics NZ'!AA$30:AA$110,'Statistics NZ'!AA$130:AA$210,SUM($E$12:$T$13)*(AA$8-AA$9)*1000)</f>
        <v>19737.175270895368</v>
      </c>
      <c r="AB94" s="18">
        <f>SUM(AA$94,'Statistics NZ'!AB$94-'Statistics NZ'!AA$94,$Q$12/5*(AB$8-AB$9)*1000)</f>
        <v>20207.802362989547</v>
      </c>
      <c r="AC94" s="18">
        <f>SUM(AB$94,'Statistics NZ'!AC$94-'Statistics NZ'!AB$94,$Q$12/5*(AC$8-AC$9)*1000)</f>
        <v>21068.220424385665</v>
      </c>
      <c r="AD94" s="18">
        <f>SUM(AC$94,'Statistics NZ'!AD$94-'Statistics NZ'!AC$94,$Q$12/5*(AD$8-AD$9)*1000)</f>
        <v>21708.394616634047</v>
      </c>
      <c r="AE94" s="18">
        <f>SUM(AD$94,'Statistics NZ'!AE$94-'Statistics NZ'!AD$94,$Q$12/5*(AE$8-AE$9)*1000)</f>
        <v>22508.394616634047</v>
      </c>
      <c r="AF94" s="18">
        <f>SUM(AE$94,'Statistics NZ'!AF$94-'Statistics NZ'!AE$94,$Q$12/5*(AF$8-AF$9)*1000)</f>
        <v>23138.394616634047</v>
      </c>
      <c r="AG94" s="18">
        <f>SUM(AF$94,'Statistics NZ'!AG$94-'Statistics NZ'!AF$94,$Q$12/5*(AG$8-AG$9)*1000)</f>
        <v>23868.394616634047</v>
      </c>
      <c r="AH94" s="18">
        <f>SUM(AG$94,'Statistics NZ'!AH$94-'Statistics NZ'!AG$94,$Q$12/5*(AH$8-AH$9)*1000)</f>
        <v>24758.394616634047</v>
      </c>
      <c r="AI94" s="18">
        <f>SUM(AH$94,'Statistics NZ'!AI$94-'Statistics NZ'!AH$94,$Q$12/5*(AI$8-AI$9)*1000)</f>
        <v>25208.394616634047</v>
      </c>
      <c r="AJ94" s="18">
        <f>SUM(AI$94,'Statistics NZ'!AJ$94-'Statistics NZ'!AI$94,$Q$12/5*(AJ$8-AJ$9)*1000)</f>
        <v>26418.394616634047</v>
      </c>
      <c r="AK94" s="18">
        <f>SUM(AJ$94,'Statistics NZ'!AK$94-'Statistics NZ'!AJ$94,$Q$12/5*(AK$8-AK$9)*1000)</f>
        <v>27378.394616634047</v>
      </c>
    </row>
    <row r="95" spans="1:37" x14ac:dyDescent="0.25">
      <c r="A95" s="12">
        <v>80</v>
      </c>
      <c r="B95" s="27">
        <f>'Statistics NZ'!B$95*'Economic Forecasts'!D$9*1000000/SUM('Statistics NZ'!B$30:B$110,'Statistics NZ'!B$130:B$210)</f>
        <v>9676.3175298514689</v>
      </c>
      <c r="C95" s="27">
        <f>'Statistics NZ'!C$95*'Economic Forecasts'!E$9*1000000/SUM('Statistics NZ'!C$30:C$110,'Statistics NZ'!C$130:C$210)</f>
        <v>9653.1369277672402</v>
      </c>
      <c r="D95" s="27">
        <f>'Statistics NZ'!D$95*'Economic Forecasts'!F$9*1000000/SUM('Statistics NZ'!D$30:D$110,'Statistics NZ'!D$130:D$210)</f>
        <v>9812.9009820940228</v>
      </c>
      <c r="E95" s="27">
        <f>'Statistics NZ'!E$95*'Economic Forecasts'!G$9*1000000/SUM('Statistics NZ'!E$30:E$110,'Statistics NZ'!E$130:E$210)</f>
        <v>9757.9877934051492</v>
      </c>
      <c r="F95" s="27">
        <f>'Statistics NZ'!F$95*'Economic Forecasts'!H$9*1000000/SUM('Statistics NZ'!F$30:F$110,'Statistics NZ'!F$130:F$210)</f>
        <v>10103.096287301998</v>
      </c>
      <c r="G95" s="27">
        <f>'Statistics NZ'!G$95*'Economic Forecasts'!I$9*1000000/SUM('Statistics NZ'!G$30:G$110,'Statistics NZ'!G$130:G$210)</f>
        <v>10225.193622130219</v>
      </c>
      <c r="H95" s="27">
        <f>'Statistics NZ'!H$95*'Economic Forecasts'!J$9*1000000/SUM('Statistics NZ'!H$30:H$110,'Statistics NZ'!H$130:H$210)</f>
        <v>9756.3611831328944</v>
      </c>
      <c r="I95" s="27">
        <f>'Statistics NZ'!I$95*'Economic Forecasts'!K$9*1000000/SUM('Statistics NZ'!I$30:I$110,'Statistics NZ'!I$130:I$210)</f>
        <v>9891.7873042557858</v>
      </c>
      <c r="J95" s="27">
        <f>'Statistics NZ'!J$95*'Economic Forecasts'!L$9*1000000/SUM('Statistics NZ'!J$30:J$110,'Statistics NZ'!J$130:J$210)</f>
        <v>9751.8822439343749</v>
      </c>
      <c r="K95" s="27">
        <f>'Statistics NZ'!K$95*'Economic Forecasts'!M$9*1000000/SUM('Statistics NZ'!K$30:K$110,'Statistics NZ'!K$130:K$210)</f>
        <v>9745.955561813269</v>
      </c>
      <c r="L95" s="27">
        <f>'Statistics NZ'!L$95*'Economic Forecasts'!N$9*1000000/SUM('Statistics NZ'!L$30:L$110,'Statistics NZ'!L$130:L$210)</f>
        <v>10145.552855118473</v>
      </c>
      <c r="M95" s="27">
        <f>'Statistics NZ'!M$95*'Economic Forecasts'!O$9*1000000/SUM('Statistics NZ'!M$30:M$110,'Statistics NZ'!M$130:M$210)</f>
        <v>10687.913783007842</v>
      </c>
      <c r="N95" s="27">
        <f>'Statistics NZ'!N$95*'Economic Forecasts'!P$9*1000000/SUM('Statistics NZ'!N$30:N$110,'Statistics NZ'!N$130:N$210)</f>
        <v>11154.825069420911</v>
      </c>
      <c r="O95" s="27">
        <f>'Statistics NZ'!O$95*'Economic Forecasts'!Q$9*1000000/SUM('Statistics NZ'!O$30:O$110,'Statistics NZ'!O$130:O$210)</f>
        <v>11755.842599490246</v>
      </c>
      <c r="P95" s="27">
        <f>'Statistics NZ'!P$95*'Economic Forecasts'!R$9*1000000/SUM('Statistics NZ'!P$30:P$110,'Statistics NZ'!P$130:P$210)</f>
        <v>12690.301883207518</v>
      </c>
      <c r="Q95" s="27">
        <f>'Statistics NZ'!Q$95*'Economic Forecasts'!S$9*1000000/SUM('Statistics NZ'!Q$30:Q$110,'Statistics NZ'!Q$130:Q$210)</f>
        <v>13821.526041780544</v>
      </c>
      <c r="R95" s="27">
        <f>'Statistics NZ'!R$95*'Economic Forecasts'!T$9*1000000/SUM('Statistics NZ'!R$30:R$110,'Statistics NZ'!R$130:R$210)</f>
        <v>13975.940729660426</v>
      </c>
      <c r="S95" s="27">
        <f>'Statistics NZ'!S$95*'Economic Forecasts'!U$9*1000000/SUM('Statistics NZ'!S$30:S$110,'Statistics NZ'!S$130:S$210)</f>
        <v>12333.821812044045</v>
      </c>
      <c r="T95" s="27">
        <f>'Statistics NZ'!T$95*'Economic Forecasts'!V$9*1000000/SUM('Statistics NZ'!T$30:T$110,'Statistics NZ'!T$130:T$210)</f>
        <v>13674.566510172142</v>
      </c>
      <c r="U95" s="28">
        <f>SUM('Statistics NZ'!U$95,$R$12/5*(U$8-U$9)*1000)*'Economic Forecasts'!W$9*1000000/SUM('Statistics NZ'!U$30:U$110,'Statistics NZ'!U$130:U$210,SUM($E$12:$T$13)*(U$8-U$9)*1000)</f>
        <v>14472.293343727735</v>
      </c>
      <c r="V95" s="28">
        <f>SUM('Statistics NZ'!V$95,$R$12/5*(V$8-V$9)*1000)*'Economic Forecasts'!X$9*1000000/SUM('Statistics NZ'!V$30:V$110,'Statistics NZ'!V$130:V$210,SUM($E$12:$T$13)*(V$8-V$9)*1000)</f>
        <v>15319.913412933149</v>
      </c>
      <c r="W95" s="28">
        <f>SUM('Statistics NZ'!W$95,$R$12/5*(W$8-W$9)*1000)*'Economic Forecasts'!Y$9*1000000/SUM('Statistics NZ'!W$30:W$110,'Statistics NZ'!W$130:W$210,SUM($E$12:$T$13)*(W$8-W$9)*1000)</f>
        <v>18194.393627584253</v>
      </c>
      <c r="X95" s="28">
        <f>SUM('Statistics NZ'!X$95,$R$12/5*(X$8-X$9)*1000)*'Economic Forecasts'!Z$9*1000000/SUM('Statistics NZ'!X$30:X$110,'Statistics NZ'!X$130:X$210,SUM($E$12:$T$13)*(X$8-X$9)*1000)</f>
        <v>18211.57379383572</v>
      </c>
      <c r="Y95" s="28">
        <f>SUM('Statistics NZ'!Y$95,$R$12/5*(Y$8-Y$9)*1000)*'Economic Forecasts'!AA$9*1000000/SUM('Statistics NZ'!Y$30:Y$110,'Statistics NZ'!Y$130:Y$210,SUM($E$12:$T$13)*(Y$8-Y$9)*1000)</f>
        <v>17936.446726100508</v>
      </c>
      <c r="Z95" s="28">
        <f>SUM('Statistics NZ'!Z$95,$R$12/5*(Z$8-Z$9)*1000)*'Economic Forecasts'!AB$9*1000000/SUM('Statistics NZ'!Z$30:Z$110,'Statistics NZ'!Z$130:Z$210,SUM($E$12:$T$13)*(Z$8-Z$9)*1000)</f>
        <v>18741.408440220639</v>
      </c>
      <c r="AA95" s="28">
        <f>SUM('Statistics NZ'!AA$95,$R$12/5*(AA$8-AA$9)*1000)*'Economic Forecasts'!AC$9*1000000/SUM('Statistics NZ'!AA$30:AA$110,'Statistics NZ'!AA$130:AA$210,SUM($E$12:$T$13)*(AA$8-AA$9)*1000)</f>
        <v>18573.531473779498</v>
      </c>
      <c r="AB95" s="18">
        <f>SUM(AA$95,'Statistics NZ'!AB$95-'Statistics NZ'!AA$95,$R$12/5*(AB$8-AB$9)*1000)</f>
        <v>19233.876099433572</v>
      </c>
      <c r="AC95" s="18">
        <f>SUM(AB$95,'Statistics NZ'!AC$95-'Statistics NZ'!AB$95,$R$12/5*(AC$8-AC$9)*1000)</f>
        <v>19704.105849869622</v>
      </c>
      <c r="AD95" s="18">
        <f>SUM(AC$95,'Statistics NZ'!AD$95-'Statistics NZ'!AC$95,$R$12/5*(AD$8-AD$9)*1000)</f>
        <v>20544.201579217977</v>
      </c>
      <c r="AE95" s="18">
        <f>SUM(AD$95,'Statistics NZ'!AE$95-'Statistics NZ'!AD$95,$R$12/5*(AE$8-AE$9)*1000)</f>
        <v>21184.201579217977</v>
      </c>
      <c r="AF95" s="18">
        <f>SUM(AE$95,'Statistics NZ'!AF$95-'Statistics NZ'!AE$95,$R$12/5*(AF$8-AF$9)*1000)</f>
        <v>21974.201579217977</v>
      </c>
      <c r="AG95" s="18">
        <f>SUM(AF$95,'Statistics NZ'!AG$95-'Statistics NZ'!AF$95,$R$12/5*(AG$8-AG$9)*1000)</f>
        <v>22604.201579217977</v>
      </c>
      <c r="AH95" s="18">
        <f>SUM(AG$95,'Statistics NZ'!AH$95-'Statistics NZ'!AG$95,$R$12/5*(AH$8-AH$9)*1000)</f>
        <v>23324.201579217977</v>
      </c>
      <c r="AI95" s="18">
        <f>SUM(AH$95,'Statistics NZ'!AI$95-'Statistics NZ'!AH$95,$R$12/5*(AI$8-AI$9)*1000)</f>
        <v>24204.201579217977</v>
      </c>
      <c r="AJ95" s="18">
        <f>SUM(AI$95,'Statistics NZ'!AJ$95-'Statistics NZ'!AI$95,$R$12/5*(AJ$8-AJ$9)*1000)</f>
        <v>24654.201579217977</v>
      </c>
      <c r="AK95" s="18">
        <f>SUM(AJ$95,'Statistics NZ'!AK$95-'Statistics NZ'!AJ$95,$R$12/5*(AK$8-AK$9)*1000)</f>
        <v>25844.201579217977</v>
      </c>
    </row>
    <row r="96" spans="1:37" x14ac:dyDescent="0.25">
      <c r="A96" s="12">
        <v>81</v>
      </c>
      <c r="B96" s="27">
        <f>'Statistics NZ'!B$96*'Economic Forecasts'!D$9*1000000/SUM('Statistics NZ'!B$30:B$110,'Statistics NZ'!B$130:B$210)</f>
        <v>9402.3671852247353</v>
      </c>
      <c r="C96" s="27">
        <f>'Statistics NZ'!C$96*'Economic Forecasts'!E$9*1000000/SUM('Statistics NZ'!C$30:C$110,'Statistics NZ'!C$130:C$210)</f>
        <v>9279.9739539573166</v>
      </c>
      <c r="D96" s="27">
        <f>'Statistics NZ'!D$96*'Economic Forecasts'!F$9*1000000/SUM('Statistics NZ'!D$30:D$110,'Statistics NZ'!D$130:D$210)</f>
        <v>9213.7148360402334</v>
      </c>
      <c r="E96" s="27">
        <f>'Statistics NZ'!E$96*'Economic Forecasts'!G$9*1000000/SUM('Statistics NZ'!E$30:E$110,'Statistics NZ'!E$130:E$210)</f>
        <v>9355.8998541794081</v>
      </c>
      <c r="F96" s="27">
        <f>'Statistics NZ'!F$96*'Economic Forecasts'!H$9*1000000/SUM('Statistics NZ'!F$30:F$110,'Statistics NZ'!F$130:F$210)</f>
        <v>9328.1986108972815</v>
      </c>
      <c r="G96" s="27">
        <f>'Statistics NZ'!G$96*'Economic Forecasts'!I$9*1000000/SUM('Statistics NZ'!G$30:G$110,'Statistics NZ'!G$130:G$210)</f>
        <v>9645.6677588202419</v>
      </c>
      <c r="H96" s="27">
        <f>'Statistics NZ'!H$96*'Economic Forecasts'!J$9*1000000/SUM('Statistics NZ'!H$30:H$110,'Statistics NZ'!H$130:H$210)</f>
        <v>9785.8365945622991</v>
      </c>
      <c r="I96" s="27">
        <f>'Statistics NZ'!I$96*'Economic Forecasts'!K$9*1000000/SUM('Statistics NZ'!I$30:I$110,'Statistics NZ'!I$130:I$210)</f>
        <v>9332.9846517854367</v>
      </c>
      <c r="J96" s="27">
        <f>'Statistics NZ'!J$96*'Economic Forecasts'!L$9*1000000/SUM('Statistics NZ'!J$30:J$110,'Statistics NZ'!J$130:J$210)</f>
        <v>9420.3182476406073</v>
      </c>
      <c r="K96" s="27">
        <f>'Statistics NZ'!K$96*'Economic Forecasts'!M$9*1000000/SUM('Statistics NZ'!K$30:K$110,'Statistics NZ'!K$130:K$210)</f>
        <v>9337.0343494294957</v>
      </c>
      <c r="L96" s="27">
        <f>'Statistics NZ'!L$96*'Economic Forecasts'!N$9*1000000/SUM('Statistics NZ'!L$30:L$110,'Statistics NZ'!L$130:L$210)</f>
        <v>9376.3602682140936</v>
      </c>
      <c r="M96" s="27">
        <f>'Statistics NZ'!M$96*'Economic Forecasts'!O$9*1000000/SUM('Statistics NZ'!M$30:M$110,'Statistics NZ'!M$130:M$210)</f>
        <v>9740.2651203462719</v>
      </c>
      <c r="N96" s="27">
        <f>'Statistics NZ'!N$96*'Economic Forecasts'!P$9*1000000/SUM('Statistics NZ'!N$30:N$110,'Statistics NZ'!N$130:N$210)</f>
        <v>10235.041247907257</v>
      </c>
      <c r="O96" s="27">
        <f>'Statistics NZ'!O$96*'Economic Forecasts'!Q$9*1000000/SUM('Statistics NZ'!O$30:O$110,'Statistics NZ'!O$130:O$210)</f>
        <v>10695.16507171669</v>
      </c>
      <c r="P96" s="27">
        <f>'Statistics NZ'!P$96*'Economic Forecasts'!R$9*1000000/SUM('Statistics NZ'!P$30:P$110,'Statistics NZ'!P$130:P$210)</f>
        <v>11290.060240230145</v>
      </c>
      <c r="Q96" s="27">
        <f>'Statistics NZ'!Q$96*'Economic Forecasts'!S$9*1000000/SUM('Statistics NZ'!Q$30:Q$110,'Statistics NZ'!Q$130:Q$210)</f>
        <v>12329.710150208806</v>
      </c>
      <c r="R96" s="27">
        <f>'Statistics NZ'!R$96*'Economic Forecasts'!T$9*1000000/SUM('Statistics NZ'!R$30:R$110,'Statistics NZ'!R$130:R$210)</f>
        <v>13224.758625378819</v>
      </c>
      <c r="S96" s="27">
        <f>'Statistics NZ'!S$96*'Economic Forecasts'!U$9*1000000/SUM('Statistics NZ'!S$30:S$110,'Statistics NZ'!S$130:S$210)</f>
        <v>13141.79908939184</v>
      </c>
      <c r="T96" s="27">
        <f>'Statistics NZ'!T$96*'Economic Forecasts'!V$9*1000000/SUM('Statistics NZ'!T$30:T$110,'Statistics NZ'!T$130:T$210)</f>
        <v>11955.422013562857</v>
      </c>
      <c r="U96" s="28">
        <f>SUM('Statistics NZ'!U$96,$R$12/5*(U$8-U$9)*1000)*'Economic Forecasts'!W$9*1000000/SUM('Statistics NZ'!U$30:U$110,'Statistics NZ'!U$130:U$210,SUM($E$12:$T$13)*(U$8-U$9)*1000)</f>
        <v>13222.575210911442</v>
      </c>
      <c r="V96" s="28">
        <f>SUM('Statistics NZ'!V$96,$R$12/5*(V$8-V$9)*1000)*'Economic Forecasts'!X$9*1000000/SUM('Statistics NZ'!V$30:V$110,'Statistics NZ'!V$130:V$210,SUM($E$12:$T$13)*(V$8-V$9)*1000)</f>
        <v>13936.79167383349</v>
      </c>
      <c r="W96" s="28">
        <f>SUM('Statistics NZ'!W$96,$R$12/5*(W$8-W$9)*1000)*'Economic Forecasts'!Y$9*1000000/SUM('Statistics NZ'!W$30:W$110,'Statistics NZ'!W$130:W$210,SUM($E$12:$T$13)*(W$8-W$9)*1000)</f>
        <v>14770.696262287147</v>
      </c>
      <c r="X96" s="28">
        <f>SUM('Statistics NZ'!X$96,$R$12/5*(X$8-X$9)*1000)*'Economic Forecasts'!Z$9*1000000/SUM('Statistics NZ'!X$30:X$110,'Statistics NZ'!X$130:X$210,SUM($E$12:$T$13)*(X$8-X$9)*1000)</f>
        <v>17586.300404802369</v>
      </c>
      <c r="Y96" s="28">
        <f>SUM('Statistics NZ'!Y$96,$R$12/5*(Y$8-Y$9)*1000)*'Economic Forecasts'!AA$9*1000000/SUM('Statistics NZ'!Y$30:Y$110,'Statistics NZ'!Y$130:Y$210,SUM($E$12:$T$13)*(Y$8-Y$9)*1000)</f>
        <v>17623.839675831696</v>
      </c>
      <c r="Z96" s="28">
        <f>SUM('Statistics NZ'!Z$96,$R$12/5*(Z$8-Z$9)*1000)*'Economic Forecasts'!AB$9*1000000/SUM('Statistics NZ'!Z$30:Z$110,'Statistics NZ'!Z$130:Z$210,SUM($E$12:$T$13)*(Z$8-Z$9)*1000)</f>
        <v>17373.460657065803</v>
      </c>
      <c r="AA96" s="28">
        <f>SUM('Statistics NZ'!AA$96,$R$12/5*(AA$8-AA$9)*1000)*'Economic Forecasts'!AC$9*1000000/SUM('Statistics NZ'!AA$30:AA$110,'Statistics NZ'!AA$130:AA$210,SUM($E$12:$T$13)*(AA$8-AA$9)*1000)</f>
        <v>18172.744312264727</v>
      </c>
      <c r="AB96" s="18">
        <f>SUM(AA$96,'Statistics NZ'!AB$96-'Statistics NZ'!AA$96,$R$12/5*(AB$8-AB$9)*1000)</f>
        <v>18003.088937918801</v>
      </c>
      <c r="AC96" s="18">
        <f>SUM(AB$96,'Statistics NZ'!AC$96-'Statistics NZ'!AB$96,$R$12/5*(AC$8-AC$9)*1000)</f>
        <v>18663.318688354851</v>
      </c>
      <c r="AD96" s="18">
        <f>SUM(AC$96,'Statistics NZ'!AD$96-'Statistics NZ'!AC$96,$R$12/5*(AD$8-AD$9)*1000)</f>
        <v>19123.414417703207</v>
      </c>
      <c r="AE96" s="18">
        <f>SUM(AD$96,'Statistics NZ'!AE$96-'Statistics NZ'!AD$96,$R$12/5*(AE$8-AE$9)*1000)</f>
        <v>19953.414417703207</v>
      </c>
      <c r="AF96" s="18">
        <f>SUM(AE$96,'Statistics NZ'!AF$96-'Statistics NZ'!AE$96,$R$12/5*(AF$8-AF$9)*1000)</f>
        <v>20583.414417703207</v>
      </c>
      <c r="AG96" s="18">
        <f>SUM(AF$96,'Statistics NZ'!AG$96-'Statistics NZ'!AF$96,$R$12/5*(AG$8-AG$9)*1000)</f>
        <v>21363.414417703207</v>
      </c>
      <c r="AH96" s="18">
        <f>SUM(AG$96,'Statistics NZ'!AH$96-'Statistics NZ'!AG$96,$R$12/5*(AH$8-AH$9)*1000)</f>
        <v>21983.414417703207</v>
      </c>
      <c r="AI96" s="18">
        <f>SUM(AH$96,'Statistics NZ'!AI$96-'Statistics NZ'!AH$96,$R$12/5*(AI$8-AI$9)*1000)</f>
        <v>22693.414417703207</v>
      </c>
      <c r="AJ96" s="18">
        <f>SUM(AI$96,'Statistics NZ'!AJ$96-'Statistics NZ'!AI$96,$R$12/5*(AJ$8-AJ$9)*1000)</f>
        <v>23563.414417703207</v>
      </c>
      <c r="AK96" s="18">
        <f>SUM(AJ$96,'Statistics NZ'!AK$96-'Statistics NZ'!AJ$96,$R$12/5*(AK$8-AK$9)*1000)</f>
        <v>24013.414417703207</v>
      </c>
    </row>
    <row r="97" spans="1:37" x14ac:dyDescent="0.25">
      <c r="A97" s="12">
        <v>82</v>
      </c>
      <c r="B97" s="27">
        <f>'Statistics NZ'!B$97*'Economic Forecasts'!D$9*1000000/SUM('Statistics NZ'!B$30:B$110,'Statistics NZ'!B$130:B$210)</f>
        <v>8580.5161513445291</v>
      </c>
      <c r="C97" s="27">
        <f>'Statistics NZ'!C$97*'Economic Forecasts'!E$9*1000000/SUM('Statistics NZ'!C$30:C$110,'Statistics NZ'!C$130:C$210)</f>
        <v>8946.0912931800176</v>
      </c>
      <c r="D97" s="27">
        <f>'Statistics NZ'!D$97*'Economic Forecasts'!F$9*1000000/SUM('Statistics NZ'!D$30:D$110,'Statistics NZ'!D$130:D$210)</f>
        <v>8810.983164102443</v>
      </c>
      <c r="E97" s="27">
        <f>'Statistics NZ'!E$97*'Economic Forecasts'!G$9*1000000/SUM('Statistics NZ'!E$30:E$110,'Statistics NZ'!E$130:E$210)</f>
        <v>8757.6714567947711</v>
      </c>
      <c r="F97" s="27">
        <f>'Statistics NZ'!F$97*'Economic Forecasts'!H$9*1000000/SUM('Statistics NZ'!F$30:F$110,'Statistics NZ'!F$130:F$210)</f>
        <v>8906.4188629807904</v>
      </c>
      <c r="G97" s="27">
        <f>'Statistics NZ'!G$97*'Economic Forecasts'!I$9*1000000/SUM('Statistics NZ'!G$30:G$110,'Statistics NZ'!G$130:G$210)</f>
        <v>8879.5149225799396</v>
      </c>
      <c r="H97" s="27">
        <f>'Statistics NZ'!H$97*'Economic Forecasts'!J$9*1000000/SUM('Statistics NZ'!H$30:H$110,'Statistics NZ'!H$130:H$210)</f>
        <v>9176.6780916879397</v>
      </c>
      <c r="I97" s="27">
        <f>'Statistics NZ'!I$97*'Economic Forecasts'!K$9*1000000/SUM('Statistics NZ'!I$30:I$110,'Statistics NZ'!I$130:I$210)</f>
        <v>9342.788207091935</v>
      </c>
      <c r="J97" s="27">
        <f>'Statistics NZ'!J$97*'Economic Forecasts'!L$9*1000000/SUM('Statistics NZ'!J$30:J$110,'Statistics NZ'!J$130:J$210)</f>
        <v>8844.9571952484803</v>
      </c>
      <c r="K97" s="27">
        <f>'Statistics NZ'!K$97*'Economic Forecasts'!M$9*1000000/SUM('Statistics NZ'!K$30:K$110,'Statistics NZ'!K$130:K$210)</f>
        <v>8918.37691770325</v>
      </c>
      <c r="L97" s="27">
        <f>'Statistics NZ'!L$97*'Economic Forecasts'!N$9*1000000/SUM('Statistics NZ'!L$30:L$110,'Statistics NZ'!L$130:L$210)</f>
        <v>8909.0027470570058</v>
      </c>
      <c r="M97" s="27">
        <f>'Statistics NZ'!M$97*'Economic Forecasts'!O$9*1000000/SUM('Statistics NZ'!M$30:M$110,'Statistics NZ'!M$130:M$210)</f>
        <v>8968.4687868383917</v>
      </c>
      <c r="N97" s="27">
        <f>'Statistics NZ'!N$97*'Economic Forecasts'!P$9*1000000/SUM('Statistics NZ'!N$30:N$110,'Statistics NZ'!N$130:N$210)</f>
        <v>9276.1176893079155</v>
      </c>
      <c r="O97" s="27">
        <f>'Statistics NZ'!O$97*'Economic Forecasts'!Q$9*1000000/SUM('Statistics NZ'!O$30:O$110,'Statistics NZ'!O$130:O$210)</f>
        <v>9791.624955465144</v>
      </c>
      <c r="P97" s="27">
        <f>'Statistics NZ'!P$97*'Economic Forecasts'!R$9*1000000/SUM('Statistics NZ'!P$30:P$110,'Statistics NZ'!P$130:P$210)</f>
        <v>10281.494581302388</v>
      </c>
      <c r="Q97" s="27">
        <f>'Statistics NZ'!Q$97*'Economic Forecasts'!S$9*1000000/SUM('Statistics NZ'!Q$30:Q$110,'Statistics NZ'!Q$130:Q$210)</f>
        <v>10857.653409518813</v>
      </c>
      <c r="R97" s="27">
        <f>'Statistics NZ'!R$97*'Economic Forecasts'!T$9*1000000/SUM('Statistics NZ'!R$30:R$110,'Statistics NZ'!R$130:R$210)</f>
        <v>11722.394416815605</v>
      </c>
      <c r="S97" s="27">
        <f>'Statistics NZ'!S$97*'Economic Forecasts'!U$9*1000000/SUM('Statistics NZ'!S$30:S$110,'Statistics NZ'!S$130:S$210)</f>
        <v>12372.760476012614</v>
      </c>
      <c r="T97" s="27">
        <f>'Statistics NZ'!T$97*'Economic Forecasts'!V$9*1000000/SUM('Statistics NZ'!T$30:T$110,'Statistics NZ'!T$130:T$210)</f>
        <v>12741.316640584246</v>
      </c>
      <c r="U97" s="28">
        <f>SUM('Statistics NZ'!U$97,$R$12/5*(U$8-U$9)*1000)*'Economic Forecasts'!W$9*1000000/SUM('Statistics NZ'!U$30:U$110,'Statistics NZ'!U$130:U$210,SUM($E$12:$T$13)*(U$8-U$9)*1000)</f>
        <v>11490.682365433748</v>
      </c>
      <c r="V97" s="28">
        <f>SUM('Statistics NZ'!V$97,$R$12/5*(V$8-V$9)*1000)*'Economic Forecasts'!X$9*1000000/SUM('Statistics NZ'!V$30:V$110,'Statistics NZ'!V$130:V$210,SUM($E$12:$T$13)*(V$8-V$9)*1000)</f>
        <v>12671.382423167848</v>
      </c>
      <c r="W97" s="28">
        <f>SUM('Statistics NZ'!W$97,$R$12/5*(W$8-W$9)*1000)*'Economic Forecasts'!Y$9*1000000/SUM('Statistics NZ'!W$30:W$110,'Statistics NZ'!W$130:W$210,SUM($E$12:$T$13)*(W$8-W$9)*1000)</f>
        <v>13371.871338751473</v>
      </c>
      <c r="X97" s="28">
        <f>SUM('Statistics NZ'!X$97,$R$12/5*(X$8-X$9)*1000)*'Economic Forecasts'!Z$9*1000000/SUM('Statistics NZ'!X$30:X$110,'Statistics NZ'!X$130:X$210,SUM($E$12:$T$13)*(X$8-X$9)*1000)</f>
        <v>14205.916145340816</v>
      </c>
      <c r="Y97" s="28">
        <f>SUM('Statistics NZ'!Y$97,$R$12/5*(Y$8-Y$9)*1000)*'Economic Forecasts'!AA$9*1000000/SUM('Statistics NZ'!Y$30:Y$110,'Statistics NZ'!Y$130:Y$210,SUM($E$12:$T$13)*(Y$8-Y$9)*1000)</f>
        <v>16930.242783047772</v>
      </c>
      <c r="Z97" s="28">
        <f>SUM('Statistics NZ'!Z$97,$R$12/5*(Z$8-Z$9)*1000)*'Economic Forecasts'!AB$9*1000000/SUM('Statistics NZ'!Z$30:Z$110,'Statistics NZ'!Z$130:Z$210,SUM($E$12:$T$13)*(Z$8-Z$9)*1000)</f>
        <v>16992.389488901244</v>
      </c>
      <c r="AA97" s="28">
        <f>SUM('Statistics NZ'!AA$97,$R$12/5*(AA$8-AA$9)*1000)*'Economic Forecasts'!AC$9*1000000/SUM('Statistics NZ'!AA$30:AA$110,'Statistics NZ'!AA$130:AA$210,SUM($E$12:$T$13)*(AA$8-AA$9)*1000)</f>
        <v>16765.101598651891</v>
      </c>
      <c r="AB97" s="18">
        <f>SUM(AA$97,'Statistics NZ'!AB$97-'Statistics NZ'!AA$97,$R$12/5*(AB$8-AB$9)*1000)</f>
        <v>17555.446224305964</v>
      </c>
      <c r="AC97" s="18">
        <f>SUM(AB$97,'Statistics NZ'!AC$97-'Statistics NZ'!AB$97,$R$12/5*(AC$8-AC$9)*1000)</f>
        <v>17405.675974742015</v>
      </c>
      <c r="AD97" s="18">
        <f>SUM(AC$97,'Statistics NZ'!AD$97-'Statistics NZ'!AC$97,$R$12/5*(AD$8-AD$9)*1000)</f>
        <v>18045.77170409037</v>
      </c>
      <c r="AE97" s="18">
        <f>SUM(AD$97,'Statistics NZ'!AE$97-'Statistics NZ'!AD$97,$R$12/5*(AE$8-AE$9)*1000)</f>
        <v>18505.77170409037</v>
      </c>
      <c r="AF97" s="18">
        <f>SUM(AE$97,'Statistics NZ'!AF$97-'Statistics NZ'!AE$97,$R$12/5*(AF$8-AF$9)*1000)</f>
        <v>19315.77170409037</v>
      </c>
      <c r="AG97" s="18">
        <f>SUM(AF$97,'Statistics NZ'!AG$97-'Statistics NZ'!AF$97,$R$12/5*(AG$8-AG$9)*1000)</f>
        <v>19935.77170409037</v>
      </c>
      <c r="AH97" s="18">
        <f>SUM(AG$97,'Statistics NZ'!AH$97-'Statistics NZ'!AG$97,$R$12/5*(AH$8-AH$9)*1000)</f>
        <v>20695.77170409037</v>
      </c>
      <c r="AI97" s="18">
        <f>SUM(AH$97,'Statistics NZ'!AI$97-'Statistics NZ'!AH$97,$R$12/5*(AI$8-AI$9)*1000)</f>
        <v>21315.77170409037</v>
      </c>
      <c r="AJ97" s="18">
        <f>SUM(AI$97,'Statistics NZ'!AJ$97-'Statistics NZ'!AI$97,$R$12/5*(AJ$8-AJ$9)*1000)</f>
        <v>22015.77170409037</v>
      </c>
      <c r="AK97" s="18">
        <f>SUM(AJ$97,'Statistics NZ'!AK$97-'Statistics NZ'!AJ$97,$R$12/5*(AK$8-AK$9)*1000)</f>
        <v>22865.77170409037</v>
      </c>
    </row>
    <row r="98" spans="1:37" x14ac:dyDescent="0.25">
      <c r="A98" s="12">
        <v>83</v>
      </c>
      <c r="B98" s="27">
        <f>'Statistics NZ'!B$98*'Economic Forecasts'!D$9*1000000/SUM('Statistics NZ'!B$30:B$110,'Statistics NZ'!B$130:B$210)</f>
        <v>7856.5045262595868</v>
      </c>
      <c r="C98" s="27">
        <f>'Statistics NZ'!C$98*'Economic Forecasts'!E$9*1000000/SUM('Statistics NZ'!C$30:C$110,'Statistics NZ'!C$130:C$210)</f>
        <v>8121.2047194949228</v>
      </c>
      <c r="D98" s="27">
        <f>'Statistics NZ'!D$98*'Economic Forecasts'!F$9*1000000/SUM('Statistics NZ'!D$30:D$110,'Statistics NZ'!D$130:D$210)</f>
        <v>8418.0742158704488</v>
      </c>
      <c r="E98" s="27">
        <f>'Statistics NZ'!E$98*'Economic Forecasts'!G$9*1000000/SUM('Statistics NZ'!E$30:E$110,'Statistics NZ'!E$130:E$210)</f>
        <v>8277.1273343054709</v>
      </c>
      <c r="F98" s="27">
        <f>'Statistics NZ'!F$98*'Economic Forecasts'!H$9*1000000/SUM('Statistics NZ'!F$30:F$110,'Statistics NZ'!F$130:F$210)</f>
        <v>8239.4183313919202</v>
      </c>
      <c r="G98" s="27">
        <f>'Statistics NZ'!G$98*'Economic Forecasts'!I$9*1000000/SUM('Statistics NZ'!G$30:G$110,'Statistics NZ'!G$130:G$210)</f>
        <v>8437.5036709028409</v>
      </c>
      <c r="H98" s="27">
        <f>'Statistics NZ'!H$98*'Economic Forecasts'!J$9*1000000/SUM('Statistics NZ'!H$30:H$110,'Statistics NZ'!H$130:H$210)</f>
        <v>8400.4922573802869</v>
      </c>
      <c r="I98" s="27">
        <f>'Statistics NZ'!I$98*'Economic Forecasts'!K$9*1000000/SUM('Statistics NZ'!I$30:I$110,'Statistics NZ'!I$130:I$210)</f>
        <v>8646.735780330624</v>
      </c>
      <c r="J98" s="27">
        <f>'Statistics NZ'!J$98*'Economic Forecasts'!L$9*1000000/SUM('Statistics NZ'!J$30:J$110,'Statistics NZ'!J$130:J$210)</f>
        <v>8796.1977840288073</v>
      </c>
      <c r="K98" s="27">
        <f>'Statistics NZ'!K$98*'Economic Forecasts'!M$9*1000000/SUM('Statistics NZ'!K$30:K$110,'Statistics NZ'!K$130:K$210)</f>
        <v>8324.4675378125321</v>
      </c>
      <c r="L98" s="27">
        <f>'Statistics NZ'!L$98*'Economic Forecasts'!N$9*1000000/SUM('Statistics NZ'!L$30:L$110,'Statistics NZ'!L$130:L$210)</f>
        <v>8461.1184559481298</v>
      </c>
      <c r="M98" s="27">
        <f>'Statistics NZ'!M$98*'Economic Forecasts'!O$9*1000000/SUM('Statistics NZ'!M$30:M$110,'Statistics NZ'!M$130:M$210)</f>
        <v>8479.9900947447968</v>
      </c>
      <c r="N98" s="27">
        <f>'Statistics NZ'!N$98*'Economic Forecasts'!P$9*1000000/SUM('Statistics NZ'!N$30:N$110,'Statistics NZ'!N$130:N$210)</f>
        <v>8512.8928161370113</v>
      </c>
      <c r="O98" s="27">
        <f>'Statistics NZ'!O$98*'Economic Forecasts'!Q$9*1000000/SUM('Statistics NZ'!O$30:O$110,'Statistics NZ'!O$130:O$210)</f>
        <v>8848.8004863330934</v>
      </c>
      <c r="P98" s="27">
        <f>'Statistics NZ'!P$98*'Economic Forecasts'!R$9*1000000/SUM('Statistics NZ'!P$30:P$110,'Statistics NZ'!P$130:P$210)</f>
        <v>9253.3451231721483</v>
      </c>
      <c r="Q98" s="27">
        <f>'Statistics NZ'!Q$98*'Economic Forecasts'!S$9*1000000/SUM('Statistics NZ'!Q$30:Q$110,'Statistics NZ'!Q$130:Q$210)</f>
        <v>9820.2979882272066</v>
      </c>
      <c r="R98" s="27">
        <f>'Statistics NZ'!R$98*'Economic Forecasts'!T$9*1000000/SUM('Statistics NZ'!R$30:R$110,'Statistics NZ'!R$130:R$210)</f>
        <v>10249.682133421402</v>
      </c>
      <c r="S98" s="27">
        <f>'Statistics NZ'!S$98*'Economic Forecasts'!U$9*1000000/SUM('Statistics NZ'!S$30:S$110,'Statistics NZ'!S$130:S$210)</f>
        <v>10922.295243183438</v>
      </c>
      <c r="T98" s="27">
        <f>'Statistics NZ'!T$98*'Economic Forecasts'!V$9*1000000/SUM('Statistics NZ'!T$30:T$110,'Statistics NZ'!T$130:T$210)</f>
        <v>11886.656233698486</v>
      </c>
      <c r="U98" s="28">
        <f>SUM('Statistics NZ'!U$98,$R$12/5*(U$8-U$9)*1000)*'Economic Forecasts'!W$9*1000000/SUM('Statistics NZ'!U$30:U$110,'Statistics NZ'!U$130:U$210,SUM($E$12:$T$13)*(U$8-U$9)*1000)</f>
        <v>12179.503383521465</v>
      </c>
      <c r="V98" s="28">
        <f>SUM('Statistics NZ'!V$98,$R$12/5*(V$8-V$9)*1000)*'Economic Forecasts'!X$9*1000000/SUM('Statistics NZ'!V$30:V$110,'Statistics NZ'!V$130:V$210,SUM($E$12:$T$13)*(V$8-V$9)*1000)</f>
        <v>10944.932592802319</v>
      </c>
      <c r="W98" s="28">
        <f>SUM('Statistics NZ'!W$98,$R$12/5*(W$8-W$9)*1000)*'Economic Forecasts'!Y$9*1000000/SUM('Statistics NZ'!W$30:W$110,'Statistics NZ'!W$130:W$210,SUM($E$12:$T$13)*(W$8-W$9)*1000)</f>
        <v>12080.64833241085</v>
      </c>
      <c r="X98" s="28">
        <f>SUM('Statistics NZ'!X$98,$R$12/5*(X$8-X$9)*1000)*'Economic Forecasts'!Z$9*1000000/SUM('Statistics NZ'!X$30:X$110,'Statistics NZ'!X$130:X$210,SUM($E$12:$T$13)*(X$8-X$9)*1000)</f>
        <v>12779.511226608483</v>
      </c>
      <c r="Y98" s="28">
        <f>SUM('Statistics NZ'!Y$98,$R$12/5*(Y$8-Y$9)*1000)*'Economic Forecasts'!AA$9*1000000/SUM('Statistics NZ'!Y$30:Y$110,'Statistics NZ'!Y$130:Y$210,SUM($E$12:$T$13)*(Y$8-Y$9)*1000)</f>
        <v>13599.023903620766</v>
      </c>
      <c r="Z98" s="28">
        <f>SUM('Statistics NZ'!Z$98,$R$12/5*(Z$8-Z$9)*1000)*'Economic Forecasts'!AB$9*1000000/SUM('Statistics NZ'!Z$30:Z$110,'Statistics NZ'!Z$130:Z$210,SUM($E$12:$T$13)*(Z$8-Z$9)*1000)</f>
        <v>16220.476096978162</v>
      </c>
      <c r="AA98" s="28">
        <f>SUM('Statistics NZ'!AA$98,$R$12/5*(AA$8-AA$9)*1000)*'Economic Forecasts'!AC$9*1000000/SUM('Statistics NZ'!AA$30:AA$110,'Statistics NZ'!AA$130:AA$210,SUM($E$12:$T$13)*(AA$8-AA$9)*1000)</f>
        <v>16295.88736078094</v>
      </c>
      <c r="AB98" s="18">
        <f>SUM(AA$98,'Statistics NZ'!AB$98-'Statistics NZ'!AA$98,$R$12/5*(AB$8-AB$9)*1000)</f>
        <v>16076.231986435016</v>
      </c>
      <c r="AC98" s="18">
        <f>SUM(AB$98,'Statistics NZ'!AC$98-'Statistics NZ'!AB$98,$R$12/5*(AC$8-AC$9)*1000)</f>
        <v>16846.461736871064</v>
      </c>
      <c r="AD98" s="18">
        <f>SUM(AC$98,'Statistics NZ'!AD$98-'Statistics NZ'!AC$98,$R$12/5*(AD$8-AD$9)*1000)</f>
        <v>16716.557466219419</v>
      </c>
      <c r="AE98" s="18">
        <f>SUM(AD$98,'Statistics NZ'!AE$98-'Statistics NZ'!AD$98,$R$12/5*(AE$8-AE$9)*1000)</f>
        <v>17336.557466219419</v>
      </c>
      <c r="AF98" s="18">
        <f>SUM(AE$98,'Statistics NZ'!AF$98-'Statistics NZ'!AE$98,$R$12/5*(AF$8-AF$9)*1000)</f>
        <v>17786.557466219419</v>
      </c>
      <c r="AG98" s="18">
        <f>SUM(AF$98,'Statistics NZ'!AG$98-'Statistics NZ'!AF$98,$R$12/5*(AG$8-AG$9)*1000)</f>
        <v>18586.557466219419</v>
      </c>
      <c r="AH98" s="18">
        <f>SUM(AG$98,'Statistics NZ'!AH$98-'Statistics NZ'!AG$98,$R$12/5*(AH$8-AH$9)*1000)</f>
        <v>19186.557466219419</v>
      </c>
      <c r="AI98" s="18">
        <f>SUM(AH$98,'Statistics NZ'!AI$98-'Statistics NZ'!AH$98,$R$12/5*(AI$8-AI$9)*1000)</f>
        <v>19936.557466219419</v>
      </c>
      <c r="AJ98" s="18">
        <f>SUM(AI$98,'Statistics NZ'!AJ$98-'Statistics NZ'!AI$98,$R$12/5*(AJ$8-AJ$9)*1000)</f>
        <v>20536.557466219419</v>
      </c>
      <c r="AK98" s="18">
        <f>SUM(AJ$98,'Statistics NZ'!AK$98-'Statistics NZ'!AJ$98,$R$12/5*(AK$8-AK$9)*1000)</f>
        <v>21226.557466219419</v>
      </c>
    </row>
    <row r="99" spans="1:37" x14ac:dyDescent="0.25">
      <c r="A99" s="12">
        <v>84</v>
      </c>
      <c r="B99" s="27">
        <f>'Statistics NZ'!B$99*'Economic Forecasts'!D$9*1000000/SUM('Statistics NZ'!B$30:B$110,'Statistics NZ'!B$130:B$210)</f>
        <v>7533.6344772352195</v>
      </c>
      <c r="C99" s="27">
        <f>'Statistics NZ'!C$99*'Economic Forecasts'!E$9*1000000/SUM('Statistics NZ'!C$30:C$110,'Statistics NZ'!C$130:C$210)</f>
        <v>7355.2386153587622</v>
      </c>
      <c r="D99" s="27">
        <f>'Statistics NZ'!D$99*'Economic Forecasts'!F$9*1000000/SUM('Statistics NZ'!D$30:D$110,'Statistics NZ'!D$130:D$210)</f>
        <v>7592.9654245832626</v>
      </c>
      <c r="E99" s="27">
        <f>'Statistics NZ'!E$99*'Economic Forecasts'!G$9*1000000/SUM('Statistics NZ'!E$30:E$110,'Statistics NZ'!E$130:E$210)</f>
        <v>7884.8464179876773</v>
      </c>
      <c r="F99" s="27">
        <f>'Statistics NZ'!F$99*'Economic Forecasts'!H$9*1000000/SUM('Statistics NZ'!F$30:F$110,'Statistics NZ'!F$130:F$210)</f>
        <v>7739.1679327002685</v>
      </c>
      <c r="G99" s="27">
        <f>'Statistics NZ'!G$99*'Economic Forecasts'!I$9*1000000/SUM('Statistics NZ'!G$30:G$110,'Statistics NZ'!G$130:G$210)</f>
        <v>7730.2856682194824</v>
      </c>
      <c r="H99" s="27">
        <f>'Statistics NZ'!H$99*'Economic Forecasts'!J$9*1000000/SUM('Statistics NZ'!H$30:H$110,'Statistics NZ'!H$130:H$210)</f>
        <v>7840.4594402216017</v>
      </c>
      <c r="I99" s="27">
        <f>'Statistics NZ'!I$99*'Economic Forecasts'!K$9*1000000/SUM('Statistics NZ'!I$30:I$110,'Statistics NZ'!I$130:I$210)</f>
        <v>7901.6655770368307</v>
      </c>
      <c r="J99" s="27">
        <f>'Statistics NZ'!J$99*'Economic Forecasts'!L$9*1000000/SUM('Statistics NZ'!J$30:J$110,'Statistics NZ'!J$130:J$210)</f>
        <v>8142.8216736852037</v>
      </c>
      <c r="K99" s="27">
        <f>'Statistics NZ'!K$99*'Economic Forecasts'!M$9*1000000/SUM('Statistics NZ'!K$30:K$110,'Statistics NZ'!K$130:K$210)</f>
        <v>8227.1053443878245</v>
      </c>
      <c r="L99" s="27">
        <f>'Statistics NZ'!L$99*'Economic Forecasts'!N$9*1000000/SUM('Statistics NZ'!L$30:L$110,'Statistics NZ'!L$130:L$210)</f>
        <v>7876.9215545017696</v>
      </c>
      <c r="M99" s="27">
        <f>'Statistics NZ'!M$99*'Economic Forecasts'!O$9*1000000/SUM('Statistics NZ'!M$30:M$110,'Statistics NZ'!M$130:M$210)</f>
        <v>7952.4331072837149</v>
      </c>
      <c r="N99" s="27">
        <f>'Statistics NZ'!N$99*'Economic Forecasts'!P$9*1000000/SUM('Statistics NZ'!N$30:N$110,'Statistics NZ'!N$130:N$210)</f>
        <v>7994.2912997516523</v>
      </c>
      <c r="O99" s="27">
        <f>'Statistics NZ'!O$99*'Economic Forecasts'!Q$9*1000000/SUM('Statistics NZ'!O$30:O$110,'Statistics NZ'!O$130:O$210)</f>
        <v>8043.4712522828004</v>
      </c>
      <c r="P99" s="27">
        <f>'Statistics NZ'!P$99*'Economic Forecasts'!R$9*1000000/SUM('Statistics NZ'!P$30:P$110,'Statistics NZ'!P$130:P$210)</f>
        <v>8362.2822594592744</v>
      </c>
      <c r="Q99" s="27">
        <f>'Statistics NZ'!Q$99*'Economic Forecasts'!S$9*1000000/SUM('Statistics NZ'!Q$30:Q$110,'Statistics NZ'!Q$130:Q$210)</f>
        <v>8842.2200195808346</v>
      </c>
      <c r="R99" s="27">
        <f>'Statistics NZ'!R$99*'Economic Forecasts'!T$9*1000000/SUM('Statistics NZ'!R$30:R$110,'Statistics NZ'!R$130:R$210)</f>
        <v>9221.7487275623607</v>
      </c>
      <c r="S99" s="27">
        <f>'Statistics NZ'!S$99*'Economic Forecasts'!U$9*1000000/SUM('Statistics NZ'!S$30:S$110,'Statistics NZ'!S$130:S$210)</f>
        <v>9481.5646763464101</v>
      </c>
      <c r="T99" s="27">
        <f>'Statistics NZ'!T$99*'Economic Forecasts'!V$9*1000000/SUM('Statistics NZ'!T$30:T$110,'Statistics NZ'!T$130:T$210)</f>
        <v>10432.751173708921</v>
      </c>
      <c r="U99" s="28">
        <f>SUM('Statistics NZ'!U$99,$R$12/5*(U$8-U$9)*1000)*'Economic Forecasts'!W$9*1000000/SUM('Statistics NZ'!U$30:U$110,'Statistics NZ'!U$130:U$210,SUM($E$12:$T$13)*(U$8-U$9)*1000)</f>
        <v>11274.195759749036</v>
      </c>
      <c r="V99" s="28">
        <f>SUM('Statistics NZ'!V$99,$R$12/5*(V$8-V$9)*1000)*'Economic Forecasts'!X$9*1000000/SUM('Statistics NZ'!V$30:V$110,'Statistics NZ'!V$130:V$210,SUM($E$12:$T$13)*(V$8-V$9)*1000)</f>
        <v>11504.06691286388</v>
      </c>
      <c r="W99" s="28">
        <f>SUM('Statistics NZ'!W$99,$R$12/5*(W$8-W$9)*1000)*'Economic Forecasts'!Y$9*1000000/SUM('Statistics NZ'!W$30:W$110,'Statistics NZ'!W$130:W$210,SUM($E$12:$T$13)*(W$8-W$9)*1000)</f>
        <v>10359.017657290018</v>
      </c>
      <c r="X99" s="28">
        <f>SUM('Statistics NZ'!X$99,$R$12/5*(X$8-X$9)*1000)*'Economic Forecasts'!Z$9*1000000/SUM('Statistics NZ'!X$30:X$110,'Statistics NZ'!X$130:X$210,SUM($E$12:$T$13)*(X$8-X$9)*1000)</f>
        <v>11460.575171616258</v>
      </c>
      <c r="Y99" s="28">
        <f>SUM('Statistics NZ'!Y$99,$R$12/5*(Y$8-Y$9)*1000)*'Economic Forecasts'!AA$9*1000000/SUM('Statistics NZ'!Y$30:Y$110,'Statistics NZ'!Y$130:Y$210,SUM($E$12:$T$13)*(Y$8-Y$9)*1000)</f>
        <v>12143.447325806619</v>
      </c>
      <c r="Z99" s="28">
        <f>SUM('Statistics NZ'!Z$99,$R$12/5*(Z$8-Z$9)*1000)*'Economic Forecasts'!AB$9*1000000/SUM('Statistics NZ'!Z$30:Z$110,'Statistics NZ'!Z$130:Z$210,SUM($E$12:$T$13)*(Z$8-Z$9)*1000)</f>
        <v>12937.401417406567</v>
      </c>
      <c r="AA99" s="28">
        <f>SUM('Statistics NZ'!AA$99,$R$12/5*(AA$8-AA$9)*1000)*'Economic Forecasts'!AC$9*1000000/SUM('Statistics NZ'!AA$30:AA$110,'Statistics NZ'!AA$130:AA$210,SUM($E$12:$T$13)*(AA$8-AA$9)*1000)</f>
        <v>15455.211851262156</v>
      </c>
      <c r="AB99" s="18">
        <f>SUM(AA$99,'Statistics NZ'!AB$99-'Statistics NZ'!AA$99,$R$12/5*(AB$8-AB$9)*1000)</f>
        <v>15525.556476916232</v>
      </c>
      <c r="AC99" s="18">
        <f>SUM(AB$99,'Statistics NZ'!AC$99-'Statistics NZ'!AB$99,$R$12/5*(AC$8-AC$9)*1000)</f>
        <v>15325.786227352282</v>
      </c>
      <c r="AD99" s="18">
        <f>SUM(AC$99,'Statistics NZ'!AD$99-'Statistics NZ'!AC$99,$R$12/5*(AD$8-AD$9)*1000)</f>
        <v>16075.881956700636</v>
      </c>
      <c r="AE99" s="18">
        <f>SUM(AD$99,'Statistics NZ'!AE$99-'Statistics NZ'!AD$99,$R$12/5*(AE$8-AE$9)*1000)</f>
        <v>15955.881956700636</v>
      </c>
      <c r="AF99" s="18">
        <f>SUM(AE$99,'Statistics NZ'!AF$99-'Statistics NZ'!AE$99,$R$12/5*(AF$8-AF$9)*1000)</f>
        <v>16565.881956700636</v>
      </c>
      <c r="AG99" s="18">
        <f>SUM(AF$99,'Statistics NZ'!AG$99-'Statistics NZ'!AF$99,$R$12/5*(AG$8-AG$9)*1000)</f>
        <v>17005.881956700636</v>
      </c>
      <c r="AH99" s="18">
        <f>SUM(AG$99,'Statistics NZ'!AH$99-'Statistics NZ'!AG$99,$R$12/5*(AH$8-AH$9)*1000)</f>
        <v>17775.881956700636</v>
      </c>
      <c r="AI99" s="18">
        <f>SUM(AH$99,'Statistics NZ'!AI$99-'Statistics NZ'!AH$99,$R$12/5*(AI$8-AI$9)*1000)</f>
        <v>18365.881956700636</v>
      </c>
      <c r="AJ99" s="18">
        <f>SUM(AI$99,'Statistics NZ'!AJ$99-'Statistics NZ'!AI$99,$R$12/5*(AJ$8-AJ$9)*1000)</f>
        <v>19095.881956700636</v>
      </c>
      <c r="AK99" s="18">
        <f>SUM(AJ$99,'Statistics NZ'!AK$99-'Statistics NZ'!AJ$99,$R$12/5*(AK$8-AK$9)*1000)</f>
        <v>19685.881956700636</v>
      </c>
    </row>
    <row r="100" spans="1:37" x14ac:dyDescent="0.25">
      <c r="A100" s="12">
        <v>85</v>
      </c>
      <c r="B100" s="27">
        <f>'Statistics NZ'!B$100*'Economic Forecasts'!D$9*1000000/SUM('Statistics NZ'!B$30:B$110,'Statistics NZ'!B$130:B$210)</f>
        <v>6790.0549703912238</v>
      </c>
      <c r="C100" s="27">
        <f>'Statistics NZ'!C$100*'Economic Forecasts'!E$9*1000000/SUM('Statistics NZ'!C$30:C$110,'Statistics NZ'!C$130:C$210)</f>
        <v>7001.7157980651509</v>
      </c>
      <c r="D100" s="27">
        <f>'Statistics NZ'!D$100*'Economic Forecasts'!F$9*1000000/SUM('Statistics NZ'!D$30:D$110,'Statistics NZ'!D$130:D$210)</f>
        <v>6836.6156992366778</v>
      </c>
      <c r="E100" s="27">
        <f>'Statistics NZ'!E$100*'Economic Forecasts'!G$9*1000000/SUM('Statistics NZ'!E$30:E$110,'Statistics NZ'!E$130:E$210)</f>
        <v>7021.8284020885276</v>
      </c>
      <c r="F100" s="27">
        <f>'Statistics NZ'!F$100*'Economic Forecasts'!H$9*1000000/SUM('Statistics NZ'!F$30:F$110,'Statistics NZ'!F$130:F$210)</f>
        <v>7337.0058474775669</v>
      </c>
      <c r="G100" s="27">
        <f>'Statistics NZ'!G$100*'Economic Forecasts'!I$9*1000000/SUM('Statistics NZ'!G$30:G$110,'Statistics NZ'!G$130:G$210)</f>
        <v>7160.582277169</v>
      </c>
      <c r="H100" s="27">
        <f>'Statistics NZ'!H$100*'Economic Forecasts'!J$9*1000000/SUM('Statistics NZ'!H$30:H$110,'Statistics NZ'!H$130:H$210)</f>
        <v>7221.4758002041053</v>
      </c>
      <c r="I100" s="27">
        <f>'Statistics NZ'!I$100*'Economic Forecasts'!K$9*1000000/SUM('Statistics NZ'!I$30:I$110,'Statistics NZ'!I$130:I$210)</f>
        <v>7235.0238161950138</v>
      </c>
      <c r="J100" s="27">
        <f>'Statistics NZ'!J$100*'Economic Forecasts'!L$9*1000000/SUM('Statistics NZ'!J$30:J$110,'Statistics NZ'!J$130:J$210)</f>
        <v>7323.6635651947172</v>
      </c>
      <c r="K100" s="27">
        <f>'Statistics NZ'!K$100*'Economic Forecasts'!M$9*1000000/SUM('Statistics NZ'!K$30:K$110,'Statistics NZ'!K$130:K$210)</f>
        <v>7545.5699904148687</v>
      </c>
      <c r="L100" s="27">
        <f>'Statistics NZ'!L$100*'Economic Forecasts'!N$9*1000000/SUM('Statistics NZ'!L$30:L$110,'Statistics NZ'!L$130:L$210)</f>
        <v>7643.2427939232239</v>
      </c>
      <c r="M100" s="27">
        <f>'Statistics NZ'!M$100*'Economic Forecasts'!O$9*1000000/SUM('Statistics NZ'!M$30:M$110,'Statistics NZ'!M$130:M$210)</f>
        <v>7356.4891029295304</v>
      </c>
      <c r="N100" s="27">
        <f>'Statistics NZ'!N$100*'Economic Forecasts'!P$9*1000000/SUM('Statistics NZ'!N$30:N$110,'Statistics NZ'!N$130:N$210)</f>
        <v>7436.5500462806076</v>
      </c>
      <c r="O100" s="27">
        <f>'Statistics NZ'!O$100*'Economic Forecasts'!Q$9*1000000/SUM('Statistics NZ'!O$30:O$110,'Statistics NZ'!O$130:O$210)</f>
        <v>7483.6692237356465</v>
      </c>
      <c r="P100" s="27">
        <f>'Statistics NZ'!P$100*'Economic Forecasts'!R$9*1000000/SUM('Statistics NZ'!P$30:P$110,'Statistics NZ'!P$130:P$210)</f>
        <v>7490.8031949488823</v>
      </c>
      <c r="Q100" s="27">
        <f>'Statistics NZ'!Q$100*'Economic Forecasts'!S$9*1000000/SUM('Statistics NZ'!Q$30:Q$110,'Statistics NZ'!Q$130:Q$210)</f>
        <v>7933.2990790205695</v>
      </c>
      <c r="R100" s="27">
        <f>'Statistics NZ'!R$100*'Economic Forecasts'!T$9*1000000/SUM('Statistics NZ'!R$30:R$110,'Statistics NZ'!R$130:R$210)</f>
        <v>8233.3512219286658</v>
      </c>
      <c r="S100" s="27">
        <f>'Statistics NZ'!S$100*'Economic Forecasts'!U$9*1000000/SUM('Statistics NZ'!S$30:S$110,'Statistics NZ'!S$130:S$210)</f>
        <v>8439.9554151872035</v>
      </c>
      <c r="T100" s="27">
        <f>'Statistics NZ'!T$100*'Economic Forecasts'!V$9*1000000/SUM('Statistics NZ'!T$30:T$110,'Statistics NZ'!T$130:T$210)</f>
        <v>8998.4934793948869</v>
      </c>
      <c r="U100" s="28">
        <f>SUM('Statistics NZ'!U$100,$S$12/5*(U$8-U$9)*1000)*'Economic Forecasts'!W$9*1000000/SUM('Statistics NZ'!U$30:U$110,'Statistics NZ'!U$130:U$210,SUM($E$12:$T$13)*(U$8-U$9)*1000)</f>
        <v>9809.8534901344119</v>
      </c>
      <c r="V100" s="28">
        <f>SUM('Statistics NZ'!V$100,$S$12/5*(V$8-V$9)*1000)*'Economic Forecasts'!X$9*1000000/SUM('Statistics NZ'!V$30:V$110,'Statistics NZ'!V$130:V$210,SUM($E$12:$T$13)*(V$8-V$9)*1000)</f>
        <v>10563.922548103974</v>
      </c>
      <c r="W100" s="28">
        <f>SUM('Statistics NZ'!W$100,$S$12/5*(W$8-W$9)*1000)*'Economic Forecasts'!Y$9*1000000/SUM('Statistics NZ'!W$30:W$110,'Statistics NZ'!W$130:W$210,SUM($E$12:$T$13)*(W$8-W$9)*1000)</f>
        <v>10799.282376637091</v>
      </c>
      <c r="X100" s="28">
        <f>SUM('Statistics NZ'!X$100,$S$12/5*(X$8-X$9)*1000)*'Economic Forecasts'!Z$9*1000000/SUM('Statistics NZ'!X$30:X$110,'Statistics NZ'!X$130:X$210,SUM($E$12:$T$13)*(X$8-X$9)*1000)</f>
        <v>9750.5183989198922</v>
      </c>
      <c r="Y100" s="28">
        <f>SUM('Statistics NZ'!Y$100,$S$12/5*(Y$8-Y$9)*1000)*'Economic Forecasts'!AA$9*1000000/SUM('Statistics NZ'!Y$30:Y$110,'Statistics NZ'!Y$130:Y$210,SUM($E$12:$T$13)*(Y$8-Y$9)*1000)</f>
        <v>10794.917151562811</v>
      </c>
      <c r="Z100" s="28">
        <f>SUM('Statistics NZ'!Z$100,$S$12/5*(Z$8-Z$9)*1000)*'Economic Forecasts'!AB$9*1000000/SUM('Statistics NZ'!Z$30:Z$110,'Statistics NZ'!Z$130:Z$210,SUM($E$12:$T$13)*(Z$8-Z$9)*1000)</f>
        <v>11461.622143235039</v>
      </c>
      <c r="AA100" s="28">
        <f>SUM('Statistics NZ'!AA$100,$S$12/5*(AA$8-AA$9)*1000)*'Economic Forecasts'!AC$9*1000000/SUM('Statistics NZ'!AA$30:AA$110,'Statistics NZ'!AA$130:AA$210,SUM($E$12:$T$13)*(AA$8-AA$9)*1000)</f>
        <v>12219.276141290675</v>
      </c>
      <c r="AB100" s="18">
        <f>SUM(AA$100,'Statistics NZ'!AB$100-'Statistics NZ'!AA$100,$S$12/5*(AB$8-AB$9)*1000)</f>
        <v>14649.390574287785</v>
      </c>
      <c r="AC100" s="18">
        <f>SUM(AB$100,'Statistics NZ'!AC$100-'Statistics NZ'!AB$100,$S$12/5*(AC$8-AC$9)*1000)</f>
        <v>14729.466862952524</v>
      </c>
      <c r="AD100" s="18">
        <f>SUM(AC$100,'Statistics NZ'!AD$100-'Statistics NZ'!AC$100,$S$12/5*(AD$8-AD$9)*1000)</f>
        <v>14559.498649896166</v>
      </c>
      <c r="AE100" s="18">
        <f>SUM(AD$100,'Statistics NZ'!AE$100-'Statistics NZ'!AD$100,$S$12/5*(AE$8-AE$9)*1000)</f>
        <v>15269.498649896166</v>
      </c>
      <c r="AF100" s="18">
        <f>SUM(AE$100,'Statistics NZ'!AF$100-'Statistics NZ'!AE$100,$S$12/5*(AF$8-AF$9)*1000)</f>
        <v>15169.498649896166</v>
      </c>
      <c r="AG100" s="18">
        <f>SUM(AF$100,'Statistics NZ'!AG$100-'Statistics NZ'!AF$100,$S$12/5*(AG$8-AG$9)*1000)</f>
        <v>15759.498649896166</v>
      </c>
      <c r="AH100" s="18">
        <f>SUM(AG$100,'Statistics NZ'!AH$100-'Statistics NZ'!AG$100,$S$12/5*(AH$8-AH$9)*1000)</f>
        <v>16189.498649896166</v>
      </c>
      <c r="AI100" s="18">
        <f>SUM(AH$100,'Statistics NZ'!AI$100-'Statistics NZ'!AH$100,$S$12/5*(AI$8-AI$9)*1000)</f>
        <v>16939.498649896166</v>
      </c>
      <c r="AJ100" s="18">
        <f>SUM(AI$100,'Statistics NZ'!AJ$100-'Statistics NZ'!AI$100,$S$12/5*(AJ$8-AJ$9)*1000)</f>
        <v>17509.498649896166</v>
      </c>
      <c r="AK100" s="18">
        <f>SUM(AJ$100,'Statistics NZ'!AK$100-'Statistics NZ'!AJ$100,$S$12/5*(AK$8-AK$9)*1000)</f>
        <v>18209.498649896166</v>
      </c>
    </row>
    <row r="101" spans="1:37" x14ac:dyDescent="0.25">
      <c r="A101" s="12">
        <v>86</v>
      </c>
      <c r="B101" s="27">
        <f>'Statistics NZ'!B$101*'Economic Forecasts'!D$9*1000000/SUM('Statistics NZ'!B$30:B$110,'Statistics NZ'!B$130:B$210)</f>
        <v>6105.1791088243863</v>
      </c>
      <c r="C101" s="27">
        <f>'Statistics NZ'!C$101*'Economic Forecasts'!E$9*1000000/SUM('Statistics NZ'!C$30:C$110,'Statistics NZ'!C$130:C$210)</f>
        <v>6275.0300069616142</v>
      </c>
      <c r="D101" s="27">
        <f>'Statistics NZ'!D$101*'Economic Forecasts'!F$9*1000000/SUM('Statistics NZ'!D$30:D$110,'Statistics NZ'!D$130:D$210)</f>
        <v>6424.0613035930846</v>
      </c>
      <c r="E101" s="27">
        <f>'Statistics NZ'!E$101*'Economic Forecasts'!G$9*1000000/SUM('Statistics NZ'!E$30:E$110,'Statistics NZ'!E$130:E$210)</f>
        <v>6256.8806152688285</v>
      </c>
      <c r="F101" s="27">
        <f>'Statistics NZ'!F$101*'Economic Forecasts'!H$9*1000000/SUM('Statistics NZ'!F$30:F$110,'Statistics NZ'!F$130:F$210)</f>
        <v>6434.5933635632136</v>
      </c>
      <c r="G101" s="27">
        <f>'Statistics NZ'!G$101*'Economic Forecasts'!I$9*1000000/SUM('Statistics NZ'!G$30:G$110,'Statistics NZ'!G$130:G$210)</f>
        <v>6777.5058590488479</v>
      </c>
      <c r="H101" s="27">
        <f>'Statistics NZ'!H$101*'Economic Forecasts'!J$9*1000000/SUM('Statistics NZ'!H$30:H$110,'Statistics NZ'!H$130:H$210)</f>
        <v>6533.7162001846682</v>
      </c>
      <c r="I101" s="27">
        <f>'Statistics NZ'!I$101*'Economic Forecasts'!K$9*1000000/SUM('Statistics NZ'!I$30:I$110,'Statistics NZ'!I$130:I$210)</f>
        <v>6617.399831885682</v>
      </c>
      <c r="J101" s="27">
        <f>'Statistics NZ'!J$101*'Economic Forecasts'!L$9*1000000/SUM('Statistics NZ'!J$30:J$110,'Statistics NZ'!J$130:J$210)</f>
        <v>6680.0393370950478</v>
      </c>
      <c r="K101" s="27">
        <f>'Statistics NZ'!K$101*'Economic Forecasts'!M$9*1000000/SUM('Statistics NZ'!K$30:K$110,'Statistics NZ'!K$130:K$210)</f>
        <v>6756.9362236747338</v>
      </c>
      <c r="L101" s="27">
        <f>'Statistics NZ'!L$101*'Economic Forecasts'!N$9*1000000/SUM('Statistics NZ'!L$30:L$110,'Statistics NZ'!L$130:L$210)</f>
        <v>6971.4163572599082</v>
      </c>
      <c r="M101" s="27">
        <f>'Statistics NZ'!M$101*'Economic Forecasts'!O$9*1000000/SUM('Statistics NZ'!M$30:M$110,'Statistics NZ'!M$130:M$210)</f>
        <v>7034.0931661477589</v>
      </c>
      <c r="N101" s="27">
        <f>'Statistics NZ'!N$101*'Economic Forecasts'!P$9*1000000/SUM('Statistics NZ'!N$30:N$110,'Statistics NZ'!N$130:N$210)</f>
        <v>6780.9594500953435</v>
      </c>
      <c r="O101" s="27">
        <f>'Statistics NZ'!O$101*'Economic Forecasts'!Q$9*1000000/SUM('Statistics NZ'!O$30:O$110,'Statistics NZ'!O$130:O$210)</f>
        <v>6874.7617540878637</v>
      </c>
      <c r="P101" s="27">
        <f>'Statistics NZ'!P$101*'Economic Forecasts'!R$9*1000000/SUM('Statistics NZ'!P$30:P$110,'Statistics NZ'!P$130:P$210)</f>
        <v>6942.4568172794216</v>
      </c>
      <c r="Q101" s="27">
        <f>'Statistics NZ'!Q$101*'Economic Forecasts'!S$9*1000000/SUM('Statistics NZ'!Q$30:Q$110,'Statistics NZ'!Q$130:Q$210)</f>
        <v>7014.4985630194324</v>
      </c>
      <c r="R101" s="27">
        <f>'Statistics NZ'!R$101*'Economic Forecasts'!T$9*1000000/SUM('Statistics NZ'!R$30:R$110,'Statistics NZ'!R$130:R$210)</f>
        <v>7353.6774419146795</v>
      </c>
      <c r="S101" s="27">
        <f>'Statistics NZ'!S$101*'Economic Forecasts'!U$9*1000000/SUM('Statistics NZ'!S$30:S$110,'Statistics NZ'!S$130:S$210)</f>
        <v>7476.2234819651349</v>
      </c>
      <c r="T101" s="27">
        <f>'Statistics NZ'!T$101*'Economic Forecasts'!V$9*1000000/SUM('Statistics NZ'!T$30:T$110,'Statistics NZ'!T$130:T$210)</f>
        <v>7917.8883672404791</v>
      </c>
      <c r="U101" s="28">
        <f>SUM('Statistics NZ'!U$101,$S$12/5*(U$8-U$9)*1000)*'Economic Forecasts'!W$9*1000000/SUM('Statistics NZ'!U$30:U$110,'Statistics NZ'!U$130:U$210,SUM($E$12:$T$13)*(U$8-U$9)*1000)</f>
        <v>8383.0099526669928</v>
      </c>
      <c r="V101" s="28">
        <f>SUM('Statistics NZ'!V$101,$S$12/5*(V$8-V$9)*1000)*'Economic Forecasts'!X$9*1000000/SUM('Statistics NZ'!V$30:V$110,'Statistics NZ'!V$130:V$210,SUM($E$12:$T$13)*(V$8-V$9)*1000)</f>
        <v>9102.3258167149743</v>
      </c>
      <c r="W101" s="28">
        <f>SUM('Statistics NZ'!W$101,$S$12/5*(W$8-W$9)*1000)*'Economic Forecasts'!Y$9*1000000/SUM('Statistics NZ'!W$30:W$110,'Statistics NZ'!W$130:W$210,SUM($E$12:$T$13)*(W$8-W$9)*1000)</f>
        <v>9821.0831294093459</v>
      </c>
      <c r="X101" s="28">
        <f>SUM('Statistics NZ'!X$101,$S$12/5*(X$8-X$9)*1000)*'Economic Forecasts'!Z$9*1000000/SUM('Statistics NZ'!X$30:X$110,'Statistics NZ'!X$130:X$210,SUM($E$12:$T$13)*(X$8-X$9)*1000)</f>
        <v>10063.155093436568</v>
      </c>
      <c r="Y101" s="28">
        <f>SUM('Statistics NZ'!Y$101,$S$12/5*(Y$8-Y$9)*1000)*'Economic Forecasts'!AA$9*1000000/SUM('Statistics NZ'!Y$30:Y$110,'Statistics NZ'!Y$130:Y$210,SUM($E$12:$T$13)*(Y$8-Y$9)*1000)</f>
        <v>9095.1163157261562</v>
      </c>
      <c r="Z101" s="28">
        <f>SUM('Statistics NZ'!Z$101,$S$12/5*(Z$8-Z$9)*1000)*'Economic Forecasts'!AB$9*1000000/SUM('Statistics NZ'!Z$30:Z$110,'Statistics NZ'!Z$130:Z$210,SUM($E$12:$T$13)*(Z$8-Z$9)*1000)</f>
        <v>10093.674360080209</v>
      </c>
      <c r="AA101" s="28">
        <f>SUM('Statistics NZ'!AA$101,$S$12/5*(AA$8-AA$9)*1000)*'Economic Forecasts'!AC$9*1000000/SUM('Statistics NZ'!AA$30:AA$110,'Statistics NZ'!AA$130:AA$210,SUM($E$12:$T$13)*(AA$8-AA$9)*1000)</f>
        <v>10713.880461454717</v>
      </c>
      <c r="AB101" s="18">
        <f>SUM(AA$101,'Statistics NZ'!AB$101-'Statistics NZ'!AA$101,$S$12/5*(AB$8-AB$9)*1000)</f>
        <v>11443.994894451827</v>
      </c>
      <c r="AC101" s="18">
        <f>SUM(AB$101,'Statistics NZ'!AC$101-'Statistics NZ'!AB$101,$S$12/5*(AC$8-AC$9)*1000)</f>
        <v>13734.071183116566</v>
      </c>
      <c r="AD101" s="18">
        <f>SUM(AC$101,'Statistics NZ'!AD$101-'Statistics NZ'!AC$101,$S$12/5*(AD$8-AD$9)*1000)</f>
        <v>13824.102970060208</v>
      </c>
      <c r="AE101" s="18">
        <f>SUM(AD$101,'Statistics NZ'!AE$101-'Statistics NZ'!AD$101,$S$12/5*(AE$8-AE$9)*1000)</f>
        <v>13674.102970060208</v>
      </c>
      <c r="AF101" s="18">
        <f>SUM(AE$101,'Statistics NZ'!AF$101-'Statistics NZ'!AE$101,$S$12/5*(AF$8-AF$9)*1000)</f>
        <v>14354.102970060208</v>
      </c>
      <c r="AG101" s="18">
        <f>SUM(AF$101,'Statistics NZ'!AG$101-'Statistics NZ'!AF$101,$S$12/5*(AG$8-AG$9)*1000)</f>
        <v>14274.102970060208</v>
      </c>
      <c r="AH101" s="18">
        <f>SUM(AG$101,'Statistics NZ'!AH$101-'Statistics NZ'!AG$101,$S$12/5*(AH$8-AH$9)*1000)</f>
        <v>14834.102970060208</v>
      </c>
      <c r="AI101" s="18">
        <f>SUM(AH$101,'Statistics NZ'!AI$101-'Statistics NZ'!AH$101,$S$12/5*(AI$8-AI$9)*1000)</f>
        <v>15254.102970060208</v>
      </c>
      <c r="AJ101" s="18">
        <f>SUM(AI$101,'Statistics NZ'!AJ$101-'Statistics NZ'!AI$101,$S$12/5*(AJ$8-AJ$9)*1000)</f>
        <v>15964.102970060208</v>
      </c>
      <c r="AK101" s="18">
        <f>SUM(AJ$101,'Statistics NZ'!AK$101-'Statistics NZ'!AJ$101,$S$12/5*(AK$8-AK$9)*1000)</f>
        <v>16514.102970060208</v>
      </c>
    </row>
    <row r="102" spans="1:37" x14ac:dyDescent="0.25">
      <c r="A102" s="12">
        <v>87</v>
      </c>
      <c r="B102" s="27">
        <f>'Statistics NZ'!B$102*'Economic Forecasts'!D$9*1000000/SUM('Statistics NZ'!B$30:B$110,'Statistics NZ'!B$130:B$210)</f>
        <v>4598.4522133773416</v>
      </c>
      <c r="C102" s="27">
        <f>'Statistics NZ'!C$102*'Economic Forecasts'!E$9*1000000/SUM('Statistics NZ'!C$30:C$110,'Statistics NZ'!C$130:C$210)</f>
        <v>5528.704059341766</v>
      </c>
      <c r="D102" s="27">
        <f>'Statistics NZ'!D$102*'Economic Forecasts'!F$9*1000000/SUM('Statistics NZ'!D$30:D$110,'Statistics NZ'!D$130:D$210)</f>
        <v>5628.4206834232991</v>
      </c>
      <c r="E102" s="27">
        <f>'Statistics NZ'!E$102*'Economic Forecasts'!G$9*1000000/SUM('Statistics NZ'!E$30:E$110,'Statistics NZ'!E$130:E$210)</f>
        <v>5786.1435156874732</v>
      </c>
      <c r="F102" s="27">
        <f>'Statistics NZ'!F$102*'Economic Forecasts'!H$9*1000000/SUM('Statistics NZ'!F$30:F$110,'Statistics NZ'!F$130:F$210)</f>
        <v>5679.3133498522884</v>
      </c>
      <c r="G102" s="27">
        <f>'Statistics NZ'!G$102*'Economic Forecasts'!I$9*1000000/SUM('Statistics NZ'!G$30:G$110,'Statistics NZ'!G$130:G$210)</f>
        <v>5824.7260498782125</v>
      </c>
      <c r="H102" s="27">
        <f>'Statistics NZ'!H$102*'Economic Forecasts'!J$9*1000000/SUM('Statistics NZ'!H$30:H$110,'Statistics NZ'!H$130:H$210)</f>
        <v>6140.7107144592746</v>
      </c>
      <c r="I102" s="27">
        <f>'Statistics NZ'!I$102*'Economic Forecasts'!K$9*1000000/SUM('Statistics NZ'!I$30:I$110,'Statistics NZ'!I$130:I$210)</f>
        <v>5921.3474051243747</v>
      </c>
      <c r="J102" s="27">
        <f>'Statistics NZ'!J$102*'Economic Forecasts'!L$9*1000000/SUM('Statistics NZ'!J$30:J$110,'Statistics NZ'!J$130:J$210)</f>
        <v>6055.9188734832478</v>
      </c>
      <c r="K102" s="27">
        <f>'Statistics NZ'!K$102*'Economic Forecasts'!M$9*1000000/SUM('Statistics NZ'!K$30:K$110,'Statistics NZ'!K$130:K$210)</f>
        <v>6085.1370890442486</v>
      </c>
      <c r="L102" s="27">
        <f>'Statistics NZ'!L$102*'Economic Forecasts'!N$9*1000000/SUM('Statistics NZ'!L$30:L$110,'Statistics NZ'!L$130:L$210)</f>
        <v>6192.4871553314279</v>
      </c>
      <c r="M102" s="27">
        <f>'Statistics NZ'!M$102*'Economic Forecasts'!O$9*1000000/SUM('Statistics NZ'!M$30:M$110,'Statistics NZ'!M$130:M$210)</f>
        <v>6399.0708664260846</v>
      </c>
      <c r="N102" s="27">
        <f>'Statistics NZ'!N$102*'Economic Forecasts'!P$9*1000000/SUM('Statistics NZ'!N$30:N$110,'Statistics NZ'!N$130:N$210)</f>
        <v>6418.9168820527348</v>
      </c>
      <c r="O102" s="27">
        <f>'Statistics NZ'!O$102*'Economic Forecasts'!Q$9*1000000/SUM('Statistics NZ'!O$30:O$110,'Statistics NZ'!O$130:O$210)</f>
        <v>6197.1066668992025</v>
      </c>
      <c r="P102" s="27">
        <f>'Statistics NZ'!P$102*'Economic Forecasts'!R$9*1000000/SUM('Statistics NZ'!P$30:P$110,'Statistics NZ'!P$130:P$210)</f>
        <v>6286.3995439963173</v>
      </c>
      <c r="Q102" s="27">
        <f>'Statistics NZ'!Q$102*'Economic Forecasts'!S$9*1000000/SUM('Statistics NZ'!Q$30:Q$110,'Statistics NZ'!Q$130:Q$210)</f>
        <v>6431.6036120079589</v>
      </c>
      <c r="R102" s="27">
        <f>'Statistics NZ'!R$102*'Economic Forecasts'!T$9*1000000/SUM('Statistics NZ'!R$30:R$110,'Statistics NZ'!R$130:R$210)</f>
        <v>6375.1639113373221</v>
      </c>
      <c r="S102" s="27">
        <f>'Statistics NZ'!S$102*'Economic Forecasts'!U$9*1000000/SUM('Statistics NZ'!S$30:S$110,'Statistics NZ'!S$130:S$210)</f>
        <v>6590.3688766802034</v>
      </c>
      <c r="T102" s="27">
        <f>'Statistics NZ'!T$102*'Economic Forecasts'!V$9*1000000/SUM('Statistics NZ'!T$30:T$110,'Statistics NZ'!T$130:T$210)</f>
        <v>6896.225352112675</v>
      </c>
      <c r="U102" s="28">
        <f>SUM('Statistics NZ'!U$102,$S$12/5*(U$8-U$9)*1000)*'Economic Forecasts'!W$9*1000000/SUM('Statistics NZ'!U$30:U$110,'Statistics NZ'!U$130:U$210,SUM($E$12:$T$13)*(U$8-U$9)*1000)</f>
        <v>7280.8963237266398</v>
      </c>
      <c r="V102" s="28">
        <f>SUM('Statistics NZ'!V$102,$S$12/5*(V$8-V$9)*1000)*'Economic Forecasts'!X$9*1000000/SUM('Statistics NZ'!V$30:V$110,'Statistics NZ'!V$130:V$210,SUM($E$12:$T$13)*(V$8-V$9)*1000)</f>
        <v>7679.9665814706486</v>
      </c>
      <c r="W102" s="28">
        <f>SUM('Statistics NZ'!W$102,$S$12/5*(W$8-W$9)*1000)*'Economic Forecasts'!Y$9*1000000/SUM('Statistics NZ'!W$30:W$110,'Statistics NZ'!W$130:W$210,SUM($E$12:$T$13)*(W$8-W$9)*1000)</f>
        <v>8353.7842585677317</v>
      </c>
      <c r="X102" s="28">
        <f>SUM('Statistics NZ'!X$102,$S$12/5*(X$8-X$9)*1000)*'Economic Forecasts'!Z$9*1000000/SUM('Statistics NZ'!X$30:X$110,'Statistics NZ'!X$130:X$210,SUM($E$12:$T$13)*(X$8-X$9)*1000)</f>
        <v>9037.3159395537259</v>
      </c>
      <c r="Y102" s="28">
        <f>SUM('Statistics NZ'!Y$102,$S$12/5*(Y$8-Y$9)*1000)*'Economic Forecasts'!AA$9*1000000/SUM('Statistics NZ'!Y$30:Y$110,'Statistics NZ'!Y$130:Y$210,SUM($E$12:$T$13)*(Y$8-Y$9)*1000)</f>
        <v>9280.726751823262</v>
      </c>
      <c r="Z102" s="28">
        <f>SUM('Statistics NZ'!Z$102,$S$12/5*(Z$8-Z$9)*1000)*'Economic Forecasts'!AB$9*1000000/SUM('Statistics NZ'!Z$30:Z$110,'Statistics NZ'!Z$130:Z$210,SUM($E$12:$T$13)*(Z$8-Z$9)*1000)</f>
        <v>8403.2817423245961</v>
      </c>
      <c r="AA102" s="28">
        <f>SUM('Statistics NZ'!AA$102,$S$12/5*(AA$8-AA$9)*1000)*'Economic Forecasts'!AC$9*1000000/SUM('Statistics NZ'!AA$30:AA$110,'Statistics NZ'!AA$130:AA$210,SUM($E$12:$T$13)*(AA$8-AA$9)*1000)</f>
        <v>9335.5636377088067</v>
      </c>
      <c r="AB102" s="18">
        <f>SUM(AA$102,'Statistics NZ'!AB$102-'Statistics NZ'!AA$102,$S$12/5*(AB$8-AB$9)*1000)</f>
        <v>9925.678070705917</v>
      </c>
      <c r="AC102" s="18">
        <f>SUM(AB$102,'Statistics NZ'!AC$102-'Statistics NZ'!AB$102,$S$12/5*(AC$8-AC$9)*1000)</f>
        <v>10615.754359370656</v>
      </c>
      <c r="AD102" s="18">
        <f>SUM(AC$102,'Statistics NZ'!AD$102-'Statistics NZ'!AC$102,$S$12/5*(AD$8-AD$9)*1000)</f>
        <v>12745.786146314298</v>
      </c>
      <c r="AE102" s="18">
        <f>SUM(AD$102,'Statistics NZ'!AE$102-'Statistics NZ'!AD$102,$S$12/5*(AE$8-AE$9)*1000)</f>
        <v>12835.786146314298</v>
      </c>
      <c r="AF102" s="18">
        <f>SUM(AE$102,'Statistics NZ'!AF$102-'Statistics NZ'!AE$102,$S$12/5*(AF$8-AF$9)*1000)</f>
        <v>12705.786146314298</v>
      </c>
      <c r="AG102" s="18">
        <f>SUM(AF$102,'Statistics NZ'!AG$102-'Statistics NZ'!AF$102,$S$12/5*(AG$8-AG$9)*1000)</f>
        <v>13345.786146314298</v>
      </c>
      <c r="AH102" s="18">
        <f>SUM(AG$102,'Statistics NZ'!AH$102-'Statistics NZ'!AG$102,$S$12/5*(AH$8-AH$9)*1000)</f>
        <v>13285.786146314298</v>
      </c>
      <c r="AI102" s="18">
        <f>SUM(AH$102,'Statistics NZ'!AI$102-'Statistics NZ'!AH$102,$S$12/5*(AI$8-AI$9)*1000)</f>
        <v>13815.786146314298</v>
      </c>
      <c r="AJ102" s="18">
        <f>SUM(AI$102,'Statistics NZ'!AJ$102-'Statistics NZ'!AI$102,$S$12/5*(AJ$8-AJ$9)*1000)</f>
        <v>14215.786146314298</v>
      </c>
      <c r="AK102" s="18">
        <f>SUM(AJ$102,'Statistics NZ'!AK$102-'Statistics NZ'!AJ$102,$S$12/5*(AK$8-AK$9)*1000)</f>
        <v>14895.786146314298</v>
      </c>
    </row>
    <row r="103" spans="1:37" x14ac:dyDescent="0.25">
      <c r="A103" s="12">
        <v>88</v>
      </c>
      <c r="B103" s="27">
        <f>'Statistics NZ'!B$103*'Economic Forecasts'!D$9*1000000/SUM('Statistics NZ'!B$30:B$110,'Statistics NZ'!B$130:B$210)</f>
        <v>4167.9588146781862</v>
      </c>
      <c r="C103" s="27">
        <f>'Statistics NZ'!C$103*'Economic Forecasts'!E$9*1000000/SUM('Statistics NZ'!C$30:C$110,'Statistics NZ'!C$130:C$210)</f>
        <v>4134.2529466836304</v>
      </c>
      <c r="D103" s="27">
        <f>'Statistics NZ'!D$103*'Economic Forecasts'!F$9*1000000/SUM('Statistics NZ'!D$30:D$110,'Statistics NZ'!D$130:D$210)</f>
        <v>4901.5391291941114</v>
      </c>
      <c r="E103" s="27">
        <f>'Statistics NZ'!E$103*'Economic Forecasts'!G$9*1000000/SUM('Statistics NZ'!E$30:E$110,'Statistics NZ'!E$130:E$210)</f>
        <v>5040.8097746836638</v>
      </c>
      <c r="F103" s="27">
        <f>'Statistics NZ'!F$103*'Economic Forecasts'!H$9*1000000/SUM('Statistics NZ'!F$30:F$110,'Statistics NZ'!F$130:F$210)</f>
        <v>5179.0629511606357</v>
      </c>
      <c r="G103" s="27">
        <f>'Statistics NZ'!G$103*'Economic Forecasts'!I$9*1000000/SUM('Statistics NZ'!G$30:G$110,'Statistics NZ'!G$130:G$210)</f>
        <v>5078.2181581568902</v>
      </c>
      <c r="H103" s="27">
        <f>'Statistics NZ'!H$103*'Economic Forecasts'!J$9*1000000/SUM('Statistics NZ'!H$30:H$110,'Statistics NZ'!H$130:H$210)</f>
        <v>5187.6724115751949</v>
      </c>
      <c r="I103" s="27">
        <f>'Statistics NZ'!I$103*'Economic Forecasts'!K$9*1000000/SUM('Statistics NZ'!I$30:I$110,'Statistics NZ'!I$130:I$210)</f>
        <v>5499.7945269449892</v>
      </c>
      <c r="J103" s="27">
        <f>'Statistics NZ'!J$103*'Economic Forecasts'!L$9*1000000/SUM('Statistics NZ'!J$30:J$110,'Statistics NZ'!J$130:J$210)</f>
        <v>5334.2795874321046</v>
      </c>
      <c r="K103" s="27">
        <f>'Statistics NZ'!K$103*'Economic Forecasts'!M$9*1000000/SUM('Statistics NZ'!K$30:K$110,'Statistics NZ'!K$130:K$210)</f>
        <v>5442.546612441176</v>
      </c>
      <c r="L103" s="27">
        <f>'Statistics NZ'!L$103*'Economic Forecasts'!N$9*1000000/SUM('Statistics NZ'!L$30:L$110,'Statistics NZ'!L$130:L$210)</f>
        <v>5471.9776435475815</v>
      </c>
      <c r="M103" s="27">
        <f>'Statistics NZ'!M$103*'Economic Forecasts'!O$9*1000000/SUM('Statistics NZ'!M$30:M$110,'Statistics NZ'!M$130:M$210)</f>
        <v>5617.5049590763347</v>
      </c>
      <c r="N103" s="27">
        <f>'Statistics NZ'!N$103*'Economic Forecasts'!P$9*1000000/SUM('Statistics NZ'!N$30:N$110,'Statistics NZ'!N$130:N$210)</f>
        <v>5763.3262858674707</v>
      </c>
      <c r="O103" s="27">
        <f>'Statistics NZ'!O$103*'Economic Forecasts'!Q$9*1000000/SUM('Statistics NZ'!O$30:O$110,'Statistics NZ'!O$130:O$210)</f>
        <v>5823.9053145344333</v>
      </c>
      <c r="P103" s="27">
        <f>'Statistics NZ'!P$103*'Economic Forecasts'!R$9*1000000/SUM('Statistics NZ'!P$30:P$110,'Statistics NZ'!P$130:P$210)</f>
        <v>5600.966571909491</v>
      </c>
      <c r="Q103" s="27">
        <f>'Statistics NZ'!Q$103*'Economic Forecasts'!S$9*1000000/SUM('Statistics NZ'!Q$30:Q$110,'Statistics NZ'!Q$130:Q$210)</f>
        <v>5730.1537557060155</v>
      </c>
      <c r="R103" s="27">
        <f>'Statistics NZ'!R$103*'Economic Forecasts'!T$9*1000000/SUM('Statistics NZ'!R$30:R$110,'Statistics NZ'!R$130:R$210)</f>
        <v>5782.1254079571063</v>
      </c>
      <c r="S103" s="27">
        <f>'Statistics NZ'!S$103*'Economic Forecasts'!U$9*1000000/SUM('Statistics NZ'!S$30:S$110,'Statistics NZ'!S$130:S$210)</f>
        <v>5646.1062754424202</v>
      </c>
      <c r="T103" s="27">
        <f>'Statistics NZ'!T$103*'Economic Forecasts'!V$9*1000000/SUM('Statistics NZ'!T$30:T$110,'Statistics NZ'!T$130:T$210)</f>
        <v>6041.5649452269172</v>
      </c>
      <c r="U103" s="28">
        <f>SUM('Statistics NZ'!U$103,$S$12/5*(U$8-U$9)*1000)*'Economic Forecasts'!W$9*1000000/SUM('Statistics NZ'!U$30:U$110,'Statistics NZ'!U$130:U$210,SUM($E$12:$T$13)*(U$8-U$9)*1000)</f>
        <v>6257.5050968534561</v>
      </c>
      <c r="V103" s="28">
        <f>SUM('Statistics NZ'!V$103,$S$12/5*(V$8-V$9)*1000)*'Economic Forecasts'!X$9*1000000/SUM('Statistics NZ'!V$30:V$110,'Statistics NZ'!V$130:V$210,SUM($E$12:$T$13)*(V$8-V$9)*1000)</f>
        <v>6591.1260634560249</v>
      </c>
      <c r="W103" s="28">
        <f>SUM('Statistics NZ'!W$103,$S$12/5*(W$8-W$9)*1000)*'Economic Forecasts'!Y$9*1000000/SUM('Statistics NZ'!W$30:W$110,'Statistics NZ'!W$130:W$210,SUM($E$12:$T$13)*(W$8-W$9)*1000)</f>
        <v>6954.9593350320547</v>
      </c>
      <c r="X103" s="28">
        <f>SUM('Statistics NZ'!X$103,$S$12/5*(X$8-X$9)*1000)*'Economic Forecasts'!Z$9*1000000/SUM('Statistics NZ'!X$30:X$110,'Statistics NZ'!X$130:X$210,SUM($E$12:$T$13)*(X$8-X$9)*1000)</f>
        <v>7591.3712274141008</v>
      </c>
      <c r="Y103" s="28">
        <f>SUM('Statistics NZ'!Y$103,$S$12/5*(Y$8-Y$9)*1000)*'Economic Forecasts'!AA$9*1000000/SUM('Statistics NZ'!Y$30:Y$110,'Statistics NZ'!Y$130:Y$210,SUM($E$12:$T$13)*(Y$8-Y$9)*1000)</f>
        <v>8225.6779571660281</v>
      </c>
      <c r="Z103" s="28">
        <f>SUM('Statistics NZ'!Z$103,$S$12/5*(Z$8-Z$9)*1000)*'Economic Forecasts'!AB$9*1000000/SUM('Statistics NZ'!Z$30:Z$110,'Statistics NZ'!Z$130:Z$210,SUM($E$12:$T$13)*(Z$8-Z$9)*1000)</f>
        <v>8452.1370202944127</v>
      </c>
      <c r="AA103" s="28">
        <f>SUM('Statistics NZ'!AA$103,$S$12/5*(AA$8-AA$9)*1000)*'Economic Forecasts'!AC$9*1000000/SUM('Statistics NZ'!AA$30:AA$110,'Statistics NZ'!AA$130:AA$210,SUM($E$12:$T$13)*(AA$8-AA$9)*1000)</f>
        <v>7663.9879152935546</v>
      </c>
      <c r="AB103" s="18">
        <f>SUM(AA$103,'Statistics NZ'!AB$103-'Statistics NZ'!AA$103,$S$12/5*(AB$8-AB$9)*1000)</f>
        <v>8534.1023482906639</v>
      </c>
      <c r="AC103" s="18">
        <f>SUM(AB$103,'Statistics NZ'!AC$103-'Statistics NZ'!AB$103,$S$12/5*(AC$8-AC$9)*1000)</f>
        <v>9094.1786369554029</v>
      </c>
      <c r="AD103" s="18">
        <f>SUM(AC$103,'Statistics NZ'!AD$103-'Statistics NZ'!AC$103,$S$12/5*(AD$8-AD$9)*1000)</f>
        <v>9724.2104238990451</v>
      </c>
      <c r="AE103" s="18">
        <f>SUM(AD$103,'Statistics NZ'!AE$103-'Statistics NZ'!AD$103,$S$12/5*(AE$8-AE$9)*1000)</f>
        <v>11684.210423899045</v>
      </c>
      <c r="AF103" s="18">
        <f>SUM(AE$103,'Statistics NZ'!AF$103-'Statistics NZ'!AE$103,$S$12/5*(AF$8-AF$9)*1000)</f>
        <v>11784.210423899045</v>
      </c>
      <c r="AG103" s="18">
        <f>SUM(AF$103,'Statistics NZ'!AG$103-'Statistics NZ'!AF$103,$S$12/5*(AG$8-AG$9)*1000)</f>
        <v>11674.210423899045</v>
      </c>
      <c r="AH103" s="18">
        <f>SUM(AG$103,'Statistics NZ'!AH$103-'Statistics NZ'!AG$103,$S$12/5*(AH$8-AH$9)*1000)</f>
        <v>12274.210423899045</v>
      </c>
      <c r="AI103" s="18">
        <f>SUM(AH$103,'Statistics NZ'!AI$103-'Statistics NZ'!AH$103,$S$12/5*(AI$8-AI$9)*1000)</f>
        <v>12224.210423899045</v>
      </c>
      <c r="AJ103" s="18">
        <f>SUM(AI$103,'Statistics NZ'!AJ$103-'Statistics NZ'!AI$103,$S$12/5*(AJ$8-AJ$9)*1000)</f>
        <v>12724.210423899045</v>
      </c>
      <c r="AK103" s="18">
        <f>SUM(AJ$103,'Statistics NZ'!AK$103-'Statistics NZ'!AJ$103,$S$12/5*(AK$8-AK$9)*1000)</f>
        <v>13104.210423899045</v>
      </c>
    </row>
    <row r="104" spans="1:37" x14ac:dyDescent="0.25">
      <c r="A104" s="12">
        <v>89</v>
      </c>
      <c r="B104" s="27">
        <f>'Statistics NZ'!B$104*'Economic Forecasts'!D$9*1000000/SUM('Statistics NZ'!B$30:B$110,'Statistics NZ'!B$130:B$210)</f>
        <v>3688.5457115813992</v>
      </c>
      <c r="C104" s="27">
        <f>'Statistics NZ'!C$104*'Economic Forecasts'!E$9*1000000/SUM('Statistics NZ'!C$30:C$110,'Statistics NZ'!C$130:C$210)</f>
        <v>3682.5293468084592</v>
      </c>
      <c r="D104" s="27">
        <f>'Statistics NZ'!D$104*'Economic Forecasts'!F$9*1000000/SUM('Statistics NZ'!D$30:D$110,'Statistics NZ'!D$130:D$210)</f>
        <v>3654.0532185575344</v>
      </c>
      <c r="E104" s="27">
        <f>'Statistics NZ'!E$104*'Economic Forecasts'!G$9*1000000/SUM('Statistics NZ'!E$30:E$110,'Statistics NZ'!E$130:E$210)</f>
        <v>4315.0900794957433</v>
      </c>
      <c r="F104" s="27">
        <f>'Statistics NZ'!F$104*'Economic Forecasts'!H$9*1000000/SUM('Statistics NZ'!F$30:F$110,'Statistics NZ'!F$130:F$210)</f>
        <v>4433.5917687966048</v>
      </c>
      <c r="G104" s="27">
        <f>'Statistics NZ'!G$104*'Economic Forecasts'!I$9*1000000/SUM('Statistics NZ'!G$30:G$110,'Statistics NZ'!G$130:G$210)</f>
        <v>4577.2720729228449</v>
      </c>
      <c r="H104" s="27">
        <f>'Statistics NZ'!H$104*'Economic Forecasts'!J$9*1000000/SUM('Statistics NZ'!H$30:H$110,'Statistics NZ'!H$130:H$210)</f>
        <v>4460.6122629832171</v>
      </c>
      <c r="I104" s="27">
        <f>'Statistics NZ'!I$104*'Economic Forecasts'!K$9*1000000/SUM('Statistics NZ'!I$30:I$110,'Statistics NZ'!I$130:I$210)</f>
        <v>4568.4567728277452</v>
      </c>
      <c r="J104" s="27">
        <f>'Statistics NZ'!J$104*'Economic Forecasts'!L$9*1000000/SUM('Statistics NZ'!J$30:J$110,'Statistics NZ'!J$130:J$210)</f>
        <v>4885.6930042111235</v>
      </c>
      <c r="K104" s="27">
        <f>'Statistics NZ'!K$104*'Economic Forecasts'!M$9*1000000/SUM('Statistics NZ'!K$30:K$110,'Statistics NZ'!K$130:K$210)</f>
        <v>4761.0112584682201</v>
      </c>
      <c r="L104" s="27">
        <f>'Statistics NZ'!L$104*'Economic Forecasts'!N$9*1000000/SUM('Statistics NZ'!L$30:L$110,'Statistics NZ'!L$130:L$210)</f>
        <v>4858.5708970289033</v>
      </c>
      <c r="M104" s="27">
        <f>'Statistics NZ'!M$104*'Economic Forecasts'!O$9*1000000/SUM('Statistics NZ'!M$30:M$110,'Statistics NZ'!M$130:M$210)</f>
        <v>4835.9390517265838</v>
      </c>
      <c r="N104" s="27">
        <f>'Statistics NZ'!N$104*'Economic Forecasts'!P$9*1000000/SUM('Statistics NZ'!N$30:N$110,'Statistics NZ'!N$130:N$210)</f>
        <v>5000.1014126965665</v>
      </c>
      <c r="O104" s="27">
        <f>'Statistics NZ'!O$104*'Economic Forecasts'!Q$9*1000000/SUM('Statistics NZ'!O$30:O$110,'Statistics NZ'!O$130:O$210)</f>
        <v>5146.2502273457721</v>
      </c>
      <c r="P104" s="27">
        <f>'Statistics NZ'!P$104*'Economic Forecasts'!R$9*1000000/SUM('Statistics NZ'!P$30:P$110,'Statistics NZ'!P$130:P$210)</f>
        <v>5170.1229894549151</v>
      </c>
      <c r="Q104" s="27">
        <f>'Statistics NZ'!Q$104*'Economic Forecasts'!S$9*1000000/SUM('Statistics NZ'!Q$30:Q$110,'Statistics NZ'!Q$130:Q$210)</f>
        <v>5058.3426257266892</v>
      </c>
      <c r="R104" s="27">
        <f>'Statistics NZ'!R$104*'Economic Forecasts'!T$9*1000000/SUM('Statistics NZ'!R$30:R$110,'Statistics NZ'!R$130:R$210)</f>
        <v>5129.7830542388692</v>
      </c>
      <c r="S104" s="27">
        <f>'Statistics NZ'!S$104*'Economic Forecasts'!U$9*1000000/SUM('Statistics NZ'!S$30:S$110,'Statistics NZ'!S$130:S$210)</f>
        <v>5003.6183199610405</v>
      </c>
      <c r="T104" s="27">
        <f>'Statistics NZ'!T$104*'Economic Forecasts'!V$9*1000000/SUM('Statistics NZ'!T$30:T$110,'Statistics NZ'!T$130:T$210)</f>
        <v>5059.1966614501825</v>
      </c>
      <c r="U104" s="28">
        <f>SUM('Statistics NZ'!U$104,$S$12/5*(U$8-U$9)*1000)*'Economic Forecasts'!W$9*1000000/SUM('Statistics NZ'!U$30:U$110,'Statistics NZ'!U$130:U$210,SUM($E$12:$T$13)*(U$8-U$9)*1000)</f>
        <v>5391.5586741146071</v>
      </c>
      <c r="V104" s="28">
        <f>SUM('Statistics NZ'!V$104,$S$12/5*(V$8-V$9)*1000)*'Economic Forecasts'!X$9*1000000/SUM('Statistics NZ'!V$30:V$110,'Statistics NZ'!V$130:V$210,SUM($E$12:$T$13)*(V$8-V$9)*1000)</f>
        <v>5570.9511636945745</v>
      </c>
      <c r="W104" s="28">
        <f>SUM('Statistics NZ'!W$104,$S$12/5*(W$8-W$9)*1000)*'Economic Forecasts'!Y$9*1000000/SUM('Statistics NZ'!W$30:W$110,'Statistics NZ'!W$130:W$210,SUM($E$12:$T$13)*(W$8-W$9)*1000)</f>
        <v>5869.1581706092584</v>
      </c>
      <c r="X104" s="28">
        <f>SUM('Statistics NZ'!X$104,$S$12/5*(X$8-X$9)*1000)*'Economic Forecasts'!Z$9*1000000/SUM('Statistics NZ'!X$30:X$110,'Statistics NZ'!X$130:X$210,SUM($E$12:$T$13)*(X$8-X$9)*1000)</f>
        <v>6223.585688903645</v>
      </c>
      <c r="Y104" s="28">
        <f>SUM('Statistics NZ'!Y$104,$S$12/5*(Y$8-Y$9)*1000)*'Economic Forecasts'!AA$9*1000000/SUM('Statistics NZ'!Y$30:Y$110,'Statistics NZ'!Y$130:Y$210,SUM($E$12:$T$13)*(Y$8-Y$9)*1000)</f>
        <v>6799.4082903145809</v>
      </c>
      <c r="Z104" s="28">
        <f>SUM('Statistics NZ'!Z$104,$S$12/5*(Z$8-Z$9)*1000)*'Economic Forecasts'!AB$9*1000000/SUM('Statistics NZ'!Z$30:Z$110,'Statistics NZ'!Z$130:Z$210,SUM($E$12:$T$13)*(Z$8-Z$9)*1000)</f>
        <v>7377.3209049584739</v>
      </c>
      <c r="AA104" s="28">
        <f>SUM('Statistics NZ'!AA$104,$S$12/5*(AA$8-AA$9)*1000)*'Economic Forecasts'!AC$9*1000000/SUM('Statistics NZ'!AA$30:AA$110,'Statistics NZ'!AA$130:AA$210,SUM($E$12:$T$13)*(AA$8-AA$9)*1000)</f>
        <v>7595.5608389373747</v>
      </c>
      <c r="AB104" s="18">
        <f>SUM(AA$104,'Statistics NZ'!AB$104-'Statistics NZ'!AA$104,$S$12/5*(AB$8-AB$9)*1000)</f>
        <v>6875.675271934484</v>
      </c>
      <c r="AC104" s="18">
        <f>SUM(AB$104,'Statistics NZ'!AC$104-'Statistics NZ'!AB$104,$S$12/5*(AC$8-AC$9)*1000)</f>
        <v>7665.7515605992239</v>
      </c>
      <c r="AD104" s="18">
        <f>SUM(AC$104,'Statistics NZ'!AD$104-'Statistics NZ'!AC$104,$S$12/5*(AD$8-AD$9)*1000)</f>
        <v>8175.7833475428652</v>
      </c>
      <c r="AE104" s="18">
        <f>SUM(AD$104,'Statistics NZ'!AE$104-'Statistics NZ'!AD$104,$S$12/5*(AE$8-AE$9)*1000)</f>
        <v>8755.7833475428652</v>
      </c>
      <c r="AF104" s="18">
        <f>SUM(AE$104,'Statistics NZ'!AF$104-'Statistics NZ'!AE$104,$S$12/5*(AF$8-AF$9)*1000)</f>
        <v>10525.783347542865</v>
      </c>
      <c r="AG104" s="18">
        <f>SUM(AF$104,'Statistics NZ'!AG$104-'Statistics NZ'!AF$104,$S$12/5*(AG$8-AG$9)*1000)</f>
        <v>10625.783347542865</v>
      </c>
      <c r="AH104" s="18">
        <f>SUM(AG$104,'Statistics NZ'!AH$104-'Statistics NZ'!AG$104,$S$12/5*(AH$8-AH$9)*1000)</f>
        <v>10535.783347542865</v>
      </c>
      <c r="AI104" s="18">
        <f>SUM(AH$104,'Statistics NZ'!AI$104-'Statistics NZ'!AH$104,$S$12/5*(AI$8-AI$9)*1000)</f>
        <v>11095.783347542865</v>
      </c>
      <c r="AJ104" s="18">
        <f>SUM(AI$104,'Statistics NZ'!AJ$104-'Statistics NZ'!AI$104,$S$12/5*(AJ$8-AJ$9)*1000)</f>
        <v>11055.783347542865</v>
      </c>
      <c r="AK104" s="18">
        <f>SUM(AJ$104,'Statistics NZ'!AK$104-'Statistics NZ'!AJ$104,$S$12/5*(AK$8-AK$9)*1000)</f>
        <v>11525.783347542865</v>
      </c>
    </row>
    <row r="105" spans="1:37" x14ac:dyDescent="0.25">
      <c r="A105" s="12">
        <v>90</v>
      </c>
      <c r="B105" s="27">
        <f>'Statistics NZ'!B$105*'Economic Forecasts'!D$9*1000000/SUM('Statistics NZ'!B$30:B$110,'Statistics NZ'!B$130:B$210)</f>
        <v>3179.7807858460337</v>
      </c>
      <c r="C105" s="27">
        <f>'Statistics NZ'!C$105*'Economic Forecasts'!E$9*1000000/SUM('Statistics NZ'!C$30:C$110,'Statistics NZ'!C$130:C$210)</f>
        <v>3191.5254339006642</v>
      </c>
      <c r="D105" s="27">
        <f>'Statistics NZ'!D$105*'Economic Forecasts'!F$9*1000000/SUM('Statistics NZ'!D$30:D$110,'Statistics NZ'!D$130:D$210)</f>
        <v>3182.5624806791425</v>
      </c>
      <c r="E105" s="27">
        <f>'Statistics NZ'!E$105*'Economic Forecasts'!G$9*1000000/SUM('Statistics NZ'!E$30:E$110,'Statistics NZ'!E$130:E$210)</f>
        <v>3128.4403076344142</v>
      </c>
      <c r="F105" s="27">
        <f>'Statistics NZ'!F$105*'Economic Forecasts'!H$9*1000000/SUM('Statistics NZ'!F$30:F$110,'Statistics NZ'!F$130:F$210)</f>
        <v>3727.3559118201547</v>
      </c>
      <c r="G105" s="27">
        <f>'Statistics NZ'!G$105*'Economic Forecasts'!I$9*1000000/SUM('Statistics NZ'!G$30:G$110,'Statistics NZ'!G$130:G$210)</f>
        <v>3860.2315979799955</v>
      </c>
      <c r="H105" s="27">
        <f>'Statistics NZ'!H$105*'Economic Forecasts'!J$9*1000000/SUM('Statistics NZ'!H$30:H$110,'Statistics NZ'!H$130:H$210)</f>
        <v>3939.8799943970698</v>
      </c>
      <c r="I105" s="27">
        <f>'Statistics NZ'!I$105*'Economic Forecasts'!K$9*1000000/SUM('Statistics NZ'!I$30:I$110,'Statistics NZ'!I$130:I$210)</f>
        <v>3852.7972354534418</v>
      </c>
      <c r="J105" s="27">
        <f>'Statistics NZ'!J$105*'Economic Forecasts'!L$9*1000000/SUM('Statistics NZ'!J$30:J$110,'Statistics NZ'!J$130:J$210)</f>
        <v>3969.0160732812906</v>
      </c>
      <c r="K105" s="27">
        <f>'Statistics NZ'!K$105*'Economic Forecasts'!M$9*1000000/SUM('Statistics NZ'!K$30:K$110,'Statistics NZ'!K$130:K$210)</f>
        <v>4293.6727300296225</v>
      </c>
      <c r="L105" s="27">
        <f>'Statistics NZ'!L$105*'Economic Forecasts'!N$9*1000000/SUM('Statistics NZ'!L$30:L$110,'Statistics NZ'!L$130:L$210)</f>
        <v>4128.3247702209519</v>
      </c>
      <c r="M105" s="27">
        <f>'Statistics NZ'!M$105*'Economic Forecasts'!O$9*1000000/SUM('Statistics NZ'!M$30:M$110,'Statistics NZ'!M$130:M$210)</f>
        <v>4239.9950473723984</v>
      </c>
      <c r="N105" s="27">
        <f>'Statistics NZ'!N$105*'Economic Forecasts'!P$9*1000000/SUM('Statistics NZ'!N$30:N$110,'Statistics NZ'!N$130:N$210)</f>
        <v>4227.0916052542398</v>
      </c>
      <c r="O105" s="27">
        <f>'Statistics NZ'!O$105*'Economic Forecasts'!Q$9*1000000/SUM('Statistics NZ'!O$30:O$110,'Statistics NZ'!O$130:O$210)</f>
        <v>4390.0264343961071</v>
      </c>
      <c r="P105" s="27">
        <f>'Statistics NZ'!P$105*'Economic Forecasts'!R$9*1000000/SUM('Statistics NZ'!P$30:P$110,'Statistics NZ'!P$130:P$210)</f>
        <v>4504.2738165705696</v>
      </c>
      <c r="Q105" s="27">
        <f>'Statistics NZ'!Q$105*'Economic Forecasts'!S$9*1000000/SUM('Statistics NZ'!Q$30:Q$110,'Statistics NZ'!Q$130:Q$210)</f>
        <v>4603.8821554465576</v>
      </c>
      <c r="R105" s="27">
        <f>'Statistics NZ'!R$105*'Economic Forecasts'!T$9*1000000/SUM('Statistics NZ'!R$30:R$110,'Statistics NZ'!R$130:R$210)</f>
        <v>4418.1368501826091</v>
      </c>
      <c r="S105" s="27">
        <f>'Statistics NZ'!S$105*'Economic Forecasts'!U$9*1000000/SUM('Statistics NZ'!S$30:S$110,'Statistics NZ'!S$130:S$210)</f>
        <v>4361.1303644796626</v>
      </c>
      <c r="T105" s="27">
        <f>'Statistics NZ'!T$105*'Economic Forecasts'!V$9*1000000/SUM('Statistics NZ'!T$30:T$110,'Statistics NZ'!T$130:T$210)</f>
        <v>4410.8335941575378</v>
      </c>
      <c r="U105" s="28">
        <f>SUM('Statistics NZ'!U$105,$T$12/6*(U$8-U$9)*1000)*'Economic Forecasts'!W$9*1000000/SUM('Statistics NZ'!U$30:U$110,'Statistics NZ'!U$130:U$210,SUM($E$12:$T$13)*(U$8-U$9)*1000)</f>
        <v>4437.2437635565511</v>
      </c>
      <c r="V105" s="28">
        <f>SUM('Statistics NZ'!V$105,$T$12/6*(V$8-V$9)*1000)*'Economic Forecasts'!X$9*1000000/SUM('Statistics NZ'!V$30:V$110,'Statistics NZ'!V$130:V$210,SUM($E$12:$T$13)*(V$8-V$9)*1000)</f>
        <v>4717.6978314107273</v>
      </c>
      <c r="W105" s="28">
        <f>SUM('Statistics NZ'!W$105,$T$12/6*(W$8-W$9)*1000)*'Economic Forecasts'!Y$9*1000000/SUM('Statistics NZ'!W$30:W$110,'Statistics NZ'!W$130:W$210,SUM($E$12:$T$13)*(W$8-W$9)*1000)</f>
        <v>4881.1847578162487</v>
      </c>
      <c r="X105" s="28">
        <f>SUM('Statistics NZ'!X$105,$T$12/6*(X$8-X$9)*1000)*'Economic Forecasts'!Z$9*1000000/SUM('Statistics NZ'!X$30:X$110,'Statistics NZ'!X$130:X$210,SUM($E$12:$T$13)*(X$8-X$9)*1000)</f>
        <v>5158.6330735481961</v>
      </c>
      <c r="Y105" s="28">
        <f>SUM('Statistics NZ'!Y$105,$T$12/6*(Y$8-Y$9)*1000)*'Economic Forecasts'!AA$9*1000000/SUM('Statistics NZ'!Y$30:Y$110,'Statistics NZ'!Y$130:Y$210,SUM($E$12:$T$13)*(Y$8-Y$9)*1000)</f>
        <v>5470.7853359906449</v>
      </c>
      <c r="Z105" s="28">
        <f>SUM('Statistics NZ'!Z$105,$T$12/6*(Z$8-Z$9)*1000)*'Economic Forecasts'!AB$9*1000000/SUM('Statistics NZ'!Z$30:Z$110,'Statistics NZ'!Z$130:Z$210,SUM($E$12:$T$13)*(Z$8-Z$9)*1000)</f>
        <v>5989.7945258875206</v>
      </c>
      <c r="AA105" s="28">
        <f>SUM('Statistics NZ'!AA$105,$T$12/6*(AA$8-AA$9)*1000)*'Economic Forecasts'!AC$9*1000000/SUM('Statistics NZ'!AA$30:AA$110,'Statistics NZ'!AA$130:AA$210,SUM($E$12:$T$13)*(AA$8-AA$9)*1000)</f>
        <v>6510.4703240714989</v>
      </c>
      <c r="AB105" s="18">
        <f>SUM(AA$105,'Statistics NZ'!AB$105-'Statistics NZ'!AA$105,$T$12/6*(AB$8-AB$9)*1000)</f>
        <v>6710.5607530417137</v>
      </c>
      <c r="AC105" s="18">
        <f>SUM(AB$105,'Statistics NZ'!AC$105-'Statistics NZ'!AB$105,$T$12/6*(AC$8-AC$9)*1000)</f>
        <v>6080.6210390218575</v>
      </c>
      <c r="AD105" s="18">
        <f>SUM(AC$105,'Statistics NZ'!AD$105-'Statistics NZ'!AC$105,$T$12/6*(AD$8-AD$9)*1000)</f>
        <v>6790.6461581802505</v>
      </c>
      <c r="AE105" s="18">
        <f>SUM(AD$105,'Statistics NZ'!AE$105-'Statistics NZ'!AD$105,$T$12/6*(AE$8-AE$9)*1000)</f>
        <v>7240.6461581802505</v>
      </c>
      <c r="AF105" s="18">
        <f>SUM(AE$105,'Statistics NZ'!AF$105-'Statistics NZ'!AE$105,$T$12/6*(AF$8-AF$9)*1000)</f>
        <v>7770.6461581802505</v>
      </c>
      <c r="AG105" s="18">
        <f>SUM(AF$105,'Statistics NZ'!AG$105-'Statistics NZ'!AF$105,$T$12/6*(AG$8-AG$9)*1000)</f>
        <v>9350.6461581802505</v>
      </c>
      <c r="AH105" s="18">
        <f>SUM(AG$105,'Statistics NZ'!AH$105-'Statistics NZ'!AG$105,$T$12/6*(AH$8-AH$9)*1000)</f>
        <v>9450.6461581802505</v>
      </c>
      <c r="AI105" s="18">
        <f>SUM(AH$105,'Statistics NZ'!AI$105-'Statistics NZ'!AH$105,$T$12/6*(AI$8-AI$9)*1000)</f>
        <v>9380.6461581802505</v>
      </c>
      <c r="AJ105" s="18">
        <f>SUM(AI$105,'Statistics NZ'!AJ$105-'Statistics NZ'!AI$105,$T$12/6*(AJ$8-AJ$9)*1000)</f>
        <v>9880.6461581802505</v>
      </c>
      <c r="AK105" s="18">
        <f>SUM(AJ$105,'Statistics NZ'!AK$105-'Statistics NZ'!AJ$105,$T$12/6*(AK$8-AK$9)*1000)</f>
        <v>9860.6461581802505</v>
      </c>
    </row>
    <row r="106" spans="1:37" x14ac:dyDescent="0.25">
      <c r="A106" s="12">
        <v>91</v>
      </c>
      <c r="B106" s="27">
        <f>'Statistics NZ'!B$106*'Economic Forecasts'!D$9*1000000/SUM('Statistics NZ'!B$30:B$110,'Statistics NZ'!B$130:B$210)</f>
        <v>2641.6640374720901</v>
      </c>
      <c r="C106" s="27">
        <f>'Statistics NZ'!C$106*'Economic Forecasts'!E$9*1000000/SUM('Statistics NZ'!C$30:C$110,'Statistics NZ'!C$130:C$210)</f>
        <v>2671.0612862184025</v>
      </c>
      <c r="D106" s="27">
        <f>'Statistics NZ'!D$106*'Economic Forecasts'!F$9*1000000/SUM('Statistics NZ'!D$30:D$110,'Statistics NZ'!D$130:D$210)</f>
        <v>2711.0717428007515</v>
      </c>
      <c r="E106" s="27">
        <f>'Statistics NZ'!E$106*'Economic Forecasts'!G$9*1000000/SUM('Statistics NZ'!E$30:E$110,'Statistics NZ'!E$130:E$210)</f>
        <v>2677.3172538689496</v>
      </c>
      <c r="F106" s="27">
        <f>'Statistics NZ'!F$106*'Economic Forecasts'!H$9*1000000/SUM('Statistics NZ'!F$30:F$110,'Statistics NZ'!F$130:F$210)</f>
        <v>2648.3844636616886</v>
      </c>
      <c r="G106" s="27">
        <f>'Statistics NZ'!G$106*'Economic Forecasts'!I$9*1000000/SUM('Statistics NZ'!G$30:G$110,'Statistics NZ'!G$130:G$210)</f>
        <v>3143.1911230371461</v>
      </c>
      <c r="H106" s="27">
        <f>'Statistics NZ'!H$106*'Economic Forecasts'!J$9*1000000/SUM('Statistics NZ'!H$30:H$110,'Statistics NZ'!H$130:H$210)</f>
        <v>3261.9455315207665</v>
      </c>
      <c r="I106" s="27">
        <f>'Statistics NZ'!I$106*'Economic Forecasts'!K$9*1000000/SUM('Statistics NZ'!I$30:I$110,'Statistics NZ'!I$130:I$210)</f>
        <v>3343.0123595155824</v>
      </c>
      <c r="J106" s="27">
        <f>'Statistics NZ'!J$106*'Economic Forecasts'!L$9*1000000/SUM('Statistics NZ'!J$30:J$110,'Statistics NZ'!J$130:J$210)</f>
        <v>3286.3843162058852</v>
      </c>
      <c r="K106" s="27">
        <f>'Statistics NZ'!K$106*'Economic Forecasts'!M$9*1000000/SUM('Statistics NZ'!K$30:K$110,'Statistics NZ'!K$130:K$210)</f>
        <v>3417.4129892072501</v>
      </c>
      <c r="L106" s="27">
        <f>'Statistics NZ'!L$106*'Economic Forecasts'!N$9*1000000/SUM('Statistics NZ'!L$30:L$110,'Statistics NZ'!L$130:L$210)</f>
        <v>3641.4940190156512</v>
      </c>
      <c r="M106" s="27">
        <f>'Statistics NZ'!M$106*'Economic Forecasts'!O$9*1000000/SUM('Statistics NZ'!M$30:M$110,'Statistics NZ'!M$130:M$210)</f>
        <v>3575.6640261251105</v>
      </c>
      <c r="N106" s="27">
        <f>'Statistics NZ'!N$106*'Economic Forecasts'!P$9*1000000/SUM('Statistics NZ'!N$30:N$110,'Statistics NZ'!N$130:N$210)</f>
        <v>3610.6407461546632</v>
      </c>
      <c r="O106" s="27">
        <f>'Statistics NZ'!O$106*'Economic Forecasts'!Q$9*1000000/SUM('Statistics NZ'!O$30:O$110,'Statistics NZ'!O$130:O$210)</f>
        <v>3614.1604650061913</v>
      </c>
      <c r="P106" s="27">
        <f>'Statistics NZ'!P$106*'Economic Forecasts'!R$9*1000000/SUM('Statistics NZ'!P$30:P$110,'Statistics NZ'!P$130:P$210)</f>
        <v>3769.8813464775421</v>
      </c>
      <c r="Q106" s="27">
        <f>'Statistics NZ'!Q$106*'Economic Forecasts'!S$9*1000000/SUM('Statistics NZ'!Q$30:Q$110,'Statistics NZ'!Q$130:Q$210)</f>
        <v>3941.9506009081038</v>
      </c>
      <c r="R106" s="27">
        <f>'Statistics NZ'!R$106*'Economic Forecasts'!T$9*1000000/SUM('Statistics NZ'!R$30:R$110,'Statistics NZ'!R$130:R$210)</f>
        <v>3884.4021971404154</v>
      </c>
      <c r="S106" s="27">
        <f>'Statistics NZ'!S$106*'Economic Forecasts'!U$9*1000000/SUM('Statistics NZ'!S$30:S$110,'Statistics NZ'!S$130:S$210)</f>
        <v>3708.9077430061411</v>
      </c>
      <c r="T106" s="27">
        <f>'Statistics NZ'!T$106*'Economic Forecasts'!V$9*1000000/SUM('Statistics NZ'!T$30:T$110,'Statistics NZ'!T$130:T$210)</f>
        <v>3772.2942097026598</v>
      </c>
      <c r="U106" s="28">
        <f>SUM('Statistics NZ'!U$106,$T$12/6*(U$8-U$9)*1000)*'Economic Forecasts'!W$9*1000000/SUM('Statistics NZ'!U$30:U$110,'Statistics NZ'!U$130:U$210,SUM($E$12:$T$13)*(U$8-U$9)*1000)</f>
        <v>3787.7839465024153</v>
      </c>
      <c r="V106" s="28">
        <f>SUM('Statistics NZ'!V$106,$T$12/6*(V$8-V$9)*1000)*'Economic Forecasts'!X$9*1000000/SUM('Statistics NZ'!V$30:V$110,'Statistics NZ'!V$130:V$210,SUM($E$12:$T$13)*(V$8-V$9)*1000)</f>
        <v>3805.4260460471241</v>
      </c>
      <c r="W106" s="28">
        <f>SUM('Statistics NZ'!W$106,$T$12/6*(W$8-W$9)*1000)*'Economic Forecasts'!Y$9*1000000/SUM('Statistics NZ'!W$30:W$110,'Statistics NZ'!W$130:W$210,SUM($E$12:$T$13)*(W$8-W$9)*1000)</f>
        <v>4049.7153976726654</v>
      </c>
      <c r="X106" s="28">
        <f>SUM('Statistics NZ'!X$106,$T$12/6*(X$8-X$9)*1000)*'Economic Forecasts'!Z$9*1000000/SUM('Statistics NZ'!X$30:X$110,'Statistics NZ'!X$130:X$210,SUM($E$12:$T$13)*(X$8-X$9)*1000)</f>
        <v>4201.1831965908768</v>
      </c>
      <c r="Y106" s="28">
        <f>SUM('Statistics NZ'!Y$106,$T$12/6*(Y$8-Y$9)*1000)*'Economic Forecasts'!AA$9*1000000/SUM('Statistics NZ'!Y$30:Y$110,'Statistics NZ'!Y$130:Y$210,SUM($E$12:$T$13)*(Y$8-Y$9)*1000)</f>
        <v>4445.0434522961123</v>
      </c>
      <c r="Z106" s="28">
        <f>SUM('Statistics NZ'!Z$106,$T$12/6*(Z$8-Z$9)*1000)*'Economic Forecasts'!AB$9*1000000/SUM('Statistics NZ'!Z$30:Z$110,'Statistics NZ'!Z$130:Z$210,SUM($E$12:$T$13)*(Z$8-Z$9)*1000)</f>
        <v>4729.3283542662839</v>
      </c>
      <c r="AA106" s="28">
        <f>SUM('Statistics NZ'!AA$106,$T$12/6*(AA$8-AA$9)*1000)*'Economic Forecasts'!AC$9*1000000/SUM('Statistics NZ'!AA$30:AA$110,'Statistics NZ'!AA$130:AA$210,SUM($E$12:$T$13)*(AA$8-AA$9)*1000)</f>
        <v>5190.8052800594587</v>
      </c>
      <c r="AB106" s="18">
        <f>SUM(AA$106,'Statistics NZ'!AB$106-'Statistics NZ'!AA$106,$T$12/6*(AB$8-AB$9)*1000)</f>
        <v>5650.8957090296735</v>
      </c>
      <c r="AC106" s="18">
        <f>SUM(AB$106,'Statistics NZ'!AC$106-'Statistics NZ'!AB$106,$T$12/6*(AC$8-AC$9)*1000)</f>
        <v>5830.9559950098173</v>
      </c>
      <c r="AD106" s="18">
        <f>SUM(AC$106,'Statistics NZ'!AD$106-'Statistics NZ'!AC$106,$T$12/6*(AD$8-AD$9)*1000)</f>
        <v>5290.9811141682103</v>
      </c>
      <c r="AE106" s="18">
        <f>SUM(AD$106,'Statistics NZ'!AE$106-'Statistics NZ'!AD$106,$T$12/6*(AE$8-AE$9)*1000)</f>
        <v>5910.9811141682103</v>
      </c>
      <c r="AF106" s="18">
        <f>SUM(AE$106,'Statistics NZ'!AF$106-'Statistics NZ'!AE$106,$T$12/6*(AF$8-AF$9)*1000)</f>
        <v>6310.9811141682103</v>
      </c>
      <c r="AG106" s="18">
        <f>SUM(AF$106,'Statistics NZ'!AG$106-'Statistics NZ'!AF$106,$T$12/6*(AG$8-AG$9)*1000)</f>
        <v>6770.9811141682103</v>
      </c>
      <c r="AH106" s="18">
        <f>SUM(AG$106,'Statistics NZ'!AH$106-'Statistics NZ'!AG$106,$T$12/6*(AH$8-AH$9)*1000)</f>
        <v>8160.9811141682103</v>
      </c>
      <c r="AI106" s="18">
        <f>SUM(AH$106,'Statistics NZ'!AI$106-'Statistics NZ'!AH$106,$T$12/6*(AI$8-AI$9)*1000)</f>
        <v>8250.9811141682112</v>
      </c>
      <c r="AJ106" s="18">
        <f>SUM(AI$106,'Statistics NZ'!AJ$106-'Statistics NZ'!AI$106,$T$12/6*(AJ$8-AJ$9)*1000)</f>
        <v>8200.9811141682112</v>
      </c>
      <c r="AK106" s="18">
        <f>SUM(AJ$106,'Statistics NZ'!AK$106-'Statistics NZ'!AJ$106,$T$12/6*(AK$8-AK$9)*1000)</f>
        <v>8650.9811141682112</v>
      </c>
    </row>
    <row r="107" spans="1:37" x14ac:dyDescent="0.25">
      <c r="A107" s="12">
        <v>92</v>
      </c>
      <c r="B107" s="27">
        <f>'Statistics NZ'!B$107*'Economic Forecasts'!D$9*1000000/SUM('Statistics NZ'!B$30:B$110,'Statistics NZ'!B$130:B$210)</f>
        <v>2035.0597029414621</v>
      </c>
      <c r="C107" s="27">
        <f>'Statistics NZ'!C$107*'Economic Forecasts'!E$9*1000000/SUM('Statistics NZ'!C$30:C$110,'Statistics NZ'!C$130:C$210)</f>
        <v>2199.6975298269199</v>
      </c>
      <c r="D107" s="27">
        <f>'Statistics NZ'!D$107*'Economic Forecasts'!F$9*1000000/SUM('Statistics NZ'!D$30:D$110,'Statistics NZ'!D$130:D$210)</f>
        <v>2249.4037286281596</v>
      </c>
      <c r="E107" s="27">
        <f>'Statistics NZ'!E$107*'Economic Forecasts'!G$9*1000000/SUM('Statistics NZ'!E$30:E$110,'Statistics NZ'!E$130:E$210)</f>
        <v>2245.8082459193756</v>
      </c>
      <c r="F107" s="27">
        <f>'Statistics NZ'!F$107*'Economic Forecasts'!H$9*1000000/SUM('Statistics NZ'!F$30:F$110,'Statistics NZ'!F$130:F$210)</f>
        <v>2256.0312097858828</v>
      </c>
      <c r="G107" s="27">
        <f>'Statistics NZ'!G$107*'Economic Forecasts'!I$9*1000000/SUM('Statistics NZ'!G$30:G$110,'Statistics NZ'!G$130:G$210)</f>
        <v>2200.2337861260025</v>
      </c>
      <c r="H107" s="27">
        <f>'Statistics NZ'!H$107*'Economic Forecasts'!J$9*1000000/SUM('Statistics NZ'!H$30:H$110,'Statistics NZ'!H$130:H$210)</f>
        <v>2603.6613429307322</v>
      </c>
      <c r="I107" s="27">
        <f>'Statistics NZ'!I$107*'Economic Forecasts'!K$9*1000000/SUM('Statistics NZ'!I$30:I$110,'Statistics NZ'!I$130:I$210)</f>
        <v>2686.1741539802629</v>
      </c>
      <c r="J107" s="27">
        <f>'Statistics NZ'!J$107*'Economic Forecasts'!L$9*1000000/SUM('Statistics NZ'!J$30:J$110,'Statistics NZ'!J$130:J$210)</f>
        <v>2818.2939684970343</v>
      </c>
      <c r="K107" s="27">
        <f>'Statistics NZ'!K$107*'Economic Forecasts'!M$9*1000000/SUM('Statistics NZ'!K$30:K$110,'Statistics NZ'!K$130:K$210)</f>
        <v>2765.0862932617065</v>
      </c>
      <c r="L107" s="27">
        <f>'Statistics NZ'!L$107*'Economic Forecasts'!N$9*1000000/SUM('Statistics NZ'!L$30:L$110,'Statistics NZ'!L$130:L$210)</f>
        <v>2891.7746621594874</v>
      </c>
      <c r="M107" s="27">
        <f>'Statistics NZ'!M$107*'Economic Forecasts'!O$9*1000000/SUM('Statistics NZ'!M$30:M$110,'Statistics NZ'!M$130:M$210)</f>
        <v>3096.954907873388</v>
      </c>
      <c r="N107" s="27">
        <f>'Statistics NZ'!N$107*'Economic Forecasts'!P$9*1000000/SUM('Statistics NZ'!N$30:N$110,'Statistics NZ'!N$130:N$210)</f>
        <v>3023.5446898693522</v>
      </c>
      <c r="O107" s="27">
        <f>'Statistics NZ'!O$107*'Economic Forecasts'!Q$9*1000000/SUM('Statistics NZ'!O$30:O$110,'Statistics NZ'!O$130:O$210)</f>
        <v>3005.252995358409</v>
      </c>
      <c r="P107" s="27">
        <f>'Statistics NZ'!P$107*'Economic Forecasts'!R$9*1000000/SUM('Statistics NZ'!P$30:P$110,'Statistics NZ'!P$130:P$210)</f>
        <v>3035.4888763845147</v>
      </c>
      <c r="Q107" s="27">
        <f>'Statistics NZ'!Q$107*'Economic Forecasts'!S$9*1000000/SUM('Statistics NZ'!Q$30:Q$110,'Statistics NZ'!Q$130:Q$210)</f>
        <v>3240.5007446061604</v>
      </c>
      <c r="R107" s="27">
        <f>'Statistics NZ'!R$107*'Economic Forecasts'!T$9*1000000/SUM('Statistics NZ'!R$30:R$110,'Statistics NZ'!R$130:R$210)</f>
        <v>3271.5957436475255</v>
      </c>
      <c r="S107" s="27">
        <f>'Statistics NZ'!S$107*'Economic Forecasts'!U$9*1000000/SUM('Statistics NZ'!S$30:S$110,'Statistics NZ'!S$130:S$210)</f>
        <v>3183.235779430468</v>
      </c>
      <c r="T107" s="27">
        <f>'Statistics NZ'!T$107*'Economic Forecasts'!V$9*1000000/SUM('Statistics NZ'!T$30:T$110,'Statistics NZ'!T$130:T$210)</f>
        <v>3104.2837767344809</v>
      </c>
      <c r="U107" s="28">
        <f>SUM('Statistics NZ'!U$107,$T$12/6*(U$8-U$9)*1000)*'Economic Forecasts'!W$9*1000000/SUM('Statistics NZ'!U$30:U$110,'Statistics NZ'!U$130:U$210,SUM($E$12:$T$13)*(U$8-U$9)*1000)</f>
        <v>3167.8450302234669</v>
      </c>
      <c r="V107" s="28">
        <f>SUM('Statistics NZ'!V$107,$T$12/6*(V$8-V$9)*1000)*'Economic Forecasts'!X$9*1000000/SUM('Statistics NZ'!V$30:V$110,'Statistics NZ'!V$130:V$210,SUM($E$12:$T$13)*(V$8-V$9)*1000)</f>
        <v>3167.8167336962179</v>
      </c>
      <c r="W107" s="28">
        <f>SUM('Statistics NZ'!W$107,$T$12/6*(W$8-W$9)*1000)*'Economic Forecasts'!Y$9*1000000/SUM('Statistics NZ'!W$30:W$110,'Statistics NZ'!W$130:W$210,SUM($E$12:$T$13)*(W$8-W$9)*1000)</f>
        <v>3188.9000601122507</v>
      </c>
      <c r="X107" s="28">
        <f>SUM('Statistics NZ'!X$107,$T$12/6*(X$8-X$9)*1000)*'Economic Forecasts'!Z$9*1000000/SUM('Statistics NZ'!X$30:X$110,'Statistics NZ'!X$130:X$210,SUM($E$12:$T$13)*(X$8-X$9)*1000)</f>
        <v>3409.8215635955416</v>
      </c>
      <c r="Y107" s="28">
        <f>SUM('Statistics NZ'!Y$107,$T$12/6*(Y$8-Y$9)*1000)*'Economic Forecasts'!AA$9*1000000/SUM('Statistics NZ'!Y$30:Y$110,'Statistics NZ'!Y$130:Y$210,SUM($E$12:$T$13)*(Y$8-Y$9)*1000)</f>
        <v>3546.2981827732824</v>
      </c>
      <c r="Z107" s="28">
        <f>SUM('Statistics NZ'!Z$107,$T$12/6*(Z$8-Z$9)*1000)*'Economic Forecasts'!AB$9*1000000/SUM('Statistics NZ'!Z$30:Z$110,'Statistics NZ'!Z$130:Z$210,SUM($E$12:$T$13)*(Z$8-Z$9)*1000)</f>
        <v>3761.993850463939</v>
      </c>
      <c r="AA107" s="28">
        <f>SUM('Statistics NZ'!AA$107,$T$12/6*(AA$8-AA$9)*1000)*'Economic Forecasts'!AC$9*1000000/SUM('Statistics NZ'!AA$30:AA$110,'Statistics NZ'!AA$130:AA$210,SUM($E$12:$T$13)*(AA$8-AA$9)*1000)</f>
        <v>4007.9943887597774</v>
      </c>
      <c r="AB107" s="18">
        <f>SUM(AA$107,'Statistics NZ'!AB$107-'Statistics NZ'!AA$107,$T$12/6*(AB$8-AB$9)*1000)</f>
        <v>4408.0848177299922</v>
      </c>
      <c r="AC107" s="18">
        <f>SUM(AB$107,'Statistics NZ'!AC$107-'Statistics NZ'!AB$107,$T$12/6*(AC$8-AC$9)*1000)</f>
        <v>4808.145103710136</v>
      </c>
      <c r="AD107" s="18">
        <f>SUM(AC$107,'Statistics NZ'!AD$107-'Statistics NZ'!AC$107,$T$12/6*(AD$8-AD$9)*1000)</f>
        <v>4958.170222868529</v>
      </c>
      <c r="AE107" s="18">
        <f>SUM(AD$107,'Statistics NZ'!AE$107-'Statistics NZ'!AD$107,$T$12/6*(AE$8-AE$9)*1000)</f>
        <v>4508.170222868529</v>
      </c>
      <c r="AF107" s="18">
        <f>SUM(AE$107,'Statistics NZ'!AF$107-'Statistics NZ'!AE$107,$T$12/6*(AF$8-AF$9)*1000)</f>
        <v>5038.170222868529</v>
      </c>
      <c r="AG107" s="18">
        <f>SUM(AF$107,'Statistics NZ'!AG$107-'Statistics NZ'!AF$107,$T$12/6*(AG$8-AG$9)*1000)</f>
        <v>5388.170222868529</v>
      </c>
      <c r="AH107" s="18">
        <f>SUM(AG$107,'Statistics NZ'!AH$107-'Statistics NZ'!AG$107,$T$12/6*(AH$8-AH$9)*1000)</f>
        <v>5788.170222868529</v>
      </c>
      <c r="AI107" s="18">
        <f>SUM(AH$107,'Statistics NZ'!AI$107-'Statistics NZ'!AH$107,$T$12/6*(AI$8-AI$9)*1000)</f>
        <v>6978.170222868529</v>
      </c>
      <c r="AJ107" s="18">
        <f>SUM(AI$107,'Statistics NZ'!AJ$107-'Statistics NZ'!AI$107,$T$12/6*(AJ$8-AJ$9)*1000)</f>
        <v>7068.170222868529</v>
      </c>
      <c r="AK107" s="18">
        <f>SUM(AJ$107,'Statistics NZ'!AK$107-'Statistics NZ'!AJ$107,$T$12/6*(AK$8-AK$9)*1000)</f>
        <v>7028.170222868529</v>
      </c>
    </row>
    <row r="108" spans="1:37" x14ac:dyDescent="0.25">
      <c r="A108" s="12">
        <v>93</v>
      </c>
      <c r="B108" s="27">
        <f>'Statistics NZ'!B$108*'Economic Forecasts'!D$9*1000000/SUM('Statistics NZ'!B$30:B$110,'Statistics NZ'!B$130:B$210)</f>
        <v>1702.4057130375691</v>
      </c>
      <c r="C108" s="27">
        <f>'Statistics NZ'!C$108*'Economic Forecasts'!E$9*1000000/SUM('Statistics NZ'!C$30:C$110,'Statistics NZ'!C$130:C$210)</f>
        <v>1630.132990853878</v>
      </c>
      <c r="D108" s="27">
        <f>'Statistics NZ'!D$108*'Economic Forecasts'!F$9*1000000/SUM('Statistics NZ'!D$30:D$110,'Statistics NZ'!D$130:D$210)</f>
        <v>1797.5584381613678</v>
      </c>
      <c r="E108" s="27">
        <f>'Statistics NZ'!E$108*'Economic Forecasts'!G$9*1000000/SUM('Statistics NZ'!E$30:E$110,'Statistics NZ'!E$130:E$210)</f>
        <v>1843.7203066936358</v>
      </c>
      <c r="F108" s="27">
        <f>'Statistics NZ'!F$108*'Economic Forecasts'!H$9*1000000/SUM('Statistics NZ'!F$30:F$110,'Statistics NZ'!F$130:F$210)</f>
        <v>1834.2514618693917</v>
      </c>
      <c r="G108" s="27">
        <f>'Statistics NZ'!G$108*'Economic Forecasts'!I$9*1000000/SUM('Statistics NZ'!G$30:G$110,'Statistics NZ'!G$130:G$210)</f>
        <v>1846.6247847843238</v>
      </c>
      <c r="H108" s="27">
        <f>'Statistics NZ'!H$108*'Economic Forecasts'!J$9*1000000/SUM('Statistics NZ'!H$30:H$110,'Statistics NZ'!H$130:H$210)</f>
        <v>1758.6995486211363</v>
      </c>
      <c r="I108" s="27">
        <f>'Statistics NZ'!I$108*'Economic Forecasts'!K$9*1000000/SUM('Statistics NZ'!I$30:I$110,'Statistics NZ'!I$130:I$210)</f>
        <v>2107.7643908969212</v>
      </c>
      <c r="J108" s="27">
        <f>'Statistics NZ'!J$108*'Economic Forecasts'!L$9*1000000/SUM('Statistics NZ'!J$30:J$110,'Statistics NZ'!J$130:J$210)</f>
        <v>2213.6772693731036</v>
      </c>
      <c r="K108" s="27">
        <f>'Statistics NZ'!K$108*'Economic Forecasts'!M$9*1000000/SUM('Statistics NZ'!K$30:K$110,'Statistics NZ'!K$130:K$210)</f>
        <v>2307.4839841655789</v>
      </c>
      <c r="L108" s="27">
        <f>'Statistics NZ'!L$108*'Economic Forecasts'!N$9*1000000/SUM('Statistics NZ'!L$30:L$110,'Statistics NZ'!L$130:L$210)</f>
        <v>2297.8411456890203</v>
      </c>
      <c r="M108" s="27">
        <f>'Statistics NZ'!M$108*'Economic Forecasts'!O$9*1000000/SUM('Statistics NZ'!M$30:M$110,'Statistics NZ'!M$130:M$210)</f>
        <v>2442.3934604679716</v>
      </c>
      <c r="N108" s="27">
        <f>'Statistics NZ'!N$108*'Economic Forecasts'!P$9*1000000/SUM('Statistics NZ'!N$30:N$110,'Statistics NZ'!N$130:N$210)</f>
        <v>2553.8678448411033</v>
      </c>
      <c r="O108" s="27">
        <f>'Statistics NZ'!O$108*'Economic Forecasts'!Q$9*1000000/SUM('Statistics NZ'!O$30:O$110,'Statistics NZ'!O$130:O$210)</f>
        <v>2474.914231471631</v>
      </c>
      <c r="P108" s="27">
        <f>'Statistics NZ'!P$108*'Economic Forecasts'!R$9*1000000/SUM('Statistics NZ'!P$30:P$110,'Statistics NZ'!P$130:P$210)</f>
        <v>2477.350599113814</v>
      </c>
      <c r="Q108" s="27">
        <f>'Statistics NZ'!Q$108*'Economic Forecasts'!S$9*1000000/SUM('Statistics NZ'!Q$30:Q$110,'Statistics NZ'!Q$130:Q$210)</f>
        <v>2529.1713128633446</v>
      </c>
      <c r="R108" s="27">
        <f>'Statistics NZ'!R$108*'Economic Forecasts'!T$9*1000000/SUM('Statistics NZ'!R$30:R$110,'Statistics NZ'!R$130:R$210)</f>
        <v>2668.6732652109727</v>
      </c>
      <c r="S108" s="27">
        <f>'Statistics NZ'!S$108*'Economic Forecasts'!U$9*1000000/SUM('Statistics NZ'!S$30:S$110,'Statistics NZ'!S$130:S$210)</f>
        <v>2628.3598178783682</v>
      </c>
      <c r="T108" s="27">
        <f>'Statistics NZ'!T$108*'Economic Forecasts'!V$9*1000000/SUM('Statistics NZ'!T$30:T$110,'Statistics NZ'!T$130:T$210)</f>
        <v>2593.4522691705788</v>
      </c>
      <c r="U108" s="28">
        <f>SUM('Statistics NZ'!U$108,$T$12/6*(U$8-U$9)*1000)*'Economic Forecasts'!W$9*1000000/SUM('Statistics NZ'!U$30:U$110,'Statistics NZ'!U$130:U$210,SUM($E$12:$T$13)*(U$8-U$9)*1000)</f>
        <v>2547.9061139445189</v>
      </c>
      <c r="V108" s="28">
        <f>SUM('Statistics NZ'!V$108,$T$12/6*(V$8-V$9)*1000)*'Economic Forecasts'!X$9*1000000/SUM('Statistics NZ'!V$30:V$110,'Statistics NZ'!V$130:V$210,SUM($E$12:$T$13)*(V$8-V$9)*1000)</f>
        <v>2598.8730395984867</v>
      </c>
      <c r="W108" s="28">
        <f>SUM('Statistics NZ'!W$108,$T$12/6*(W$8-W$9)*1000)*'Economic Forecasts'!Y$9*1000000/SUM('Statistics NZ'!W$30:W$110,'Statistics NZ'!W$130:W$210,SUM($E$12:$T$13)*(W$8-W$9)*1000)</f>
        <v>2601.9805117756032</v>
      </c>
      <c r="X108" s="28">
        <f>SUM('Statistics NZ'!X$108,$T$12/6*(X$8-X$9)*1000)*'Economic Forecasts'!Z$9*1000000/SUM('Statistics NZ'!X$30:X$110,'Statistics NZ'!X$130:X$210,SUM($E$12:$T$13)*(X$8-X$9)*1000)</f>
        <v>2628.2298273038527</v>
      </c>
      <c r="Y108" s="28">
        <f>SUM('Statistics NZ'!Y$108,$T$12/6*(Y$8-Y$9)*1000)*'Economic Forecasts'!AA$9*1000000/SUM('Statistics NZ'!Y$30:Y$110,'Statistics NZ'!Y$130:Y$210,SUM($E$12:$T$13)*(Y$8-Y$9)*1000)</f>
        <v>2813.6254087057582</v>
      </c>
      <c r="Z108" s="28">
        <f>SUM('Statistics NZ'!Z$108,$T$12/6*(Z$8-Z$9)*1000)*'Economic Forecasts'!AB$9*1000000/SUM('Statistics NZ'!Z$30:Z$110,'Statistics NZ'!Z$130:Z$210,SUM($E$12:$T$13)*(Z$8-Z$9)*1000)</f>
        <v>2931.4541249770773</v>
      </c>
      <c r="AA108" s="28">
        <f>SUM('Statistics NZ'!AA$108,$T$12/6*(AA$8-AA$9)*1000)*'Economic Forecasts'!AC$9*1000000/SUM('Statistics NZ'!AA$30:AA$110,'Statistics NZ'!AA$130:AA$210,SUM($E$12:$T$13)*(AA$8-AA$9)*1000)</f>
        <v>3108.6670995071267</v>
      </c>
      <c r="AB108" s="18">
        <f>SUM(AA$108,'Statistics NZ'!AB$108-'Statistics NZ'!AA$108,$T$12/6*(AB$8-AB$9)*1000)</f>
        <v>3318.757528477342</v>
      </c>
      <c r="AC108" s="18">
        <f>SUM(AB$108,'Statistics NZ'!AC$108-'Statistics NZ'!AB$108,$T$12/6*(AC$8-AC$9)*1000)</f>
        <v>3658.8178144574854</v>
      </c>
      <c r="AD108" s="18">
        <f>SUM(AC$108,'Statistics NZ'!AD$108-'Statistics NZ'!AC$108,$T$12/6*(AD$8-AD$9)*1000)</f>
        <v>3998.8429336158783</v>
      </c>
      <c r="AE108" s="18">
        <f>SUM(AD$108,'Statistics NZ'!AE$108-'Statistics NZ'!AD$108,$T$12/6*(AE$8-AE$9)*1000)</f>
        <v>4128.8429336158788</v>
      </c>
      <c r="AF108" s="18">
        <f>SUM(AE$108,'Statistics NZ'!AF$108-'Statistics NZ'!AE$108,$T$12/6*(AF$8-AF$9)*1000)</f>
        <v>3758.8429336158788</v>
      </c>
      <c r="AG108" s="18">
        <f>SUM(AF$108,'Statistics NZ'!AG$108-'Statistics NZ'!AF$108,$T$12/6*(AG$8-AG$9)*1000)</f>
        <v>4208.8429336158788</v>
      </c>
      <c r="AH108" s="18">
        <f>SUM(AG$108,'Statistics NZ'!AH$108-'Statistics NZ'!AG$108,$T$12/6*(AH$8-AH$9)*1000)</f>
        <v>4498.8429336158788</v>
      </c>
      <c r="AI108" s="18">
        <f>SUM(AH$108,'Statistics NZ'!AI$108-'Statistics NZ'!AH$108,$T$12/6*(AI$8-AI$9)*1000)</f>
        <v>4838.8429336158788</v>
      </c>
      <c r="AJ108" s="18">
        <f>SUM(AI$108,'Statistics NZ'!AJ$108-'Statistics NZ'!AI$108,$T$12/6*(AJ$8-AJ$9)*1000)</f>
        <v>5838.8429336158788</v>
      </c>
      <c r="AK108" s="18">
        <f>SUM(AJ$108,'Statistics NZ'!AK$108-'Statistics NZ'!AJ$108,$T$12/6*(AK$8-AK$9)*1000)</f>
        <v>5918.8429336158788</v>
      </c>
    </row>
    <row r="109" spans="1:37" x14ac:dyDescent="0.25">
      <c r="A109" s="12">
        <v>94</v>
      </c>
      <c r="B109" s="27">
        <f>'Statistics NZ'!B$109*'Economic Forecasts'!D$9*1000000/SUM('Statistics NZ'!B$30:B$110,'Statistics NZ'!B$130:B$210)</f>
        <v>1281.6962552179398</v>
      </c>
      <c r="C109" s="27">
        <f>'Statistics NZ'!C$109*'Economic Forecasts'!E$9*1000000/SUM('Statistics NZ'!C$30:C$110,'Statistics NZ'!C$130:C$210)</f>
        <v>1345.3507213673572</v>
      </c>
      <c r="D109" s="27">
        <f>'Statistics NZ'!D$109*'Economic Forecasts'!F$9*1000000/SUM('Statistics NZ'!D$30:D$110,'Statistics NZ'!D$130:D$210)</f>
        <v>1306.4222528713763</v>
      </c>
      <c r="E109" s="27">
        <f>'Statistics NZ'!E$109*'Economic Forecasts'!G$9*1000000/SUM('Statistics NZ'!E$30:E$110,'Statistics NZ'!E$130:E$210)</f>
        <v>1422.0183216520065</v>
      </c>
      <c r="F109" s="27">
        <f>'Statistics NZ'!F$109*'Economic Forecasts'!H$9*1000000/SUM('Statistics NZ'!F$30:F$110,'Statistics NZ'!F$130:F$210)</f>
        <v>1451.7070393404813</v>
      </c>
      <c r="G109" s="27">
        <f>'Statistics NZ'!G$109*'Economic Forecasts'!I$9*1000000/SUM('Statistics NZ'!G$30:G$110,'Statistics NZ'!G$130:G$210)</f>
        <v>1453.7258944046803</v>
      </c>
      <c r="H109" s="27">
        <f>'Statistics NZ'!H$109*'Economic Forecasts'!J$9*1000000/SUM('Statistics NZ'!H$30:H$110,'Statistics NZ'!H$130:H$210)</f>
        <v>1454.1202971839559</v>
      </c>
      <c r="I109" s="27">
        <f>'Statistics NZ'!I$109*'Economic Forecasts'!K$9*1000000/SUM('Statistics NZ'!I$30:I$110,'Statistics NZ'!I$130:I$210)</f>
        <v>1372.497742909623</v>
      </c>
      <c r="J109" s="27">
        <f>'Statistics NZ'!J$109*'Economic Forecasts'!L$9*1000000/SUM('Statistics NZ'!J$30:J$110,'Statistics NZ'!J$130:J$210)</f>
        <v>1696.8275104445813</v>
      </c>
      <c r="K109" s="27">
        <f>'Statistics NZ'!K$109*'Economic Forecasts'!M$9*1000000/SUM('Statistics NZ'!K$30:K$110,'Statistics NZ'!K$130:K$210)</f>
        <v>1781.728139672156</v>
      </c>
      <c r="L109" s="27">
        <f>'Statistics NZ'!L$109*'Economic Forecasts'!N$9*1000000/SUM('Statistics NZ'!L$30:L$110,'Statistics NZ'!L$130:L$210)</f>
        <v>1869.4300846283554</v>
      </c>
      <c r="M109" s="27">
        <f>'Statistics NZ'!M$109*'Economic Forecasts'!O$9*1000000/SUM('Statistics NZ'!M$30:M$110,'Statistics NZ'!M$130:M$210)</f>
        <v>1895.297325323146</v>
      </c>
      <c r="N109" s="27">
        <f>'Statistics NZ'!N$109*'Economic Forecasts'!P$9*1000000/SUM('Statistics NZ'!N$30:N$110,'Statistics NZ'!N$130:N$210)</f>
        <v>1956.9868542843703</v>
      </c>
      <c r="O109" s="27">
        <f>'Statistics NZ'!O$109*'Economic Forecasts'!Q$9*1000000/SUM('Statistics NZ'!O$30:O$110,'Statistics NZ'!O$130:O$210)</f>
        <v>2032.9652615659827</v>
      </c>
      <c r="P109" s="27">
        <f>'Statistics NZ'!P$109*'Economic Forecasts'!R$9*1000000/SUM('Statistics NZ'!P$30:P$110,'Statistics NZ'!P$130:P$210)</f>
        <v>2007.3394182542756</v>
      </c>
      <c r="Q109" s="27">
        <f>'Statistics NZ'!Q$109*'Economic Forecasts'!S$9*1000000/SUM('Statistics NZ'!Q$30:Q$110,'Statistics NZ'!Q$130:Q$210)</f>
        <v>2045.0721162605948</v>
      </c>
      <c r="R109" s="27">
        <f>'Statistics NZ'!R$109*'Economic Forecasts'!T$9*1000000/SUM('Statistics NZ'!R$30:R$110,'Statistics NZ'!R$130:R$210)</f>
        <v>1966.91103621105</v>
      </c>
      <c r="S109" s="27">
        <f>'Statistics NZ'!S$109*'Economic Forecasts'!U$9*1000000/SUM('Statistics NZ'!S$30:S$110,'Statistics NZ'!S$130:S$210)</f>
        <v>2063.7491903341256</v>
      </c>
      <c r="T109" s="27">
        <f>'Statistics NZ'!T$109*'Economic Forecasts'!V$9*1000000/SUM('Statistics NZ'!T$30:T$110,'Statistics NZ'!T$130:T$210)</f>
        <v>2151.3865414710481</v>
      </c>
      <c r="U109" s="28">
        <f>SUM('Statistics NZ'!U$109,$T$12/6*(U$8-U$9)*1000)*'Economic Forecasts'!W$9*1000000/SUM('Statistics NZ'!U$30:U$110,'Statistics NZ'!U$130:U$210,SUM($E$12:$T$13)*(U$8-U$9)*1000)</f>
        <v>2075.5717015415107</v>
      </c>
      <c r="V109" s="28">
        <f>SUM('Statistics NZ'!V$109,$T$12/6*(V$8-V$9)*1000)*'Economic Forecasts'!X$9*1000000/SUM('Statistics NZ'!V$30:V$110,'Statistics NZ'!V$130:V$210,SUM($E$12:$T$13)*(V$8-V$9)*1000)</f>
        <v>2039.7387195369229</v>
      </c>
      <c r="W109" s="28">
        <f>SUM('Statistics NZ'!W$109,$T$12/6*(W$8-W$9)*1000)*'Economic Forecasts'!Y$9*1000000/SUM('Statistics NZ'!W$30:W$110,'Statistics NZ'!W$130:W$210,SUM($E$12:$T$13)*(W$8-W$9)*1000)</f>
        <v>2083.5349107448988</v>
      </c>
      <c r="X109" s="28">
        <f>SUM('Statistics NZ'!X$109,$T$12/6*(X$8-X$9)*1000)*'Economic Forecasts'!Z$9*1000000/SUM('Statistics NZ'!X$30:X$110,'Statistics NZ'!X$130:X$210,SUM($E$12:$T$13)*(X$8-X$9)*1000)</f>
        <v>2090.8855086033163</v>
      </c>
      <c r="Y109" s="28">
        <f>SUM('Statistics NZ'!Y$109,$T$12/6*(Y$8-Y$9)*1000)*'Economic Forecasts'!AA$9*1000000/SUM('Statistics NZ'!Y$30:Y$110,'Statistics NZ'!Y$130:Y$210,SUM($E$12:$T$13)*(Y$8-Y$9)*1000)</f>
        <v>2120.0285159218356</v>
      </c>
      <c r="Z109" s="28">
        <f>SUM('Statistics NZ'!Z$109,$T$12/6*(Z$8-Z$9)*1000)*'Economic Forecasts'!AB$9*1000000/SUM('Statistics NZ'!Z$30:Z$110,'Statistics NZ'!Z$130:Z$210,SUM($E$12:$T$13)*(Z$8-Z$9)*1000)</f>
        <v>2267.0223445875877</v>
      </c>
      <c r="AA109" s="28">
        <f>SUM('Statistics NZ'!AA$109,$T$12/6*(AA$8-AA$9)*1000)*'Economic Forecasts'!AC$9*1000000/SUM('Statistics NZ'!AA$30:AA$110,'Statistics NZ'!AA$130:AA$210,SUM($E$12:$T$13)*(AA$8-AA$9)*1000)</f>
        <v>2365.7445562114594</v>
      </c>
      <c r="AB109" s="18">
        <f>SUM(AA$109,'Statistics NZ'!AB$109-'Statistics NZ'!AA$109,$T$12/6*(AB$8-AB$9)*1000)</f>
        <v>2525.8349851816747</v>
      </c>
      <c r="AC109" s="18">
        <f>SUM(AB$109,'Statistics NZ'!AC$109-'Statistics NZ'!AB$109,$T$12/6*(AC$8-AC$9)*1000)</f>
        <v>2695.8952711618181</v>
      </c>
      <c r="AD109" s="18">
        <f>SUM(AC$109,'Statistics NZ'!AD$109-'Statistics NZ'!AC$109,$T$12/6*(AD$8-AD$9)*1000)</f>
        <v>2965.920390320211</v>
      </c>
      <c r="AE109" s="18">
        <f>SUM(AD$109,'Statistics NZ'!AE$109-'Statistics NZ'!AD$109,$T$12/6*(AE$8-AE$9)*1000)</f>
        <v>3245.920390320211</v>
      </c>
      <c r="AF109" s="18">
        <f>SUM(AE$109,'Statistics NZ'!AF$109-'Statistics NZ'!AE$109,$T$12/6*(AF$8-AF$9)*1000)</f>
        <v>3355.920390320211</v>
      </c>
      <c r="AG109" s="18">
        <f>SUM(AF$109,'Statistics NZ'!AG$109-'Statistics NZ'!AF$109,$T$12/6*(AG$8-AG$9)*1000)</f>
        <v>3065.920390320211</v>
      </c>
      <c r="AH109" s="18">
        <f>SUM(AG$109,'Statistics NZ'!AH$109-'Statistics NZ'!AG$109,$T$12/6*(AH$8-AH$9)*1000)</f>
        <v>3425.920390320211</v>
      </c>
      <c r="AI109" s="18">
        <f>SUM(AH$109,'Statistics NZ'!AI$109-'Statistics NZ'!AH$109,$T$12/6*(AI$8-AI$9)*1000)</f>
        <v>3675.920390320211</v>
      </c>
      <c r="AJ109" s="18">
        <f>SUM(AI$109,'Statistics NZ'!AJ$109-'Statistics NZ'!AI$109,$T$12/6*(AJ$8-AJ$9)*1000)</f>
        <v>3955.920390320211</v>
      </c>
      <c r="AK109" s="18">
        <f>SUM(AJ$109,'Statistics NZ'!AK$109-'Statistics NZ'!AJ$109,$T$12/6*(AK$8-AK$9)*1000)</f>
        <v>4775.9203903202106</v>
      </c>
    </row>
    <row r="110" spans="1:37" x14ac:dyDescent="0.25">
      <c r="A110" s="12" t="s">
        <v>384</v>
      </c>
      <c r="B110" s="27">
        <f>'Statistics NZ'!B$110*'Economic Forecasts'!D$9*1000000/SUM('Statistics NZ'!B$30:B$110,'Statistics NZ'!B$130:B$210)</f>
        <v>2896.046500339773</v>
      </c>
      <c r="C110" s="27">
        <f>'Statistics NZ'!C$110*'Economic Forecasts'!E$9*1000000/SUM('Statistics NZ'!C$30:C$110,'Statistics NZ'!C$130:C$210)</f>
        <v>3034.40418177017</v>
      </c>
      <c r="D110" s="27">
        <f>'Statistics NZ'!D$110*'Economic Forecasts'!F$9*1000000/SUM('Statistics NZ'!D$30:D$110,'Statistics NZ'!D$130:D$210)</f>
        <v>3202.2079280907428</v>
      </c>
      <c r="E110" s="27">
        <f>'Statistics NZ'!E$110*'Economic Forecasts'!G$9*1000000/SUM('Statistics NZ'!E$30:E$110,'Statistics NZ'!E$130:E$210)</f>
        <v>3246.1245825297528</v>
      </c>
      <c r="F110" s="27">
        <f>'Statistics NZ'!F$110*'Economic Forecasts'!H$9*1000000/SUM('Statistics NZ'!F$30:F$110,'Statistics NZ'!F$130:F$210)</f>
        <v>3521.3704535353572</v>
      </c>
      <c r="G110" s="27">
        <f>'Statistics NZ'!G$110*'Economic Forecasts'!I$9*1000000/SUM('Statistics NZ'!G$30:G$110,'Statistics NZ'!G$130:G$210)</f>
        <v>3644.1372082711919</v>
      </c>
      <c r="H110" s="27">
        <f>'Statistics NZ'!H$110*'Economic Forecasts'!J$9*1000000/SUM('Statistics NZ'!H$30:H$110,'Statistics NZ'!H$130:H$210)</f>
        <v>3713.9018401049684</v>
      </c>
      <c r="I110" s="27">
        <f>'Statistics NZ'!I$110*'Economic Forecasts'!K$9*1000000/SUM('Statistics NZ'!I$30:I$110,'Statistics NZ'!I$130:I$210)</f>
        <v>3735.1545717754739</v>
      </c>
      <c r="J110" s="27">
        <f>'Statistics NZ'!J$110*'Economic Forecasts'!L$9*1000000/SUM('Statistics NZ'!J$30:J$110,'Statistics NZ'!J$130:J$210)</f>
        <v>3764.226546158669</v>
      </c>
      <c r="K110" s="27">
        <f>'Statistics NZ'!K$110*'Economic Forecasts'!M$9*1000000/SUM('Statistics NZ'!K$30:K$110,'Statistics NZ'!K$130:K$210)</f>
        <v>4011.3223690979689</v>
      </c>
      <c r="L110" s="27">
        <f>'Statistics NZ'!L$110*'Economic Forecasts'!N$9*1000000/SUM('Statistics NZ'!L$30:L$110,'Statistics NZ'!L$130:L$210)</f>
        <v>4274.3739955825422</v>
      </c>
      <c r="M110" s="27">
        <f>'Statistics NZ'!M$110*'Economic Forecasts'!O$9*1000000/SUM('Statistics NZ'!M$30:M$110,'Statistics NZ'!M$130:M$210)</f>
        <v>4601.4692795216588</v>
      </c>
      <c r="N110" s="27">
        <f>'Statistics NZ'!N$110*'Economic Forecasts'!P$9*1000000/SUM('Statistics NZ'!N$30:N$110,'Statistics NZ'!N$130:N$210)</f>
        <v>4872.8972671680822</v>
      </c>
      <c r="O110" s="27">
        <f>'Statistics NZ'!O$110*'Economic Forecasts'!Q$9*1000000/SUM('Statistics NZ'!O$30:O$110,'Statistics NZ'!O$130:O$210)</f>
        <v>5087.3236980250194</v>
      </c>
      <c r="P110" s="27">
        <f>'Statistics NZ'!P$110*'Economic Forecasts'!R$9*1000000/SUM('Statistics NZ'!P$30:P$110,'Statistics NZ'!P$130:P$210)</f>
        <v>5219.0824874611171</v>
      </c>
      <c r="Q110" s="27">
        <f>'Statistics NZ'!Q$110*'Economic Forecasts'!S$9*1000000/SUM('Statistics NZ'!Q$30:Q$110,'Statistics NZ'!Q$130:Q$210)</f>
        <v>5443.6460679207148</v>
      </c>
      <c r="R110" s="27">
        <f>'Statistics NZ'!R$110*'Economic Forecasts'!T$9*1000000/SUM('Statistics NZ'!R$30:R$110,'Statistics NZ'!R$130:R$210)</f>
        <v>5317.5785803092713</v>
      </c>
      <c r="S110" s="27">
        <f>'Statistics NZ'!S$110*'Economic Forecasts'!U$9*1000000/SUM('Statistics NZ'!S$30:S$110,'Statistics NZ'!S$130:S$210)</f>
        <v>5003.6183199610405</v>
      </c>
      <c r="T110" s="27">
        <f>'Statistics NZ'!T$110*'Economic Forecasts'!V$9*1000000/SUM('Statistics NZ'!T$30:T$110,'Statistics NZ'!T$130:T$210)</f>
        <v>5186.9045383411576</v>
      </c>
      <c r="U110" s="28">
        <f>SUM('Statistics NZ'!U$110,$T$12/6*(U$8-U$9)*1000)*'Economic Forecasts'!W$9*1000000/SUM('Statistics NZ'!U$30:U$110,'Statistics NZ'!U$130:U$210,SUM($E$12:$T$13)*(U$8-U$9)*1000)</f>
        <v>5509.836491721715</v>
      </c>
      <c r="V110" s="28">
        <f>SUM('Statistics NZ'!V$110,$T$12/6*(V$8-V$9)*1000)*'Economic Forecasts'!X$9*1000000/SUM('Statistics NZ'!V$30:V$110,'Statistics NZ'!V$130:V$210,SUM($E$12:$T$13)*(V$8-V$9)*1000)</f>
        <v>5688.8258609913373</v>
      </c>
      <c r="W110" s="28">
        <f>SUM('Statistics NZ'!W$110,$T$12/6*(W$8-W$9)*1000)*'Economic Forecasts'!Y$9*1000000/SUM('Statistics NZ'!W$30:W$110,'Statistics NZ'!W$130:W$210,SUM($E$12:$T$13)*(W$8-W$9)*1000)</f>
        <v>5790.9100577380514</v>
      </c>
      <c r="X110" s="28">
        <f>SUM('Statistics NZ'!X$110,$T$12/6*(X$8-X$9)*1000)*'Economic Forecasts'!Z$9*1000000/SUM('Statistics NZ'!X$30:X$110,'Statistics NZ'!X$130:X$210,SUM($E$12:$T$13)*(X$8-X$9)*1000)</f>
        <v>5901.1452230253008</v>
      </c>
      <c r="Y110" s="28">
        <f>SUM('Statistics NZ'!Y$110,$T$12/6*(Y$8-Y$9)*1000)*'Economic Forecasts'!AA$9*1000000/SUM('Statistics NZ'!Y$30:Y$110,'Statistics NZ'!Y$130:Y$210,SUM($E$12:$T$13)*(Y$8-Y$9)*1000)</f>
        <v>5998.3097333192627</v>
      </c>
      <c r="Z110" s="28">
        <f>SUM('Statistics NZ'!Z$110,$T$12/6*(Z$8-Z$9)*1000)*'Economic Forecasts'!AB$9*1000000/SUM('Statistics NZ'!Z$30:Z$110,'Statistics NZ'!Z$130:Z$210,SUM($E$12:$T$13)*(Z$8-Z$9)*1000)</f>
        <v>6087.5050818271511</v>
      </c>
      <c r="AA110" s="28">
        <f>SUM('Statistics NZ'!AA$110,$T$12/6*(AA$8-AA$9)*1000)*'Economic Forecasts'!AC$9*1000000/SUM('Statistics NZ'!AA$30:AA$110,'Statistics NZ'!AA$130:AA$210,SUM($E$12:$T$13)*(AA$8-AA$9)*1000)</f>
        <v>6285.638501758337</v>
      </c>
      <c r="AB110" s="18">
        <f>SUM(AA$110,'Statistics NZ'!AB$110-'Statistics NZ'!AA$110,$T$12/6*(AB$8-AB$9)*1000)</f>
        <v>6515.7289307285519</v>
      </c>
      <c r="AC110" s="18">
        <f>SUM(AB$110,'Statistics NZ'!AC$110-'Statistics NZ'!AB$110,$T$12/6*(AC$8-AC$9)*1000)</f>
        <v>6805.7892167086957</v>
      </c>
      <c r="AD110" s="18">
        <f>SUM(AC$110,'Statistics NZ'!AD$110-'Statistics NZ'!AC$110,$T$12/6*(AD$8-AD$9)*1000)</f>
        <v>7175.8143358670886</v>
      </c>
      <c r="AE110" s="18">
        <f>SUM(AD$110,'Statistics NZ'!AE$110-'Statistics NZ'!AD$110,$T$12/6*(AE$8-AE$9)*1000)</f>
        <v>7665.8143358670886</v>
      </c>
      <c r="AF110" s="18">
        <f>SUM(AE$110,'Statistics NZ'!AF$110-'Statistics NZ'!AE$110,$T$12/6*(AF$8-AF$9)*1000)</f>
        <v>8265.8143358670895</v>
      </c>
      <c r="AG110" s="18">
        <f>SUM(AF$110,'Statistics NZ'!AG$110-'Statistics NZ'!AF$110,$T$12/6*(AG$8-AG$9)*1000)</f>
        <v>8815.8143358670895</v>
      </c>
      <c r="AH110" s="18">
        <f>SUM(AG$110,'Statistics NZ'!AH$110-'Statistics NZ'!AG$110,$T$12/6*(AH$8-AH$9)*1000)</f>
        <v>8995.8143358670895</v>
      </c>
      <c r="AI110" s="18">
        <f>SUM(AH$110,'Statistics NZ'!AI$110-'Statistics NZ'!AH$110,$T$12/6*(AI$8-AI$9)*1000)</f>
        <v>9415.8143358670895</v>
      </c>
      <c r="AJ110" s="18">
        <f>SUM(AI$110,'Statistics NZ'!AJ$110-'Statistics NZ'!AI$110,$T$12/6*(AJ$8-AJ$9)*1000)</f>
        <v>9935.8143358670895</v>
      </c>
      <c r="AK110" s="18">
        <f>SUM(AJ$110,'Statistics NZ'!AK$110-'Statistics NZ'!AJ$110,$T$12/6*(AK$8-AK$9)*1000)</f>
        <v>10545.81433586709</v>
      </c>
    </row>
    <row r="111" spans="1:37" x14ac:dyDescent="0.25">
      <c r="A111" s="11" t="s">
        <v>385</v>
      </c>
      <c r="B111" s="29">
        <f>SUM(B$15:B$110)</f>
        <v>2125552.4824854992</v>
      </c>
      <c r="C111" s="29">
        <f t="shared" ref="C111:AK111" si="5">SUM(C$15:C$110)</f>
        <v>2149855.1061395211</v>
      </c>
      <c r="D111" s="29">
        <f t="shared" si="5"/>
        <v>2169283.8974531163</v>
      </c>
      <c r="E111" s="29">
        <f t="shared" si="5"/>
        <v>2188135.0921934526</v>
      </c>
      <c r="F111" s="29">
        <f t="shared" si="5"/>
        <v>2214036.8562875898</v>
      </c>
      <c r="G111" s="29">
        <f t="shared" si="5"/>
        <v>2234605.1028517643</v>
      </c>
      <c r="H111" s="29">
        <f t="shared" si="5"/>
        <v>2247993.4262347226</v>
      </c>
      <c r="I111" s="29">
        <f t="shared" si="5"/>
        <v>2261926.8334990437</v>
      </c>
      <c r="J111" s="29">
        <f t="shared" si="5"/>
        <v>2284470.1288427054</v>
      </c>
      <c r="K111" s="29">
        <f t="shared" si="5"/>
        <v>2320793.228366816</v>
      </c>
      <c r="L111" s="29">
        <f t="shared" si="5"/>
        <v>2365201.9317701384</v>
      </c>
      <c r="M111" s="29">
        <f t="shared" si="5"/>
        <v>2412422.04835035</v>
      </c>
      <c r="N111" s="29">
        <f t="shared" si="5"/>
        <v>2454000.6068800301</v>
      </c>
      <c r="O111" s="29">
        <f t="shared" si="5"/>
        <v>2490033.3222426325</v>
      </c>
      <c r="P111" s="29">
        <f t="shared" si="5"/>
        <v>2536191.729319083</v>
      </c>
      <c r="Q111" s="29">
        <f t="shared" si="5"/>
        <v>2557589.8132923348</v>
      </c>
      <c r="R111" s="29">
        <f t="shared" si="5"/>
        <v>2558625.9319615578</v>
      </c>
      <c r="S111" s="29">
        <f t="shared" si="5"/>
        <v>2581226.8908184851</v>
      </c>
      <c r="T111" s="29">
        <f t="shared" si="5"/>
        <v>2644071.9566154885</v>
      </c>
      <c r="U111" s="30">
        <f t="shared" si="5"/>
        <v>2665411.0811976953</v>
      </c>
      <c r="V111" s="30">
        <f t="shared" si="5"/>
        <v>2682068.6753536668</v>
      </c>
      <c r="W111" s="30">
        <f t="shared" si="5"/>
        <v>2705654.6759037226</v>
      </c>
      <c r="X111" s="30">
        <f t="shared" si="5"/>
        <v>2735734.1601091744</v>
      </c>
      <c r="Y111" s="30">
        <f t="shared" si="5"/>
        <v>2767776.9011671711</v>
      </c>
      <c r="Z111" s="30">
        <f t="shared" si="5"/>
        <v>2800274.1220163186</v>
      </c>
      <c r="AA111" s="30">
        <f t="shared" si="5"/>
        <v>2832925.0953133991</v>
      </c>
      <c r="AB111" s="19">
        <f t="shared" si="5"/>
        <v>2860687.5350110577</v>
      </c>
      <c r="AC111" s="19">
        <f t="shared" si="5"/>
        <v>2887902.4948094962</v>
      </c>
      <c r="AD111" s="19">
        <f t="shared" si="5"/>
        <v>2914458.7280588443</v>
      </c>
      <c r="AE111" s="19">
        <f t="shared" si="5"/>
        <v>2940478.7280588443</v>
      </c>
      <c r="AF111" s="19">
        <f t="shared" si="5"/>
        <v>2966388.7280588443</v>
      </c>
      <c r="AG111" s="19">
        <f t="shared" si="5"/>
        <v>2992008.7280588443</v>
      </c>
      <c r="AH111" s="19">
        <f t="shared" si="5"/>
        <v>3017438.7280588443</v>
      </c>
      <c r="AI111" s="19">
        <f t="shared" si="5"/>
        <v>3042708.7280588443</v>
      </c>
      <c r="AJ111" s="19">
        <f t="shared" si="5"/>
        <v>3067778.7280588434</v>
      </c>
      <c r="AK111" s="19">
        <f t="shared" si="5"/>
        <v>3092668.7280588434</v>
      </c>
    </row>
    <row r="112" spans="1:37" x14ac:dyDescent="0.25">
      <c r="A112" s="11"/>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row>
    <row r="113" spans="1:37" x14ac:dyDescent="0.25">
      <c r="A113" s="11"/>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row>
    <row r="114" spans="1:37" x14ac:dyDescent="0.25">
      <c r="A114" s="11" t="s">
        <v>386</v>
      </c>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row>
    <row r="115" spans="1:37" x14ac:dyDescent="0.25">
      <c r="A115" s="12">
        <f>$A$15</f>
        <v>0</v>
      </c>
      <c r="B115" s="27">
        <f>'Statistics NZ'!B$115*('Economic Forecasts'!D$10-'Economic Forecasts'!D$9)*1000000/SUM('Statistics NZ'!B$15:B$29,'Statistics NZ'!B$115:B$129)</f>
        <v>31965.496279451996</v>
      </c>
      <c r="C115" s="27">
        <f>'Statistics NZ'!C$115*('Economic Forecasts'!E$10-'Economic Forecasts'!E$9)*1000000/SUM('Statistics NZ'!C$15:C$29,'Statistics NZ'!C$115:C$129)</f>
        <v>33621.519129361608</v>
      </c>
      <c r="D115" s="27">
        <f>'Statistics NZ'!D$115*('Economic Forecasts'!F$10-'Economic Forecasts'!F$9)*1000000/SUM('Statistics NZ'!D$15:D$29,'Statistics NZ'!D$115:D$129)</f>
        <v>34850.660517470496</v>
      </c>
      <c r="E115" s="27">
        <f>'Statistics NZ'!E$115*('Economic Forecasts'!G$10-'Economic Forecasts'!G$9)*1000000/SUM('Statistics NZ'!E$15:E$29,'Statistics NZ'!E$115:E$129)</f>
        <v>34877.426872031596</v>
      </c>
      <c r="F115" s="27">
        <f>'Statistics NZ'!F$115*('Economic Forecasts'!H$10-'Economic Forecasts'!H$9)*1000000/SUM('Statistics NZ'!F$15:F$29,'Statistics NZ'!F$115:F$129)</f>
        <v>34898.359283810867</v>
      </c>
      <c r="G115" s="27">
        <f>'Statistics NZ'!G$115*('Economic Forecasts'!I$10-'Economic Forecasts'!I$9)*1000000/SUM('Statistics NZ'!G$15:G$29,'Statistics NZ'!G$115:G$129)</f>
        <v>34017.136080640383</v>
      </c>
      <c r="H115" s="27">
        <f>'Statistics NZ'!H$115*('Economic Forecasts'!J$10-'Economic Forecasts'!J$9)*1000000/SUM('Statistics NZ'!H$15:H$29,'Statistics NZ'!H$115:H$129)</f>
        <v>33202.69067167872</v>
      </c>
      <c r="I115" s="27">
        <f>'Statistics NZ'!I$115*('Economic Forecasts'!K$10-'Economic Forecasts'!K$9)*1000000/SUM('Statistics NZ'!I$15:I$29,'Statistics NZ'!I$115:I$129)</f>
        <v>32834.582246723658</v>
      </c>
      <c r="J115" s="27">
        <f>'Statistics NZ'!J$115*('Economic Forecasts'!L$10-'Economic Forecasts'!L$9)*1000000/SUM('Statistics NZ'!J$15:J$29,'Statistics NZ'!J$115:J$129)</f>
        <v>32162.865384826306</v>
      </c>
      <c r="K115" s="27">
        <f>'Statistics NZ'!K$115*('Economic Forecasts'!M$10-'Economic Forecasts'!M$9)*1000000/SUM('Statistics NZ'!K$15:K$29,'Statistics NZ'!K$115:K$129)</f>
        <v>32488.39709654533</v>
      </c>
      <c r="L115" s="27">
        <f>'Statistics NZ'!L$115*('Economic Forecasts'!N$10-'Economic Forecasts'!N$9)*1000000/SUM('Statistics NZ'!L$15:L$29,'Statistics NZ'!L$115:L$129)</f>
        <v>32691.673336073207</v>
      </c>
      <c r="M115" s="27">
        <f>'Statistics NZ'!M$115*('Economic Forecasts'!O$10-'Economic Forecasts'!O$9)*1000000/SUM('Statistics NZ'!M$15:M$29,'Statistics NZ'!M$115:M$129)</f>
        <v>32507.164586958152</v>
      </c>
      <c r="N115" s="27">
        <f>'Statistics NZ'!N$115*('Economic Forecasts'!P$10-'Economic Forecasts'!P$9)*1000000/SUM('Statistics NZ'!N$15:N$29,'Statistics NZ'!N$115:N$129)</f>
        <v>32305.086267921874</v>
      </c>
      <c r="O115" s="27">
        <f>'Statistics NZ'!O$115*('Economic Forecasts'!Q$10-'Economic Forecasts'!Q$9)*1000000/SUM('Statistics NZ'!O$15:O$29,'Statistics NZ'!O$115:O$129)</f>
        <v>32271.135734072028</v>
      </c>
      <c r="P115" s="27">
        <f>'Statistics NZ'!P$115*('Economic Forecasts'!R$10-'Economic Forecasts'!R$9)*1000000/SUM('Statistics NZ'!P$15:P$29,'Statistics NZ'!P$115:P$129)</f>
        <v>31946.502900034131</v>
      </c>
      <c r="Q115" s="27">
        <f>'Statistics NZ'!Q$115*('Economic Forecasts'!S$10-'Economic Forecasts'!S$9)*1000000/SUM('Statistics NZ'!Q$15:Q$29,'Statistics NZ'!Q$115:Q$129)</f>
        <v>32832.30130535362</v>
      </c>
      <c r="R115" s="27">
        <f>'Statistics NZ'!R$115*('Economic Forecasts'!T$10-'Economic Forecasts'!T$9)*1000000/SUM('Statistics NZ'!R$15:R$29,'Statistics NZ'!R$115:R$129)</f>
        <v>32100.144249229448</v>
      </c>
      <c r="S115" s="27">
        <f>'Statistics NZ'!S$115*('Economic Forecasts'!U$10-'Economic Forecasts'!U$9)*1000000/SUM('Statistics NZ'!S$15:S$29,'Statistics NZ'!S$115:S$129)</f>
        <v>31010.592080167437</v>
      </c>
      <c r="T115" s="27">
        <f>'Statistics NZ'!T$115*('Economic Forecasts'!V$10-'Economic Forecasts'!V$9)*1000000/SUM('Statistics NZ'!T$15:T$29,'Statistics NZ'!T$115:T$129)</f>
        <v>30911.776087468425</v>
      </c>
      <c r="U115" s="28">
        <f>SUM('Statistics NZ'!U$115,$B$13/5*(U$8-U$9)*1000)*('Economic Forecasts'!W$10-'Economic Forecasts'!W$9)*1000000/SUM('Statistics NZ'!U$15:U$29,'Statistics NZ'!U$115:U$129,SUM($B$12:$D$13)*(U$8-U$9)*1000)</f>
        <v>31584.160622329364</v>
      </c>
      <c r="V115" s="28">
        <f>SUM('Statistics NZ'!V$115,$B$13/5*(V$8-V$9)*1000)*('Economic Forecasts'!X$10-'Economic Forecasts'!X$9)*1000000/SUM('Statistics NZ'!V$15:V$29,'Statistics NZ'!V$115:V$129,SUM($B$12:$D$13)*(V$8-V$9)*1000)</f>
        <v>31450.770049771068</v>
      </c>
      <c r="W115" s="28">
        <f>SUM('Statistics NZ'!W$115,$B$13/5*(W$8-W$9)*1000)*('Economic Forecasts'!Y$10-'Economic Forecasts'!Y$9)*1000000/SUM('Statistics NZ'!W$15:W$29,'Statistics NZ'!W$115:W$129,SUM($B$12:$D$13)*(W$8-W$9)*1000)</f>
        <v>31410.837274162866</v>
      </c>
      <c r="X115" s="28">
        <f>SUM('Statistics NZ'!X$115,$B$13/5*(X$8-X$9)*1000)*('Economic Forecasts'!Z$10-'Economic Forecasts'!Z$9)*1000000/SUM('Statistics NZ'!X$15:X$29,'Statistics NZ'!X$115:X$129,SUM($B$12:$D$13)*(X$8-X$9)*1000)</f>
        <v>31738.106903056181</v>
      </c>
      <c r="Y115" s="28">
        <f>SUM('Statistics NZ'!Y$115,$B$13/5*(Y$8-Y$9)*1000)*('Economic Forecasts'!AA$10-'Economic Forecasts'!AA$9)*1000000/SUM('Statistics NZ'!Y$15:Y$29,'Statistics NZ'!Y$115:Y$129,SUM($B$12:$D$13)*(Y$8-Y$9)*1000)</f>
        <v>32085.192158151094</v>
      </c>
      <c r="Z115" s="28">
        <f>SUM('Statistics NZ'!Z$115,$B$13/5*(Z$8-Z$9)*1000)*('Economic Forecasts'!AB$10-'Economic Forecasts'!AB$9)*1000000/SUM('Statistics NZ'!Z$15:Z$29,'Statistics NZ'!Z$115:Z$129,SUM($B$12:$D$13)*(Z$8-Z$9)*1000)</f>
        <v>32446.256215090223</v>
      </c>
      <c r="AA115" s="28">
        <f>SUM('Statistics NZ'!AA$115,$B$13/5*(AA$8-AA$9)*1000)*('Economic Forecasts'!AC$10-'Economic Forecasts'!AC$9)*1000000/SUM('Statistics NZ'!AA$15:AA$29,'Statistics NZ'!AA$115:AA$129,SUM($B$12:$D$13)*(AA$8-AA$9)*1000)</f>
        <v>32797.936672305375</v>
      </c>
      <c r="AB115" s="18">
        <f>SUM(AA$115,'Statistics NZ'!AB$115-'Statistics NZ'!AA$115,$B$13/5*(AB$8-AB$9)*1000)</f>
        <v>32828.750103594401</v>
      </c>
      <c r="AC115" s="18">
        <f>SUM(AB$115,'Statistics NZ'!AC$115-'Statistics NZ'!AB$115,$B$13/5*(AC$8-AC$9)*1000)</f>
        <v>32895.959057787084</v>
      </c>
      <c r="AD115" s="18">
        <f>SUM(AC$115,'Statistics NZ'!AD$115-'Statistics NZ'!AC$115,$B$13/5*(AD$8-AD$9)*1000)</f>
        <v>32988.962788700701</v>
      </c>
      <c r="AE115" s="18">
        <f>SUM(AD$115,'Statistics NZ'!AE$115-'Statistics NZ'!AD$115,$B$13/5*(AE$8-AE$9)*1000)</f>
        <v>33108.962788700701</v>
      </c>
      <c r="AF115" s="18">
        <f>SUM(AE$115,'Statistics NZ'!AF$115-'Statistics NZ'!AE$115,$B$13/5*(AF$8-AF$9)*1000)</f>
        <v>33278.962788700701</v>
      </c>
      <c r="AG115" s="18">
        <f>SUM(AF$115,'Statistics NZ'!AG$115-'Statistics NZ'!AF$115,$B$13/5*(AG$8-AG$9)*1000)</f>
        <v>33468.962788700701</v>
      </c>
      <c r="AH115" s="18">
        <f>SUM(AG$115,'Statistics NZ'!AH$115-'Statistics NZ'!AG$115,$B$13/5*(AH$8-AH$9)*1000)</f>
        <v>33688.962788700701</v>
      </c>
      <c r="AI115" s="18">
        <f>SUM(AH$115,'Statistics NZ'!AI$115-'Statistics NZ'!AH$115,$B$13/5*(AI$8-AI$9)*1000)</f>
        <v>33918.962788700701</v>
      </c>
      <c r="AJ115" s="18">
        <f>SUM(AI$115,'Statistics NZ'!AJ$115-'Statistics NZ'!AI$115,$B$13/5*(AJ$8-AJ$9)*1000)</f>
        <v>34158.962788700701</v>
      </c>
      <c r="AK115" s="18">
        <f>SUM(AJ$115,'Statistics NZ'!AK$115-'Statistics NZ'!AJ$115,$B$13/5*(AK$8-AK$9)*1000)</f>
        <v>34388.962788700701</v>
      </c>
    </row>
    <row r="116" spans="1:37" x14ac:dyDescent="0.25">
      <c r="A116" s="12">
        <f>$A$16</f>
        <v>1</v>
      </c>
      <c r="B116" s="27">
        <f>'Statistics NZ'!B$116*('Economic Forecasts'!D$10-'Economic Forecasts'!D$9)*1000000/SUM('Statistics NZ'!B$15:B$29,'Statistics NZ'!B$115:B$129)</f>
        <v>31149.130371154224</v>
      </c>
      <c r="C116" s="27">
        <f>'Statistics NZ'!C$116*('Economic Forecasts'!E$10-'Economic Forecasts'!E$9)*1000000/SUM('Statistics NZ'!C$15:C$29,'Statistics NZ'!C$115:C$129)</f>
        <v>31798.157747110963</v>
      </c>
      <c r="D116" s="27">
        <f>'Statistics NZ'!D$116*('Economic Forecasts'!F$10-'Economic Forecasts'!F$9)*1000000/SUM('Statistics NZ'!D$15:D$29,'Statistics NZ'!D$115:D$129)</f>
        <v>33511.467208629721</v>
      </c>
      <c r="E116" s="27">
        <f>'Statistics NZ'!E$116*('Economic Forecasts'!G$10-'Economic Forecasts'!G$9)*1000000/SUM('Statistics NZ'!E$15:E$29,'Statistics NZ'!E$115:E$129)</f>
        <v>34793.028984863951</v>
      </c>
      <c r="F116" s="27">
        <f>'Statistics NZ'!F$116*('Economic Forecasts'!H$10-'Economic Forecasts'!H$9)*1000000/SUM('Statistics NZ'!F$15:F$29,'Statistics NZ'!F$115:F$129)</f>
        <v>35014.616689056755</v>
      </c>
      <c r="G116" s="27">
        <f>'Statistics NZ'!G$116*('Economic Forecasts'!I$10-'Economic Forecasts'!I$9)*1000000/SUM('Statistics NZ'!G$15:G$29,'Statistics NZ'!G$115:G$129)</f>
        <v>35001.759067101491</v>
      </c>
      <c r="H116" s="27">
        <f>'Statistics NZ'!H$116*('Economic Forecasts'!J$10-'Economic Forecasts'!J$9)*1000000/SUM('Statistics NZ'!H$15:H$29,'Statistics NZ'!H$115:H$129)</f>
        <v>33976.572031523086</v>
      </c>
      <c r="I116" s="27">
        <f>'Statistics NZ'!I$116*('Economic Forecasts'!K$10-'Economic Forecasts'!K$9)*1000000/SUM('Statistics NZ'!I$15:I$29,'Statistics NZ'!I$115:I$129)</f>
        <v>33387.31720199385</v>
      </c>
      <c r="J116" s="27">
        <f>'Statistics NZ'!J$116*('Economic Forecasts'!L$10-'Economic Forecasts'!L$9)*1000000/SUM('Statistics NZ'!J$15:J$29,'Statistics NZ'!J$115:J$129)</f>
        <v>33091.255991488506</v>
      </c>
      <c r="K116" s="27">
        <f>'Statistics NZ'!K$116*('Economic Forecasts'!M$10-'Economic Forecasts'!M$9)*1000000/SUM('Statistics NZ'!K$15:K$29,'Statistics NZ'!K$115:K$129)</f>
        <v>32488.39709654533</v>
      </c>
      <c r="L116" s="27">
        <f>'Statistics NZ'!L$116*('Economic Forecasts'!N$10-'Economic Forecasts'!N$9)*1000000/SUM('Statistics NZ'!L$15:L$29,'Statistics NZ'!L$115:L$129)</f>
        <v>32734.393588717536</v>
      </c>
      <c r="M116" s="27">
        <f>'Statistics NZ'!M$116*('Economic Forecasts'!O$10-'Economic Forecasts'!O$9)*1000000/SUM('Statistics NZ'!M$15:M$29,'Statistics NZ'!M$115:M$129)</f>
        <v>32761.375062711493</v>
      </c>
      <c r="N116" s="27">
        <f>'Statistics NZ'!N$116*('Economic Forecasts'!P$10-'Economic Forecasts'!P$9)*1000000/SUM('Statistics NZ'!N$15:N$29,'Statistics NZ'!N$115:N$129)</f>
        <v>32696.598941329376</v>
      </c>
      <c r="O116" s="27">
        <f>'Statistics NZ'!O$116*('Economic Forecasts'!Q$10-'Economic Forecasts'!Q$9)*1000000/SUM('Statistics NZ'!O$15:O$29,'Statistics NZ'!O$115:O$129)</f>
        <v>32166.154811059434</v>
      </c>
      <c r="P116" s="27">
        <f>'Statistics NZ'!P$116*('Economic Forecasts'!R$10-'Economic Forecasts'!R$9)*1000000/SUM('Statistics NZ'!P$15:P$29,'Statistics NZ'!P$115:P$129)</f>
        <v>32716.933924712852</v>
      </c>
      <c r="Q116" s="27">
        <f>'Statistics NZ'!Q$116*('Economic Forecasts'!S$10-'Economic Forecasts'!S$9)*1000000/SUM('Statistics NZ'!Q$15:Q$29,'Statistics NZ'!Q$115:Q$129)</f>
        <v>31846.598231989439</v>
      </c>
      <c r="R116" s="27">
        <f>'Statistics NZ'!R$116*('Economic Forecasts'!T$10-'Economic Forecasts'!T$9)*1000000/SUM('Statistics NZ'!R$15:R$29,'Statistics NZ'!R$115:R$129)</f>
        <v>32857.421570967497</v>
      </c>
      <c r="S116" s="27">
        <f>'Statistics NZ'!S$116*('Economic Forecasts'!U$10-'Economic Forecasts'!U$9)*1000000/SUM('Statistics NZ'!S$15:S$29,'Statistics NZ'!S$115:S$129)</f>
        <v>32567.47631370043</v>
      </c>
      <c r="T116" s="27">
        <f>'Statistics NZ'!T$116*('Economic Forecasts'!V$10-'Economic Forecasts'!V$9)*1000000/SUM('Statistics NZ'!T$15:T$29,'Statistics NZ'!T$115:T$129)</f>
        <v>31144.116051228004</v>
      </c>
      <c r="U116" s="28">
        <f>SUM('Statistics NZ'!U$116,$B$13/5*(U$8-U$9)*1000)*('Economic Forecasts'!W$10-'Economic Forecasts'!W$9)*1000000/SUM('Statistics NZ'!U$15:U$29,'Statistics NZ'!U$115:U$129,SUM($B$12:$D$13)*(U$8-U$9)*1000)</f>
        <v>30947.192475935186</v>
      </c>
      <c r="V116" s="28">
        <f>SUM('Statistics NZ'!V$116,$B$13/5*(V$8-V$9)*1000)*('Economic Forecasts'!X$10-'Economic Forecasts'!X$9)*1000000/SUM('Statistics NZ'!V$15:V$29,'Statistics NZ'!V$115:V$129,SUM($B$12:$D$13)*(V$8-V$9)*1000)</f>
        <v>31440.207418696544</v>
      </c>
      <c r="W116" s="28">
        <f>SUM('Statistics NZ'!W$116,$B$13/5*(W$8-W$9)*1000)*('Economic Forecasts'!Y$10-'Economic Forecasts'!Y$9)*1000000/SUM('Statistics NZ'!W$15:W$29,'Statistics NZ'!W$115:W$129,SUM($B$12:$D$13)*(W$8-W$9)*1000)</f>
        <v>31421.36143854649</v>
      </c>
      <c r="X116" s="28">
        <f>SUM('Statistics NZ'!X$116,$B$13/5*(X$8-X$9)*1000)*('Economic Forecasts'!Z$10-'Economic Forecasts'!Z$9)*1000000/SUM('Statistics NZ'!X$15:X$29,'Statistics NZ'!X$115:X$129,SUM($B$12:$D$13)*(X$8-X$9)*1000)</f>
        <v>31780.643271930818</v>
      </c>
      <c r="Y116" s="28">
        <f>SUM('Statistics NZ'!Y$116,$B$13/5*(Y$8-Y$9)*1000)*('Economic Forecasts'!AA$10-'Economic Forecasts'!AA$9)*1000000/SUM('Statistics NZ'!Y$15:Y$29,'Statistics NZ'!Y$115:Y$129,SUM($B$12:$D$13)*(Y$8-Y$9)*1000)</f>
        <v>32128.202051891978</v>
      </c>
      <c r="Z116" s="28">
        <f>SUM('Statistics NZ'!Z$116,$B$13/5*(Z$8-Z$9)*1000)*('Economic Forecasts'!AB$10-'Economic Forecasts'!AB$9)*1000000/SUM('Statistics NZ'!Z$15:Z$29,'Statistics NZ'!Z$115:Z$129,SUM($B$12:$D$13)*(Z$8-Z$9)*1000)</f>
        <v>32489.76907397835</v>
      </c>
      <c r="AA116" s="28">
        <f>SUM('Statistics NZ'!AA$116,$B$13/5*(AA$8-AA$9)*1000)*('Economic Forecasts'!AC$10-'Economic Forecasts'!AC$9)*1000000/SUM('Statistics NZ'!AA$15:AA$29,'Statistics NZ'!AA$115:AA$129,SUM($B$12:$D$13)*(AA$8-AA$9)*1000)</f>
        <v>32830.927032229876</v>
      </c>
      <c r="AB116" s="18">
        <f>SUM(AA$116,'Statistics NZ'!AB$116-'Statistics NZ'!AA$116,$B$13/5*(AB$8-AB$9)*1000)</f>
        <v>32851.740463518901</v>
      </c>
      <c r="AC116" s="18">
        <f>SUM(AB$116,'Statistics NZ'!AC$116-'Statistics NZ'!AB$116,$B$13/5*(AC$8-AC$9)*1000)</f>
        <v>32888.949417711585</v>
      </c>
      <c r="AD116" s="18">
        <f>SUM(AC$116,'Statistics NZ'!AD$116-'Statistics NZ'!AC$116,$B$13/5*(AD$8-AD$9)*1000)</f>
        <v>32941.953148625202</v>
      </c>
      <c r="AE116" s="18">
        <f>SUM(AD$116,'Statistics NZ'!AE$116-'Statistics NZ'!AD$116,$B$13/5*(AE$8-AE$9)*1000)</f>
        <v>33031.953148625202</v>
      </c>
      <c r="AF116" s="18">
        <f>SUM(AE$116,'Statistics NZ'!AF$116-'Statistics NZ'!AE$116,$B$13/5*(AF$8-AF$9)*1000)</f>
        <v>33161.953148625202</v>
      </c>
      <c r="AG116" s="18">
        <f>SUM(AF$116,'Statistics NZ'!AG$116-'Statistics NZ'!AF$116,$B$13/5*(AG$8-AG$9)*1000)</f>
        <v>33321.953148625202</v>
      </c>
      <c r="AH116" s="18">
        <f>SUM(AG$116,'Statistics NZ'!AH$116-'Statistics NZ'!AG$116,$B$13/5*(AH$8-AH$9)*1000)</f>
        <v>33521.953148625202</v>
      </c>
      <c r="AI116" s="18">
        <f>SUM(AH$116,'Statistics NZ'!AI$116-'Statistics NZ'!AH$116,$B$13/5*(AI$8-AI$9)*1000)</f>
        <v>33741.953148625202</v>
      </c>
      <c r="AJ116" s="18">
        <f>SUM(AI$116,'Statistics NZ'!AJ$116-'Statistics NZ'!AI$116,$B$13/5*(AJ$8-AJ$9)*1000)</f>
        <v>33981.953148625202</v>
      </c>
      <c r="AK116" s="18">
        <f>SUM(AJ$116,'Statistics NZ'!AK$116-'Statistics NZ'!AJ$116,$B$13/5*(AK$8-AK$9)*1000)</f>
        <v>34211.953148625202</v>
      </c>
    </row>
    <row r="117" spans="1:37" x14ac:dyDescent="0.25">
      <c r="A117" s="12">
        <f>$A$17</f>
        <v>2</v>
      </c>
      <c r="B117" s="27">
        <f>'Statistics NZ'!B$117*('Economic Forecasts'!D$10-'Economic Forecasts'!D$9)*1000000/SUM('Statistics NZ'!B$15:B$29,'Statistics NZ'!B$115:B$129)</f>
        <v>31286.958381646054</v>
      </c>
      <c r="C117" s="27">
        <f>'Statistics NZ'!C$117*('Economic Forecasts'!E$10-'Economic Forecasts'!E$9)*1000000/SUM('Statistics NZ'!C$15:C$29,'Statistics NZ'!C$115:C$129)</f>
        <v>31081.4607876136</v>
      </c>
      <c r="D117" s="27">
        <f>'Statistics NZ'!D$117*('Economic Forecasts'!F$10-'Economic Forecasts'!F$9)*1000000/SUM('Statistics NZ'!D$15:D$29,'Statistics NZ'!D$115:D$129)</f>
        <v>31813.749706870949</v>
      </c>
      <c r="E117" s="27">
        <f>'Statistics NZ'!E$117*('Economic Forecasts'!G$10-'Economic Forecasts'!G$9)*1000000/SUM('Statistics NZ'!E$15:E$29,'Statistics NZ'!E$115:E$129)</f>
        <v>33548.160149141106</v>
      </c>
      <c r="F117" s="27">
        <f>'Statistics NZ'!F$117*('Economic Forecasts'!H$10-'Economic Forecasts'!H$9)*1000000/SUM('Statistics NZ'!F$15:F$29,'Statistics NZ'!F$115:F$129)</f>
        <v>34951.203558922636</v>
      </c>
      <c r="G117" s="27">
        <f>'Statistics NZ'!G$117*('Economic Forecasts'!I$10-'Economic Forecasts'!I$9)*1000000/SUM('Statistics NZ'!G$15:G$29,'Statistics NZ'!G$115:G$129)</f>
        <v>35012.34641104193</v>
      </c>
      <c r="H117" s="27">
        <f>'Statistics NZ'!H$117*('Economic Forecasts'!J$10-'Economic Forecasts'!J$9)*1000000/SUM('Statistics NZ'!H$15:H$29,'Statistics NZ'!H$115:H$129)</f>
        <v>34909.470109143687</v>
      </c>
      <c r="I117" s="27">
        <f>'Statistics NZ'!I$117*('Economic Forecasts'!K$10-'Economic Forecasts'!K$9)*1000000/SUM('Statistics NZ'!I$15:I$29,'Statistics NZ'!I$115:I$129)</f>
        <v>33982.570230746365</v>
      </c>
      <c r="J117" s="27">
        <f>'Statistics NZ'!J$117*('Economic Forecasts'!L$10-'Economic Forecasts'!L$9)*1000000/SUM('Statistics NZ'!J$15:J$29,'Statistics NZ'!J$115:J$129)</f>
        <v>33795.552313783977</v>
      </c>
      <c r="K117" s="27">
        <f>'Statistics NZ'!K$117*('Economic Forecasts'!M$10-'Economic Forecasts'!M$9)*1000000/SUM('Statistics NZ'!K$15:K$29,'Statistics NZ'!K$115:K$129)</f>
        <v>33612.377885717411</v>
      </c>
      <c r="L117" s="27">
        <f>'Statistics NZ'!L$117*('Economic Forecasts'!N$10-'Economic Forecasts'!N$9)*1000000/SUM('Statistics NZ'!L$15:L$29,'Statistics NZ'!L$115:L$129)</f>
        <v>33022.755294066759</v>
      </c>
      <c r="M117" s="27">
        <f>'Statistics NZ'!M$117*('Economic Forecasts'!O$10-'Economic Forecasts'!O$9)*1000000/SUM('Statistics NZ'!M$15:M$29,'Statistics NZ'!M$115:M$129)</f>
        <v>33142.6907763415</v>
      </c>
      <c r="N117" s="27">
        <f>'Statistics NZ'!N$117*('Economic Forecasts'!P$10-'Economic Forecasts'!P$9)*1000000/SUM('Statistics NZ'!N$15:N$29,'Statistics NZ'!N$115:N$129)</f>
        <v>33246.832968821007</v>
      </c>
      <c r="O117" s="27">
        <f>'Statistics NZ'!O$117*('Economic Forecasts'!Q$10-'Economic Forecasts'!Q$9)*1000000/SUM('Statistics NZ'!O$15:O$29,'Statistics NZ'!O$115:O$129)</f>
        <v>32869.526995243825</v>
      </c>
      <c r="P117" s="27">
        <f>'Statistics NZ'!P$117*('Economic Forecasts'!R$10-'Economic Forecasts'!R$9)*1000000/SUM('Statistics NZ'!P$15:P$29,'Statistics NZ'!P$115:P$129)</f>
        <v>32790.810872284783</v>
      </c>
      <c r="Q117" s="27">
        <f>'Statistics NZ'!Q$117*('Economic Forecasts'!S$10-'Economic Forecasts'!S$9)*1000000/SUM('Statistics NZ'!Q$15:Q$29,'Statistics NZ'!Q$115:Q$129)</f>
        <v>32675.008261731673</v>
      </c>
      <c r="R117" s="27">
        <f>'Statistics NZ'!R$117*('Economic Forecasts'!T$10-'Economic Forecasts'!T$9)*1000000/SUM('Statistics NZ'!R$15:R$29,'Statistics NZ'!R$115:R$129)</f>
        <v>32016.002324591886</v>
      </c>
      <c r="S117" s="27">
        <f>'Statistics NZ'!S$117*('Economic Forecasts'!U$10-'Economic Forecasts'!U$9)*1000000/SUM('Statistics NZ'!S$15:S$29,'Statistics NZ'!S$115:S$129)</f>
        <v>33531.261791601813</v>
      </c>
      <c r="T117" s="27">
        <f>'Statistics NZ'!T$117*('Economic Forecasts'!V$10-'Economic Forecasts'!V$9)*1000000/SUM('Statistics NZ'!T$15:T$29,'Statistics NZ'!T$115:T$129)</f>
        <v>33023.957576191919</v>
      </c>
      <c r="U117" s="28">
        <f>SUM('Statistics NZ'!U$117,$B$13/5*(U$8-U$9)*1000)*('Economic Forecasts'!W$10-'Economic Forecasts'!W$9)*1000000/SUM('Statistics NZ'!U$15:U$29,'Statistics NZ'!U$115:U$129,SUM($B$12:$D$13)*(U$8-U$9)*1000)</f>
        <v>31318.757227998452</v>
      </c>
      <c r="V117" s="28">
        <f>SUM('Statistics NZ'!V$117,$B$13/5*(V$8-V$9)*1000)*('Economic Forecasts'!X$10-'Economic Forecasts'!X$9)*1000000/SUM('Statistics NZ'!V$15:V$29,'Statistics NZ'!V$115:V$129,SUM($B$12:$D$13)*(V$8-V$9)*1000)</f>
        <v>30943.763758193811</v>
      </c>
      <c r="W117" s="28">
        <f>SUM('Statistics NZ'!W$117,$B$13/5*(W$8-W$9)*1000)*('Economic Forecasts'!Y$10-'Economic Forecasts'!Y$9)*1000000/SUM('Statistics NZ'!W$15:W$29,'Statistics NZ'!W$115:W$129,SUM($B$12:$D$13)*(W$8-W$9)*1000)</f>
        <v>31547.651411149953</v>
      </c>
      <c r="X117" s="28">
        <f>SUM('Statistics NZ'!X$117,$B$13/5*(X$8-X$9)*1000)*('Economic Forecasts'!Z$10-'Economic Forecasts'!Z$9)*1000000/SUM('Statistics NZ'!X$15:X$29,'Statistics NZ'!X$115:X$129,SUM($B$12:$D$13)*(X$8-X$9)*1000)</f>
        <v>31940.154655210692</v>
      </c>
      <c r="Y117" s="28">
        <f>SUM('Statistics NZ'!Y$117,$B$13/5*(Y$8-Y$9)*1000)*('Economic Forecasts'!AA$10-'Economic Forecasts'!AA$9)*1000000/SUM('Statistics NZ'!Y$15:Y$29,'Statistics NZ'!Y$115:Y$129,SUM($B$12:$D$13)*(Y$8-Y$9)*1000)</f>
        <v>32310.994100290722</v>
      </c>
      <c r="Z117" s="28">
        <f>SUM('Statistics NZ'!Z$117,$B$13/5*(Z$8-Z$9)*1000)*('Economic Forecasts'!AB$10-'Economic Forecasts'!AB$9)*1000000/SUM('Statistics NZ'!Z$15:Z$29,'Statistics NZ'!Z$115:Z$129,SUM($B$12:$D$13)*(Z$8-Z$9)*1000)</f>
        <v>32685.576938974922</v>
      </c>
      <c r="AA117" s="28">
        <f>SUM('Statistics NZ'!AA$117,$B$13/5*(AA$8-AA$9)*1000)*('Economic Forecasts'!AC$10-'Economic Forecasts'!AC$9)*1000000/SUM('Statistics NZ'!AA$15:AA$29,'Statistics NZ'!AA$115:AA$129,SUM($B$12:$D$13)*(AA$8-AA$9)*1000)</f>
        <v>33039.865978418384</v>
      </c>
      <c r="AB117" s="18">
        <f>SUM(AA$117,'Statistics NZ'!AB$117-'Statistics NZ'!AA$117,$B$13/5*(AB$8-AB$9)*1000)</f>
        <v>33040.679409707409</v>
      </c>
      <c r="AC117" s="18">
        <f>SUM(AB$117,'Statistics NZ'!AC$117-'Statistics NZ'!AB$117,$B$13/5*(AC$8-AC$9)*1000)</f>
        <v>33057.888363900092</v>
      </c>
      <c r="AD117" s="18">
        <f>SUM(AC$117,'Statistics NZ'!AD$117-'Statistics NZ'!AC$117,$B$13/5*(AD$8-AD$9)*1000)</f>
        <v>33090.892094813709</v>
      </c>
      <c r="AE117" s="18">
        <f>SUM(AD$117,'Statistics NZ'!AE$117-'Statistics NZ'!AD$117,$B$13/5*(AE$8-AE$9)*1000)</f>
        <v>33140.892094813709</v>
      </c>
      <c r="AF117" s="18">
        <f>SUM(AE$117,'Statistics NZ'!AF$117-'Statistics NZ'!AE$117,$B$13/5*(AF$8-AF$9)*1000)</f>
        <v>33230.892094813709</v>
      </c>
      <c r="AG117" s="18">
        <f>SUM(AF$117,'Statistics NZ'!AG$117-'Statistics NZ'!AF$117,$B$13/5*(AG$8-AG$9)*1000)</f>
        <v>33370.892094813709</v>
      </c>
      <c r="AH117" s="18">
        <f>SUM(AG$117,'Statistics NZ'!AH$117-'Statistics NZ'!AG$117,$B$13/5*(AH$8-AH$9)*1000)</f>
        <v>33530.892094813709</v>
      </c>
      <c r="AI117" s="18">
        <f>SUM(AH$117,'Statistics NZ'!AI$117-'Statistics NZ'!AH$117,$B$13/5*(AI$8-AI$9)*1000)</f>
        <v>33730.892094813709</v>
      </c>
      <c r="AJ117" s="18">
        <f>SUM(AI$117,'Statistics NZ'!AJ$117-'Statistics NZ'!AI$117,$B$13/5*(AJ$8-AJ$9)*1000)</f>
        <v>33950.892094813709</v>
      </c>
      <c r="AK117" s="18">
        <f>SUM(AJ$117,'Statistics NZ'!AK$117-'Statistics NZ'!AJ$117,$B$13/5*(AK$8-AK$9)*1000)</f>
        <v>34190.892094813709</v>
      </c>
    </row>
    <row r="118" spans="1:37" x14ac:dyDescent="0.25">
      <c r="A118" s="12">
        <f>$A$18</f>
        <v>3</v>
      </c>
      <c r="B118" s="27">
        <f>'Statistics NZ'!B$118*('Economic Forecasts'!D$10-'Economic Forecasts'!D$9)*1000000/SUM('Statistics NZ'!B$15:B$29,'Statistics NZ'!B$115:B$129)</f>
        <v>30534.20540126758</v>
      </c>
      <c r="C118" s="27">
        <f>'Statistics NZ'!C$118*('Economic Forecasts'!E$10-'Economic Forecasts'!E$9)*1000000/SUM('Statistics NZ'!C$15:C$29,'Statistics NZ'!C$115:C$129)</f>
        <v>31281.714349826096</v>
      </c>
      <c r="D118" s="27">
        <f>'Statistics NZ'!D$118*('Economic Forecasts'!F$10-'Economic Forecasts'!F$9)*1000000/SUM('Statistics NZ'!D$15:D$29,'Statistics NZ'!D$115:D$129)</f>
        <v>31159.970296255768</v>
      </c>
      <c r="E118" s="27">
        <f>'Statistics NZ'!E$118*('Economic Forecasts'!G$10-'Economic Forecasts'!G$9)*1000000/SUM('Statistics NZ'!E$15:E$29,'Statistics NZ'!E$115:E$129)</f>
        <v>31944.600292955743</v>
      </c>
      <c r="F118" s="27">
        <f>'Statistics NZ'!F$118*('Economic Forecasts'!H$10-'Economic Forecasts'!H$9)*1000000/SUM('Statistics NZ'!F$15:F$29,'Statistics NZ'!F$115:F$129)</f>
        <v>33672.372101217872</v>
      </c>
      <c r="G118" s="27">
        <f>'Statistics NZ'!G$118*('Economic Forecasts'!I$10-'Economic Forecasts'!I$9)*1000000/SUM('Statistics NZ'!G$15:G$29,'Statistics NZ'!G$115:G$129)</f>
        <v>34885.298283756631</v>
      </c>
      <c r="H118" s="27">
        <f>'Statistics NZ'!H$118*('Economic Forecasts'!J$10-'Economic Forecasts'!J$9)*1000000/SUM('Statistics NZ'!H$15:H$29,'Statistics NZ'!H$115:H$129)</f>
        <v>34951.874567217354</v>
      </c>
      <c r="I118" s="27">
        <f>'Statistics NZ'!I$118*('Economic Forecasts'!K$10-'Economic Forecasts'!K$9)*1000000/SUM('Statistics NZ'!I$15:I$29,'Statistics NZ'!I$115:I$129)</f>
        <v>35034.892549433855</v>
      </c>
      <c r="J118" s="27">
        <f>'Statistics NZ'!J$118*('Economic Forecasts'!L$10-'Economic Forecasts'!L$9)*1000000/SUM('Statistics NZ'!J$15:J$29,'Statistics NZ'!J$115:J$129)</f>
        <v>34382.465915696863</v>
      </c>
      <c r="K118" s="27">
        <f>'Statistics NZ'!K$118*('Economic Forecasts'!M$10-'Economic Forecasts'!M$9)*1000000/SUM('Statistics NZ'!K$15:K$29,'Statistics NZ'!K$115:K$129)</f>
        <v>34276.061780276163</v>
      </c>
      <c r="L118" s="27">
        <f>'Statistics NZ'!L$118*('Economic Forecasts'!N$10-'Economic Forecasts'!N$9)*1000000/SUM('Statistics NZ'!L$15:L$29,'Statistics NZ'!L$115:L$129)</f>
        <v>34144.161925980414</v>
      </c>
      <c r="M118" s="27">
        <f>'Statistics NZ'!M$118*('Economic Forecasts'!O$10-'Economic Forecasts'!O$9)*1000000/SUM('Statistics NZ'!M$15:M$29,'Statistics NZ'!M$115:M$129)</f>
        <v>33439.269664720392</v>
      </c>
      <c r="N118" s="27">
        <f>'Statistics NZ'!N$118*('Economic Forecasts'!P$10-'Economic Forecasts'!P$9)*1000000/SUM('Statistics NZ'!N$15:N$29,'Statistics NZ'!N$115:N$129)</f>
        <v>33701.834183862156</v>
      </c>
      <c r="O118" s="27">
        <f>'Statistics NZ'!O$118*('Economic Forecasts'!Q$10-'Economic Forecasts'!Q$9)*1000000/SUM('Statistics NZ'!O$15:O$29,'Statistics NZ'!O$115:O$129)</f>
        <v>33446.922071813104</v>
      </c>
      <c r="P118" s="27">
        <f>'Statistics NZ'!P$118*('Economic Forecasts'!R$10-'Economic Forecasts'!R$9)*1000000/SUM('Statistics NZ'!P$15:P$29,'Statistics NZ'!P$115:P$129)</f>
        <v>33687.888092801106</v>
      </c>
      <c r="Q118" s="27">
        <f>'Statistics NZ'!Q$118*('Economic Forecasts'!S$10-'Economic Forecasts'!S$9)*1000000/SUM('Statistics NZ'!Q$15:Q$29,'Statistics NZ'!Q$115:Q$129)</f>
        <v>32758.89788499671</v>
      </c>
      <c r="R118" s="27">
        <f>'Statistics NZ'!R$118*('Economic Forecasts'!T$10-'Economic Forecasts'!T$9)*1000000/SUM('Statistics NZ'!R$15:R$29,'Statistics NZ'!R$115:R$129)</f>
        <v>33015.187679662922</v>
      </c>
      <c r="S118" s="27">
        <f>'Statistics NZ'!S$118*('Economic Forecasts'!U$10-'Economic Forecasts'!U$9)*1000000/SUM('Statistics NZ'!S$15:S$29,'Statistics NZ'!S$115:S$129)</f>
        <v>32927.571986762487</v>
      </c>
      <c r="T118" s="27">
        <f>'Statistics NZ'!T$118*('Economic Forecasts'!V$10-'Economic Forecasts'!V$9)*1000000/SUM('Statistics NZ'!T$15:T$29,'Statistics NZ'!T$115:T$129)</f>
        <v>34006.121968448351</v>
      </c>
      <c r="U118" s="28">
        <f>SUM('Statistics NZ'!U$118,$B$13/5*(U$8-U$9)*1000)*('Economic Forecasts'!W$10-'Economic Forecasts'!W$9)*1000000/SUM('Statistics NZ'!U$15:U$29,'Statistics NZ'!U$115:U$129,SUM($B$12:$D$13)*(U$8-U$9)*1000)</f>
        <v>33250.893938727444</v>
      </c>
      <c r="V118" s="28">
        <f>SUM('Statistics NZ'!V$118,$B$13/5*(V$8-V$9)*1000)*('Economic Forecasts'!X$10-'Economic Forecasts'!X$9)*1000000/SUM('Statistics NZ'!V$15:V$29,'Statistics NZ'!V$115:V$129,SUM($B$12:$D$13)*(V$8-V$9)*1000)</f>
        <v>31366.269001174856</v>
      </c>
      <c r="W118" s="28">
        <f>SUM('Statistics NZ'!W$118,$B$13/5*(W$8-W$9)*1000)*('Economic Forecasts'!Y$10-'Economic Forecasts'!Y$9)*1000000/SUM('Statistics NZ'!W$15:W$29,'Statistics NZ'!W$115:W$129,SUM($B$12:$D$13)*(W$8-W$9)*1000)</f>
        <v>31105.636507037838</v>
      </c>
      <c r="X118" s="28">
        <f>SUM('Statistics NZ'!X$118,$B$13/5*(X$8-X$9)*1000)*('Economic Forecasts'!Z$10-'Economic Forecasts'!Z$9)*1000000/SUM('Statistics NZ'!X$15:X$29,'Statistics NZ'!X$115:X$129,SUM($B$12:$D$13)*(X$8-X$9)*1000)</f>
        <v>32120.934222927881</v>
      </c>
      <c r="Y118" s="28">
        <f>SUM('Statistics NZ'!Y$118,$B$13/5*(Y$8-Y$9)*1000)*('Economic Forecasts'!AA$10-'Economic Forecasts'!AA$9)*1000000/SUM('Statistics NZ'!Y$15:Y$29,'Statistics NZ'!Y$115:Y$129,SUM($B$12:$D$13)*(Y$8-Y$9)*1000)</f>
        <v>32536.796042430349</v>
      </c>
      <c r="Z118" s="28">
        <f>SUM('Statistics NZ'!Z$118,$B$13/5*(Z$8-Z$9)*1000)*('Economic Forecasts'!AB$10-'Economic Forecasts'!AB$9)*1000000/SUM('Statistics NZ'!Z$15:Z$29,'Statistics NZ'!Z$115:Z$129,SUM($B$12:$D$13)*(Z$8-Z$9)*1000)</f>
        <v>32935.775877581655</v>
      </c>
      <c r="AA118" s="28">
        <f>SUM('Statistics NZ'!AA$118,$B$13/5*(AA$8-AA$9)*1000)*('Economic Forecasts'!AC$10-'Economic Forecasts'!AC$9)*1000000/SUM('Statistics NZ'!AA$15:AA$29,'Statistics NZ'!AA$115:AA$129,SUM($B$12:$D$13)*(AA$8-AA$9)*1000)</f>
        <v>33292.792071172895</v>
      </c>
      <c r="AB118" s="18">
        <f>SUM(AA$118,'Statistics NZ'!AB$118-'Statistics NZ'!AA$118,$B$13/5*(AB$8-AB$9)*1000)</f>
        <v>33303.60550246192</v>
      </c>
      <c r="AC118" s="18">
        <f>SUM(AB$118,'Statistics NZ'!AC$118-'Statistics NZ'!AB$118,$B$13/5*(AC$8-AC$9)*1000)</f>
        <v>33300.814456654603</v>
      </c>
      <c r="AD118" s="18">
        <f>SUM(AC$118,'Statistics NZ'!AD$118-'Statistics NZ'!AC$118,$B$13/5*(AD$8-AD$9)*1000)</f>
        <v>33313.81818756822</v>
      </c>
      <c r="AE118" s="18">
        <f>SUM(AD$118,'Statistics NZ'!AE$118-'Statistics NZ'!AD$118,$B$13/5*(AE$8-AE$9)*1000)</f>
        <v>33343.81818756822</v>
      </c>
      <c r="AF118" s="18">
        <f>SUM(AE$118,'Statistics NZ'!AF$118-'Statistics NZ'!AE$118,$B$13/5*(AF$8-AF$9)*1000)</f>
        <v>33403.81818756822</v>
      </c>
      <c r="AG118" s="18">
        <f>SUM(AF$118,'Statistics NZ'!AG$118-'Statistics NZ'!AF$118,$B$13/5*(AG$8-AG$9)*1000)</f>
        <v>33503.81818756822</v>
      </c>
      <c r="AH118" s="18">
        <f>SUM(AG$118,'Statistics NZ'!AH$118-'Statistics NZ'!AG$118,$B$13/5*(AH$8-AH$9)*1000)</f>
        <v>33633.81818756822</v>
      </c>
      <c r="AI118" s="18">
        <f>SUM(AH$118,'Statistics NZ'!AI$118-'Statistics NZ'!AH$118,$B$13/5*(AI$8-AI$9)*1000)</f>
        <v>33803.81818756822</v>
      </c>
      <c r="AJ118" s="18">
        <f>SUM(AI$118,'Statistics NZ'!AJ$118-'Statistics NZ'!AI$118,$B$13/5*(AJ$8-AJ$9)*1000)</f>
        <v>34003.81818756822</v>
      </c>
      <c r="AK118" s="18">
        <f>SUM(AJ$118,'Statistics NZ'!AK$118-'Statistics NZ'!AJ$118,$B$13/5*(AK$8-AK$9)*1000)</f>
        <v>34223.81818756822</v>
      </c>
    </row>
    <row r="119" spans="1:37" x14ac:dyDescent="0.25">
      <c r="A119" s="12">
        <f>$A$19</f>
        <v>4</v>
      </c>
      <c r="B119" s="27">
        <f>'Statistics NZ'!B$119*('Economic Forecasts'!D$10-'Economic Forecasts'!D$9)*1000000/SUM('Statistics NZ'!B$15:B$29,'Statistics NZ'!B$115:B$129)</f>
        <v>30078.312751179208</v>
      </c>
      <c r="C119" s="27">
        <f>'Statistics NZ'!C$119*('Economic Forecasts'!E$10-'Economic Forecasts'!E$9)*1000000/SUM('Statistics NZ'!C$15:C$29,'Statistics NZ'!C$115:C$129)</f>
        <v>30533.398406821496</v>
      </c>
      <c r="D119" s="27">
        <f>'Statistics NZ'!D$119*('Economic Forecasts'!F$10-'Economic Forecasts'!F$9)*1000000/SUM('Statistics NZ'!D$15:D$29,'Statistics NZ'!D$115:D$129)</f>
        <v>31360.322051121711</v>
      </c>
      <c r="E119" s="27">
        <f>'Statistics NZ'!E$119*('Economic Forecasts'!G$10-'Economic Forecasts'!G$9)*1000000/SUM('Statistics NZ'!E$15:E$29,'Statistics NZ'!E$115:E$129)</f>
        <v>31301.066403302408</v>
      </c>
      <c r="F119" s="27">
        <f>'Statistics NZ'!F$119*('Economic Forecasts'!H$10-'Economic Forecasts'!H$9)*1000000/SUM('Statistics NZ'!F$15:F$29,'Statistics NZ'!F$115:F$129)</f>
        <v>32013.061862708393</v>
      </c>
      <c r="G119" s="27">
        <f>'Statistics NZ'!G$119*('Economic Forecasts'!I$10-'Economic Forecasts'!I$9)*1000000/SUM('Statistics NZ'!G$15:G$29,'Statistics NZ'!G$115:G$129)</f>
        <v>33678.341074546232</v>
      </c>
      <c r="H119" s="27">
        <f>'Statistics NZ'!H$119*('Economic Forecasts'!J$10-'Economic Forecasts'!J$9)*1000000/SUM('Statistics NZ'!H$15:H$29,'Statistics NZ'!H$115:H$129)</f>
        <v>34792.857849441112</v>
      </c>
      <c r="I119" s="27">
        <f>'Statistics NZ'!I$119*('Economic Forecasts'!K$10-'Economic Forecasts'!K$9)*1000000/SUM('Statistics NZ'!I$15:I$29,'Statistics NZ'!I$115:I$129)</f>
        <v>35003.003994322105</v>
      </c>
      <c r="J119" s="27">
        <f>'Statistics NZ'!J$119*('Economic Forecasts'!L$10-'Economic Forecasts'!L$9)*1000000/SUM('Statistics NZ'!J$15:J$29,'Statistics NZ'!J$115:J$129)</f>
        <v>35332.198835155905</v>
      </c>
      <c r="K119" s="27">
        <f>'Statistics NZ'!K$119*('Economic Forecasts'!M$10-'Economic Forecasts'!M$9)*1000000/SUM('Statistics NZ'!K$15:K$29,'Statistics NZ'!K$115:K$129)</f>
        <v>34832.699885389949</v>
      </c>
      <c r="L119" s="27">
        <f>'Statistics NZ'!L$119*('Economic Forecasts'!N$10-'Economic Forecasts'!N$9)*1000000/SUM('Statistics NZ'!L$15:L$29,'Statistics NZ'!L$115:L$129)</f>
        <v>34667.48502087345</v>
      </c>
      <c r="M119" s="27">
        <f>'Statistics NZ'!M$119*('Economic Forecasts'!O$10-'Economic Forecasts'!O$9)*1000000/SUM('Statistics NZ'!M$15:M$29,'Statistics NZ'!M$115:M$129)</f>
        <v>34403.151051951805</v>
      </c>
      <c r="N119" s="27">
        <f>'Statistics NZ'!N$119*('Economic Forecasts'!P$10-'Economic Forecasts'!P$9)*1000000/SUM('Statistics NZ'!N$15:N$29,'Statistics NZ'!N$115:N$129)</f>
        <v>33987.532621213577</v>
      </c>
      <c r="O119" s="27">
        <f>'Statistics NZ'!O$119*('Economic Forecasts'!Q$10-'Economic Forecasts'!Q$9)*1000000/SUM('Statistics NZ'!O$15:O$29,'Statistics NZ'!O$115:O$129)</f>
        <v>33971.826686876084</v>
      </c>
      <c r="P119" s="27">
        <f>'Statistics NZ'!P$119*('Economic Forecasts'!R$10-'Economic Forecasts'!R$9)*1000000/SUM('Statistics NZ'!P$15:P$29,'Statistics NZ'!P$115:P$129)</f>
        <v>34152.257477538966</v>
      </c>
      <c r="Q119" s="27">
        <f>'Statistics NZ'!Q$119*('Economic Forecasts'!S$10-'Economic Forecasts'!S$9)*1000000/SUM('Statistics NZ'!Q$15:Q$29,'Statistics NZ'!Q$115:Q$129)</f>
        <v>33576.821711830817</v>
      </c>
      <c r="R119" s="27">
        <f>'Statistics NZ'!R$119*('Economic Forecasts'!T$10-'Economic Forecasts'!T$9)*1000000/SUM('Statistics NZ'!R$15:R$29,'Statistics NZ'!R$115:R$129)</f>
        <v>32983.634457923836</v>
      </c>
      <c r="S119" s="27">
        <f>'Statistics NZ'!S$119*('Economic Forecasts'!U$10-'Economic Forecasts'!U$9)*1000000/SUM('Statistics NZ'!S$15:S$29,'Statistics NZ'!S$115:S$129)</f>
        <v>34039.632153571773</v>
      </c>
      <c r="T119" s="27">
        <f>'Statistics NZ'!T$119*('Economic Forecasts'!V$10-'Economic Forecasts'!V$9)*1000000/SUM('Statistics NZ'!T$15:T$29,'Statistics NZ'!T$115:T$129)</f>
        <v>33625.929300478121</v>
      </c>
      <c r="U119" s="28">
        <f>SUM('Statistics NZ'!U$119,$B$13/5*(U$8-U$9)*1000)*('Economic Forecasts'!W$10-'Economic Forecasts'!W$9)*1000000/SUM('Statistics NZ'!U$15:U$29,'Statistics NZ'!U$115:U$129,SUM($B$12:$D$13)*(U$8-U$9)*1000)</f>
        <v>34280.659108731365</v>
      </c>
      <c r="V119" s="28">
        <f>SUM('Statistics NZ'!V$119,$B$13/5*(V$8-V$9)*1000)*('Economic Forecasts'!X$10-'Economic Forecasts'!X$9)*1000000/SUM('Statistics NZ'!V$15:V$29,'Statistics NZ'!V$115:V$129,SUM($B$12:$D$13)*(V$8-V$9)*1000)</f>
        <v>33330.918381036725</v>
      </c>
      <c r="W119" s="28">
        <f>SUM('Statistics NZ'!W$119,$B$13/5*(W$8-W$9)*1000)*('Economic Forecasts'!Y$10-'Economic Forecasts'!Y$9)*1000000/SUM('Statistics NZ'!W$15:W$29,'Statistics NZ'!W$115:W$129,SUM($B$12:$D$13)*(W$8-W$9)*1000)</f>
        <v>31579.223904300816</v>
      </c>
      <c r="X119" s="28">
        <f>SUM('Statistics NZ'!X$119,$B$13/5*(X$8-X$9)*1000)*('Economic Forecasts'!Z$10-'Economic Forecasts'!Z$9)*1000000/SUM('Statistics NZ'!X$15:X$29,'Statistics NZ'!X$115:X$129,SUM($B$12:$D$13)*(X$8-X$9)*1000)</f>
        <v>31727.472810837528</v>
      </c>
      <c r="Y119" s="28">
        <f>SUM('Statistics NZ'!Y$119,$B$13/5*(Y$8-Y$9)*1000)*('Economic Forecasts'!AA$10-'Economic Forecasts'!AA$9)*1000000/SUM('Statistics NZ'!Y$15:Y$29,'Statistics NZ'!Y$115:Y$129,SUM($B$12:$D$13)*(Y$8-Y$9)*1000)</f>
        <v>32773.350458005189</v>
      </c>
      <c r="Z119" s="28">
        <f>SUM('Statistics NZ'!Z$119,$B$13/5*(Z$8-Z$9)*1000)*('Economic Forecasts'!AB$10-'Economic Forecasts'!AB$9)*1000000/SUM('Statistics NZ'!Z$15:Z$29,'Statistics NZ'!Z$115:Z$129,SUM($B$12:$D$13)*(Z$8-Z$9)*1000)</f>
        <v>33207.731245632451</v>
      </c>
      <c r="AA119" s="28">
        <f>SUM('Statistics NZ'!AA$119,$B$13/5*(AA$8-AA$9)*1000)*('Economic Forecasts'!AC$10-'Economic Forecasts'!AC$9)*1000000/SUM('Statistics NZ'!AA$15:AA$29,'Statistics NZ'!AA$115:AA$129,SUM($B$12:$D$13)*(AA$8-AA$9)*1000)</f>
        <v>33600.702097134905</v>
      </c>
      <c r="AB119" s="18">
        <f>SUM(AA$119,'Statistics NZ'!AB$119-'Statistics NZ'!AA$119,$B$13/5*(AB$8-AB$9)*1000)</f>
        <v>33621.51552842393</v>
      </c>
      <c r="AC119" s="18">
        <f>SUM(AB$119,'Statistics NZ'!AC$119-'Statistics NZ'!AB$119,$B$13/5*(AC$8-AC$9)*1000)</f>
        <v>33618.724482616613</v>
      </c>
      <c r="AD119" s="18">
        <f>SUM(AC$119,'Statistics NZ'!AD$119-'Statistics NZ'!AC$119,$B$13/5*(AD$8-AD$9)*1000)</f>
        <v>33621.72821353023</v>
      </c>
      <c r="AE119" s="18">
        <f>SUM(AD$119,'Statistics NZ'!AE$119-'Statistics NZ'!AD$119,$B$13/5*(AE$8-AE$9)*1000)</f>
        <v>33631.72821353023</v>
      </c>
      <c r="AF119" s="18">
        <f>SUM(AE$119,'Statistics NZ'!AF$119-'Statistics NZ'!AE$119,$B$13/5*(AF$8-AF$9)*1000)</f>
        <v>33661.72821353023</v>
      </c>
      <c r="AG119" s="18">
        <f>SUM(AF$119,'Statistics NZ'!AG$119-'Statistics NZ'!AF$119,$B$13/5*(AG$8-AG$9)*1000)</f>
        <v>33721.72821353023</v>
      </c>
      <c r="AH119" s="18">
        <f>SUM(AG$119,'Statistics NZ'!AH$119-'Statistics NZ'!AG$119,$B$13/5*(AH$8-AH$9)*1000)</f>
        <v>33821.72821353023</v>
      </c>
      <c r="AI119" s="18">
        <f>SUM(AH$119,'Statistics NZ'!AI$119-'Statistics NZ'!AH$119,$B$13/5*(AI$8-AI$9)*1000)</f>
        <v>33951.72821353023</v>
      </c>
      <c r="AJ119" s="18">
        <f>SUM(AI$119,'Statistics NZ'!AJ$119-'Statistics NZ'!AI$119,$B$13/5*(AJ$8-AJ$9)*1000)</f>
        <v>34131.72821353023</v>
      </c>
      <c r="AK119" s="18">
        <f>SUM(AJ$119,'Statistics NZ'!AK$119-'Statistics NZ'!AJ$119,$B$13/5*(AK$8-AK$9)*1000)</f>
        <v>34331.72821353023</v>
      </c>
    </row>
    <row r="120" spans="1:37" x14ac:dyDescent="0.25">
      <c r="A120" s="12">
        <f>$A$20</f>
        <v>5</v>
      </c>
      <c r="B120" s="27">
        <f>'Statistics NZ'!B$120*('Economic Forecasts'!D$10-'Economic Forecasts'!D$9)*1000000/SUM('Statistics NZ'!B$15:B$29,'Statistics NZ'!B$115:B$129)</f>
        <v>31456.592856097537</v>
      </c>
      <c r="C120" s="27">
        <f>'Statistics NZ'!C$120*('Economic Forecasts'!E$10-'Economic Forecasts'!E$9)*1000000/SUM('Statistics NZ'!C$15:C$29,'Statistics NZ'!C$115:C$129)</f>
        <v>30132.8912823965</v>
      </c>
      <c r="D120" s="27">
        <f>'Statistics NZ'!D$120*('Economic Forecasts'!F$10-'Economic Forecasts'!F$9)*1000000/SUM('Statistics NZ'!D$15:D$29,'Statistics NZ'!D$115:D$129)</f>
        <v>30685.452982099589</v>
      </c>
      <c r="E120" s="27">
        <f>'Statistics NZ'!E$120*('Economic Forecasts'!G$10-'Economic Forecasts'!G$9)*1000000/SUM('Statistics NZ'!E$15:E$29,'Statistics NZ'!E$115:E$129)</f>
        <v>31512.061121221534</v>
      </c>
      <c r="F120" s="27">
        <f>'Statistics NZ'!F$120*('Economic Forecasts'!H$10-'Economic Forecasts'!H$9)*1000000/SUM('Statistics NZ'!F$15:F$29,'Statistics NZ'!F$115:F$129)</f>
        <v>31452.912546523665</v>
      </c>
      <c r="G120" s="27">
        <f>'Statistics NZ'!G$120*('Economic Forecasts'!I$10-'Economic Forecasts'!I$9)*1000000/SUM('Statistics NZ'!G$15:G$29,'Statistics NZ'!G$115:G$129)</f>
        <v>32016.128075896828</v>
      </c>
      <c r="H120" s="27">
        <f>'Statistics NZ'!H$120*('Economic Forecasts'!J$10-'Economic Forecasts'!J$9)*1000000/SUM('Statistics NZ'!H$15:H$29,'Statistics NZ'!H$115:H$129)</f>
        <v>33573.729679823278</v>
      </c>
      <c r="I120" s="27">
        <f>'Statistics NZ'!I$120*('Economic Forecasts'!K$10-'Economic Forecasts'!K$9)*1000000/SUM('Statistics NZ'!I$15:I$29,'Statistics NZ'!I$115:I$129)</f>
        <v>34790.4136269105</v>
      </c>
      <c r="J120" s="27">
        <f>'Statistics NZ'!J$120*('Economic Forecasts'!L$10-'Economic Forecasts'!L$9)*1000000/SUM('Statistics NZ'!J$15:J$29,'Statistics NZ'!J$115:J$129)</f>
        <v>35268.171896765409</v>
      </c>
      <c r="K120" s="27">
        <f>'Statistics NZ'!K$120*('Economic Forecasts'!M$10-'Economic Forecasts'!M$9)*1000000/SUM('Statistics NZ'!K$15:K$29,'Statistics NZ'!K$115:K$129)</f>
        <v>35710.475358838623</v>
      </c>
      <c r="L120" s="27">
        <f>'Statistics NZ'!L$120*('Economic Forecasts'!N$10-'Economic Forecasts'!N$9)*1000000/SUM('Statistics NZ'!L$15:L$29,'Statistics NZ'!L$115:L$129)</f>
        <v>35233.528368410814</v>
      </c>
      <c r="M120" s="27">
        <f>'Statistics NZ'!M$120*('Economic Forecasts'!O$10-'Economic Forecasts'!O$9)*1000000/SUM('Statistics NZ'!M$15:M$29,'Statistics NZ'!M$115:M$129)</f>
        <v>34900.979900302089</v>
      </c>
      <c r="N120" s="27">
        <f>'Statistics NZ'!N$120*('Economic Forecasts'!P$10-'Economic Forecasts'!P$9)*1000000/SUM('Statistics NZ'!N$15:N$29,'Statistics NZ'!N$115:N$129)</f>
        <v>34876.37220408467</v>
      </c>
      <c r="O120" s="27">
        <f>'Statistics NZ'!O$120*('Economic Forecasts'!Q$10-'Economic Forecasts'!Q$9)*1000000/SUM('Statistics NZ'!O$15:O$29,'Statistics NZ'!O$115:O$129)</f>
        <v>34307.765640516387</v>
      </c>
      <c r="P120" s="27">
        <f>'Statistics NZ'!P$120*('Economic Forecasts'!R$10-'Economic Forecasts'!R$9)*1000000/SUM('Statistics NZ'!P$15:P$29,'Statistics NZ'!P$115:P$129)</f>
        <v>34732.719208461291</v>
      </c>
      <c r="Q120" s="27">
        <f>'Statistics NZ'!Q$120*('Economic Forecasts'!S$10-'Economic Forecasts'!S$9)*1000000/SUM('Statistics NZ'!Q$15:Q$29,'Statistics NZ'!Q$115:Q$129)</f>
        <v>34080.15945142103</v>
      </c>
      <c r="R120" s="27">
        <f>'Statistics NZ'!R$120*('Economic Forecasts'!T$10-'Economic Forecasts'!T$9)*1000000/SUM('Statistics NZ'!R$15:R$29,'Statistics NZ'!R$115:R$129)</f>
        <v>33709.358557922802</v>
      </c>
      <c r="S120" s="27">
        <f>'Statistics NZ'!S$120*('Economic Forecasts'!U$10-'Economic Forecasts'!U$9)*1000000/SUM('Statistics NZ'!S$15:S$29,'Statistics NZ'!S$115:S$129)</f>
        <v>34018.450055156354</v>
      </c>
      <c r="T120" s="27">
        <f>'Statistics NZ'!T$120*('Economic Forecasts'!V$10-'Economic Forecasts'!V$9)*1000000/SUM('Statistics NZ'!T$15:T$29,'Statistics NZ'!T$115:T$129)</f>
        <v>34766.507304388811</v>
      </c>
      <c r="U120" s="28">
        <f>SUM('Statistics NZ'!U$120,$C$13/5*(U$8-U$9)*1000)*('Economic Forecasts'!W$10-'Economic Forecasts'!W$9)*1000000/SUM('Statistics NZ'!U$15:U$29,'Statistics NZ'!U$115:U$129,SUM($B$12:$D$13)*(U$8-U$9)*1000)</f>
        <v>33864.331647918938</v>
      </c>
      <c r="V120" s="28">
        <f>SUM('Statistics NZ'!V$120,$C$13/5*(V$8-V$9)*1000)*('Economic Forecasts'!X$10-'Economic Forecasts'!X$9)*1000000/SUM('Statistics NZ'!V$15:V$29,'Statistics NZ'!V$115:V$129,SUM($B$12:$D$13)*(V$8-V$9)*1000)</f>
        <v>34328.741352627316</v>
      </c>
      <c r="W120" s="28">
        <f>SUM('Statistics NZ'!W$120,$C$13/5*(W$8-W$9)*1000)*('Economic Forecasts'!Y$10-'Economic Forecasts'!Y$9)*1000000/SUM('Statistics NZ'!W$15:W$29,'Statistics NZ'!W$115:W$129,SUM($B$12:$D$13)*(W$8-W$9)*1000)</f>
        <v>33545.443661064106</v>
      </c>
      <c r="X120" s="28">
        <f>SUM('Statistics NZ'!X$120,$C$13/5*(X$8-X$9)*1000)*('Economic Forecasts'!Z$10-'Economic Forecasts'!Z$9)*1000000/SUM('Statistics NZ'!X$15:X$29,'Statistics NZ'!X$115:X$129,SUM($B$12:$D$13)*(X$8-X$9)*1000)</f>
        <v>32224.518072927007</v>
      </c>
      <c r="Y120" s="28">
        <f>SUM('Statistics NZ'!Y$120,$C$13/5*(Y$8-Y$9)*1000)*('Economic Forecasts'!AA$10-'Economic Forecasts'!AA$9)*1000000/SUM('Statistics NZ'!Y$15:Y$29,'Statistics NZ'!Y$115:Y$129,SUM($B$12:$D$13)*(Y$8-Y$9)*1000)</f>
        <v>32396.370467904926</v>
      </c>
      <c r="Z120" s="28">
        <f>SUM('Statistics NZ'!Z$120,$C$13/5*(Z$8-Z$9)*1000)*('Economic Forecasts'!AB$10-'Economic Forecasts'!AB$9)*1000000/SUM('Statistics NZ'!Z$15:Z$29,'Statistics NZ'!Z$115:Z$129,SUM($B$12:$D$13)*(Z$8-Z$9)*1000)</f>
        <v>33477.486083099109</v>
      </c>
      <c r="AA120" s="28">
        <f>SUM('Statistics NZ'!AA$120,$C$13/5*(AA$8-AA$9)*1000)*('Economic Forecasts'!AC$10-'Economic Forecasts'!AC$9)*1000000/SUM('Statistics NZ'!AA$15:AA$29,'Statistics NZ'!AA$115:AA$129,SUM($B$12:$D$13)*(AA$8-AA$9)*1000)</f>
        <v>33894.450934099288</v>
      </c>
      <c r="AB120" s="18">
        <f>SUM(AA$120,'Statistics NZ'!AB$120-'Statistics NZ'!AA$120,$C$13/5*(AB$8-AB$9)*1000)</f>
        <v>33940.392514973559</v>
      </c>
      <c r="AC120" s="18">
        <f>SUM(AB$120,'Statistics NZ'!AC$120-'Statistics NZ'!AB$120,$C$13/5*(AC$8-AC$9)*1000)</f>
        <v>33961.020235556411</v>
      </c>
      <c r="AD120" s="18">
        <f>SUM(AC$120,'Statistics NZ'!AD$120-'Statistics NZ'!AC$120,$C$13/5*(AD$8-AD$9)*1000)</f>
        <v>33965.448452465927</v>
      </c>
      <c r="AE120" s="18">
        <f>SUM(AD$120,'Statistics NZ'!AE$120-'Statistics NZ'!AD$120,$C$13/5*(AE$8-AE$9)*1000)</f>
        <v>33965.448452465927</v>
      </c>
      <c r="AF120" s="18">
        <f>SUM(AE$120,'Statistics NZ'!AF$120-'Statistics NZ'!AE$120,$C$13/5*(AF$8-AF$9)*1000)</f>
        <v>33975.448452465927</v>
      </c>
      <c r="AG120" s="18">
        <f>SUM(AF$120,'Statistics NZ'!AG$120-'Statistics NZ'!AF$120,$C$13/5*(AG$8-AG$9)*1000)</f>
        <v>34015.448452465927</v>
      </c>
      <c r="AH120" s="18">
        <f>SUM(AG$120,'Statistics NZ'!AH$120-'Statistics NZ'!AG$120,$C$13/5*(AH$8-AH$9)*1000)</f>
        <v>34075.448452465927</v>
      </c>
      <c r="AI120" s="18">
        <f>SUM(AH$120,'Statistics NZ'!AI$120-'Statistics NZ'!AH$120,$C$13/5*(AI$8-AI$9)*1000)</f>
        <v>34175.448452465927</v>
      </c>
      <c r="AJ120" s="18">
        <f>SUM(AI$120,'Statistics NZ'!AJ$120-'Statistics NZ'!AI$120,$C$13/5*(AJ$8-AJ$9)*1000)</f>
        <v>34305.448452465927</v>
      </c>
      <c r="AK120" s="18">
        <f>SUM(AJ$120,'Statistics NZ'!AK$120-'Statistics NZ'!AJ$120,$C$13/5*(AK$8-AK$9)*1000)</f>
        <v>34485.448452465927</v>
      </c>
    </row>
    <row r="121" spans="1:37" x14ac:dyDescent="0.25">
      <c r="A121" s="12">
        <f>$A$21</f>
        <v>6</v>
      </c>
      <c r="B121" s="27">
        <f>'Statistics NZ'!B$121*('Economic Forecasts'!D$10-'Economic Forecasts'!D$9)*1000000/SUM('Statistics NZ'!B$15:B$29,'Statistics NZ'!B$115:B$129)</f>
        <v>32103.32428994383</v>
      </c>
      <c r="C121" s="27">
        <f>'Statistics NZ'!C$121*('Economic Forecasts'!E$10-'Economic Forecasts'!E$9)*1000000/SUM('Statistics NZ'!C$15:C$29,'Statistics NZ'!C$115:C$129)</f>
        <v>31597.904184898463</v>
      </c>
      <c r="D121" s="27">
        <f>'Statistics NZ'!D$121*('Economic Forecasts'!F$10-'Economic Forecasts'!F$9)*1000000/SUM('Statistics NZ'!D$15:D$29,'Statistics NZ'!D$115:D$129)</f>
        <v>30326.928789181587</v>
      </c>
      <c r="E121" s="27">
        <f>'Statistics NZ'!E$121*('Economic Forecasts'!G$10-'Economic Forecasts'!G$9)*1000000/SUM('Statistics NZ'!E$15:E$29,'Statistics NZ'!E$115:E$129)</f>
        <v>30815.778552088414</v>
      </c>
      <c r="F121" s="27">
        <f>'Statistics NZ'!F$121*('Economic Forecasts'!H$10-'Economic Forecasts'!H$9)*1000000/SUM('Statistics NZ'!F$15:F$29,'Statistics NZ'!F$115:F$129)</f>
        <v>31653.720791948377</v>
      </c>
      <c r="G121" s="27">
        <f>'Statistics NZ'!G$121*('Economic Forecasts'!I$10-'Economic Forecasts'!I$9)*1000000/SUM('Statistics NZ'!G$15:G$29,'Statistics NZ'!G$115:G$129)</f>
        <v>31476.173534934278</v>
      </c>
      <c r="H121" s="27">
        <f>'Statistics NZ'!H$121*('Economic Forecasts'!J$10-'Economic Forecasts'!J$9)*1000000/SUM('Statistics NZ'!H$15:H$29,'Statistics NZ'!H$115:H$129)</f>
        <v>31888.152471395148</v>
      </c>
      <c r="I121" s="27">
        <f>'Statistics NZ'!I$121*('Economic Forecasts'!K$10-'Economic Forecasts'!K$9)*1000000/SUM('Statistics NZ'!I$15:I$29,'Statistics NZ'!I$115:I$129)</f>
        <v>33504.241904070237</v>
      </c>
      <c r="J121" s="27">
        <f>'Statistics NZ'!J$121*('Economic Forecasts'!L$10-'Economic Forecasts'!L$9)*1000000/SUM('Statistics NZ'!J$15:J$29,'Statistics NZ'!J$115:J$129)</f>
        <v>35076.091081593913</v>
      </c>
      <c r="K121" s="27">
        <f>'Statistics NZ'!K$121*('Economic Forecasts'!M$10-'Economic Forecasts'!M$9)*1000000/SUM('Statistics NZ'!K$15:K$29,'Statistics NZ'!K$115:K$129)</f>
        <v>35624.838727282651</v>
      </c>
      <c r="L121" s="27">
        <f>'Statistics NZ'!L$121*('Economic Forecasts'!N$10-'Economic Forecasts'!N$9)*1000000/SUM('Statistics NZ'!L$15:L$29,'Statistics NZ'!L$115:L$129)</f>
        <v>35917.052410720091</v>
      </c>
      <c r="M121" s="27">
        <f>'Statistics NZ'!M$121*('Economic Forecasts'!O$10-'Economic Forecasts'!O$9)*1000000/SUM('Statistics NZ'!M$15:M$29,'Statistics NZ'!M$115:M$129)</f>
        <v>35430.585058121542</v>
      </c>
      <c r="N121" s="27">
        <f>'Statistics NZ'!N$121*('Economic Forecasts'!P$10-'Economic Forecasts'!P$9)*1000000/SUM('Statistics NZ'!N$15:N$29,'Statistics NZ'!N$115:N$129)</f>
        <v>35278.466301097782</v>
      </c>
      <c r="O121" s="27">
        <f>'Statistics NZ'!O$121*('Economic Forecasts'!Q$10-'Economic Forecasts'!Q$9)*1000000/SUM('Statistics NZ'!O$15:O$29,'Statistics NZ'!O$115:O$129)</f>
        <v>34990.141640098263</v>
      </c>
      <c r="P121" s="27">
        <f>'Statistics NZ'!P$121*('Economic Forecasts'!R$10-'Economic Forecasts'!R$9)*1000000/SUM('Statistics NZ'!P$15:P$29,'Statistics NZ'!P$115:P$129)</f>
        <v>35017.673149095885</v>
      </c>
      <c r="Q121" s="27">
        <f>'Statistics NZ'!Q$121*('Economic Forecasts'!S$10-'Economic Forecasts'!S$9)*1000000/SUM('Statistics NZ'!Q$15:Q$29,'Statistics NZ'!Q$115:Q$129)</f>
        <v>34583.497191011251</v>
      </c>
      <c r="R121" s="27">
        <f>'Statistics NZ'!R$121*('Economic Forecasts'!T$10-'Economic Forecasts'!T$9)*1000000/SUM('Statistics NZ'!R$15:R$29,'Statistics NZ'!R$115:R$129)</f>
        <v>34214.210105748163</v>
      </c>
      <c r="S121" s="27">
        <f>'Statistics NZ'!S$121*('Economic Forecasts'!U$10-'Economic Forecasts'!U$9)*1000000/SUM('Statistics NZ'!S$15:S$29,'Statistics NZ'!S$115:S$129)</f>
        <v>34696.277204449631</v>
      </c>
      <c r="T121" s="27">
        <f>'Statistics NZ'!T$121*('Economic Forecasts'!V$10-'Economic Forecasts'!V$9)*1000000/SUM('Statistics NZ'!T$15:T$29,'Statistics NZ'!T$115:T$129)</f>
        <v>34755.94639694519</v>
      </c>
      <c r="U121" s="28">
        <f>SUM('Statistics NZ'!U$121,$C$13/5*(U$8-U$9)*1000)*('Economic Forecasts'!W$10-'Economic Forecasts'!W$9)*1000000/SUM('Statistics NZ'!U$15:U$29,'Statistics NZ'!U$115:U$129,SUM($B$12:$D$13)*(U$8-U$9)*1000)</f>
        <v>35032.10658297492</v>
      </c>
      <c r="V121" s="28">
        <f>SUM('Statistics NZ'!V$121,$C$13/5*(V$8-V$9)*1000)*('Economic Forecasts'!X$10-'Economic Forecasts'!X$9)*1000000/SUM('Statistics NZ'!V$15:V$29,'Statistics NZ'!V$115:V$129,SUM($B$12:$D$13)*(V$8-V$9)*1000)</f>
        <v>33980.174527167954</v>
      </c>
      <c r="W121" s="28">
        <f>SUM('Statistics NZ'!W$121,$C$13/5*(W$8-W$9)*1000)*('Economic Forecasts'!Y$10-'Economic Forecasts'!Y$9)*1000000/SUM('Statistics NZ'!W$15:W$29,'Statistics NZ'!W$115:W$129,SUM($B$12:$D$13)*(W$8-W$9)*1000)</f>
        <v>34597.860099426274</v>
      </c>
      <c r="X121" s="28">
        <f>SUM('Statistics NZ'!X$121,$C$13/5*(X$8-X$9)*1000)*('Economic Forecasts'!Z$10-'Economic Forecasts'!Z$9)*1000000/SUM('Statistics NZ'!X$15:X$29,'Statistics NZ'!X$115:X$129,SUM($B$12:$D$13)*(X$8-X$9)*1000)</f>
        <v>34234.361502253429</v>
      </c>
      <c r="Y121" s="28">
        <f>SUM('Statistics NZ'!Y$121,$C$13/5*(Y$8-Y$9)*1000)*('Economic Forecasts'!AA$10-'Economic Forecasts'!AA$9)*1000000/SUM('Statistics NZ'!Y$15:Y$29,'Statistics NZ'!Y$115:Y$129,SUM($B$12:$D$13)*(Y$8-Y$9)*1000)</f>
        <v>32912.489192795496</v>
      </c>
      <c r="Z121" s="28">
        <f>SUM('Statistics NZ'!Z$121,$C$13/5*(Z$8-Z$9)*1000)*('Economic Forecasts'!AB$10-'Economic Forecasts'!AB$9)*1000000/SUM('Statistics NZ'!Z$15:Z$29,'Statistics NZ'!Z$115:Z$129,SUM($B$12:$D$13)*(Z$8-Z$9)*1000)</f>
        <v>33107.626782550025</v>
      </c>
      <c r="AA121" s="28">
        <f>SUM('Statistics NZ'!AA$121,$C$13/5*(AA$8-AA$9)*1000)*('Economic Forecasts'!AC$10-'Economic Forecasts'!AC$9)*1000000/SUM('Statistics NZ'!AA$15:AA$29,'Statistics NZ'!AA$115:AA$129,SUM($B$12:$D$13)*(AA$8-AA$9)*1000)</f>
        <v>34180.3673867783</v>
      </c>
      <c r="AB121" s="18">
        <f>SUM(AA$121,'Statistics NZ'!AB$121-'Statistics NZ'!AA$121,$C$13/5*(AB$8-AB$9)*1000)</f>
        <v>34256.308967652571</v>
      </c>
      <c r="AC121" s="18">
        <f>SUM(AB$121,'Statistics NZ'!AC$121-'Statistics NZ'!AB$121,$C$13/5*(AC$8-AC$9)*1000)</f>
        <v>34296.936688235422</v>
      </c>
      <c r="AD121" s="18">
        <f>SUM(AC$121,'Statistics NZ'!AD$121-'Statistics NZ'!AC$121,$C$13/5*(AD$8-AD$9)*1000)</f>
        <v>34311.364905144939</v>
      </c>
      <c r="AE121" s="18">
        <f>SUM(AD$121,'Statistics NZ'!AE$121-'Statistics NZ'!AD$121,$C$13/5*(AE$8-AE$9)*1000)</f>
        <v>34311.364905144939</v>
      </c>
      <c r="AF121" s="18">
        <f>SUM(AE$121,'Statistics NZ'!AF$121-'Statistics NZ'!AE$121,$C$13/5*(AF$8-AF$9)*1000)</f>
        <v>34311.364905144939</v>
      </c>
      <c r="AG121" s="18">
        <f>SUM(AF$121,'Statistics NZ'!AG$121-'Statistics NZ'!AF$121,$C$13/5*(AG$8-AG$9)*1000)</f>
        <v>34331.364905144939</v>
      </c>
      <c r="AH121" s="18">
        <f>SUM(AG$121,'Statistics NZ'!AH$121-'Statistics NZ'!AG$121,$C$13/5*(AH$8-AH$9)*1000)</f>
        <v>34361.364905144939</v>
      </c>
      <c r="AI121" s="18">
        <f>SUM(AH$121,'Statistics NZ'!AI$121-'Statistics NZ'!AH$121,$C$13/5*(AI$8-AI$9)*1000)</f>
        <v>34431.364905144939</v>
      </c>
      <c r="AJ121" s="18">
        <f>SUM(AI$121,'Statistics NZ'!AJ$121-'Statistics NZ'!AI$121,$C$13/5*(AJ$8-AJ$9)*1000)</f>
        <v>34531.364905144939</v>
      </c>
      <c r="AK121" s="18">
        <f>SUM(AJ$121,'Statistics NZ'!AK$121-'Statistics NZ'!AJ$121,$C$13/5*(AK$8-AK$9)*1000)</f>
        <v>34671.364905144939</v>
      </c>
    </row>
    <row r="122" spans="1:37" x14ac:dyDescent="0.25">
      <c r="A122" s="12">
        <f>$A$22</f>
        <v>7</v>
      </c>
      <c r="B122" s="27">
        <f>'Statistics NZ'!B$122*('Economic Forecasts'!D$10-'Economic Forecasts'!D$9)*1000000/SUM('Statistics NZ'!B$15:B$29,'Statistics NZ'!B$115:B$129)</f>
        <v>31276.356226992837</v>
      </c>
      <c r="C122" s="27">
        <f>'Statistics NZ'!C$122*('Economic Forecasts'!E$10-'Economic Forecasts'!E$9)*1000000/SUM('Statistics NZ'!C$15:C$29,'Statistics NZ'!C$115:C$129)</f>
        <v>32219.744193874118</v>
      </c>
      <c r="D122" s="27">
        <f>'Statistics NZ'!D$122*('Economic Forecasts'!F$10-'Economic Forecasts'!F$9)*1000000/SUM('Statistics NZ'!D$15:D$29,'Statistics NZ'!D$115:D$129)</f>
        <v>31824.29453607442</v>
      </c>
      <c r="E122" s="27">
        <f>'Statistics NZ'!E$122*('Economic Forecasts'!G$10-'Economic Forecasts'!G$9)*1000000/SUM('Statistics NZ'!E$15:E$29,'Statistics NZ'!E$115:E$129)</f>
        <v>30478.187003417817</v>
      </c>
      <c r="F122" s="27">
        <f>'Statistics NZ'!F$122*('Economic Forecasts'!H$10-'Economic Forecasts'!H$9)*1000000/SUM('Statistics NZ'!F$15:F$29,'Statistics NZ'!F$115:F$129)</f>
        <v>31009.02063558482</v>
      </c>
      <c r="G122" s="27">
        <f>'Statistics NZ'!G$122*('Economic Forecasts'!I$10-'Economic Forecasts'!I$9)*1000000/SUM('Statistics NZ'!G$15:G$29,'Statistics NZ'!G$115:G$129)</f>
        <v>31666.745725862234</v>
      </c>
      <c r="H122" s="27">
        <f>'Statistics NZ'!H$122*('Economic Forecasts'!J$10-'Economic Forecasts'!J$9)*1000000/SUM('Statistics NZ'!H$15:H$29,'Statistics NZ'!H$115:H$129)</f>
        <v>31389.900089029594</v>
      </c>
      <c r="I122" s="27">
        <f>'Statistics NZ'!I$122*('Economic Forecasts'!K$10-'Economic Forecasts'!K$9)*1000000/SUM('Statistics NZ'!I$15:I$29,'Statistics NZ'!I$115:I$129)</f>
        <v>31846.037038259656</v>
      </c>
      <c r="J122" s="27">
        <f>'Statistics NZ'!J$122*('Economic Forecasts'!L$10-'Economic Forecasts'!L$9)*1000000/SUM('Statistics NZ'!J$15:J$29,'Statistics NZ'!J$115:J$129)</f>
        <v>33795.552313783977</v>
      </c>
      <c r="K122" s="27">
        <f>'Statistics NZ'!K$122*('Economic Forecasts'!M$10-'Economic Forecasts'!M$9)*1000000/SUM('Statistics NZ'!K$15:K$29,'Statistics NZ'!K$115:K$129)</f>
        <v>35389.337990503744</v>
      </c>
      <c r="L122" s="27">
        <f>'Statistics NZ'!L$122*('Economic Forecasts'!N$10-'Economic Forecasts'!N$9)*1000000/SUM('Statistics NZ'!L$15:L$29,'Statistics NZ'!L$115:L$129)</f>
        <v>35788.891652787097</v>
      </c>
      <c r="M122" s="27">
        <f>'Statistics NZ'!M$122*('Economic Forecasts'!O$10-'Economic Forecasts'!O$9)*1000000/SUM('Statistics NZ'!M$15:M$29,'Statistics NZ'!M$115:M$129)</f>
        <v>35981.374422253772</v>
      </c>
      <c r="N122" s="27">
        <f>'Statistics NZ'!N$122*('Economic Forecasts'!P$10-'Economic Forecasts'!P$9)*1000000/SUM('Statistics NZ'!N$15:N$29,'Statistics NZ'!N$115:N$129)</f>
        <v>35744.048939744542</v>
      </c>
      <c r="O122" s="27">
        <f>'Statistics NZ'!O$122*('Economic Forecasts'!Q$10-'Economic Forecasts'!Q$9)*1000000/SUM('Statistics NZ'!O$15:O$29,'Statistics NZ'!O$115:O$129)</f>
        <v>35431.061516751171</v>
      </c>
      <c r="P122" s="27">
        <f>'Statistics NZ'!P$122*('Economic Forecasts'!R$10-'Economic Forecasts'!R$9)*1000000/SUM('Statistics NZ'!P$15:P$29,'Statistics NZ'!P$115:P$129)</f>
        <v>35608.688729671347</v>
      </c>
      <c r="Q122" s="27">
        <f>'Statistics NZ'!Q$122*('Economic Forecasts'!S$10-'Economic Forecasts'!S$9)*1000000/SUM('Statistics NZ'!Q$15:Q$29,'Statistics NZ'!Q$115:Q$129)</f>
        <v>34971.486698612047</v>
      </c>
      <c r="R122" s="27">
        <f>'Statistics NZ'!R$122*('Economic Forecasts'!T$10-'Economic Forecasts'!T$9)*1000000/SUM('Statistics NZ'!R$15:R$29,'Statistics NZ'!R$115:R$129)</f>
        <v>34719.061653573532</v>
      </c>
      <c r="S122" s="27">
        <f>'Statistics NZ'!S$122*('Economic Forecasts'!U$10-'Economic Forecasts'!U$9)*1000000/SUM('Statistics NZ'!S$15:S$29,'Statistics NZ'!S$115:S$129)</f>
        <v>35215.238615627299</v>
      </c>
      <c r="T122" s="27">
        <f>'Statistics NZ'!T$122*('Economic Forecasts'!V$10-'Economic Forecasts'!V$9)*1000000/SUM('Statistics NZ'!T$15:T$29,'Statistics NZ'!T$115:T$129)</f>
        <v>35347.357213787771</v>
      </c>
      <c r="U122" s="28">
        <f>SUM('Statistics NZ'!U$122,$C$13/5*(U$8-U$9)*1000)*('Economic Forecasts'!W$10-'Economic Forecasts'!W$9)*1000000/SUM('Statistics NZ'!U$15:U$29,'Statistics NZ'!U$115:U$129,SUM($B$12:$D$13)*(U$8-U$9)*1000)</f>
        <v>35032.10658297492</v>
      </c>
      <c r="V122" s="28">
        <f>SUM('Statistics NZ'!V$122,$C$13/5*(V$8-V$9)*1000)*('Economic Forecasts'!X$10-'Economic Forecasts'!X$9)*1000000/SUM('Statistics NZ'!V$15:V$29,'Statistics NZ'!V$115:V$129,SUM($B$12:$D$13)*(V$8-V$9)*1000)</f>
        <v>35152.626576440351</v>
      </c>
      <c r="W122" s="28">
        <f>SUM('Statistics NZ'!W$122,$C$13/5*(W$8-W$9)*1000)*('Economic Forecasts'!Y$10-'Economic Forecasts'!Y$9)*1000000/SUM('Statistics NZ'!W$15:W$29,'Statistics NZ'!W$115:W$129,SUM($B$12:$D$13)*(W$8-W$9)*1000)</f>
        <v>34261.086839150383</v>
      </c>
      <c r="X122" s="28">
        <f>SUM('Statistics NZ'!X$122,$C$13/5*(X$8-X$9)*1000)*('Economic Forecasts'!Z$10-'Economic Forecasts'!Z$9)*1000000/SUM('Statistics NZ'!X$15:X$29,'Statistics NZ'!X$115:X$129,SUM($B$12:$D$13)*(X$8-X$9)*1000)</f>
        <v>35308.404816337927</v>
      </c>
      <c r="Y122" s="28">
        <f>SUM('Statistics NZ'!Y$122,$C$13/5*(Y$8-Y$9)*1000)*('Economic Forecasts'!AA$10-'Economic Forecasts'!AA$9)*1000000/SUM('Statistics NZ'!Y$15:Y$29,'Statistics NZ'!Y$115:Y$129,SUM($B$12:$D$13)*(Y$8-Y$9)*1000)</f>
        <v>34955.459145487337</v>
      </c>
      <c r="Z122" s="28">
        <f>SUM('Statistics NZ'!Z$122,$C$13/5*(Z$8-Z$9)*1000)*('Economic Forecasts'!AB$10-'Economic Forecasts'!AB$9)*1000000/SUM('Statistics NZ'!Z$15:Z$29,'Statistics NZ'!Z$115:Z$129,SUM($B$12:$D$13)*(Z$8-Z$9)*1000)</f>
        <v>33640.659303929584</v>
      </c>
      <c r="AA122" s="28">
        <f>SUM('Statistics NZ'!AA$122,$C$13/5*(AA$8-AA$9)*1000)*('Economic Forecasts'!AC$10-'Economic Forecasts'!AC$9)*1000000/SUM('Statistics NZ'!AA$15:AA$29,'Statistics NZ'!AA$115:AA$129,SUM($B$12:$D$13)*(AA$8-AA$9)*1000)</f>
        <v>33817.473427608784</v>
      </c>
      <c r="AB122" s="18">
        <f>SUM(AA$122,'Statistics NZ'!AB$122-'Statistics NZ'!AA$122,$C$13/5*(AB$8-AB$9)*1000)</f>
        <v>34493.415008483054</v>
      </c>
      <c r="AC122" s="18">
        <f>SUM(AB$122,'Statistics NZ'!AC$122-'Statistics NZ'!AB$122,$C$13/5*(AC$8-AC$9)*1000)</f>
        <v>34564.042729065906</v>
      </c>
      <c r="AD122" s="18">
        <f>SUM(AC$122,'Statistics NZ'!AD$122-'Statistics NZ'!AC$122,$C$13/5*(AD$8-AD$9)*1000)</f>
        <v>34598.470945975423</v>
      </c>
      <c r="AE122" s="18">
        <f>SUM(AD$122,'Statistics NZ'!AE$122-'Statistics NZ'!AD$122,$C$13/5*(AE$8-AE$9)*1000)</f>
        <v>34608.470945975423</v>
      </c>
      <c r="AF122" s="18">
        <f>SUM(AE$122,'Statistics NZ'!AF$122-'Statistics NZ'!AE$122,$C$13/5*(AF$8-AF$9)*1000)</f>
        <v>34618.470945975423</v>
      </c>
      <c r="AG122" s="18">
        <f>SUM(AF$122,'Statistics NZ'!AG$122-'Statistics NZ'!AF$122,$C$13/5*(AG$8-AG$9)*1000)</f>
        <v>34618.470945975423</v>
      </c>
      <c r="AH122" s="18">
        <f>SUM(AG$122,'Statistics NZ'!AH$122-'Statistics NZ'!AG$122,$C$13/5*(AH$8-AH$9)*1000)</f>
        <v>34638.470945975423</v>
      </c>
      <c r="AI122" s="18">
        <f>SUM(AH$122,'Statistics NZ'!AI$122-'Statistics NZ'!AH$122,$C$13/5*(AI$8-AI$9)*1000)</f>
        <v>34678.470945975423</v>
      </c>
      <c r="AJ122" s="18">
        <f>SUM(AI$122,'Statistics NZ'!AJ$122-'Statistics NZ'!AI$122,$C$13/5*(AJ$8-AJ$9)*1000)</f>
        <v>34738.470945975423</v>
      </c>
      <c r="AK122" s="18">
        <f>SUM(AJ$122,'Statistics NZ'!AK$122-'Statistics NZ'!AJ$122,$C$13/5*(AK$8-AK$9)*1000)</f>
        <v>34838.470945975423</v>
      </c>
    </row>
    <row r="123" spans="1:37" x14ac:dyDescent="0.25">
      <c r="A123" s="12">
        <f>$A$23</f>
        <v>8</v>
      </c>
      <c r="B123" s="27">
        <f>'Statistics NZ'!B$123*('Economic Forecasts'!D$10-'Economic Forecasts'!D$9)*1000000/SUM('Statistics NZ'!B$15:B$29,'Statistics NZ'!B$115:B$129)</f>
        <v>31764.055341040857</v>
      </c>
      <c r="C123" s="27">
        <f>'Statistics NZ'!C$123*('Economic Forecasts'!E$10-'Economic Forecasts'!E$9)*1000000/SUM('Statistics NZ'!C$15:C$29,'Statistics NZ'!C$115:C$129)</f>
        <v>31418.729945024123</v>
      </c>
      <c r="D123" s="27">
        <f>'Statistics NZ'!D$123*('Economic Forecasts'!F$10-'Economic Forecasts'!F$9)*1000000/SUM('Statistics NZ'!D$15:D$29,'Statistics NZ'!D$115:D$129)</f>
        <v>32541.342921910426</v>
      </c>
      <c r="E123" s="27">
        <f>'Statistics NZ'!E$123*('Economic Forecasts'!G$10-'Economic Forecasts'!G$9)*1000000/SUM('Statistics NZ'!E$15:E$29,'Statistics NZ'!E$115:E$129)</f>
        <v>32039.54791601935</v>
      </c>
      <c r="F123" s="27">
        <f>'Statistics NZ'!F$123*('Economic Forecasts'!H$10-'Economic Forecasts'!H$9)*1000000/SUM('Statistics NZ'!F$15:F$29,'Statistics NZ'!F$115:F$129)</f>
        <v>30776.505825093049</v>
      </c>
      <c r="G123" s="27">
        <f>'Statistics NZ'!G$123*('Economic Forecasts'!I$10-'Economic Forecasts'!I$9)*1000000/SUM('Statistics NZ'!G$15:G$29,'Statistics NZ'!G$115:G$129)</f>
        <v>31137.378528840134</v>
      </c>
      <c r="H123" s="27">
        <f>'Statistics NZ'!H$123*('Economic Forecasts'!J$10-'Economic Forecasts'!J$9)*1000000/SUM('Statistics NZ'!H$15:H$29,'Statistics NZ'!H$115:H$129)</f>
        <v>31633.725722953164</v>
      </c>
      <c r="I123" s="27">
        <f>'Statistics NZ'!I$123*('Economic Forecasts'!K$10-'Economic Forecasts'!K$9)*1000000/SUM('Statistics NZ'!I$15:I$29,'Statistics NZ'!I$115:I$129)</f>
        <v>31410.22678506585</v>
      </c>
      <c r="J123" s="27">
        <f>'Statistics NZ'!J$123*('Economic Forecasts'!L$10-'Economic Forecasts'!L$9)*1000000/SUM('Statistics NZ'!J$15:J$29,'Statistics NZ'!J$115:J$129)</f>
        <v>32130.851915631054</v>
      </c>
      <c r="K123" s="27">
        <f>'Statistics NZ'!K$123*('Economic Forecasts'!M$10-'Economic Forecasts'!M$9)*1000000/SUM('Statistics NZ'!K$15:K$29,'Statistics NZ'!K$115:K$129)</f>
        <v>34126.197675053219</v>
      </c>
      <c r="L123" s="27">
        <f>'Statistics NZ'!L$123*('Economic Forecasts'!N$10-'Economic Forecasts'!N$9)*1000000/SUM('Statistics NZ'!L$15:L$29,'Statistics NZ'!L$115:L$129)</f>
        <v>35628.690705370864</v>
      </c>
      <c r="M123" s="27">
        <f>'Statistics NZ'!M$123*('Economic Forecasts'!O$10-'Economic Forecasts'!O$9)*1000000/SUM('Statistics NZ'!M$15:M$29,'Statistics NZ'!M$115:M$129)</f>
        <v>35864.861287533495</v>
      </c>
      <c r="N123" s="27">
        <f>'Statistics NZ'!N$123*('Economic Forecasts'!P$10-'Economic Forecasts'!P$9)*1000000/SUM('Statistics NZ'!N$15:N$29,'Statistics NZ'!N$115:N$129)</f>
        <v>36188.468731180088</v>
      </c>
      <c r="O123" s="27">
        <f>'Statistics NZ'!O$123*('Economic Forecasts'!Q$10-'Economic Forecasts'!Q$9)*1000000/SUM('Statistics NZ'!O$15:O$29,'Statistics NZ'!O$115:O$129)</f>
        <v>35871.981393404072</v>
      </c>
      <c r="P123" s="27">
        <f>'Statistics NZ'!P$123*('Economic Forecasts'!R$10-'Economic Forecasts'!R$9)*1000000/SUM('Statistics NZ'!P$15:P$29,'Statistics NZ'!P$115:P$129)</f>
        <v>36104.719663368604</v>
      </c>
      <c r="Q123" s="27">
        <f>'Statistics NZ'!Q$123*('Economic Forecasts'!S$10-'Economic Forecasts'!S$9)*1000000/SUM('Statistics NZ'!Q$15:Q$29,'Statistics NZ'!Q$115:Q$129)</f>
        <v>35516.76924983479</v>
      </c>
      <c r="R123" s="27">
        <f>'Statistics NZ'!R$123*('Economic Forecasts'!T$10-'Economic Forecasts'!T$9)*1000000/SUM('Statistics NZ'!R$15:R$29,'Statistics NZ'!R$115:R$129)</f>
        <v>35076.664833283161</v>
      </c>
      <c r="S123" s="27">
        <f>'Statistics NZ'!S$123*('Economic Forecasts'!U$10-'Economic Forecasts'!U$9)*1000000/SUM('Statistics NZ'!S$15:S$29,'Statistics NZ'!S$115:S$129)</f>
        <v>35734.200026804967</v>
      </c>
      <c r="T123" s="27">
        <f>'Statistics NZ'!T$123*('Economic Forecasts'!V$10-'Economic Forecasts'!V$9)*1000000/SUM('Statistics NZ'!T$15:T$29,'Statistics NZ'!T$115:T$129)</f>
        <v>35959.88984551758</v>
      </c>
      <c r="U123" s="28">
        <f>SUM('Statistics NZ'!U$123,$C$13/5*(U$8-U$9)*1000)*('Economic Forecasts'!W$10-'Economic Forecasts'!W$9)*1000000/SUM('Statistics NZ'!U$15:U$29,'Statistics NZ'!U$115:U$129,SUM($B$12:$D$13)*(U$8-U$9)*1000)</f>
        <v>35637.226322049384</v>
      </c>
      <c r="V123" s="28">
        <f>SUM('Statistics NZ'!V$123,$C$13/5*(V$8-V$9)*1000)*('Economic Forecasts'!X$10-'Economic Forecasts'!X$9)*1000000/SUM('Statistics NZ'!V$15:V$29,'Statistics NZ'!V$115:V$129,SUM($B$12:$D$13)*(V$8-V$9)*1000)</f>
        <v>35163.189207514879</v>
      </c>
      <c r="W123" s="28">
        <f>SUM('Statistics NZ'!W$123,$C$13/5*(W$8-W$9)*1000)*('Economic Forecasts'!Y$10-'Economic Forecasts'!Y$9)*1000000/SUM('Statistics NZ'!W$15:W$29,'Statistics NZ'!W$115:W$129,SUM($B$12:$D$13)*(W$8-W$9)*1000)</f>
        <v>35439.79325011601</v>
      </c>
      <c r="X123" s="28">
        <f>SUM('Statistics NZ'!X$123,$C$13/5*(X$8-X$9)*1000)*('Economic Forecasts'!Z$10-'Economic Forecasts'!Z$9)*1000000/SUM('Statistics NZ'!X$15:X$29,'Statistics NZ'!X$115:X$129,SUM($B$12:$D$13)*(X$8-X$9)*1000)</f>
        <v>34978.747957559513</v>
      </c>
      <c r="Y123" s="28">
        <f>SUM('Statistics NZ'!Y$123,$C$13/5*(Y$8-Y$9)*1000)*('Economic Forecasts'!AA$10-'Economic Forecasts'!AA$9)*1000000/SUM('Statistics NZ'!Y$15:Y$29,'Statistics NZ'!Y$115:Y$129,SUM($B$12:$D$13)*(Y$8-Y$9)*1000)</f>
        <v>36052.211435879792</v>
      </c>
      <c r="Z123" s="28">
        <f>SUM('Statistics NZ'!Z$123,$C$13/5*(Z$8-Z$9)*1000)*('Economic Forecasts'!AB$10-'Economic Forecasts'!AB$9)*1000000/SUM('Statistics NZ'!Z$15:Z$29,'Statistics NZ'!Z$115:Z$129,SUM($B$12:$D$13)*(Z$8-Z$9)*1000)</f>
        <v>35718.398315837643</v>
      </c>
      <c r="AA123" s="28">
        <f>SUM('Statistics NZ'!AA$123,$C$13/5*(AA$8-AA$9)*1000)*('Economic Forecasts'!AC$10-'Economic Forecasts'!AC$9)*1000000/SUM('Statistics NZ'!AA$15:AA$29,'Statistics NZ'!AA$115:AA$129,SUM($B$12:$D$13)*(AA$8-AA$9)*1000)</f>
        <v>34367.312759683802</v>
      </c>
      <c r="AB123" s="18">
        <f>SUM(AA$123,'Statistics NZ'!AB$123-'Statistics NZ'!AA$123,$C$13/5*(AB$8-AB$9)*1000)</f>
        <v>34213.254340558073</v>
      </c>
      <c r="AC123" s="18">
        <f>SUM(AB$123,'Statistics NZ'!AC$123-'Statistics NZ'!AB$123,$C$13/5*(AC$8-AC$9)*1000)</f>
        <v>34883.882061140925</v>
      </c>
      <c r="AD123" s="18">
        <f>SUM(AC$123,'Statistics NZ'!AD$123-'Statistics NZ'!AC$123,$C$13/5*(AD$8-AD$9)*1000)</f>
        <v>34958.310278050441</v>
      </c>
      <c r="AE123" s="18">
        <f>SUM(AD$123,'Statistics NZ'!AE$123-'Statistics NZ'!AD$123,$C$13/5*(AE$8-AE$9)*1000)</f>
        <v>34988.310278050441</v>
      </c>
      <c r="AF123" s="18">
        <f>SUM(AE$123,'Statistics NZ'!AF$123-'Statistics NZ'!AE$123,$C$13/5*(AF$8-AF$9)*1000)</f>
        <v>35008.310278050441</v>
      </c>
      <c r="AG123" s="18">
        <f>SUM(AF$123,'Statistics NZ'!AG$123-'Statistics NZ'!AF$123,$C$13/5*(AG$8-AG$9)*1000)</f>
        <v>35008.310278050441</v>
      </c>
      <c r="AH123" s="18">
        <f>SUM(AG$123,'Statistics NZ'!AH$123-'Statistics NZ'!AG$123,$C$13/5*(AH$8-AH$9)*1000)</f>
        <v>35018.310278050441</v>
      </c>
      <c r="AI123" s="18">
        <f>SUM(AH$123,'Statistics NZ'!AI$123-'Statistics NZ'!AH$123,$C$13/5*(AI$8-AI$9)*1000)</f>
        <v>35038.310278050441</v>
      </c>
      <c r="AJ123" s="18">
        <f>SUM(AI$123,'Statistics NZ'!AJ$123-'Statistics NZ'!AI$123,$C$13/5*(AJ$8-AJ$9)*1000)</f>
        <v>35078.310278050441</v>
      </c>
      <c r="AK123" s="18">
        <f>SUM(AJ$123,'Statistics NZ'!AK$123-'Statistics NZ'!AJ$123,$C$13/5*(AK$8-AK$9)*1000)</f>
        <v>35148.310278050441</v>
      </c>
    </row>
    <row r="124" spans="1:37" x14ac:dyDescent="0.25">
      <c r="A124" s="12">
        <f>$A$24</f>
        <v>9</v>
      </c>
      <c r="B124" s="27">
        <f>'Statistics NZ'!B$124*('Economic Forecasts'!D$10-'Economic Forecasts'!D$9)*1000000/SUM('Statistics NZ'!B$15:B$29,'Statistics NZ'!B$115:B$129)</f>
        <v>31615.62517589581</v>
      </c>
      <c r="C124" s="27">
        <f>'Statistics NZ'!C$124*('Economic Forecasts'!E$10-'Economic Forecasts'!E$9)*1000000/SUM('Statistics NZ'!C$15:C$29,'Statistics NZ'!C$115:C$129)</f>
        <v>31903.55435880175</v>
      </c>
      <c r="D124" s="27">
        <f>'Statistics NZ'!D$124*('Economic Forecasts'!F$10-'Economic Forecasts'!F$9)*1000000/SUM('Statistics NZ'!D$15:D$29,'Statistics NZ'!D$115:D$129)</f>
        <v>31729.391073243183</v>
      </c>
      <c r="E124" s="27">
        <f>'Statistics NZ'!E$124*('Economic Forecasts'!G$10-'Economic Forecasts'!G$9)*1000000/SUM('Statistics NZ'!E$15:E$29,'Statistics NZ'!E$115:E$129)</f>
        <v>32788.579164632247</v>
      </c>
      <c r="F124" s="27">
        <f>'Statistics NZ'!F$124*('Economic Forecasts'!H$10-'Economic Forecasts'!H$9)*1000000/SUM('Statistics NZ'!F$15:F$29,'Statistics NZ'!F$115:F$129)</f>
        <v>32351.265223423703</v>
      </c>
      <c r="G124" s="27">
        <f>'Statistics NZ'!G$124*('Economic Forecasts'!I$10-'Economic Forecasts'!I$9)*1000000/SUM('Statistics NZ'!G$15:G$29,'Statistics NZ'!G$115:G$129)</f>
        <v>30936.218993971735</v>
      </c>
      <c r="H124" s="27">
        <f>'Statistics NZ'!H$124*('Economic Forecasts'!J$10-'Economic Forecasts'!J$9)*1000000/SUM('Statistics NZ'!H$15:H$29,'Statistics NZ'!H$115:H$129)</f>
        <v>31093.068882513951</v>
      </c>
      <c r="I124" s="27">
        <f>'Statistics NZ'!I$124*('Economic Forecasts'!K$10-'Economic Forecasts'!K$9)*1000000/SUM('Statistics NZ'!I$15:I$29,'Statistics NZ'!I$115:I$129)</f>
        <v>31686.594262700946</v>
      </c>
      <c r="J124" s="27">
        <f>'Statistics NZ'!J$124*('Economic Forecasts'!L$10-'Economic Forecasts'!L$9)*1000000/SUM('Statistics NZ'!J$15:J$29,'Statistics NZ'!J$115:J$129)</f>
        <v>31693.334503295991</v>
      </c>
      <c r="K124" s="27">
        <f>'Statistics NZ'!K$124*('Economic Forecasts'!M$10-'Economic Forecasts'!M$9)*1000000/SUM('Statistics NZ'!K$15:K$29,'Statistics NZ'!K$115:K$129)</f>
        <v>32477.692517600834</v>
      </c>
      <c r="L124" s="27">
        <f>'Statistics NZ'!L$124*('Economic Forecasts'!N$10-'Economic Forecasts'!N$9)*1000000/SUM('Statistics NZ'!L$15:L$29,'Statistics NZ'!L$115:L$129)</f>
        <v>34432.523631329634</v>
      </c>
      <c r="M124" s="27">
        <f>'Statistics NZ'!M$124*('Economic Forecasts'!O$10-'Economic Forecasts'!O$9)*1000000/SUM('Statistics NZ'!M$15:M$29,'Statistics NZ'!M$115:M$129)</f>
        <v>35621.242914936549</v>
      </c>
      <c r="N124" s="27">
        <f>'Statistics NZ'!N$124*('Economic Forecasts'!P$10-'Economic Forecasts'!P$9)*1000000/SUM('Statistics NZ'!N$15:N$29,'Statistics NZ'!N$115:N$129)</f>
        <v>36135.561613152051</v>
      </c>
      <c r="O124" s="27">
        <f>'Statistics NZ'!O$124*('Economic Forecasts'!Q$10-'Economic Forecasts'!Q$9)*1000000/SUM('Statistics NZ'!O$15:O$29,'Statistics NZ'!O$115:O$129)</f>
        <v>36333.897454659498</v>
      </c>
      <c r="P124" s="27">
        <f>'Statistics NZ'!P$124*('Economic Forecasts'!R$10-'Economic Forecasts'!R$9)*1000000/SUM('Statistics NZ'!P$15:P$29,'Statistics NZ'!P$115:P$129)</f>
        <v>36505.765950187662</v>
      </c>
      <c r="Q124" s="27">
        <f>'Statistics NZ'!Q$124*('Economic Forecasts'!S$10-'Economic Forecasts'!S$9)*1000000/SUM('Statistics NZ'!Q$15:Q$29,'Statistics NZ'!Q$115:Q$129)</f>
        <v>35978.162177792481</v>
      </c>
      <c r="R124" s="27">
        <f>'Statistics NZ'!R$124*('Economic Forecasts'!T$10-'Economic Forecasts'!T$9)*1000000/SUM('Statistics NZ'!R$15:R$29,'Statistics NZ'!R$115:R$129)</f>
        <v>35676.176046325781</v>
      </c>
      <c r="S124" s="27">
        <f>'Statistics NZ'!S$124*('Economic Forecasts'!U$10-'Economic Forecasts'!U$9)*1000000/SUM('Statistics NZ'!S$15:S$29,'Statistics NZ'!S$115:S$129)</f>
        <v>36041.340453828474</v>
      </c>
      <c r="T124" s="27">
        <f>'Statistics NZ'!T$124*('Economic Forecasts'!V$10-'Economic Forecasts'!V$9)*1000000/SUM('Statistics NZ'!T$15:T$29,'Statistics NZ'!T$115:T$129)</f>
        <v>36540.739754916547</v>
      </c>
      <c r="U124" s="28">
        <f>SUM('Statistics NZ'!U$124,$C$13/5*(U$8-U$9)*1000)*('Economic Forecasts'!W$10-'Economic Forecasts'!W$9)*1000000/SUM('Statistics NZ'!U$15:U$29,'Statistics NZ'!U$115:U$129,SUM($B$12:$D$13)*(U$8-U$9)*1000)</f>
        <v>36263.578332670324</v>
      </c>
      <c r="V124" s="28">
        <f>SUM('Statistics NZ'!V$124,$C$13/5*(V$8-V$9)*1000)*('Economic Forecasts'!X$10-'Economic Forecasts'!X$9)*1000000/SUM('Statistics NZ'!V$15:V$29,'Statistics NZ'!V$115:V$129,SUM($B$12:$D$13)*(V$8-V$9)*1000)</f>
        <v>35765.25917876287</v>
      </c>
      <c r="W124" s="28">
        <f>SUM('Statistics NZ'!W$124,$C$13/5*(W$8-W$9)*1000)*('Economic Forecasts'!Y$10-'Economic Forecasts'!Y$9)*1000000/SUM('Statistics NZ'!W$15:W$29,'Statistics NZ'!W$115:W$129,SUM($B$12:$D$13)*(W$8-W$9)*1000)</f>
        <v>35450.317414499637</v>
      </c>
      <c r="X124" s="28">
        <f>SUM('Statistics NZ'!X$124,$C$13/5*(X$8-X$9)*1000)*('Economic Forecasts'!Z$10-'Economic Forecasts'!Z$9)*1000000/SUM('Statistics NZ'!X$15:X$29,'Statistics NZ'!X$115:X$129,SUM($B$12:$D$13)*(X$8-X$9)*1000)</f>
        <v>36169.766286049249</v>
      </c>
      <c r="Y124" s="28">
        <f>SUM('Statistics NZ'!Y$124,$C$13/5*(Y$8-Y$9)*1000)*('Economic Forecasts'!AA$10-'Economic Forecasts'!AA$9)*1000000/SUM('Statistics NZ'!Y$15:Y$29,'Statistics NZ'!Y$115:Y$129,SUM($B$12:$D$13)*(Y$8-Y$9)*1000)</f>
        <v>35718.884759387969</v>
      </c>
      <c r="Z124" s="28">
        <f>SUM('Statistics NZ'!Z$124,$C$13/5*(Z$8-Z$9)*1000)*('Economic Forecasts'!AB$10-'Economic Forecasts'!AB$9)*1000000/SUM('Statistics NZ'!Z$15:Z$29,'Statistics NZ'!Z$115:Z$129,SUM($B$12:$D$13)*(Z$8-Z$9)*1000)</f>
        <v>36827.976217484887</v>
      </c>
      <c r="AA124" s="28">
        <f>SUM('Statistics NZ'!AA$124,$C$13/5*(AA$8-AA$9)*1000)*('Economic Forecasts'!AC$10-'Economic Forecasts'!AC$9)*1000000/SUM('Statistics NZ'!AA$15:AA$29,'Statistics NZ'!AA$115:AA$129,SUM($B$12:$D$13)*(AA$8-AA$9)*1000)</f>
        <v>36467.699008210373</v>
      </c>
      <c r="AB124" s="18">
        <f>SUM(AA$124,'Statistics NZ'!AB$124-'Statistics NZ'!AA$124,$C$13/5*(AB$8-AB$9)*1000)</f>
        <v>34913.640589084644</v>
      </c>
      <c r="AC124" s="18">
        <f>SUM(AB$124,'Statistics NZ'!AC$124-'Statistics NZ'!AB$124,$C$13/5*(AC$8-AC$9)*1000)</f>
        <v>34754.268309667495</v>
      </c>
      <c r="AD124" s="18">
        <f>SUM(AC$124,'Statistics NZ'!AD$124-'Statistics NZ'!AC$124,$C$13/5*(AD$8-AD$9)*1000)</f>
        <v>35418.696526577012</v>
      </c>
      <c r="AE124" s="18">
        <f>SUM(AD$124,'Statistics NZ'!AE$124-'Statistics NZ'!AD$124,$C$13/5*(AE$8-AE$9)*1000)</f>
        <v>35488.696526577012</v>
      </c>
      <c r="AF124" s="18">
        <f>SUM(AE$124,'Statistics NZ'!AF$124-'Statistics NZ'!AE$124,$C$13/5*(AF$8-AF$9)*1000)</f>
        <v>35528.696526577012</v>
      </c>
      <c r="AG124" s="18">
        <f>SUM(AF$124,'Statistics NZ'!AG$124-'Statistics NZ'!AF$124,$C$13/5*(AG$8-AG$9)*1000)</f>
        <v>35538.696526577012</v>
      </c>
      <c r="AH124" s="18">
        <f>SUM(AG$124,'Statistics NZ'!AH$124-'Statistics NZ'!AG$124,$C$13/5*(AH$8-AH$9)*1000)</f>
        <v>35548.696526577012</v>
      </c>
      <c r="AI124" s="18">
        <f>SUM(AH$124,'Statistics NZ'!AI$124-'Statistics NZ'!AH$124,$C$13/5*(AI$8-AI$9)*1000)</f>
        <v>35558.696526577012</v>
      </c>
      <c r="AJ124" s="18">
        <f>SUM(AI$124,'Statistics NZ'!AJ$124-'Statistics NZ'!AI$124,$C$13/5*(AJ$8-AJ$9)*1000)</f>
        <v>35578.696526577012</v>
      </c>
      <c r="AK124" s="18">
        <f>SUM(AJ$124,'Statistics NZ'!AK$124-'Statistics NZ'!AJ$124,$C$13/5*(AK$8-AK$9)*1000)</f>
        <v>35618.696526577012</v>
      </c>
    </row>
    <row r="125" spans="1:37" x14ac:dyDescent="0.25">
      <c r="A125" s="12">
        <f>$A$25</f>
        <v>10</v>
      </c>
      <c r="B125" s="27">
        <f>'Statistics NZ'!B$125*('Economic Forecasts'!D$10-'Economic Forecasts'!D$9)*1000000/SUM('Statistics NZ'!B$15:B$29,'Statistics NZ'!B$115:B$129)</f>
        <v>32972.7009715077</v>
      </c>
      <c r="C125" s="27">
        <f>'Statistics NZ'!C$125*('Economic Forecasts'!E$10-'Economic Forecasts'!E$9)*1000000/SUM('Statistics NZ'!C$15:C$29,'Statistics NZ'!C$115:C$129)</f>
        <v>31819.237069449118</v>
      </c>
      <c r="D125" s="27">
        <f>'Statistics NZ'!D$125*('Economic Forecasts'!F$10-'Economic Forecasts'!F$9)*1000000/SUM('Statistics NZ'!D$15:D$29,'Statistics NZ'!D$115:D$129)</f>
        <v>32140.639412178538</v>
      </c>
      <c r="E125" s="27">
        <f>'Statistics NZ'!E$125*('Economic Forecasts'!G$10-'Economic Forecasts'!G$9)*1000000/SUM('Statistics NZ'!E$15:E$29,'Statistics NZ'!E$115:E$129)</f>
        <v>31986.799236539566</v>
      </c>
      <c r="F125" s="27">
        <f>'Statistics NZ'!F$125*('Economic Forecasts'!H$10-'Economic Forecasts'!H$9)*1000000/SUM('Statistics NZ'!F$15:F$29,'Statistics NZ'!F$115:F$129)</f>
        <v>33143.929350100203</v>
      </c>
      <c r="G125" s="27">
        <f>'Statistics NZ'!G$125*('Economic Forecasts'!I$10-'Economic Forecasts'!I$9)*1000000/SUM('Statistics NZ'!G$15:G$29,'Statistics NZ'!G$115:G$129)</f>
        <v>32524.320585038047</v>
      </c>
      <c r="H125" s="27">
        <f>'Statistics NZ'!H$125*('Economic Forecasts'!J$10-'Economic Forecasts'!J$9)*1000000/SUM('Statistics NZ'!H$15:H$29,'Statistics NZ'!H$115:H$129)</f>
        <v>30976.456622811373</v>
      </c>
      <c r="I125" s="27">
        <f>'Statistics NZ'!I$125*('Economic Forecasts'!K$10-'Economic Forecasts'!K$9)*1000000/SUM('Statistics NZ'!I$15:I$29,'Statistics NZ'!I$115:I$129)</f>
        <v>31176.377380913073</v>
      </c>
      <c r="J125" s="27">
        <f>'Statistics NZ'!J$125*('Economic Forecasts'!L$10-'Economic Forecasts'!L$9)*1000000/SUM('Statistics NZ'!J$15:J$29,'Statistics NZ'!J$115:J$129)</f>
        <v>31970.78456965481</v>
      </c>
      <c r="K125" s="27">
        <f>'Statistics NZ'!K$125*('Economic Forecasts'!M$10-'Economic Forecasts'!M$9)*1000000/SUM('Statistics NZ'!K$15:K$29,'Statistics NZ'!K$115:K$129)</f>
        <v>32092.327675598979</v>
      </c>
      <c r="L125" s="27">
        <f>'Statistics NZ'!L$125*('Economic Forecasts'!N$10-'Economic Forecasts'!N$9)*1000000/SUM('Statistics NZ'!L$15:L$29,'Statistics NZ'!L$115:L$129)</f>
        <v>32798.473967684033</v>
      </c>
      <c r="M125" s="27">
        <f>'Statistics NZ'!M$125*('Economic Forecasts'!O$10-'Economic Forecasts'!O$9)*1000000/SUM('Statistics NZ'!M$15:M$29,'Statistics NZ'!M$115:M$129)</f>
        <v>34614.993115079582</v>
      </c>
      <c r="N125" s="27">
        <f>'Statistics NZ'!N$125*('Economic Forecasts'!P$10-'Economic Forecasts'!P$9)*1000000/SUM('Statistics NZ'!N$15:N$29,'Statistics NZ'!N$115:N$129)</f>
        <v>35902.770293828667</v>
      </c>
      <c r="O125" s="27">
        <f>'Statistics NZ'!O$125*('Economic Forecasts'!Q$10-'Economic Forecasts'!Q$9)*1000000/SUM('Statistics NZ'!O$15:O$29,'Statistics NZ'!O$115:O$129)</f>
        <v>36249.912716249419</v>
      </c>
      <c r="P125" s="27">
        <f>'Statistics NZ'!P$125*('Economic Forecasts'!R$10-'Economic Forecasts'!R$9)*1000000/SUM('Statistics NZ'!P$15:P$29,'Statistics NZ'!P$115:P$129)</f>
        <v>37044.012282497461</v>
      </c>
      <c r="Q125" s="27">
        <f>'Statistics NZ'!Q$125*('Economic Forecasts'!S$10-'Economic Forecasts'!S$9)*1000000/SUM('Statistics NZ'!Q$15:Q$29,'Statistics NZ'!Q$115:Q$129)</f>
        <v>36387.124091209538</v>
      </c>
      <c r="R125" s="27">
        <f>'Statistics NZ'!R$125*('Economic Forecasts'!T$10-'Economic Forecasts'!T$9)*1000000/SUM('Statistics NZ'!R$15:R$29,'Statistics NZ'!R$115:R$129)</f>
        <v>36138.956631832363</v>
      </c>
      <c r="S125" s="27">
        <f>'Statistics NZ'!S$125*('Economic Forecasts'!U$10-'Economic Forecasts'!U$9)*1000000/SUM('Statistics NZ'!S$15:S$29,'Statistics NZ'!S$115:S$129)</f>
        <v>36750.940750744885</v>
      </c>
      <c r="T125" s="27">
        <f>'Statistics NZ'!T$125*('Economic Forecasts'!V$10-'Economic Forecasts'!V$9)*1000000/SUM('Statistics NZ'!T$15:T$29,'Statistics NZ'!T$115:T$129)</f>
        <v>36783.640626119748</v>
      </c>
      <c r="U125" s="28">
        <f>SUM('Statistics NZ'!U$125,$D$13/5*(U$8-U$9)*1000)*('Economic Forecasts'!W$10-'Economic Forecasts'!W$9)*1000000/SUM('Statistics NZ'!U$15:U$29,'Statistics NZ'!U$115:U$129,SUM($B$12:$D$13)*(U$8-U$9)*1000)</f>
        <v>36842.833730674829</v>
      </c>
      <c r="V125" s="28">
        <f>SUM('Statistics NZ'!V$125,$D$13/5*(V$8-V$9)*1000)*('Economic Forecasts'!X$10-'Economic Forecasts'!X$9)*1000000/SUM('Statistics NZ'!V$15:V$29,'Statistics NZ'!V$115:V$129,SUM($B$12:$D$13)*(V$8-V$9)*1000)</f>
        <v>36393.442820650809</v>
      </c>
      <c r="W125" s="28">
        <f>SUM('Statistics NZ'!W$125,$D$13/5*(W$8-W$9)*1000)*('Economic Forecasts'!Y$10-'Economic Forecasts'!Y$9)*1000000/SUM('Statistics NZ'!W$15:W$29,'Statistics NZ'!W$115:W$129,SUM($B$12:$D$13)*(W$8-W$9)*1000)</f>
        <v>36060.959444322885</v>
      </c>
      <c r="X125" s="28">
        <f>SUM('Statistics NZ'!X$125,$D$13/5*(X$8-X$9)*1000)*('Economic Forecasts'!Z$10-'Economic Forecasts'!Z$9)*1000000/SUM('Statistics NZ'!X$15:X$29,'Statistics NZ'!X$115:X$129,SUM($B$12:$D$13)*(X$8-X$9)*1000)</f>
        <v>36179.347345262649</v>
      </c>
      <c r="Y125" s="28">
        <f>SUM('Statistics NZ'!Y$125,$D$13/5*(Y$8-Y$9)*1000)*('Economic Forecasts'!AA$10-'Economic Forecasts'!AA$9)*1000000/SUM('Statistics NZ'!Y$15:Y$29,'Statistics NZ'!Y$115:Y$129,SUM($B$12:$D$13)*(Y$8-Y$9)*1000)</f>
        <v>36921.81036354255</v>
      </c>
      <c r="Z125" s="28">
        <f>SUM('Statistics NZ'!Z$125,$D$13/5*(Z$8-Z$9)*1000)*('Economic Forecasts'!AB$10-'Economic Forecasts'!AB$9)*1000000/SUM('Statistics NZ'!Z$15:Z$29,'Statistics NZ'!Z$115:Z$129,SUM($B$12:$D$13)*(Z$8-Z$9)*1000)</f>
        <v>36500.46970668991</v>
      </c>
      <c r="AA125" s="28">
        <f>SUM('Statistics NZ'!AA$125,$D$13/5*(AA$8-AA$9)*1000)*('Economic Forecasts'!AC$10-'Economic Forecasts'!AC$9)*1000000/SUM('Statistics NZ'!AA$15:AA$29,'Statistics NZ'!AA$115:AA$129,SUM($B$12:$D$13)*(AA$8-AA$9)*1000)</f>
        <v>37599.320966372979</v>
      </c>
      <c r="AB125" s="18">
        <f>SUM(AA$125,'Statistics NZ'!AB$125-'Statistics NZ'!AA$125,$D$13/5*(AB$8-AB$9)*1000)</f>
        <v>36924.576994747986</v>
      </c>
      <c r="AC125" s="18">
        <f>SUM(AB$125,'Statistics NZ'!AC$125-'Statistics NZ'!AB$125,$D$13/5*(AC$8-AC$9)*1000)</f>
        <v>35364.747680331326</v>
      </c>
      <c r="AD125" s="18">
        <f>SUM(AC$125,'Statistics NZ'!AD$125-'Statistics NZ'!AC$125,$D$13/5*(AD$8-AD$9)*1000)</f>
        <v>35208.985465991049</v>
      </c>
      <c r="AE125" s="18">
        <f>SUM(AD$125,'Statistics NZ'!AE$125-'Statistics NZ'!AD$125,$D$13/5*(AE$8-AE$9)*1000)</f>
        <v>35868.985465991049</v>
      </c>
      <c r="AF125" s="18">
        <f>SUM(AE$125,'Statistics NZ'!AF$125-'Statistics NZ'!AE$125,$D$13/5*(AF$8-AF$9)*1000)</f>
        <v>35938.985465991049</v>
      </c>
      <c r="AG125" s="18">
        <f>SUM(AF$125,'Statistics NZ'!AG$125-'Statistics NZ'!AF$125,$D$13/5*(AG$8-AG$9)*1000)</f>
        <v>35978.985465991049</v>
      </c>
      <c r="AH125" s="18">
        <f>SUM(AG$125,'Statistics NZ'!AH$125-'Statistics NZ'!AG$125,$D$13/5*(AH$8-AH$9)*1000)</f>
        <v>35998.985465991049</v>
      </c>
      <c r="AI125" s="18">
        <f>SUM(AH$125,'Statistics NZ'!AI$125-'Statistics NZ'!AH$125,$D$13/5*(AI$8-AI$9)*1000)</f>
        <v>36008.985465991049</v>
      </c>
      <c r="AJ125" s="18">
        <f>SUM(AI$125,'Statistics NZ'!AJ$125-'Statistics NZ'!AI$125,$D$13/5*(AJ$8-AJ$9)*1000)</f>
        <v>36018.985465991049</v>
      </c>
      <c r="AK125" s="18">
        <f>SUM(AJ$125,'Statistics NZ'!AK$125-'Statistics NZ'!AJ$125,$D$13/5*(AK$8-AK$9)*1000)</f>
        <v>36038.985465991049</v>
      </c>
    </row>
    <row r="126" spans="1:37" x14ac:dyDescent="0.25">
      <c r="A126" s="12">
        <f>$A$26</f>
        <v>11</v>
      </c>
      <c r="B126" s="27">
        <f>'Statistics NZ'!B$126*('Economic Forecasts'!D$10-'Economic Forecasts'!D$9)*1000000/SUM('Statistics NZ'!B$15:B$29,'Statistics NZ'!B$115:B$129)</f>
        <v>33471.002240208945</v>
      </c>
      <c r="C126" s="27">
        <f>'Statistics NZ'!C$126*('Economic Forecasts'!E$10-'Economic Forecasts'!E$9)*1000000/SUM('Statistics NZ'!C$15:C$29,'Statistics NZ'!C$115:C$129)</f>
        <v>32999.679120385954</v>
      </c>
      <c r="D126" s="27">
        <f>'Statistics NZ'!D$126*('Economic Forecasts'!F$10-'Economic Forecasts'!F$9)*1000000/SUM('Statistics NZ'!D$15:D$29,'Statistics NZ'!D$115:D$129)</f>
        <v>32077.370436957717</v>
      </c>
      <c r="E126" s="27">
        <f>'Statistics NZ'!E$126*('Economic Forecasts'!G$10-'Economic Forecasts'!G$9)*1000000/SUM('Statistics NZ'!E$15:E$29,'Statistics NZ'!E$115:E$129)</f>
        <v>32377.13946468995</v>
      </c>
      <c r="F126" s="27">
        <f>'Statistics NZ'!F$126*('Economic Forecasts'!H$10-'Economic Forecasts'!H$9)*1000000/SUM('Statistics NZ'!F$15:F$29,'Statistics NZ'!F$115:F$129)</f>
        <v>32361.834078446056</v>
      </c>
      <c r="G126" s="27">
        <f>'Statistics NZ'!G$126*('Economic Forecasts'!I$10-'Economic Forecasts'!I$9)*1000000/SUM('Statistics NZ'!G$15:G$29,'Statistics NZ'!G$115:G$129)</f>
        <v>33350.133412392526</v>
      </c>
      <c r="H126" s="27">
        <f>'Statistics NZ'!H$126*('Economic Forecasts'!J$10-'Economic Forecasts'!J$9)*1000000/SUM('Statistics NZ'!H$15:H$29,'Statistics NZ'!H$115:H$129)</f>
        <v>32640.831602202674</v>
      </c>
      <c r="I126" s="27">
        <f>'Statistics NZ'!I$126*('Economic Forecasts'!K$10-'Economic Forecasts'!K$9)*1000000/SUM('Statistics NZ'!I$15:I$29,'Statistics NZ'!I$115:I$129)</f>
        <v>31080.711715577847</v>
      </c>
      <c r="J126" s="27">
        <f>'Statistics NZ'!J$126*('Economic Forecasts'!L$10-'Economic Forecasts'!L$9)*1000000/SUM('Statistics NZ'!J$15:J$29,'Statistics NZ'!J$115:J$129)</f>
        <v>31586.62293931183</v>
      </c>
      <c r="K126" s="27">
        <f>'Statistics NZ'!K$126*('Economic Forecasts'!M$10-'Economic Forecasts'!M$9)*1000000/SUM('Statistics NZ'!K$15:K$29,'Statistics NZ'!K$115:K$129)</f>
        <v>32285.010096599905</v>
      </c>
      <c r="L126" s="27">
        <f>'Statistics NZ'!L$126*('Economic Forecasts'!N$10-'Economic Forecasts'!N$9)*1000000/SUM('Statistics NZ'!L$15:L$29,'Statistics NZ'!L$115:L$129)</f>
        <v>32360.591378079651</v>
      </c>
      <c r="M126" s="27">
        <f>'Statistics NZ'!M$126*('Economic Forecasts'!O$10-'Economic Forecasts'!O$9)*1000000/SUM('Statistics NZ'!M$15:M$29,'Statistics NZ'!M$115:M$129)</f>
        <v>32994.401332152047</v>
      </c>
      <c r="N126" s="27">
        <f>'Statistics NZ'!N$126*('Economic Forecasts'!P$10-'Economic Forecasts'!P$9)*1000000/SUM('Statistics NZ'!N$15:N$29,'Statistics NZ'!N$115:N$129)</f>
        <v>34929.279322112707</v>
      </c>
      <c r="O126" s="27">
        <f>'Statistics NZ'!O$126*('Economic Forecasts'!Q$10-'Economic Forecasts'!Q$9)*1000000/SUM('Statistics NZ'!O$15:O$29,'Statistics NZ'!O$115:O$129)</f>
        <v>36050.448962525486</v>
      </c>
      <c r="P126" s="27">
        <f>'Statistics NZ'!P$126*('Economic Forecasts'!R$10-'Economic Forecasts'!R$9)*1000000/SUM('Statistics NZ'!P$15:P$29,'Statistics NZ'!P$115:P$129)</f>
        <v>36801.273740475393</v>
      </c>
      <c r="Q126" s="27">
        <f>'Statistics NZ'!Q$126*('Economic Forecasts'!S$10-'Economic Forecasts'!S$9)*1000000/SUM('Statistics NZ'!Q$15:Q$29,'Statistics NZ'!Q$115:Q$129)</f>
        <v>36921.92043952414</v>
      </c>
      <c r="R126" s="27">
        <f>'Statistics NZ'!R$126*('Economic Forecasts'!T$10-'Economic Forecasts'!T$9)*1000000/SUM('Statistics NZ'!R$15:R$29,'Statistics NZ'!R$115:R$129)</f>
        <v>36559.666255020165</v>
      </c>
      <c r="S126" s="27">
        <f>'Statistics NZ'!S$126*('Economic Forecasts'!U$10-'Economic Forecasts'!U$9)*1000000/SUM('Statistics NZ'!S$15:S$29,'Statistics NZ'!S$115:S$129)</f>
        <v>37111.036423806938</v>
      </c>
      <c r="T126" s="27">
        <f>'Statistics NZ'!T$126*('Economic Forecasts'!V$10-'Economic Forecasts'!V$9)*1000000/SUM('Statistics NZ'!T$15:T$29,'Statistics NZ'!T$115:T$129)</f>
        <v>37448.977795067658</v>
      </c>
      <c r="U126" s="28">
        <f>SUM('Statistics NZ'!U$126,$D$13/5*(U$8-U$9)*1000)*('Economic Forecasts'!W$10-'Economic Forecasts'!W$9)*1000000/SUM('Statistics NZ'!U$15:U$29,'Statistics NZ'!U$115:U$129,SUM($B$12:$D$13)*(U$8-U$9)*1000)</f>
        <v>37097.620989232491</v>
      </c>
      <c r="V126" s="28">
        <f>SUM('Statistics NZ'!V$126,$D$13/5*(V$8-V$9)*1000)*('Economic Forecasts'!X$10-'Economic Forecasts'!X$9)*1000000/SUM('Statistics NZ'!V$15:V$29,'Statistics NZ'!V$115:V$129,SUM($B$12:$D$13)*(V$8-V$9)*1000)</f>
        <v>36974.387529749743</v>
      </c>
      <c r="W126" s="28">
        <f>SUM('Statistics NZ'!W$126,$D$13/5*(W$8-W$9)*1000)*('Economic Forecasts'!Y$10-'Economic Forecasts'!Y$9)*1000000/SUM('Statistics NZ'!W$15:W$29,'Statistics NZ'!W$115:W$129,SUM($B$12:$D$13)*(W$8-W$9)*1000)</f>
        <v>36681.885142956577</v>
      </c>
      <c r="X126" s="28">
        <f>SUM('Statistics NZ'!X$126,$D$13/5*(X$8-X$9)*1000)*('Economic Forecasts'!Z$10-'Economic Forecasts'!Z$9)*1000000/SUM('Statistics NZ'!X$15:X$29,'Statistics NZ'!X$115:X$129,SUM($B$12:$D$13)*(X$8-X$9)*1000)</f>
        <v>36806.758786163489</v>
      </c>
      <c r="Y126" s="28">
        <f>SUM('Statistics NZ'!Y$126,$D$13/5*(Y$8-Y$9)*1000)*('Economic Forecasts'!AA$10-'Economic Forecasts'!AA$9)*1000000/SUM('Statistics NZ'!Y$15:Y$29,'Statistics NZ'!Y$115:Y$129,SUM($B$12:$D$13)*(Y$8-Y$9)*1000)</f>
        <v>36943.315310412989</v>
      </c>
      <c r="Z126" s="28">
        <f>SUM('Statistics NZ'!Z$126,$D$13/5*(Z$8-Z$9)*1000)*('Economic Forecasts'!AB$10-'Economic Forecasts'!AB$9)*1000000/SUM('Statistics NZ'!Z$15:Z$29,'Statistics NZ'!Z$115:Z$129,SUM($B$12:$D$13)*(Z$8-Z$9)*1000)</f>
        <v>37718.829755557468</v>
      </c>
      <c r="AA126" s="28">
        <f>SUM('Statistics NZ'!AA$126,$D$13/5*(AA$8-AA$9)*1000)*('Economic Forecasts'!AC$10-'Economic Forecasts'!AC$9)*1000000/SUM('Statistics NZ'!AA$15:AA$29,'Statistics NZ'!AA$115:AA$129,SUM($B$12:$D$13)*(AA$8-AA$9)*1000)</f>
        <v>37269.417367127964</v>
      </c>
      <c r="AB126" s="18">
        <f>SUM(AA$126,'Statistics NZ'!AB$126-'Statistics NZ'!AA$126,$D$13/5*(AB$8-AB$9)*1000)</f>
        <v>37934.67339550297</v>
      </c>
      <c r="AC126" s="18">
        <f>SUM(AB$126,'Statistics NZ'!AC$126-'Statistics NZ'!AB$126,$D$13/5*(AC$8-AC$9)*1000)</f>
        <v>37254.84408108631</v>
      </c>
      <c r="AD126" s="18">
        <f>SUM(AC$126,'Statistics NZ'!AD$126-'Statistics NZ'!AC$126,$D$13/5*(AD$8-AD$9)*1000)</f>
        <v>35689.081866746033</v>
      </c>
      <c r="AE126" s="18">
        <f>SUM(AD$126,'Statistics NZ'!AE$126-'Statistics NZ'!AD$126,$D$13/5*(AE$8-AE$9)*1000)</f>
        <v>35529.081866746033</v>
      </c>
      <c r="AF126" s="18">
        <f>SUM(AE$126,'Statistics NZ'!AF$126-'Statistics NZ'!AE$126,$D$13/5*(AF$8-AF$9)*1000)</f>
        <v>36199.081866746033</v>
      </c>
      <c r="AG126" s="18">
        <f>SUM(AF$126,'Statistics NZ'!AG$126-'Statistics NZ'!AF$126,$D$13/5*(AG$8-AG$9)*1000)</f>
        <v>36269.081866746033</v>
      </c>
      <c r="AH126" s="18">
        <f>SUM(AG$126,'Statistics NZ'!AH$126-'Statistics NZ'!AG$126,$D$13/5*(AH$8-AH$9)*1000)</f>
        <v>36309.081866746033</v>
      </c>
      <c r="AI126" s="18">
        <f>SUM(AH$126,'Statistics NZ'!AI$126-'Statistics NZ'!AH$126,$D$13/5*(AI$8-AI$9)*1000)</f>
        <v>36329.081866746033</v>
      </c>
      <c r="AJ126" s="18">
        <f>SUM(AI$126,'Statistics NZ'!AJ$126-'Statistics NZ'!AI$126,$D$13/5*(AJ$8-AJ$9)*1000)</f>
        <v>36339.081866746033</v>
      </c>
      <c r="AK126" s="18">
        <f>SUM(AJ$126,'Statistics NZ'!AK$126-'Statistics NZ'!AJ$126,$D$13/5*(AK$8-AK$9)*1000)</f>
        <v>36349.081866746033</v>
      </c>
    </row>
    <row r="127" spans="1:37" x14ac:dyDescent="0.25">
      <c r="A127" s="12">
        <f>$A$27</f>
        <v>12</v>
      </c>
      <c r="B127" s="27">
        <f>'Statistics NZ'!B$127*('Economic Forecasts'!D$10-'Economic Forecasts'!D$9)*1000000/SUM('Statistics NZ'!B$15:B$29,'Statistics NZ'!B$115:B$129)</f>
        <v>33545.217322781471</v>
      </c>
      <c r="C127" s="27">
        <f>'Statistics NZ'!C$127*('Economic Forecasts'!E$10-'Economic Forecasts'!E$9)*1000000/SUM('Statistics NZ'!C$15:C$29,'Statistics NZ'!C$115:C$129)</f>
        <v>33347.487938965554</v>
      </c>
      <c r="D127" s="27">
        <f>'Statistics NZ'!D$127*('Economic Forecasts'!F$10-'Economic Forecasts'!F$9)*1000000/SUM('Statistics NZ'!D$15:D$29,'Statistics NZ'!D$115:D$129)</f>
        <v>33163.487844915195</v>
      </c>
      <c r="E127" s="27">
        <f>'Statistics NZ'!E$127*('Economic Forecasts'!G$10-'Economic Forecasts'!G$9)*1000000/SUM('Statistics NZ'!E$15:E$29,'Statistics NZ'!E$115:E$129)</f>
        <v>32303.291313418256</v>
      </c>
      <c r="F127" s="27">
        <f>'Statistics NZ'!F$127*('Economic Forecasts'!H$10-'Economic Forecasts'!H$9)*1000000/SUM('Statistics NZ'!F$15:F$29,'Statistics NZ'!F$115:F$129)</f>
        <v>32742.312859250775</v>
      </c>
      <c r="G127" s="27">
        <f>'Statistics NZ'!G$127*('Economic Forecasts'!I$10-'Economic Forecasts'!I$9)*1000000/SUM('Statistics NZ'!G$15:G$29,'Statistics NZ'!G$115:G$129)</f>
        <v>32534.90792897849</v>
      </c>
      <c r="H127" s="27">
        <f>'Statistics NZ'!H$127*('Economic Forecasts'!J$10-'Economic Forecasts'!J$9)*1000000/SUM('Statistics NZ'!H$15:H$29,'Statistics NZ'!H$115:H$129)</f>
        <v>33541.926336268029</v>
      </c>
      <c r="I127" s="27">
        <f>'Statistics NZ'!I$127*('Economic Forecasts'!K$10-'Economic Forecasts'!K$9)*1000000/SUM('Statistics NZ'!I$15:I$29,'Statistics NZ'!I$115:I$129)</f>
        <v>32813.323209982496</v>
      </c>
      <c r="J127" s="27">
        <f>'Statistics NZ'!J$127*('Economic Forecasts'!L$10-'Economic Forecasts'!L$9)*1000000/SUM('Statistics NZ'!J$15:J$29,'Statistics NZ'!J$115:J$129)</f>
        <v>31469.240218929252</v>
      </c>
      <c r="K127" s="27">
        <f>'Statistics NZ'!K$127*('Economic Forecasts'!M$10-'Economic Forecasts'!M$9)*1000000/SUM('Statistics NZ'!K$15:K$29,'Statistics NZ'!K$115:K$129)</f>
        <v>32092.327675598979</v>
      </c>
      <c r="L127" s="27">
        <f>'Statistics NZ'!L$127*('Economic Forecasts'!N$10-'Economic Forecasts'!N$9)*1000000/SUM('Statistics NZ'!L$15:L$29,'Statistics NZ'!L$115:L$129)</f>
        <v>32520.792325495888</v>
      </c>
      <c r="M127" s="27">
        <f>'Statistics NZ'!M$127*('Economic Forecasts'!O$10-'Economic Forecasts'!O$9)*1000000/SUM('Statistics NZ'!M$15:M$29,'Statistics NZ'!M$115:M$129)</f>
        <v>32528.348793270932</v>
      </c>
      <c r="N127" s="27">
        <f>'Statistics NZ'!N$127*('Economic Forecasts'!P$10-'Economic Forecasts'!P$9)*1000000/SUM('Statistics NZ'!N$15:N$29,'Statistics NZ'!N$115:N$129)</f>
        <v>33373.810052088302</v>
      </c>
      <c r="O127" s="27">
        <f>'Statistics NZ'!O$127*('Economic Forecasts'!Q$10-'Economic Forecasts'!Q$9)*1000000/SUM('Statistics NZ'!O$15:O$29,'Statistics NZ'!O$115:O$129)</f>
        <v>35231.597763027232</v>
      </c>
      <c r="P127" s="27">
        <f>'Statistics NZ'!P$127*('Economic Forecasts'!R$10-'Economic Forecasts'!R$9)*1000000/SUM('Statistics NZ'!P$15:P$29,'Statistics NZ'!P$115:P$129)</f>
        <v>36769.612191515997</v>
      </c>
      <c r="Q127" s="27">
        <f>'Statistics NZ'!Q$127*('Economic Forecasts'!S$10-'Economic Forecasts'!S$9)*1000000/SUM('Statistics NZ'!Q$15:Q$29,'Statistics NZ'!Q$115:Q$129)</f>
        <v>36722.682584269685</v>
      </c>
      <c r="R127" s="27">
        <f>'Statistics NZ'!R$127*('Economic Forecasts'!T$10-'Economic Forecasts'!T$9)*1000000/SUM('Statistics NZ'!R$15:R$29,'Statistics NZ'!R$115:R$129)</f>
        <v>37064.517802845534</v>
      </c>
      <c r="S127" s="27">
        <f>'Statistics NZ'!S$127*('Economic Forecasts'!U$10-'Economic Forecasts'!U$9)*1000000/SUM('Statistics NZ'!S$15:S$29,'Statistics NZ'!S$115:S$129)</f>
        <v>37534.678392115231</v>
      </c>
      <c r="T127" s="27">
        <f>'Statistics NZ'!T$127*('Economic Forecasts'!V$10-'Economic Forecasts'!V$9)*1000000/SUM('Statistics NZ'!T$15:T$29,'Statistics NZ'!T$115:T$129)</f>
        <v>37786.926833263416</v>
      </c>
      <c r="U127" s="28">
        <f>SUM('Statistics NZ'!U$127,$D$13/5*(U$8-U$9)*1000)*('Economic Forecasts'!W$10-'Economic Forecasts'!W$9)*1000000/SUM('Statistics NZ'!U$15:U$29,'Statistics NZ'!U$115:U$129,SUM($B$12:$D$13)*(U$8-U$9)*1000)</f>
        <v>37766.437542946376</v>
      </c>
      <c r="V127" s="28">
        <f>SUM('Statistics NZ'!V$127,$D$13/5*(V$8-V$9)*1000)*('Economic Forecasts'!X$10-'Economic Forecasts'!X$9)*1000000/SUM('Statistics NZ'!V$15:V$29,'Statistics NZ'!V$115:V$129,SUM($B$12:$D$13)*(V$8-V$9)*1000)</f>
        <v>37227.890675538372</v>
      </c>
      <c r="W127" s="28">
        <f>SUM('Statistics NZ'!W$127,$D$13/5*(W$8-W$9)*1000)*('Economic Forecasts'!Y$10-'Economic Forecasts'!Y$9)*1000000/SUM('Statistics NZ'!W$15:W$29,'Statistics NZ'!W$115:W$129,SUM($B$12:$D$13)*(W$8-W$9)*1000)</f>
        <v>37271.238348439387</v>
      </c>
      <c r="X127" s="28">
        <f>SUM('Statistics NZ'!X$127,$D$13/5*(X$8-X$9)*1000)*('Economic Forecasts'!Z$10-'Economic Forecasts'!Z$9)*1000000/SUM('Statistics NZ'!X$15:X$29,'Statistics NZ'!X$115:X$129,SUM($B$12:$D$13)*(X$8-X$9)*1000)</f>
        <v>37434.170227064336</v>
      </c>
      <c r="Y127" s="28">
        <f>SUM('Statistics NZ'!Y$127,$D$13/5*(Y$8-Y$9)*1000)*('Economic Forecasts'!AA$10-'Economic Forecasts'!AA$9)*1000000/SUM('Statistics NZ'!Y$15:Y$29,'Statistics NZ'!Y$115:Y$129,SUM($B$12:$D$13)*(Y$8-Y$9)*1000)</f>
        <v>37577.711243090984</v>
      </c>
      <c r="Z127" s="28">
        <f>SUM('Statistics NZ'!Z$127,$D$13/5*(Z$8-Z$9)*1000)*('Economic Forecasts'!AB$10-'Economic Forecasts'!AB$9)*1000000/SUM('Statistics NZ'!Z$15:Z$29,'Statistics NZ'!Z$115:Z$129,SUM($B$12:$D$13)*(Z$8-Z$9)*1000)</f>
        <v>37740.586185001528</v>
      </c>
      <c r="AA127" s="28">
        <f>SUM('Statistics NZ'!AA$127,$D$13/5*(AA$8-AA$9)*1000)*('Economic Forecasts'!AC$10-'Economic Forecasts'!AC$9)*1000000/SUM('Statistics NZ'!AA$15:AA$29,'Statistics NZ'!AA$115:AA$129,SUM($B$12:$D$13)*(AA$8-AA$9)*1000)</f>
        <v>38512.054257617507</v>
      </c>
      <c r="AB127" s="18">
        <f>SUM(AA$127,'Statistics NZ'!AB$127-'Statistics NZ'!AA$127,$D$13/5*(AB$8-AB$9)*1000)</f>
        <v>37737.310285992513</v>
      </c>
      <c r="AC127" s="18">
        <f>SUM(AB$127,'Statistics NZ'!AC$127-'Statistics NZ'!AB$127,$D$13/5*(AC$8-AC$9)*1000)</f>
        <v>38397.480971575853</v>
      </c>
      <c r="AD127" s="18">
        <f>SUM(AC$127,'Statistics NZ'!AD$127-'Statistics NZ'!AC$127,$D$13/5*(AD$8-AD$9)*1000)</f>
        <v>37721.718757235576</v>
      </c>
      <c r="AE127" s="18">
        <f>SUM(AD$127,'Statistics NZ'!AE$127-'Statistics NZ'!AD$127,$D$13/5*(AE$8-AE$9)*1000)</f>
        <v>36151.718757235576</v>
      </c>
      <c r="AF127" s="18">
        <f>SUM(AE$127,'Statistics NZ'!AF$127-'Statistics NZ'!AE$127,$D$13/5*(AF$8-AF$9)*1000)</f>
        <v>36001.718757235576</v>
      </c>
      <c r="AG127" s="18">
        <f>SUM(AF$127,'Statistics NZ'!AG$127-'Statistics NZ'!AF$127,$D$13/5*(AG$8-AG$9)*1000)</f>
        <v>36661.718757235576</v>
      </c>
      <c r="AH127" s="18">
        <f>SUM(AG$127,'Statistics NZ'!AH$127-'Statistics NZ'!AG$127,$D$13/5*(AH$8-AH$9)*1000)</f>
        <v>36731.718757235576</v>
      </c>
      <c r="AI127" s="18">
        <f>SUM(AH$127,'Statistics NZ'!AI$127-'Statistics NZ'!AH$127,$D$13/5*(AI$8-AI$9)*1000)</f>
        <v>36781.718757235576</v>
      </c>
      <c r="AJ127" s="18">
        <f>SUM(AI$127,'Statistics NZ'!AJ$127-'Statistics NZ'!AI$127,$D$13/5*(AJ$8-AJ$9)*1000)</f>
        <v>36801.718757235576</v>
      </c>
      <c r="AK127" s="18">
        <f>SUM(AJ$127,'Statistics NZ'!AK$127-'Statistics NZ'!AJ$127,$D$13/5*(AK$8-AK$9)*1000)</f>
        <v>36811.718757235576</v>
      </c>
    </row>
    <row r="128" spans="1:37" x14ac:dyDescent="0.25">
      <c r="A128" s="12">
        <f>$A$28</f>
        <v>13</v>
      </c>
      <c r="B128" s="27">
        <f>'Statistics NZ'!B$128*('Economic Forecasts'!D$10-'Economic Forecasts'!D$9)*1000000/SUM('Statistics NZ'!B$15:B$29,'Statistics NZ'!B$115:B$129)</f>
        <v>34350.981076426033</v>
      </c>
      <c r="C128" s="27">
        <f>'Statistics NZ'!C$128*('Economic Forecasts'!E$10-'Economic Forecasts'!E$9)*1000000/SUM('Statistics NZ'!C$15:C$29,'Statistics NZ'!C$115:C$129)</f>
        <v>33326.408616627399</v>
      </c>
      <c r="D128" s="27">
        <f>'Statistics NZ'!D$128*('Economic Forecasts'!F$10-'Economic Forecasts'!F$9)*1000000/SUM('Statistics NZ'!D$15:D$29,'Statistics NZ'!D$115:D$129)</f>
        <v>33342.74994137419</v>
      </c>
      <c r="E128" s="27">
        <f>'Statistics NZ'!E$128*('Economic Forecasts'!G$10-'Economic Forecasts'!G$9)*1000000/SUM('Statistics NZ'!E$15:E$29,'Statistics NZ'!E$115:E$129)</f>
        <v>33347.715167117931</v>
      </c>
      <c r="F128" s="27">
        <f>'Statistics NZ'!F$128*('Economic Forecasts'!H$10-'Economic Forecasts'!H$9)*1000000/SUM('Statistics NZ'!F$15:F$29,'Statistics NZ'!F$115:F$129)</f>
        <v>32594.348888937828</v>
      </c>
      <c r="G128" s="27">
        <f>'Statistics NZ'!G$128*('Economic Forecasts'!I$10-'Economic Forecasts'!I$9)*1000000/SUM('Statistics NZ'!G$15:G$29,'Statistics NZ'!G$115:G$129)</f>
        <v>33021.925750238821</v>
      </c>
      <c r="H128" s="27">
        <f>'Statistics NZ'!H$128*('Economic Forecasts'!J$10-'Economic Forecasts'!J$9)*1000000/SUM('Statistics NZ'!H$15:H$29,'Statistics NZ'!H$115:H$129)</f>
        <v>32683.236060276344</v>
      </c>
      <c r="I128" s="27">
        <f>'Statistics NZ'!I$128*('Economic Forecasts'!K$10-'Economic Forecasts'!K$9)*1000000/SUM('Statistics NZ'!I$15:I$29,'Statistics NZ'!I$115:I$129)</f>
        <v>33780.609381705333</v>
      </c>
      <c r="J128" s="27">
        <f>'Statistics NZ'!J$128*('Economic Forecasts'!L$10-'Economic Forecasts'!L$9)*1000000/SUM('Statistics NZ'!J$15:J$29,'Statistics NZ'!J$115:J$129)</f>
        <v>33133.940617082175</v>
      </c>
      <c r="K128" s="27">
        <f>'Statistics NZ'!K$128*('Economic Forecasts'!M$10-'Economic Forecasts'!M$9)*1000000/SUM('Statistics NZ'!K$15:K$29,'Statistics NZ'!K$115:K$129)</f>
        <v>31985.281886154018</v>
      </c>
      <c r="L128" s="27">
        <f>'Statistics NZ'!L$128*('Economic Forecasts'!N$10-'Economic Forecasts'!N$9)*1000000/SUM('Statistics NZ'!L$15:L$29,'Statistics NZ'!L$115:L$129)</f>
        <v>32574.192641301299</v>
      </c>
      <c r="M128" s="27">
        <f>'Statistics NZ'!M$128*('Economic Forecasts'!O$10-'Economic Forecasts'!O$9)*1000000/SUM('Statistics NZ'!M$15:M$29,'Statistics NZ'!M$115:M$129)</f>
        <v>32570.71720589649</v>
      </c>
      <c r="N128" s="27">
        <f>'Statistics NZ'!N$128*('Economic Forecasts'!P$10-'Economic Forecasts'!P$9)*1000000/SUM('Statistics NZ'!N$15:N$29,'Statistics NZ'!N$115:N$129)</f>
        <v>32844.738871807895</v>
      </c>
      <c r="O128" s="27">
        <f>'Statistics NZ'!O$128*('Economic Forecasts'!Q$10-'Economic Forecasts'!Q$9)*1000000/SUM('Statistics NZ'!O$15:O$29,'Statistics NZ'!O$115:O$129)</f>
        <v>33646.385825537036</v>
      </c>
      <c r="P128" s="27">
        <f>'Statistics NZ'!P$128*('Economic Forecasts'!R$10-'Economic Forecasts'!R$9)*1000000/SUM('Statistics NZ'!P$15:P$29,'Statistics NZ'!P$115:P$129)</f>
        <v>35999.181166837276</v>
      </c>
      <c r="Q128" s="27">
        <f>'Statistics NZ'!Q$128*('Economic Forecasts'!S$10-'Economic Forecasts'!S$9)*1000000/SUM('Statistics NZ'!Q$15:Q$29,'Statistics NZ'!Q$115:Q$129)</f>
        <v>36796.086004626595</v>
      </c>
      <c r="R128" s="27">
        <f>'Statistics NZ'!R$128*('Economic Forecasts'!T$10-'Economic Forecasts'!T$9)*1000000/SUM('Statistics NZ'!R$15:R$29,'Statistics NZ'!R$115:R$129)</f>
        <v>36906.751694150116</v>
      </c>
      <c r="S128" s="27">
        <f>'Statistics NZ'!S$128*('Economic Forecasts'!U$10-'Economic Forecasts'!U$9)*1000000/SUM('Statistics NZ'!S$15:S$29,'Statistics NZ'!S$115:S$129)</f>
        <v>38074.821901708317</v>
      </c>
      <c r="T128" s="27">
        <f>'Statistics NZ'!T$128*('Economic Forecasts'!V$10-'Economic Forecasts'!V$9)*1000000/SUM('Statistics NZ'!T$15:T$29,'Statistics NZ'!T$115:T$129)</f>
        <v>38251.606760782575</v>
      </c>
      <c r="U128" s="28">
        <f>SUM('Statistics NZ'!U$128,$D$13/5*(U$8-U$9)*1000)*('Economic Forecasts'!W$10-'Economic Forecasts'!W$9)*1000000/SUM('Statistics NZ'!U$15:U$29,'Statistics NZ'!U$115:U$129,SUM($B$12:$D$13)*(U$8-U$9)*1000)</f>
        <v>38138.002295009646</v>
      </c>
      <c r="V128" s="28">
        <f>SUM('Statistics NZ'!V$128,$D$13/5*(V$8-V$9)*1000)*('Economic Forecasts'!X$10-'Economic Forecasts'!X$9)*1000000/SUM('Statistics NZ'!V$15:V$29,'Statistics NZ'!V$115:V$129,SUM($B$12:$D$13)*(V$8-V$9)*1000)</f>
        <v>37925.024326457096</v>
      </c>
      <c r="W128" s="28">
        <f>SUM('Statistics NZ'!W$128,$D$13/5*(W$8-W$9)*1000)*('Economic Forecasts'!Y$10-'Economic Forecasts'!Y$9)*1000000/SUM('Statistics NZ'!W$15:W$29,'Statistics NZ'!W$115:W$129,SUM($B$12:$D$13)*(W$8-W$9)*1000)</f>
        <v>37544.866622413552</v>
      </c>
      <c r="X128" s="28">
        <f>SUM('Statistics NZ'!X$128,$D$13/5*(X$8-X$9)*1000)*('Economic Forecasts'!Z$10-'Economic Forecasts'!Z$9)*1000000/SUM('Statistics NZ'!X$15:X$29,'Statistics NZ'!X$115:X$129,SUM($B$12:$D$13)*(X$8-X$9)*1000)</f>
        <v>38050.947575746512</v>
      </c>
      <c r="Y128" s="28">
        <f>SUM('Statistics NZ'!Y$128,$D$13/5*(Y$8-Y$9)*1000)*('Economic Forecasts'!AA$10-'Economic Forecasts'!AA$9)*1000000/SUM('Statistics NZ'!Y$15:Y$29,'Statistics NZ'!Y$115:Y$129,SUM($B$12:$D$13)*(Y$8-Y$9)*1000)</f>
        <v>38244.364596074636</v>
      </c>
      <c r="Z128" s="28">
        <f>SUM('Statistics NZ'!Z$128,$D$13/5*(Z$8-Z$9)*1000)*('Economic Forecasts'!AB$10-'Economic Forecasts'!AB$9)*1000000/SUM('Statistics NZ'!Z$15:Z$29,'Statistics NZ'!Z$115:Z$129,SUM($B$12:$D$13)*(Z$8-Z$9)*1000)</f>
        <v>38404.157283045468</v>
      </c>
      <c r="AA128" s="28">
        <f>SUM('Statistics NZ'!AA$128,$D$13/5*(AA$8-AA$9)*1000)*('Economic Forecasts'!AC$10-'Economic Forecasts'!AC$9)*1000000/SUM('Statistics NZ'!AA$15:AA$29,'Statistics NZ'!AA$115:AA$129,SUM($B$12:$D$13)*(AA$8-AA$9)*1000)</f>
        <v>38556.041404183503</v>
      </c>
      <c r="AB128" s="18">
        <f>SUM(AA$128,'Statistics NZ'!AB$128-'Statistics NZ'!AA$128,$D$13/5*(AB$8-AB$9)*1000)</f>
        <v>38891.297432558509</v>
      </c>
      <c r="AC128" s="18">
        <f>SUM(AB$128,'Statistics NZ'!AC$128-'Statistics NZ'!AB$128,$D$13/5*(AC$8-AC$9)*1000)</f>
        <v>38121.468118141849</v>
      </c>
      <c r="AD128" s="18">
        <f>SUM(AC$128,'Statistics NZ'!AD$128-'Statistics NZ'!AC$128,$D$13/5*(AD$8-AD$9)*1000)</f>
        <v>38775.705903801572</v>
      </c>
      <c r="AE128" s="18">
        <f>SUM(AD$128,'Statistics NZ'!AE$128-'Statistics NZ'!AD$128,$D$13/5*(AE$8-AE$9)*1000)</f>
        <v>38095.705903801572</v>
      </c>
      <c r="AF128" s="18">
        <f>SUM(AE$128,'Statistics NZ'!AF$128-'Statistics NZ'!AE$128,$D$13/5*(AF$8-AF$9)*1000)</f>
        <v>36535.705903801572</v>
      </c>
      <c r="AG128" s="18">
        <f>SUM(AF$128,'Statistics NZ'!AG$128-'Statistics NZ'!AF$128,$D$13/5*(AG$8-AG$9)*1000)</f>
        <v>36375.705903801572</v>
      </c>
      <c r="AH128" s="18">
        <f>SUM(AG$128,'Statistics NZ'!AH$128-'Statistics NZ'!AG$128,$D$13/5*(AH$8-AH$9)*1000)</f>
        <v>37045.705903801572</v>
      </c>
      <c r="AI128" s="18">
        <f>SUM(AH$128,'Statistics NZ'!AI$128-'Statistics NZ'!AH$128,$D$13/5*(AI$8-AI$9)*1000)</f>
        <v>37115.705903801572</v>
      </c>
      <c r="AJ128" s="18">
        <f>SUM(AI$128,'Statistics NZ'!AJ$128-'Statistics NZ'!AI$128,$D$13/5*(AJ$8-AJ$9)*1000)</f>
        <v>37165.705903801572</v>
      </c>
      <c r="AK128" s="18">
        <f>SUM(AJ$128,'Statistics NZ'!AK$128-'Statistics NZ'!AJ$128,$D$13/5*(AK$8-AK$9)*1000)</f>
        <v>37185.705903801572</v>
      </c>
    </row>
    <row r="129" spans="1:37" x14ac:dyDescent="0.25">
      <c r="A129" s="12">
        <f>$A$29</f>
        <v>14</v>
      </c>
      <c r="B129" s="27">
        <f>'Statistics NZ'!B$129*('Economic Forecasts'!D$10-'Economic Forecasts'!D$9)*1000000/SUM('Statistics NZ'!B$15:B$29,'Statistics NZ'!B$115:B$129)</f>
        <v>34775.067262554745</v>
      </c>
      <c r="C129" s="27">
        <f>'Statistics NZ'!C$129*('Economic Forecasts'!E$10-'Economic Forecasts'!E$9)*1000000/SUM('Statistics NZ'!C$15:C$29,'Statistics NZ'!C$115:C$129)</f>
        <v>34000.946931448445</v>
      </c>
      <c r="D129" s="27">
        <f>'Statistics NZ'!D$129*('Economic Forecasts'!F$10-'Economic Forecasts'!F$9)*1000000/SUM('Statistics NZ'!D$15:D$29,'Statistics NZ'!D$115:D$129)</f>
        <v>33268.936136949902</v>
      </c>
      <c r="E129" s="27">
        <f>'Statistics NZ'!E$129*('Economic Forecasts'!G$10-'Economic Forecasts'!G$9)*1000000/SUM('Statistics NZ'!E$15:E$29,'Statistics NZ'!E$115:E$129)</f>
        <v>33379.364374805802</v>
      </c>
      <c r="F129" s="27">
        <f>'Statistics NZ'!F$129*('Economic Forecasts'!H$10-'Economic Forecasts'!H$9)*1000000/SUM('Statistics NZ'!F$15:F$29,'Statistics NZ'!F$115:F$129)</f>
        <v>33619.52782610611</v>
      </c>
      <c r="G129" s="27">
        <f>'Statistics NZ'!G$129*('Economic Forecasts'!I$10-'Economic Forecasts'!I$9)*1000000/SUM('Statistics NZ'!G$15:G$29,'Statistics NZ'!G$115:G$129)</f>
        <v>32884.290279013076</v>
      </c>
      <c r="H129" s="27">
        <f>'Statistics NZ'!H$129*('Economic Forecasts'!J$10-'Economic Forecasts'!J$9)*1000000/SUM('Statistics NZ'!H$15:H$29,'Statistics NZ'!H$115:H$129)</f>
        <v>33287.499587826052</v>
      </c>
      <c r="I129" s="27">
        <f>'Statistics NZ'!I$129*('Economic Forecasts'!K$10-'Economic Forecasts'!K$9)*1000000/SUM('Statistics NZ'!I$15:I$29,'Statistics NZ'!I$115:I$129)</f>
        <v>32930.247912058883</v>
      </c>
      <c r="J129" s="27">
        <f>'Statistics NZ'!J$129*('Economic Forecasts'!L$10-'Economic Forecasts'!L$9)*1000000/SUM('Statistics NZ'!J$15:J$29,'Statistics NZ'!J$115:J$129)</f>
        <v>33987.633128955473</v>
      </c>
      <c r="K129" s="27">
        <f>'Statistics NZ'!K$129*('Economic Forecasts'!M$10-'Economic Forecasts'!M$9)*1000000/SUM('Statistics NZ'!K$15:K$29,'Statistics NZ'!K$115:K$129)</f>
        <v>33569.559569939425</v>
      </c>
      <c r="L129" s="27">
        <f>'Statistics NZ'!L$129*('Economic Forecasts'!N$10-'Economic Forecasts'!N$9)*1000000/SUM('Statistics NZ'!L$15:L$29,'Statistics NZ'!L$115:L$129)</f>
        <v>32499.432199173723</v>
      </c>
      <c r="M129" s="27">
        <f>'Statistics NZ'!M$129*('Economic Forecasts'!O$10-'Economic Forecasts'!O$9)*1000000/SUM('Statistics NZ'!M$15:M$29,'Statistics NZ'!M$115:M$129)</f>
        <v>32920.256610057324</v>
      </c>
      <c r="N129" s="27">
        <f>'Statistics NZ'!N$129*('Economic Forecasts'!P$10-'Economic Forecasts'!P$9)*1000000/SUM('Statistics NZ'!N$15:N$29,'Statistics NZ'!N$115:N$129)</f>
        <v>32971.715955075189</v>
      </c>
      <c r="O129" s="27">
        <f>'Statistics NZ'!O$129*('Economic Forecasts'!Q$10-'Economic Forecasts'!Q$9)*1000000/SUM('Statistics NZ'!O$15:O$29,'Statistics NZ'!O$115:O$129)</f>
        <v>33142.477395076574</v>
      </c>
      <c r="P129" s="27">
        <f>'Statistics NZ'!P$129*('Economic Forecasts'!R$10-'Economic Forecasts'!R$9)*1000000/SUM('Statistics NZ'!P$15:P$29,'Statistics NZ'!P$115:P$129)</f>
        <v>34363.334470601629</v>
      </c>
      <c r="Q129" s="27">
        <f>'Statistics NZ'!Q$129*('Economic Forecasts'!S$10-'Economic Forecasts'!S$9)*1000000/SUM('Statistics NZ'!Q$15:Q$29,'Statistics NZ'!Q$115:Q$129)</f>
        <v>35946.703569068093</v>
      </c>
      <c r="R129" s="27">
        <f>'Statistics NZ'!R$129*('Economic Forecasts'!T$10-'Economic Forecasts'!T$9)*1000000/SUM('Statistics NZ'!R$15:R$29,'Statistics NZ'!R$115:R$129)</f>
        <v>37043.48232168614</v>
      </c>
      <c r="S129" s="27">
        <f>'Statistics NZ'!S$129*('Economic Forecasts'!U$10-'Economic Forecasts'!U$9)*1000000/SUM('Statistics NZ'!S$15:S$29,'Statistics NZ'!S$115:S$129)</f>
        <v>37915.956163592695</v>
      </c>
      <c r="T129" s="27">
        <f>'Statistics NZ'!T$129*('Economic Forecasts'!V$10-'Economic Forecasts'!V$9)*1000000/SUM('Statistics NZ'!T$15:T$29,'Statistics NZ'!T$115:T$129)</f>
        <v>38737.408503188984</v>
      </c>
      <c r="U129" s="28">
        <f>SUM('Statistics NZ'!U$129,$D$13/5*(U$8-U$9)*1000)*('Economic Forecasts'!W$10-'Economic Forecasts'!W$9)*1000000/SUM('Statistics NZ'!U$15:U$29,'Statistics NZ'!U$115:U$129,SUM($B$12:$D$13)*(U$8-U$9)*1000)</f>
        <v>38658.19294789822</v>
      </c>
      <c r="V129" s="28">
        <f>SUM('Statistics NZ'!V$129,$D$13/5*(V$8-V$9)*1000)*('Economic Forecasts'!X$10-'Economic Forecasts'!X$9)*1000000/SUM('Statistics NZ'!V$15:V$29,'Statistics NZ'!V$115:V$129,SUM($B$12:$D$13)*(V$8-V$9)*1000)</f>
        <v>38336.966938363614</v>
      </c>
      <c r="W129" s="28">
        <f>SUM('Statistics NZ'!W$129,$D$13/5*(W$8-W$9)*1000)*('Economic Forecasts'!Y$10-'Economic Forecasts'!Y$9)*1000000/SUM('Statistics NZ'!W$15:W$29,'Statistics NZ'!W$115:W$129,SUM($B$12:$D$13)*(W$8-W$9)*1000)</f>
        <v>38281.558129267069</v>
      </c>
      <c r="X129" s="28">
        <f>SUM('Statistics NZ'!X$129,$D$13/5*(X$8-X$9)*1000)*('Economic Forecasts'!Z$10-'Economic Forecasts'!Z$9)*1000000/SUM('Statistics NZ'!X$15:X$29,'Statistics NZ'!X$115:X$129,SUM($B$12:$D$13)*(X$8-X$9)*1000)</f>
        <v>38369.97034230626</v>
      </c>
      <c r="Y129" s="28">
        <f>SUM('Statistics NZ'!Y$129,$D$13/5*(Y$8-Y$9)*1000)*('Economic Forecasts'!AA$10-'Economic Forecasts'!AA$9)*1000000/SUM('Statistics NZ'!Y$15:Y$29,'Statistics NZ'!Y$115:Y$129,SUM($B$12:$D$13)*(Y$8-Y$9)*1000)</f>
        <v>38900.26547562307</v>
      </c>
      <c r="Z129" s="28">
        <f>SUM('Statistics NZ'!Z$129,$D$13/5*(Z$8-Z$9)*1000)*('Economic Forecasts'!AB$10-'Economic Forecasts'!AB$9)*1000000/SUM('Statistics NZ'!Z$15:Z$29,'Statistics NZ'!Z$115:Z$129,SUM($B$12:$D$13)*(Z$8-Z$9)*1000)</f>
        <v>39122.119454699568</v>
      </c>
      <c r="AA129" s="28">
        <f>SUM('Statistics NZ'!AA$129,$D$13/5*(AA$8-AA$9)*1000)*('Economic Forecasts'!AC$10-'Economic Forecasts'!AC$9)*1000000/SUM('Statistics NZ'!AA$15:AA$29,'Statistics NZ'!AA$115:AA$129,SUM($B$12:$D$13)*(AA$8-AA$9)*1000)</f>
        <v>39259.83574923953</v>
      </c>
      <c r="AB129" s="18">
        <f>SUM(AA$129,'Statistics NZ'!AB$129-'Statistics NZ'!AA$129,$D$13/5*(AB$8-AB$9)*1000)</f>
        <v>39035.091777614536</v>
      </c>
      <c r="AC129" s="18">
        <f>SUM(AB$129,'Statistics NZ'!AC$129-'Statistics NZ'!AB$129,$D$13/5*(AC$8-AC$9)*1000)</f>
        <v>39375.262463197876</v>
      </c>
      <c r="AD129" s="18">
        <f>SUM(AC$129,'Statistics NZ'!AD$129-'Statistics NZ'!AC$129,$D$13/5*(AD$8-AD$9)*1000)</f>
        <v>38599.500248857599</v>
      </c>
      <c r="AE129" s="18">
        <f>SUM(AD$129,'Statistics NZ'!AE$129-'Statistics NZ'!AD$129,$D$13/5*(AE$8-AE$9)*1000)</f>
        <v>39249.500248857599</v>
      </c>
      <c r="AF129" s="18">
        <f>SUM(AE$129,'Statistics NZ'!AF$129-'Statistics NZ'!AE$129,$D$13/5*(AF$8-AF$9)*1000)</f>
        <v>38569.500248857599</v>
      </c>
      <c r="AG129" s="18">
        <f>SUM(AF$129,'Statistics NZ'!AG$129-'Statistics NZ'!AF$129,$D$13/5*(AG$8-AG$9)*1000)</f>
        <v>37009.500248857599</v>
      </c>
      <c r="AH129" s="18">
        <f>SUM(AG$129,'Statistics NZ'!AH$129-'Statistics NZ'!AG$129,$D$13/5*(AH$8-AH$9)*1000)</f>
        <v>36859.500248857599</v>
      </c>
      <c r="AI129" s="18">
        <f>SUM(AH$129,'Statistics NZ'!AI$129-'Statistics NZ'!AH$129,$D$13/5*(AI$8-AI$9)*1000)</f>
        <v>37529.500248857599</v>
      </c>
      <c r="AJ129" s="18">
        <f>SUM(AI$129,'Statistics NZ'!AJ$129-'Statistics NZ'!AI$129,$D$13/5*(AJ$8-AJ$9)*1000)</f>
        <v>37599.500248857599</v>
      </c>
      <c r="AK129" s="18">
        <f>SUM(AJ$129,'Statistics NZ'!AK$129-'Statistics NZ'!AJ$129,$D$13/5*(AK$8-AK$9)*1000)</f>
        <v>37649.500248857599</v>
      </c>
    </row>
    <row r="130" spans="1:37" x14ac:dyDescent="0.25">
      <c r="A130" s="12">
        <f>$A$30</f>
        <v>15</v>
      </c>
      <c r="B130" s="27">
        <f>'Statistics NZ'!B$130*'Economic Forecasts'!D$9*1000000/SUM('Statistics NZ'!B$30:B$110,'Statistics NZ'!B$130:B$210)</f>
        <v>32864.257414328706</v>
      </c>
      <c r="C130" s="27">
        <f>'Statistics NZ'!C$130*'Economic Forecasts'!E$9*1000000/SUM('Statistics NZ'!C$30:C$110,'Statistics NZ'!C$130:C$210)</f>
        <v>32003.635043330047</v>
      </c>
      <c r="D130" s="27">
        <f>'Statistics NZ'!D$130*'Economic Forecasts'!F$9*1000000/SUM('Statistics NZ'!D$30:D$110,'Statistics NZ'!D$130:D$210)</f>
        <v>31530.943095617429</v>
      </c>
      <c r="E130" s="27">
        <f>'Statistics NZ'!E$130*'Economic Forecasts'!G$9*1000000/SUM('Statistics NZ'!E$30:E$110,'Statistics NZ'!E$130:E$210)</f>
        <v>30872.508114210457</v>
      </c>
      <c r="F130" s="27">
        <f>'Statistics NZ'!F$130*'Economic Forecasts'!H$9*1000000/SUM('Statistics NZ'!F$30:F$110,'Statistics NZ'!F$130:F$210)</f>
        <v>31182.274851779661</v>
      </c>
      <c r="G130" s="27">
        <f>'Statistics NZ'!G$130*'Economic Forecasts'!I$9*1000000/SUM('Statistics NZ'!G$30:G$110,'Statistics NZ'!G$130:G$210)</f>
        <v>31382.798869074009</v>
      </c>
      <c r="H130" s="27">
        <f>'Statistics NZ'!H$130*'Economic Forecasts'!J$9*1000000/SUM('Statistics NZ'!H$30:H$110,'Statistics NZ'!H$130:H$210)</f>
        <v>30762.504395155182</v>
      </c>
      <c r="I130" s="27">
        <f>'Statistics NZ'!I$130*'Economic Forecasts'!K$9*1000000/SUM('Statistics NZ'!I$30:I$110,'Statistics NZ'!I$130:I$210)</f>
        <v>30998.841879144489</v>
      </c>
      <c r="J130" s="27">
        <f>'Statistics NZ'!J$130*'Economic Forecasts'!L$9*1000000/SUM('Statistics NZ'!J$30:J$110,'Statistics NZ'!J$130:J$210)</f>
        <v>30425.872601075254</v>
      </c>
      <c r="K130" s="27">
        <f>'Statistics NZ'!K$130*'Economic Forecasts'!M$9*1000000/SUM('Statistics NZ'!K$30:K$110,'Statistics NZ'!K$130:K$210)</f>
        <v>31350.626282755973</v>
      </c>
      <c r="L130" s="27">
        <f>'Statistics NZ'!L$130*'Economic Forecasts'!N$9*1000000/SUM('Statistics NZ'!L$30:L$110,'Statistics NZ'!L$130:L$210)</f>
        <v>31127.95823206694</v>
      </c>
      <c r="M130" s="27">
        <f>'Statistics NZ'!M$130*'Economic Forecasts'!O$9*1000000/SUM('Statistics NZ'!M$30:M$110,'Statistics NZ'!M$130:M$210)</f>
        <v>30393.144222063442</v>
      </c>
      <c r="N130" s="27">
        <f>'Statistics NZ'!N$130*'Economic Forecasts'!P$9*1000000/SUM('Statistics NZ'!N$30:N$110,'Statistics NZ'!N$130:N$210)</f>
        <v>31047.596443221533</v>
      </c>
      <c r="O130" s="27">
        <f>'Statistics NZ'!O$130*'Economic Forecasts'!Q$9*1000000/SUM('Statistics NZ'!O$30:O$110,'Statistics NZ'!O$130:O$210)</f>
        <v>31191.776187118649</v>
      </c>
      <c r="P130" s="27">
        <f>'Statistics NZ'!P$130*'Economic Forecasts'!R$9*1000000/SUM('Statistics NZ'!P$30:P$110,'Statistics NZ'!P$130:P$210)</f>
        <v>31471.165318386546</v>
      </c>
      <c r="Q130" s="27">
        <f>'Statistics NZ'!Q$130*'Economic Forecasts'!S$9*1000000/SUM('Statistics NZ'!Q$30:Q$110,'Statistics NZ'!Q$130:Q$210)</f>
        <v>32325.970842534625</v>
      </c>
      <c r="R130" s="27">
        <f>'Statistics NZ'!R$130*'Economic Forecasts'!T$9*1000000/SUM('Statistics NZ'!R$30:R$110,'Statistics NZ'!R$130:R$210)</f>
        <v>34089.829969306091</v>
      </c>
      <c r="S130" s="27">
        <f>'Statistics NZ'!S$130*'Economic Forecasts'!U$9*1000000/SUM('Statistics NZ'!S$30:S$110,'Statistics NZ'!S$130:S$210)</f>
        <v>35200.552227585846</v>
      </c>
      <c r="T130" s="27">
        <f>'Statistics NZ'!T$130*'Economic Forecasts'!V$9*1000000/SUM('Statistics NZ'!T$30:T$110,'Statistics NZ'!T$130:T$210)</f>
        <v>35964.502869066251</v>
      </c>
      <c r="U130" s="28">
        <f>SUM('Statistics NZ'!U$130,$E$13/5*(U$8-U$9)*1000)*'Economic Forecasts'!W$9*1000000/SUM('Statistics NZ'!U$30:U$110,'Statistics NZ'!U$130:U$210,SUM($E$12:$T$13)*(U$8-U$9)*1000)</f>
        <v>36258.436741203215</v>
      </c>
      <c r="V130" s="28">
        <f>SUM('Statistics NZ'!V$130,$E$13/5*(V$8-V$9)*1000)*'Economic Forecasts'!X$9*1000000/SUM('Statistics NZ'!V$30:V$110,'Statistics NZ'!V$130:V$210,SUM($E$12:$T$13)*(V$8-V$9)*1000)</f>
        <v>36068.890557991646</v>
      </c>
      <c r="W130" s="28">
        <f>SUM('Statistics NZ'!W$130,$E$13/5*(W$8-W$9)*1000)*'Economic Forecasts'!Y$9*1000000/SUM('Statistics NZ'!W$30:W$110,'Statistics NZ'!W$130:W$210,SUM($E$12:$T$13)*(W$8-W$9)*1000)</f>
        <v>36009.241227338651</v>
      </c>
      <c r="X130" s="28">
        <f>SUM('Statistics NZ'!X$130,$E$13/5*(X$8-X$9)*1000)*'Economic Forecasts'!Z$9*1000000/SUM('Statistics NZ'!X$30:X$110,'Statistics NZ'!X$130:X$210,SUM($E$12:$T$13)*(X$8-X$9)*1000)</f>
        <v>35997.851845472476</v>
      </c>
      <c r="Y130" s="28">
        <f>SUM('Statistics NZ'!Y$130,$E$13/5*(Y$8-Y$9)*1000)*'Economic Forecasts'!AA$9*1000000/SUM('Statistics NZ'!Y$30:Y$110,'Statistics NZ'!Y$130:Y$210,SUM($E$12:$T$13)*(Y$8-Y$9)*1000)</f>
        <v>35710.754469796106</v>
      </c>
      <c r="Z130" s="28">
        <f>SUM('Statistics NZ'!Z$130,$E$13/5*(Z$8-Z$9)*1000)*'Economic Forecasts'!AB$9*1000000/SUM('Statistics NZ'!Z$30:Z$110,'Statistics NZ'!Z$130:Z$210,SUM($E$12:$T$13)*(Z$8-Z$9)*1000)</f>
        <v>35799.611705053547</v>
      </c>
      <c r="AA130" s="28">
        <f>SUM('Statistics NZ'!AA$130,$E$13/5*(AA$8-AA$9)*1000)*'Economic Forecasts'!AC$9*1000000/SUM('Statistics NZ'!AA$30:AA$110,'Statistics NZ'!AA$130:AA$210,SUM($E$12:$T$13)*(AA$8-AA$9)*1000)</f>
        <v>35605.844166252435</v>
      </c>
      <c r="AB130" s="18">
        <f>SUM(AA$130,'Statistics NZ'!AB$130-'Statistics NZ'!AA$130,$E$13/5*(AB$8-AB$9)*1000)</f>
        <v>35380.547892849281</v>
      </c>
      <c r="AC130" s="18">
        <f>SUM(AB$130,'Statistics NZ'!AC$130-'Statistics NZ'!AB$130,$E$13/5*(AC$8-AC$9)*1000)</f>
        <v>35157.017043913846</v>
      </c>
      <c r="AD130" s="18">
        <f>SUM(AC$130,'Statistics NZ'!AD$130-'Statistics NZ'!AC$130,$E$13/5*(AD$8-AD$9)*1000)</f>
        <v>35493.879190190746</v>
      </c>
      <c r="AE130" s="18">
        <f>SUM(AD$130,'Statistics NZ'!AE$130-'Statistics NZ'!AD$130,$E$13/5*(AE$8-AE$9)*1000)</f>
        <v>34713.879190190746</v>
      </c>
      <c r="AF130" s="18">
        <f>SUM(AE$130,'Statistics NZ'!AF$130-'Statistics NZ'!AE$130,$E$13/5*(AF$8-AF$9)*1000)</f>
        <v>35373.879190190746</v>
      </c>
      <c r="AG130" s="18">
        <f>SUM(AF$130,'Statistics NZ'!AG$130-'Statistics NZ'!AF$130,$E$13/5*(AG$8-AG$9)*1000)</f>
        <v>34693.879190190746</v>
      </c>
      <c r="AH130" s="18">
        <f>SUM(AG$130,'Statistics NZ'!AH$130-'Statistics NZ'!AG$130,$E$13/5*(AH$8-AH$9)*1000)</f>
        <v>33133.879190190746</v>
      </c>
      <c r="AI130" s="18">
        <f>SUM(AH$130,'Statistics NZ'!AI$130-'Statistics NZ'!AH$130,$E$13/5*(AI$8-AI$9)*1000)</f>
        <v>32983.879190190746</v>
      </c>
      <c r="AJ130" s="18">
        <f>SUM(AI$130,'Statistics NZ'!AJ$130-'Statistics NZ'!AI$130,$E$13/5*(AJ$8-AJ$9)*1000)</f>
        <v>33653.879190190746</v>
      </c>
      <c r="AK130" s="18">
        <f>SUM(AJ$130,'Statistics NZ'!AK$130-'Statistics NZ'!AJ$130,$E$13/5*(AK$8-AK$9)*1000)</f>
        <v>33733.879190190746</v>
      </c>
    </row>
    <row r="131" spans="1:37" x14ac:dyDescent="0.25">
      <c r="A131" s="12">
        <f>$A$31</f>
        <v>16</v>
      </c>
      <c r="B131" s="27">
        <f>'Statistics NZ'!B$131*'Economic Forecasts'!D$9*1000000/SUM('Statistics NZ'!B$30:B$110,'Statistics NZ'!B$130:B$210)</f>
        <v>31905.431208135131</v>
      </c>
      <c r="C131" s="27">
        <f>'Statistics NZ'!C$131*'Economic Forecasts'!E$9*1000000/SUM('Statistics NZ'!C$30:C$110,'Statistics NZ'!C$130:C$210)</f>
        <v>32710.680677917277</v>
      </c>
      <c r="D131" s="27">
        <f>'Statistics NZ'!D$131*'Economic Forecasts'!F$9*1000000/SUM('Statistics NZ'!D$30:D$110,'Statistics NZ'!D$130:D$210)</f>
        <v>31727.397569733428</v>
      </c>
      <c r="E131" s="27">
        <f>'Statistics NZ'!E$131*'Economic Forecasts'!G$9*1000000/SUM('Statistics NZ'!E$30:E$110,'Statistics NZ'!E$130:E$210)</f>
        <v>31431.508419963313</v>
      </c>
      <c r="F131" s="27">
        <f>'Statistics NZ'!F$131*'Economic Forecasts'!H$9*1000000/SUM('Statistics NZ'!F$30:F$110,'Statistics NZ'!F$130:F$210)</f>
        <v>31074.377706963813</v>
      </c>
      <c r="G131" s="27">
        <f>'Statistics NZ'!G$131*'Economic Forecasts'!I$9*1000000/SUM('Statistics NZ'!G$30:G$110,'Statistics NZ'!G$130:G$210)</f>
        <v>31412.266285852485</v>
      </c>
      <c r="H131" s="27">
        <f>'Statistics NZ'!H$131*'Economic Forecasts'!J$9*1000000/SUM('Statistics NZ'!H$30:H$110,'Statistics NZ'!H$130:H$210)</f>
        <v>31617.291326607909</v>
      </c>
      <c r="I131" s="27">
        <f>'Statistics NZ'!I$131*'Economic Forecasts'!K$9*1000000/SUM('Statistics NZ'!I$30:I$110,'Statistics NZ'!I$130:I$210)</f>
        <v>31028.252545063981</v>
      </c>
      <c r="J131" s="27">
        <f>'Statistics NZ'!J$131*'Economic Forecasts'!L$9*1000000/SUM('Statistics NZ'!J$30:J$110,'Statistics NZ'!J$130:J$210)</f>
        <v>31128.008122638526</v>
      </c>
      <c r="K131" s="27">
        <f>'Statistics NZ'!K$131*'Economic Forecasts'!M$9*1000000/SUM('Statistics NZ'!K$30:K$110,'Statistics NZ'!K$130:K$210)</f>
        <v>30785.925560892661</v>
      </c>
      <c r="L131" s="27">
        <f>'Statistics NZ'!L$131*'Economic Forecasts'!N$9*1000000/SUM('Statistics NZ'!L$30:L$110,'Statistics NZ'!L$130:L$210)</f>
        <v>31906.887433995424</v>
      </c>
      <c r="M131" s="27">
        <f>'Statistics NZ'!M$131*'Economic Forecasts'!O$9*1000000/SUM('Statistics NZ'!M$30:M$110,'Statistics NZ'!M$130:M$210)</f>
        <v>31936.736889079199</v>
      </c>
      <c r="N131" s="27">
        <f>'Statistics NZ'!N$131*'Economic Forecasts'!P$9*1000000/SUM('Statistics NZ'!N$30:N$110,'Statistics NZ'!N$130:N$210)</f>
        <v>31116.090983121489</v>
      </c>
      <c r="O131" s="27">
        <f>'Statistics NZ'!O$131*'Economic Forecasts'!Q$9*1000000/SUM('Statistics NZ'!O$30:O$110,'Statistics NZ'!O$130:O$210)</f>
        <v>31614.082980584048</v>
      </c>
      <c r="P131" s="27">
        <f>'Statistics NZ'!P$131*'Economic Forecasts'!R$9*1000000/SUM('Statistics NZ'!P$30:P$110,'Statistics NZ'!P$130:P$210)</f>
        <v>31676.795210012595</v>
      </c>
      <c r="Q131" s="27">
        <f>'Statistics NZ'!Q$131*'Economic Forecasts'!S$9*1000000/SUM('Statistics NZ'!Q$30:Q$110,'Statistics NZ'!Q$130:Q$210)</f>
        <v>31930.787824899726</v>
      </c>
      <c r="R131" s="27">
        <f>'Statistics NZ'!R$131*'Economic Forecasts'!T$9*1000000/SUM('Statistics NZ'!R$30:R$110,'Statistics NZ'!R$130:R$210)</f>
        <v>32538.04588546119</v>
      </c>
      <c r="S131" s="27">
        <f>'Statistics NZ'!S$131*'Economic Forecasts'!U$9*1000000/SUM('Statistics NZ'!S$30:S$110,'Statistics NZ'!S$130:S$210)</f>
        <v>34412.044282222341</v>
      </c>
      <c r="T131" s="27">
        <f>'Statistics NZ'!T$131*'Economic Forecasts'!V$9*1000000/SUM('Statistics NZ'!T$30:T$110,'Statistics NZ'!T$130:T$210)</f>
        <v>36426.215962441318</v>
      </c>
      <c r="U131" s="28">
        <f>SUM('Statistics NZ'!U$131,$E$13/5*(U$8-U$9)*1000)*'Economic Forecasts'!W$9*1000000/SUM('Statistics NZ'!U$30:U$110,'Statistics NZ'!U$130:U$210,SUM($E$12:$T$13)*(U$8-U$9)*1000)</f>
        <v>36287.957641978406</v>
      </c>
      <c r="V131" s="28">
        <f>SUM('Statistics NZ'!V$131,$E$13/5*(V$8-V$9)*1000)*'Economic Forecasts'!X$9*1000000/SUM('Statistics NZ'!V$30:V$110,'Statistics NZ'!V$130:V$210,SUM($E$12:$T$13)*(V$8-V$9)*1000)</f>
        <v>36677.071748234055</v>
      </c>
      <c r="W131" s="28">
        <f>SUM('Statistics NZ'!W$131,$E$13/5*(W$8-W$9)*1000)*'Economic Forecasts'!Y$9*1000000/SUM('Statistics NZ'!W$30:W$110,'Statistics NZ'!W$130:W$210,SUM($E$12:$T$13)*(W$8-W$9)*1000)</f>
        <v>36635.288745564394</v>
      </c>
      <c r="X131" s="28">
        <f>SUM('Statistics NZ'!X$131,$E$13/5*(X$8-X$9)*1000)*'Economic Forecasts'!Z$9*1000000/SUM('Statistics NZ'!X$30:X$110,'Statistics NZ'!X$130:X$210,SUM($E$12:$T$13)*(X$8-X$9)*1000)</f>
        <v>36535.196164173023</v>
      </c>
      <c r="Y131" s="28">
        <f>SUM('Statistics NZ'!Y$131,$E$13/5*(Y$8-Y$9)*1000)*'Economic Forecasts'!AA$9*1000000/SUM('Statistics NZ'!Y$30:Y$110,'Statistics NZ'!Y$130:Y$210,SUM($E$12:$T$13)*(Y$8-Y$9)*1000)</f>
        <v>36550.885917393534</v>
      </c>
      <c r="Z131" s="28">
        <f>SUM('Statistics NZ'!Z$131,$E$13/5*(Z$8-Z$9)*1000)*'Economic Forecasts'!AB$9*1000000/SUM('Statistics NZ'!Z$30:Z$110,'Statistics NZ'!Z$130:Z$210,SUM($E$12:$T$13)*(Z$8-Z$9)*1000)</f>
        <v>36258.851317969806</v>
      </c>
      <c r="AA131" s="28">
        <f>SUM('Statistics NZ'!AA$131,$E$13/5*(AA$8-AA$9)*1000)*'Economic Forecasts'!AC$9*1000000/SUM('Statistics NZ'!AA$30:AA$110,'Statistics NZ'!AA$130:AA$210,SUM($E$12:$T$13)*(AA$8-AA$9)*1000)</f>
        <v>36368.317302792726</v>
      </c>
      <c r="AB131" s="18">
        <f>SUM(AA$131,'Statistics NZ'!AB$131-'Statistics NZ'!AA$131,$E$13/5*(AB$8-AB$9)*1000)</f>
        <v>36183.021029389573</v>
      </c>
      <c r="AC131" s="18">
        <f>SUM(AB$131,'Statistics NZ'!AC$131-'Statistics NZ'!AB$131,$E$13/5*(AC$8-AC$9)*1000)</f>
        <v>35949.490180454137</v>
      </c>
      <c r="AD131" s="18">
        <f>SUM(AC$131,'Statistics NZ'!AD$131-'Statistics NZ'!AC$131,$E$13/5*(AD$8-AD$9)*1000)</f>
        <v>35726.352326731037</v>
      </c>
      <c r="AE131" s="18">
        <f>SUM(AD$131,'Statistics NZ'!AE$131-'Statistics NZ'!AD$131,$E$13/5*(AE$8-AE$9)*1000)</f>
        <v>36056.352326731037</v>
      </c>
      <c r="AF131" s="18">
        <f>SUM(AE$131,'Statistics NZ'!AF$131-'Statistics NZ'!AE$131,$E$13/5*(AF$8-AF$9)*1000)</f>
        <v>35276.352326731037</v>
      </c>
      <c r="AG131" s="18">
        <f>SUM(AF$131,'Statistics NZ'!AG$131-'Statistics NZ'!AF$131,$E$13/5*(AG$8-AG$9)*1000)</f>
        <v>35936.352326731037</v>
      </c>
      <c r="AH131" s="18">
        <f>SUM(AG$131,'Statistics NZ'!AH$131-'Statistics NZ'!AG$131,$E$13/5*(AH$8-AH$9)*1000)</f>
        <v>35256.352326731037</v>
      </c>
      <c r="AI131" s="18">
        <f>SUM(AH$131,'Statistics NZ'!AI$131-'Statistics NZ'!AH$131,$E$13/5*(AI$8-AI$9)*1000)</f>
        <v>33696.352326731037</v>
      </c>
      <c r="AJ131" s="18">
        <f>SUM(AI$131,'Statistics NZ'!AJ$131-'Statistics NZ'!AI$131,$E$13/5*(AJ$8-AJ$9)*1000)</f>
        <v>33556.352326731037</v>
      </c>
      <c r="AK131" s="18">
        <f>SUM(AJ$131,'Statistics NZ'!AK$131-'Statistics NZ'!AJ$131,$E$13/5*(AK$8-AK$9)*1000)</f>
        <v>34226.352326731037</v>
      </c>
    </row>
    <row r="132" spans="1:37" x14ac:dyDescent="0.25">
      <c r="A132" s="12">
        <f>$A$32</f>
        <v>17</v>
      </c>
      <c r="B132" s="27">
        <f>'Statistics NZ'!B$132*'Economic Forecasts'!D$9*1000000/SUM('Statistics NZ'!B$30:B$110,'Statistics NZ'!B$130:B$210)</f>
        <v>31132.499878652558</v>
      </c>
      <c r="C132" s="27">
        <f>'Statistics NZ'!C$132*'Economic Forecasts'!E$9*1000000/SUM('Statistics NZ'!C$30:C$110,'Statistics NZ'!C$130:C$210)</f>
        <v>31679.572460810905</v>
      </c>
      <c r="D132" s="27">
        <f>'Statistics NZ'!D$132*'Economic Forecasts'!F$9*1000000/SUM('Statistics NZ'!D$30:D$110,'Statistics NZ'!D$130:D$210)</f>
        <v>32572.151808432216</v>
      </c>
      <c r="E132" s="27">
        <f>'Statistics NZ'!E$132*'Economic Forecasts'!G$9*1000000/SUM('Statistics NZ'!E$30:E$110,'Statistics NZ'!E$130:E$210)</f>
        <v>31558.999717766597</v>
      </c>
      <c r="F132" s="27">
        <f>'Statistics NZ'!F$132*'Economic Forecasts'!H$9*1000000/SUM('Statistics NZ'!F$30:F$110,'Statistics NZ'!F$130:F$210)</f>
        <v>31594.245768349258</v>
      </c>
      <c r="G132" s="27">
        <f>'Statistics NZ'!G$132*'Economic Forecasts'!I$9*1000000/SUM('Statistics NZ'!G$30:G$110,'Statistics NZ'!G$130:G$210)</f>
        <v>31235.461785181644</v>
      </c>
      <c r="H132" s="27">
        <f>'Statistics NZ'!H$132*'Economic Forecasts'!J$9*1000000/SUM('Statistics NZ'!H$30:H$110,'Statistics NZ'!H$130:H$210)</f>
        <v>31558.340503749099</v>
      </c>
      <c r="I132" s="27">
        <f>'Statistics NZ'!I$132*'Economic Forecasts'!K$9*1000000/SUM('Statistics NZ'!I$30:I$110,'Statistics NZ'!I$130:I$210)</f>
        <v>31792.929858970765</v>
      </c>
      <c r="J132" s="27">
        <f>'Statistics NZ'!J$132*'Economic Forecasts'!L$9*1000000/SUM('Statistics NZ'!J$30:J$110,'Statistics NZ'!J$130:J$210)</f>
        <v>31176.767533858198</v>
      </c>
      <c r="K132" s="27">
        <f>'Statistics NZ'!K$132*'Economic Forecasts'!M$9*1000000/SUM('Statistics NZ'!K$30:K$110,'Statistics NZ'!K$130:K$210)</f>
        <v>31486.933353550561</v>
      </c>
      <c r="L132" s="27">
        <f>'Statistics NZ'!L$132*'Economic Forecasts'!N$9*1000000/SUM('Statistics NZ'!L$30:L$110,'Statistics NZ'!L$130:L$210)</f>
        <v>31303.217302500852</v>
      </c>
      <c r="M132" s="27">
        <f>'Statistics NZ'!M$132*'Economic Forecasts'!O$9*1000000/SUM('Statistics NZ'!M$30:M$110,'Statistics NZ'!M$130:M$210)</f>
        <v>32474.063450382149</v>
      </c>
      <c r="N132" s="27">
        <f>'Statistics NZ'!N$132*'Economic Forecasts'!P$9*1000000/SUM('Statistics NZ'!N$30:N$110,'Statistics NZ'!N$130:N$210)</f>
        <v>32525.121518206233</v>
      </c>
      <c r="O132" s="27">
        <f>'Statistics NZ'!O$132*'Economic Forecasts'!Q$9*1000000/SUM('Statistics NZ'!O$30:O$110,'Statistics NZ'!O$130:O$210)</f>
        <v>31476.587745502289</v>
      </c>
      <c r="P132" s="27">
        <f>'Statistics NZ'!P$132*'Economic Forecasts'!R$9*1000000/SUM('Statistics NZ'!P$30:P$110,'Statistics NZ'!P$130:P$210)</f>
        <v>31735.546607620039</v>
      </c>
      <c r="Q132" s="27">
        <f>'Statistics NZ'!Q$132*'Economic Forecasts'!S$9*1000000/SUM('Statistics NZ'!Q$30:Q$110,'Statistics NZ'!Q$130:Q$210)</f>
        <v>32019.70400386758</v>
      </c>
      <c r="R132" s="27">
        <f>'Statistics NZ'!R$132*'Economic Forecasts'!T$9*1000000/SUM('Statistics NZ'!R$30:R$110,'Statistics NZ'!R$130:R$210)</f>
        <v>32103.150982982363</v>
      </c>
      <c r="S132" s="27">
        <f>'Statistics NZ'!S$132*'Economic Forecasts'!U$9*1000000/SUM('Statistics NZ'!S$30:S$110,'Statistics NZ'!S$130:S$210)</f>
        <v>32766.885729550322</v>
      </c>
      <c r="T132" s="27">
        <f>'Statistics NZ'!T$132*'Economic Forecasts'!V$9*1000000/SUM('Statistics NZ'!T$30:T$110,'Statistics NZ'!T$130:T$210)</f>
        <v>35404.55294731351</v>
      </c>
      <c r="U132" s="28">
        <f>SUM('Statistics NZ'!U$132,$E$13/5*(U$8-U$9)*1000)*'Economic Forecasts'!W$9*1000000/SUM('Statistics NZ'!U$30:U$110,'Statistics NZ'!U$130:U$210,SUM($E$12:$T$13)*(U$8-U$9)*1000)</f>
        <v>36829.174156190187</v>
      </c>
      <c r="V132" s="28">
        <f>SUM('Statistics NZ'!V$132,$E$13/5*(V$8-V$9)*1000)*'Economic Forecasts'!X$9*1000000/SUM('Statistics NZ'!V$30:V$110,'Statistics NZ'!V$130:V$210,SUM($E$12:$T$13)*(V$8-V$9)*1000)</f>
        <v>36794.784236668063</v>
      </c>
      <c r="W132" s="28">
        <f>SUM('Statistics NZ'!W$132,$E$13/5*(W$8-W$9)*1000)*'Economic Forecasts'!Y$9*1000000/SUM('Statistics NZ'!W$30:W$110,'Statistics NZ'!W$130:W$210,SUM($E$12:$T$13)*(W$8-W$9)*1000)</f>
        <v>37349.374196040648</v>
      </c>
      <c r="X132" s="28">
        <f>SUM('Statistics NZ'!X$132,$E$13/5*(X$8-X$9)*1000)*'Economic Forecasts'!Z$9*1000000/SUM('Statistics NZ'!X$30:X$110,'Statistics NZ'!X$130:X$210,SUM($E$12:$T$13)*(X$8-X$9)*1000)</f>
        <v>37277.708313650124</v>
      </c>
      <c r="Y132" s="28">
        <f>SUM('Statistics NZ'!Y$132,$E$13/5*(Y$8-Y$9)*1000)*'Economic Forecasts'!AA$9*1000000/SUM('Statistics NZ'!Y$30:Y$110,'Statistics NZ'!Y$130:Y$210,SUM($E$12:$T$13)*(Y$8-Y$9)*1000)</f>
        <v>37195.637958572952</v>
      </c>
      <c r="Z132" s="28">
        <f>SUM('Statistics NZ'!Z$132,$E$13/5*(Z$8-Z$9)*1000)*'Economic Forecasts'!AB$9*1000000/SUM('Statistics NZ'!Z$30:Z$110,'Statistics NZ'!Z$130:Z$210,SUM($E$12:$T$13)*(Z$8-Z$9)*1000)</f>
        <v>37216.41476617819</v>
      </c>
      <c r="AA132" s="28">
        <f>SUM('Statistics NZ'!AA$132,$E$13/5*(AA$8-AA$9)*1000)*'Economic Forecasts'!AC$9*1000000/SUM('Statistics NZ'!AA$30:AA$110,'Statistics NZ'!AA$130:AA$210,SUM($E$12:$T$13)*(AA$8-AA$9)*1000)</f>
        <v>36945.059803509102</v>
      </c>
      <c r="AB132" s="18">
        <f>SUM(AA$132,'Statistics NZ'!AB$132-'Statistics NZ'!AA$132,$E$13/5*(AB$8-AB$9)*1000)</f>
        <v>37069.763530105949</v>
      </c>
      <c r="AC132" s="18">
        <f>SUM(AB$132,'Statistics NZ'!AC$132-'Statistics NZ'!AB$132,$E$13/5*(AC$8-AC$9)*1000)</f>
        <v>36886.232681170513</v>
      </c>
      <c r="AD132" s="18">
        <f>SUM(AC$132,'Statistics NZ'!AD$132-'Statistics NZ'!AC$132,$E$13/5*(AD$8-AD$9)*1000)</f>
        <v>36643.094827447414</v>
      </c>
      <c r="AE132" s="18">
        <f>SUM(AD$132,'Statistics NZ'!AE$132-'Statistics NZ'!AD$132,$E$13/5*(AE$8-AE$9)*1000)</f>
        <v>36413.094827447414</v>
      </c>
      <c r="AF132" s="18">
        <f>SUM(AE$132,'Statistics NZ'!AF$132-'Statistics NZ'!AE$132,$E$13/5*(AF$8-AF$9)*1000)</f>
        <v>36743.094827447414</v>
      </c>
      <c r="AG132" s="18">
        <f>SUM(AF$132,'Statistics NZ'!AG$132-'Statistics NZ'!AF$132,$E$13/5*(AG$8-AG$9)*1000)</f>
        <v>35973.094827447414</v>
      </c>
      <c r="AH132" s="18">
        <f>SUM(AG$132,'Statistics NZ'!AH$132-'Statistics NZ'!AG$132,$E$13/5*(AH$8-AH$9)*1000)</f>
        <v>36633.094827447414</v>
      </c>
      <c r="AI132" s="18">
        <f>SUM(AH$132,'Statistics NZ'!AI$132-'Statistics NZ'!AH$132,$E$13/5*(AI$8-AI$9)*1000)</f>
        <v>35963.094827447414</v>
      </c>
      <c r="AJ132" s="18">
        <f>SUM(AI$132,'Statistics NZ'!AJ$132-'Statistics NZ'!AI$132,$E$13/5*(AJ$8-AJ$9)*1000)</f>
        <v>34403.094827447414</v>
      </c>
      <c r="AK132" s="18">
        <f>SUM(AJ$132,'Statistics NZ'!AK$132-'Statistics NZ'!AJ$132,$E$13/5*(AK$8-AK$9)*1000)</f>
        <v>34263.094827447414</v>
      </c>
    </row>
    <row r="133" spans="1:37" x14ac:dyDescent="0.25">
      <c r="A133" s="12">
        <f>$A$33</f>
        <v>18</v>
      </c>
      <c r="B133" s="27">
        <f>'Statistics NZ'!B$133*'Economic Forecasts'!D$9*1000000/SUM('Statistics NZ'!B$30:B$110,'Statistics NZ'!B$130:B$210)</f>
        <v>30467.191898844772</v>
      </c>
      <c r="C133" s="27">
        <f>'Statistics NZ'!C$133*'Economic Forecasts'!E$9*1000000/SUM('Statistics NZ'!C$30:C$110,'Statistics NZ'!C$130:C$210)</f>
        <v>30805.585495835028</v>
      </c>
      <c r="D133" s="27">
        <f>'Statistics NZ'!D$133*'Economic Forecasts'!F$9*1000000/SUM('Statistics NZ'!D$30:D$110,'Statistics NZ'!D$130:D$210)</f>
        <v>31206.79321332604</v>
      </c>
      <c r="E133" s="27">
        <f>'Statistics NZ'!E$133*'Economic Forecasts'!G$9*1000000/SUM('Statistics NZ'!E$30:E$110,'Statistics NZ'!E$130:E$210)</f>
        <v>32147.421092243287</v>
      </c>
      <c r="F133" s="27">
        <f>'Statistics NZ'!F$133*'Economic Forecasts'!H$9*1000000/SUM('Statistics NZ'!F$30:F$110,'Statistics NZ'!F$130:F$210)</f>
        <v>31515.775117574096</v>
      </c>
      <c r="G133" s="27">
        <f>'Statistics NZ'!G$133*'Economic Forecasts'!I$9*1000000/SUM('Statistics NZ'!G$30:G$110,'Statistics NZ'!G$130:G$210)</f>
        <v>31569.425842004341</v>
      </c>
      <c r="H133" s="27">
        <f>'Statistics NZ'!H$133*'Economic Forecasts'!J$9*1000000/SUM('Statistics NZ'!H$30:H$110,'Statistics NZ'!H$130:H$210)</f>
        <v>31204.635566596247</v>
      </c>
      <c r="I133" s="27">
        <f>'Statistics NZ'!I$133*'Economic Forecasts'!K$9*1000000/SUM('Statistics NZ'!I$30:I$110,'Statistics NZ'!I$130:I$210)</f>
        <v>31528.23386569534</v>
      </c>
      <c r="J133" s="27">
        <f>'Statistics NZ'!J$133*'Economic Forecasts'!L$9*1000000/SUM('Statistics NZ'!J$30:J$110,'Statistics NZ'!J$130:J$210)</f>
        <v>32054.436935812293</v>
      </c>
      <c r="K133" s="27">
        <f>'Statistics NZ'!K$133*'Economic Forecasts'!M$9*1000000/SUM('Statistics NZ'!K$30:K$110,'Statistics NZ'!K$130:K$210)</f>
        <v>31720.602617769859</v>
      </c>
      <c r="L133" s="27">
        <f>'Statistics NZ'!L$133*'Economic Forecasts'!N$9*1000000/SUM('Statistics NZ'!L$30:L$110,'Statistics NZ'!L$130:L$210)</f>
        <v>32033.463429308798</v>
      </c>
      <c r="M133" s="27">
        <f>'Statistics NZ'!M$133*'Economic Forecasts'!O$9*1000000/SUM('Statistics NZ'!M$30:M$110,'Statistics NZ'!M$130:M$210)</f>
        <v>31692.497543032401</v>
      </c>
      <c r="N133" s="27">
        <f>'Statistics NZ'!N$133*'Economic Forecasts'!P$9*1000000/SUM('Statistics NZ'!N$30:N$110,'Statistics NZ'!N$130:N$210)</f>
        <v>32720.82020363467</v>
      </c>
      <c r="O133" s="27">
        <f>'Statistics NZ'!O$133*'Economic Forecasts'!Q$9*1000000/SUM('Statistics NZ'!O$30:O$110,'Statistics NZ'!O$130:O$210)</f>
        <v>32684.581596577729</v>
      </c>
      <c r="P133" s="27">
        <f>'Statistics NZ'!P$133*'Economic Forecasts'!R$9*1000000/SUM('Statistics NZ'!P$30:P$110,'Statistics NZ'!P$130:P$210)</f>
        <v>31559.29241479771</v>
      </c>
      <c r="Q133" s="27">
        <f>'Statistics NZ'!Q$133*'Economic Forecasts'!S$9*1000000/SUM('Statistics NZ'!Q$30:Q$110,'Statistics NZ'!Q$130:Q$210)</f>
        <v>31713.437165200532</v>
      </c>
      <c r="R133" s="27">
        <f>'Statistics NZ'!R$133*'Economic Forecasts'!T$9*1000000/SUM('Statistics NZ'!R$30:R$110,'Statistics NZ'!R$130:R$210)</f>
        <v>31885.703531742955</v>
      </c>
      <c r="S133" s="27">
        <f>'Statistics NZ'!S$133*'Economic Forecasts'!U$9*1000000/SUM('Statistics NZ'!S$30:S$110,'Statistics NZ'!S$130:S$210)</f>
        <v>32114.663108076798</v>
      </c>
      <c r="T133" s="27">
        <f>'Statistics NZ'!T$133*'Economic Forecasts'!V$9*1000000/SUM('Statistics NZ'!T$30:T$110,'Statistics NZ'!T$130:T$210)</f>
        <v>33400.521648408969</v>
      </c>
      <c r="U133" s="28">
        <f>SUM('Statistics NZ'!U$133,$E$13/5*(U$8-U$9)*1000)*'Economic Forecasts'!W$9*1000000/SUM('Statistics NZ'!U$30:U$110,'Statistics NZ'!U$130:U$210,SUM($E$12:$T$13)*(U$8-U$9)*1000)</f>
        <v>35815.623229575402</v>
      </c>
      <c r="V133" s="28">
        <f>SUM('Statistics NZ'!V$133,$E$13/5*(V$8-V$9)*1000)*'Economic Forecasts'!X$9*1000000/SUM('Statistics NZ'!V$30:V$110,'Statistics NZ'!V$130:V$210,SUM($E$12:$T$13)*(V$8-V$9)*1000)</f>
        <v>37353.91855672963</v>
      </c>
      <c r="W133" s="28">
        <f>SUM('Statistics NZ'!W$133,$E$13/5*(W$8-W$9)*1000)*'Economic Forecasts'!Y$9*1000000/SUM('Statistics NZ'!W$30:W$110,'Statistics NZ'!W$130:W$210,SUM($E$12:$T$13)*(W$8-W$9)*1000)</f>
        <v>37486.322090652538</v>
      </c>
      <c r="X133" s="28">
        <f>SUM('Statistics NZ'!X$133,$E$13/5*(X$8-X$9)*1000)*'Economic Forecasts'!Z$9*1000000/SUM('Statistics NZ'!X$30:X$110,'Statistics NZ'!X$130:X$210,SUM($E$12:$T$13)*(X$8-X$9)*1000)</f>
        <v>38010.450566423577</v>
      </c>
      <c r="Y133" s="28">
        <f>SUM('Statistics NZ'!Y$133,$E$13/5*(Y$8-Y$9)*1000)*'Economic Forecasts'!AA$9*1000000/SUM('Statistics NZ'!Y$30:Y$110,'Statistics NZ'!Y$130:Y$210,SUM($E$12:$T$13)*(Y$8-Y$9)*1000)</f>
        <v>37967.386613924078</v>
      </c>
      <c r="Z133" s="28">
        <f>SUM('Statistics NZ'!Z$133,$E$13/5*(Z$8-Z$9)*1000)*'Economic Forecasts'!AB$9*1000000/SUM('Statistics NZ'!Z$30:Z$110,'Statistics NZ'!Z$130:Z$210,SUM($E$12:$T$13)*(Z$8-Z$9)*1000)</f>
        <v>37900.388657755611</v>
      </c>
      <c r="AA133" s="28">
        <f>SUM('Statistics NZ'!AA$133,$E$13/5*(AA$8-AA$9)*1000)*'Economic Forecasts'!AC$9*1000000/SUM('Statistics NZ'!AA$30:AA$110,'Statistics NZ'!AA$130:AA$210,SUM($E$12:$T$13)*(AA$8-AA$9)*1000)</f>
        <v>37932.364762362551</v>
      </c>
      <c r="AB133" s="18">
        <f>SUM(AA$133,'Statistics NZ'!AB$133-'Statistics NZ'!AA$133,$E$13/5*(AB$8-AB$9)*1000)</f>
        <v>37667.068488959398</v>
      </c>
      <c r="AC133" s="18">
        <f>SUM(AB$133,'Statistics NZ'!AC$133-'Statistics NZ'!AB$133,$E$13/5*(AC$8-AC$9)*1000)</f>
        <v>37793.537640023962</v>
      </c>
      <c r="AD133" s="18">
        <f>SUM(AC$133,'Statistics NZ'!AD$133-'Statistics NZ'!AC$133,$E$13/5*(AD$8-AD$9)*1000)</f>
        <v>37600.399786300863</v>
      </c>
      <c r="AE133" s="18">
        <f>SUM(AD$133,'Statistics NZ'!AE$133-'Statistics NZ'!AD$133,$E$13/5*(AE$8-AE$9)*1000)</f>
        <v>37350.399786300863</v>
      </c>
      <c r="AF133" s="18">
        <f>SUM(AE$133,'Statistics NZ'!AF$133-'Statistics NZ'!AE$133,$E$13/5*(AF$8-AF$9)*1000)</f>
        <v>37120.399786300863</v>
      </c>
      <c r="AG133" s="18">
        <f>SUM(AF$133,'Statistics NZ'!AG$133-'Statistics NZ'!AF$133,$E$13/5*(AG$8-AG$9)*1000)</f>
        <v>37460.399786300863</v>
      </c>
      <c r="AH133" s="18">
        <f>SUM(AG$133,'Statistics NZ'!AH$133-'Statistics NZ'!AG$133,$E$13/5*(AH$8-AH$9)*1000)</f>
        <v>36690.399786300863</v>
      </c>
      <c r="AI133" s="18">
        <f>SUM(AH$133,'Statistics NZ'!AI$133-'Statistics NZ'!AH$133,$E$13/5*(AI$8-AI$9)*1000)</f>
        <v>37360.399786300863</v>
      </c>
      <c r="AJ133" s="18">
        <f>SUM(AI$133,'Statistics NZ'!AJ$133-'Statistics NZ'!AI$133,$E$13/5*(AJ$8-AJ$9)*1000)</f>
        <v>36690.399786300863</v>
      </c>
      <c r="AK133" s="18">
        <f>SUM(AJ$133,'Statistics NZ'!AK$133-'Statistics NZ'!AJ$133,$E$13/5*(AK$8-AK$9)*1000)</f>
        <v>35140.399786300863</v>
      </c>
    </row>
    <row r="134" spans="1:37" x14ac:dyDescent="0.25">
      <c r="A134" s="12">
        <f>$A$34</f>
        <v>19</v>
      </c>
      <c r="B134" s="27">
        <f>'Statistics NZ'!B$134*'Economic Forecasts'!D$9*1000000/SUM('Statistics NZ'!B$30:B$110,'Statistics NZ'!B$130:B$210)</f>
        <v>29596.421160566937</v>
      </c>
      <c r="C134" s="27">
        <f>'Statistics NZ'!C$134*'Economic Forecasts'!E$9*1000000/SUM('Statistics NZ'!C$30:C$110,'Statistics NZ'!C$130:C$210)</f>
        <v>30216.380800345676</v>
      </c>
      <c r="D134" s="27">
        <f>'Statistics NZ'!D$134*'Economic Forecasts'!F$9*1000000/SUM('Statistics NZ'!D$30:D$110,'Statistics NZ'!D$130:D$210)</f>
        <v>30617.429790978051</v>
      </c>
      <c r="E134" s="27">
        <f>'Statistics NZ'!E$134*'Economic Forecasts'!G$9*1000000/SUM('Statistics NZ'!E$30:E$110,'Statistics NZ'!E$130:E$210)</f>
        <v>31186.332847264694</v>
      </c>
      <c r="F134" s="27">
        <f>'Statistics NZ'!F$134*'Economic Forecasts'!H$9*1000000/SUM('Statistics NZ'!F$30:F$110,'Statistics NZ'!F$130:F$210)</f>
        <v>32418.187601488447</v>
      </c>
      <c r="G134" s="27">
        <f>'Statistics NZ'!G$134*'Economic Forecasts'!I$9*1000000/SUM('Statistics NZ'!G$30:G$110,'Statistics NZ'!G$130:G$210)</f>
        <v>31883.744954308055</v>
      </c>
      <c r="H134" s="27">
        <f>'Statistics NZ'!H$134*'Economic Forecasts'!J$9*1000000/SUM('Statistics NZ'!H$30:H$110,'Statistics NZ'!H$130:H$210)</f>
        <v>31902.220303758822</v>
      </c>
      <c r="I134" s="27">
        <f>'Statistics NZ'!I$134*'Economic Forecasts'!K$9*1000000/SUM('Statistics NZ'!I$30:I$110,'Statistics NZ'!I$130:I$210)</f>
        <v>31655.680084679803</v>
      </c>
      <c r="J134" s="27">
        <f>'Statistics NZ'!J$134*'Economic Forecasts'!L$9*1000000/SUM('Statistics NZ'!J$30:J$110,'Statistics NZ'!J$130:J$210)</f>
        <v>32493.271636789344</v>
      </c>
      <c r="K134" s="27">
        <f>'Statistics NZ'!K$134*'Economic Forecasts'!M$9*1000000/SUM('Statistics NZ'!K$30:K$110,'Statistics NZ'!K$130:K$210)</f>
        <v>33229.716615852834</v>
      </c>
      <c r="L134" s="27">
        <f>'Statistics NZ'!L$134*'Economic Forecasts'!N$9*1000000/SUM('Statistics NZ'!L$30:L$110,'Statistics NZ'!L$130:L$210)</f>
        <v>32753.972941092645</v>
      </c>
      <c r="M134" s="27">
        <f>'Statistics NZ'!M$134*'Economic Forecasts'!O$9*1000000/SUM('Statistics NZ'!M$30:M$110,'Statistics NZ'!M$130:M$210)</f>
        <v>32835.537682531409</v>
      </c>
      <c r="N134" s="27">
        <f>'Statistics NZ'!N$134*'Economic Forecasts'!P$9*1000000/SUM('Statistics NZ'!N$30:N$110,'Statistics NZ'!N$130:N$210)</f>
        <v>32182.648818706468</v>
      </c>
      <c r="O134" s="27">
        <f>'Statistics NZ'!O$134*'Economic Forecasts'!Q$9*1000000/SUM('Statistics NZ'!O$30:O$110,'Statistics NZ'!O$130:O$210)</f>
        <v>33155.993831143758</v>
      </c>
      <c r="P134" s="27">
        <f>'Statistics NZ'!P$134*'Economic Forecasts'!R$9*1000000/SUM('Statistics NZ'!P$30:P$110,'Statistics NZ'!P$130:P$210)</f>
        <v>33037.869254585006</v>
      </c>
      <c r="Q134" s="27">
        <f>'Statistics NZ'!Q$134*'Economic Forecasts'!S$9*1000000/SUM('Statistics NZ'!Q$30:Q$110,'Statistics NZ'!Q$130:Q$210)</f>
        <v>31426.929477415233</v>
      </c>
      <c r="R134" s="27">
        <f>'Statistics NZ'!R$134*'Economic Forecasts'!T$9*1000000/SUM('Statistics NZ'!R$30:R$110,'Statistics NZ'!R$130:R$210)</f>
        <v>31371.736828813431</v>
      </c>
      <c r="S134" s="27">
        <f>'Statistics NZ'!S$134*'Economic Forecasts'!U$9*1000000/SUM('Statistics NZ'!S$30:S$110,'Statistics NZ'!S$130:S$210)</f>
        <v>32134.132440061083</v>
      </c>
      <c r="T134" s="27">
        <f>'Statistics NZ'!T$134*'Economic Forecasts'!V$9*1000000/SUM('Statistics NZ'!T$30:T$110,'Statistics NZ'!T$130:T$210)</f>
        <v>33194.22430881585</v>
      </c>
      <c r="U134" s="28">
        <f>SUM('Statistics NZ'!U$134,$E$13/5*(U$8-U$9)*1000)*'Economic Forecasts'!W$9*1000000/SUM('Statistics NZ'!U$30:U$110,'Statistics NZ'!U$130:U$210,SUM($E$12:$T$13)*(U$8-U$9)*1000)</f>
        <v>33749.160175312238</v>
      </c>
      <c r="V134" s="28">
        <f>SUM('Statistics NZ'!V$134,$E$13/5*(V$8-V$9)*1000)*'Economic Forecasts'!X$9*1000000/SUM('Statistics NZ'!V$30:V$110,'Statistics NZ'!V$130:V$210,SUM($E$12:$T$13)*(V$8-V$9)*1000)</f>
        <v>36294.506160823512</v>
      </c>
      <c r="W134" s="28">
        <f>SUM('Statistics NZ'!W$134,$E$13/5*(W$8-W$9)*1000)*'Economic Forecasts'!Y$9*1000000/SUM('Statistics NZ'!W$30:W$110,'Statistics NZ'!W$130:W$210,SUM($E$12:$T$13)*(W$8-W$9)*1000)</f>
        <v>37994.985699210964</v>
      </c>
      <c r="X134" s="28">
        <f>SUM('Statistics NZ'!X$134,$E$13/5*(X$8-X$9)*1000)*'Economic Forecasts'!Z$9*1000000/SUM('Statistics NZ'!X$30:X$110,'Statistics NZ'!X$130:X$210,SUM($E$12:$T$13)*(X$8-X$9)*1000)</f>
        <v>38098.379636756392</v>
      </c>
      <c r="Y134" s="28">
        <f>SUM('Statistics NZ'!Y$134,$E$13/5*(Y$8-Y$9)*1000)*'Economic Forecasts'!AA$9*1000000/SUM('Statistics NZ'!Y$30:Y$110,'Statistics NZ'!Y$130:Y$210,SUM($E$12:$T$13)*(Y$8-Y$9)*1000)</f>
        <v>38651.214536387102</v>
      </c>
      <c r="Z134" s="28">
        <f>SUM('Statistics NZ'!Z$134,$E$13/5*(Z$8-Z$9)*1000)*'Economic Forecasts'!AB$9*1000000/SUM('Statistics NZ'!Z$30:Z$110,'Statistics NZ'!Z$130:Z$210,SUM($E$12:$T$13)*(Z$8-Z$9)*1000)</f>
        <v>38613.675716114907</v>
      </c>
      <c r="AA134" s="28">
        <f>SUM('Statistics NZ'!AA$134,$E$13/5*(AA$8-AA$9)*1000)*'Economic Forecasts'!AC$9*1000000/SUM('Statistics NZ'!AA$30:AA$110,'Statistics NZ'!AA$130:AA$210,SUM($E$12:$T$13)*(AA$8-AA$9)*1000)</f>
        <v>38567.759042812795</v>
      </c>
      <c r="AB134" s="18">
        <f>SUM(AA$134,'Statistics NZ'!AB$134-'Statistics NZ'!AA$134,$E$13/5*(AB$8-AB$9)*1000)</f>
        <v>38622.462769409642</v>
      </c>
      <c r="AC134" s="18">
        <f>SUM(AB$134,'Statistics NZ'!AC$134-'Statistics NZ'!AB$134,$E$13/5*(AC$8-AC$9)*1000)</f>
        <v>38348.931920474206</v>
      </c>
      <c r="AD134" s="18">
        <f>SUM(AC$134,'Statistics NZ'!AD$134-'Statistics NZ'!AC$134,$E$13/5*(AD$8-AD$9)*1000)</f>
        <v>38465.794066751107</v>
      </c>
      <c r="AE134" s="18">
        <f>SUM(AD$134,'Statistics NZ'!AE$134-'Statistics NZ'!AD$134,$E$13/5*(AE$8-AE$9)*1000)</f>
        <v>38275.794066751107</v>
      </c>
      <c r="AF134" s="18">
        <f>SUM(AE$134,'Statistics NZ'!AF$134-'Statistics NZ'!AE$134,$E$13/5*(AF$8-AF$9)*1000)</f>
        <v>38035.794066751107</v>
      </c>
      <c r="AG134" s="18">
        <f>SUM(AF$134,'Statistics NZ'!AG$134-'Statistics NZ'!AF$134,$E$13/5*(AG$8-AG$9)*1000)</f>
        <v>37805.794066751107</v>
      </c>
      <c r="AH134" s="18">
        <f>SUM(AG$134,'Statistics NZ'!AH$134-'Statistics NZ'!AG$134,$E$13/5*(AH$8-AH$9)*1000)</f>
        <v>38145.794066751107</v>
      </c>
      <c r="AI134" s="18">
        <f>SUM(AH$134,'Statistics NZ'!AI$134-'Statistics NZ'!AH$134,$E$13/5*(AI$8-AI$9)*1000)</f>
        <v>37385.794066751107</v>
      </c>
      <c r="AJ134" s="18">
        <f>SUM(AI$134,'Statistics NZ'!AJ$134-'Statistics NZ'!AI$134,$E$13/5*(AJ$8-AJ$9)*1000)</f>
        <v>38055.794066751107</v>
      </c>
      <c r="AK134" s="18">
        <f>SUM(AJ$134,'Statistics NZ'!AK$134-'Statistics NZ'!AJ$134,$E$13/5*(AK$8-AK$9)*1000)</f>
        <v>37385.794066751107</v>
      </c>
    </row>
    <row r="135" spans="1:37" x14ac:dyDescent="0.25">
      <c r="A135" s="12">
        <f>$A$35</f>
        <v>20</v>
      </c>
      <c r="B135" s="27">
        <f>'Statistics NZ'!B$135*'Economic Forecasts'!D$9*1000000/SUM('Statistics NZ'!B$30:B$110,'Statistics NZ'!B$130:B$210)</f>
        <v>29185.495643626833</v>
      </c>
      <c r="C135" s="27">
        <f>'Statistics NZ'!C$135*'Economic Forecasts'!E$9*1000000/SUM('Statistics NZ'!C$30:C$110,'Statistics NZ'!C$130:C$210)</f>
        <v>29362.033991886114</v>
      </c>
      <c r="D135" s="27">
        <f>'Statistics NZ'!D$135*'Economic Forecasts'!F$9*1000000/SUM('Statistics NZ'!D$30:D$110,'Statistics NZ'!D$130:D$210)</f>
        <v>29929.839131572066</v>
      </c>
      <c r="E135" s="27">
        <f>'Statistics NZ'!E$135*'Economic Forecasts'!G$9*1000000/SUM('Statistics NZ'!E$30:E$110,'Statistics NZ'!E$130:E$210)</f>
        <v>30578.297426972105</v>
      </c>
      <c r="F135" s="27">
        <f>'Statistics NZ'!F$135*'Economic Forecasts'!H$9*1000000/SUM('Statistics NZ'!F$30:F$110,'Statistics NZ'!F$130:F$210)</f>
        <v>31486.348623533409</v>
      </c>
      <c r="G135" s="27">
        <f>'Statistics NZ'!G$135*'Economic Forecasts'!I$9*1000000/SUM('Statistics NZ'!G$30:G$110,'Statistics NZ'!G$130:G$210)</f>
        <v>32787.412402181239</v>
      </c>
      <c r="H135" s="27">
        <f>'Statistics NZ'!H$135*'Economic Forecasts'!J$9*1000000/SUM('Statistics NZ'!H$30:H$110,'Statistics NZ'!H$130:H$210)</f>
        <v>32010.296812333301</v>
      </c>
      <c r="I135" s="27">
        <f>'Statistics NZ'!I$135*'Economic Forecasts'!K$9*1000000/SUM('Statistics NZ'!I$30:I$110,'Statistics NZ'!I$130:I$210)</f>
        <v>32165.464960617668</v>
      </c>
      <c r="J135" s="27">
        <f>'Statistics NZ'!J$135*'Economic Forecasts'!L$9*1000000/SUM('Statistics NZ'!J$30:J$110,'Statistics NZ'!J$130:J$210)</f>
        <v>32532.279165765081</v>
      </c>
      <c r="K135" s="27">
        <f>'Statistics NZ'!K$135*'Economic Forecasts'!M$9*1000000/SUM('Statistics NZ'!K$30:K$110,'Statistics NZ'!K$130:K$210)</f>
        <v>33794.417337716142</v>
      </c>
      <c r="L135" s="27">
        <f>'Statistics NZ'!L$135*'Economic Forecasts'!N$9*1000000/SUM('Statistics NZ'!L$30:L$110,'Statistics NZ'!L$130:L$210)</f>
        <v>34321.567959973712</v>
      </c>
      <c r="M135" s="27">
        <f>'Statistics NZ'!M$135*'Economic Forecasts'!O$9*1000000/SUM('Statistics NZ'!M$30:M$110,'Statistics NZ'!M$130:M$210)</f>
        <v>33490.099129936825</v>
      </c>
      <c r="N135" s="27">
        <f>'Statistics NZ'!N$135*'Economic Forecasts'!P$9*1000000/SUM('Statistics NZ'!N$30:N$110,'Statistics NZ'!N$130:N$210)</f>
        <v>33395.980668362776</v>
      </c>
      <c r="O135" s="27">
        <f>'Statistics NZ'!O$135*'Economic Forecasts'!Q$9*1000000/SUM('Statistics NZ'!O$30:O$110,'Statistics NZ'!O$130:O$210)</f>
        <v>32537.265273275847</v>
      </c>
      <c r="P135" s="27">
        <f>'Statistics NZ'!P$135*'Economic Forecasts'!R$9*1000000/SUM('Statistics NZ'!P$30:P$110,'Statistics NZ'!P$130:P$210)</f>
        <v>33684.134628266867</v>
      </c>
      <c r="Q135" s="27">
        <f>'Statistics NZ'!Q$135*'Economic Forecasts'!S$9*1000000/SUM('Statistics NZ'!Q$30:Q$110,'Statistics NZ'!Q$130:Q$210)</f>
        <v>32790.310888255626</v>
      </c>
      <c r="R135" s="27">
        <f>'Statistics NZ'!R$135*'Economic Forecasts'!T$9*1000000/SUM('Statistics NZ'!R$30:R$110,'Statistics NZ'!R$130:R$210)</f>
        <v>31065.333602066985</v>
      </c>
      <c r="S135" s="27">
        <f>'Statistics NZ'!S$135*'Economic Forecasts'!U$9*1000000/SUM('Statistics NZ'!S$30:S$110,'Statistics NZ'!S$130:S$210)</f>
        <v>31754.480466367539</v>
      </c>
      <c r="T135" s="27">
        <f>'Statistics NZ'!T$135*'Economic Forecasts'!V$9*1000000/SUM('Statistics NZ'!T$30:T$110,'Statistics NZ'!T$130:T$210)</f>
        <v>33429.992696922272</v>
      </c>
      <c r="U135" s="28">
        <f>SUM('Statistics NZ'!U$135,$F$13/5*(U$8-U$9)*1000)*'Economic Forecasts'!W$9*1000000/SUM('Statistics NZ'!U$30:U$110,'Statistics NZ'!U$130:U$210,SUM($E$12:$T$13)*(U$8-U$9)*1000)</f>
        <v>33693.487830168211</v>
      </c>
      <c r="V135" s="28">
        <f>SUM('Statistics NZ'!V$135,$F$13/5*(V$8-V$9)*1000)*'Economic Forecasts'!X$9*1000000/SUM('Statistics NZ'!V$30:V$110,'Statistics NZ'!V$130:V$210,SUM($E$12:$T$13)*(V$8-V$9)*1000)</f>
        <v>34357.71546956119</v>
      </c>
      <c r="W135" s="28">
        <f>SUM('Statistics NZ'!W$135,$F$13/5*(W$8-W$9)*1000)*'Economic Forecasts'!Y$9*1000000/SUM('Statistics NZ'!W$30:W$110,'Statistics NZ'!W$130:W$210,SUM($E$12:$T$13)*(W$8-W$9)*1000)</f>
        <v>36879.313402109896</v>
      </c>
      <c r="X135" s="28">
        <f>SUM('Statistics NZ'!X$135,$F$13/5*(X$8-X$9)*1000)*'Economic Forecasts'!Z$9*1000000/SUM('Statistics NZ'!X$30:X$110,'Statistics NZ'!X$130:X$210,SUM($E$12:$T$13)*(X$8-X$9)*1000)</f>
        <v>38507.731524927207</v>
      </c>
      <c r="Y135" s="28">
        <f>SUM('Statistics NZ'!Y$135,$F$13/5*(Y$8-Y$9)*1000)*'Economic Forecasts'!AA$9*1000000/SUM('Statistics NZ'!Y$30:Y$110,'Statistics NZ'!Y$130:Y$210,SUM($E$12:$T$13)*(Y$8-Y$9)*1000)</f>
        <v>38629.676619438804</v>
      </c>
      <c r="Z135" s="28">
        <f>SUM('Statistics NZ'!Z$135,$F$13/5*(Z$8-Z$9)*1000)*'Economic Forecasts'!AB$9*1000000/SUM('Statistics NZ'!Z$30:Z$110,'Statistics NZ'!Z$130:Z$210,SUM($E$12:$T$13)*(Z$8-Z$9)*1000)</f>
        <v>39195.872999180356</v>
      </c>
      <c r="AA135" s="28">
        <f>SUM('Statistics NZ'!AA$135,$F$13/5*(AA$8-AA$9)*1000)*'Economic Forecasts'!AC$9*1000000/SUM('Statistics NZ'!AA$30:AA$110,'Statistics NZ'!AA$130:AA$210,SUM($E$12:$T$13)*(AA$8-AA$9)*1000)</f>
        <v>39193.935459656059</v>
      </c>
      <c r="AB135" s="18">
        <f>SUM(AA$135,'Statistics NZ'!AB$135-'Statistics NZ'!AA$135,$F$13/5*(AB$8-AB$9)*1000)</f>
        <v>39130.249763841028</v>
      </c>
      <c r="AC135" s="18">
        <f>SUM(AB$135,'Statistics NZ'!AC$135-'Statistics NZ'!AB$135,$F$13/5*(AC$8-AC$9)*1000)</f>
        <v>39157.792633297679</v>
      </c>
      <c r="AD135" s="18">
        <f>SUM(AC$135,'Statistics NZ'!AD$135-'Statistics NZ'!AC$135,$F$13/5*(AD$8-AD$9)*1000)</f>
        <v>38876.768828904613</v>
      </c>
      <c r="AE135" s="18">
        <f>SUM(AD$135,'Statistics NZ'!AE$135-'Statistics NZ'!AD$135,$F$13/5*(AE$8-AE$9)*1000)</f>
        <v>38986.768828904613</v>
      </c>
      <c r="AF135" s="18">
        <f>SUM(AE$135,'Statistics NZ'!AF$135-'Statistics NZ'!AE$135,$F$13/5*(AF$8-AF$9)*1000)</f>
        <v>38796.768828904613</v>
      </c>
      <c r="AG135" s="18">
        <f>SUM(AF$135,'Statistics NZ'!AG$135-'Statistics NZ'!AF$135,$F$13/5*(AG$8-AG$9)*1000)</f>
        <v>38556.768828904613</v>
      </c>
      <c r="AH135" s="18">
        <f>SUM(AG$135,'Statistics NZ'!AH$135-'Statistics NZ'!AG$135,$F$13/5*(AH$8-AH$9)*1000)</f>
        <v>38336.768828904613</v>
      </c>
      <c r="AI135" s="18">
        <f>SUM(AH$135,'Statistics NZ'!AI$135-'Statistics NZ'!AH$135,$F$13/5*(AI$8-AI$9)*1000)</f>
        <v>38686.768828904613</v>
      </c>
      <c r="AJ135" s="18">
        <f>SUM(AI$135,'Statistics NZ'!AJ$135-'Statistics NZ'!AI$135,$F$13/5*(AJ$8-AJ$9)*1000)</f>
        <v>37926.768828904613</v>
      </c>
      <c r="AK135" s="18">
        <f>SUM(AJ$135,'Statistics NZ'!AK$135-'Statistics NZ'!AJ$135,$F$13/5*(AK$8-AK$9)*1000)</f>
        <v>38596.768828904613</v>
      </c>
    </row>
    <row r="136" spans="1:37" x14ac:dyDescent="0.25">
      <c r="A136" s="12">
        <f>$A$36</f>
        <v>21</v>
      </c>
      <c r="B136" s="27">
        <f>'Statistics NZ'!B$136*'Economic Forecasts'!D$9*1000000/SUM('Statistics NZ'!B$30:B$110,'Statistics NZ'!B$130:B$210)</f>
        <v>28921.329239879618</v>
      </c>
      <c r="C136" s="27">
        <f>'Statistics NZ'!C$136*'Economic Forecasts'!E$9*1000000/SUM('Statistics NZ'!C$30:C$110,'Statistics NZ'!C$130:C$210)</f>
        <v>28645.168279040736</v>
      </c>
      <c r="D136" s="27">
        <f>'Statistics NZ'!D$136*'Economic Forecasts'!F$9*1000000/SUM('Statistics NZ'!D$30:D$110,'Statistics NZ'!D$130:D$210)</f>
        <v>28927.921313580478</v>
      </c>
      <c r="E136" s="27">
        <f>'Statistics NZ'!E$136*'Economic Forecasts'!G$9*1000000/SUM('Statistics NZ'!E$30:E$110,'Statistics NZ'!E$130:E$210)</f>
        <v>29695.665365257068</v>
      </c>
      <c r="F136" s="27">
        <f>'Statistics NZ'!F$136*'Economic Forecasts'!H$9*1000000/SUM('Statistics NZ'!F$30:F$110,'Statistics NZ'!F$130:F$210)</f>
        <v>30574.127308272164</v>
      </c>
      <c r="G136" s="27">
        <f>'Statistics NZ'!G$136*'Economic Forecasts'!I$9*1000000/SUM('Statistics NZ'!G$30:G$110,'Statistics NZ'!G$130:G$210)</f>
        <v>31520.313480706885</v>
      </c>
      <c r="H136" s="27">
        <f>'Statistics NZ'!H$136*'Economic Forecasts'!J$9*1000000/SUM('Statistics NZ'!H$30:H$110,'Statistics NZ'!H$130:H$210)</f>
        <v>32481.903395203779</v>
      </c>
      <c r="I136" s="27">
        <f>'Statistics NZ'!I$136*'Economic Forecasts'!K$9*1000000/SUM('Statistics NZ'!I$30:I$110,'Statistics NZ'!I$130:I$210)</f>
        <v>31851.751190809751</v>
      </c>
      <c r="J136" s="27">
        <f>'Statistics NZ'!J$136*'Economic Forecasts'!L$9*1000000/SUM('Statistics NZ'!J$30:J$110,'Statistics NZ'!J$130:J$210)</f>
        <v>32805.33186859524</v>
      </c>
      <c r="K136" s="27">
        <f>'Statistics NZ'!K$136*'Economic Forecasts'!M$9*1000000/SUM('Statistics NZ'!K$30:K$110,'Statistics NZ'!K$130:K$210)</f>
        <v>33648.374047579076</v>
      </c>
      <c r="L136" s="27">
        <f>'Statistics NZ'!L$136*'Economic Forecasts'!N$9*1000000/SUM('Statistics NZ'!L$30:L$110,'Statistics NZ'!L$130:L$210)</f>
        <v>34691.559330889744</v>
      </c>
      <c r="M136" s="27">
        <f>'Statistics NZ'!M$136*'Economic Forecasts'!O$9*1000000/SUM('Statistics NZ'!M$30:M$110,'Statistics NZ'!M$130:M$210)</f>
        <v>34760.143729380179</v>
      </c>
      <c r="N136" s="27">
        <f>'Statistics NZ'!N$136*'Economic Forecasts'!P$9*1000000/SUM('Statistics NZ'!N$30:N$110,'Statistics NZ'!N$130:N$210)</f>
        <v>33758.023236405388</v>
      </c>
      <c r="O136" s="27">
        <f>'Statistics NZ'!O$136*'Economic Forecasts'!Q$9*1000000/SUM('Statistics NZ'!O$30:O$110,'Statistics NZ'!O$130:O$210)</f>
        <v>33784.543477231782</v>
      </c>
      <c r="P136" s="27">
        <f>'Statistics NZ'!P$136*'Economic Forecasts'!R$9*1000000/SUM('Statistics NZ'!P$30:P$110,'Statistics NZ'!P$130:P$210)</f>
        <v>33106.412551793685</v>
      </c>
      <c r="Q136" s="27">
        <f>'Statistics NZ'!Q$136*'Economic Forecasts'!S$9*1000000/SUM('Statistics NZ'!Q$30:Q$110,'Statistics NZ'!Q$130:Q$210)</f>
        <v>33511.51989543932</v>
      </c>
      <c r="R136" s="27">
        <f>'Statistics NZ'!R$136*'Economic Forecasts'!T$9*1000000/SUM('Statistics NZ'!R$30:R$110,'Statistics NZ'!R$130:R$210)</f>
        <v>32330.482409278109</v>
      </c>
      <c r="S136" s="27">
        <f>'Statistics NZ'!S$136*'Economic Forecasts'!U$9*1000000/SUM('Statistics NZ'!S$30:S$110,'Statistics NZ'!S$130:S$210)</f>
        <v>31501.37915057184</v>
      </c>
      <c r="T136" s="27">
        <f>'Statistics NZ'!T$136*'Economic Forecasts'!V$9*1000000/SUM('Statistics NZ'!T$30:T$110,'Statistics NZ'!T$130:T$210)</f>
        <v>32830.748043818465</v>
      </c>
      <c r="U136" s="28">
        <f>SUM('Statistics NZ'!U$136,$F$13/5*(U$8-U$9)*1000)*'Economic Forecasts'!W$9*1000000/SUM('Statistics NZ'!U$30:U$110,'Statistics NZ'!U$130:U$210,SUM($E$12:$T$13)*(U$8-U$9)*1000)</f>
        <v>33703.328130426606</v>
      </c>
      <c r="V136" s="28">
        <f>SUM('Statistics NZ'!V$136,$F$13/5*(V$8-V$9)*1000)*'Economic Forecasts'!X$9*1000000/SUM('Statistics NZ'!V$30:V$110,'Statistics NZ'!V$130:V$210,SUM($E$12:$T$13)*(V$8-V$9)*1000)</f>
        <v>33837.8186456443</v>
      </c>
      <c r="W136" s="28">
        <f>SUM('Statistics NZ'!W$136,$F$13/5*(W$8-W$9)*1000)*'Economic Forecasts'!Y$9*1000000/SUM('Statistics NZ'!W$30:W$110,'Statistics NZ'!W$130:W$210,SUM($E$12:$T$13)*(W$8-W$9)*1000)</f>
        <v>34521.853216291034</v>
      </c>
      <c r="X136" s="28">
        <f>SUM('Statistics NZ'!X$136,$F$13/5*(X$8-X$9)*1000)*'Economic Forecasts'!Z$9*1000000/SUM('Statistics NZ'!X$30:X$110,'Statistics NZ'!X$130:X$210,SUM($E$12:$T$13)*(X$8-X$9)*1000)</f>
        <v>37149.7158831204</v>
      </c>
      <c r="Y136" s="28">
        <f>SUM('Statistics NZ'!Y$136,$F$13/5*(Y$8-Y$9)*1000)*'Economic Forecasts'!AA$9*1000000/SUM('Statistics NZ'!Y$30:Y$110,'Statistics NZ'!Y$130:Y$210,SUM($E$12:$T$13)*(Y$8-Y$9)*1000)</f>
        <v>38834.824996177704</v>
      </c>
      <c r="Z136" s="28">
        <f>SUM('Statistics NZ'!Z$136,$F$13/5*(Z$8-Z$9)*1000)*'Economic Forecasts'!AB$9*1000000/SUM('Statistics NZ'!Z$30:Z$110,'Statistics NZ'!Z$130:Z$210,SUM($E$12:$T$13)*(Z$8-Z$9)*1000)</f>
        <v>38990.680831707141</v>
      </c>
      <c r="AA136" s="28">
        <f>SUM('Statistics NZ'!AA$136,$F$13/5*(AA$8-AA$9)*1000)*'Economic Forecasts'!AC$9*1000000/SUM('Statistics NZ'!AA$30:AA$110,'Statistics NZ'!AA$130:AA$210,SUM($E$12:$T$13)*(AA$8-AA$9)*1000)</f>
        <v>39575.172027926201</v>
      </c>
      <c r="AB136" s="18">
        <f>SUM(AA$136,'Statistics NZ'!AB$136-'Statistics NZ'!AA$136,$F$13/5*(AB$8-AB$9)*1000)</f>
        <v>39551.48633211117</v>
      </c>
      <c r="AC136" s="18">
        <f>SUM(AB$136,'Statistics NZ'!AC$136-'Statistics NZ'!AB$136,$F$13/5*(AC$8-AC$9)*1000)</f>
        <v>39489.029201567821</v>
      </c>
      <c r="AD136" s="18">
        <f>SUM(AC$136,'Statistics NZ'!AD$136-'Statistics NZ'!AC$136,$F$13/5*(AD$8-AD$9)*1000)</f>
        <v>39528.005397174755</v>
      </c>
      <c r="AE136" s="18">
        <f>SUM(AD$136,'Statistics NZ'!AE$136-'Statistics NZ'!AD$136,$F$13/5*(AE$8-AE$9)*1000)</f>
        <v>39248.005397174755</v>
      </c>
      <c r="AF136" s="18">
        <f>SUM(AE$136,'Statistics NZ'!AF$136-'Statistics NZ'!AE$136,$F$13/5*(AF$8-AF$9)*1000)</f>
        <v>39368.005397174755</v>
      </c>
      <c r="AG136" s="18">
        <f>SUM(AF$136,'Statistics NZ'!AG$136-'Statistics NZ'!AF$136,$F$13/5*(AG$8-AG$9)*1000)</f>
        <v>39178.005397174755</v>
      </c>
      <c r="AH136" s="18">
        <f>SUM(AG$136,'Statistics NZ'!AH$136-'Statistics NZ'!AG$136,$F$13/5*(AH$8-AH$9)*1000)</f>
        <v>38948.005397174755</v>
      </c>
      <c r="AI136" s="18">
        <f>SUM(AH$136,'Statistics NZ'!AI$136-'Statistics NZ'!AH$136,$F$13/5*(AI$8-AI$9)*1000)</f>
        <v>38738.005397174755</v>
      </c>
      <c r="AJ136" s="18">
        <f>SUM(AI$136,'Statistics NZ'!AJ$136-'Statistics NZ'!AI$136,$F$13/5*(AJ$8-AJ$9)*1000)</f>
        <v>39078.005397174755</v>
      </c>
      <c r="AK136" s="18">
        <f>SUM(AJ$136,'Statistics NZ'!AK$136-'Statistics NZ'!AJ$136,$F$13/5*(AK$8-AK$9)*1000)</f>
        <v>38328.005397174755</v>
      </c>
    </row>
    <row r="137" spans="1:37" x14ac:dyDescent="0.25">
      <c r="A137" s="12">
        <f>$A$37</f>
        <v>22</v>
      </c>
      <c r="B137" s="27">
        <f>'Statistics NZ'!B$137*'Economic Forecasts'!D$9*1000000/SUM('Statistics NZ'!B$30:B$110,'Statistics NZ'!B$130:B$210)</f>
        <v>28764.786185807203</v>
      </c>
      <c r="C137" s="27">
        <f>'Statistics NZ'!C$137*'Economic Forecasts'!E$9*1000000/SUM('Statistics NZ'!C$30:C$110,'Statistics NZ'!C$130:C$210)</f>
        <v>28232.724992198186</v>
      </c>
      <c r="D137" s="27">
        <f>'Statistics NZ'!D$137*'Economic Forecasts'!F$9*1000000/SUM('Statistics NZ'!D$30:D$110,'Statistics NZ'!D$130:D$210)</f>
        <v>28053.698903764292</v>
      </c>
      <c r="E137" s="27">
        <f>'Statistics NZ'!E$137*'Economic Forecasts'!G$9*1000000/SUM('Statistics NZ'!E$30:E$110,'Statistics NZ'!E$130:E$210)</f>
        <v>28607.085822475186</v>
      </c>
      <c r="F137" s="27">
        <f>'Statistics NZ'!F$137*'Economic Forecasts'!H$9*1000000/SUM('Statistics NZ'!F$30:F$110,'Statistics NZ'!F$130:F$210)</f>
        <v>29554.008848195066</v>
      </c>
      <c r="G137" s="27">
        <f>'Statistics NZ'!G$137*'Economic Forecasts'!I$9*1000000/SUM('Statistics NZ'!G$30:G$110,'Statistics NZ'!G$130:G$210)</f>
        <v>30312.149392789484</v>
      </c>
      <c r="H137" s="27">
        <f>'Statistics NZ'!H$137*'Economic Forecasts'!J$9*1000000/SUM('Statistics NZ'!H$30:H$110,'Statistics NZ'!H$130:H$210)</f>
        <v>30959.007138017878</v>
      </c>
      <c r="I137" s="27">
        <f>'Statistics NZ'!I$137*'Economic Forecasts'!K$9*1000000/SUM('Statistics NZ'!I$30:I$110,'Statistics NZ'!I$130:I$210)</f>
        <v>32116.447184085177</v>
      </c>
      <c r="J137" s="27">
        <f>'Statistics NZ'!J$137*'Economic Forecasts'!L$9*1000000/SUM('Statistics NZ'!J$30:J$110,'Statistics NZ'!J$130:J$210)</f>
        <v>32668.805517180161</v>
      </c>
      <c r="K137" s="27">
        <f>'Statistics NZ'!K$137*'Economic Forecasts'!M$9*1000000/SUM('Statistics NZ'!K$30:K$110,'Statistics NZ'!K$130:K$210)</f>
        <v>34203.338550099914</v>
      </c>
      <c r="L137" s="27">
        <f>'Statistics NZ'!L$137*'Economic Forecasts'!N$9*1000000/SUM('Statistics NZ'!L$30:L$110,'Statistics NZ'!L$130:L$210)</f>
        <v>34535.773490504049</v>
      </c>
      <c r="M137" s="27">
        <f>'Statistics NZ'!M$137*'Economic Forecasts'!O$9*1000000/SUM('Statistics NZ'!M$30:M$110,'Statistics NZ'!M$130:M$210)</f>
        <v>35014.152649268843</v>
      </c>
      <c r="N137" s="27">
        <f>'Statistics NZ'!N$137*'Economic Forecasts'!P$9*1000000/SUM('Statistics NZ'!N$30:N$110,'Statistics NZ'!N$130:N$210)</f>
        <v>34834.366006261793</v>
      </c>
      <c r="O137" s="27">
        <f>'Statistics NZ'!O$137*'Economic Forecasts'!Q$9*1000000/SUM('Statistics NZ'!O$30:O$110,'Statistics NZ'!O$130:O$210)</f>
        <v>33931.859800533668</v>
      </c>
      <c r="P137" s="27">
        <f>'Statistics NZ'!P$137*'Economic Forecasts'!R$9*1000000/SUM('Statistics NZ'!P$30:P$110,'Statistics NZ'!P$130:P$210)</f>
        <v>34163.937708727644</v>
      </c>
      <c r="Q137" s="27">
        <f>'Statistics NZ'!Q$137*'Economic Forecasts'!S$9*1000000/SUM('Statistics NZ'!Q$30:Q$110,'Statistics NZ'!Q$130:Q$210)</f>
        <v>32908.865793546101</v>
      </c>
      <c r="R137" s="27">
        <f>'Statistics NZ'!R$137*'Economic Forecasts'!T$9*1000000/SUM('Statistics NZ'!R$30:R$110,'Statistics NZ'!R$130:R$210)</f>
        <v>33061.896563447044</v>
      </c>
      <c r="S137" s="27">
        <f>'Statistics NZ'!S$137*'Economic Forecasts'!U$9*1000000/SUM('Statistics NZ'!S$30:S$110,'Statistics NZ'!S$130:S$210)</f>
        <v>32581.927075699616</v>
      </c>
      <c r="T137" s="27">
        <f>'Statistics NZ'!T$137*'Economic Forecasts'!V$9*1000000/SUM('Statistics NZ'!T$30:T$110,'Statistics NZ'!T$130:T$210)</f>
        <v>32418.153364632231</v>
      </c>
      <c r="U137" s="28">
        <f>SUM('Statistics NZ'!U$137,$F$13/5*(U$8-U$9)*1000)*'Economic Forecasts'!W$9*1000000/SUM('Statistics NZ'!U$30:U$110,'Statistics NZ'!U$130:U$210,SUM($E$12:$T$13)*(U$8-U$9)*1000)</f>
        <v>33004.66681208049</v>
      </c>
      <c r="V137" s="28">
        <f>SUM('Statistics NZ'!V$137,$F$13/5*(V$8-V$9)*1000)*'Economic Forecasts'!X$9*1000000/SUM('Statistics NZ'!V$30:V$110,'Statistics NZ'!V$130:V$210,SUM($E$12:$T$13)*(V$8-V$9)*1000)</f>
        <v>33749.534279318788</v>
      </c>
      <c r="W137" s="28">
        <f>SUM('Statistics NZ'!W$137,$F$13/5*(W$8-W$9)*1000)*'Economic Forecasts'!Y$9*1000000/SUM('Statistics NZ'!W$30:W$110,'Statistics NZ'!W$130:W$210,SUM($E$12:$T$13)*(W$8-W$9)*1000)</f>
        <v>33915.369683009827</v>
      </c>
      <c r="X137" s="28">
        <f>SUM('Statistics NZ'!X$137,$F$13/5*(X$8-X$9)*1000)*'Economic Forecasts'!Z$9*1000000/SUM('Statistics NZ'!X$30:X$110,'Statistics NZ'!X$130:X$210,SUM($E$12:$T$13)*(X$8-X$9)*1000)</f>
        <v>34697.471810505216</v>
      </c>
      <c r="Y137" s="28">
        <f>SUM('Statistics NZ'!Y$137,$F$13/5*(Y$8-Y$9)*1000)*'Economic Forecasts'!AA$9*1000000/SUM('Statistics NZ'!Y$30:Y$110,'Statistics NZ'!Y$130:Y$210,SUM($E$12:$T$13)*(Y$8-Y$9)*1000)</f>
        <v>37389.017388684457</v>
      </c>
      <c r="Z137" s="28">
        <f>SUM('Statistics NZ'!Z$137,$F$13/5*(Z$8-Z$9)*1000)*'Economic Forecasts'!AB$9*1000000/SUM('Statistics NZ'!Z$30:Z$110,'Statistics NZ'!Z$130:Z$210,SUM($E$12:$T$13)*(Z$8-Z$9)*1000)</f>
        <v>39107.933498834689</v>
      </c>
      <c r="AA137" s="28">
        <f>SUM('Statistics NZ'!AA$137,$F$13/5*(AA$8-AA$9)*1000)*'Economic Forecasts'!AC$9*1000000/SUM('Statistics NZ'!AA$30:AA$110,'Statistics NZ'!AA$130:AA$210,SUM($E$12:$T$13)*(AA$8-AA$9)*1000)</f>
        <v>39281.913129256864</v>
      </c>
      <c r="AB137" s="18">
        <f>SUM(AA$137,'Statistics NZ'!AB$137-'Statistics NZ'!AA$137,$F$13/5*(AB$8-AB$9)*1000)</f>
        <v>39858.227433441833</v>
      </c>
      <c r="AC137" s="18">
        <f>SUM(AB$137,'Statistics NZ'!AC$137-'Statistics NZ'!AB$137,$F$13/5*(AC$8-AC$9)*1000)</f>
        <v>39835.770302898483</v>
      </c>
      <c r="AD137" s="18">
        <f>SUM(AC$137,'Statistics NZ'!AD$137-'Statistics NZ'!AC$137,$F$13/5*(AD$8-AD$9)*1000)</f>
        <v>39784.746498505418</v>
      </c>
      <c r="AE137" s="18">
        <f>SUM(AD$137,'Statistics NZ'!AE$137-'Statistics NZ'!AD$137,$F$13/5*(AE$8-AE$9)*1000)</f>
        <v>39824.746498505418</v>
      </c>
      <c r="AF137" s="18">
        <f>SUM(AE$137,'Statistics NZ'!AF$137-'Statistics NZ'!AE$137,$F$13/5*(AF$8-AF$9)*1000)</f>
        <v>39554.746498505418</v>
      </c>
      <c r="AG137" s="18">
        <f>SUM(AF$137,'Statistics NZ'!AG$137-'Statistics NZ'!AF$137,$F$13/5*(AG$8-AG$9)*1000)</f>
        <v>39674.746498505418</v>
      </c>
      <c r="AH137" s="18">
        <f>SUM(AG$137,'Statistics NZ'!AH$137-'Statistics NZ'!AG$137,$F$13/5*(AH$8-AH$9)*1000)</f>
        <v>39494.746498505418</v>
      </c>
      <c r="AI137" s="18">
        <f>SUM(AH$137,'Statistics NZ'!AI$137-'Statistics NZ'!AH$137,$F$13/5*(AI$8-AI$9)*1000)</f>
        <v>39264.746498505418</v>
      </c>
      <c r="AJ137" s="18">
        <f>SUM(AI$137,'Statistics NZ'!AJ$137-'Statistics NZ'!AI$137,$F$13/5*(AJ$8-AJ$9)*1000)</f>
        <v>39054.746498505418</v>
      </c>
      <c r="AK137" s="18">
        <f>SUM(AJ$137,'Statistics NZ'!AK$137-'Statistics NZ'!AJ$137,$F$13/5*(AK$8-AK$9)*1000)</f>
        <v>39404.746498505418</v>
      </c>
    </row>
    <row r="138" spans="1:37" x14ac:dyDescent="0.25">
      <c r="A138" s="12">
        <f>$A$38</f>
        <v>23</v>
      </c>
      <c r="B138" s="27">
        <f>'Statistics NZ'!B$138*'Economic Forecasts'!D$9*1000000/SUM('Statistics NZ'!B$30:B$110,'Statistics NZ'!B$130:B$210)</f>
        <v>28461.484018541891</v>
      </c>
      <c r="C138" s="27">
        <f>'Statistics NZ'!C$138*'Economic Forecasts'!E$9*1000000/SUM('Statistics NZ'!C$30:C$110,'Statistics NZ'!C$130:C$210)</f>
        <v>27997.043114002445</v>
      </c>
      <c r="D138" s="27">
        <f>'Statistics NZ'!D$138*'Economic Forecasts'!F$9*1000000/SUM('Statistics NZ'!D$30:D$110,'Statistics NZ'!D$130:D$210)</f>
        <v>27552.739994768508</v>
      </c>
      <c r="E138" s="27">
        <f>'Statistics NZ'!E$138*'Economic Forecasts'!G$9*1000000/SUM('Statistics NZ'!E$30:E$110,'Statistics NZ'!E$130:E$210)</f>
        <v>27734.260783668098</v>
      </c>
      <c r="F138" s="27">
        <f>'Statistics NZ'!F$138*'Economic Forecasts'!H$9*1000000/SUM('Statistics NZ'!F$30:F$110,'Statistics NZ'!F$130:F$210)</f>
        <v>28396.566749261441</v>
      </c>
      <c r="G138" s="27">
        <f>'Statistics NZ'!G$138*'Economic Forecasts'!I$9*1000000/SUM('Statistics NZ'!G$30:G$110,'Statistics NZ'!G$130:G$210)</f>
        <v>29162.920138429025</v>
      </c>
      <c r="H138" s="27">
        <f>'Statistics NZ'!H$138*'Economic Forecasts'!J$9*1000000/SUM('Statistics NZ'!H$30:H$110,'Statistics NZ'!H$130:H$210)</f>
        <v>29721.039857982887</v>
      </c>
      <c r="I138" s="27">
        <f>'Statistics NZ'!I$138*'Economic Forecasts'!K$9*1000000/SUM('Statistics NZ'!I$30:I$110,'Statistics NZ'!I$130:I$210)</f>
        <v>30606.699666884597</v>
      </c>
      <c r="J138" s="27">
        <f>'Statistics NZ'!J$138*'Economic Forecasts'!L$9*1000000/SUM('Statistics NZ'!J$30:J$110,'Statistics NZ'!J$130:J$210)</f>
        <v>32766.324339619507</v>
      </c>
      <c r="K138" s="27">
        <f>'Statistics NZ'!K$138*'Economic Forecasts'!M$9*1000000/SUM('Statistics NZ'!K$30:K$110,'Statistics NZ'!K$130:K$210)</f>
        <v>34339.645620894509</v>
      </c>
      <c r="L138" s="27">
        <f>'Statistics NZ'!L$138*'Economic Forecasts'!N$9*1000000/SUM('Statistics NZ'!L$30:L$110,'Statistics NZ'!L$130:L$210)</f>
        <v>35606.80114315571</v>
      </c>
      <c r="M138" s="27">
        <f>'Statistics NZ'!M$138*'Economic Forecasts'!O$9*1000000/SUM('Statistics NZ'!M$30:M$110,'Statistics NZ'!M$130:M$210)</f>
        <v>35277.931142999383</v>
      </c>
      <c r="N138" s="27">
        <f>'Statistics NZ'!N$138*'Economic Forecasts'!P$9*1000000/SUM('Statistics NZ'!N$30:N$110,'Statistics NZ'!N$130:N$210)</f>
        <v>35343.182588375726</v>
      </c>
      <c r="O138" s="27">
        <f>'Statistics NZ'!O$138*'Economic Forecasts'!Q$9*1000000/SUM('Statistics NZ'!O$30:O$110,'Statistics NZ'!O$130:O$210)</f>
        <v>35169.316916269483</v>
      </c>
      <c r="P138" s="27">
        <f>'Statistics NZ'!P$138*'Economic Forecasts'!R$9*1000000/SUM('Statistics NZ'!P$30:P$110,'Statistics NZ'!P$130:P$210)</f>
        <v>34643.740789188429</v>
      </c>
      <c r="Q138" s="27">
        <f>'Statistics NZ'!Q$138*'Economic Forecasts'!S$9*1000000/SUM('Statistics NZ'!Q$30:Q$110,'Statistics NZ'!Q$130:Q$210)</f>
        <v>33877.064186751595</v>
      </c>
      <c r="R138" s="27">
        <f>'Statistics NZ'!R$138*'Economic Forecasts'!T$9*1000000/SUM('Statistics NZ'!R$30:R$110,'Statistics NZ'!R$130:R$210)</f>
        <v>32370.018309503463</v>
      </c>
      <c r="S138" s="27">
        <f>'Statistics NZ'!S$138*'Economic Forecasts'!U$9*1000000/SUM('Statistics NZ'!S$30:S$110,'Statistics NZ'!S$130:S$210)</f>
        <v>33331.496357094555</v>
      </c>
      <c r="T138" s="27">
        <f>'Statistics NZ'!T$138*'Economic Forecasts'!V$9*1000000/SUM('Statistics NZ'!T$30:T$110,'Statistics NZ'!T$130:T$210)</f>
        <v>33400.521648408969</v>
      </c>
      <c r="U138" s="28">
        <f>SUM('Statistics NZ'!U$138,$F$13/5*(U$8-U$9)*1000)*'Economic Forecasts'!W$9*1000000/SUM('Statistics NZ'!U$30:U$110,'Statistics NZ'!U$130:U$210,SUM($E$12:$T$13)*(U$8-U$9)*1000)</f>
        <v>32552.013000194271</v>
      </c>
      <c r="V138" s="28">
        <f>SUM('Statistics NZ'!V$138,$F$13/5*(V$8-V$9)*1000)*'Economic Forecasts'!X$9*1000000/SUM('Statistics NZ'!V$30:V$110,'Statistics NZ'!V$130:V$210,SUM($E$12:$T$13)*(V$8-V$9)*1000)</f>
        <v>33023.640600642364</v>
      </c>
      <c r="W138" s="28">
        <f>SUM('Statistics NZ'!W$138,$F$13/5*(W$8-W$9)*1000)*'Economic Forecasts'!Y$9*1000000/SUM('Statistics NZ'!W$30:W$110,'Statistics NZ'!W$130:W$210,SUM($E$12:$T$13)*(W$8-W$9)*1000)</f>
        <v>33807.76776581478</v>
      </c>
      <c r="X138" s="28">
        <f>SUM('Statistics NZ'!X$138,$F$13/5*(X$8-X$9)*1000)*'Economic Forecasts'!Z$9*1000000/SUM('Statistics NZ'!X$30:X$110,'Statistics NZ'!X$130:X$210,SUM($E$12:$T$13)*(X$8-X$9)*1000)</f>
        <v>34072.198421471869</v>
      </c>
      <c r="Y138" s="28">
        <f>SUM('Statistics NZ'!Y$138,$F$13/5*(Y$8-Y$9)*1000)*'Economic Forecasts'!AA$9*1000000/SUM('Statistics NZ'!Y$30:Y$110,'Statistics NZ'!Y$130:Y$210,SUM($E$12:$T$13)*(Y$8-Y$9)*1000)</f>
        <v>34917.467897496681</v>
      </c>
      <c r="Z138" s="28">
        <f>SUM('Statistics NZ'!Z$138,$F$13/5*(Z$8-Z$9)*1000)*'Economic Forecasts'!AB$9*1000000/SUM('Statistics NZ'!Z$30:Z$110,'Statistics NZ'!Z$130:Z$210,SUM($E$12:$T$13)*(Z$8-Z$9)*1000)</f>
        <v>37642.275159740231</v>
      </c>
      <c r="AA138" s="28">
        <f>SUM('Statistics NZ'!AA$138,$F$13/5*(AA$8-AA$9)*1000)*'Economic Forecasts'!AC$9*1000000/SUM('Statistics NZ'!AA$30:AA$110,'Statistics NZ'!AA$130:AA$210,SUM($E$12:$T$13)*(AA$8-AA$9)*1000)</f>
        <v>39369.890798857661</v>
      </c>
      <c r="AB138" s="18">
        <f>SUM(AA$138,'Statistics NZ'!AB$138-'Statistics NZ'!AA$138,$F$13/5*(AB$8-AB$9)*1000)</f>
        <v>39536.20510304263</v>
      </c>
      <c r="AC138" s="18">
        <f>SUM(AB$138,'Statistics NZ'!AC$138-'Statistics NZ'!AB$138,$F$13/5*(AC$8-AC$9)*1000)</f>
        <v>40113.747972499281</v>
      </c>
      <c r="AD138" s="18">
        <f>SUM(AC$138,'Statistics NZ'!AD$138-'Statistics NZ'!AC$138,$F$13/5*(AD$8-AD$9)*1000)</f>
        <v>40102.724168106215</v>
      </c>
      <c r="AE138" s="18">
        <f>SUM(AD$138,'Statistics NZ'!AE$138-'Statistics NZ'!AD$138,$F$13/5*(AE$8-AE$9)*1000)</f>
        <v>40052.724168106215</v>
      </c>
      <c r="AF138" s="18">
        <f>SUM(AE$138,'Statistics NZ'!AF$138-'Statistics NZ'!AE$138,$F$13/5*(AF$8-AF$9)*1000)</f>
        <v>40092.724168106215</v>
      </c>
      <c r="AG138" s="18">
        <f>SUM(AF$138,'Statistics NZ'!AG$138-'Statistics NZ'!AF$138,$F$13/5*(AG$8-AG$9)*1000)</f>
        <v>39832.724168106215</v>
      </c>
      <c r="AH138" s="18">
        <f>SUM(AG$138,'Statistics NZ'!AH$138-'Statistics NZ'!AG$138,$F$13/5*(AH$8-AH$9)*1000)</f>
        <v>39962.724168106215</v>
      </c>
      <c r="AI138" s="18">
        <f>SUM(AH$138,'Statistics NZ'!AI$138-'Statistics NZ'!AH$138,$F$13/5*(AI$8-AI$9)*1000)</f>
        <v>39772.724168106215</v>
      </c>
      <c r="AJ138" s="18">
        <f>SUM(AI$138,'Statistics NZ'!AJ$138-'Statistics NZ'!AI$138,$F$13/5*(AJ$8-AJ$9)*1000)</f>
        <v>39552.724168106215</v>
      </c>
      <c r="AK138" s="18">
        <f>SUM(AJ$138,'Statistics NZ'!AK$138-'Statistics NZ'!AJ$138,$F$13/5*(AK$8-AK$9)*1000)</f>
        <v>39342.724168106215</v>
      </c>
    </row>
    <row r="139" spans="1:37" x14ac:dyDescent="0.25">
      <c r="A139" s="12">
        <f>$A$39</f>
        <v>24</v>
      </c>
      <c r="B139" s="27">
        <f>'Statistics NZ'!B$139*'Economic Forecasts'!D$9*1000000/SUM('Statistics NZ'!B$30:B$110,'Statistics NZ'!B$130:B$210)</f>
        <v>27365.682640034942</v>
      </c>
      <c r="C139" s="27">
        <f>'Statistics NZ'!C$139*'Economic Forecasts'!E$9*1000000/SUM('Statistics NZ'!C$30:C$110,'Statistics NZ'!C$130:C$210)</f>
        <v>27810.46162709748</v>
      </c>
      <c r="D139" s="27">
        <f>'Statistics NZ'!D$139*'Economic Forecasts'!F$9*1000000/SUM('Statistics NZ'!D$30:D$110,'Statistics NZ'!D$130:D$210)</f>
        <v>27366.108244358304</v>
      </c>
      <c r="E139" s="27">
        <f>'Statistics NZ'!E$139*'Economic Forecasts'!G$9*1000000/SUM('Statistics NZ'!E$30:E$110,'Statistics NZ'!E$130:E$210)</f>
        <v>27175.260477915239</v>
      </c>
      <c r="F139" s="27">
        <f>'Statistics NZ'!F$139*'Economic Forecasts'!H$9*1000000/SUM('Statistics NZ'!F$30:F$110,'Statistics NZ'!F$130:F$210)</f>
        <v>27562.816084775353</v>
      </c>
      <c r="G139" s="27">
        <f>'Statistics NZ'!G$139*'Economic Forecasts'!I$9*1000000/SUM('Statistics NZ'!G$30:G$110,'Statistics NZ'!G$130:G$210)</f>
        <v>27954.756050511623</v>
      </c>
      <c r="H139" s="27">
        <f>'Statistics NZ'!H$139*'Economic Forecasts'!J$9*1000000/SUM('Statistics NZ'!H$30:H$110,'Statistics NZ'!H$130:H$210)</f>
        <v>28443.772029375359</v>
      </c>
      <c r="I139" s="27">
        <f>'Statistics NZ'!I$139*'Economic Forecasts'!K$9*1000000/SUM('Statistics NZ'!I$30:I$110,'Statistics NZ'!I$130:I$210)</f>
        <v>29322.433921733449</v>
      </c>
      <c r="J139" s="27">
        <f>'Statistics NZ'!J$139*'Economic Forecasts'!L$9*1000000/SUM('Statistics NZ'!J$30:J$110,'Statistics NZ'!J$130:J$210)</f>
        <v>31401.060825468689</v>
      </c>
      <c r="K139" s="27">
        <f>'Statistics NZ'!K$139*'Economic Forecasts'!M$9*1000000/SUM('Statistics NZ'!K$30:K$110,'Statistics NZ'!K$130:K$210)</f>
        <v>34271.492085497208</v>
      </c>
      <c r="L139" s="27">
        <f>'Statistics NZ'!L$139*'Economic Forecasts'!N$9*1000000/SUM('Statistics NZ'!L$30:L$110,'Statistics NZ'!L$130:L$210)</f>
        <v>35850.21651875836</v>
      </c>
      <c r="M139" s="27">
        <f>'Statistics NZ'!M$139*'Economic Forecasts'!O$9*1000000/SUM('Statistics NZ'!M$30:M$110,'Statistics NZ'!M$130:M$210)</f>
        <v>36606.593185493963</v>
      </c>
      <c r="N139" s="27">
        <f>'Statistics NZ'!N$139*'Economic Forecasts'!P$9*1000000/SUM('Statistics NZ'!N$30:N$110,'Statistics NZ'!N$130:N$210)</f>
        <v>35666.085419332652</v>
      </c>
      <c r="O139" s="27">
        <f>'Statistics NZ'!O$139*'Economic Forecasts'!Q$9*1000000/SUM('Statistics NZ'!O$30:O$110,'Statistics NZ'!O$130:O$210)</f>
        <v>35689.834591936138</v>
      </c>
      <c r="P139" s="27">
        <f>'Statistics NZ'!P$139*'Economic Forecasts'!R$9*1000000/SUM('Statistics NZ'!P$30:P$110,'Statistics NZ'!P$130:P$210)</f>
        <v>36102.733829773242</v>
      </c>
      <c r="Q139" s="27">
        <f>'Statistics NZ'!Q$139*'Economic Forecasts'!S$9*1000000/SUM('Statistics NZ'!Q$30:Q$110,'Statistics NZ'!Q$130:Q$210)</f>
        <v>34311.765506149983</v>
      </c>
      <c r="R139" s="27">
        <f>'Statistics NZ'!R$139*'Economic Forecasts'!T$9*1000000/SUM('Statistics NZ'!R$30:R$110,'Statistics NZ'!R$130:R$210)</f>
        <v>33308.995939855471</v>
      </c>
      <c r="S139" s="27">
        <f>'Statistics NZ'!S$139*'Economic Forecasts'!U$9*1000000/SUM('Statistics NZ'!S$30:S$110,'Statistics NZ'!S$130:S$210)</f>
        <v>32698.743067605326</v>
      </c>
      <c r="T139" s="27">
        <f>'Statistics NZ'!T$139*'Economic Forecasts'!V$9*1000000/SUM('Statistics NZ'!T$30:T$110,'Statistics NZ'!T$130:T$210)</f>
        <v>34009.589984350547</v>
      </c>
      <c r="U139" s="28">
        <f>SUM('Statistics NZ'!U$139,$F$13/5*(U$8-U$9)*1000)*'Economic Forecasts'!W$9*1000000/SUM('Statistics NZ'!U$30:U$110,'Statistics NZ'!U$130:U$210,SUM($E$12:$T$13)*(U$8-U$9)*1000)</f>
        <v>33536.043026033869</v>
      </c>
      <c r="V139" s="28">
        <f>SUM('Statistics NZ'!V$139,$F$13/5*(V$8-V$9)*1000)*'Economic Forecasts'!X$9*1000000/SUM('Statistics NZ'!V$30:V$110,'Statistics NZ'!V$130:V$210,SUM($E$12:$T$13)*(V$8-V$9)*1000)</f>
        <v>32572.409394978655</v>
      </c>
      <c r="W139" s="28">
        <f>SUM('Statistics NZ'!W$139,$F$13/5*(W$8-W$9)*1000)*'Economic Forecasts'!Y$9*1000000/SUM('Statistics NZ'!W$30:W$110,'Statistics NZ'!W$130:W$210,SUM($E$12:$T$13)*(W$8-W$9)*1000)</f>
        <v>33074.118330393969</v>
      </c>
      <c r="X139" s="28">
        <f>SUM('Statistics NZ'!X$139,$F$13/5*(X$8-X$9)*1000)*'Economic Forecasts'!Z$9*1000000/SUM('Statistics NZ'!X$30:X$110,'Statistics NZ'!X$130:X$210,SUM($E$12:$T$13)*(X$8-X$9)*1000)</f>
        <v>33945.189764324467</v>
      </c>
      <c r="Y139" s="28">
        <f>SUM('Statistics NZ'!Y$139,$F$13/5*(Y$8-Y$9)*1000)*'Economic Forecasts'!AA$9*1000000/SUM('Statistics NZ'!Y$30:Y$110,'Statistics NZ'!Y$130:Y$210,SUM($E$12:$T$13)*(Y$8-Y$9)*1000)</f>
        <v>34282.48482663816</v>
      </c>
      <c r="Z139" s="28">
        <f>SUM('Statistics NZ'!Z$139,$F$13/5*(Z$8-Z$9)*1000)*'Economic Forecasts'!AB$9*1000000/SUM('Statistics NZ'!Z$30:Z$110,'Statistics NZ'!Z$130:Z$210,SUM($E$12:$T$13)*(Z$8-Z$9)*1000)</f>
        <v>35160.427038873619</v>
      </c>
      <c r="AA139" s="28">
        <f>SUM('Statistics NZ'!AA$139,$F$13/5*(AA$8-AA$9)*1000)*'Economic Forecasts'!AC$9*1000000/SUM('Statistics NZ'!AA$30:AA$110,'Statistics NZ'!AA$130:AA$210,SUM($E$12:$T$13)*(AA$8-AA$9)*1000)</f>
        <v>37893.821008888641</v>
      </c>
      <c r="AB139" s="18">
        <f>SUM(AA$139,'Statistics NZ'!AB$139-'Statistics NZ'!AA$139,$F$13/5*(AB$8-AB$9)*1000)</f>
        <v>39650.13531307361</v>
      </c>
      <c r="AC139" s="18">
        <f>SUM(AB$139,'Statistics NZ'!AC$139-'Statistics NZ'!AB$139,$F$13/5*(AC$8-AC$9)*1000)</f>
        <v>39817.678182530261</v>
      </c>
      <c r="AD139" s="18">
        <f>SUM(AC$139,'Statistics NZ'!AD$139-'Statistics NZ'!AC$139,$F$13/5*(AD$8-AD$9)*1000)</f>
        <v>40406.654378137195</v>
      </c>
      <c r="AE139" s="18">
        <f>SUM(AD$139,'Statistics NZ'!AE$139-'Statistics NZ'!AD$139,$F$13/5*(AE$8-AE$9)*1000)</f>
        <v>40396.654378137195</v>
      </c>
      <c r="AF139" s="18">
        <f>SUM(AE$139,'Statistics NZ'!AF$139-'Statistics NZ'!AE$139,$F$13/5*(AF$8-AF$9)*1000)</f>
        <v>40346.654378137195</v>
      </c>
      <c r="AG139" s="18">
        <f>SUM(AF$139,'Statistics NZ'!AG$139-'Statistics NZ'!AF$139,$F$13/5*(AG$8-AG$9)*1000)</f>
        <v>40396.654378137195</v>
      </c>
      <c r="AH139" s="18">
        <f>SUM(AG$139,'Statistics NZ'!AH$139-'Statistics NZ'!AG$139,$F$13/5*(AH$8-AH$9)*1000)</f>
        <v>40136.654378137195</v>
      </c>
      <c r="AI139" s="18">
        <f>SUM(AH$139,'Statistics NZ'!AI$139-'Statistics NZ'!AH$139,$F$13/5*(AI$8-AI$9)*1000)</f>
        <v>40266.654378137195</v>
      </c>
      <c r="AJ139" s="18">
        <f>SUM(AI$139,'Statistics NZ'!AJ$139-'Statistics NZ'!AI$139,$F$13/5*(AJ$8-AJ$9)*1000)</f>
        <v>40096.654378137195</v>
      </c>
      <c r="AK139" s="18">
        <f>SUM(AJ$139,'Statistics NZ'!AK$139-'Statistics NZ'!AJ$139,$F$13/5*(AK$8-AK$9)*1000)</f>
        <v>39876.654378137195</v>
      </c>
    </row>
    <row r="140" spans="1:37" x14ac:dyDescent="0.25">
      <c r="A140" s="12">
        <f>$A$40</f>
        <v>25</v>
      </c>
      <c r="B140" s="27">
        <f>'Statistics NZ'!B$140*'Economic Forecasts'!D$9*1000000/SUM('Statistics NZ'!B$30:B$110,'Statistics NZ'!B$130:B$210)</f>
        <v>26269.881261528008</v>
      </c>
      <c r="C140" s="27">
        <f>'Statistics NZ'!C$140*'Economic Forecasts'!E$9*1000000/SUM('Statistics NZ'!C$30:C$110,'Statistics NZ'!C$130:C$210)</f>
        <v>26838.273879540055</v>
      </c>
      <c r="D140" s="27">
        <f>'Statistics NZ'!D$140*'Economic Forecasts'!F$9*1000000/SUM('Statistics NZ'!D$30:D$110,'Statistics NZ'!D$130:D$210)</f>
        <v>27199.121941359714</v>
      </c>
      <c r="E140" s="27">
        <f>'Statistics NZ'!E$140*'Economic Forecasts'!G$9*1000000/SUM('Statistics NZ'!E$30:E$110,'Statistics NZ'!E$130:E$210)</f>
        <v>27018.348111388121</v>
      </c>
      <c r="F140" s="27">
        <f>'Statistics NZ'!F$140*'Economic Forecasts'!H$9*1000000/SUM('Statistics NZ'!F$30:F$110,'Statistics NZ'!F$130:F$210)</f>
        <v>26876.197890492695</v>
      </c>
      <c r="G140" s="27">
        <f>'Statistics NZ'!G$140*'Economic Forecasts'!I$9*1000000/SUM('Statistics NZ'!G$30:G$110,'Statistics NZ'!G$130:G$210)</f>
        <v>27001.976241340988</v>
      </c>
      <c r="H140" s="27">
        <f>'Statistics NZ'!H$140*'Economic Forecasts'!J$9*1000000/SUM('Statistics NZ'!H$30:H$110,'Statistics NZ'!H$130:H$210)</f>
        <v>27294.230983628582</v>
      </c>
      <c r="I140" s="27">
        <f>'Statistics NZ'!I$140*'Economic Forecasts'!K$9*1000000/SUM('Statistics NZ'!I$30:I$110,'Statistics NZ'!I$130:I$210)</f>
        <v>27989.15040004981</v>
      </c>
      <c r="J140" s="27">
        <f>'Statistics NZ'!J$140*'Economic Forecasts'!L$9*1000000/SUM('Statistics NZ'!J$30:J$110,'Statistics NZ'!J$130:J$210)</f>
        <v>30016.293546830013</v>
      </c>
      <c r="K140" s="27">
        <f>'Statistics NZ'!K$140*'Economic Forecasts'!M$9*1000000/SUM('Statistics NZ'!K$30:K$110,'Statistics NZ'!K$130:K$210)</f>
        <v>32947.36625492118</v>
      </c>
      <c r="L140" s="27">
        <f>'Statistics NZ'!L$140*'Economic Forecasts'!N$9*1000000/SUM('Statistics NZ'!L$30:L$110,'Statistics NZ'!L$130:L$210)</f>
        <v>35772.323598565512</v>
      </c>
      <c r="M140" s="27">
        <f>'Statistics NZ'!M$140*'Economic Forecasts'!O$9*1000000/SUM('Statistics NZ'!M$30:M$110,'Statistics NZ'!M$130:M$210)</f>
        <v>37065.763156061941</v>
      </c>
      <c r="N140" s="27">
        <f>'Statistics NZ'!N$140*'Economic Forecasts'!P$9*1000000/SUM('Statistics NZ'!N$30:N$110,'Statistics NZ'!N$130:N$210)</f>
        <v>37172.965297131617</v>
      </c>
      <c r="O140" s="27">
        <f>'Statistics NZ'!O$140*'Economic Forecasts'!Q$9*1000000/SUM('Statistics NZ'!O$30:O$110,'Statistics NZ'!O$130:O$210)</f>
        <v>35955.003973879531</v>
      </c>
      <c r="P140" s="27">
        <f>'Statistics NZ'!P$140*'Economic Forecasts'!R$9*1000000/SUM('Statistics NZ'!P$30:P$110,'Statistics NZ'!P$130:P$210)</f>
        <v>36631.496408240222</v>
      </c>
      <c r="Q140" s="27">
        <f>'Statistics NZ'!Q$140*'Economic Forecasts'!S$9*1000000/SUM('Statistics NZ'!Q$30:Q$110,'Statistics NZ'!Q$130:Q$210)</f>
        <v>35793.701822280855</v>
      </c>
      <c r="R140" s="27">
        <f>'Statistics NZ'!R$140*'Economic Forecasts'!T$9*1000000/SUM('Statistics NZ'!R$30:R$110,'Statistics NZ'!R$130:R$210)</f>
        <v>33654.935066827267</v>
      </c>
      <c r="S140" s="27">
        <f>'Statistics NZ'!S$140*'Economic Forecasts'!U$9*1000000/SUM('Statistics NZ'!S$30:S$110,'Statistics NZ'!S$130:S$210)</f>
        <v>33613.801670866684</v>
      </c>
      <c r="T140" s="27">
        <f>'Statistics NZ'!T$140*'Economic Forecasts'!V$9*1000000/SUM('Statistics NZ'!T$30:T$110,'Statistics NZ'!T$130:T$210)</f>
        <v>33253.166405842465</v>
      </c>
      <c r="U140" s="28">
        <f>SUM('Statistics NZ'!U$140,$G$13/5*(U$8-U$9)*1000)*'Economic Forecasts'!W$9*1000000/SUM('Statistics NZ'!U$30:U$110,'Statistics NZ'!U$130:U$210,SUM($E$12:$T$13)*(U$8-U$9)*1000)</f>
        <v>33972.827742200403</v>
      </c>
      <c r="V140" s="28">
        <f>SUM('Statistics NZ'!V$140,$G$13/5*(V$8-V$9)*1000)*'Economic Forecasts'!X$9*1000000/SUM('Statistics NZ'!V$30:V$110,'Statistics NZ'!V$130:V$210,SUM($E$12:$T$13)*(V$8-V$9)*1000)</f>
        <v>33407.003510705603</v>
      </c>
      <c r="W140" s="28">
        <f>SUM('Statistics NZ'!W$140,$G$13/5*(W$8-W$9)*1000)*'Economic Forecasts'!Y$9*1000000/SUM('Statistics NZ'!W$30:W$110,'Statistics NZ'!W$130:W$210,SUM($E$12:$T$13)*(W$8-W$9)*1000)</f>
        <v>32597.9946531321</v>
      </c>
      <c r="X140" s="28">
        <f>SUM('Statistics NZ'!X$140,$G$13/5*(X$8-X$9)*1000)*'Economic Forecasts'!Z$9*1000000/SUM('Statistics NZ'!X$30:X$110,'Statistics NZ'!X$130:X$210,SUM($E$12:$T$13)*(X$8-X$9)*1000)</f>
        <v>33231.190481295467</v>
      </c>
      <c r="Y140" s="28">
        <f>SUM('Statistics NZ'!Y$140,$G$13/5*(Y$8-Y$9)*1000)*'Economic Forecasts'!AA$9*1000000/SUM('Statistics NZ'!Y$30:Y$110,'Statistics NZ'!Y$130:Y$210,SUM($E$12:$T$13)*(Y$8-Y$9)*1000)</f>
        <v>34181.90521807663</v>
      </c>
      <c r="Z140" s="28">
        <f>SUM('Statistics NZ'!Z$140,$G$13/5*(Z$8-Z$9)*1000)*'Economic Forecasts'!AB$9*1000000/SUM('Statistics NZ'!Z$30:Z$110,'Statistics NZ'!Z$130:Z$210,SUM($E$12:$T$13)*(Z$8-Z$9)*1000)</f>
        <v>34536.476120263826</v>
      </c>
      <c r="AA140" s="28">
        <f>SUM('Statistics NZ'!AA$140,$G$13/5*(AA$8-AA$9)*1000)*'Economic Forecasts'!AC$9*1000000/SUM('Statistics NZ'!AA$30:AA$110,'Statistics NZ'!AA$130:AA$210,SUM($E$12:$T$13)*(AA$8-AA$9)*1000)</f>
        <v>35428.551741152856</v>
      </c>
      <c r="AB140" s="18">
        <f>SUM(AA$140,'Statistics NZ'!AB$140-'Statistics NZ'!AA$140,$G$13/5*(AB$8-AB$9)*1000)</f>
        <v>38225.070636410317</v>
      </c>
      <c r="AC140" s="18">
        <f>SUM(AB$140,'Statistics NZ'!AC$140-'Statistics NZ'!AB$140,$G$13/5*(AC$8-AC$9)*1000)</f>
        <v>39996.083233248624</v>
      </c>
      <c r="AD140" s="18">
        <f>SUM(AC$140,'Statistics NZ'!AD$140-'Statistics NZ'!AC$140,$G$13/5*(AD$8-AD$9)*1000)</f>
        <v>40170.671815264584</v>
      </c>
      <c r="AE140" s="18">
        <f>SUM(AD$140,'Statistics NZ'!AE$140-'Statistics NZ'!AD$140,$G$13/5*(AE$8-AE$9)*1000)</f>
        <v>40770.671815264584</v>
      </c>
      <c r="AF140" s="18">
        <f>SUM(AE$140,'Statistics NZ'!AF$140-'Statistics NZ'!AE$140,$G$13/5*(AF$8-AF$9)*1000)</f>
        <v>40760.671815264584</v>
      </c>
      <c r="AG140" s="18">
        <f>SUM(AF$140,'Statistics NZ'!AG$140-'Statistics NZ'!AF$140,$G$13/5*(AG$8-AG$9)*1000)</f>
        <v>40720.671815264584</v>
      </c>
      <c r="AH140" s="18">
        <f>SUM(AG$140,'Statistics NZ'!AH$140-'Statistics NZ'!AG$140,$G$13/5*(AH$8-AH$9)*1000)</f>
        <v>40780.671815264584</v>
      </c>
      <c r="AI140" s="18">
        <f>SUM(AH$140,'Statistics NZ'!AI$140-'Statistics NZ'!AH$140,$G$13/5*(AI$8-AI$9)*1000)</f>
        <v>40520.671815264584</v>
      </c>
      <c r="AJ140" s="18">
        <f>SUM(AI$140,'Statistics NZ'!AJ$140-'Statistics NZ'!AI$140,$G$13/5*(AJ$8-AJ$9)*1000)</f>
        <v>40650.671815264584</v>
      </c>
      <c r="AK140" s="18">
        <f>SUM(AJ$140,'Statistics NZ'!AK$140-'Statistics NZ'!AJ$140,$G$13/5*(AK$8-AK$9)*1000)</f>
        <v>40480.671815264584</v>
      </c>
    </row>
    <row r="141" spans="1:37" x14ac:dyDescent="0.25">
      <c r="A141" s="12">
        <f>$A$41</f>
        <v>26</v>
      </c>
      <c r="B141" s="27">
        <f>'Statistics NZ'!B$141*'Economic Forecasts'!D$9*1000000/SUM('Statistics NZ'!B$30:B$110,'Statistics NZ'!B$130:B$210)</f>
        <v>25252.351410057272</v>
      </c>
      <c r="C141" s="27">
        <f>'Statistics NZ'!C$141*'Economic Forecasts'!E$9*1000000/SUM('Statistics NZ'!C$30:C$110,'Statistics NZ'!C$130:C$210)</f>
        <v>26042.847540629427</v>
      </c>
      <c r="D141" s="27">
        <f>'Statistics NZ'!D$141*'Economic Forecasts'!F$9*1000000/SUM('Statistics NZ'!D$30:D$110,'Statistics NZ'!D$130:D$210)</f>
        <v>26207.026847073925</v>
      </c>
      <c r="E141" s="27">
        <f>'Statistics NZ'!E$141*'Economic Forecasts'!G$9*1000000/SUM('Statistics NZ'!E$30:E$110,'Statistics NZ'!E$130:E$210)</f>
        <v>26773.172538689501</v>
      </c>
      <c r="F141" s="27">
        <f>'Statistics NZ'!F$141*'Economic Forecasts'!H$9*1000000/SUM('Statistics NZ'!F$30:F$110,'Statistics NZ'!F$130:F$210)</f>
        <v>26836.962565105114</v>
      </c>
      <c r="G141" s="27">
        <f>'Statistics NZ'!G$141*'Economic Forecasts'!I$9*1000000/SUM('Statistics NZ'!G$30:G$110,'Statistics NZ'!G$130:G$210)</f>
        <v>26392.982961252539</v>
      </c>
      <c r="H141" s="27">
        <f>'Statistics NZ'!H$141*'Economic Forecasts'!J$9*1000000/SUM('Statistics NZ'!H$30:H$110,'Statistics NZ'!H$130:H$210)</f>
        <v>26429.618915032712</v>
      </c>
      <c r="I141" s="27">
        <f>'Statistics NZ'!I$141*'Economic Forecasts'!K$9*1000000/SUM('Statistics NZ'!I$30:I$110,'Statistics NZ'!I$130:I$210)</f>
        <v>26959.777092867593</v>
      </c>
      <c r="J141" s="27">
        <f>'Statistics NZ'!J$141*'Economic Forecasts'!L$9*1000000/SUM('Statistics NZ'!J$30:J$110,'Statistics NZ'!J$130:J$210)</f>
        <v>28758.300737362479</v>
      </c>
      <c r="K141" s="27">
        <f>'Statistics NZ'!K$141*'Economic Forecasts'!M$9*1000000/SUM('Statistics NZ'!K$30:K$110,'Statistics NZ'!K$130:K$210)</f>
        <v>31321.417624728558</v>
      </c>
      <c r="L141" s="27">
        <f>'Statistics NZ'!L$141*'Economic Forecasts'!N$9*1000000/SUM('Statistics NZ'!L$30:L$110,'Statistics NZ'!L$130:L$210)</f>
        <v>34555.246720552263</v>
      </c>
      <c r="M141" s="27">
        <f>'Statistics NZ'!M$141*'Economic Forecasts'!O$9*1000000/SUM('Statistics NZ'!M$30:M$110,'Statistics NZ'!M$130:M$210)</f>
        <v>36919.219548433859</v>
      </c>
      <c r="N141" s="27">
        <f>'Statistics NZ'!N$141*'Economic Forecasts'!P$9*1000000/SUM('Statistics NZ'!N$30:N$110,'Statistics NZ'!N$130:N$210)</f>
        <v>37897.050433216828</v>
      </c>
      <c r="O141" s="27">
        <f>'Statistics NZ'!O$141*'Economic Forecasts'!Q$9*1000000/SUM('Statistics NZ'!O$30:O$110,'Statistics NZ'!O$130:O$210)</f>
        <v>37536.199177319737</v>
      </c>
      <c r="P141" s="27">
        <f>'Statistics NZ'!P$141*'Economic Forecasts'!R$9*1000000/SUM('Statistics NZ'!P$30:P$110,'Statistics NZ'!P$130:P$210)</f>
        <v>36993.796693486111</v>
      </c>
      <c r="Q141" s="27">
        <f>'Statistics NZ'!Q$141*'Economic Forecasts'!S$9*1000000/SUM('Statistics NZ'!Q$30:Q$110,'Statistics NZ'!Q$130:Q$210)</f>
        <v>36248.162292560984</v>
      </c>
      <c r="R141" s="27">
        <f>'Statistics NZ'!R$141*'Economic Forecasts'!T$9*1000000/SUM('Statistics NZ'!R$30:R$110,'Statistics NZ'!R$130:R$210)</f>
        <v>34900.315923925715</v>
      </c>
      <c r="S141" s="27">
        <f>'Statistics NZ'!S$141*'Economic Forecasts'!U$9*1000000/SUM('Statistics NZ'!S$30:S$110,'Statistics NZ'!S$130:S$210)</f>
        <v>34071.330972497366</v>
      </c>
      <c r="T141" s="27">
        <f>'Statistics NZ'!T$141*'Economic Forecasts'!V$9*1000000/SUM('Statistics NZ'!T$30:T$110,'Statistics NZ'!T$130:T$210)</f>
        <v>34166.768909754828</v>
      </c>
      <c r="U141" s="28">
        <f>SUM('Statistics NZ'!U$141,$G$13/5*(U$8-U$9)*1000)*'Economic Forecasts'!W$9*1000000/SUM('Statistics NZ'!U$30:U$110,'Statistics NZ'!U$130:U$210,SUM($E$12:$T$13)*(U$8-U$9)*1000)</f>
        <v>33244.645523079111</v>
      </c>
      <c r="V141" s="28">
        <f>SUM('Statistics NZ'!V$141,$G$13/5*(V$8-V$9)*1000)*'Economic Forecasts'!X$9*1000000/SUM('Statistics NZ'!V$30:V$110,'Statistics NZ'!V$130:V$210,SUM($E$12:$T$13)*(V$8-V$9)*1000)</f>
        <v>34015.184700947997</v>
      </c>
      <c r="W141" s="28">
        <f>SUM('Statistics NZ'!W$141,$G$13/5*(W$8-W$9)*1000)*'Economic Forecasts'!Y$9*1000000/SUM('Statistics NZ'!W$30:W$110,'Statistics NZ'!W$130:W$210,SUM($E$12:$T$13)*(W$8-W$9)*1000)</f>
        <v>33576.193900359845</v>
      </c>
      <c r="X141" s="28">
        <f>SUM('Statistics NZ'!X$141,$G$13/5*(X$8-X$9)*1000)*'Economic Forecasts'!Z$9*1000000/SUM('Statistics NZ'!X$30:X$110,'Statistics NZ'!X$130:X$210,SUM($E$12:$T$13)*(X$8-X$9)*1000)</f>
        <v>32781.77523292775</v>
      </c>
      <c r="Y141" s="28">
        <f>SUM('Statistics NZ'!Y$141,$G$13/5*(Y$8-Y$9)*1000)*'Economic Forecasts'!AA$9*1000000/SUM('Statistics NZ'!Y$30:Y$110,'Statistics NZ'!Y$130:Y$210,SUM($E$12:$T$13)*(Y$8-Y$9)*1000)</f>
        <v>33449.232444009103</v>
      </c>
      <c r="Z141" s="28">
        <f>SUM('Statistics NZ'!Z$141,$G$13/5*(Z$8-Z$9)*1000)*'Economic Forecasts'!AB$9*1000000/SUM('Statistics NZ'!Z$30:Z$110,'Statistics NZ'!Z$130:Z$210,SUM($E$12:$T$13)*(Z$8-Z$9)*1000)</f>
        <v>34409.452397542307</v>
      </c>
      <c r="AA141" s="28">
        <f>SUM('Statistics NZ'!AA$141,$G$13/5*(AA$8-AA$9)*1000)*'Economic Forecasts'!AC$9*1000000/SUM('Statistics NZ'!AA$30:AA$110,'Statistics NZ'!AA$130:AA$210,SUM($E$12:$T$13)*(AA$8-AA$9)*1000)</f>
        <v>34783.3821640803</v>
      </c>
      <c r="AB141" s="18">
        <f>SUM(AA$141,'Statistics NZ'!AB$141-'Statistics NZ'!AA$141,$G$13/5*(AB$8-AB$9)*1000)</f>
        <v>35699.901059337761</v>
      </c>
      <c r="AC141" s="18">
        <f>SUM(AB$141,'Statistics NZ'!AC$141-'Statistics NZ'!AB$141,$G$13/5*(AC$8-AC$9)*1000)</f>
        <v>38490.913656176068</v>
      </c>
      <c r="AD141" s="18">
        <f>SUM(AC$141,'Statistics NZ'!AD$141-'Statistics NZ'!AC$141,$G$13/5*(AD$8-AD$9)*1000)</f>
        <v>40265.502238192028</v>
      </c>
      <c r="AE141" s="18">
        <f>SUM(AD$141,'Statistics NZ'!AE$141-'Statistics NZ'!AD$141,$G$13/5*(AE$8-AE$9)*1000)</f>
        <v>40445.502238192028</v>
      </c>
      <c r="AF141" s="18">
        <f>SUM(AE$141,'Statistics NZ'!AF$141-'Statistics NZ'!AE$141,$G$13/5*(AF$8-AF$9)*1000)</f>
        <v>41035.502238192028</v>
      </c>
      <c r="AG141" s="18">
        <f>SUM(AF$141,'Statistics NZ'!AG$141-'Statistics NZ'!AF$141,$G$13/5*(AG$8-AG$9)*1000)</f>
        <v>41035.502238192028</v>
      </c>
      <c r="AH141" s="18">
        <f>SUM(AG$141,'Statistics NZ'!AH$141-'Statistics NZ'!AG$141,$G$13/5*(AH$8-AH$9)*1000)</f>
        <v>41005.502238192028</v>
      </c>
      <c r="AI141" s="18">
        <f>SUM(AH$141,'Statistics NZ'!AI$141-'Statistics NZ'!AH$141,$G$13/5*(AI$8-AI$9)*1000)</f>
        <v>41055.502238192028</v>
      </c>
      <c r="AJ141" s="18">
        <f>SUM(AI$141,'Statistics NZ'!AJ$141-'Statistics NZ'!AI$141,$G$13/5*(AJ$8-AJ$9)*1000)</f>
        <v>40805.502238192028</v>
      </c>
      <c r="AK141" s="18">
        <f>SUM(AJ$141,'Statistics NZ'!AK$141-'Statistics NZ'!AJ$141,$G$13/5*(AK$8-AK$9)*1000)</f>
        <v>40945.502238192028</v>
      </c>
    </row>
    <row r="142" spans="1:37" x14ac:dyDescent="0.25">
      <c r="A142" s="12">
        <f>$A$42</f>
        <v>27</v>
      </c>
      <c r="B142" s="27">
        <f>'Statistics NZ'!B$142*'Economic Forecasts'!D$9*1000000/SUM('Statistics NZ'!B$30:B$110,'Statistics NZ'!B$130:B$210)</f>
        <v>24410.932494418019</v>
      </c>
      <c r="C142" s="27">
        <f>'Statistics NZ'!C$142*'Economic Forecasts'!E$9*1000000/SUM('Statistics NZ'!C$30:C$110,'Statistics NZ'!C$130:C$210)</f>
        <v>25041.199558297521</v>
      </c>
      <c r="D142" s="27">
        <f>'Statistics NZ'!D$142*'Economic Forecasts'!F$9*1000000/SUM('Statistics NZ'!D$30:D$110,'Statistics NZ'!D$130:D$210)</f>
        <v>25715.890661783938</v>
      </c>
      <c r="E142" s="27">
        <f>'Statistics NZ'!E$142*'Economic Forecasts'!G$9*1000000/SUM('Statistics NZ'!E$30:E$110,'Statistics NZ'!E$130:E$210)</f>
        <v>25988.610706053911</v>
      </c>
      <c r="F142" s="27">
        <f>'Statistics NZ'!F$142*'Economic Forecasts'!H$9*1000000/SUM('Statistics NZ'!F$30:F$110,'Statistics NZ'!F$130:F$210)</f>
        <v>26640.78593816721</v>
      </c>
      <c r="G142" s="27">
        <f>'Statistics NZ'!G$142*'Economic Forecasts'!I$9*1000000/SUM('Statistics NZ'!G$30:G$110,'Statistics NZ'!G$130:G$210)</f>
        <v>26353.693072214577</v>
      </c>
      <c r="H142" s="27">
        <f>'Statistics NZ'!H$142*'Economic Forecasts'!J$9*1000000/SUM('Statistics NZ'!H$30:H$110,'Statistics NZ'!H$130:H$210)</f>
        <v>25869.586097874027</v>
      </c>
      <c r="I142" s="27">
        <f>'Statistics NZ'!I$142*'Economic Forecasts'!K$9*1000000/SUM('Statistics NZ'!I$30:I$110,'Statistics NZ'!I$130:I$210)</f>
        <v>26185.296223654306</v>
      </c>
      <c r="J142" s="27">
        <f>'Statistics NZ'!J$142*'Economic Forecasts'!L$9*1000000/SUM('Statistics NZ'!J$30:J$110,'Statistics NZ'!J$130:J$210)</f>
        <v>27734.353101749366</v>
      </c>
      <c r="K142" s="27">
        <f>'Statistics NZ'!K$142*'Economic Forecasts'!M$9*1000000/SUM('Statistics NZ'!K$30:K$110,'Statistics NZ'!K$130:K$210)</f>
        <v>30182.279961659475</v>
      </c>
      <c r="L142" s="27">
        <f>'Statistics NZ'!L$142*'Economic Forecasts'!N$9*1000000/SUM('Statistics NZ'!L$30:L$110,'Statistics NZ'!L$130:L$210)</f>
        <v>32715.026480996225</v>
      </c>
      <c r="M142" s="27">
        <f>'Statistics NZ'!M$142*'Economic Forecasts'!O$9*1000000/SUM('Statistics NZ'!M$30:M$110,'Statistics NZ'!M$130:M$210)</f>
        <v>35912.953442721053</v>
      </c>
      <c r="N142" s="27">
        <f>'Statistics NZ'!N$142*'Economic Forecasts'!P$9*1000000/SUM('Statistics NZ'!N$30:N$110,'Statistics NZ'!N$130:N$210)</f>
        <v>37848.125761859723</v>
      </c>
      <c r="O142" s="27">
        <f>'Statistics NZ'!O$142*'Economic Forecasts'!Q$9*1000000/SUM('Statistics NZ'!O$30:O$110,'Statistics NZ'!O$130:O$210)</f>
        <v>38331.707323149902</v>
      </c>
      <c r="P142" s="27">
        <f>'Statistics NZ'!P$142*'Economic Forecasts'!R$9*1000000/SUM('Statistics NZ'!P$30:P$110,'Statistics NZ'!P$130:P$210)</f>
        <v>38482.165432874652</v>
      </c>
      <c r="Q142" s="27">
        <f>'Statistics NZ'!Q$142*'Economic Forecasts'!S$9*1000000/SUM('Statistics NZ'!Q$30:Q$110,'Statistics NZ'!Q$130:Q$210)</f>
        <v>36682.863611959372</v>
      </c>
      <c r="R142" s="27">
        <f>'Statistics NZ'!R$142*'Economic Forecasts'!T$9*1000000/SUM('Statistics NZ'!R$30:R$110,'Statistics NZ'!R$130:R$210)</f>
        <v>35443.934552024242</v>
      </c>
      <c r="S142" s="27">
        <f>'Statistics NZ'!S$142*'Economic Forecasts'!U$9*1000000/SUM('Statistics NZ'!S$30:S$110,'Statistics NZ'!S$130:S$210)</f>
        <v>35589.938867271536</v>
      </c>
      <c r="T142" s="27">
        <f>'Statistics NZ'!T$142*'Economic Forecasts'!V$9*1000000/SUM('Statistics NZ'!T$30:T$110,'Statistics NZ'!T$130:T$210)</f>
        <v>34638.305685967658</v>
      </c>
      <c r="U142" s="28">
        <f>SUM('Statistics NZ'!U$142,$G$13/5*(U$8-U$9)*1000)*'Economic Forecasts'!W$9*1000000/SUM('Statistics NZ'!U$30:U$110,'Statistics NZ'!U$130:U$210,SUM($E$12:$T$13)*(U$8-U$9)*1000)</f>
        <v>34218.835248660303</v>
      </c>
      <c r="V142" s="28">
        <f>SUM('Statistics NZ'!V$142,$G$13/5*(V$8-V$9)*1000)*'Economic Forecasts'!X$9*1000000/SUM('Statistics NZ'!V$30:V$110,'Statistics NZ'!V$130:V$210,SUM($E$12:$T$13)*(V$8-V$9)*1000)</f>
        <v>33348.147266488588</v>
      </c>
      <c r="W142" s="28">
        <f>SUM('Statistics NZ'!W$142,$G$13/5*(W$8-W$9)*1000)*'Economic Forecasts'!Y$9*1000000/SUM('Statistics NZ'!W$30:W$110,'Statistics NZ'!W$130:W$210,SUM($E$12:$T$13)*(W$8-W$9)*1000)</f>
        <v>34251.151380946991</v>
      </c>
      <c r="X142" s="28">
        <f>SUM('Statistics NZ'!X$142,$G$13/5*(X$8-X$9)*1000)*'Economic Forecasts'!Z$9*1000000/SUM('Statistics NZ'!X$30:X$110,'Statistics NZ'!X$130:X$210,SUM($E$12:$T$13)*(X$8-X$9)*1000)</f>
        <v>33817.384283514235</v>
      </c>
      <c r="Y142" s="28">
        <f>SUM('Statistics NZ'!Y$142,$G$13/5*(Y$8-Y$9)*1000)*'Economic Forecasts'!AA$9*1000000/SUM('Statistics NZ'!Y$30:Y$110,'Statistics NZ'!Y$130:Y$210,SUM($E$12:$T$13)*(Y$8-Y$9)*1000)</f>
        <v>33048.704660852192</v>
      </c>
      <c r="Z142" s="28">
        <f>SUM('Statistics NZ'!Z$142,$G$13/5*(Z$8-Z$9)*1000)*'Economic Forecasts'!AB$9*1000000/SUM('Statistics NZ'!Z$30:Z$110,'Statistics NZ'!Z$130:Z$210,SUM($E$12:$T$13)*(Z$8-Z$9)*1000)</f>
        <v>33735.249561558849</v>
      </c>
      <c r="AA142" s="28">
        <f>SUM('Statistics NZ'!AA$142,$G$13/5*(AA$8-AA$9)*1000)*'Economic Forecasts'!AC$9*1000000/SUM('Statistics NZ'!AA$30:AA$110,'Statistics NZ'!AA$130:AA$210,SUM($E$12:$T$13)*(AA$8-AA$9)*1000)</f>
        <v>34705.179791101807</v>
      </c>
      <c r="AB142" s="18">
        <f>SUM(AA$142,'Statistics NZ'!AB$142-'Statistics NZ'!AA$142,$G$13/5*(AB$8-AB$9)*1000)</f>
        <v>35091.698686359268</v>
      </c>
      <c r="AC142" s="18">
        <f>SUM(AB$142,'Statistics NZ'!AC$142-'Statistics NZ'!AB$142,$G$13/5*(AC$8-AC$9)*1000)</f>
        <v>36012.711283197576</v>
      </c>
      <c r="AD142" s="18">
        <f>SUM(AC$142,'Statistics NZ'!AD$142-'Statistics NZ'!AC$142,$G$13/5*(AD$8-AD$9)*1000)</f>
        <v>38807.299865213536</v>
      </c>
      <c r="AE142" s="18">
        <f>SUM(AD$142,'Statistics NZ'!AE$142-'Statistics NZ'!AD$142,$G$13/5*(AE$8-AE$9)*1000)</f>
        <v>40567.299865213536</v>
      </c>
      <c r="AF142" s="18">
        <f>SUM(AE$142,'Statistics NZ'!AF$142-'Statistics NZ'!AE$142,$G$13/5*(AF$8-AF$9)*1000)</f>
        <v>40747.299865213536</v>
      </c>
      <c r="AG142" s="18">
        <f>SUM(AF$142,'Statistics NZ'!AG$142-'Statistics NZ'!AF$142,$G$13/5*(AG$8-AG$9)*1000)</f>
        <v>41347.299865213536</v>
      </c>
      <c r="AH142" s="18">
        <f>SUM(AG$142,'Statistics NZ'!AH$142-'Statistics NZ'!AG$142,$G$13/5*(AH$8-AH$9)*1000)</f>
        <v>41357.299865213536</v>
      </c>
      <c r="AI142" s="18">
        <f>SUM(AH$142,'Statistics NZ'!AI$142-'Statistics NZ'!AH$142,$G$13/5*(AI$8-AI$9)*1000)</f>
        <v>41317.299865213536</v>
      </c>
      <c r="AJ142" s="18">
        <f>SUM(AI$142,'Statistics NZ'!AJ$142-'Statistics NZ'!AI$142,$G$13/5*(AJ$8-AJ$9)*1000)</f>
        <v>41377.299865213536</v>
      </c>
      <c r="AK142" s="18">
        <f>SUM(AJ$142,'Statistics NZ'!AK$142-'Statistics NZ'!AJ$142,$G$13/5*(AK$8-AK$9)*1000)</f>
        <v>41137.299865213536</v>
      </c>
    </row>
    <row r="143" spans="1:37" x14ac:dyDescent="0.25">
      <c r="A143" s="12">
        <f>$A$43</f>
        <v>28</v>
      </c>
      <c r="B143" s="27">
        <f>'Statistics NZ'!B$143*'Economic Forecasts'!D$9*1000000/SUM('Statistics NZ'!B$30:B$110,'Statistics NZ'!B$130:B$210)</f>
        <v>23784.760278128339</v>
      </c>
      <c r="C143" s="27">
        <f>'Statistics NZ'!C$143*'Economic Forecasts'!E$9*1000000/SUM('Statistics NZ'!C$30:C$110,'Statistics NZ'!C$130:C$210)</f>
        <v>24599.296036680505</v>
      </c>
      <c r="D143" s="27">
        <f>'Statistics NZ'!D$143*'Economic Forecasts'!F$9*1000000/SUM('Statistics NZ'!D$30:D$110,'Statistics NZ'!D$130:D$210)</f>
        <v>24969.363660143154</v>
      </c>
      <c r="E143" s="27">
        <f>'Statistics NZ'!E$143*'Economic Forecasts'!G$9*1000000/SUM('Statistics NZ'!E$30:E$110,'Statistics NZ'!E$130:E$210)</f>
        <v>25704.207041723508</v>
      </c>
      <c r="F143" s="27">
        <f>'Statistics NZ'!F$143*'Economic Forecasts'!H$9*1000000/SUM('Statistics NZ'!F$30:F$110,'Statistics NZ'!F$130:F$210)</f>
        <v>25895.314755803178</v>
      </c>
      <c r="G143" s="27">
        <f>'Statistics NZ'!G$143*'Economic Forecasts'!I$9*1000000/SUM('Statistics NZ'!G$30:G$110,'Statistics NZ'!G$130:G$210)</f>
        <v>26265.290821879156</v>
      </c>
      <c r="H143" s="27">
        <f>'Statistics NZ'!H$143*'Economic Forecasts'!J$9*1000000/SUM('Statistics NZ'!H$30:H$110,'Statistics NZ'!H$130:H$210)</f>
        <v>25958.012332162245</v>
      </c>
      <c r="I143" s="27">
        <f>'Statistics NZ'!I$143*'Economic Forecasts'!K$9*1000000/SUM('Statistics NZ'!I$30:I$110,'Statistics NZ'!I$130:I$210)</f>
        <v>25724.529124248933</v>
      </c>
      <c r="J143" s="27">
        <f>'Statistics NZ'!J$143*'Economic Forecasts'!L$9*1000000/SUM('Statistics NZ'!J$30:J$110,'Statistics NZ'!J$130:J$210)</f>
        <v>27032.217580186094</v>
      </c>
      <c r="K143" s="27">
        <f>'Statistics NZ'!K$143*'Economic Forecasts'!M$9*1000000/SUM('Statistics NZ'!K$30:K$110,'Statistics NZ'!K$130:K$210)</f>
        <v>29111.295833987686</v>
      </c>
      <c r="L143" s="27">
        <f>'Statistics NZ'!L$143*'Economic Forecasts'!N$9*1000000/SUM('Statistics NZ'!L$30:L$110,'Statistics NZ'!L$130:L$210)</f>
        <v>31741.364978585618</v>
      </c>
      <c r="M143" s="27">
        <f>'Statistics NZ'!M$143*'Economic Forecasts'!O$9*1000000/SUM('Statistics NZ'!M$30:M$110,'Statistics NZ'!M$130:M$210)</f>
        <v>34134.891003500372</v>
      </c>
      <c r="N143" s="27">
        <f>'Statistics NZ'!N$143*'Economic Forecasts'!P$9*1000000/SUM('Statistics NZ'!N$30:N$110,'Statistics NZ'!N$130:N$210)</f>
        <v>37094.685822960237</v>
      </c>
      <c r="O143" s="27">
        <f>'Statistics NZ'!O$143*'Economic Forecasts'!Q$9*1000000/SUM('Statistics NZ'!O$30:O$110,'Statistics NZ'!O$130:O$210)</f>
        <v>38420.09711713103</v>
      </c>
      <c r="P143" s="27">
        <f>'Statistics NZ'!P$143*'Economic Forecasts'!R$9*1000000/SUM('Statistics NZ'!P$30:P$110,'Statistics NZ'!P$130:P$210)</f>
        <v>39245.933601771401</v>
      </c>
      <c r="Q143" s="27">
        <f>'Statistics NZ'!Q$143*'Economic Forecasts'!S$9*1000000/SUM('Statistics NZ'!Q$30:Q$110,'Statistics NZ'!Q$130:Q$210)</f>
        <v>38075.883749122382</v>
      </c>
      <c r="R143" s="27">
        <f>'Statistics NZ'!R$143*'Economic Forecasts'!T$9*1000000/SUM('Statistics NZ'!R$30:R$110,'Statistics NZ'!R$130:R$210)</f>
        <v>35957.901254953773</v>
      </c>
      <c r="S143" s="27">
        <f>'Statistics NZ'!S$143*'Economic Forecasts'!U$9*1000000/SUM('Statistics NZ'!S$30:S$110,'Statistics NZ'!S$130:S$210)</f>
        <v>36514.732136525025</v>
      </c>
      <c r="T143" s="27">
        <f>'Statistics NZ'!T$143*'Economic Forecasts'!V$9*1000000/SUM('Statistics NZ'!T$30:T$110,'Statistics NZ'!T$130:T$210)</f>
        <v>36436.039645279081</v>
      </c>
      <c r="U143" s="28">
        <f>SUM('Statistics NZ'!U$143,$G$13/5*(U$8-U$9)*1000)*'Economic Forecasts'!W$9*1000000/SUM('Statistics NZ'!U$30:U$110,'Statistics NZ'!U$130:U$210,SUM($E$12:$T$13)*(U$8-U$9)*1000)</f>
        <v>34769.892063130479</v>
      </c>
      <c r="V143" s="28">
        <f>SUM('Statistics NZ'!V$143,$G$13/5*(V$8-V$9)*1000)*'Economic Forecasts'!X$9*1000000/SUM('Statistics NZ'!V$30:V$110,'Statistics NZ'!V$130:V$210,SUM($E$12:$T$13)*(V$8-V$9)*1000)</f>
        <v>34397.750288358548</v>
      </c>
      <c r="W143" s="28">
        <f>SUM('Statistics NZ'!W$143,$G$13/5*(W$8-W$9)*1000)*'Economic Forecasts'!Y$9*1000000/SUM('Statistics NZ'!W$30:W$110,'Statistics NZ'!W$130:W$210,SUM($E$12:$T$13)*(W$8-W$9)*1000)</f>
        <v>33664.231832610341</v>
      </c>
      <c r="X143" s="28">
        <f>SUM('Statistics NZ'!X$143,$G$13/5*(X$8-X$9)*1000)*'Economic Forecasts'!Z$9*1000000/SUM('Statistics NZ'!X$30:X$110,'Statistics NZ'!X$130:X$210,SUM($E$12:$T$13)*(X$8-X$9)*1000)</f>
        <v>34559.896432991343</v>
      </c>
      <c r="Y143" s="28">
        <f>SUM('Statistics NZ'!Y$143,$G$13/5*(Y$8-Y$9)*1000)*'Economic Forecasts'!AA$9*1000000/SUM('Statistics NZ'!Y$30:Y$110,'Statistics NZ'!Y$130:Y$210,SUM($E$12:$T$13)*(Y$8-Y$9)*1000)</f>
        <v>34162.367277434816</v>
      </c>
      <c r="Z143" s="28">
        <f>SUM('Statistics NZ'!Z$143,$G$13/5*(Z$8-Z$9)*1000)*'Economic Forecasts'!AB$9*1000000/SUM('Statistics NZ'!Z$30:Z$110,'Statistics NZ'!Z$130:Z$210,SUM($E$12:$T$13)*(Z$8-Z$9)*1000)</f>
        <v>33412.804726958071</v>
      </c>
      <c r="AA143" s="28">
        <f>SUM('Statistics NZ'!AA$143,$G$13/5*(AA$8-AA$9)*1000)*'Economic Forecasts'!AC$9*1000000/SUM('Statistics NZ'!AA$30:AA$110,'Statistics NZ'!AA$130:AA$210,SUM($E$12:$T$13)*(AA$8-AA$9)*1000)</f>
        <v>34108.886697140813</v>
      </c>
      <c r="AB143" s="18">
        <f>SUM(AA$143,'Statistics NZ'!AB$143-'Statistics NZ'!AA$143,$G$13/5*(AB$8-AB$9)*1000)</f>
        <v>35115.405592398274</v>
      </c>
      <c r="AC143" s="18">
        <f>SUM(AB$143,'Statistics NZ'!AC$143-'Statistics NZ'!AB$143,$G$13/5*(AC$8-AC$9)*1000)</f>
        <v>35506.418189236581</v>
      </c>
      <c r="AD143" s="18">
        <f>SUM(AC$143,'Statistics NZ'!AD$143-'Statistics NZ'!AC$143,$G$13/5*(AD$8-AD$9)*1000)</f>
        <v>36421.006771252542</v>
      </c>
      <c r="AE143" s="18">
        <f>SUM(AD$143,'Statistics NZ'!AE$143-'Statistics NZ'!AD$143,$G$13/5*(AE$8-AE$9)*1000)</f>
        <v>39201.006771252542</v>
      </c>
      <c r="AF143" s="18">
        <f>SUM(AE$143,'Statistics NZ'!AF$143-'Statistics NZ'!AE$143,$G$13/5*(AF$8-AF$9)*1000)</f>
        <v>40971.006771252542</v>
      </c>
      <c r="AG143" s="18">
        <f>SUM(AF$143,'Statistics NZ'!AG$143-'Statistics NZ'!AF$143,$G$13/5*(AG$8-AG$9)*1000)</f>
        <v>41161.006771252542</v>
      </c>
      <c r="AH143" s="18">
        <f>SUM(AG$143,'Statistics NZ'!AH$143-'Statistics NZ'!AG$143,$G$13/5*(AH$8-AH$9)*1000)</f>
        <v>41761.006771252542</v>
      </c>
      <c r="AI143" s="18">
        <f>SUM(AH$143,'Statistics NZ'!AI$143-'Statistics NZ'!AH$143,$G$13/5*(AI$8-AI$9)*1000)</f>
        <v>41771.006771252542</v>
      </c>
      <c r="AJ143" s="18">
        <f>SUM(AI$143,'Statistics NZ'!AJ$143-'Statistics NZ'!AI$143,$G$13/5*(AJ$8-AJ$9)*1000)</f>
        <v>41741.006771252542</v>
      </c>
      <c r="AK143" s="18">
        <f>SUM(AJ$143,'Statistics NZ'!AK$143-'Statistics NZ'!AJ$143,$G$13/5*(AK$8-AK$9)*1000)</f>
        <v>41801.006771252542</v>
      </c>
    </row>
    <row r="144" spans="1:37" x14ac:dyDescent="0.25">
      <c r="A144" s="12">
        <f>$A$44</f>
        <v>29</v>
      </c>
      <c r="B144" s="27">
        <f>'Statistics NZ'!B$144*'Economic Forecasts'!D$9*1000000/SUM('Statistics NZ'!B$30:B$110,'Statistics NZ'!B$130:B$210)</f>
        <v>24322.877026502276</v>
      </c>
      <c r="C144" s="27">
        <f>'Statistics NZ'!C$144*'Economic Forecasts'!E$9*1000000/SUM('Statistics NZ'!C$30:C$110,'Statistics NZ'!C$130:C$210)</f>
        <v>24137.752358547179</v>
      </c>
      <c r="D144" s="27">
        <f>'Statistics NZ'!D$144*'Economic Forecasts'!F$9*1000000/SUM('Statistics NZ'!D$30:D$110,'Statistics NZ'!D$130:D$210)</f>
        <v>24723.795567498153</v>
      </c>
      <c r="E144" s="27">
        <f>'Statistics NZ'!E$144*'Economic Forecasts'!G$9*1000000/SUM('Statistics NZ'!E$30:E$110,'Statistics NZ'!E$130:E$210)</f>
        <v>25155.013758878591</v>
      </c>
      <c r="F144" s="27">
        <f>'Statistics NZ'!F$144*'Economic Forecasts'!H$9*1000000/SUM('Statistics NZ'!F$30:F$110,'Statistics NZ'!F$130:F$210)</f>
        <v>25669.711634824591</v>
      </c>
      <c r="G144" s="27">
        <f>'Statistics NZ'!G$144*'Economic Forecasts'!I$9*1000000/SUM('Statistics NZ'!G$30:G$110,'Statistics NZ'!G$130:G$210)</f>
        <v>25685.764958569183</v>
      </c>
      <c r="H144" s="27">
        <f>'Statistics NZ'!H$144*'Economic Forecasts'!J$9*1000000/SUM('Statistics NZ'!H$30:H$110,'Statistics NZ'!H$130:H$210)</f>
        <v>26056.263703593588</v>
      </c>
      <c r="I144" s="27">
        <f>'Statistics NZ'!I$144*'Economic Forecasts'!K$9*1000000/SUM('Statistics NZ'!I$30:I$110,'Statistics NZ'!I$130:I$210)</f>
        <v>25812.761122007414</v>
      </c>
      <c r="J144" s="27">
        <f>'Statistics NZ'!J$144*'Economic Forecasts'!L$9*1000000/SUM('Statistics NZ'!J$30:J$110,'Statistics NZ'!J$130:J$210)</f>
        <v>26437.352763306095</v>
      </c>
      <c r="K144" s="27">
        <f>'Statistics NZ'!K$144*'Economic Forecasts'!M$9*1000000/SUM('Statistics NZ'!K$30:K$110,'Statistics NZ'!K$130:K$210)</f>
        <v>28303.18962856261</v>
      </c>
      <c r="L144" s="27">
        <f>'Statistics NZ'!L$144*'Economic Forecasts'!N$9*1000000/SUM('Statistics NZ'!L$30:L$110,'Statistics NZ'!L$130:L$210)</f>
        <v>30787.176706223232</v>
      </c>
      <c r="M144" s="27">
        <f>'Statistics NZ'!M$144*'Economic Forecasts'!O$9*1000000/SUM('Statistics NZ'!M$30:M$110,'Statistics NZ'!M$130:M$210)</f>
        <v>33363.09466999249</v>
      </c>
      <c r="N144" s="27">
        <f>'Statistics NZ'!N$144*'Economic Forecasts'!P$9*1000000/SUM('Statistics NZ'!N$30:N$110,'Statistics NZ'!N$130:N$210)</f>
        <v>35255.118179932928</v>
      </c>
      <c r="O144" s="27">
        <f>'Statistics NZ'!O$144*'Economic Forecasts'!Q$9*1000000/SUM('Statistics NZ'!O$30:O$110,'Statistics NZ'!O$130:O$210)</f>
        <v>37821.010735703378</v>
      </c>
      <c r="P144" s="27">
        <f>'Statistics NZ'!P$144*'Economic Forecasts'!R$9*1000000/SUM('Statistics NZ'!P$30:P$110,'Statistics NZ'!P$130:P$210)</f>
        <v>39500.522991403646</v>
      </c>
      <c r="Q144" s="27">
        <f>'Statistics NZ'!Q$144*'Economic Forecasts'!S$9*1000000/SUM('Statistics NZ'!Q$30:Q$110,'Statistics NZ'!Q$130:Q$210)</f>
        <v>38935.406812478286</v>
      </c>
      <c r="R144" s="27">
        <f>'Statistics NZ'!R$144*'Economic Forecasts'!T$9*1000000/SUM('Statistics NZ'!R$30:R$110,'Statistics NZ'!R$130:R$210)</f>
        <v>37232.934037221239</v>
      </c>
      <c r="S144" s="27">
        <f>'Statistics NZ'!S$144*'Economic Forecasts'!U$9*1000000/SUM('Statistics NZ'!S$30:S$110,'Statistics NZ'!S$130:S$210)</f>
        <v>37050.138766092838</v>
      </c>
      <c r="T144" s="27">
        <f>'Statistics NZ'!T$144*'Economic Forecasts'!V$9*1000000/SUM('Statistics NZ'!T$30:T$110,'Statistics NZ'!T$130:T$210)</f>
        <v>37369.289514866978</v>
      </c>
      <c r="U144" s="28">
        <f>SUM('Statistics NZ'!U$144,$G$13/5*(U$8-U$9)*1000)*'Economic Forecasts'!W$9*1000000/SUM('Statistics NZ'!U$30:U$110,'Statistics NZ'!U$130:U$210,SUM($E$12:$T$13)*(U$8-U$9)*1000)</f>
        <v>36649.389412484124</v>
      </c>
      <c r="V144" s="28">
        <f>SUM('Statistics NZ'!V$144,$G$13/5*(V$8-V$9)*1000)*'Economic Forecasts'!X$9*1000000/SUM('Statistics NZ'!V$30:V$110,'Statistics NZ'!V$130:V$210,SUM($E$12:$T$13)*(V$8-V$9)*1000)</f>
        <v>35025.55022667328</v>
      </c>
      <c r="W144" s="28">
        <f>SUM('Statistics NZ'!W$144,$G$13/5*(W$8-W$9)*1000)*'Economic Forecasts'!Y$9*1000000/SUM('Statistics NZ'!W$30:W$110,'Statistics NZ'!W$130:W$210,SUM($E$12:$T$13)*(W$8-W$9)*1000)</f>
        <v>34779.378974449974</v>
      </c>
      <c r="X144" s="28">
        <f>SUM('Statistics NZ'!X$144,$G$13/5*(X$8-X$9)*1000)*'Economic Forecasts'!Z$9*1000000/SUM('Statistics NZ'!X$30:X$110,'Statistics NZ'!X$130:X$210,SUM($E$12:$T$13)*(X$8-X$9)*1000)</f>
        <v>34042.091907698101</v>
      </c>
      <c r="Y144" s="28">
        <f>SUM('Statistics NZ'!Y$144,$G$13/5*(Y$8-Y$9)*1000)*'Economic Forecasts'!AA$9*1000000/SUM('Statistics NZ'!Y$30:Y$110,'Statistics NZ'!Y$130:Y$210,SUM($E$12:$T$13)*(Y$8-Y$9)*1000)</f>
        <v>34982.960784390445</v>
      </c>
      <c r="Z144" s="28">
        <f>SUM('Statistics NZ'!Z$144,$G$13/5*(Z$8-Z$9)*1000)*'Economic Forecasts'!AB$9*1000000/SUM('Statistics NZ'!Z$30:Z$110,'Statistics NZ'!Z$130:Z$210,SUM($E$12:$T$13)*(Z$8-Z$9)*1000)</f>
        <v>34595.102453827603</v>
      </c>
      <c r="AA144" s="28">
        <f>SUM('Statistics NZ'!AA$144,$G$13/5*(AA$8-AA$9)*1000)*'Economic Forecasts'!AC$9*1000000/SUM('Statistics NZ'!AA$30:AA$110,'Statistics NZ'!AA$130:AA$210,SUM($E$12:$T$13)*(AA$8-AA$9)*1000)</f>
        <v>33854.728984960719</v>
      </c>
      <c r="AB144" s="18">
        <f>SUM(AA$144,'Statistics NZ'!AB$144-'Statistics NZ'!AA$144,$G$13/5*(AB$8-AB$9)*1000)</f>
        <v>34581.247880218179</v>
      </c>
      <c r="AC144" s="18">
        <f>SUM(AB$144,'Statistics NZ'!AC$144-'Statistics NZ'!AB$144,$G$13/5*(AC$8-AC$9)*1000)</f>
        <v>35582.260477056487</v>
      </c>
      <c r="AD144" s="18">
        <f>SUM(AC$144,'Statistics NZ'!AD$144-'Statistics NZ'!AC$144,$G$13/5*(AD$8-AD$9)*1000)</f>
        <v>35966.849059072447</v>
      </c>
      <c r="AE144" s="18">
        <f>SUM(AD$144,'Statistics NZ'!AE$144-'Statistics NZ'!AD$144,$G$13/5*(AE$8-AE$9)*1000)</f>
        <v>36876.849059072447</v>
      </c>
      <c r="AF144" s="18">
        <f>SUM(AE$144,'Statistics NZ'!AF$144-'Statistics NZ'!AE$144,$G$13/5*(AF$8-AF$9)*1000)</f>
        <v>39666.849059072447</v>
      </c>
      <c r="AG144" s="18">
        <f>SUM(AF$144,'Statistics NZ'!AG$144-'Statistics NZ'!AF$144,$G$13/5*(AG$8-AG$9)*1000)</f>
        <v>41436.849059072447</v>
      </c>
      <c r="AH144" s="18">
        <f>SUM(AG$144,'Statistics NZ'!AH$144-'Statistics NZ'!AG$144,$G$13/5*(AH$8-AH$9)*1000)</f>
        <v>41626.849059072447</v>
      </c>
      <c r="AI144" s="18">
        <f>SUM(AH$144,'Statistics NZ'!AI$144-'Statistics NZ'!AH$144,$G$13/5*(AI$8-AI$9)*1000)</f>
        <v>42236.849059072447</v>
      </c>
      <c r="AJ144" s="18">
        <f>SUM(AI$144,'Statistics NZ'!AJ$144-'Statistics NZ'!AI$144,$G$13/5*(AJ$8-AJ$9)*1000)</f>
        <v>42246.849059072447</v>
      </c>
      <c r="AK144" s="18">
        <f>SUM(AJ$144,'Statistics NZ'!AK$144-'Statistics NZ'!AJ$144,$G$13/5*(AK$8-AK$9)*1000)</f>
        <v>42216.849059072447</v>
      </c>
    </row>
    <row r="145" spans="1:37" x14ac:dyDescent="0.25">
      <c r="A145" s="12">
        <f>$A$45</f>
        <v>30</v>
      </c>
      <c r="B145" s="27">
        <f>'Statistics NZ'!B$145*'Economic Forecasts'!D$9*1000000/SUM('Statistics NZ'!B$30:B$110,'Statistics NZ'!B$130:B$210)</f>
        <v>24635.963134647121</v>
      </c>
      <c r="C145" s="27">
        <f>'Statistics NZ'!C$145*'Economic Forecasts'!E$9*1000000/SUM('Statistics NZ'!C$30:C$110,'Statistics NZ'!C$130:C$210)</f>
        <v>24707.316897520224</v>
      </c>
      <c r="D145" s="27">
        <f>'Statistics NZ'!D$145*'Economic Forecasts'!F$9*1000000/SUM('Statistics NZ'!D$30:D$110,'Statistics NZ'!D$130:D$210)</f>
        <v>24340.709342971964</v>
      </c>
      <c r="E145" s="27">
        <f>'Statistics NZ'!E$145*'Economic Forecasts'!G$9*1000000/SUM('Statistics NZ'!E$30:E$110,'Statistics NZ'!E$130:E$210)</f>
        <v>24939.259254903809</v>
      </c>
      <c r="F145" s="27">
        <f>'Statistics NZ'!F$145*'Economic Forecasts'!H$9*1000000/SUM('Statistics NZ'!F$30:F$110,'Statistics NZ'!F$130:F$210)</f>
        <v>25277.358380948783</v>
      </c>
      <c r="G145" s="27">
        <f>'Statistics NZ'!G$145*'Economic Forecasts'!I$9*1000000/SUM('Statistics NZ'!G$30:G$110,'Statistics NZ'!G$130:G$210)</f>
        <v>25685.764958569183</v>
      </c>
      <c r="H145" s="27">
        <f>'Statistics NZ'!H$145*'Economic Forecasts'!J$9*1000000/SUM('Statistics NZ'!H$30:H$110,'Statistics NZ'!H$130:H$210)</f>
        <v>25545.35657215058</v>
      </c>
      <c r="I145" s="27">
        <f>'Statistics NZ'!I$145*'Economic Forecasts'!K$9*1000000/SUM('Statistics NZ'!I$30:I$110,'Statistics NZ'!I$130:I$210)</f>
        <v>26008.832228137355</v>
      </c>
      <c r="J145" s="27">
        <f>'Statistics NZ'!J$145*'Economic Forecasts'!L$9*1000000/SUM('Statistics NZ'!J$30:J$110,'Statistics NZ'!J$130:J$210)</f>
        <v>26651.894172672648</v>
      </c>
      <c r="K145" s="27">
        <f>'Statistics NZ'!K$145*'Economic Forecasts'!M$9*1000000/SUM('Statistics NZ'!K$30:K$110,'Statistics NZ'!K$130:K$210)</f>
        <v>27719.016468014361</v>
      </c>
      <c r="L145" s="27">
        <f>'Statistics NZ'!L$145*'Economic Forecasts'!N$9*1000000/SUM('Statistics NZ'!L$30:L$110,'Statistics NZ'!L$130:L$210)</f>
        <v>29696.675823523354</v>
      </c>
      <c r="M145" s="27">
        <f>'Statistics NZ'!M$145*'Economic Forecasts'!O$9*1000000/SUM('Statistics NZ'!M$30:M$110,'Statistics NZ'!M$130:M$210)</f>
        <v>32376.367711963434</v>
      </c>
      <c r="N145" s="27">
        <f>'Statistics NZ'!N$145*'Economic Forecasts'!P$9*1000000/SUM('Statistics NZ'!N$30:N$110,'Statistics NZ'!N$130:N$210)</f>
        <v>34658.237189376196</v>
      </c>
      <c r="O145" s="27">
        <f>'Statistics NZ'!O$145*'Economic Forecasts'!Q$9*1000000/SUM('Statistics NZ'!O$30:O$110,'Statistics NZ'!O$130:O$210)</f>
        <v>36082.678120741162</v>
      </c>
      <c r="P145" s="27">
        <f>'Statistics NZ'!P$145*'Economic Forecasts'!R$9*1000000/SUM('Statistics NZ'!P$30:P$110,'Statistics NZ'!P$130:P$210)</f>
        <v>38824.881918918065</v>
      </c>
      <c r="Q145" s="27">
        <f>'Statistics NZ'!Q$145*'Economic Forecasts'!S$9*1000000/SUM('Statistics NZ'!Q$30:Q$110,'Statistics NZ'!Q$130:Q$210)</f>
        <v>39340.46940555406</v>
      </c>
      <c r="R145" s="27">
        <f>'Statistics NZ'!R$145*'Economic Forecasts'!T$9*1000000/SUM('Statistics NZ'!R$30:R$110,'Statistics NZ'!R$130:R$210)</f>
        <v>38310.287318361952</v>
      </c>
      <c r="S145" s="27">
        <f>'Statistics NZ'!S$145*'Economic Forecasts'!U$9*1000000/SUM('Statistics NZ'!S$30:S$110,'Statistics NZ'!S$130:S$210)</f>
        <v>38607.685324835584</v>
      </c>
      <c r="T145" s="27">
        <f>'Statistics NZ'!T$145*'Economic Forecasts'!V$9*1000000/SUM('Statistics NZ'!T$30:T$110,'Statistics NZ'!T$130:T$210)</f>
        <v>38233.773604590504</v>
      </c>
      <c r="U145" s="28">
        <f>SUM('Statistics NZ'!U$145,$H$13/5*(U$8-U$9)*1000)*'Economic Forecasts'!W$9*1000000/SUM('Statistics NZ'!U$30:U$110,'Statistics NZ'!U$130:U$210,SUM($E$12:$T$13)*(U$8-U$9)*1000)</f>
        <v>37493.804922760799</v>
      </c>
      <c r="V145" s="28">
        <f>SUM('Statistics NZ'!V$145,$H$13/5*(V$8-V$9)*1000)*'Economic Forecasts'!X$9*1000000/SUM('Statistics NZ'!V$30:V$110,'Statistics NZ'!V$130:V$210,SUM($E$12:$T$13)*(V$8-V$9)*1000)</f>
        <v>36831.58084232179</v>
      </c>
      <c r="W145" s="28">
        <f>SUM('Statistics NZ'!W$145,$H$13/5*(W$8-W$9)*1000)*'Economic Forecasts'!Y$9*1000000/SUM('Statistics NZ'!W$30:W$110,'Statistics NZ'!W$130:W$210,SUM($E$12:$T$13)*(W$8-W$9)*1000)</f>
        <v>35448.709945197712</v>
      </c>
      <c r="X145" s="28">
        <f>SUM('Statistics NZ'!X$145,$H$13/5*(X$8-X$9)*1000)*'Economic Forecasts'!Z$9*1000000/SUM('Statistics NZ'!X$30:X$110,'Statistics NZ'!X$130:X$210,SUM($E$12:$T$13)*(X$8-X$9)*1000)</f>
        <v>35238.83090616078</v>
      </c>
      <c r="Y145" s="28">
        <f>SUM('Statistics NZ'!Y$145,$H$13/5*(Y$8-Y$9)*1000)*'Economic Forecasts'!AA$9*1000000/SUM('Statistics NZ'!Y$30:Y$110,'Statistics NZ'!Y$130:Y$210,SUM($E$12:$T$13)*(Y$8-Y$9)*1000)</f>
        <v>34544.954816901205</v>
      </c>
      <c r="Z145" s="28">
        <f>SUM('Statistics NZ'!Z$145,$H$13/5*(Z$8-Z$9)*1000)*'Economic Forecasts'!AB$9*1000000/SUM('Statistics NZ'!Z$30:Z$110,'Statistics NZ'!Z$130:Z$210,SUM($E$12:$T$13)*(Z$8-Z$9)*1000)</f>
        <v>35490.954090590902</v>
      </c>
      <c r="AA145" s="28">
        <f>SUM('Statistics NZ'!AA$145,$H$13/5*(AA$8-AA$9)*1000)*'Economic Forecasts'!AC$9*1000000/SUM('Statistics NZ'!AA$30:AA$110,'Statistics NZ'!AA$130:AA$210,SUM($E$12:$T$13)*(AA$8-AA$9)*1000)</f>
        <v>35109.844102912146</v>
      </c>
      <c r="AB145" s="18">
        <f>SUM(AA$145,'Statistics NZ'!AB$145-'Statistics NZ'!AA$145,$H$13/5*(AB$8-AB$9)*1000)</f>
        <v>34383.61871531116</v>
      </c>
      <c r="AC145" s="18">
        <f>SUM(AB$145,'Statistics NZ'!AC$145-'Statistics NZ'!AB$145,$H$13/5*(AC$8-AC$9)*1000)</f>
        <v>35116.135123577165</v>
      </c>
      <c r="AD145" s="18">
        <f>SUM(AC$145,'Statistics NZ'!AD$145-'Statistics NZ'!AC$145,$H$13/5*(AD$8-AD$9)*1000)</f>
        <v>36115.516960354667</v>
      </c>
      <c r="AE145" s="18">
        <f>SUM(AD$145,'Statistics NZ'!AE$145-'Statistics NZ'!AD$145,$H$13/5*(AE$8-AE$9)*1000)</f>
        <v>36505.516960354667</v>
      </c>
      <c r="AF145" s="18">
        <f>SUM(AE$145,'Statistics NZ'!AF$145-'Statistics NZ'!AE$145,$H$13/5*(AF$8-AF$9)*1000)</f>
        <v>37415.516960354667</v>
      </c>
      <c r="AG145" s="18">
        <f>SUM(AF$145,'Statistics NZ'!AG$145-'Statistics NZ'!AF$145,$H$13/5*(AG$8-AG$9)*1000)</f>
        <v>40205.516960354667</v>
      </c>
      <c r="AH145" s="18">
        <f>SUM(AG$145,'Statistics NZ'!AH$145-'Statistics NZ'!AG$145,$H$13/5*(AH$8-AH$9)*1000)</f>
        <v>41985.516960354667</v>
      </c>
      <c r="AI145" s="18">
        <f>SUM(AH$145,'Statistics NZ'!AI$145-'Statistics NZ'!AH$145,$H$13/5*(AI$8-AI$9)*1000)</f>
        <v>42175.516960354667</v>
      </c>
      <c r="AJ145" s="18">
        <f>SUM(AI$145,'Statistics NZ'!AJ$145-'Statistics NZ'!AI$145,$H$13/5*(AJ$8-AJ$9)*1000)</f>
        <v>42785.516960354667</v>
      </c>
      <c r="AK145" s="18">
        <f>SUM(AJ$145,'Statistics NZ'!AK$145-'Statistics NZ'!AJ$145,$H$13/5*(AK$8-AK$9)*1000)</f>
        <v>42795.516960354667</v>
      </c>
    </row>
    <row r="146" spans="1:37" x14ac:dyDescent="0.25">
      <c r="A146" s="12">
        <f>$A$46</f>
        <v>31</v>
      </c>
      <c r="B146" s="27">
        <f>'Statistics NZ'!B$146*'Economic Forecasts'!D$9*1000000/SUM('Statistics NZ'!B$30:B$110,'Statistics NZ'!B$130:B$210)</f>
        <v>25555.653577322591</v>
      </c>
      <c r="C146" s="27">
        <f>'Statistics NZ'!C$146*'Economic Forecasts'!E$9*1000000/SUM('Statistics NZ'!C$30:C$110,'Statistics NZ'!C$130:C$210)</f>
        <v>24962.638932232279</v>
      </c>
      <c r="D146" s="27">
        <f>'Statistics NZ'!D$146*'Economic Forecasts'!F$9*1000000/SUM('Statistics NZ'!D$30:D$110,'Statistics NZ'!D$130:D$210)</f>
        <v>25028.300002377953</v>
      </c>
      <c r="E146" s="27">
        <f>'Statistics NZ'!E$146*'Economic Forecasts'!G$9*1000000/SUM('Statistics NZ'!E$30:E$110,'Statistics NZ'!E$130:E$210)</f>
        <v>24576.399407309844</v>
      </c>
      <c r="F146" s="27">
        <f>'Statistics NZ'!F$146*'Economic Forecasts'!H$9*1000000/SUM('Statistics NZ'!F$30:F$110,'Statistics NZ'!F$130:F$210)</f>
        <v>25032.137597276407</v>
      </c>
      <c r="G146" s="27">
        <f>'Statistics NZ'!G$146*'Economic Forecasts'!I$9*1000000/SUM('Statistics NZ'!G$30:G$110,'Statistics NZ'!G$130:G$210)</f>
        <v>25312.511012708521</v>
      </c>
      <c r="H146" s="27">
        <f>'Statistics NZ'!H$146*'Economic Forecasts'!J$9*1000000/SUM('Statistics NZ'!H$30:H$110,'Statistics NZ'!H$130:H$210)</f>
        <v>25653.433080725066</v>
      </c>
      <c r="I146" s="27">
        <f>'Statistics NZ'!I$146*'Economic Forecasts'!K$9*1000000/SUM('Statistics NZ'!I$30:I$110,'Statistics NZ'!I$130:I$210)</f>
        <v>25548.065128731985</v>
      </c>
      <c r="J146" s="27">
        <f>'Statistics NZ'!J$146*'Economic Forecasts'!L$9*1000000/SUM('Statistics NZ'!J$30:J$110,'Statistics NZ'!J$130:J$210)</f>
        <v>26778.668641843793</v>
      </c>
      <c r="K146" s="27">
        <f>'Statistics NZ'!K$146*'Economic Forecasts'!M$9*1000000/SUM('Statistics NZ'!K$30:K$110,'Statistics NZ'!K$130:K$210)</f>
        <v>27806.642442096603</v>
      </c>
      <c r="L146" s="27">
        <f>'Statistics NZ'!L$146*'Economic Forecasts'!N$9*1000000/SUM('Statistics NZ'!L$30:L$110,'Statistics NZ'!L$130:L$210)</f>
        <v>28976.166311739511</v>
      </c>
      <c r="M146" s="27">
        <f>'Statistics NZ'!M$146*'Economic Forecasts'!O$9*1000000/SUM('Statistics NZ'!M$30:M$110,'Statistics NZ'!M$130:M$210)</f>
        <v>31194.249277096937</v>
      </c>
      <c r="N146" s="27">
        <f>'Statistics NZ'!N$146*'Economic Forecasts'!P$9*1000000/SUM('Statistics NZ'!N$30:N$110,'Statistics NZ'!N$130:N$210)</f>
        <v>33640.604025148328</v>
      </c>
      <c r="O146" s="27">
        <f>'Statistics NZ'!O$146*'Economic Forecasts'!Q$9*1000000/SUM('Statistics NZ'!O$30:O$110,'Statistics NZ'!O$130:O$210)</f>
        <v>35532.697180414129</v>
      </c>
      <c r="P146" s="27">
        <f>'Statistics NZ'!P$146*'Economic Forecasts'!R$9*1000000/SUM('Statistics NZ'!P$30:P$110,'Statistics NZ'!P$130:P$210)</f>
        <v>37238.594183517125</v>
      </c>
      <c r="Q146" s="27">
        <f>'Statistics NZ'!Q$146*'Economic Forecasts'!S$9*1000000/SUM('Statistics NZ'!Q$30:Q$110,'Statistics NZ'!Q$130:Q$210)</f>
        <v>38629.139973811245</v>
      </c>
      <c r="R146" s="27">
        <f>'Statistics NZ'!R$146*'Economic Forecasts'!T$9*1000000/SUM('Statistics NZ'!R$30:R$110,'Statistics NZ'!R$130:R$210)</f>
        <v>38853.905946460494</v>
      </c>
      <c r="S146" s="27">
        <f>'Statistics NZ'!S$146*'Economic Forecasts'!U$9*1000000/SUM('Statistics NZ'!S$30:S$110,'Statistics NZ'!S$130:S$210)</f>
        <v>39795.314575876917</v>
      </c>
      <c r="T146" s="27">
        <f>'Statistics NZ'!T$146*'Economic Forecasts'!V$9*1000000/SUM('Statistics NZ'!T$30:T$110,'Statistics NZ'!T$130:T$210)</f>
        <v>39835.033907146586</v>
      </c>
      <c r="U146" s="28">
        <f>SUM('Statistics NZ'!U$146,$H$13/5*(U$8-U$9)*1000)*'Economic Forecasts'!W$9*1000000/SUM('Statistics NZ'!U$30:U$110,'Statistics NZ'!U$130:U$210,SUM($E$12:$T$13)*(U$8-U$9)*1000)</f>
        <v>38369.591645758053</v>
      </c>
      <c r="V146" s="28">
        <f>SUM('Statistics NZ'!V$146,$H$13/5*(V$8-V$9)*1000)*'Economic Forecasts'!X$9*1000000/SUM('Statistics NZ'!V$30:V$110,'Statistics NZ'!V$130:V$210,SUM($E$12:$T$13)*(V$8-V$9)*1000)</f>
        <v>37812.518245938569</v>
      </c>
      <c r="W146" s="28">
        <f>SUM('Statistics NZ'!W$146,$H$13/5*(W$8-W$9)*1000)*'Economic Forecasts'!Y$9*1000000/SUM('Statistics NZ'!W$30:W$110,'Statistics NZ'!W$130:W$210,SUM($E$12:$T$13)*(W$8-W$9)*1000)</f>
        <v>37365.980469764087</v>
      </c>
      <c r="X146" s="28">
        <f>SUM('Statistics NZ'!X$146,$H$13/5*(X$8-X$9)*1000)*'Economic Forecasts'!Z$9*1000000/SUM('Statistics NZ'!X$30:X$110,'Statistics NZ'!X$130:X$210,SUM($E$12:$T$13)*(X$8-X$9)*1000)</f>
        <v>35903.183882008721</v>
      </c>
      <c r="Y146" s="28">
        <f>SUM('Statistics NZ'!Y$146,$H$13/5*(Y$8-Y$9)*1000)*'Economic Forecasts'!AA$9*1000000/SUM('Statistics NZ'!Y$30:Y$110,'Statistics NZ'!Y$130:Y$210,SUM($E$12:$T$13)*(Y$8-Y$9)*1000)</f>
        <v>35707.462285088339</v>
      </c>
      <c r="Z146" s="28">
        <f>SUM('Statistics NZ'!Z$146,$H$13/5*(Z$8-Z$9)*1000)*'Economic Forecasts'!AB$9*1000000/SUM('Statistics NZ'!Z$30:Z$110,'Statistics NZ'!Z$130:Z$210,SUM($E$12:$T$13)*(Z$8-Z$9)*1000)</f>
        <v>35012.17236648671</v>
      </c>
      <c r="AA146" s="28">
        <f>SUM('Statistics NZ'!AA$146,$H$13/5*(AA$8-AA$9)*1000)*'Economic Forecasts'!AC$9*1000000/SUM('Statistics NZ'!AA$30:AA$110,'Statistics NZ'!AA$130:AA$210,SUM($E$12:$T$13)*(AA$8-AA$9)*1000)</f>
        <v>35970.070205675547</v>
      </c>
      <c r="AB146" s="18">
        <f>SUM(AA$146,'Statistics NZ'!AB$146-'Statistics NZ'!AA$146,$H$13/5*(AB$8-AB$9)*1000)</f>
        <v>35613.844818074562</v>
      </c>
      <c r="AC146" s="18">
        <f>SUM(AB$146,'Statistics NZ'!AC$146-'Statistics NZ'!AB$146,$H$13/5*(AC$8-AC$9)*1000)</f>
        <v>34876.361226340567</v>
      </c>
      <c r="AD146" s="18">
        <f>SUM(AC$146,'Statistics NZ'!AD$146-'Statistics NZ'!AC$146,$H$13/5*(AD$8-AD$9)*1000)</f>
        <v>35595.743063118069</v>
      </c>
      <c r="AE146" s="18">
        <f>SUM(AD$146,'Statistics NZ'!AE$146-'Statistics NZ'!AD$146,$H$13/5*(AE$8-AE$9)*1000)</f>
        <v>36595.743063118069</v>
      </c>
      <c r="AF146" s="18">
        <f>SUM(AE$146,'Statistics NZ'!AF$146-'Statistics NZ'!AE$146,$H$13/5*(AF$8-AF$9)*1000)</f>
        <v>36975.743063118069</v>
      </c>
      <c r="AG146" s="18">
        <f>SUM(AF$146,'Statistics NZ'!AG$146-'Statistics NZ'!AF$146,$H$13/5*(AG$8-AG$9)*1000)</f>
        <v>37895.743063118069</v>
      </c>
      <c r="AH146" s="18">
        <f>SUM(AG$146,'Statistics NZ'!AH$146-'Statistics NZ'!AG$146,$H$13/5*(AH$8-AH$9)*1000)</f>
        <v>40695.743063118069</v>
      </c>
      <c r="AI146" s="18">
        <f>SUM(AH$146,'Statistics NZ'!AI$146-'Statistics NZ'!AH$146,$H$13/5*(AI$8-AI$9)*1000)</f>
        <v>42465.743063118069</v>
      </c>
      <c r="AJ146" s="18">
        <f>SUM(AI$146,'Statistics NZ'!AJ$146-'Statistics NZ'!AI$146,$H$13/5*(AJ$8-AJ$9)*1000)</f>
        <v>42655.743063118069</v>
      </c>
      <c r="AK146" s="18">
        <f>SUM(AJ$146,'Statistics NZ'!AK$146-'Statistics NZ'!AJ$146,$H$13/5*(AK$8-AK$9)*1000)</f>
        <v>43275.743063118069</v>
      </c>
    </row>
    <row r="147" spans="1:37" x14ac:dyDescent="0.25">
      <c r="A147" s="12">
        <f>$A$47</f>
        <v>32</v>
      </c>
      <c r="B147" s="27">
        <f>'Statistics NZ'!B$147*'Economic Forecasts'!D$9*1000000/SUM('Statistics NZ'!B$30:B$110,'Statistics NZ'!B$130:B$210)</f>
        <v>26494.91190175711</v>
      </c>
      <c r="C147" s="27">
        <f>'Statistics NZ'!C$147*'Economic Forecasts'!E$9*1000000/SUM('Statistics NZ'!C$30:C$110,'Statistics NZ'!C$130:C$210)</f>
        <v>25875.906210240777</v>
      </c>
      <c r="D147" s="27">
        <f>'Statistics NZ'!D$147*'Economic Forecasts'!F$9*1000000/SUM('Statistics NZ'!D$30:D$110,'Statistics NZ'!D$130:D$210)</f>
        <v>25097.059068318551</v>
      </c>
      <c r="E147" s="27">
        <f>'Statistics NZ'!E$147*'Economic Forecasts'!G$9*1000000/SUM('Statistics NZ'!E$30:E$110,'Statistics NZ'!E$130:E$210)</f>
        <v>25135.399713062703</v>
      </c>
      <c r="F147" s="27">
        <f>'Statistics NZ'!F$147*'Economic Forecasts'!H$9*1000000/SUM('Statistics NZ'!F$30:F$110,'Statistics NZ'!F$130:F$210)</f>
        <v>24659.402006094391</v>
      </c>
      <c r="G147" s="27">
        <f>'Statistics NZ'!G$147*'Economic Forecasts'!I$9*1000000/SUM('Statistics NZ'!G$30:G$110,'Statistics NZ'!G$130:G$210)</f>
        <v>25017.83684492379</v>
      </c>
      <c r="H147" s="27">
        <f>'Statistics NZ'!H$147*'Economic Forecasts'!J$9*1000000/SUM('Statistics NZ'!H$30:H$110,'Statistics NZ'!H$130:H$210)</f>
        <v>25162.176223568324</v>
      </c>
      <c r="I147" s="27">
        <f>'Statistics NZ'!I$147*'Economic Forecasts'!K$9*1000000/SUM('Statistics NZ'!I$30:I$110,'Statistics NZ'!I$130:I$210)</f>
        <v>25518.654462812494</v>
      </c>
      <c r="J147" s="27">
        <f>'Statistics NZ'!J$147*'Economic Forecasts'!L$9*1000000/SUM('Statistics NZ'!J$30:J$110,'Statistics NZ'!J$130:J$210)</f>
        <v>26242.315118427407</v>
      </c>
      <c r="K147" s="27">
        <f>'Statistics NZ'!K$147*'Economic Forecasts'!M$9*1000000/SUM('Statistics NZ'!K$30:K$110,'Statistics NZ'!K$130:K$210)</f>
        <v>27689.807809986949</v>
      </c>
      <c r="L147" s="27">
        <f>'Statistics NZ'!L$147*'Economic Forecasts'!N$9*1000000/SUM('Statistics NZ'!L$30:L$110,'Statistics NZ'!L$130:L$210)</f>
        <v>29122.215537101103</v>
      </c>
      <c r="M147" s="27">
        <f>'Statistics NZ'!M$147*'Economic Forecasts'!O$9*1000000/SUM('Statistics NZ'!M$30:M$110,'Statistics NZ'!M$130:M$210)</f>
        <v>30314.987631328466</v>
      </c>
      <c r="N147" s="27">
        <f>'Statistics NZ'!N$147*'Economic Forecasts'!P$9*1000000/SUM('Statistics NZ'!N$30:N$110,'Statistics NZ'!N$130:N$210)</f>
        <v>32348.99270132064</v>
      </c>
      <c r="O147" s="27">
        <f>'Statistics NZ'!O$147*'Economic Forecasts'!Q$9*1000000/SUM('Statistics NZ'!O$30:O$110,'Statistics NZ'!O$130:O$210)</f>
        <v>34511.304005521073</v>
      </c>
      <c r="P147" s="27">
        <f>'Statistics NZ'!P$147*'Economic Forecasts'!R$9*1000000/SUM('Statistics NZ'!P$30:P$110,'Statistics NZ'!P$130:P$210)</f>
        <v>36562.953111031537</v>
      </c>
      <c r="Q147" s="27">
        <f>'Statistics NZ'!Q$147*'Economic Forecasts'!S$9*1000000/SUM('Statistics NZ'!Q$30:Q$110,'Statistics NZ'!Q$130:Q$210)</f>
        <v>37236.119836648228</v>
      </c>
      <c r="R147" s="27">
        <f>'Statistics NZ'!R$147*'Economic Forecasts'!T$9*1000000/SUM('Statistics NZ'!R$30:R$110,'Statistics NZ'!R$130:R$210)</f>
        <v>38181.795642629571</v>
      </c>
      <c r="S147" s="27">
        <f>'Statistics NZ'!S$147*'Economic Forecasts'!U$9*1000000/SUM('Statistics NZ'!S$30:S$110,'Statistics NZ'!S$130:S$210)</f>
        <v>40428.06786536616</v>
      </c>
      <c r="T147" s="27">
        <f>'Statistics NZ'!T$147*'Economic Forecasts'!V$9*1000000/SUM('Statistics NZ'!T$30:T$110,'Statistics NZ'!T$130:T$210)</f>
        <v>41180.878455920712</v>
      </c>
      <c r="U147" s="28">
        <f>SUM('Statistics NZ'!U$147,$H$13/5*(U$8-U$9)*1000)*'Economic Forecasts'!W$9*1000000/SUM('Statistics NZ'!U$30:U$110,'Statistics NZ'!U$130:U$210,SUM($E$12:$T$13)*(U$8-U$9)*1000)</f>
        <v>39963.720287618198</v>
      </c>
      <c r="V147" s="28">
        <f>SUM('Statistics NZ'!V$147,$H$13/5*(V$8-V$9)*1000)*'Economic Forecasts'!X$9*1000000/SUM('Statistics NZ'!V$30:V$110,'Statistics NZ'!V$130:V$210,SUM($E$12:$T$13)*(V$8-V$9)*1000)</f>
        <v>38675.74316112134</v>
      </c>
      <c r="W147" s="28">
        <f>SUM('Statistics NZ'!W$147,$H$13/5*(W$8-W$9)*1000)*'Economic Forecasts'!Y$9*1000000/SUM('Statistics NZ'!W$30:W$110,'Statistics NZ'!W$130:W$210,SUM($E$12:$T$13)*(W$8-W$9)*1000)</f>
        <v>38334.397724519549</v>
      </c>
      <c r="X147" s="28">
        <f>SUM('Statistics NZ'!X$147,$H$13/5*(X$8-X$9)*1000)*'Economic Forecasts'!Z$9*1000000/SUM('Statistics NZ'!X$30:X$110,'Statistics NZ'!X$130:X$210,SUM($E$12:$T$13)*(X$8-X$9)*1000)</f>
        <v>37798.543842516061</v>
      </c>
      <c r="Y147" s="28">
        <f>SUM('Statistics NZ'!Y$147,$H$13/5*(Y$8-Y$9)*1000)*'Economic Forecasts'!AA$9*1000000/SUM('Statistics NZ'!Y$30:Y$110,'Statistics NZ'!Y$130:Y$210,SUM($E$12:$T$13)*(Y$8-Y$9)*1000)</f>
        <v>36352.214326267756</v>
      </c>
      <c r="Z147" s="28">
        <f>SUM('Statistics NZ'!Z$147,$H$13/5*(Z$8-Z$9)*1000)*'Economic Forecasts'!AB$9*1000000/SUM('Statistics NZ'!Z$30:Z$110,'Statistics NZ'!Z$130:Z$210,SUM($E$12:$T$13)*(Z$8-Z$9)*1000)</f>
        <v>36155.385870980397</v>
      </c>
      <c r="AA147" s="28">
        <f>SUM('Statistics NZ'!AA$147,$H$13/5*(AA$8-AA$9)*1000)*'Economic Forecasts'!AC$9*1000000/SUM('Statistics NZ'!AA$30:AA$110,'Statistics NZ'!AA$130:AA$210,SUM($E$12:$T$13)*(AA$8-AA$9)*1000)</f>
        <v>35481.305374559975</v>
      </c>
      <c r="AB147" s="18">
        <f>SUM(AA$147,'Statistics NZ'!AB$147-'Statistics NZ'!AA$147,$H$13/5*(AB$8-AB$9)*1000)</f>
        <v>36485.07998695899</v>
      </c>
      <c r="AC147" s="18">
        <f>SUM(AB$147,'Statistics NZ'!AC$147-'Statistics NZ'!AB$147,$H$13/5*(AC$8-AC$9)*1000)</f>
        <v>36127.596395224995</v>
      </c>
      <c r="AD147" s="18">
        <f>SUM(AC$147,'Statistics NZ'!AD$147-'Statistics NZ'!AC$147,$H$13/5*(AD$8-AD$9)*1000)</f>
        <v>35376.978232002497</v>
      </c>
      <c r="AE147" s="18">
        <f>SUM(AD$147,'Statistics NZ'!AE$147-'Statistics NZ'!AD$147,$H$13/5*(AE$8-AE$9)*1000)</f>
        <v>36086.978232002497</v>
      </c>
      <c r="AF147" s="18">
        <f>SUM(AE$147,'Statistics NZ'!AF$147-'Statistics NZ'!AE$147,$H$13/5*(AF$8-AF$9)*1000)</f>
        <v>37086.978232002497</v>
      </c>
      <c r="AG147" s="18">
        <f>SUM(AF$147,'Statistics NZ'!AG$147-'Statistics NZ'!AF$147,$H$13/5*(AG$8-AG$9)*1000)</f>
        <v>37476.978232002497</v>
      </c>
      <c r="AH147" s="18">
        <f>SUM(AG$147,'Statistics NZ'!AH$147-'Statistics NZ'!AG$147,$H$13/5*(AH$8-AH$9)*1000)</f>
        <v>38396.978232002497</v>
      </c>
      <c r="AI147" s="18">
        <f>SUM(AH$147,'Statistics NZ'!AI$147-'Statistics NZ'!AH$147,$H$13/5*(AI$8-AI$9)*1000)</f>
        <v>41196.978232002497</v>
      </c>
      <c r="AJ147" s="18">
        <f>SUM(AI$147,'Statistics NZ'!AJ$147-'Statistics NZ'!AI$147,$H$13/5*(AJ$8-AJ$9)*1000)</f>
        <v>42966.978232002497</v>
      </c>
      <c r="AK147" s="18">
        <f>SUM(AJ$147,'Statistics NZ'!AK$147-'Statistics NZ'!AJ$147,$H$13/5*(AK$8-AK$9)*1000)</f>
        <v>43166.978232002497</v>
      </c>
    </row>
    <row r="148" spans="1:37" x14ac:dyDescent="0.25">
      <c r="A148" s="12">
        <f>$A$48</f>
        <v>33</v>
      </c>
      <c r="B148" s="27">
        <f>'Statistics NZ'!B$148*'Economic Forecasts'!D$9*1000000/SUM('Statistics NZ'!B$30:B$110,'Statistics NZ'!B$130:B$210)</f>
        <v>27659.200866420731</v>
      </c>
      <c r="C148" s="27">
        <f>'Statistics NZ'!C$148*'Economic Forecasts'!E$9*1000000/SUM('Statistics NZ'!C$30:C$110,'Statistics NZ'!C$130:C$210)</f>
        <v>26867.73411431452</v>
      </c>
      <c r="D148" s="27">
        <f>'Statistics NZ'!D$148*'Economic Forecasts'!F$9*1000000/SUM('Statistics NZ'!D$30:D$110,'Statistics NZ'!D$130:D$210)</f>
        <v>25990.926925546333</v>
      </c>
      <c r="E148" s="27">
        <f>'Statistics NZ'!E$148*'Economic Forecasts'!G$9*1000000/SUM('Statistics NZ'!E$30:E$110,'Statistics NZ'!E$130:E$210)</f>
        <v>25204.04887341832</v>
      </c>
      <c r="F148" s="27">
        <f>'Statistics NZ'!F$148*'Economic Forecasts'!H$9*1000000/SUM('Statistics NZ'!F$30:F$110,'Statistics NZ'!F$130:F$210)</f>
        <v>25179.270067479833</v>
      </c>
      <c r="G148" s="27">
        <f>'Statistics NZ'!G$148*'Economic Forecasts'!I$9*1000000/SUM('Statistics NZ'!G$30:G$110,'Statistics NZ'!G$130:G$210)</f>
        <v>24585.648065506182</v>
      </c>
      <c r="H148" s="27">
        <f>'Statistics NZ'!H$148*'Economic Forecasts'!J$9*1000000/SUM('Statistics NZ'!H$30:H$110,'Statistics NZ'!H$130:H$210)</f>
        <v>24896.897520703682</v>
      </c>
      <c r="I148" s="27">
        <f>'Statistics NZ'!I$148*'Economic Forecasts'!K$9*1000000/SUM('Statistics NZ'!I$30:I$110,'Statistics NZ'!I$130:I$210)</f>
        <v>25067.690918713619</v>
      </c>
      <c r="J148" s="27">
        <f>'Statistics NZ'!J$148*'Economic Forecasts'!L$9*1000000/SUM('Statistics NZ'!J$30:J$110,'Statistics NZ'!J$130:J$210)</f>
        <v>26115.540649256262</v>
      </c>
      <c r="K148" s="27">
        <f>'Statistics NZ'!K$148*'Economic Forecasts'!M$9*1000000/SUM('Statistics NZ'!K$30:K$110,'Statistics NZ'!K$130:K$210)</f>
        <v>27134.843307466115</v>
      </c>
      <c r="L148" s="27">
        <f>'Statistics NZ'!L$148*'Economic Forecasts'!N$9*1000000/SUM('Statistics NZ'!L$30:L$110,'Statistics NZ'!L$130:L$210)</f>
        <v>28810.643856329709</v>
      </c>
      <c r="M148" s="27">
        <f>'Statistics NZ'!M$148*'Economic Forecasts'!O$9*1000000/SUM('Statistics NZ'!M$30:M$110,'Statistics NZ'!M$130:M$210)</f>
        <v>30383.374648221568</v>
      </c>
      <c r="N148" s="27">
        <f>'Statistics NZ'!N$148*'Economic Forecasts'!P$9*1000000/SUM('Statistics NZ'!N$30:N$110,'Statistics NZ'!N$130:N$210)</f>
        <v>31448.778748349832</v>
      </c>
      <c r="O148" s="27">
        <f>'Statistics NZ'!O$148*'Economic Forecasts'!Q$9*1000000/SUM('Statistics NZ'!O$30:O$110,'Statistics NZ'!O$130:O$210)</f>
        <v>33254.204713345011</v>
      </c>
      <c r="P148" s="27">
        <f>'Statistics NZ'!P$148*'Economic Forecasts'!R$9*1000000/SUM('Statistics NZ'!P$30:P$110,'Statistics NZ'!P$130:P$210)</f>
        <v>35476.052255293856</v>
      </c>
      <c r="Q148" s="27">
        <f>'Statistics NZ'!Q$148*'Economic Forecasts'!S$9*1000000/SUM('Statistics NZ'!Q$30:Q$110,'Statistics NZ'!Q$130:Q$210)</f>
        <v>36732.261489163735</v>
      </c>
      <c r="R148" s="27">
        <f>'Statistics NZ'!R$148*'Economic Forecasts'!T$9*1000000/SUM('Statistics NZ'!R$30:R$110,'Statistics NZ'!R$130:R$210)</f>
        <v>36936.414785531124</v>
      </c>
      <c r="S148" s="27">
        <f>'Statistics NZ'!S$148*'Economic Forecasts'!U$9*1000000/SUM('Statistics NZ'!S$30:S$110,'Statistics NZ'!S$130:S$210)</f>
        <v>39902.395901790485</v>
      </c>
      <c r="T148" s="27">
        <f>'Statistics NZ'!T$148*'Economic Forecasts'!V$9*1000000/SUM('Statistics NZ'!T$30:T$110,'Statistics NZ'!T$130:T$210)</f>
        <v>41691.709963484602</v>
      </c>
      <c r="U148" s="28">
        <f>SUM('Statistics NZ'!U$148,$H$13/5*(U$8-U$9)*1000)*'Economic Forecasts'!W$9*1000000/SUM('Statistics NZ'!U$30:U$110,'Statistics NZ'!U$130:U$210,SUM($E$12:$T$13)*(U$8-U$9)*1000)</f>
        <v>41321.681723276844</v>
      </c>
      <c r="V148" s="28">
        <f>SUM('Statistics NZ'!V$148,$H$13/5*(V$8-V$9)*1000)*'Economic Forecasts'!X$9*1000000/SUM('Statistics NZ'!V$30:V$110,'Statistics NZ'!V$130:V$210,SUM($E$12:$T$13)*(V$8-V$9)*1000)</f>
        <v>40274.671129016693</v>
      </c>
      <c r="W148" s="28">
        <f>SUM('Statistics NZ'!W$148,$H$13/5*(W$8-W$9)*1000)*'Economic Forecasts'!Y$9*1000000/SUM('Statistics NZ'!W$30:W$110,'Statistics NZ'!W$130:W$210,SUM($E$12:$T$13)*(W$8-W$9)*1000)</f>
        <v>39204.995054552244</v>
      </c>
      <c r="X148" s="28">
        <f>SUM('Statistics NZ'!X$148,$H$13/5*(X$8-X$9)*1000)*'Economic Forecasts'!Z$9*1000000/SUM('Statistics NZ'!X$30:X$110,'Statistics NZ'!X$130:X$210,SUM($E$12:$T$13)*(X$8-X$9)*1000)</f>
        <v>38775.533512880676</v>
      </c>
      <c r="Y148" s="28">
        <f>SUM('Statistics NZ'!Y$148,$H$13/5*(Y$8-Y$9)*1000)*'Economic Forecasts'!AA$9*1000000/SUM('Statistics NZ'!Y$30:Y$110,'Statistics NZ'!Y$130:Y$210,SUM($E$12:$T$13)*(Y$8-Y$9)*1000)</f>
        <v>38266.932509164224</v>
      </c>
      <c r="Z148" s="28">
        <f>SUM('Statistics NZ'!Z$148,$H$13/5*(Z$8-Z$9)*1000)*'Economic Forecasts'!AB$9*1000000/SUM('Statistics NZ'!Z$30:Z$110,'Statistics NZ'!Z$130:Z$210,SUM($E$12:$T$13)*(Z$8-Z$9)*1000)</f>
        <v>36819.817651369885</v>
      </c>
      <c r="AA148" s="28">
        <f>SUM('Statistics NZ'!AA$148,$H$13/5*(AA$8-AA$9)*1000)*'Economic Forecasts'!AC$9*1000000/SUM('Statistics NZ'!AA$30:AA$110,'Statistics NZ'!AA$130:AA$210,SUM($E$12:$T$13)*(AA$8-AA$9)*1000)</f>
        <v>36644.565672615034</v>
      </c>
      <c r="AB148" s="18">
        <f>SUM(AA$148,'Statistics NZ'!AB$148-'Statistics NZ'!AA$148,$H$13/5*(AB$8-AB$9)*1000)</f>
        <v>35968.340285014048</v>
      </c>
      <c r="AC148" s="18">
        <f>SUM(AB$148,'Statistics NZ'!AC$148-'Statistics NZ'!AB$148,$H$13/5*(AC$8-AC$9)*1000)</f>
        <v>36970.856693280053</v>
      </c>
      <c r="AD148" s="18">
        <f>SUM(AC$148,'Statistics NZ'!AD$148-'Statistics NZ'!AC$148,$H$13/5*(AD$8-AD$9)*1000)</f>
        <v>36600.238530057555</v>
      </c>
      <c r="AE148" s="18">
        <f>SUM(AD$148,'Statistics NZ'!AE$148-'Statistics NZ'!AD$148,$H$13/5*(AE$8-AE$9)*1000)</f>
        <v>35850.238530057555</v>
      </c>
      <c r="AF148" s="18">
        <f>SUM(AE$148,'Statistics NZ'!AF$148-'Statistics NZ'!AE$148,$H$13/5*(AF$8-AF$9)*1000)</f>
        <v>36560.238530057555</v>
      </c>
      <c r="AG148" s="18">
        <f>SUM(AF$148,'Statistics NZ'!AG$148-'Statistics NZ'!AF$148,$H$13/5*(AG$8-AG$9)*1000)</f>
        <v>37560.238530057555</v>
      </c>
      <c r="AH148" s="18">
        <f>SUM(AG$148,'Statistics NZ'!AH$148-'Statistics NZ'!AG$148,$H$13/5*(AH$8-AH$9)*1000)</f>
        <v>37950.238530057555</v>
      </c>
      <c r="AI148" s="18">
        <f>SUM(AH$148,'Statistics NZ'!AI$148-'Statistics NZ'!AH$148,$H$13/5*(AI$8-AI$9)*1000)</f>
        <v>38880.238530057555</v>
      </c>
      <c r="AJ148" s="18">
        <f>SUM(AI$148,'Statistics NZ'!AJ$148-'Statistics NZ'!AI$148,$H$13/5*(AJ$8-AJ$9)*1000)</f>
        <v>41670.238530057555</v>
      </c>
      <c r="AK148" s="18">
        <f>SUM(AJ$148,'Statistics NZ'!AK$148-'Statistics NZ'!AJ$148,$H$13/5*(AK$8-AK$9)*1000)</f>
        <v>43450.238530057555</v>
      </c>
    </row>
    <row r="149" spans="1:37" x14ac:dyDescent="0.25">
      <c r="A149" s="12">
        <f>$A$49</f>
        <v>34</v>
      </c>
      <c r="B149" s="27">
        <f>'Statistics NZ'!B$149*'Economic Forecasts'!D$9*1000000/SUM('Statistics NZ'!B$30:B$110,'Statistics NZ'!B$130:B$210)</f>
        <v>29028.952589554407</v>
      </c>
      <c r="C149" s="27">
        <f>'Statistics NZ'!C$149*'Economic Forecasts'!E$9*1000000/SUM('Statistics NZ'!C$30:C$110,'Statistics NZ'!C$130:C$210)</f>
        <v>28055.96358355138</v>
      </c>
      <c r="D149" s="27">
        <f>'Statistics NZ'!D$149*'Economic Forecasts'!F$9*1000000/SUM('Statistics NZ'!D$30:D$110,'Statistics NZ'!D$130:D$210)</f>
        <v>27091.071980595909</v>
      </c>
      <c r="E149" s="27">
        <f>'Statistics NZ'!E$149*'Economic Forecasts'!G$9*1000000/SUM('Statistics NZ'!E$30:E$110,'Statistics NZ'!E$130:E$210)</f>
        <v>26135.716049673079</v>
      </c>
      <c r="F149" s="27">
        <f>'Statistics NZ'!F$149*'Economic Forecasts'!H$9*1000000/SUM('Statistics NZ'!F$30:F$110,'Statistics NZ'!F$130:F$210)</f>
        <v>25277.358380948783</v>
      </c>
      <c r="G149" s="27">
        <f>'Statistics NZ'!G$149*'Economic Forecasts'!I$9*1000000/SUM('Statistics NZ'!G$30:G$110,'Statistics NZ'!G$130:G$210)</f>
        <v>25243.753706892083</v>
      </c>
      <c r="H149" s="27">
        <f>'Statistics NZ'!H$149*'Economic Forecasts'!J$9*1000000/SUM('Statistics NZ'!H$30:H$110,'Statistics NZ'!H$130:H$210)</f>
        <v>24543.192583550826</v>
      </c>
      <c r="I149" s="27">
        <f>'Statistics NZ'!I$149*'Economic Forecasts'!K$9*1000000/SUM('Statistics NZ'!I$30:I$110,'Statistics NZ'!I$130:I$210)</f>
        <v>24822.602036051183</v>
      </c>
      <c r="J149" s="27">
        <f>'Statistics NZ'!J$149*'Economic Forecasts'!L$9*1000000/SUM('Statistics NZ'!J$30:J$110,'Statistics NZ'!J$130:J$210)</f>
        <v>25637.698419303477</v>
      </c>
      <c r="K149" s="27">
        <f>'Statistics NZ'!K$149*'Economic Forecasts'!M$9*1000000/SUM('Statistics NZ'!K$30:K$110,'Statistics NZ'!K$130:K$210)</f>
        <v>26969.327578644112</v>
      </c>
      <c r="L149" s="27">
        <f>'Statistics NZ'!L$149*'Economic Forecasts'!N$9*1000000/SUM('Statistics NZ'!L$30:L$110,'Statistics NZ'!L$130:L$210)</f>
        <v>28197.237109811031</v>
      </c>
      <c r="M149" s="27">
        <f>'Statistics NZ'!M$149*'Economic Forecasts'!O$9*1000000/SUM('Statistics NZ'!M$30:M$110,'Statistics NZ'!M$130:M$210)</f>
        <v>30012.130842230436</v>
      </c>
      <c r="N149" s="27">
        <f>'Statistics NZ'!N$149*'Economic Forecasts'!P$9*1000000/SUM('Statistics NZ'!N$30:N$110,'Statistics NZ'!N$130:N$210)</f>
        <v>31497.703419706941</v>
      </c>
      <c r="O149" s="27">
        <f>'Statistics NZ'!O$149*'Economic Forecasts'!Q$9*1000000/SUM('Statistics NZ'!O$30:O$110,'Statistics NZ'!O$130:O$210)</f>
        <v>32340.843508873335</v>
      </c>
      <c r="P149" s="27">
        <f>'Statistics NZ'!P$149*'Economic Forecasts'!R$9*1000000/SUM('Statistics NZ'!P$30:P$110,'Statistics NZ'!P$130:P$210)</f>
        <v>34056.226813114001</v>
      </c>
      <c r="Q149" s="27">
        <f>'Statistics NZ'!Q$149*'Economic Forecasts'!S$9*1000000/SUM('Statistics NZ'!Q$30:Q$110,'Statistics NZ'!Q$130:Q$210)</f>
        <v>35714.665218753871</v>
      </c>
      <c r="R149" s="27">
        <f>'Statistics NZ'!R$149*'Economic Forecasts'!T$9*1000000/SUM('Statistics NZ'!R$30:R$110,'Statistics NZ'!R$130:R$210)</f>
        <v>36590.475658559335</v>
      </c>
      <c r="S149" s="27">
        <f>'Statistics NZ'!S$149*'Economic Forecasts'!U$9*1000000/SUM('Statistics NZ'!S$30:S$110,'Statistics NZ'!S$130:S$210)</f>
        <v>38743.970648725568</v>
      </c>
      <c r="T149" s="27">
        <f>'Statistics NZ'!T$149*'Economic Forecasts'!V$9*1000000/SUM('Statistics NZ'!T$30:T$110,'Statistics NZ'!T$130:T$210)</f>
        <v>41387.175795513816</v>
      </c>
      <c r="U149" s="28">
        <f>SUM('Statistics NZ'!U$149,$H$13/5*(U$8-U$9)*1000)*'Economic Forecasts'!W$9*1000000/SUM('Statistics NZ'!U$30:U$110,'Statistics NZ'!U$130:U$210,SUM($E$12:$T$13)*(U$8-U$9)*1000)</f>
        <v>41833.377336713442</v>
      </c>
      <c r="V149" s="28">
        <f>SUM('Statistics NZ'!V$149,$H$13/5*(V$8-V$9)*1000)*'Economic Forecasts'!X$9*1000000/SUM('Statistics NZ'!V$30:V$110,'Statistics NZ'!V$130:V$210,SUM($E$12:$T$13)*(V$8-V$9)*1000)</f>
        <v>41618.555371971677</v>
      </c>
      <c r="W149" s="28">
        <f>SUM('Statistics NZ'!W$149,$H$13/5*(W$8-W$9)*1000)*'Economic Forecasts'!Y$9*1000000/SUM('Statistics NZ'!W$30:W$110,'Statistics NZ'!W$130:W$210,SUM($E$12:$T$13)*(W$8-W$9)*1000)</f>
        <v>40789.677835061186</v>
      </c>
      <c r="X149" s="28">
        <f>SUM('Statistics NZ'!X$149,$H$13/5*(X$8-X$9)*1000)*'Economic Forecasts'!Z$9*1000000/SUM('Statistics NZ'!X$30:X$110,'Statistics NZ'!X$130:X$210,SUM($E$12:$T$13)*(X$8-X$9)*1000)</f>
        <v>39645.05431950518</v>
      </c>
      <c r="Y149" s="28">
        <f>SUM('Statistics NZ'!Y$149,$H$13/5*(Y$8-Y$9)*1000)*'Economic Forecasts'!AA$9*1000000/SUM('Statistics NZ'!Y$30:Y$110,'Statistics NZ'!Y$130:Y$210,SUM($E$12:$T$13)*(Y$8-Y$9)*1000)</f>
        <v>39243.829541254257</v>
      </c>
      <c r="Z149" s="28">
        <f>SUM('Statistics NZ'!Z$149,$H$13/5*(Z$8-Z$9)*1000)*'Economic Forecasts'!AB$9*1000000/SUM('Statistics NZ'!Z$30:Z$110,'Statistics NZ'!Z$130:Z$210,SUM($E$12:$T$13)*(Z$8-Z$9)*1000)</f>
        <v>38734.944547786639</v>
      </c>
      <c r="AA149" s="28">
        <f>SUM('Statistics NZ'!AA$149,$H$13/5*(AA$8-AA$9)*1000)*'Economic Forecasts'!AC$9*1000000/SUM('Statistics NZ'!AA$30:AA$110,'Statistics NZ'!AA$130:AA$210,SUM($E$12:$T$13)*(AA$8-AA$9)*1000)</f>
        <v>37299.510546309903</v>
      </c>
      <c r="AB149" s="18">
        <f>SUM(AA$149,'Statistics NZ'!AB$149-'Statistics NZ'!AA$149,$H$13/5*(AB$8-AB$9)*1000)</f>
        <v>37143.285158708917</v>
      </c>
      <c r="AC149" s="18">
        <f>SUM(AB$149,'Statistics NZ'!AC$149-'Statistics NZ'!AB$149,$H$13/5*(AC$8-AC$9)*1000)</f>
        <v>36465.801566974922</v>
      </c>
      <c r="AD149" s="18">
        <f>SUM(AC$149,'Statistics NZ'!AD$149-'Statistics NZ'!AC$149,$H$13/5*(AD$8-AD$9)*1000)</f>
        <v>37455.183403752424</v>
      </c>
      <c r="AE149" s="18">
        <f>SUM(AD$149,'Statistics NZ'!AE$149-'Statistics NZ'!AD$149,$H$13/5*(AE$8-AE$9)*1000)</f>
        <v>37075.183403752424</v>
      </c>
      <c r="AF149" s="18">
        <f>SUM(AE$149,'Statistics NZ'!AF$149-'Statistics NZ'!AE$149,$H$13/5*(AF$8-AF$9)*1000)</f>
        <v>36325.183403752424</v>
      </c>
      <c r="AG149" s="18">
        <f>SUM(AF$149,'Statistics NZ'!AG$149-'Statistics NZ'!AF$149,$H$13/5*(AG$8-AG$9)*1000)</f>
        <v>37045.183403752424</v>
      </c>
      <c r="AH149" s="18">
        <f>SUM(AG$149,'Statistics NZ'!AH$149-'Statistics NZ'!AG$149,$H$13/5*(AH$8-AH$9)*1000)</f>
        <v>38055.183403752424</v>
      </c>
      <c r="AI149" s="18">
        <f>SUM(AH$149,'Statistics NZ'!AI$149-'Statistics NZ'!AH$149,$H$13/5*(AI$8-AI$9)*1000)</f>
        <v>38445.183403752424</v>
      </c>
      <c r="AJ149" s="18">
        <f>SUM(AI$149,'Statistics NZ'!AJ$149-'Statistics NZ'!AI$149,$H$13/5*(AJ$8-AJ$9)*1000)</f>
        <v>39365.183403752424</v>
      </c>
      <c r="AK149" s="18">
        <f>SUM(AJ$149,'Statistics NZ'!AK$149-'Statistics NZ'!AJ$149,$H$13/5*(AK$8-AK$9)*1000)</f>
        <v>42165.183403752424</v>
      </c>
    </row>
    <row r="150" spans="1:37" x14ac:dyDescent="0.25">
      <c r="A150" s="12">
        <f>$A$50</f>
        <v>35</v>
      </c>
      <c r="B150" s="27">
        <f>'Statistics NZ'!B$150*'Economic Forecasts'!D$9*1000000/SUM('Statistics NZ'!B$30:B$110,'Statistics NZ'!B$130:B$210)</f>
        <v>29488.797810892145</v>
      </c>
      <c r="C150" s="27">
        <f>'Statistics NZ'!C$150*'Economic Forecasts'!E$9*1000000/SUM('Statistics NZ'!C$30:C$110,'Statistics NZ'!C$130:C$210)</f>
        <v>29371.854070144269</v>
      </c>
      <c r="D150" s="27">
        <f>'Statistics NZ'!D$150*'Economic Forecasts'!F$9*1000000/SUM('Statistics NZ'!D$30:D$110,'Statistics NZ'!D$130:D$210)</f>
        <v>28132.280693410692</v>
      </c>
      <c r="E150" s="27">
        <f>'Statistics NZ'!E$150*'Economic Forecasts'!G$9*1000000/SUM('Statistics NZ'!E$30:E$110,'Statistics NZ'!E$130:E$210)</f>
        <v>27214.488569547018</v>
      </c>
      <c r="F150" s="27">
        <f>'Statistics NZ'!F$150*'Economic Forecasts'!H$9*1000000/SUM('Statistics NZ'!F$30:F$110,'Statistics NZ'!F$130:F$210)</f>
        <v>26268.050346985194</v>
      </c>
      <c r="G150" s="27">
        <f>'Statistics NZ'!G$150*'Economic Forecasts'!I$9*1000000/SUM('Statistics NZ'!G$30:G$110,'Statistics NZ'!G$130:G$210)</f>
        <v>25273.221123670559</v>
      </c>
      <c r="H150" s="27">
        <f>'Statistics NZ'!H$150*'Economic Forecasts'!J$9*1000000/SUM('Statistics NZ'!H$30:H$110,'Statistics NZ'!H$130:H$210)</f>
        <v>25221.127046427133</v>
      </c>
      <c r="I150" s="27">
        <f>'Statistics NZ'!I$150*'Economic Forecasts'!K$9*1000000/SUM('Statistics NZ'!I$30:I$110,'Statistics NZ'!I$130:I$210)</f>
        <v>24479.477600323775</v>
      </c>
      <c r="J150" s="27">
        <f>'Statistics NZ'!J$150*'Economic Forecasts'!L$9*1000000/SUM('Statistics NZ'!J$30:J$110,'Statistics NZ'!J$130:J$210)</f>
        <v>25335.390069741508</v>
      </c>
      <c r="K150" s="27">
        <f>'Statistics NZ'!K$150*'Economic Forecasts'!M$9*1000000/SUM('Statistics NZ'!K$30:K$110,'Statistics NZ'!K$130:K$210)</f>
        <v>26472.780392178098</v>
      </c>
      <c r="L150" s="27">
        <f>'Statistics NZ'!L$150*'Economic Forecasts'!N$9*1000000/SUM('Statistics NZ'!L$30:L$110,'Statistics NZ'!L$130:L$210)</f>
        <v>27924.61188913606</v>
      </c>
      <c r="M150" s="27">
        <f>'Statistics NZ'!M$150*'Economic Forecasts'!O$9*1000000/SUM('Statistics NZ'!M$30:M$110,'Statistics NZ'!M$130:M$210)</f>
        <v>29347.799820983149</v>
      </c>
      <c r="N150" s="27">
        <f>'Statistics NZ'!N$150*'Economic Forecasts'!P$9*1000000/SUM('Statistics NZ'!N$30:N$110,'Statistics NZ'!N$130:N$210)</f>
        <v>31028.02657467869</v>
      </c>
      <c r="O150" s="27">
        <f>'Statistics NZ'!O$150*'Economic Forecasts'!Q$9*1000000/SUM('Statistics NZ'!O$30:O$110,'Statistics NZ'!O$130:O$210)</f>
        <v>32370.306773533714</v>
      </c>
      <c r="P150" s="27">
        <f>'Statistics NZ'!P$150*'Economic Forecasts'!R$9*1000000/SUM('Statistics NZ'!P$30:P$110,'Statistics NZ'!P$130:P$210)</f>
        <v>33351.210041824699</v>
      </c>
      <c r="Q150" s="27">
        <f>'Statistics NZ'!Q$150*'Economic Forecasts'!S$9*1000000/SUM('Statistics NZ'!Q$30:Q$110,'Statistics NZ'!Q$130:Q$210)</f>
        <v>34440.199986881329</v>
      </c>
      <c r="R150" s="27">
        <f>'Statistics NZ'!R$150*'Economic Forecasts'!T$9*1000000/SUM('Statistics NZ'!R$30:R$110,'Statistics NZ'!R$130:R$210)</f>
        <v>35710.801878545339</v>
      </c>
      <c r="S150" s="27">
        <f>'Statistics NZ'!S$150*'Economic Forecasts'!U$9*1000000/SUM('Statistics NZ'!S$30:S$110,'Statistics NZ'!S$130:S$210)</f>
        <v>38276.706681102747</v>
      </c>
      <c r="T150" s="27">
        <f>'Statistics NZ'!T$150*'Economic Forecasts'!V$9*1000000/SUM('Statistics NZ'!T$30:T$110,'Statistics NZ'!T$130:T$210)</f>
        <v>40110.097026604068</v>
      </c>
      <c r="U150" s="28">
        <f>SUM('Statistics NZ'!U$150,$I$13/5*(U$8-U$9)*1000)*'Economic Forecasts'!W$9*1000000/SUM('Statistics NZ'!U$30:U$110,'Statistics NZ'!U$130:U$210,SUM($E$12:$T$13)*(U$8-U$9)*1000)</f>
        <v>41594.770834732393</v>
      </c>
      <c r="V150" s="28">
        <f>SUM('Statistics NZ'!V$150,$I$13/5*(V$8-V$9)*1000)*'Economic Forecasts'!X$9*1000000/SUM('Statistics NZ'!V$30:V$110,'Statistics NZ'!V$130:V$210,SUM($E$12:$T$13)*(V$8-V$9)*1000)</f>
        <v>42193.945537792279</v>
      </c>
      <c r="W150" s="28">
        <f>SUM('Statistics NZ'!W$150,$I$13/5*(W$8-W$9)*1000)*'Economic Forecasts'!Y$9*1000000/SUM('Statistics NZ'!W$30:W$110,'Statistics NZ'!W$130:W$210,SUM($E$12:$T$13)*(W$8-W$9)*1000)</f>
        <v>42152.052455140758</v>
      </c>
      <c r="X150" s="28">
        <f>SUM('Statistics NZ'!X$150,$I$13/5*(X$8-X$9)*1000)*'Economic Forecasts'!Z$9*1000000/SUM('Statistics NZ'!X$30:X$110,'Statistics NZ'!X$130:X$210,SUM($E$12:$T$13)*(X$8-X$9)*1000)</f>
        <v>41235.728505473831</v>
      </c>
      <c r="Y150" s="28">
        <f>SUM('Statistics NZ'!Y$150,$I$13/5*(Y$8-Y$9)*1000)*'Economic Forecasts'!AA$9*1000000/SUM('Statistics NZ'!Y$30:Y$110,'Statistics NZ'!Y$130:Y$210,SUM($E$12:$T$13)*(Y$8-Y$9)*1000)</f>
        <v>40108.329310102876</v>
      </c>
      <c r="Z150" s="28">
        <f>SUM('Statistics NZ'!Z$150,$I$13/5*(Z$8-Z$9)*1000)*'Economic Forecasts'!AB$9*1000000/SUM('Statistics NZ'!Z$30:Z$110,'Statistics NZ'!Z$130:Z$210,SUM($E$12:$T$13)*(Z$8-Z$9)*1000)</f>
        <v>39709.339357148107</v>
      </c>
      <c r="AA150" s="28">
        <f>SUM('Statistics NZ'!AA$150,$I$13/5*(AA$8-AA$9)*1000)*'Economic Forecasts'!AC$9*1000000/SUM('Statistics NZ'!AA$30:AA$110,'Statistics NZ'!AA$130:AA$210,SUM($E$12:$T$13)*(AA$8-AA$9)*1000)</f>
        <v>39214.094674449065</v>
      </c>
      <c r="AB150" s="18">
        <f>SUM(AA$150,'Statistics NZ'!AB$150-'Statistics NZ'!AA$150,$I$13/5*(AB$8-AB$9)*1000)</f>
        <v>37769.657259163789</v>
      </c>
      <c r="AC150" s="18">
        <f>SUM(AB$150,'Statistics NZ'!AC$150-'Statistics NZ'!AB$150,$I$13/5*(AC$8-AC$9)*1000)</f>
        <v>37596.698982306938</v>
      </c>
      <c r="AD150" s="18">
        <f>SUM(AC$150,'Statistics NZ'!AD$150-'Statistics NZ'!AC$150,$I$13/5*(AD$8-AD$9)*1000)</f>
        <v>36913.799700283249</v>
      </c>
      <c r="AE150" s="18">
        <f>SUM(AD$150,'Statistics NZ'!AE$150-'Statistics NZ'!AD$150,$I$13/5*(AE$8-AE$9)*1000)</f>
        <v>37893.799700283249</v>
      </c>
      <c r="AF150" s="18">
        <f>SUM(AE$150,'Statistics NZ'!AF$150-'Statistics NZ'!AE$150,$I$13/5*(AF$8-AF$9)*1000)</f>
        <v>37513.799700283249</v>
      </c>
      <c r="AG150" s="18">
        <f>SUM(AF$150,'Statistics NZ'!AG$150-'Statistics NZ'!AF$150,$I$13/5*(AG$8-AG$9)*1000)</f>
        <v>36773.799700283249</v>
      </c>
      <c r="AH150" s="18">
        <f>SUM(AG$150,'Statistics NZ'!AH$150-'Statistics NZ'!AG$150,$I$13/5*(AH$8-AH$9)*1000)</f>
        <v>37493.799700283249</v>
      </c>
      <c r="AI150" s="18">
        <f>SUM(AH$150,'Statistics NZ'!AI$150-'Statistics NZ'!AH$150,$I$13/5*(AI$8-AI$9)*1000)</f>
        <v>38503.799700283249</v>
      </c>
      <c r="AJ150" s="18">
        <f>SUM(AI$150,'Statistics NZ'!AJ$150-'Statistics NZ'!AI$150,$I$13/5*(AJ$8-AJ$9)*1000)</f>
        <v>38893.799700283249</v>
      </c>
      <c r="AK150" s="18">
        <f>SUM(AJ$150,'Statistics NZ'!AK$150-'Statistics NZ'!AJ$150,$I$13/5*(AK$8-AK$9)*1000)</f>
        <v>39823.799700283249</v>
      </c>
    </row>
    <row r="151" spans="1:37" x14ac:dyDescent="0.25">
      <c r="A151" s="12">
        <f>$A$51</f>
        <v>36</v>
      </c>
      <c r="B151" s="27">
        <f>'Statistics NZ'!B$151*'Economic Forecasts'!D$9*1000000/SUM('Statistics NZ'!B$30:B$110,'Statistics NZ'!B$130:B$210)</f>
        <v>29038.73653043394</v>
      </c>
      <c r="C151" s="27">
        <f>'Statistics NZ'!C$151*'Economic Forecasts'!E$9*1000000/SUM('Statistics NZ'!C$30:C$110,'Statistics NZ'!C$130:C$210)</f>
        <v>29774.47727872866</v>
      </c>
      <c r="D151" s="27">
        <f>'Statistics NZ'!D$151*'Economic Forecasts'!F$9*1000000/SUM('Statistics NZ'!D$30:D$110,'Statistics NZ'!D$130:D$210)</f>
        <v>29536.930183340068</v>
      </c>
      <c r="E151" s="27">
        <f>'Statistics NZ'!E$151*'Economic Forecasts'!G$9*1000000/SUM('Statistics NZ'!E$30:E$110,'Statistics NZ'!E$130:E$210)</f>
        <v>28234.418951973286</v>
      </c>
      <c r="F151" s="27">
        <f>'Statistics NZ'!F$151*'Economic Forecasts'!H$9*1000000/SUM('Statistics NZ'!F$30:F$110,'Statistics NZ'!F$130:F$210)</f>
        <v>27356.830626490555</v>
      </c>
      <c r="G151" s="27">
        <f>'Statistics NZ'!G$151*'Economic Forecasts'!I$9*1000000/SUM('Statistics NZ'!G$30:G$110,'Statistics NZ'!G$130:G$210)</f>
        <v>26324.225655436105</v>
      </c>
      <c r="H151" s="27">
        <f>'Statistics NZ'!H$151*'Economic Forecasts'!J$9*1000000/SUM('Statistics NZ'!H$30:H$110,'Statistics NZ'!H$130:H$210)</f>
        <v>25260.427594999666</v>
      </c>
      <c r="I151" s="27">
        <f>'Statistics NZ'!I$151*'Economic Forecasts'!K$9*1000000/SUM('Statistics NZ'!I$30:I$110,'Statistics NZ'!I$130:I$210)</f>
        <v>25234.351358924068</v>
      </c>
      <c r="J151" s="27">
        <f>'Statistics NZ'!J$151*'Economic Forecasts'!L$9*1000000/SUM('Statistics NZ'!J$30:J$110,'Statistics NZ'!J$130:J$210)</f>
        <v>24935.562897740198</v>
      </c>
      <c r="K151" s="27">
        <f>'Statistics NZ'!K$151*'Economic Forecasts'!M$9*1000000/SUM('Statistics NZ'!K$30:K$110,'Statistics NZ'!K$130:K$210)</f>
        <v>26122.27649584915</v>
      </c>
      <c r="L151" s="27">
        <f>'Statistics NZ'!L$151*'Economic Forecasts'!N$9*1000000/SUM('Statistics NZ'!L$30:L$110,'Statistics NZ'!L$130:L$210)</f>
        <v>27359.888217737913</v>
      </c>
      <c r="M151" s="27">
        <f>'Statistics NZ'!M$151*'Economic Forecasts'!O$9*1000000/SUM('Statistics NZ'!M$30:M$110,'Statistics NZ'!M$130:M$210)</f>
        <v>28986.32558883389</v>
      </c>
      <c r="N151" s="27">
        <f>'Statistics NZ'!N$151*'Economic Forecasts'!P$9*1000000/SUM('Statistics NZ'!N$30:N$110,'Statistics NZ'!N$130:N$210)</f>
        <v>30421.360649850536</v>
      </c>
      <c r="O151" s="27">
        <f>'Statistics NZ'!O$151*'Economic Forecasts'!Q$9*1000000/SUM('Statistics NZ'!O$30:O$110,'Statistics NZ'!O$130:O$210)</f>
        <v>31967.642156508566</v>
      </c>
      <c r="P151" s="27">
        <f>'Statistics NZ'!P$151*'Economic Forecasts'!R$9*1000000/SUM('Statistics NZ'!P$30:P$110,'Statistics NZ'!P$130:P$210)</f>
        <v>33204.33154780609</v>
      </c>
      <c r="Q151" s="27">
        <f>'Statistics NZ'!Q$151*'Economic Forecasts'!S$9*1000000/SUM('Statistics NZ'!Q$30:Q$110,'Statistics NZ'!Q$130:Q$210)</f>
        <v>33630.074800729788</v>
      </c>
      <c r="R151" s="27">
        <f>'Statistics NZ'!R$151*'Economic Forecasts'!T$9*1000000/SUM('Statistics NZ'!R$30:R$110,'Statistics NZ'!R$130:R$210)</f>
        <v>34445.653071334222</v>
      </c>
      <c r="S151" s="27">
        <f>'Statistics NZ'!S$151*'Economic Forecasts'!U$9*1000000/SUM('Statistics NZ'!S$30:S$110,'Statistics NZ'!S$130:S$210)</f>
        <v>37468.729403754958</v>
      </c>
      <c r="T151" s="27">
        <f>'Statistics NZ'!T$151*'Economic Forecasts'!V$9*1000000/SUM('Statistics NZ'!T$30:T$110,'Statistics NZ'!T$130:T$210)</f>
        <v>39785.915492957742</v>
      </c>
      <c r="U151" s="28">
        <f>SUM('Statistics NZ'!U$151,$I$13/5*(U$8-U$9)*1000)*'Economic Forecasts'!W$9*1000000/SUM('Statistics NZ'!U$30:U$110,'Statistics NZ'!U$130:U$210,SUM($E$12:$T$13)*(U$8-U$9)*1000)</f>
        <v>40315.531801140918</v>
      </c>
      <c r="V151" s="28">
        <f>SUM('Statistics NZ'!V$151,$I$13/5*(V$8-V$9)*1000)*'Economic Forecasts'!X$9*1000000/SUM('Statistics NZ'!V$30:V$110,'Statistics NZ'!V$130:V$210,SUM($E$12:$T$13)*(V$8-V$9)*1000)</f>
        <v>41889.854942671089</v>
      </c>
      <c r="W151" s="28">
        <f>SUM('Statistics NZ'!W$151,$I$13/5*(W$8-W$9)*1000)*'Economic Forecasts'!Y$9*1000000/SUM('Statistics NZ'!W$30:W$110,'Statistics NZ'!W$130:W$210,SUM($E$12:$T$13)*(W$8-W$9)*1000)</f>
        <v>42670.498056171455</v>
      </c>
      <c r="X151" s="28">
        <f>SUM('Statistics NZ'!X$151,$I$13/5*(X$8-X$9)*1000)*'Economic Forecasts'!Z$9*1000000/SUM('Statistics NZ'!X$30:X$110,'Statistics NZ'!X$130:X$210,SUM($E$12:$T$13)*(X$8-X$9)*1000)</f>
        <v>42583.97425057699</v>
      </c>
      <c r="Y151" s="28">
        <f>SUM('Statistics NZ'!Y$151,$I$13/5*(Y$8-Y$9)*1000)*'Economic Forecasts'!AA$9*1000000/SUM('Statistics NZ'!Y$30:Y$110,'Statistics NZ'!Y$130:Y$210,SUM($E$12:$T$13)*(Y$8-Y$9)*1000)</f>
        <v>41710.440442730527</v>
      </c>
      <c r="Z151" s="28">
        <f>SUM('Statistics NZ'!Z$151,$I$13/5*(Z$8-Z$9)*1000)*'Economic Forecasts'!AB$9*1000000/SUM('Statistics NZ'!Z$30:Z$110,'Statistics NZ'!Z$130:Z$210,SUM($E$12:$T$13)*(Z$8-Z$9)*1000)</f>
        <v>40588.73436060478</v>
      </c>
      <c r="AA151" s="28">
        <f>SUM('Statistics NZ'!AA$151,$I$13/5*(AA$8-AA$9)*1000)*'Economic Forecasts'!AC$9*1000000/SUM('Statistics NZ'!AA$30:AA$110,'Statistics NZ'!AA$130:AA$210,SUM($E$12:$T$13)*(AA$8-AA$9)*1000)</f>
        <v>40201.399633302513</v>
      </c>
      <c r="AB151" s="18">
        <f>SUM(AA$151,'Statistics NZ'!AB$151-'Statistics NZ'!AA$151,$I$13/5*(AB$8-AB$9)*1000)</f>
        <v>39706.962218017237</v>
      </c>
      <c r="AC151" s="18">
        <f>SUM(AB$151,'Statistics NZ'!AC$151-'Statistics NZ'!AB$151,$I$13/5*(AC$8-AC$9)*1000)</f>
        <v>38264.003941160387</v>
      </c>
      <c r="AD151" s="18">
        <f>SUM(AC$151,'Statistics NZ'!AD$151-'Statistics NZ'!AC$151,$I$13/5*(AD$8-AD$9)*1000)</f>
        <v>38091.104659136698</v>
      </c>
      <c r="AE151" s="18">
        <f>SUM(AD$151,'Statistics NZ'!AE$151-'Statistics NZ'!AD$151,$I$13/5*(AE$8-AE$9)*1000)</f>
        <v>37401.104659136698</v>
      </c>
      <c r="AF151" s="18">
        <f>SUM(AE$151,'Statistics NZ'!AF$151-'Statistics NZ'!AE$151,$I$13/5*(AF$8-AF$9)*1000)</f>
        <v>38381.104659136698</v>
      </c>
      <c r="AG151" s="18">
        <f>SUM(AF$151,'Statistics NZ'!AG$151-'Statistics NZ'!AF$151,$I$13/5*(AG$8-AG$9)*1000)</f>
        <v>38011.104659136698</v>
      </c>
      <c r="AH151" s="18">
        <f>SUM(AG$151,'Statistics NZ'!AH$151-'Statistics NZ'!AG$151,$I$13/5*(AH$8-AH$9)*1000)</f>
        <v>37271.104659136698</v>
      </c>
      <c r="AI151" s="18">
        <f>SUM(AH$151,'Statistics NZ'!AI$151-'Statistics NZ'!AH$151,$I$13/5*(AI$8-AI$9)*1000)</f>
        <v>37991.104659136698</v>
      </c>
      <c r="AJ151" s="18">
        <f>SUM(AI$151,'Statistics NZ'!AJ$151-'Statistics NZ'!AI$151,$I$13/5*(AJ$8-AJ$9)*1000)</f>
        <v>39001.104659136698</v>
      </c>
      <c r="AK151" s="18">
        <f>SUM(AJ$151,'Statistics NZ'!AK$151-'Statistics NZ'!AJ$151,$I$13/5*(AK$8-AK$9)*1000)</f>
        <v>39401.104659136698</v>
      </c>
    </row>
    <row r="152" spans="1:37" x14ac:dyDescent="0.25">
      <c r="A152" s="12">
        <f>$A$52</f>
        <v>37</v>
      </c>
      <c r="B152" s="27">
        <f>'Statistics NZ'!B$152*'Economic Forecasts'!D$9*1000000/SUM('Statistics NZ'!B$30:B$110,'Statistics NZ'!B$130:B$210)</f>
        <v>29390.958402096883</v>
      </c>
      <c r="C152" s="27">
        <f>'Statistics NZ'!C$152*'Economic Forecasts'!E$9*1000000/SUM('Statistics NZ'!C$30:C$110,'Statistics NZ'!C$130:C$210)</f>
        <v>29322.753678853493</v>
      </c>
      <c r="D152" s="27">
        <f>'Statistics NZ'!D$152*'Economic Forecasts'!F$9*1000000/SUM('Statistics NZ'!D$30:D$110,'Statistics NZ'!D$130:D$210)</f>
        <v>29939.661855277864</v>
      </c>
      <c r="E152" s="27">
        <f>'Statistics NZ'!E$152*'Economic Forecasts'!G$9*1000000/SUM('Statistics NZ'!E$30:E$110,'Statistics NZ'!E$130:E$210)</f>
        <v>29617.209181993509</v>
      </c>
      <c r="F152" s="27">
        <f>'Statistics NZ'!F$152*'Economic Forecasts'!H$9*1000000/SUM('Statistics NZ'!F$30:F$110,'Statistics NZ'!F$130:F$210)</f>
        <v>28367.140255220755</v>
      </c>
      <c r="G152" s="27">
        <f>'Statistics NZ'!G$152*'Economic Forecasts'!I$9*1000000/SUM('Statistics NZ'!G$30:G$110,'Statistics NZ'!G$130:G$210)</f>
        <v>27463.632437537068</v>
      </c>
      <c r="H152" s="27">
        <f>'Statistics NZ'!H$152*'Economic Forecasts'!J$9*1000000/SUM('Statistics NZ'!H$30:H$110,'Statistics NZ'!H$130:H$210)</f>
        <v>26301.892132171961</v>
      </c>
      <c r="I152" s="27">
        <f>'Statistics NZ'!I$152*'Economic Forecasts'!K$9*1000000/SUM('Statistics NZ'!I$30:I$110,'Statistics NZ'!I$130:I$210)</f>
        <v>25322.583356682549</v>
      </c>
      <c r="J152" s="27">
        <f>'Statistics NZ'!J$152*'Economic Forecasts'!L$9*1000000/SUM('Statistics NZ'!J$30:J$110,'Statistics NZ'!J$130:J$210)</f>
        <v>25579.187125839868</v>
      </c>
      <c r="K152" s="27">
        <f>'Statistics NZ'!K$152*'Economic Forecasts'!M$9*1000000/SUM('Statistics NZ'!K$30:K$110,'Statistics NZ'!K$130:K$210)</f>
        <v>25586.784432013257</v>
      </c>
      <c r="L152" s="27">
        <f>'Statistics NZ'!L$152*'Economic Forecasts'!N$9*1000000/SUM('Statistics NZ'!L$30:L$110,'Statistics NZ'!L$130:L$210)</f>
        <v>26989.896846821885</v>
      </c>
      <c r="M152" s="27">
        <f>'Statistics NZ'!M$152*'Economic Forecasts'!O$9*1000000/SUM('Statistics NZ'!M$30:M$110,'Statistics NZ'!M$130:M$210)</f>
        <v>28468.538175214679</v>
      </c>
      <c r="N152" s="27">
        <f>'Statistics NZ'!N$152*'Economic Forecasts'!P$9*1000000/SUM('Statistics NZ'!N$30:N$110,'Statistics NZ'!N$130:N$210)</f>
        <v>29941.898870550867</v>
      </c>
      <c r="O152" s="27">
        <f>'Statistics NZ'!O$152*'Economic Forecasts'!Q$9*1000000/SUM('Statistics NZ'!O$30:O$110,'Statistics NZ'!O$130:O$210)</f>
        <v>31329.271422200407</v>
      </c>
      <c r="P152" s="27">
        <f>'Statistics NZ'!P$152*'Economic Forecasts'!R$9*1000000/SUM('Statistics NZ'!P$30:P$110,'Statistics NZ'!P$130:P$210)</f>
        <v>32822.447463357719</v>
      </c>
      <c r="Q152" s="27">
        <f>'Statistics NZ'!Q$152*'Economic Forecasts'!S$9*1000000/SUM('Statistics NZ'!Q$30:Q$110,'Statistics NZ'!Q$130:Q$210)</f>
        <v>33521.399470880191</v>
      </c>
      <c r="R152" s="27">
        <f>'Statistics NZ'!R$152*'Economic Forecasts'!T$9*1000000/SUM('Statistics NZ'!R$30:R$110,'Statistics NZ'!R$130:R$210)</f>
        <v>33615.399166601921</v>
      </c>
      <c r="S152" s="27">
        <f>'Statistics NZ'!S$152*'Economic Forecasts'!U$9*1000000/SUM('Statistics NZ'!S$30:S$110,'Statistics NZ'!S$130:S$210)</f>
        <v>36037.733502910072</v>
      </c>
      <c r="T152" s="27">
        <f>'Statistics NZ'!T$152*'Economic Forecasts'!V$9*1000000/SUM('Statistics NZ'!T$30:T$110,'Statistics NZ'!T$130:T$210)</f>
        <v>38980.373500260823</v>
      </c>
      <c r="U152" s="28">
        <f>SUM('Statistics NZ'!U$152,$I$13/5*(U$8-U$9)*1000)*'Economic Forecasts'!W$9*1000000/SUM('Statistics NZ'!U$30:U$110,'Statistics NZ'!U$130:U$210,SUM($E$12:$T$13)*(U$8-U$9)*1000)</f>
        <v>39971.12129209705</v>
      </c>
      <c r="V152" s="28">
        <f>SUM('Statistics NZ'!V$152,$I$13/5*(V$8-V$9)*1000)*'Economic Forecasts'!X$9*1000000/SUM('Statistics NZ'!V$30:V$110,'Statistics NZ'!V$130:V$210,SUM($E$12:$T$13)*(V$8-V$9)*1000)</f>
        <v>40595.017569896932</v>
      </c>
      <c r="W152" s="28">
        <f>SUM('Statistics NZ'!W$152,$I$13/5*(W$8-W$9)*1000)*'Economic Forecasts'!Y$9*1000000/SUM('Statistics NZ'!W$30:W$110,'Statistics NZ'!W$130:W$210,SUM($E$12:$T$13)*(W$8-W$9)*1000)</f>
        <v>42337.910312114022</v>
      </c>
      <c r="X152" s="28">
        <f>SUM('Statistics NZ'!X$152,$I$13/5*(X$8-X$9)*1000)*'Economic Forecasts'!Z$9*1000000/SUM('Statistics NZ'!X$30:X$110,'Statistics NZ'!X$130:X$210,SUM($E$12:$T$13)*(X$8-X$9)*1000)</f>
        <v>43082.238982462943</v>
      </c>
      <c r="Y152" s="28">
        <f>SUM('Statistics NZ'!Y$152,$I$13/5*(Y$8-Y$9)*1000)*'Economic Forecasts'!AA$9*1000000/SUM('Statistics NZ'!Y$30:Y$110,'Statistics NZ'!Y$130:Y$210,SUM($E$12:$T$13)*(Y$8-Y$9)*1000)</f>
        <v>43029.251436052073</v>
      </c>
      <c r="Z152" s="28">
        <f>SUM('Statistics NZ'!Z$152,$I$13/5*(Z$8-Z$9)*1000)*'Economic Forecasts'!AB$9*1000000/SUM('Statistics NZ'!Z$30:Z$110,'Statistics NZ'!Z$130:Z$210,SUM($E$12:$T$13)*(Z$8-Z$9)*1000)</f>
        <v>42161.874311232837</v>
      </c>
      <c r="AA152" s="28">
        <f>SUM('Statistics NZ'!AA$152,$I$13/5*(AA$8-AA$9)*1000)*'Economic Forecasts'!AC$9*1000000/SUM('Statistics NZ'!AA$30:AA$110,'Statistics NZ'!AA$130:AA$210,SUM($E$12:$T$13)*(AA$8-AA$9)*1000)</f>
        <v>41051.85043944361</v>
      </c>
      <c r="AB152" s="18">
        <f>SUM(AA$152,'Statistics NZ'!AB$152-'Statistics NZ'!AA$152,$I$13/5*(AB$8-AB$9)*1000)</f>
        <v>40677.413024158333</v>
      </c>
      <c r="AC152" s="18">
        <f>SUM(AB$152,'Statistics NZ'!AC$152-'Statistics NZ'!AB$152,$I$13/5*(AC$8-AC$9)*1000)</f>
        <v>40184.454747301483</v>
      </c>
      <c r="AD152" s="18">
        <f>SUM(AC$152,'Statistics NZ'!AD$152-'Statistics NZ'!AC$152,$I$13/5*(AD$8-AD$9)*1000)</f>
        <v>38731.555465277794</v>
      </c>
      <c r="AE152" s="18">
        <f>SUM(AD$152,'Statistics NZ'!AE$152-'Statistics NZ'!AD$152,$I$13/5*(AE$8-AE$9)*1000)</f>
        <v>38551.555465277794</v>
      </c>
      <c r="AF152" s="18">
        <f>SUM(AE$152,'Statistics NZ'!AF$152-'Statistics NZ'!AE$152,$I$13/5*(AF$8-AF$9)*1000)</f>
        <v>37861.555465277794</v>
      </c>
      <c r="AG152" s="18">
        <f>SUM(AF$152,'Statistics NZ'!AG$152-'Statistics NZ'!AF$152,$I$13/5*(AG$8-AG$9)*1000)</f>
        <v>38851.555465277794</v>
      </c>
      <c r="AH152" s="18">
        <f>SUM(AG$152,'Statistics NZ'!AH$152-'Statistics NZ'!AG$152,$I$13/5*(AH$8-AH$9)*1000)</f>
        <v>38481.555465277794</v>
      </c>
      <c r="AI152" s="18">
        <f>SUM(AH$152,'Statistics NZ'!AI$152-'Statistics NZ'!AH$152,$I$13/5*(AI$8-AI$9)*1000)</f>
        <v>37741.555465277794</v>
      </c>
      <c r="AJ152" s="18">
        <f>SUM(AI$152,'Statistics NZ'!AJ$152-'Statistics NZ'!AI$152,$I$13/5*(AJ$8-AJ$9)*1000)</f>
        <v>38471.555465277794</v>
      </c>
      <c r="AK152" s="18">
        <f>SUM(AJ$152,'Statistics NZ'!AK$152-'Statistics NZ'!AJ$152,$I$13/5*(AK$8-AK$9)*1000)</f>
        <v>39481.555465277794</v>
      </c>
    </row>
    <row r="153" spans="1:37" x14ac:dyDescent="0.25">
      <c r="A153" s="12">
        <f>$A$53</f>
        <v>38</v>
      </c>
      <c r="B153" s="27">
        <f>'Statistics NZ'!B$153*'Economic Forecasts'!D$9*1000000/SUM('Statistics NZ'!B$30:B$110,'Statistics NZ'!B$130:B$210)</f>
        <v>29068.088353072511</v>
      </c>
      <c r="C153" s="27">
        <f>'Statistics NZ'!C$153*'Economic Forecasts'!E$9*1000000/SUM('Statistics NZ'!C$30:C$110,'Statistics NZ'!C$130:C$210)</f>
        <v>29676.276496147108</v>
      </c>
      <c r="D153" s="27">
        <f>'Statistics NZ'!D$153*'Economic Forecasts'!F$9*1000000/SUM('Statistics NZ'!D$30:D$110,'Statistics NZ'!D$130:D$210)</f>
        <v>29379.766604047272</v>
      </c>
      <c r="E153" s="27">
        <f>'Statistics NZ'!E$153*'Economic Forecasts'!G$9*1000000/SUM('Statistics NZ'!E$30:E$110,'Statistics NZ'!E$130:E$210)</f>
        <v>30019.29712121925</v>
      </c>
      <c r="F153" s="27">
        <f>'Statistics NZ'!F$153*'Economic Forecasts'!H$9*1000000/SUM('Statistics NZ'!F$30:F$110,'Statistics NZ'!F$130:F$210)</f>
        <v>29720.758981092284</v>
      </c>
      <c r="G153" s="27">
        <f>'Statistics NZ'!G$153*'Economic Forecasts'!I$9*1000000/SUM('Statistics NZ'!G$30:G$110,'Statistics NZ'!G$130:G$210)</f>
        <v>28396.76730218872</v>
      </c>
      <c r="H153" s="27">
        <f>'Statistics NZ'!H$153*'Economic Forecasts'!J$9*1000000/SUM('Statistics NZ'!H$30:H$110,'Statistics NZ'!H$130:H$210)</f>
        <v>27451.433177918741</v>
      </c>
      <c r="I153" s="27">
        <f>'Statistics NZ'!I$153*'Economic Forecasts'!K$9*1000000/SUM('Statistics NZ'!I$30:I$110,'Statistics NZ'!I$130:I$210)</f>
        <v>26312.742442638773</v>
      </c>
      <c r="J153" s="27">
        <f>'Statistics NZ'!J$153*'Economic Forecasts'!L$9*1000000/SUM('Statistics NZ'!J$30:J$110,'Statistics NZ'!J$130:J$210)</f>
        <v>25705.961595011013</v>
      </c>
      <c r="K153" s="27">
        <f>'Statistics NZ'!K$153*'Economic Forecasts'!M$9*1000000/SUM('Statistics NZ'!K$30:K$110,'Statistics NZ'!K$130:K$210)</f>
        <v>26170.957592561506</v>
      </c>
      <c r="L153" s="27">
        <f>'Statistics NZ'!L$153*'Economic Forecasts'!N$9*1000000/SUM('Statistics NZ'!L$30:L$110,'Statistics NZ'!L$130:L$210)</f>
        <v>26366.753485279096</v>
      </c>
      <c r="M153" s="27">
        <f>'Statistics NZ'!M$153*'Economic Forecasts'!O$9*1000000/SUM('Statistics NZ'!M$30:M$110,'Statistics NZ'!M$130:M$210)</f>
        <v>27980.059483121084</v>
      </c>
      <c r="N153" s="27">
        <f>'Statistics NZ'!N$153*'Economic Forecasts'!P$9*1000000/SUM('Statistics NZ'!N$30:N$110,'Statistics NZ'!N$130:N$210)</f>
        <v>29393.942551351243</v>
      </c>
      <c r="O153" s="27">
        <f>'Statistics NZ'!O$153*'Economic Forecasts'!Q$9*1000000/SUM('Statistics NZ'!O$30:O$110,'Statistics NZ'!O$130:O$210)</f>
        <v>30661.437423231873</v>
      </c>
      <c r="P153" s="27">
        <f>'Statistics NZ'!P$153*'Economic Forecasts'!R$9*1000000/SUM('Statistics NZ'!P$30:P$110,'Statistics NZ'!P$130:P$210)</f>
        <v>31960.760298448564</v>
      </c>
      <c r="Q153" s="27">
        <f>'Statistics NZ'!Q$153*'Economic Forecasts'!S$9*1000000/SUM('Statistics NZ'!Q$30:Q$110,'Statistics NZ'!Q$130:Q$210)</f>
        <v>33116.336877804417</v>
      </c>
      <c r="R153" s="27">
        <f>'Statistics NZ'!R$153*'Economic Forecasts'!T$9*1000000/SUM('Statistics NZ'!R$30:R$110,'Statistics NZ'!R$130:R$210)</f>
        <v>33516.559416038552</v>
      </c>
      <c r="S153" s="27">
        <f>'Statistics NZ'!S$153*'Economic Forecasts'!U$9*1000000/SUM('Statistics NZ'!S$30:S$110,'Statistics NZ'!S$130:S$210)</f>
        <v>35190.817561593707</v>
      </c>
      <c r="T153" s="27">
        <f>'Statistics NZ'!T$153*'Economic Forecasts'!V$9*1000000/SUM('Statistics NZ'!T$30:T$110,'Statistics NZ'!T$130:T$210)</f>
        <v>37290.700052164844</v>
      </c>
      <c r="U153" s="28">
        <f>SUM('Statistics NZ'!U$153,$I$13/5*(U$8-U$9)*1000)*'Economic Forecasts'!W$9*1000000/SUM('Statistics NZ'!U$30:U$110,'Statistics NZ'!U$130:U$210,SUM($E$12:$T$13)*(U$8-U$9)*1000)</f>
        <v>39144.53607039179</v>
      </c>
      <c r="V153" s="28">
        <f>SUM('Statistics NZ'!V$153,$I$13/5*(V$8-V$9)*1000)*'Economic Forecasts'!X$9*1000000/SUM('Statistics NZ'!V$30:V$110,'Statistics NZ'!V$130:V$210,SUM($E$12:$T$13)*(V$8-V$9)*1000)</f>
        <v>40241.880104594893</v>
      </c>
      <c r="W153" s="28">
        <f>SUM('Statistics NZ'!W$153,$I$13/5*(W$8-W$9)*1000)*'Economic Forecasts'!Y$9*1000000/SUM('Statistics NZ'!W$30:W$110,'Statistics NZ'!W$130:W$210,SUM($E$12:$T$13)*(W$8-W$9)*1000)</f>
        <v>41036.905313301118</v>
      </c>
      <c r="X153" s="28">
        <f>SUM('Statistics NZ'!X$153,$I$13/5*(X$8-X$9)*1000)*'Economic Forecasts'!Z$9*1000000/SUM('Statistics NZ'!X$30:X$110,'Statistics NZ'!X$130:X$210,SUM($E$12:$T$13)*(X$8-X$9)*1000)</f>
        <v>42740.292597835331</v>
      </c>
      <c r="Y153" s="28">
        <f>SUM('Statistics NZ'!Y$153,$I$13/5*(Y$8-Y$9)*1000)*'Economic Forecasts'!AA$9*1000000/SUM('Statistics NZ'!Y$30:Y$110,'Statistics NZ'!Y$130:Y$210,SUM($E$12:$T$13)*(Y$8-Y$9)*1000)</f>
        <v>43507.930981776182</v>
      </c>
      <c r="Z153" s="28">
        <f>SUM('Statistics NZ'!Z$153,$I$13/5*(Z$8-Z$9)*1000)*'Economic Forecasts'!AB$9*1000000/SUM('Statistics NZ'!Z$30:Z$110,'Statistics NZ'!Z$130:Z$210,SUM($E$12:$T$13)*(Z$8-Z$9)*1000)</f>
        <v>43461.424705229925</v>
      </c>
      <c r="AA153" s="28">
        <f>SUM('Statistics NZ'!AA$153,$I$13/5*(AA$8-AA$9)*1000)*'Economic Forecasts'!AC$9*1000000/SUM('Statistics NZ'!AA$30:AA$110,'Statistics NZ'!AA$130:AA$210,SUM($E$12:$T$13)*(AA$8-AA$9)*1000)</f>
        <v>42606.122602391122</v>
      </c>
      <c r="AB153" s="18">
        <f>SUM(AA$153,'Statistics NZ'!AB$153-'Statistics NZ'!AA$153,$I$13/5*(AB$8-AB$9)*1000)</f>
        <v>41491.685187105846</v>
      </c>
      <c r="AC153" s="18">
        <f>SUM(AB$153,'Statistics NZ'!AC$153-'Statistics NZ'!AB$153,$I$13/5*(AC$8-AC$9)*1000)</f>
        <v>41118.726910248995</v>
      </c>
      <c r="AD153" s="18">
        <f>SUM(AC$153,'Statistics NZ'!AD$153-'Statistics NZ'!AC$153,$I$13/5*(AD$8-AD$9)*1000)</f>
        <v>40615.827628225306</v>
      </c>
      <c r="AE153" s="18">
        <f>SUM(AD$153,'Statistics NZ'!AE$153-'Statistics NZ'!AD$153,$I$13/5*(AE$8-AE$9)*1000)</f>
        <v>39155.827628225306</v>
      </c>
      <c r="AF153" s="18">
        <f>SUM(AE$153,'Statistics NZ'!AF$153-'Statistics NZ'!AE$153,$I$13/5*(AF$8-AF$9)*1000)</f>
        <v>38985.827628225306</v>
      </c>
      <c r="AG153" s="18">
        <f>SUM(AF$153,'Statistics NZ'!AG$153-'Statistics NZ'!AF$153,$I$13/5*(AG$8-AG$9)*1000)</f>
        <v>38295.827628225306</v>
      </c>
      <c r="AH153" s="18">
        <f>SUM(AG$153,'Statistics NZ'!AH$153-'Statistics NZ'!AG$153,$I$13/5*(AH$8-AH$9)*1000)</f>
        <v>39285.827628225306</v>
      </c>
      <c r="AI153" s="18">
        <f>SUM(AH$153,'Statistics NZ'!AI$153-'Statistics NZ'!AH$153,$I$13/5*(AI$8-AI$9)*1000)</f>
        <v>38915.827628225306</v>
      </c>
      <c r="AJ153" s="18">
        <f>SUM(AI$153,'Statistics NZ'!AJ$153-'Statistics NZ'!AI$153,$I$13/5*(AJ$8-AJ$9)*1000)</f>
        <v>38185.827628225306</v>
      </c>
      <c r="AK153" s="18">
        <f>SUM(AJ$153,'Statistics NZ'!AK$153-'Statistics NZ'!AJ$153,$I$13/5*(AK$8-AK$9)*1000)</f>
        <v>38915.827628225306</v>
      </c>
    </row>
    <row r="154" spans="1:37" x14ac:dyDescent="0.25">
      <c r="A154" s="12">
        <f>$A$54</f>
        <v>39</v>
      </c>
      <c r="B154" s="27">
        <f>'Statistics NZ'!B$154*'Economic Forecasts'!D$9*1000000/SUM('Statistics NZ'!B$30:B$110,'Statistics NZ'!B$130:B$210)</f>
        <v>28931.113180759148</v>
      </c>
      <c r="C154" s="27">
        <f>'Statistics NZ'!C$154*'Economic Forecasts'!E$9*1000000/SUM('Statistics NZ'!C$30:C$110,'Statistics NZ'!C$130:C$210)</f>
        <v>29352.213913627962</v>
      </c>
      <c r="D154" s="27">
        <f>'Statistics NZ'!D$154*'Economic Forecasts'!F$9*1000000/SUM('Statistics NZ'!D$30:D$110,'Statistics NZ'!D$130:D$210)</f>
        <v>29723.561933750269</v>
      </c>
      <c r="E154" s="27">
        <f>'Statistics NZ'!E$154*'Economic Forecasts'!G$9*1000000/SUM('Statistics NZ'!E$30:E$110,'Statistics NZ'!E$130:E$210)</f>
        <v>29450.489792558452</v>
      </c>
      <c r="F154" s="27">
        <f>'Statistics NZ'!F$154*'Economic Forecasts'!H$9*1000000/SUM('Statistics NZ'!F$30:F$110,'Statistics NZ'!F$130:F$210)</f>
        <v>30054.259246886719</v>
      </c>
      <c r="G154" s="27">
        <f>'Statistics NZ'!G$154*'Economic Forecasts'!I$9*1000000/SUM('Statistics NZ'!G$30:G$110,'Statistics NZ'!G$130:G$210)</f>
        <v>29712.978584960529</v>
      </c>
      <c r="H154" s="27">
        <f>'Statistics NZ'!H$154*'Economic Forecasts'!J$9*1000000/SUM('Statistics NZ'!H$30:H$110,'Statistics NZ'!H$130:H$210)</f>
        <v>28404.471480802818</v>
      </c>
      <c r="I154" s="27">
        <f>'Statistics NZ'!I$154*'Economic Forecasts'!K$9*1000000/SUM('Statistics NZ'!I$30:I$110,'Statistics NZ'!I$130:I$210)</f>
        <v>27567.597521870426</v>
      </c>
      <c r="J154" s="27">
        <f>'Statistics NZ'!J$154*'Economic Forecasts'!L$9*1000000/SUM('Statistics NZ'!J$30:J$110,'Statistics NZ'!J$130:J$210)</f>
        <v>26632.390408184783</v>
      </c>
      <c r="K154" s="27">
        <f>'Statistics NZ'!K$154*'Economic Forecasts'!M$9*1000000/SUM('Statistics NZ'!K$30:K$110,'Statistics NZ'!K$130:K$210)</f>
        <v>26297.528444013624</v>
      </c>
      <c r="L154" s="27">
        <f>'Statistics NZ'!L$154*'Economic Forecasts'!N$9*1000000/SUM('Statistics NZ'!L$30:L$110,'Statistics NZ'!L$130:L$210)</f>
        <v>26853.584236484396</v>
      </c>
      <c r="M154" s="27">
        <f>'Statistics NZ'!M$154*'Economic Forecasts'!O$9*1000000/SUM('Statistics NZ'!M$30:M$110,'Statistics NZ'!M$130:M$210)</f>
        <v>27227.802297296948</v>
      </c>
      <c r="N154" s="27">
        <f>'Statistics NZ'!N$154*'Economic Forecasts'!P$9*1000000/SUM('Statistics NZ'!N$30:N$110,'Statistics NZ'!N$130:N$210)</f>
        <v>28865.556100694463</v>
      </c>
      <c r="O154" s="27">
        <f>'Statistics NZ'!O$154*'Economic Forecasts'!Q$9*1000000/SUM('Statistics NZ'!O$30:O$110,'Statistics NZ'!O$130:O$210)</f>
        <v>30180.204100445721</v>
      </c>
      <c r="P154" s="27">
        <f>'Statistics NZ'!P$154*'Economic Forecasts'!R$9*1000000/SUM('Statistics NZ'!P$30:P$110,'Statistics NZ'!P$130:P$210)</f>
        <v>31343.870623570419</v>
      </c>
      <c r="Q154" s="27">
        <f>'Statistics NZ'!Q$154*'Economic Forecasts'!S$9*1000000/SUM('Statistics NZ'!Q$30:Q$110,'Statistics NZ'!Q$130:Q$210)</f>
        <v>32187.656786362415</v>
      </c>
      <c r="R154" s="27">
        <f>'Statistics NZ'!R$154*'Economic Forecasts'!T$9*1000000/SUM('Statistics NZ'!R$30:R$110,'Statistics NZ'!R$130:R$210)</f>
        <v>32972.940787940017</v>
      </c>
      <c r="S154" s="27">
        <f>'Statistics NZ'!S$154*'Economic Forecasts'!U$9*1000000/SUM('Statistics NZ'!S$30:S$110,'Statistics NZ'!S$130:S$210)</f>
        <v>34976.654909766577</v>
      </c>
      <c r="T154" s="27">
        <f>'Statistics NZ'!T$154*'Economic Forecasts'!V$9*1000000/SUM('Statistics NZ'!T$30:T$110,'Statistics NZ'!T$130:T$210)</f>
        <v>36465.510693792377</v>
      </c>
      <c r="U154" s="28">
        <f>SUM('Statistics NZ'!U$154,$I$13/5*(U$8-U$9)*1000)*'Economic Forecasts'!W$9*1000000/SUM('Statistics NZ'!U$30:U$110,'Statistics NZ'!U$130:U$210,SUM($E$12:$T$13)*(U$8-U$9)*1000)</f>
        <v>37422.483525172494</v>
      </c>
      <c r="V154" s="28">
        <f>SUM('Statistics NZ'!V$154,$I$13/5*(V$8-V$9)*1000)*'Economic Forecasts'!X$9*1000000/SUM('Statistics NZ'!V$30:V$110,'Statistics NZ'!V$130:V$210,SUM($E$12:$T$13)*(V$8-V$9)*1000)</f>
        <v>39388.464563448295</v>
      </c>
      <c r="W154" s="28">
        <f>SUM('Statistics NZ'!W$154,$I$13/5*(W$8-W$9)*1000)*'Economic Forecasts'!Y$9*1000000/SUM('Statistics NZ'!W$30:W$110,'Statistics NZ'!W$130:W$210,SUM($E$12:$T$13)*(W$8-W$9)*1000)</f>
        <v>40645.625614410026</v>
      </c>
      <c r="X154" s="28">
        <f>SUM('Statistics NZ'!X$154,$I$13/5*(X$8-X$9)*1000)*'Economic Forecasts'!Z$9*1000000/SUM('Statistics NZ'!X$30:X$110,'Statistics NZ'!X$130:X$210,SUM($E$12:$T$13)*(X$8-X$9)*1000)</f>
        <v>41401.816749435813</v>
      </c>
      <c r="Y154" s="28">
        <f>SUM('Statistics NZ'!Y$154,$I$13/5*(Y$8-Y$9)*1000)*'Economic Forecasts'!AA$9*1000000/SUM('Statistics NZ'!Y$30:Y$110,'Statistics NZ'!Y$130:Y$210,SUM($E$12:$T$13)*(Y$8-Y$9)*1000)</f>
        <v>43126.941139261071</v>
      </c>
      <c r="Z154" s="28">
        <f>SUM('Statistics NZ'!Z$154,$I$13/5*(Z$8-Z$9)*1000)*'Economic Forecasts'!AB$9*1000000/SUM('Statistics NZ'!Z$30:Z$110,'Statistics NZ'!Z$130:Z$210,SUM($E$12:$T$13)*(Z$8-Z$9)*1000)</f>
        <v>43901.122206958265</v>
      </c>
      <c r="AA154" s="28">
        <f>SUM('Statistics NZ'!AA$154,$I$13/5*(AA$8-AA$9)*1000)*'Economic Forecasts'!AC$9*1000000/SUM('Statistics NZ'!AA$30:AA$110,'Statistics NZ'!AA$130:AA$210,SUM($E$12:$T$13)*(AA$8-AA$9)*1000)</f>
        <v>43876.911163291603</v>
      </c>
      <c r="AB154" s="18">
        <f>SUM(AA$154,'Statistics NZ'!AB$154-'Statistics NZ'!AA$154,$I$13/5*(AB$8-AB$9)*1000)</f>
        <v>43022.473748006327</v>
      </c>
      <c r="AC154" s="18">
        <f>SUM(AB$154,'Statistics NZ'!AC$154-'Statistics NZ'!AB$154,$I$13/5*(AC$8-AC$9)*1000)</f>
        <v>41899.515471149476</v>
      </c>
      <c r="AD154" s="18">
        <f>SUM(AC$154,'Statistics NZ'!AD$154-'Statistics NZ'!AC$154,$I$13/5*(AD$8-AD$9)*1000)</f>
        <v>41516.616189125787</v>
      </c>
      <c r="AE154" s="18">
        <f>SUM(AD$154,'Statistics NZ'!AE$154-'Statistics NZ'!AD$154,$I$13/5*(AE$8-AE$9)*1000)</f>
        <v>41006.616189125787</v>
      </c>
      <c r="AF154" s="18">
        <f>SUM(AE$154,'Statistics NZ'!AF$154-'Statistics NZ'!AE$154,$I$13/5*(AF$8-AF$9)*1000)</f>
        <v>39566.616189125787</v>
      </c>
      <c r="AG154" s="18">
        <f>SUM(AF$154,'Statistics NZ'!AG$154-'Statistics NZ'!AF$154,$I$13/5*(AG$8-AG$9)*1000)</f>
        <v>39386.616189125787</v>
      </c>
      <c r="AH154" s="18">
        <f>SUM(AG$154,'Statistics NZ'!AH$154-'Statistics NZ'!AG$154,$I$13/5*(AH$8-AH$9)*1000)</f>
        <v>38706.616189125787</v>
      </c>
      <c r="AI154" s="18">
        <f>SUM(AH$154,'Statistics NZ'!AI$154-'Statistics NZ'!AH$154,$I$13/5*(AI$8-AI$9)*1000)</f>
        <v>39696.616189125787</v>
      </c>
      <c r="AJ154" s="18">
        <f>SUM(AI$154,'Statistics NZ'!AJ$154-'Statistics NZ'!AI$154,$I$13/5*(AJ$8-AJ$9)*1000)</f>
        <v>39336.616189125787</v>
      </c>
      <c r="AK154" s="18">
        <f>SUM(AJ$154,'Statistics NZ'!AK$154-'Statistics NZ'!AJ$154,$I$13/5*(AK$8-AK$9)*1000)</f>
        <v>38606.616189125787</v>
      </c>
    </row>
    <row r="155" spans="1:37" x14ac:dyDescent="0.25">
      <c r="A155" s="12">
        <f>$A$55</f>
        <v>40</v>
      </c>
      <c r="B155" s="27">
        <f>'Statistics NZ'!B$155*'Economic Forecasts'!D$9*1000000/SUM('Statistics NZ'!B$30:B$110,'Statistics NZ'!B$130:B$210)</f>
        <v>29273.551111542569</v>
      </c>
      <c r="C155" s="27">
        <f>'Statistics NZ'!C$155*'Economic Forecasts'!E$9*1000000/SUM('Statistics NZ'!C$30:C$110,'Statistics NZ'!C$130:C$210)</f>
        <v>29214.732818013774</v>
      </c>
      <c r="D155" s="27">
        <f>'Statistics NZ'!D$155*'Economic Forecasts'!F$9*1000000/SUM('Statistics NZ'!D$30:D$110,'Statistics NZ'!D$130:D$210)</f>
        <v>29419.057498870468</v>
      </c>
      <c r="E155" s="27">
        <f>'Statistics NZ'!E$155*'Economic Forecasts'!G$9*1000000/SUM('Statistics NZ'!E$30:E$110,'Statistics NZ'!E$130:E$210)</f>
        <v>29774.121548520627</v>
      </c>
      <c r="F155" s="27">
        <f>'Statistics NZ'!F$155*'Economic Forecasts'!H$9*1000000/SUM('Statistics NZ'!F$30:F$110,'Statistics NZ'!F$130:F$210)</f>
        <v>29475.538197419904</v>
      </c>
      <c r="G155" s="27">
        <f>'Statistics NZ'!G$155*'Economic Forecasts'!I$9*1000000/SUM('Statistics NZ'!G$30:G$110,'Statistics NZ'!G$130:G$210)</f>
        <v>30066.587586302205</v>
      </c>
      <c r="H155" s="27">
        <f>'Statistics NZ'!H$155*'Economic Forecasts'!J$9*1000000/SUM('Statistics NZ'!H$30:H$110,'Statistics NZ'!H$130:H$210)</f>
        <v>29681.739309410343</v>
      </c>
      <c r="I155" s="27">
        <f>'Statistics NZ'!I$155*'Economic Forecasts'!K$9*1000000/SUM('Statistics NZ'!I$30:I$110,'Statistics NZ'!I$130:I$210)</f>
        <v>28430.31038884219</v>
      </c>
      <c r="J155" s="27">
        <f>'Statistics NZ'!J$155*'Economic Forecasts'!L$9*1000000/SUM('Statistics NZ'!J$30:J$110,'Statistics NZ'!J$130:J$210)</f>
        <v>27831.871924188712</v>
      </c>
      <c r="K155" s="27">
        <f>'Statistics NZ'!K$155*'Economic Forecasts'!M$9*1000000/SUM('Statistics NZ'!K$30:K$110,'Statistics NZ'!K$130:K$210)</f>
        <v>27144.579526808589</v>
      </c>
      <c r="L155" s="27">
        <f>'Statistics NZ'!L$155*'Economic Forecasts'!N$9*1000000/SUM('Statistics NZ'!L$30:L$110,'Statistics NZ'!L$130:L$210)</f>
        <v>26999.633461845991</v>
      </c>
      <c r="M155" s="27">
        <f>'Statistics NZ'!M$155*'Economic Forecasts'!O$9*1000000/SUM('Statistics NZ'!M$30:M$110,'Statistics NZ'!M$130:M$210)</f>
        <v>27686.972267864927</v>
      </c>
      <c r="N155" s="27">
        <f>'Statistics NZ'!N$155*'Economic Forecasts'!P$9*1000000/SUM('Statistics NZ'!N$30:N$110,'Statistics NZ'!N$130:N$210)</f>
        <v>28053.406556166447</v>
      </c>
      <c r="O155" s="27">
        <f>'Statistics NZ'!O$155*'Economic Forecasts'!Q$9*1000000/SUM('Statistics NZ'!O$30:O$110,'Statistics NZ'!O$130:O$210)</f>
        <v>29551.654454357689</v>
      </c>
      <c r="P155" s="27">
        <f>'Statistics NZ'!P$155*'Economic Forecasts'!R$9*1000000/SUM('Statistics NZ'!P$30:P$110,'Statistics NZ'!P$130:P$210)</f>
        <v>30785.732346299719</v>
      </c>
      <c r="Q155" s="27">
        <f>'Statistics NZ'!Q$155*'Economic Forecasts'!S$9*1000000/SUM('Statistics NZ'!Q$30:Q$110,'Statistics NZ'!Q$130:Q$210)</f>
        <v>31683.798438877915</v>
      </c>
      <c r="R155" s="27">
        <f>'Statistics NZ'!R$155*'Economic Forecasts'!T$9*1000000/SUM('Statistics NZ'!R$30:R$110,'Statistics NZ'!R$130:R$210)</f>
        <v>32053.731107700685</v>
      </c>
      <c r="S155" s="27">
        <f>'Statistics NZ'!S$155*'Economic Forecasts'!U$9*1000000/SUM('Statistics NZ'!S$30:S$110,'Statistics NZ'!S$130:S$210)</f>
        <v>34275.75895833235</v>
      </c>
      <c r="T155" s="27">
        <f>'Statistics NZ'!T$155*'Economic Forecasts'!V$9*1000000/SUM('Statistics NZ'!T$30:T$110,'Statistics NZ'!T$130:T$210)</f>
        <v>36180.623891497133</v>
      </c>
      <c r="U155" s="28">
        <f>SUM('Statistics NZ'!U$155,$J$13/5*(U$8-U$9)*1000)*'Economic Forecasts'!W$9*1000000/SUM('Statistics NZ'!U$30:U$110,'Statistics NZ'!U$130:U$210,SUM($E$12:$T$13)*(U$8-U$9)*1000)</f>
        <v>36626.961114069287</v>
      </c>
      <c r="V155" s="28">
        <f>SUM('Statistics NZ'!V$155,$J$13/5*(V$8-V$9)*1000)*'Economic Forecasts'!X$9*1000000/SUM('Statistics NZ'!V$30:V$110,'Statistics NZ'!V$130:V$210,SUM($E$12:$T$13)*(V$8-V$9)*1000)</f>
        <v>37681.59570035772</v>
      </c>
      <c r="W155" s="28">
        <f>SUM('Statistics NZ'!W$155,$J$13/5*(W$8-W$9)*1000)*'Economic Forecasts'!Y$9*1000000/SUM('Statistics NZ'!W$30:W$110,'Statistics NZ'!W$130:W$210,SUM($E$12:$T$13)*(W$8-W$9)*1000)</f>
        <v>39748.520417258704</v>
      </c>
      <c r="X155" s="28">
        <f>SUM('Statistics NZ'!X$155,$J$13/5*(X$8-X$9)*1000)*'Economic Forecasts'!Z$9*1000000/SUM('Statistics NZ'!X$30:X$110,'Statistics NZ'!X$130:X$210,SUM($E$12:$T$13)*(X$8-X$9)*1000)</f>
        <v>40949.888127301921</v>
      </c>
      <c r="Y155" s="28">
        <f>SUM('Statistics NZ'!Y$155,$J$13/5*(Y$8-Y$9)*1000)*'Economic Forecasts'!AA$9*1000000/SUM('Statistics NZ'!Y$30:Y$110,'Statistics NZ'!Y$130:Y$210,SUM($E$12:$T$13)*(Y$8-Y$9)*1000)</f>
        <v>41724.15852714068</v>
      </c>
      <c r="Z155" s="28">
        <f>SUM('Statistics NZ'!Z$155,$J$13/5*(Z$8-Z$9)*1000)*'Economic Forecasts'!AB$9*1000000/SUM('Statistics NZ'!Z$30:Z$110,'Statistics NZ'!Z$130:Z$210,SUM($E$12:$T$13)*(Z$8-Z$9)*1000)</f>
        <v>43457.966054293276</v>
      </c>
      <c r="AA155" s="28">
        <f>SUM('Statistics NZ'!AA$155,$J$13/5*(AA$8-AA$9)*1000)*'Economic Forecasts'!AC$9*1000000/SUM('Statistics NZ'!AA$30:AA$110,'Statistics NZ'!AA$130:AA$210,SUM($E$12:$T$13)*(AA$8-AA$9)*1000)</f>
        <v>44256.105663227281</v>
      </c>
      <c r="AB155" s="18">
        <f>SUM(AA$155,'Statistics NZ'!AB$155-'Statistics NZ'!AA$155,$J$13/5*(AB$8-AB$9)*1000)</f>
        <v>44232.964161408752</v>
      </c>
      <c r="AC155" s="18">
        <f>SUM(AB$155,'Statistics NZ'!AC$155-'Statistics NZ'!AB$155,$J$13/5*(AC$8-AC$9)*1000)</f>
        <v>43364.203160196397</v>
      </c>
      <c r="AD155" s="18">
        <f>SUM(AC$155,'Statistics NZ'!AD$155-'Statistics NZ'!AC$155,$J$13/5*(AD$8-AD$9)*1000)</f>
        <v>42238.886076357914</v>
      </c>
      <c r="AE155" s="18">
        <f>SUM(AD$155,'Statistics NZ'!AE$155-'Statistics NZ'!AD$155,$J$13/5*(AE$8-AE$9)*1000)</f>
        <v>41848.886076357914</v>
      </c>
      <c r="AF155" s="18">
        <f>SUM(AE$155,'Statistics NZ'!AF$155-'Statistics NZ'!AE$155,$J$13/5*(AF$8-AF$9)*1000)</f>
        <v>41348.886076357914</v>
      </c>
      <c r="AG155" s="18">
        <f>SUM(AF$155,'Statistics NZ'!AG$155-'Statistics NZ'!AF$155,$J$13/5*(AG$8-AG$9)*1000)</f>
        <v>39898.886076357914</v>
      </c>
      <c r="AH155" s="18">
        <f>SUM(AG$155,'Statistics NZ'!AH$155-'Statistics NZ'!AG$155,$J$13/5*(AH$8-AH$9)*1000)</f>
        <v>39728.886076357914</v>
      </c>
      <c r="AI155" s="18">
        <f>SUM(AH$155,'Statistics NZ'!AI$155-'Statistics NZ'!AH$155,$J$13/5*(AI$8-AI$9)*1000)</f>
        <v>39048.886076357914</v>
      </c>
      <c r="AJ155" s="18">
        <f>SUM(AI$155,'Statistics NZ'!AJ$155-'Statistics NZ'!AI$155,$J$13/5*(AJ$8-AJ$9)*1000)</f>
        <v>40048.886076357914</v>
      </c>
      <c r="AK155" s="18">
        <f>SUM(AJ$155,'Statistics NZ'!AK$155-'Statistics NZ'!AJ$155,$J$13/5*(AK$8-AK$9)*1000)</f>
        <v>39688.886076357914</v>
      </c>
    </row>
    <row r="156" spans="1:37" x14ac:dyDescent="0.25">
      <c r="A156" s="12">
        <f>$A$56</f>
        <v>41</v>
      </c>
      <c r="B156" s="27">
        <f>'Statistics NZ'!B$156*'Economic Forecasts'!D$9*1000000/SUM('Statistics NZ'!B$30:B$110,'Statistics NZ'!B$130:B$210)</f>
        <v>29723.612392000778</v>
      </c>
      <c r="C156" s="27">
        <f>'Statistics NZ'!C$156*'Economic Forecasts'!E$9*1000000/SUM('Statistics NZ'!C$30:C$110,'Statistics NZ'!C$130:C$210)</f>
        <v>29499.515087500302</v>
      </c>
      <c r="D156" s="27">
        <f>'Statistics NZ'!D$156*'Economic Forecasts'!F$9*1000000/SUM('Statistics NZ'!D$30:D$110,'Statistics NZ'!D$130:D$210)</f>
        <v>29252.071195871875</v>
      </c>
      <c r="E156" s="27">
        <f>'Statistics NZ'!E$156*'Economic Forecasts'!G$9*1000000/SUM('Statistics NZ'!E$30:E$110,'Statistics NZ'!E$130:E$210)</f>
        <v>29430.875746742557</v>
      </c>
      <c r="F156" s="27">
        <f>'Statistics NZ'!F$156*'Economic Forecasts'!H$9*1000000/SUM('Statistics NZ'!F$30:F$110,'Statistics NZ'!F$130:F$210)</f>
        <v>29838.464957255026</v>
      </c>
      <c r="G156" s="27">
        <f>'Statistics NZ'!G$156*'Economic Forecasts'!I$9*1000000/SUM('Statistics NZ'!G$30:G$110,'Statistics NZ'!G$130:G$210)</f>
        <v>29477.239250732742</v>
      </c>
      <c r="H156" s="27">
        <f>'Statistics NZ'!H$156*'Economic Forecasts'!J$9*1000000/SUM('Statistics NZ'!H$30:H$110,'Statistics NZ'!H$130:H$210)</f>
        <v>30045.269383706334</v>
      </c>
      <c r="I156" s="27">
        <f>'Statistics NZ'!I$156*'Economic Forecasts'!K$9*1000000/SUM('Statistics NZ'!I$30:I$110,'Statistics NZ'!I$130:I$210)</f>
        <v>29675.361912767352</v>
      </c>
      <c r="J156" s="27">
        <f>'Statistics NZ'!J$156*'Economic Forecasts'!L$9*1000000/SUM('Statistics NZ'!J$30:J$110,'Statistics NZ'!J$130:J$210)</f>
        <v>28836.315795313949</v>
      </c>
      <c r="K156" s="27">
        <f>'Statistics NZ'!K$156*'Economic Forecasts'!M$9*1000000/SUM('Statistics NZ'!K$30:K$110,'Statistics NZ'!K$130:K$210)</f>
        <v>28283.717189877669</v>
      </c>
      <c r="L156" s="27">
        <f>'Statistics NZ'!L$156*'Economic Forecasts'!N$9*1000000/SUM('Statistics NZ'!L$30:L$110,'Statistics NZ'!L$130:L$210)</f>
        <v>27749.352818702155</v>
      </c>
      <c r="M156" s="27">
        <f>'Statistics NZ'!M$156*'Economic Forecasts'!O$9*1000000/SUM('Statistics NZ'!M$30:M$110,'Statistics NZ'!M$130:M$210)</f>
        <v>27745.58971091616</v>
      </c>
      <c r="N156" s="27">
        <f>'Statistics NZ'!N$156*'Economic Forecasts'!P$9*1000000/SUM('Statistics NZ'!N$30:N$110,'Statistics NZ'!N$130:N$210)</f>
        <v>28395.879255666212</v>
      </c>
      <c r="O156" s="27">
        <f>'Statistics NZ'!O$156*'Economic Forecasts'!Q$9*1000000/SUM('Statistics NZ'!O$30:O$110,'Statistics NZ'!O$130:O$210)</f>
        <v>28638.293249886017</v>
      </c>
      <c r="P156" s="27">
        <f>'Statistics NZ'!P$156*'Economic Forecasts'!R$9*1000000/SUM('Statistics NZ'!P$30:P$110,'Statistics NZ'!P$130:P$210)</f>
        <v>30041.547976605452</v>
      </c>
      <c r="Q156" s="27">
        <f>'Statistics NZ'!Q$156*'Economic Forecasts'!S$9*1000000/SUM('Statistics NZ'!Q$30:Q$110,'Statistics NZ'!Q$130:Q$210)</f>
        <v>31071.264761543825</v>
      </c>
      <c r="R156" s="27">
        <f>'Statistics NZ'!R$156*'Economic Forecasts'!T$9*1000000/SUM('Statistics NZ'!R$30:R$110,'Statistics NZ'!R$130:R$210)</f>
        <v>31579.300304996508</v>
      </c>
      <c r="S156" s="27">
        <f>'Statistics NZ'!S$156*'Economic Forecasts'!U$9*1000000/SUM('Statistics NZ'!S$30:S$110,'Statistics NZ'!S$130:S$210)</f>
        <v>33234.149697173147</v>
      </c>
      <c r="T156" s="27">
        <f>'Statistics NZ'!T$156*'Economic Forecasts'!V$9*1000000/SUM('Statistics NZ'!T$30:T$110,'Statistics NZ'!T$130:T$210)</f>
        <v>35453.67136150234</v>
      </c>
      <c r="U156" s="28">
        <f>SUM('Statistics NZ'!U$156,$J$13/5*(U$8-U$9)*1000)*'Economic Forecasts'!W$9*1000000/SUM('Statistics NZ'!U$30:U$110,'Statistics NZ'!U$130:U$210,SUM($E$12:$T$13)*(U$8-U$9)*1000)</f>
        <v>36321.911806059012</v>
      </c>
      <c r="V156" s="28">
        <f>SUM('Statistics NZ'!V$156,$J$13/5*(V$8-V$9)*1000)*'Economic Forecasts'!X$9*1000000/SUM('Statistics NZ'!V$30:V$110,'Statistics NZ'!V$130:V$210,SUM($E$12:$T$13)*(V$8-V$9)*1000)</f>
        <v>36788.942663066453</v>
      </c>
      <c r="W156" s="28">
        <f>SUM('Statistics NZ'!W$156,$J$13/5*(W$8-W$9)*1000)*'Economic Forecasts'!Y$9*1000000/SUM('Statistics NZ'!W$30:W$110,'Statistics NZ'!W$130:W$210,SUM($E$12:$T$13)*(W$8-W$9)*1000)</f>
        <v>37958.415794831941</v>
      </c>
      <c r="X156" s="28">
        <f>SUM('Statistics NZ'!X$156,$J$13/5*(X$8-X$9)*1000)*'Economic Forecasts'!Z$9*1000000/SUM('Statistics NZ'!X$30:X$110,'Statistics NZ'!X$130:X$210,SUM($E$12:$T$13)*(X$8-X$9)*1000)</f>
        <v>40021.747940455534</v>
      </c>
      <c r="Y156" s="28">
        <f>SUM('Statistics NZ'!Y$156,$J$13/5*(Y$8-Y$9)*1000)*'Economic Forecasts'!AA$9*1000000/SUM('Statistics NZ'!Y$30:Y$110,'Statistics NZ'!Y$130:Y$210,SUM($E$12:$T$13)*(Y$8-Y$9)*1000)</f>
        <v>41255.247951737467</v>
      </c>
      <c r="Z156" s="28">
        <f>SUM('Statistics NZ'!Z$156,$J$13/5*(Z$8-Z$9)*1000)*'Economic Forecasts'!AB$9*1000000/SUM('Statistics NZ'!Z$30:Z$110,'Statistics NZ'!Z$130:Z$210,SUM($E$12:$T$13)*(Z$8-Z$9)*1000)</f>
        <v>42041.162993168633</v>
      </c>
      <c r="AA156" s="28">
        <f>SUM('Statistics NZ'!AA$156,$J$13/5*(AA$8-AA$9)*1000)*'Economic Forecasts'!AC$9*1000000/SUM('Statistics NZ'!AA$30:AA$110,'Statistics NZ'!AA$130:AA$210,SUM($E$12:$T$13)*(AA$8-AA$9)*1000)</f>
        <v>43796.666721978647</v>
      </c>
      <c r="AB156" s="18">
        <f>SUM(AA$156,'Statistics NZ'!AB$156-'Statistics NZ'!AA$156,$J$13/5*(AB$8-AB$9)*1000)</f>
        <v>44603.525220160118</v>
      </c>
      <c r="AC156" s="18">
        <f>SUM(AB$156,'Statistics NZ'!AC$156-'Statistics NZ'!AB$156,$J$13/5*(AC$8-AC$9)*1000)</f>
        <v>44584.764218947763</v>
      </c>
      <c r="AD156" s="18">
        <f>SUM(AC$156,'Statistics NZ'!AD$156-'Statistics NZ'!AC$156,$J$13/5*(AD$8-AD$9)*1000)</f>
        <v>43719.44713510928</v>
      </c>
      <c r="AE156" s="18">
        <f>SUM(AD$156,'Statistics NZ'!AE$156-'Statistics NZ'!AD$156,$J$13/5*(AE$8-AE$9)*1000)</f>
        <v>42589.44713510928</v>
      </c>
      <c r="AF156" s="18">
        <f>SUM(AE$156,'Statistics NZ'!AF$156-'Statistics NZ'!AE$156,$J$13/5*(AF$8-AF$9)*1000)</f>
        <v>42199.44713510928</v>
      </c>
      <c r="AG156" s="18">
        <f>SUM(AF$156,'Statistics NZ'!AG$156-'Statistics NZ'!AF$156,$J$13/5*(AG$8-AG$9)*1000)</f>
        <v>41699.44713510928</v>
      </c>
      <c r="AH156" s="18">
        <f>SUM(AG$156,'Statistics NZ'!AH$156-'Statistics NZ'!AG$156,$J$13/5*(AH$8-AH$9)*1000)</f>
        <v>40259.44713510928</v>
      </c>
      <c r="AI156" s="18">
        <f>SUM(AH$156,'Statistics NZ'!AI$156-'Statistics NZ'!AH$156,$J$13/5*(AI$8-AI$9)*1000)</f>
        <v>40089.44713510928</v>
      </c>
      <c r="AJ156" s="18">
        <f>SUM(AI$156,'Statistics NZ'!AJ$156-'Statistics NZ'!AI$156,$J$13/5*(AJ$8-AJ$9)*1000)</f>
        <v>39419.44713510928</v>
      </c>
      <c r="AK156" s="18">
        <f>SUM(AJ$156,'Statistics NZ'!AK$156-'Statistics NZ'!AJ$156,$J$13/5*(AK$8-AK$9)*1000)</f>
        <v>40409.44713510928</v>
      </c>
    </row>
    <row r="157" spans="1:37" x14ac:dyDescent="0.25">
      <c r="A157" s="12">
        <f>$A$57</f>
        <v>42</v>
      </c>
      <c r="B157" s="27">
        <f>'Statistics NZ'!B$157*'Economic Forecasts'!D$9*1000000/SUM('Statistics NZ'!B$30:B$110,'Statistics NZ'!B$130:B$210)</f>
        <v>30917.253179302974</v>
      </c>
      <c r="C157" s="27">
        <f>'Statistics NZ'!C$157*'Economic Forecasts'!E$9*1000000/SUM('Statistics NZ'!C$30:C$110,'Statistics NZ'!C$130:C$210)</f>
        <v>29931.598530859159</v>
      </c>
      <c r="D157" s="27">
        <f>'Statistics NZ'!D$157*'Economic Forecasts'!F$9*1000000/SUM('Statistics NZ'!D$30:D$110,'Statistics NZ'!D$130:D$210)</f>
        <v>29507.46201222267</v>
      </c>
      <c r="E157" s="27">
        <f>'Statistics NZ'!E$157*'Economic Forecasts'!G$9*1000000/SUM('Statistics NZ'!E$30:E$110,'Statistics NZ'!E$130:E$210)</f>
        <v>29234.735288583659</v>
      </c>
      <c r="F157" s="27">
        <f>'Statistics NZ'!F$157*'Economic Forecasts'!H$9*1000000/SUM('Statistics NZ'!F$30:F$110,'Statistics NZ'!F$130:F$210)</f>
        <v>29485.347028766802</v>
      </c>
      <c r="G157" s="27">
        <f>'Statistics NZ'!G$157*'Economic Forecasts'!I$9*1000000/SUM('Statistics NZ'!G$30:G$110,'Statistics NZ'!G$130:G$210)</f>
        <v>29860.315668852894</v>
      </c>
      <c r="H157" s="27">
        <f>'Statistics NZ'!H$157*'Economic Forecasts'!J$9*1000000/SUM('Statistics NZ'!H$30:H$110,'Statistics NZ'!H$130:H$210)</f>
        <v>29416.460606545708</v>
      </c>
      <c r="I157" s="27">
        <f>'Statistics NZ'!I$157*'Economic Forecasts'!K$9*1000000/SUM('Statistics NZ'!I$30:I$110,'Statistics NZ'!I$130:I$210)</f>
        <v>30047.897014414248</v>
      </c>
      <c r="J157" s="27">
        <f>'Statistics NZ'!J$157*'Economic Forecasts'!L$9*1000000/SUM('Statistics NZ'!J$30:J$110,'Statistics NZ'!J$130:J$210)</f>
        <v>29967.534135610338</v>
      </c>
      <c r="K157" s="27">
        <f>'Statistics NZ'!K$157*'Economic Forecasts'!M$9*1000000/SUM('Statistics NZ'!K$30:K$110,'Statistics NZ'!K$130:K$210)</f>
        <v>29344.965098206983</v>
      </c>
      <c r="L157" s="27">
        <f>'Statistics NZ'!L$157*'Economic Forecasts'!N$9*1000000/SUM('Statistics NZ'!L$30:L$110,'Statistics NZ'!L$130:L$210)</f>
        <v>28859.326931450239</v>
      </c>
      <c r="M157" s="27">
        <f>'Statistics NZ'!M$157*'Economic Forecasts'!O$9*1000000/SUM('Statistics NZ'!M$30:M$110,'Statistics NZ'!M$130:M$210)</f>
        <v>28488.077322898422</v>
      </c>
      <c r="N157" s="27">
        <f>'Statistics NZ'!N$157*'Economic Forecasts'!P$9*1000000/SUM('Statistics NZ'!N$30:N$110,'Statistics NZ'!N$130:N$210)</f>
        <v>28425.234058480477</v>
      </c>
      <c r="O157" s="27">
        <f>'Statistics NZ'!O$157*'Economic Forecasts'!Q$9*1000000/SUM('Statistics NZ'!O$30:O$110,'Statistics NZ'!O$130:O$210)</f>
        <v>29060.600043351413</v>
      </c>
      <c r="P157" s="27">
        <f>'Statistics NZ'!P$157*'Economic Forecasts'!R$9*1000000/SUM('Statistics NZ'!P$30:P$110,'Statistics NZ'!P$130:P$210)</f>
        <v>29111.317514487619</v>
      </c>
      <c r="Q157" s="27">
        <f>'Statistics NZ'!Q$157*'Economic Forecasts'!S$9*1000000/SUM('Statistics NZ'!Q$30:Q$110,'Statistics NZ'!Q$130:Q$210)</f>
        <v>30290.778301714901</v>
      </c>
      <c r="R157" s="27">
        <f>'Statistics NZ'!R$157*'Economic Forecasts'!T$9*1000000/SUM('Statistics NZ'!R$30:R$110,'Statistics NZ'!R$130:R$210)</f>
        <v>30936.841926334608</v>
      </c>
      <c r="S157" s="27">
        <f>'Statistics NZ'!S$157*'Economic Forecasts'!U$9*1000000/SUM('Statistics NZ'!S$30:S$110,'Statistics NZ'!S$130:S$210)</f>
        <v>32572.192409707473</v>
      </c>
      <c r="T157" s="27">
        <f>'Statistics NZ'!T$157*'Economic Forecasts'!V$9*1000000/SUM('Statistics NZ'!T$30:T$110,'Statistics NZ'!T$130:T$210)</f>
        <v>34274.829420970265</v>
      </c>
      <c r="U157" s="28">
        <f>SUM('Statistics NZ'!U$157,$J$13/5*(U$8-U$9)*1000)*'Economic Forecasts'!W$9*1000000/SUM('Statistics NZ'!U$30:U$110,'Statistics NZ'!U$130:U$210,SUM($E$12:$T$13)*(U$8-U$9)*1000)</f>
        <v>35554.368385904134</v>
      </c>
      <c r="V157" s="28">
        <f>SUM('Statistics NZ'!V$157,$J$13/5*(V$8-V$9)*1000)*'Economic Forecasts'!X$9*1000000/SUM('Statistics NZ'!V$30:V$110,'Statistics NZ'!V$130:V$210,SUM($E$12:$T$13)*(V$8-V$9)*1000)</f>
        <v>36435.805197764421</v>
      </c>
      <c r="W157" s="28">
        <f>SUM('Statistics NZ'!W$157,$J$13/5*(W$8-W$9)*1000)*'Economic Forecasts'!Y$9*1000000/SUM('Statistics NZ'!W$30:W$110,'Statistics NZ'!W$130:W$210,SUM($E$12:$T$13)*(W$8-W$9)*1000)</f>
        <v>37029.126509965579</v>
      </c>
      <c r="X157" s="28">
        <f>SUM('Statistics NZ'!X$157,$J$13/5*(X$8-X$9)*1000)*'Economic Forecasts'!Z$9*1000000/SUM('Statistics NZ'!X$30:X$110,'Statistics NZ'!X$130:X$210,SUM($E$12:$T$13)*(X$8-X$9)*1000)</f>
        <v>38194.777256873713</v>
      </c>
      <c r="Y157" s="28">
        <f>SUM('Statistics NZ'!Y$157,$J$13/5*(Y$8-Y$9)*1000)*'Economic Forecasts'!AA$9*1000000/SUM('Statistics NZ'!Y$30:Y$110,'Statistics NZ'!Y$130:Y$210,SUM($E$12:$T$13)*(Y$8-Y$9)*1000)</f>
        <v>40278.350919647433</v>
      </c>
      <c r="Z157" s="28">
        <f>SUM('Statistics NZ'!Z$157,$J$13/5*(Z$8-Z$9)*1000)*'Economic Forecasts'!AB$9*1000000/SUM('Statistics NZ'!Z$30:Z$110,'Statistics NZ'!Z$130:Z$210,SUM($E$12:$T$13)*(Z$8-Z$9)*1000)</f>
        <v>41523.297046688589</v>
      </c>
      <c r="AA157" s="28">
        <f>SUM('Statistics NZ'!AA$157,$J$13/5*(AA$8-AA$9)*1000)*'Economic Forecasts'!AC$9*1000000/SUM('Statistics NZ'!AA$30:AA$110,'Statistics NZ'!AA$130:AA$210,SUM($E$12:$T$13)*(AA$8-AA$9)*1000)</f>
        <v>42330.372228631932</v>
      </c>
      <c r="AB157" s="18">
        <f>SUM(AA$157,'Statistics NZ'!AB$157-'Statistics NZ'!AA$157,$J$13/5*(AB$8-AB$9)*1000)</f>
        <v>44117.230726813403</v>
      </c>
      <c r="AC157" s="18">
        <f>SUM(AB$157,'Statistics NZ'!AC$157-'Statistics NZ'!AB$157,$J$13/5*(AC$8-AC$9)*1000)</f>
        <v>44928.469725601048</v>
      </c>
      <c r="AD157" s="18">
        <f>SUM(AC$157,'Statistics NZ'!AD$157-'Statistics NZ'!AC$157,$J$13/5*(AD$8-AD$9)*1000)</f>
        <v>44903.152641762565</v>
      </c>
      <c r="AE157" s="18">
        <f>SUM(AD$157,'Statistics NZ'!AE$157-'Statistics NZ'!AD$157,$J$13/5*(AE$8-AE$9)*1000)</f>
        <v>44033.152641762565</v>
      </c>
      <c r="AF157" s="18">
        <f>SUM(AE$157,'Statistics NZ'!AF$157-'Statistics NZ'!AE$157,$J$13/5*(AF$8-AF$9)*1000)</f>
        <v>42913.152641762565</v>
      </c>
      <c r="AG157" s="18">
        <f>SUM(AF$157,'Statistics NZ'!AG$157-'Statistics NZ'!AF$157,$J$13/5*(AG$8-AG$9)*1000)</f>
        <v>42523.152641762565</v>
      </c>
      <c r="AH157" s="18">
        <f>SUM(AG$157,'Statistics NZ'!AH$157-'Statistics NZ'!AG$157,$J$13/5*(AH$8-AH$9)*1000)</f>
        <v>42033.152641762565</v>
      </c>
      <c r="AI157" s="18">
        <f>SUM(AH$157,'Statistics NZ'!AI$157-'Statistics NZ'!AH$157,$J$13/5*(AI$8-AI$9)*1000)</f>
        <v>40593.152641762565</v>
      </c>
      <c r="AJ157" s="18">
        <f>SUM(AI$157,'Statistics NZ'!AJ$157-'Statistics NZ'!AI$157,$J$13/5*(AJ$8-AJ$9)*1000)</f>
        <v>40433.152641762565</v>
      </c>
      <c r="AK157" s="18">
        <f>SUM(AJ$157,'Statistics NZ'!AK$157-'Statistics NZ'!AJ$157,$J$13/5*(AK$8-AK$9)*1000)</f>
        <v>39763.152641762565</v>
      </c>
    </row>
    <row r="158" spans="1:37" x14ac:dyDescent="0.25">
      <c r="A158" s="12">
        <f>$A$58</f>
        <v>43</v>
      </c>
      <c r="B158" s="27">
        <f>'Statistics NZ'!B$158*'Economic Forecasts'!D$9*1000000/SUM('Statistics NZ'!B$30:B$110,'Statistics NZ'!B$130:B$210)</f>
        <v>31249.907169206868</v>
      </c>
      <c r="C158" s="27">
        <f>'Statistics NZ'!C$158*'Economic Forecasts'!E$9*1000000/SUM('Statistics NZ'!C$30:C$110,'Statistics NZ'!C$130:C$210)</f>
        <v>31060.907530547083</v>
      </c>
      <c r="D158" s="27">
        <f>'Statistics NZ'!D$158*'Economic Forecasts'!F$9*1000000/SUM('Statistics NZ'!D$30:D$110,'Statistics NZ'!D$130:D$210)</f>
        <v>29929.839131572066</v>
      </c>
      <c r="E158" s="27">
        <f>'Statistics NZ'!E$158*'Economic Forecasts'!G$9*1000000/SUM('Statistics NZ'!E$30:E$110,'Statistics NZ'!E$130:E$210)</f>
        <v>29460.296815466394</v>
      </c>
      <c r="F158" s="27">
        <f>'Statistics NZ'!F$158*'Economic Forecasts'!H$9*1000000/SUM('Statistics NZ'!F$30:F$110,'Statistics NZ'!F$130:F$210)</f>
        <v>29191.082088359948</v>
      </c>
      <c r="G158" s="27">
        <f>'Statistics NZ'!G$158*'Economic Forecasts'!I$9*1000000/SUM('Statistics NZ'!G$30:G$110,'Statistics NZ'!G$130:G$210)</f>
        <v>29477.239250732742</v>
      </c>
      <c r="H158" s="27">
        <f>'Statistics NZ'!H$158*'Economic Forecasts'!J$9*1000000/SUM('Statistics NZ'!H$30:H$110,'Statistics NZ'!H$130:H$210)</f>
        <v>29770.165543698557</v>
      </c>
      <c r="I158" s="27">
        <f>'Statistics NZ'!I$158*'Economic Forecasts'!K$9*1000000/SUM('Statistics NZ'!I$30:I$110,'Statistics NZ'!I$130:I$210)</f>
        <v>29400.862364185425</v>
      </c>
      <c r="J158" s="27">
        <f>'Statistics NZ'!J$158*'Economic Forecasts'!L$9*1000000/SUM('Statistics NZ'!J$30:J$110,'Statistics NZ'!J$130:J$210)</f>
        <v>30338.105660879843</v>
      </c>
      <c r="K158" s="27">
        <f>'Statistics NZ'!K$158*'Economic Forecasts'!M$9*1000000/SUM('Statistics NZ'!K$30:K$110,'Statistics NZ'!K$130:K$210)</f>
        <v>30484.102761276066</v>
      </c>
      <c r="L158" s="27">
        <f>'Statistics NZ'!L$158*'Economic Forecasts'!N$9*1000000/SUM('Statistics NZ'!L$30:L$110,'Statistics NZ'!L$130:L$210)</f>
        <v>30008.247504294748</v>
      </c>
      <c r="M158" s="27">
        <f>'Statistics NZ'!M$158*'Economic Forecasts'!O$9*1000000/SUM('Statistics NZ'!M$30:M$110,'Statistics NZ'!M$130:M$210)</f>
        <v>29543.191297820587</v>
      </c>
      <c r="N158" s="27">
        <f>'Statistics NZ'!N$158*'Economic Forecasts'!P$9*1000000/SUM('Statistics NZ'!N$30:N$110,'Statistics NZ'!N$130:N$210)</f>
        <v>29129.749326022851</v>
      </c>
      <c r="O158" s="27">
        <f>'Statistics NZ'!O$158*'Economic Forecasts'!Q$9*1000000/SUM('Statistics NZ'!O$30:O$110,'Statistics NZ'!O$130:O$210)</f>
        <v>28972.210249370284</v>
      </c>
      <c r="P158" s="27">
        <f>'Statistics NZ'!P$158*'Economic Forecasts'!R$9*1000000/SUM('Statistics NZ'!P$30:P$110,'Statistics NZ'!P$130:P$210)</f>
        <v>29473.617799733511</v>
      </c>
      <c r="Q158" s="27">
        <f>'Statistics NZ'!Q$158*'Economic Forecasts'!S$9*1000000/SUM('Statistics NZ'!Q$30:Q$110,'Statistics NZ'!Q$130:Q$210)</f>
        <v>29312.700333068529</v>
      </c>
      <c r="R158" s="27">
        <f>'Statistics NZ'!R$158*'Economic Forecasts'!T$9*1000000/SUM('Statistics NZ'!R$30:R$110,'Statistics NZ'!R$130:R$210)</f>
        <v>30126.355971714976</v>
      </c>
      <c r="S158" s="27">
        <f>'Statistics NZ'!S$158*'Economic Forecasts'!U$9*1000000/SUM('Statistics NZ'!S$30:S$110,'Statistics NZ'!S$130:S$210)</f>
        <v>31851.827126288965</v>
      </c>
      <c r="T158" s="27">
        <f>'Statistics NZ'!T$158*'Economic Forecasts'!V$9*1000000/SUM('Statistics NZ'!T$30:T$110,'Statistics NZ'!T$130:T$210)</f>
        <v>33518.405842462184</v>
      </c>
      <c r="U158" s="28">
        <f>SUM('Statistics NZ'!U$158,$J$13/5*(U$8-U$9)*1000)*'Economic Forecasts'!W$9*1000000/SUM('Statistics NZ'!U$30:U$110,'Statistics NZ'!U$130:U$210,SUM($E$12:$T$13)*(U$8-U$9)*1000)</f>
        <v>34334.171153863019</v>
      </c>
      <c r="V158" s="28">
        <f>SUM('Statistics NZ'!V$158,$J$13/5*(V$8-V$9)*1000)*'Economic Forecasts'!X$9*1000000/SUM('Statistics NZ'!V$30:V$110,'Statistics NZ'!V$130:V$210,SUM($E$12:$T$13)*(V$8-V$9)*1000)</f>
        <v>35631.436526798665</v>
      </c>
      <c r="W158" s="28">
        <f>SUM('Statistics NZ'!W$158,$J$13/5*(W$8-W$9)*1000)*'Economic Forecasts'!Y$9*1000000/SUM('Statistics NZ'!W$30:W$110,'Statistics NZ'!W$130:W$210,SUM($E$12:$T$13)*(W$8-W$9)*1000)</f>
        <v>36637.846811074472</v>
      </c>
      <c r="X158" s="28">
        <f>SUM('Statistics NZ'!X$158,$J$13/5*(X$8-X$9)*1000)*'Economic Forecasts'!Z$9*1000000/SUM('Statistics NZ'!X$30:X$110,'Statistics NZ'!X$130:X$210,SUM($E$12:$T$13)*(X$8-X$9)*1000)</f>
        <v>37217.787586509105</v>
      </c>
      <c r="Y158" s="28">
        <f>SUM('Statistics NZ'!Y$158,$J$13/5*(Y$8-Y$9)*1000)*'Economic Forecasts'!AA$9*1000000/SUM('Statistics NZ'!Y$30:Y$110,'Statistics NZ'!Y$130:Y$210,SUM($E$12:$T$13)*(Y$8-Y$9)*1000)</f>
        <v>38412.477588355476</v>
      </c>
      <c r="Z158" s="28">
        <f>SUM('Statistics NZ'!Z$158,$J$13/5*(Z$8-Z$9)*1000)*'Economic Forecasts'!AB$9*1000000/SUM('Statistics NZ'!Z$30:Z$110,'Statistics NZ'!Z$130:Z$210,SUM($E$12:$T$13)*(Z$8-Z$9)*1000)</f>
        <v>40507.107264916427</v>
      </c>
      <c r="AA158" s="28">
        <f>SUM('Statistics NZ'!AA$158,$J$13/5*(AA$8-AA$9)*1000)*'Economic Forecasts'!AC$9*1000000/SUM('Statistics NZ'!AA$30:AA$110,'Statistics NZ'!AA$130:AA$210,SUM($E$12:$T$13)*(AA$8-AA$9)*1000)</f>
        <v>41763.405024537875</v>
      </c>
      <c r="AB158" s="18">
        <f>SUM(AA$158,'Statistics NZ'!AB$158-'Statistics NZ'!AA$158,$J$13/5*(AB$8-AB$9)*1000)</f>
        <v>42590.263522719346</v>
      </c>
      <c r="AC158" s="18">
        <f>SUM(AB$158,'Statistics NZ'!AC$158-'Statistics NZ'!AB$158,$J$13/5*(AC$8-AC$9)*1000)</f>
        <v>44381.502521506991</v>
      </c>
      <c r="AD158" s="18">
        <f>SUM(AC$158,'Statistics NZ'!AD$158-'Statistics NZ'!AC$158,$J$13/5*(AD$8-AD$9)*1000)</f>
        <v>45186.185437668508</v>
      </c>
      <c r="AE158" s="18">
        <f>SUM(AD$158,'Statistics NZ'!AE$158-'Statistics NZ'!AD$158,$J$13/5*(AE$8-AE$9)*1000)</f>
        <v>45156.185437668508</v>
      </c>
      <c r="AF158" s="18">
        <f>SUM(AE$158,'Statistics NZ'!AF$158-'Statistics NZ'!AE$158,$J$13/5*(AF$8-AF$9)*1000)</f>
        <v>44286.185437668508</v>
      </c>
      <c r="AG158" s="18">
        <f>SUM(AF$158,'Statistics NZ'!AG$158-'Statistics NZ'!AF$158,$J$13/5*(AG$8-AG$9)*1000)</f>
        <v>43166.185437668508</v>
      </c>
      <c r="AH158" s="18">
        <f>SUM(AG$158,'Statistics NZ'!AH$158-'Statistics NZ'!AG$158,$J$13/5*(AH$8-AH$9)*1000)</f>
        <v>42786.185437668508</v>
      </c>
      <c r="AI158" s="18">
        <f>SUM(AH$158,'Statistics NZ'!AI$158-'Statistics NZ'!AH$158,$J$13/5*(AI$8-AI$9)*1000)</f>
        <v>42296.185437668508</v>
      </c>
      <c r="AJ158" s="18">
        <f>SUM(AI$158,'Statistics NZ'!AJ$158-'Statistics NZ'!AI$158,$J$13/5*(AJ$8-AJ$9)*1000)</f>
        <v>40866.185437668508</v>
      </c>
      <c r="AK158" s="18">
        <f>SUM(AJ$158,'Statistics NZ'!AK$158-'Statistics NZ'!AJ$158,$J$13/5*(AK$8-AK$9)*1000)</f>
        <v>40696.185437668508</v>
      </c>
    </row>
    <row r="159" spans="1:37" x14ac:dyDescent="0.25">
      <c r="A159" s="12">
        <f>$A$59</f>
        <v>44</v>
      </c>
      <c r="B159" s="27">
        <f>'Statistics NZ'!B$159*'Economic Forecasts'!D$9*1000000/SUM('Statistics NZ'!B$30:B$110,'Statistics NZ'!B$130:B$210)</f>
        <v>31416.234164158821</v>
      </c>
      <c r="C159" s="27">
        <f>'Statistics NZ'!C$159*'Economic Forecasts'!E$9*1000000/SUM('Statistics NZ'!C$30:C$110,'Statistics NZ'!C$130:C$210)</f>
        <v>31394.790191324388</v>
      </c>
      <c r="D159" s="27">
        <f>'Statistics NZ'!D$159*'Economic Forecasts'!F$9*1000000/SUM('Statistics NZ'!D$30:D$110,'Statistics NZ'!D$130:D$210)</f>
        <v>30980.87056809264</v>
      </c>
      <c r="E159" s="27">
        <f>'Statistics NZ'!E$159*'Economic Forecasts'!G$9*1000000/SUM('Statistics NZ'!E$30:E$110,'Statistics NZ'!E$130:E$210)</f>
        <v>29832.963685968294</v>
      </c>
      <c r="F159" s="27">
        <f>'Statistics NZ'!F$159*'Economic Forecasts'!H$9*1000000/SUM('Statistics NZ'!F$30:F$110,'Statistics NZ'!F$130:F$210)</f>
        <v>29485.347028766802</v>
      </c>
      <c r="G159" s="27">
        <f>'Statistics NZ'!G$159*'Economic Forecasts'!I$9*1000000/SUM('Statistics NZ'!G$30:G$110,'Statistics NZ'!G$130:G$210)</f>
        <v>29143.275193910045</v>
      </c>
      <c r="H159" s="27">
        <f>'Statistics NZ'!H$159*'Economic Forecasts'!J$9*1000000/SUM('Statistics NZ'!H$30:H$110,'Statistics NZ'!H$130:H$210)</f>
        <v>29396.81033225944</v>
      </c>
      <c r="I159" s="27">
        <f>'Statistics NZ'!I$159*'Economic Forecasts'!K$9*1000000/SUM('Statistics NZ'!I$30:I$110,'Statistics NZ'!I$130:I$210)</f>
        <v>29665.55835746085</v>
      </c>
      <c r="J159" s="27">
        <f>'Statistics NZ'!J$159*'Economic Forecasts'!L$9*1000000/SUM('Statistics NZ'!J$30:J$110,'Statistics NZ'!J$130:J$210)</f>
        <v>29713.985197268041</v>
      </c>
      <c r="K159" s="27">
        <f>'Statistics NZ'!K$159*'Economic Forecasts'!M$9*1000000/SUM('Statistics NZ'!K$30:K$110,'Statistics NZ'!K$130:K$210)</f>
        <v>30737.244464180309</v>
      </c>
      <c r="L159" s="27">
        <f>'Statistics NZ'!L$159*'Economic Forecasts'!N$9*1000000/SUM('Statistics NZ'!L$30:L$110,'Statistics NZ'!L$130:L$210)</f>
        <v>31089.011771970519</v>
      </c>
      <c r="M159" s="27">
        <f>'Statistics NZ'!M$159*'Economic Forecasts'!O$9*1000000/SUM('Statistics NZ'!M$30:M$110,'Statistics NZ'!M$130:M$210)</f>
        <v>30705.770585003338</v>
      </c>
      <c r="N159" s="27">
        <f>'Statistics NZ'!N$159*'Economic Forecasts'!P$9*1000000/SUM('Statistics NZ'!N$30:N$110,'Statistics NZ'!N$130:N$210)</f>
        <v>30127.812621707882</v>
      </c>
      <c r="O159" s="27">
        <f>'Statistics NZ'!O$159*'Economic Forecasts'!Q$9*1000000/SUM('Statistics NZ'!O$30:O$110,'Statistics NZ'!O$130:O$210)</f>
        <v>29590.938807238192</v>
      </c>
      <c r="P159" s="27">
        <f>'Statistics NZ'!P$159*'Economic Forecasts'!R$9*1000000/SUM('Statistics NZ'!P$30:P$110,'Statistics NZ'!P$130:P$210)</f>
        <v>29336.531205316147</v>
      </c>
      <c r="Q159" s="27">
        <f>'Statistics NZ'!Q$159*'Economic Forecasts'!S$9*1000000/SUM('Statistics NZ'!Q$30:Q$110,'Statistics NZ'!Q$130:Q$210)</f>
        <v>29767.160803348663</v>
      </c>
      <c r="R159" s="27">
        <f>'Statistics NZ'!R$159*'Economic Forecasts'!T$9*1000000/SUM('Statistics NZ'!R$30:R$110,'Statistics NZ'!R$130:R$210)</f>
        <v>29147.842441137622</v>
      </c>
      <c r="S159" s="27">
        <f>'Statistics NZ'!S$159*'Economic Forecasts'!U$9*1000000/SUM('Statistics NZ'!S$30:S$110,'Statistics NZ'!S$130:S$210)</f>
        <v>30878.36052707475</v>
      </c>
      <c r="T159" s="27">
        <f>'Statistics NZ'!T$159*'Economic Forecasts'!V$9*1000000/SUM('Statistics NZ'!T$30:T$110,'Statistics NZ'!T$130:T$210)</f>
        <v>32663.74543557642</v>
      </c>
      <c r="U159" s="28">
        <f>SUM('Statistics NZ'!U$159,$J$13/5*(U$8-U$9)*1000)*'Economic Forecasts'!W$9*1000000/SUM('Statistics NZ'!U$30:U$110,'Statistics NZ'!U$130:U$210,SUM($E$12:$T$13)*(U$8-U$9)*1000)</f>
        <v>33527.266532674548</v>
      </c>
      <c r="V159" s="28">
        <f>SUM('Statistics NZ'!V$159,$J$13/5*(V$8-V$9)*1000)*'Economic Forecasts'!X$9*1000000/SUM('Statistics NZ'!V$30:V$110,'Statistics NZ'!V$130:V$210,SUM($E$12:$T$13)*(V$8-V$9)*1000)</f>
        <v>34366.02727613302</v>
      </c>
      <c r="W159" s="28">
        <f>SUM('Statistics NZ'!W$159,$J$13/5*(W$8-W$9)*1000)*'Economic Forecasts'!Y$9*1000000/SUM('Statistics NZ'!W$30:W$110,'Statistics NZ'!W$130:W$210,SUM($E$12:$T$13)*(W$8-W$9)*1000)</f>
        <v>35777.031473514056</v>
      </c>
      <c r="X159" s="28">
        <f>SUM('Statistics NZ'!X$159,$J$13/5*(X$8-X$9)*1000)*'Economic Forecasts'!Z$9*1000000/SUM('Statistics NZ'!X$30:X$110,'Statistics NZ'!X$130:X$210,SUM($E$12:$T$13)*(X$8-X$9)*1000)</f>
        <v>36768.37233814138</v>
      </c>
      <c r="Y159" s="28">
        <f>SUM('Statistics NZ'!Y$159,$J$13/5*(Y$8-Y$9)*1000)*'Economic Forecasts'!AA$9*1000000/SUM('Statistics NZ'!Y$30:Y$110,'Statistics NZ'!Y$130:Y$210,SUM($E$12:$T$13)*(Y$8-Y$9)*1000)</f>
        <v>37376.966734340043</v>
      </c>
      <c r="Z159" s="28">
        <f>SUM('Statistics NZ'!Z$159,$J$13/5*(Z$8-Z$9)*1000)*'Economic Forecasts'!AB$9*1000000/SUM('Statistics NZ'!Z$30:Z$110,'Statistics NZ'!Z$130:Z$210,SUM($E$12:$T$13)*(Z$8-Z$9)*1000)</f>
        <v>38572.43825731174</v>
      </c>
      <c r="AA159" s="28">
        <f>SUM('Statistics NZ'!AA$159,$J$13/5*(AA$8-AA$9)*1000)*'Economic Forecasts'!AC$9*1000000/SUM('Statistics NZ'!AA$30:AA$110,'Statistics NZ'!AA$130:AA$210,SUM($E$12:$T$13)*(AA$8-AA$9)*1000)</f>
        <v>40688.122396083614</v>
      </c>
      <c r="AB159" s="18">
        <f>SUM(AA$159,'Statistics NZ'!AB$159-'Statistics NZ'!AA$159,$J$13/5*(AB$8-AB$9)*1000)</f>
        <v>41974.980894265085</v>
      </c>
      <c r="AC159" s="18">
        <f>SUM(AB$159,'Statistics NZ'!AC$159-'Statistics NZ'!AB$159,$J$13/5*(AC$8-AC$9)*1000)</f>
        <v>42796.21989305273</v>
      </c>
      <c r="AD159" s="18">
        <f>SUM(AC$159,'Statistics NZ'!AD$159-'Statistics NZ'!AC$159,$J$13/5*(AD$8-AD$9)*1000)</f>
        <v>44580.902809214247</v>
      </c>
      <c r="AE159" s="18">
        <f>SUM(AD$159,'Statistics NZ'!AE$159-'Statistics NZ'!AD$159,$J$13/5*(AE$8-AE$9)*1000)</f>
        <v>45380.902809214247</v>
      </c>
      <c r="AF159" s="18">
        <f>SUM(AE$159,'Statistics NZ'!AF$159-'Statistics NZ'!AE$159,$J$13/5*(AF$8-AF$9)*1000)</f>
        <v>45360.902809214247</v>
      </c>
      <c r="AG159" s="18">
        <f>SUM(AF$159,'Statistics NZ'!AG$159-'Statistics NZ'!AF$159,$J$13/5*(AG$8-AG$9)*1000)</f>
        <v>44490.902809214247</v>
      </c>
      <c r="AH159" s="18">
        <f>SUM(AG$159,'Statistics NZ'!AH$159-'Statistics NZ'!AG$159,$J$13/5*(AH$8-AH$9)*1000)</f>
        <v>43380.902809214247</v>
      </c>
      <c r="AI159" s="18">
        <f>SUM(AH$159,'Statistics NZ'!AI$159-'Statistics NZ'!AH$159,$J$13/5*(AI$8-AI$9)*1000)</f>
        <v>43000.902809214247</v>
      </c>
      <c r="AJ159" s="18">
        <f>SUM(AI$159,'Statistics NZ'!AJ$159-'Statistics NZ'!AI$159,$J$13/5*(AJ$8-AJ$9)*1000)</f>
        <v>42510.902809214247</v>
      </c>
      <c r="AK159" s="18">
        <f>SUM(AJ$159,'Statistics NZ'!AK$159-'Statistics NZ'!AJ$159,$J$13/5*(AK$8-AK$9)*1000)</f>
        <v>41080.902809214247</v>
      </c>
    </row>
    <row r="160" spans="1:37" x14ac:dyDescent="0.25">
      <c r="A160" s="12">
        <f>$A$60</f>
        <v>45</v>
      </c>
      <c r="B160" s="27">
        <f>'Statistics NZ'!B$160*'Economic Forecasts'!D$9*1000000/SUM('Statistics NZ'!B$30:B$110,'Statistics NZ'!B$130:B$210)</f>
        <v>30809.629829628186</v>
      </c>
      <c r="C160" s="27">
        <f>'Statistics NZ'!C$160*'Economic Forecasts'!E$9*1000000/SUM('Statistics NZ'!C$30:C$110,'Statistics NZ'!C$130:C$210)</f>
        <v>31561.731521713034</v>
      </c>
      <c r="D160" s="27">
        <f>'Statistics NZ'!D$160*'Economic Forecasts'!F$9*1000000/SUM('Statistics NZ'!D$30:D$110,'Statistics NZ'!D$130:D$210)</f>
        <v>31354.134068913037</v>
      </c>
      <c r="E160" s="27">
        <f>'Statistics NZ'!E$160*'Economic Forecasts'!G$9*1000000/SUM('Statistics NZ'!E$30:E$110,'Statistics NZ'!E$130:E$210)</f>
        <v>30921.543228750175</v>
      </c>
      <c r="F160" s="27">
        <f>'Statistics NZ'!F$160*'Economic Forecasts'!H$9*1000000/SUM('Statistics NZ'!F$30:F$110,'Statistics NZ'!F$130:F$210)</f>
        <v>29818.847294561238</v>
      </c>
      <c r="G160" s="27">
        <f>'Statistics NZ'!G$160*'Economic Forecasts'!I$9*1000000/SUM('Statistics NZ'!G$30:G$110,'Statistics NZ'!G$130:G$210)</f>
        <v>29437.949361694777</v>
      </c>
      <c r="H160" s="27">
        <f>'Statistics NZ'!H$160*'Economic Forecasts'!J$9*1000000/SUM('Statistics NZ'!H$30:H$110,'Statistics NZ'!H$130:H$210)</f>
        <v>29013.62998367718</v>
      </c>
      <c r="I160" s="27">
        <f>'Statistics NZ'!I$160*'Economic Forecasts'!K$9*1000000/SUM('Statistics NZ'!I$30:I$110,'Statistics NZ'!I$130:I$210)</f>
        <v>29342.041032346438</v>
      </c>
      <c r="J160" s="27">
        <f>'Statistics NZ'!J$160*'Economic Forecasts'!L$9*1000000/SUM('Statistics NZ'!J$30:J$110,'Statistics NZ'!J$130:J$210)</f>
        <v>29889.519077658861</v>
      </c>
      <c r="K160" s="27">
        <f>'Statistics NZ'!K$160*'Economic Forecasts'!M$9*1000000/SUM('Statistics NZ'!K$30:K$110,'Statistics NZ'!K$130:K$210)</f>
        <v>30123.862645604648</v>
      </c>
      <c r="L160" s="27">
        <f>'Statistics NZ'!L$160*'Economic Forecasts'!N$9*1000000/SUM('Statistics NZ'!L$30:L$110,'Statistics NZ'!L$130:L$210)</f>
        <v>31215.587767283894</v>
      </c>
      <c r="M160" s="27">
        <f>'Statistics NZ'!M$160*'Economic Forecasts'!O$9*1000000/SUM('Statistics NZ'!M$30:M$110,'Statistics NZ'!M$130:M$210)</f>
        <v>31751.114986083634</v>
      </c>
      <c r="N160" s="27">
        <f>'Statistics NZ'!N$160*'Economic Forecasts'!P$9*1000000/SUM('Statistics NZ'!N$30:N$110,'Statistics NZ'!N$130:N$210)</f>
        <v>31341.14447136419</v>
      </c>
      <c r="O160" s="27">
        <f>'Statistics NZ'!O$160*'Economic Forecasts'!Q$9*1000000/SUM('Statistics NZ'!O$30:O$110,'Statistics NZ'!O$130:O$210)</f>
        <v>30553.405452810493</v>
      </c>
      <c r="P160" s="27">
        <f>'Statistics NZ'!P$160*'Economic Forecasts'!R$9*1000000/SUM('Statistics NZ'!P$30:P$110,'Statistics NZ'!P$130:P$210)</f>
        <v>29845.709984580644</v>
      </c>
      <c r="Q160" s="27">
        <f>'Statistics NZ'!Q$160*'Economic Forecasts'!S$9*1000000/SUM('Statistics NZ'!Q$30:Q$110,'Statistics NZ'!Q$130:Q$210)</f>
        <v>29579.448869972082</v>
      </c>
      <c r="R160" s="27">
        <f>'Statistics NZ'!R$160*'Economic Forecasts'!T$9*1000000/SUM('Statistics NZ'!R$30:R$110,'Statistics NZ'!R$130:R$210)</f>
        <v>29622.273243841795</v>
      </c>
      <c r="S160" s="27">
        <f>'Statistics NZ'!S$160*'Economic Forecasts'!U$9*1000000/SUM('Statistics NZ'!S$30:S$110,'Statistics NZ'!S$130:S$210)</f>
        <v>29700.465942025556</v>
      </c>
      <c r="T160" s="27">
        <f>'Statistics NZ'!T$160*'Economic Forecasts'!V$9*1000000/SUM('Statistics NZ'!T$30:T$110,'Statistics NZ'!T$130:T$210)</f>
        <v>31622.435054773083</v>
      </c>
      <c r="U160" s="28">
        <f>SUM('Statistics NZ'!U$160,$K$13/5*(U$8-U$9)*1000)*'Economic Forecasts'!W$9*1000000/SUM('Statistics NZ'!U$30:U$110,'Statistics NZ'!U$130:U$210,SUM($E$12:$T$13)*(U$8-U$9)*1000)</f>
        <v>32714.917502648412</v>
      </c>
      <c r="V160" s="28">
        <f>SUM('Statistics NZ'!V$160,$K$13/5*(V$8-V$9)*1000)*'Economic Forecasts'!X$9*1000000/SUM('Statistics NZ'!V$30:V$110,'Statistics NZ'!V$130:V$210,SUM($E$12:$T$13)*(V$8-V$9)*1000)</f>
        <v>33591.841895931379</v>
      </c>
      <c r="W160" s="28">
        <f>SUM('Statistics NZ'!W$160,$K$13/5*(W$8-W$9)*1000)*'Economic Forecasts'!Y$9*1000000/SUM('Statistics NZ'!W$30:W$110,'Statistics NZ'!W$130:W$210,SUM($E$12:$T$13)*(W$8-W$9)*1000)</f>
        <v>34469.594176164792</v>
      </c>
      <c r="X160" s="28">
        <f>SUM('Statistics NZ'!X$160,$K$13/5*(X$8-X$9)*1000)*'Economic Forecasts'!Z$9*1000000/SUM('Statistics NZ'!X$30:X$110,'Statistics NZ'!X$130:X$210,SUM($E$12:$T$13)*(X$8-X$9)*1000)</f>
        <v>35855.044449732435</v>
      </c>
      <c r="Y160" s="28">
        <f>SUM('Statistics NZ'!Y$160,$K$13/5*(Y$8-Y$9)*1000)*'Economic Forecasts'!AA$9*1000000/SUM('Statistics NZ'!Y$30:Y$110,'Statistics NZ'!Y$130:Y$210,SUM($E$12:$T$13)*(Y$8-Y$9)*1000)</f>
        <v>36860.350457129454</v>
      </c>
      <c r="Z160" s="28">
        <f>SUM('Statistics NZ'!Z$160,$K$13/5*(Z$8-Z$9)*1000)*'Economic Forecasts'!AB$9*1000000/SUM('Statistics NZ'!Z$30:Z$110,'Statistics NZ'!Z$130:Z$210,SUM($E$12:$T$13)*(Z$8-Z$9)*1000)</f>
        <v>37482.007714387393</v>
      </c>
      <c r="AA160" s="28">
        <f>SUM('Statistics NZ'!AA$160,$K$13/5*(AA$8-AA$9)*1000)*'Economic Forecasts'!AC$9*1000000/SUM('Statistics NZ'!AA$30:AA$110,'Statistics NZ'!AA$130:AA$210,SUM($E$12:$T$13)*(AA$8-AA$9)*1000)</f>
        <v>38699.564974025314</v>
      </c>
      <c r="AB160" s="18">
        <f>SUM(AA$160,'Statistics NZ'!AB$160-'Statistics NZ'!AA$160,$K$13/5*(AB$8-AB$9)*1000)</f>
        <v>40846.150430353417</v>
      </c>
      <c r="AC160" s="18">
        <f>SUM(AB$160,'Statistics NZ'!AC$160-'Statistics NZ'!AB$160,$K$13/5*(AC$8-AC$9)*1000)</f>
        <v>42120.540734572154</v>
      </c>
      <c r="AD160" s="18">
        <f>SUM(AC$160,'Statistics NZ'!AD$160-'Statistics NZ'!AC$160,$K$13/5*(AD$8-AD$9)*1000)</f>
        <v>42942.370027996629</v>
      </c>
      <c r="AE160" s="18">
        <f>SUM(AD$160,'Statistics NZ'!AE$160-'Statistics NZ'!AD$160,$K$13/5*(AE$8-AE$9)*1000)</f>
        <v>44712.370027996629</v>
      </c>
      <c r="AF160" s="18">
        <f>SUM(AE$160,'Statistics NZ'!AF$160-'Statistics NZ'!AE$160,$K$13/5*(AF$8-AF$9)*1000)</f>
        <v>45522.370027996629</v>
      </c>
      <c r="AG160" s="18">
        <f>SUM(AF$160,'Statistics NZ'!AG$160-'Statistics NZ'!AF$160,$K$13/5*(AG$8-AG$9)*1000)</f>
        <v>45502.370027996629</v>
      </c>
      <c r="AH160" s="18">
        <f>SUM(AG$160,'Statistics NZ'!AH$160-'Statistics NZ'!AG$160,$K$13/5*(AH$8-AH$9)*1000)</f>
        <v>44632.370027996629</v>
      </c>
      <c r="AI160" s="18">
        <f>SUM(AH$160,'Statistics NZ'!AI$160-'Statistics NZ'!AH$160,$K$13/5*(AI$8-AI$9)*1000)</f>
        <v>43522.370027996629</v>
      </c>
      <c r="AJ160" s="18">
        <f>SUM(AI$160,'Statistics NZ'!AJ$160-'Statistics NZ'!AI$160,$K$13/5*(AJ$8-AJ$9)*1000)</f>
        <v>43152.370027996629</v>
      </c>
      <c r="AK160" s="18">
        <f>SUM(AJ$160,'Statistics NZ'!AK$160-'Statistics NZ'!AJ$160,$K$13/5*(AK$8-AK$9)*1000)</f>
        <v>42662.370027996629</v>
      </c>
    </row>
    <row r="161" spans="1:37" x14ac:dyDescent="0.25">
      <c r="A161" s="12">
        <f>$A$61</f>
        <v>46</v>
      </c>
      <c r="B161" s="27">
        <f>'Statistics NZ'!B$161*'Economic Forecasts'!D$9*1000000/SUM('Statistics NZ'!B$30:B$110,'Statistics NZ'!B$130:B$210)</f>
        <v>29880.155446073193</v>
      </c>
      <c r="C161" s="27">
        <f>'Statistics NZ'!C$161*'Economic Forecasts'!E$9*1000000/SUM('Statistics NZ'!C$30:C$110,'Statistics NZ'!C$130:C$210)</f>
        <v>30854.685887125808</v>
      </c>
      <c r="D161" s="27">
        <f>'Statistics NZ'!D$161*'Economic Forecasts'!F$9*1000000/SUM('Statistics NZ'!D$30:D$110,'Statistics NZ'!D$130:D$210)</f>
        <v>31501.474924500035</v>
      </c>
      <c r="E161" s="27">
        <f>'Statistics NZ'!E$161*'Economic Forecasts'!G$9*1000000/SUM('Statistics NZ'!E$30:E$110,'Statistics NZ'!E$130:E$210)</f>
        <v>31254.982007620307</v>
      </c>
      <c r="F161" s="27">
        <f>'Statistics NZ'!F$161*'Economic Forecasts'!H$9*1000000/SUM('Statistics NZ'!F$30:F$110,'Statistics NZ'!F$130:F$210)</f>
        <v>30858.58341733212</v>
      </c>
      <c r="G161" s="27">
        <f>'Statistics NZ'!G$161*'Economic Forecasts'!I$9*1000000/SUM('Statistics NZ'!G$30:G$110,'Statistics NZ'!G$130:G$210)</f>
        <v>29752.268473998491</v>
      </c>
      <c r="H161" s="27">
        <f>'Statistics NZ'!H$161*'Economic Forecasts'!J$9*1000000/SUM('Statistics NZ'!H$30:H$110,'Statistics NZ'!H$130:H$210)</f>
        <v>29298.55896082809</v>
      </c>
      <c r="I161" s="27">
        <f>'Statistics NZ'!I$161*'Economic Forecasts'!K$9*1000000/SUM('Statistics NZ'!I$30:I$110,'Statistics NZ'!I$130:I$210)</f>
        <v>28940.095264780055</v>
      </c>
      <c r="J161" s="27">
        <f>'Statistics NZ'!J$161*'Economic Forecasts'!L$9*1000000/SUM('Statistics NZ'!J$30:J$110,'Statistics NZ'!J$130:J$210)</f>
        <v>29479.940023413619</v>
      </c>
      <c r="K161" s="27">
        <f>'Statistics NZ'!K$161*'Economic Forecasts'!M$9*1000000/SUM('Statistics NZ'!K$30:K$110,'Statistics NZ'!K$130:K$210)</f>
        <v>30269.90593574171</v>
      </c>
      <c r="L161" s="27">
        <f>'Statistics NZ'!L$161*'Economic Forecasts'!N$9*1000000/SUM('Statistics NZ'!L$30:L$110,'Statistics NZ'!L$130:L$210)</f>
        <v>30631.390865837537</v>
      </c>
      <c r="M161" s="27">
        <f>'Statistics NZ'!M$161*'Economic Forecasts'!O$9*1000000/SUM('Statistics NZ'!M$30:M$110,'Statistics NZ'!M$130:M$210)</f>
        <v>31809.73242913486</v>
      </c>
      <c r="N161" s="27">
        <f>'Statistics NZ'!N$161*'Economic Forecasts'!P$9*1000000/SUM('Statistics NZ'!N$30:N$110,'Statistics NZ'!N$130:N$210)</f>
        <v>32290.28309569211</v>
      </c>
      <c r="O161" s="27">
        <f>'Statistics NZ'!O$161*'Economic Forecasts'!Q$9*1000000/SUM('Statistics NZ'!O$30:O$110,'Statistics NZ'!O$130:O$210)</f>
        <v>31673.009509904801</v>
      </c>
      <c r="P161" s="27">
        <f>'Statistics NZ'!P$161*'Economic Forecasts'!R$9*1000000/SUM('Statistics NZ'!P$30:P$110,'Statistics NZ'!P$130:P$210)</f>
        <v>30815.10804510344</v>
      </c>
      <c r="Q161" s="27">
        <f>'Statistics NZ'!Q$161*'Economic Forecasts'!S$9*1000000/SUM('Statistics NZ'!Q$30:Q$110,'Statistics NZ'!Q$130:Q$210)</f>
        <v>30033.909340252219</v>
      </c>
      <c r="R161" s="27">
        <f>'Statistics NZ'!R$161*'Economic Forecasts'!T$9*1000000/SUM('Statistics NZ'!R$30:R$110,'Statistics NZ'!R$130:R$210)</f>
        <v>29385.057842489707</v>
      </c>
      <c r="S161" s="27">
        <f>'Statistics NZ'!S$161*'Economic Forecasts'!U$9*1000000/SUM('Statistics NZ'!S$30:S$110,'Statistics NZ'!S$130:S$210)</f>
        <v>30002.240587781962</v>
      </c>
      <c r="T161" s="27">
        <f>'Statistics NZ'!T$161*'Economic Forecasts'!V$9*1000000/SUM('Statistics NZ'!T$30:T$110,'Statistics NZ'!T$130:T$210)</f>
        <v>30315.885237350023</v>
      </c>
      <c r="U161" s="28">
        <f>SUM('Statistics NZ'!U$161,$K$13/5*(U$8-U$9)*1000)*'Economic Forecasts'!W$9*1000000/SUM('Statistics NZ'!U$30:U$110,'Statistics NZ'!U$130:U$210,SUM($E$12:$T$13)*(U$8-U$9)*1000)</f>
        <v>31632.48447422485</v>
      </c>
      <c r="V161" s="28">
        <f>SUM('Statistics NZ'!V$161,$K$13/5*(V$8-V$9)*1000)*'Economic Forecasts'!X$9*1000000/SUM('Statistics NZ'!V$30:V$110,'Statistics NZ'!V$130:V$210,SUM($E$12:$T$13)*(V$8-V$9)*1000)</f>
        <v>32650.141988459269</v>
      </c>
      <c r="W161" s="28">
        <f>SUM('Statistics NZ'!W$161,$K$13/5*(W$8-W$9)*1000)*'Economic Forecasts'!Y$9*1000000/SUM('Statistics NZ'!W$30:W$110,'Statistics NZ'!W$130:W$210,SUM($E$12:$T$13)*(W$8-W$9)*1000)</f>
        <v>33579.432861187546</v>
      </c>
      <c r="X161" s="28">
        <f>SUM('Statistics NZ'!X$161,$K$13/5*(X$8-X$9)*1000)*'Economic Forecasts'!Z$9*1000000/SUM('Statistics NZ'!X$30:X$110,'Statistics NZ'!X$130:X$210,SUM($E$12:$T$13)*(X$8-X$9)*1000)</f>
        <v>34497.028807925621</v>
      </c>
      <c r="Y161" s="28">
        <f>SUM('Statistics NZ'!Y$161,$K$13/5*(Y$8-Y$9)*1000)*'Economic Forecasts'!AA$9*1000000/SUM('Statistics NZ'!Y$30:Y$110,'Statistics NZ'!Y$130:Y$210,SUM($E$12:$T$13)*(Y$8-Y$9)*1000)</f>
        <v>35912.760336002124</v>
      </c>
      <c r="Z161" s="28">
        <f>SUM('Statistics NZ'!Z$161,$K$13/5*(Z$8-Z$9)*1000)*'Economic Forecasts'!AB$9*1000000/SUM('Statistics NZ'!Z$30:Z$110,'Statistics NZ'!Z$130:Z$210,SUM($E$12:$T$13)*(Z$8-Z$9)*1000)</f>
        <v>36934.828601125453</v>
      </c>
      <c r="AA161" s="28">
        <f>SUM('Statistics NZ'!AA$161,$K$13/5*(AA$8-AA$9)*1000)*'Economic Forecasts'!AC$9*1000000/SUM('Statistics NZ'!AA$30:AA$110,'Statistics NZ'!AA$130:AA$210,SUM($E$12:$T$13)*(AA$8-AA$9)*1000)</f>
        <v>37565.630565837186</v>
      </c>
      <c r="AB161" s="18">
        <f>SUM(AA$161,'Statistics NZ'!AB$161-'Statistics NZ'!AA$161,$K$13/5*(AB$8-AB$9)*1000)</f>
        <v>38802.216022165288</v>
      </c>
      <c r="AC161" s="18">
        <f>SUM(AB$161,'Statistics NZ'!AC$161-'Statistics NZ'!AB$161,$K$13/5*(AC$8-AC$9)*1000)</f>
        <v>40946.606326384026</v>
      </c>
      <c r="AD161" s="18">
        <f>SUM(AC$161,'Statistics NZ'!AD$161-'Statistics NZ'!AC$161,$K$13/5*(AD$8-AD$9)*1000)</f>
        <v>42218.435619808501</v>
      </c>
      <c r="AE161" s="18">
        <f>SUM(AD$161,'Statistics NZ'!AE$161-'Statistics NZ'!AD$161,$K$13/5*(AE$8-AE$9)*1000)</f>
        <v>43038.435619808501</v>
      </c>
      <c r="AF161" s="18">
        <f>SUM(AE$161,'Statistics NZ'!AF$161-'Statistics NZ'!AE$161,$K$13/5*(AF$8-AF$9)*1000)</f>
        <v>44818.435619808501</v>
      </c>
      <c r="AG161" s="18">
        <f>SUM(AF$161,'Statistics NZ'!AG$161-'Statistics NZ'!AF$161,$K$13/5*(AG$8-AG$9)*1000)</f>
        <v>45618.435619808501</v>
      </c>
      <c r="AH161" s="18">
        <f>SUM(AG$161,'Statistics NZ'!AH$161-'Statistics NZ'!AG$161,$K$13/5*(AH$8-AH$9)*1000)</f>
        <v>45598.435619808501</v>
      </c>
      <c r="AI161" s="18">
        <f>SUM(AH$161,'Statistics NZ'!AI$161-'Statistics NZ'!AH$161,$K$13/5*(AI$8-AI$9)*1000)</f>
        <v>44738.435619808501</v>
      </c>
      <c r="AJ161" s="18">
        <f>SUM(AI$161,'Statistics NZ'!AJ$161-'Statistics NZ'!AI$161,$K$13/5*(AJ$8-AJ$9)*1000)</f>
        <v>43638.435619808501</v>
      </c>
      <c r="AK161" s="18">
        <f>SUM(AJ$161,'Statistics NZ'!AK$161-'Statistics NZ'!AJ$161,$K$13/5*(AK$8-AK$9)*1000)</f>
        <v>43258.435619808501</v>
      </c>
    </row>
    <row r="162" spans="1:37" x14ac:dyDescent="0.25">
      <c r="A162" s="12">
        <f>$A$62</f>
        <v>47</v>
      </c>
      <c r="B162" s="27">
        <f>'Statistics NZ'!B$162*'Economic Forecasts'!D$9*1000000/SUM('Statistics NZ'!B$30:B$110,'Statistics NZ'!B$130:B$210)</f>
        <v>29430.094165614988</v>
      </c>
      <c r="C162" s="27">
        <f>'Statistics NZ'!C$162*'Economic Forecasts'!E$9*1000000/SUM('Statistics NZ'!C$30:C$110,'Statistics NZ'!C$130:C$210)</f>
        <v>29921.778452601</v>
      </c>
      <c r="D162" s="27">
        <f>'Statistics NZ'!D$162*'Economic Forecasts'!F$9*1000000/SUM('Statistics NZ'!D$30:D$110,'Statistics NZ'!D$130:D$210)</f>
        <v>30715.657028036047</v>
      </c>
      <c r="E162" s="27">
        <f>'Statistics NZ'!E$162*'Economic Forecasts'!G$9*1000000/SUM('Statistics NZ'!E$30:E$110,'Statistics NZ'!E$130:E$210)</f>
        <v>31343.245213791804</v>
      </c>
      <c r="F162" s="27">
        <f>'Statistics NZ'!F$162*'Economic Forecasts'!H$9*1000000/SUM('Statistics NZ'!F$30:F$110,'Statistics NZ'!F$130:F$210)</f>
        <v>31113.613032351393</v>
      </c>
      <c r="G162" s="27">
        <f>'Statistics NZ'!G$162*'Economic Forecasts'!I$9*1000000/SUM('Statistics NZ'!G$30:G$110,'Statistics NZ'!G$130:G$210)</f>
        <v>30744.338172207092</v>
      </c>
      <c r="H162" s="27">
        <f>'Statistics NZ'!H$162*'Economic Forecasts'!J$9*1000000/SUM('Statistics NZ'!H$30:H$110,'Statistics NZ'!H$130:H$210)</f>
        <v>29622.788486551537</v>
      </c>
      <c r="I162" s="27">
        <f>'Statistics NZ'!I$162*'Economic Forecasts'!K$9*1000000/SUM('Statistics NZ'!I$30:I$110,'Statistics NZ'!I$130:I$210)</f>
        <v>29096.952149684013</v>
      </c>
      <c r="J162" s="27">
        <f>'Statistics NZ'!J$162*'Economic Forecasts'!L$9*1000000/SUM('Statistics NZ'!J$30:J$110,'Statistics NZ'!J$130:J$210)</f>
        <v>29041.105322436571</v>
      </c>
      <c r="K162" s="27">
        <f>'Statistics NZ'!K$162*'Economic Forecasts'!M$9*1000000/SUM('Statistics NZ'!K$30:K$110,'Statistics NZ'!K$130:K$210)</f>
        <v>29783.09496861817</v>
      </c>
      <c r="L162" s="27">
        <f>'Statistics NZ'!L$162*'Economic Forecasts'!N$9*1000000/SUM('Statistics NZ'!L$30:L$110,'Statistics NZ'!L$130:L$210)</f>
        <v>30660.60071090985</v>
      </c>
      <c r="M162" s="27">
        <f>'Statistics NZ'!M$162*'Economic Forecasts'!O$9*1000000/SUM('Statistics NZ'!M$30:M$110,'Statistics NZ'!M$130:M$210)</f>
        <v>31184.47970325506</v>
      </c>
      <c r="N162" s="27">
        <f>'Statistics NZ'!N$162*'Economic Forecasts'!P$9*1000000/SUM('Statistics NZ'!N$30:N$110,'Statistics NZ'!N$130:N$210)</f>
        <v>32290.28309569211</v>
      </c>
      <c r="O162" s="27">
        <f>'Statistics NZ'!O$162*'Economic Forecasts'!Q$9*1000000/SUM('Statistics NZ'!O$30:O$110,'Statistics NZ'!O$130:O$210)</f>
        <v>32606.012890816724</v>
      </c>
      <c r="P162" s="27">
        <f>'Statistics NZ'!P$162*'Economic Forecasts'!R$9*1000000/SUM('Statistics NZ'!P$30:P$110,'Statistics NZ'!P$130:P$210)</f>
        <v>31813.881804429959</v>
      </c>
      <c r="Q162" s="27">
        <f>'Statistics NZ'!Q$162*'Economic Forecasts'!S$9*1000000/SUM('Statistics NZ'!Q$30:Q$110,'Statistics NZ'!Q$130:Q$210)</f>
        <v>30992.228158016846</v>
      </c>
      <c r="R162" s="27">
        <f>'Statistics NZ'!R$162*'Economic Forecasts'!T$9*1000000/SUM('Statistics NZ'!R$30:R$110,'Statistics NZ'!R$130:R$210)</f>
        <v>29819.952744968534</v>
      </c>
      <c r="S162" s="27">
        <f>'Statistics NZ'!S$162*'Economic Forecasts'!U$9*1000000/SUM('Statistics NZ'!S$30:S$110,'Statistics NZ'!S$130:S$210)</f>
        <v>29642.057946072706</v>
      </c>
      <c r="T162" s="27">
        <f>'Statistics NZ'!T$162*'Economic Forecasts'!V$9*1000000/SUM('Statistics NZ'!T$30:T$110,'Statistics NZ'!T$130:T$210)</f>
        <v>30561.477308294205</v>
      </c>
      <c r="U162" s="28">
        <f>SUM('Statistics NZ'!U$162,$K$13/5*(U$8-U$9)*1000)*'Economic Forecasts'!W$9*1000000/SUM('Statistics NZ'!U$30:U$110,'Statistics NZ'!U$130:U$210,SUM($E$12:$T$13)*(U$8-U$9)*1000)</f>
        <v>30284.363338824602</v>
      </c>
      <c r="V162" s="28">
        <f>SUM('Statistics NZ'!V$162,$K$13/5*(V$8-V$9)*1000)*'Economic Forecasts'!X$9*1000000/SUM('Statistics NZ'!V$30:V$110,'Statistics NZ'!V$130:V$210,SUM($E$12:$T$13)*(V$8-V$9)*1000)</f>
        <v>31541.682722372308</v>
      </c>
      <c r="W162" s="28">
        <f>SUM('Statistics NZ'!W$162,$K$13/5*(W$8-W$9)*1000)*'Economic Forecasts'!Y$9*1000000/SUM('Statistics NZ'!W$30:W$110,'Statistics NZ'!W$130:W$210,SUM($E$12:$T$13)*(W$8-W$9)*1000)</f>
        <v>32611.015606432076</v>
      </c>
      <c r="X162" s="28">
        <f>SUM('Statistics NZ'!X$162,$K$13/5*(X$8-X$9)*1000)*'Economic Forecasts'!Z$9*1000000/SUM('Statistics NZ'!X$30:X$110,'Statistics NZ'!X$130:X$210,SUM($E$12:$T$13)*(X$8-X$9)*1000)</f>
        <v>33568.888621079241</v>
      </c>
      <c r="Y162" s="28">
        <f>SUM('Statistics NZ'!Y$162,$K$13/5*(Y$8-Y$9)*1000)*'Economic Forecasts'!AA$9*1000000/SUM('Statistics NZ'!Y$30:Y$110,'Statistics NZ'!Y$130:Y$210,SUM($E$12:$T$13)*(Y$8-Y$9)*1000)</f>
        <v>34525.566550434276</v>
      </c>
      <c r="Z162" s="28">
        <f>SUM('Statistics NZ'!Z$162,$K$13/5*(Z$8-Z$9)*1000)*'Economic Forecasts'!AB$9*1000000/SUM('Statistics NZ'!Z$30:Z$110,'Statistics NZ'!Z$130:Z$210,SUM($E$12:$T$13)*(Z$8-Z$9)*1000)</f>
        <v>35947.951986135187</v>
      </c>
      <c r="AA162" s="28">
        <f>SUM('Statistics NZ'!AA$162,$K$13/5*(AA$8-AA$9)*1000)*'Economic Forecasts'!AC$9*1000000/SUM('Statistics NZ'!AA$30:AA$110,'Statistics NZ'!AA$130:AA$210,SUM($E$12:$T$13)*(AA$8-AA$9)*1000)</f>
        <v>36979.112768498497</v>
      </c>
      <c r="AB162" s="18">
        <f>SUM(AA$162,'Statistics NZ'!AB$162-'Statistics NZ'!AA$162,$K$13/5*(AB$8-AB$9)*1000)</f>
        <v>37615.698224826599</v>
      </c>
      <c r="AC162" s="18">
        <f>SUM(AB$162,'Statistics NZ'!AC$162-'Statistics NZ'!AB$162,$K$13/5*(AC$8-AC$9)*1000)</f>
        <v>38850.088529045337</v>
      </c>
      <c r="AD162" s="18">
        <f>SUM(AC$162,'Statistics NZ'!AD$162-'Statistics NZ'!AC$162,$K$13/5*(AD$8-AD$9)*1000)</f>
        <v>40991.917822469812</v>
      </c>
      <c r="AE162" s="18">
        <f>SUM(AD$162,'Statistics NZ'!AE$162-'Statistics NZ'!AD$162,$K$13/5*(AE$8-AE$9)*1000)</f>
        <v>42271.917822469812</v>
      </c>
      <c r="AF162" s="18">
        <f>SUM(AE$162,'Statistics NZ'!AF$162-'Statistics NZ'!AE$162,$K$13/5*(AF$8-AF$9)*1000)</f>
        <v>43081.917822469812</v>
      </c>
      <c r="AG162" s="18">
        <f>SUM(AF$162,'Statistics NZ'!AG$162-'Statistics NZ'!AF$162,$K$13/5*(AG$8-AG$9)*1000)</f>
        <v>44861.917822469812</v>
      </c>
      <c r="AH162" s="18">
        <f>SUM(AG$162,'Statistics NZ'!AH$162-'Statistics NZ'!AG$162,$K$13/5*(AH$8-AH$9)*1000)</f>
        <v>45671.917822469812</v>
      </c>
      <c r="AI162" s="18">
        <f>SUM(AH$162,'Statistics NZ'!AI$162-'Statistics NZ'!AH$162,$K$13/5*(AI$8-AI$9)*1000)</f>
        <v>45651.917822469812</v>
      </c>
      <c r="AJ162" s="18">
        <f>SUM(AI$162,'Statistics NZ'!AJ$162-'Statistics NZ'!AI$162,$K$13/5*(AJ$8-AJ$9)*1000)</f>
        <v>44801.917822469812</v>
      </c>
      <c r="AK162" s="18">
        <f>SUM(AJ$162,'Statistics NZ'!AK$162-'Statistics NZ'!AJ$162,$K$13/5*(AK$8-AK$9)*1000)</f>
        <v>43691.917822469812</v>
      </c>
    </row>
    <row r="163" spans="1:37" x14ac:dyDescent="0.25">
      <c r="A163" s="12">
        <f>$A$63</f>
        <v>48</v>
      </c>
      <c r="B163" s="27">
        <f>'Statistics NZ'!B$163*'Economic Forecasts'!D$9*1000000/SUM('Statistics NZ'!B$30:B$110,'Statistics NZ'!B$130:B$210)</f>
        <v>27991.854856324622</v>
      </c>
      <c r="C163" s="27">
        <f>'Statistics NZ'!C$163*'Economic Forecasts'!E$9*1000000/SUM('Statistics NZ'!C$30:C$110,'Statistics NZ'!C$130:C$210)</f>
        <v>29470.054852725832</v>
      </c>
      <c r="D163" s="27">
        <f>'Statistics NZ'!D$163*'Economic Forecasts'!F$9*1000000/SUM('Statistics NZ'!D$30:D$110,'Statistics NZ'!D$130:D$210)</f>
        <v>29802.143723396664</v>
      </c>
      <c r="E163" s="27">
        <f>'Statistics NZ'!E$163*'Economic Forecasts'!G$9*1000000/SUM('Statistics NZ'!E$30:E$110,'Statistics NZ'!E$130:E$210)</f>
        <v>30637.139564419776</v>
      </c>
      <c r="F163" s="27">
        <f>'Statistics NZ'!F$163*'Economic Forecasts'!H$9*1000000/SUM('Statistics NZ'!F$30:F$110,'Statistics NZ'!F$130:F$210)</f>
        <v>31280.363165248611</v>
      </c>
      <c r="G163" s="27">
        <f>'Statistics NZ'!G$163*'Economic Forecasts'!I$9*1000000/SUM('Statistics NZ'!G$30:G$110,'Statistics NZ'!G$130:G$210)</f>
        <v>30970.255034175381</v>
      </c>
      <c r="H163" s="27">
        <f>'Statistics NZ'!H$163*'Economic Forecasts'!J$9*1000000/SUM('Statistics NZ'!H$30:H$110,'Statistics NZ'!H$130:H$210)</f>
        <v>30566.001652292485</v>
      </c>
      <c r="I163" s="27">
        <f>'Statistics NZ'!I$163*'Economic Forecasts'!K$9*1000000/SUM('Statistics NZ'!I$30:I$110,'Statistics NZ'!I$130:I$210)</f>
        <v>29410.665919491923</v>
      </c>
      <c r="J163" s="27">
        <f>'Statistics NZ'!J$163*'Economic Forecasts'!L$9*1000000/SUM('Statistics NZ'!J$30:J$110,'Statistics NZ'!J$130:J$210)</f>
        <v>29158.127909363786</v>
      </c>
      <c r="K163" s="27">
        <f>'Statistics NZ'!K$163*'Economic Forecasts'!M$9*1000000/SUM('Statistics NZ'!K$30:K$110,'Statistics NZ'!K$130:K$210)</f>
        <v>29286.54778215216</v>
      </c>
      <c r="L163" s="27">
        <f>'Statistics NZ'!L$163*'Economic Forecasts'!N$9*1000000/SUM('Statistics NZ'!L$30:L$110,'Statistics NZ'!L$130:L$210)</f>
        <v>30212.716419800974</v>
      </c>
      <c r="M163" s="27">
        <f>'Statistics NZ'!M$163*'Economic Forecasts'!O$9*1000000/SUM('Statistics NZ'!M$30:M$110,'Statistics NZ'!M$130:M$210)</f>
        <v>31164.94055557132</v>
      </c>
      <c r="N163" s="27">
        <f>'Statistics NZ'!N$163*'Economic Forecasts'!P$9*1000000/SUM('Statistics NZ'!N$30:N$110,'Statistics NZ'!N$130:N$210)</f>
        <v>31595.552762421157</v>
      </c>
      <c r="O163" s="27">
        <f>'Statistics NZ'!O$163*'Economic Forecasts'!Q$9*1000000/SUM('Statistics NZ'!O$30:O$110,'Statistics NZ'!O$130:O$210)</f>
        <v>32596.191802596601</v>
      </c>
      <c r="P163" s="27">
        <f>'Statistics NZ'!P$163*'Economic Forecasts'!R$9*1000000/SUM('Statistics NZ'!P$30:P$110,'Statistics NZ'!P$130:P$210)</f>
        <v>32665.777069737866</v>
      </c>
      <c r="Q163" s="27">
        <f>'Statistics NZ'!Q$163*'Economic Forecasts'!S$9*1000000/SUM('Statistics NZ'!Q$30:Q$110,'Statistics NZ'!Q$130:Q$210)</f>
        <v>32009.824428426702</v>
      </c>
      <c r="R163" s="27">
        <f>'Statistics NZ'!R$163*'Economic Forecasts'!T$9*1000000/SUM('Statistics NZ'!R$30:R$110,'Statistics NZ'!R$130:R$210)</f>
        <v>30838.002175771238</v>
      </c>
      <c r="S163" s="27">
        <f>'Statistics NZ'!S$163*'Economic Forecasts'!U$9*1000000/SUM('Statistics NZ'!S$30:S$110,'Statistics NZ'!S$130:S$210)</f>
        <v>29827.016599923401</v>
      </c>
      <c r="T163" s="27">
        <f>'Statistics NZ'!T$163*'Economic Forecasts'!V$9*1000000/SUM('Statistics NZ'!T$30:T$110,'Statistics NZ'!T$130:T$210)</f>
        <v>30129.235263432442</v>
      </c>
      <c r="U163" s="28">
        <f>SUM('Statistics NZ'!U$163,$K$13/5*(U$8-U$9)*1000)*'Economic Forecasts'!W$9*1000000/SUM('Statistics NZ'!U$30:U$110,'Statistics NZ'!U$130:U$210,SUM($E$12:$T$13)*(U$8-U$9)*1000)</f>
        <v>30491.009644250913</v>
      </c>
      <c r="V163" s="28">
        <f>SUM('Statistics NZ'!V$163,$K$13/5*(V$8-V$9)*1000)*'Economic Forecasts'!X$9*1000000/SUM('Statistics NZ'!V$30:V$110,'Statistics NZ'!V$130:V$210,SUM($E$12:$T$13)*(V$8-V$9)*1000)</f>
        <v>30158.560983272651</v>
      </c>
      <c r="W163" s="28">
        <f>SUM('Statistics NZ'!W$163,$K$13/5*(W$8-W$9)*1000)*'Economic Forecasts'!Y$9*1000000/SUM('Statistics NZ'!W$30:W$110,'Statistics NZ'!W$130:W$210,SUM($E$12:$T$13)*(W$8-W$9)*1000)</f>
        <v>31466.522487175607</v>
      </c>
      <c r="X163" s="28">
        <f>SUM('Statistics NZ'!X$163,$K$13/5*(X$8-X$9)*1000)*'Economic Forecasts'!Z$9*1000000/SUM('Statistics NZ'!X$30:X$110,'Statistics NZ'!X$130:X$210,SUM($E$12:$T$13)*(X$8-X$9)*1000)</f>
        <v>32562.589260603687</v>
      </c>
      <c r="Y163" s="28">
        <f>SUM('Statistics NZ'!Y$163,$K$13/5*(Y$8-Y$9)*1000)*'Economic Forecasts'!AA$9*1000000/SUM('Statistics NZ'!Y$30:Y$110,'Statistics NZ'!Y$130:Y$210,SUM($E$12:$T$13)*(Y$8-Y$9)*1000)</f>
        <v>33558.438488665146</v>
      </c>
      <c r="Z163" s="28">
        <f>SUM('Statistics NZ'!Z$163,$K$13/5*(Z$8-Z$9)*1000)*'Economic Forecasts'!AB$9*1000000/SUM('Statistics NZ'!Z$30:Z$110,'Statistics NZ'!Z$130:Z$210,SUM($E$12:$T$13)*(Z$8-Z$9)*1000)</f>
        <v>34521.377869416574</v>
      </c>
      <c r="AA163" s="28">
        <f>SUM('Statistics NZ'!AA$163,$K$13/5*(AA$8-AA$9)*1000)*'Economic Forecasts'!AC$9*1000000/SUM('Statistics NZ'!AA$30:AA$110,'Statistics NZ'!AA$130:AA$210,SUM($E$12:$T$13)*(AA$8-AA$9)*1000)</f>
        <v>35952.706623155798</v>
      </c>
      <c r="AB163" s="18">
        <f>SUM(AA$163,'Statistics NZ'!AB$163-'Statistics NZ'!AA$163,$K$13/5*(AB$8-AB$9)*1000)</f>
        <v>37009.292079483901</v>
      </c>
      <c r="AC163" s="18">
        <f>SUM(AB$163,'Statistics NZ'!AC$163-'Statistics NZ'!AB$163,$K$13/5*(AC$8-AC$9)*1000)</f>
        <v>37643.682383702639</v>
      </c>
      <c r="AD163" s="18">
        <f>SUM(AC$163,'Statistics NZ'!AD$163-'Statistics NZ'!AC$163,$K$13/5*(AD$8-AD$9)*1000)</f>
        <v>38875.511677127113</v>
      </c>
      <c r="AE163" s="18">
        <f>SUM(AD$163,'Statistics NZ'!AE$163-'Statistics NZ'!AD$163,$K$13/5*(AE$8-AE$9)*1000)</f>
        <v>41005.511677127113</v>
      </c>
      <c r="AF163" s="18">
        <f>SUM(AE$163,'Statistics NZ'!AF$163-'Statistics NZ'!AE$163,$K$13/5*(AF$8-AF$9)*1000)</f>
        <v>42285.511677127113</v>
      </c>
      <c r="AG163" s="18">
        <f>SUM(AF$163,'Statistics NZ'!AG$163-'Statistics NZ'!AF$163,$K$13/5*(AG$8-AG$9)*1000)</f>
        <v>43105.511677127113</v>
      </c>
      <c r="AH163" s="18">
        <f>SUM(AG$163,'Statistics NZ'!AH$163-'Statistics NZ'!AG$163,$K$13/5*(AH$8-AH$9)*1000)</f>
        <v>44875.511677127113</v>
      </c>
      <c r="AI163" s="18">
        <f>SUM(AH$163,'Statistics NZ'!AI$163-'Statistics NZ'!AH$163,$K$13/5*(AI$8-AI$9)*1000)</f>
        <v>45685.511677127113</v>
      </c>
      <c r="AJ163" s="18">
        <f>SUM(AI$163,'Statistics NZ'!AJ$163-'Statistics NZ'!AI$163,$K$13/5*(AJ$8-AJ$9)*1000)</f>
        <v>45675.511677127113</v>
      </c>
      <c r="AK163" s="18">
        <f>SUM(AJ$163,'Statistics NZ'!AK$163-'Statistics NZ'!AJ$163,$K$13/5*(AK$8-AK$9)*1000)</f>
        <v>44825.511677127113</v>
      </c>
    </row>
    <row r="164" spans="1:37" x14ac:dyDescent="0.25">
      <c r="A164" s="12">
        <f>$A$64</f>
        <v>49</v>
      </c>
      <c r="B164" s="27">
        <f>'Statistics NZ'!B$164*'Economic Forecasts'!D$9*1000000/SUM('Statistics NZ'!B$30:B$110,'Statistics NZ'!B$130:B$210)</f>
        <v>27786.392097854576</v>
      </c>
      <c r="C164" s="27">
        <f>'Statistics NZ'!C$164*'Economic Forecasts'!E$9*1000000/SUM('Statistics NZ'!C$30:C$110,'Statistics NZ'!C$130:C$210)</f>
        <v>27977.402957486138</v>
      </c>
      <c r="D164" s="27">
        <f>'Statistics NZ'!D$164*'Economic Forecasts'!F$9*1000000/SUM('Statistics NZ'!D$30:D$110,'Statistics NZ'!D$130:D$210)</f>
        <v>29330.652985518274</v>
      </c>
      <c r="E164" s="27">
        <f>'Statistics NZ'!E$164*'Economic Forecasts'!G$9*1000000/SUM('Statistics NZ'!E$30:E$110,'Statistics NZ'!E$130:E$210)</f>
        <v>29636.8232278094</v>
      </c>
      <c r="F164" s="27">
        <f>'Statistics NZ'!F$164*'Economic Forecasts'!H$9*1000000/SUM('Statistics NZ'!F$30:F$110,'Statistics NZ'!F$130:F$210)</f>
        <v>30534.891982884583</v>
      </c>
      <c r="G164" s="27">
        <f>'Statistics NZ'!G$164*'Economic Forecasts'!I$9*1000000/SUM('Statistics NZ'!G$30:G$110,'Statistics NZ'!G$130:G$210)</f>
        <v>31196.171896143682</v>
      </c>
      <c r="H164" s="27">
        <f>'Statistics NZ'!H$164*'Economic Forecasts'!J$9*1000000/SUM('Statistics NZ'!H$30:H$110,'Statistics NZ'!H$130:H$210)</f>
        <v>30782.154669441446</v>
      </c>
      <c r="I164" s="27">
        <f>'Statistics NZ'!I$164*'Economic Forecasts'!K$9*1000000/SUM('Statistics NZ'!I$30:I$110,'Statistics NZ'!I$130:I$210)</f>
        <v>30351.807228915666</v>
      </c>
      <c r="J164" s="27">
        <f>'Statistics NZ'!J$164*'Economic Forecasts'!L$9*1000000/SUM('Statistics NZ'!J$30:J$110,'Statistics NZ'!J$130:J$210)</f>
        <v>29450.684376681817</v>
      </c>
      <c r="K164" s="27">
        <f>'Statistics NZ'!K$164*'Economic Forecasts'!M$9*1000000/SUM('Statistics NZ'!K$30:K$110,'Statistics NZ'!K$130:K$210)</f>
        <v>29344.965098206983</v>
      </c>
      <c r="L164" s="27">
        <f>'Statistics NZ'!L$164*'Economic Forecasts'!N$9*1000000/SUM('Statistics NZ'!L$30:L$110,'Statistics NZ'!L$130:L$210)</f>
        <v>29560.363213185869</v>
      </c>
      <c r="M164" s="27">
        <f>'Statistics NZ'!M$164*'Economic Forecasts'!O$9*1000000/SUM('Statistics NZ'!M$30:M$110,'Statistics NZ'!M$130:M$210)</f>
        <v>30637.383568110236</v>
      </c>
      <c r="N164" s="27">
        <f>'Statistics NZ'!N$164*'Economic Forecasts'!P$9*1000000/SUM('Statistics NZ'!N$30:N$110,'Statistics NZ'!N$130:N$210)</f>
        <v>31595.552762421157</v>
      </c>
      <c r="O164" s="27">
        <f>'Statistics NZ'!O$164*'Economic Forecasts'!Q$9*1000000/SUM('Statistics NZ'!O$30:O$110,'Statistics NZ'!O$130:O$210)</f>
        <v>31839.968009646935</v>
      </c>
      <c r="P164" s="27">
        <f>'Statistics NZ'!P$164*'Economic Forecasts'!R$9*1000000/SUM('Statistics NZ'!P$30:P$110,'Statistics NZ'!P$130:P$210)</f>
        <v>32665.777069737866</v>
      </c>
      <c r="Q164" s="27">
        <f>'Statistics NZ'!Q$164*'Economic Forecasts'!S$9*1000000/SUM('Statistics NZ'!Q$30:Q$110,'Statistics NZ'!Q$130:Q$210)</f>
        <v>32800.190463696505</v>
      </c>
      <c r="R164" s="27">
        <f>'Statistics NZ'!R$164*'Economic Forecasts'!T$9*1000000/SUM('Statistics NZ'!R$30:R$110,'Statistics NZ'!R$130:R$210)</f>
        <v>31757.21185601057</v>
      </c>
      <c r="S164" s="27">
        <f>'Statistics NZ'!S$164*'Economic Forecasts'!U$9*1000000/SUM('Statistics NZ'!S$30:S$110,'Statistics NZ'!S$130:S$210)</f>
        <v>30732.34053719262</v>
      </c>
      <c r="T164" s="27">
        <f>'Statistics NZ'!T$164*'Economic Forecasts'!V$9*1000000/SUM('Statistics NZ'!T$30:T$110,'Statistics NZ'!T$130:T$210)</f>
        <v>30188.177360459045</v>
      </c>
      <c r="U164" s="28">
        <f>SUM('Statistics NZ'!U$164,$K$13/5*(U$8-U$9)*1000)*'Economic Forecasts'!W$9*1000000/SUM('Statistics NZ'!U$30:U$110,'Statistics NZ'!U$130:U$210,SUM($E$12:$T$13)*(U$8-U$9)*1000)</f>
        <v>30028.515532106307</v>
      </c>
      <c r="V164" s="28">
        <f>SUM('Statistics NZ'!V$164,$K$13/5*(V$8-V$9)*1000)*'Economic Forecasts'!X$9*1000000/SUM('Statistics NZ'!V$30:V$110,'Statistics NZ'!V$130:V$210,SUM($E$12:$T$13)*(V$8-V$9)*1000)</f>
        <v>30335.129715923675</v>
      </c>
      <c r="W164" s="28">
        <f>SUM('Statistics NZ'!W$164,$K$13/5*(W$8-W$9)*1000)*'Economic Forecasts'!Y$9*1000000/SUM('Statistics NZ'!W$30:W$110,'Statistics NZ'!W$130:W$210,SUM($E$12:$T$13)*(W$8-W$9)*1000)</f>
        <v>30057.915571167658</v>
      </c>
      <c r="X164" s="28">
        <f>SUM('Statistics NZ'!X$164,$K$13/5*(X$8-X$9)*1000)*'Economic Forecasts'!Z$9*1000000/SUM('Statistics NZ'!X$30:X$110,'Statistics NZ'!X$130:X$210,SUM($E$12:$T$13)*(X$8-X$9)*1000)</f>
        <v>31380.431759462521</v>
      </c>
      <c r="Y164" s="28">
        <f>SUM('Statistics NZ'!Y$164,$K$13/5*(Y$8-Y$9)*1000)*'Economic Forecasts'!AA$9*1000000/SUM('Statistics NZ'!Y$30:Y$110,'Statistics NZ'!Y$130:Y$210,SUM($E$12:$T$13)*(Y$8-Y$9)*1000)</f>
        <v>32513.158664328814</v>
      </c>
      <c r="Z164" s="28">
        <f>SUM('Statistics NZ'!Z$164,$K$13/5*(Z$8-Z$9)*1000)*'Economic Forecasts'!AB$9*1000000/SUM('Statistics NZ'!Z$30:Z$110,'Statistics NZ'!Z$130:Z$210,SUM($E$12:$T$13)*(Z$8-Z$9)*1000)</f>
        <v>33524.730198832345</v>
      </c>
      <c r="AA164" s="28">
        <f>SUM('Statistics NZ'!AA$164,$K$13/5*(AA$8-AA$9)*1000)*'Economic Forecasts'!AC$9*1000000/SUM('Statistics NZ'!AA$30:AA$110,'Statistics NZ'!AA$130:AA$210,SUM($E$12:$T$13)*(AA$8-AA$9)*1000)</f>
        <v>34486.41212980909</v>
      </c>
      <c r="AB164" s="18">
        <f>SUM(AA$164,'Statistics NZ'!AB$164-'Statistics NZ'!AA$164,$K$13/5*(AB$8-AB$9)*1000)</f>
        <v>35952.997586137193</v>
      </c>
      <c r="AC164" s="18">
        <f>SUM(AB$164,'Statistics NZ'!AC$164-'Statistics NZ'!AB$164,$K$13/5*(AC$8-AC$9)*1000)</f>
        <v>36997.387890355931</v>
      </c>
      <c r="AD164" s="18">
        <f>SUM(AC$164,'Statistics NZ'!AD$164-'Statistics NZ'!AC$164,$K$13/5*(AD$8-AD$9)*1000)</f>
        <v>37629.217183780405</v>
      </c>
      <c r="AE164" s="18">
        <f>SUM(AD$164,'Statistics NZ'!AE$164-'Statistics NZ'!AD$164,$K$13/5*(AE$8-AE$9)*1000)</f>
        <v>38859.217183780405</v>
      </c>
      <c r="AF164" s="18">
        <f>SUM(AE$164,'Statistics NZ'!AF$164-'Statistics NZ'!AE$164,$K$13/5*(AF$8-AF$9)*1000)</f>
        <v>40999.217183780405</v>
      </c>
      <c r="AG164" s="18">
        <f>SUM(AF$164,'Statistics NZ'!AG$164-'Statistics NZ'!AF$164,$K$13/5*(AG$8-AG$9)*1000)</f>
        <v>42279.217183780405</v>
      </c>
      <c r="AH164" s="18">
        <f>SUM(AG$164,'Statistics NZ'!AH$164-'Statistics NZ'!AG$164,$K$13/5*(AH$8-AH$9)*1000)</f>
        <v>43089.217183780405</v>
      </c>
      <c r="AI164" s="18">
        <f>SUM(AH$164,'Statistics NZ'!AI$164-'Statistics NZ'!AH$164,$K$13/5*(AI$8-AI$9)*1000)</f>
        <v>44869.217183780405</v>
      </c>
      <c r="AJ164" s="18">
        <f>SUM(AI$164,'Statistics NZ'!AJ$164-'Statistics NZ'!AI$164,$K$13/5*(AJ$8-AJ$9)*1000)</f>
        <v>45679.217183780405</v>
      </c>
      <c r="AK164" s="18">
        <f>SUM(AJ$164,'Statistics NZ'!AK$164-'Statistics NZ'!AJ$164,$K$13/5*(AK$8-AK$9)*1000)</f>
        <v>45669.217183780405</v>
      </c>
    </row>
    <row r="165" spans="1:37" x14ac:dyDescent="0.25">
      <c r="A165" s="12">
        <f>$A$65</f>
        <v>50</v>
      </c>
      <c r="B165" s="27">
        <f>'Statistics NZ'!B$165*'Economic Forecasts'!D$9*1000000/SUM('Statistics NZ'!B$30:B$110,'Statistics NZ'!B$130:B$210)</f>
        <v>27150.435940685369</v>
      </c>
      <c r="C165" s="27">
        <f>'Statistics NZ'!C$165*'Economic Forecasts'!E$9*1000000/SUM('Statistics NZ'!C$30:C$110,'Statistics NZ'!C$130:C$210)</f>
        <v>27790.82147058117</v>
      </c>
      <c r="D165" s="27">
        <f>'Statistics NZ'!D$165*'Economic Forecasts'!F$9*1000000/SUM('Statistics NZ'!D$30:D$110,'Statistics NZ'!D$130:D$210)</f>
        <v>27827.776258530903</v>
      </c>
      <c r="E165" s="27">
        <f>'Statistics NZ'!E$165*'Economic Forecasts'!G$9*1000000/SUM('Statistics NZ'!E$30:E$110,'Statistics NZ'!E$130:E$210)</f>
        <v>29156.2791053201</v>
      </c>
      <c r="F165" s="27">
        <f>'Statistics NZ'!F$165*'Economic Forecasts'!H$9*1000000/SUM('Statistics NZ'!F$30:F$110,'Statistics NZ'!F$130:F$210)</f>
        <v>29504.964691460591</v>
      </c>
      <c r="G165" s="27">
        <f>'Statistics NZ'!G$165*'Economic Forecasts'!I$9*1000000/SUM('Statistics NZ'!G$30:G$110,'Statistics NZ'!G$130:G$210)</f>
        <v>30390.729170865412</v>
      </c>
      <c r="H165" s="27">
        <f>'Statistics NZ'!H$165*'Economic Forecasts'!J$9*1000000/SUM('Statistics NZ'!H$30:H$110,'Statistics NZ'!H$130:H$210)</f>
        <v>30968.832275161007</v>
      </c>
      <c r="I165" s="27">
        <f>'Statistics NZ'!I$165*'Economic Forecasts'!K$9*1000000/SUM('Statistics NZ'!I$30:I$110,'Statistics NZ'!I$130:I$210)</f>
        <v>30587.092556271597</v>
      </c>
      <c r="J165" s="27">
        <f>'Statistics NZ'!J$165*'Economic Forecasts'!L$9*1000000/SUM('Statistics NZ'!J$30:J$110,'Statistics NZ'!J$130:J$210)</f>
        <v>30377.113189855583</v>
      </c>
      <c r="K165" s="27">
        <f>'Statistics NZ'!K$165*'Economic Forecasts'!M$9*1000000/SUM('Statistics NZ'!K$30:K$110,'Statistics NZ'!K$130:K$210)</f>
        <v>29666.26033650852</v>
      </c>
      <c r="L165" s="27">
        <f>'Statistics NZ'!L$165*'Economic Forecasts'!N$9*1000000/SUM('Statistics NZ'!L$30:L$110,'Statistics NZ'!L$130:L$210)</f>
        <v>29638.256133378723</v>
      </c>
      <c r="M165" s="27">
        <f>'Statistics NZ'!M$165*'Economic Forecasts'!O$9*1000000/SUM('Statistics NZ'!M$30:M$110,'Statistics NZ'!M$130:M$210)</f>
        <v>29933.97425149546</v>
      </c>
      <c r="N165" s="27">
        <f>'Statistics NZ'!N$165*'Economic Forecasts'!P$9*1000000/SUM('Statistics NZ'!N$30:N$110,'Statistics NZ'!N$130:N$210)</f>
        <v>30979.101903321582</v>
      </c>
      <c r="O165" s="27">
        <f>'Statistics NZ'!O$165*'Economic Forecasts'!Q$9*1000000/SUM('Statistics NZ'!O$30:O$110,'Statistics NZ'!O$130:O$210)</f>
        <v>31722.114951005427</v>
      </c>
      <c r="P165" s="27">
        <f>'Statistics NZ'!P$165*'Economic Forecasts'!R$9*1000000/SUM('Statistics NZ'!P$30:P$110,'Statistics NZ'!P$130:P$210)</f>
        <v>31862.841302436162</v>
      </c>
      <c r="Q165" s="27">
        <f>'Statistics NZ'!Q$165*'Economic Forecasts'!S$9*1000000/SUM('Statistics NZ'!Q$30:Q$110,'Statistics NZ'!Q$130:Q$210)</f>
        <v>32908.865793546101</v>
      </c>
      <c r="R165" s="27">
        <f>'Statistics NZ'!R$165*'Economic Forecasts'!T$9*1000000/SUM('Statistics NZ'!R$30:R$110,'Statistics NZ'!R$130:R$210)</f>
        <v>32538.04588546119</v>
      </c>
      <c r="S165" s="27">
        <f>'Statistics NZ'!S$165*'Economic Forecasts'!U$9*1000000/SUM('Statistics NZ'!S$30:S$110,'Statistics NZ'!S$130:S$210)</f>
        <v>31511.113816563986</v>
      </c>
      <c r="T165" s="27">
        <f>'Statistics NZ'!T$165*'Economic Forecasts'!V$9*1000000/SUM('Statistics NZ'!T$30:T$110,'Statistics NZ'!T$130:T$210)</f>
        <v>31062.485133020346</v>
      </c>
      <c r="U165" s="28">
        <f>SUM('Statistics NZ'!U$165,$L$13/5*(U$8-U$9)*1000)*'Economic Forecasts'!W$9*1000000/SUM('Statistics NZ'!U$30:U$110,'Statistics NZ'!U$130:U$210,SUM($E$12:$T$13)*(U$8-U$9)*1000)</f>
        <v>30109.110321593547</v>
      </c>
      <c r="V165" s="28">
        <f>SUM('Statistics NZ'!V$165,$L$13/5*(V$8-V$9)*1000)*'Economic Forecasts'!X$9*1000000/SUM('Statistics NZ'!V$30:V$110,'Statistics NZ'!V$130:V$210,SUM($E$12:$T$13)*(V$8-V$9)*1000)</f>
        <v>29879.099499765172</v>
      </c>
      <c r="W165" s="28">
        <f>SUM('Statistics NZ'!W$165,$L$13/5*(W$8-W$9)*1000)*'Economic Forecasts'!Y$9*1000000/SUM('Statistics NZ'!W$30:W$110,'Statistics NZ'!W$130:W$210,SUM($E$12:$T$13)*(W$8-W$9)*1000)</f>
        <v>30206.30718511606</v>
      </c>
      <c r="X165" s="28">
        <f>SUM('Statistics NZ'!X$165,$L$13/5*(X$8-X$9)*1000)*'Economic Forecasts'!Z$9*1000000/SUM('Statistics NZ'!X$30:X$110,'Statistics NZ'!X$130:X$210,SUM($E$12:$T$13)*(X$8-X$9)*1000)</f>
        <v>29946.834928374526</v>
      </c>
      <c r="Y165" s="28">
        <f>SUM('Statistics NZ'!Y$165,$L$13/5*(Y$8-Y$9)*1000)*'Economic Forecasts'!AA$9*1000000/SUM('Statistics NZ'!Y$30:Y$110,'Statistics NZ'!Y$130:Y$210,SUM($E$12:$T$13)*(Y$8-Y$9)*1000)</f>
        <v>31302.447983943319</v>
      </c>
      <c r="Z165" s="28">
        <f>SUM('Statistics NZ'!Z$165,$L$13/5*(Z$8-Z$9)*1000)*'Economic Forecasts'!AB$9*1000000/SUM('Statistics NZ'!Z$30:Z$110,'Statistics NZ'!Z$130:Z$210,SUM($E$12:$T$13)*(Z$8-Z$9)*1000)</f>
        <v>32442.168028397067</v>
      </c>
      <c r="AA165" s="28">
        <f>SUM('Statistics NZ'!AA$165,$L$13/5*(AA$8-AA$9)*1000)*'Economic Forecasts'!AC$9*1000000/SUM('Statistics NZ'!AA$30:AA$110,'Statistics NZ'!AA$130:AA$210,SUM($E$12:$T$13)*(AA$8-AA$9)*1000)</f>
        <v>33462.862158591735</v>
      </c>
      <c r="AB165" s="18">
        <f>SUM(AA$165,'Statistics NZ'!AB$165-'Statistics NZ'!AA$165,$L$13/5*(AB$8-AB$9)*1000)</f>
        <v>34434.351331512495</v>
      </c>
      <c r="AC165" s="18">
        <f>SUM(AB$165,'Statistics NZ'!AC$165-'Statistics NZ'!AB$165,$L$13/5*(AC$8-AC$9)*1000)</f>
        <v>35895.344113459672</v>
      </c>
      <c r="AD165" s="18">
        <f>SUM(AC$165,'Statistics NZ'!AD$165-'Statistics NZ'!AC$165,$L$13/5*(AD$8-AD$9)*1000)</f>
        <v>36935.757772604331</v>
      </c>
      <c r="AE165" s="18">
        <f>SUM(AD$165,'Statistics NZ'!AE$165-'Statistics NZ'!AD$165,$L$13/5*(AE$8-AE$9)*1000)</f>
        <v>37575.757772604331</v>
      </c>
      <c r="AF165" s="18">
        <f>SUM(AE$165,'Statistics NZ'!AF$165-'Statistics NZ'!AE$165,$L$13/5*(AF$8-AF$9)*1000)</f>
        <v>38805.757772604331</v>
      </c>
      <c r="AG165" s="18">
        <f>SUM(AF$165,'Statistics NZ'!AG$165-'Statistics NZ'!AF$165,$L$13/5*(AG$8-AG$9)*1000)</f>
        <v>40935.757772604331</v>
      </c>
      <c r="AH165" s="18">
        <f>SUM(AG$165,'Statistics NZ'!AH$165-'Statistics NZ'!AG$165,$L$13/5*(AH$8-AH$9)*1000)</f>
        <v>42215.757772604331</v>
      </c>
      <c r="AI165" s="18">
        <f>SUM(AH$165,'Statistics NZ'!AI$165-'Statistics NZ'!AH$165,$L$13/5*(AI$8-AI$9)*1000)</f>
        <v>43035.757772604331</v>
      </c>
      <c r="AJ165" s="18">
        <f>SUM(AI$165,'Statistics NZ'!AJ$165-'Statistics NZ'!AI$165,$L$13/5*(AJ$8-AJ$9)*1000)</f>
        <v>44805.757772604331</v>
      </c>
      <c r="AK165" s="18">
        <f>SUM(AJ$165,'Statistics NZ'!AK$165-'Statistics NZ'!AJ$165,$L$13/5*(AK$8-AK$9)*1000)</f>
        <v>45615.757772604331</v>
      </c>
    </row>
    <row r="166" spans="1:37" x14ac:dyDescent="0.25">
      <c r="A166" s="12">
        <f>$A$66</f>
        <v>51</v>
      </c>
      <c r="B166" s="27">
        <f>'Statistics NZ'!B$166*'Economic Forecasts'!D$9*1000000/SUM('Statistics NZ'!B$30:B$110,'Statistics NZ'!B$130:B$210)</f>
        <v>25976.363035142218</v>
      </c>
      <c r="C166" s="27">
        <f>'Statistics NZ'!C$166*'Economic Forecasts'!E$9*1000000/SUM('Statistics NZ'!C$30:C$110,'Statistics NZ'!C$130:C$210)</f>
        <v>27132.876227284731</v>
      </c>
      <c r="D166" s="27">
        <f>'Statistics NZ'!D$166*'Economic Forecasts'!F$9*1000000/SUM('Statistics NZ'!D$30:D$110,'Statistics NZ'!D$130:D$210)</f>
        <v>27660.789955532306</v>
      </c>
      <c r="E166" s="27">
        <f>'Statistics NZ'!E$166*'Economic Forecasts'!G$9*1000000/SUM('Statistics NZ'!E$30:E$110,'Statistics NZ'!E$130:E$210)</f>
        <v>27645.99757749659</v>
      </c>
      <c r="F166" s="27">
        <f>'Statistics NZ'!F$166*'Economic Forecasts'!H$9*1000000/SUM('Statistics NZ'!F$30:F$110,'Statistics NZ'!F$130:F$210)</f>
        <v>29063.567280850311</v>
      </c>
      <c r="G166" s="27">
        <f>'Statistics NZ'!G$166*'Economic Forecasts'!I$9*1000000/SUM('Statistics NZ'!G$30:G$110,'Statistics NZ'!G$130:G$210)</f>
        <v>29349.547111359356</v>
      </c>
      <c r="H166" s="27">
        <f>'Statistics NZ'!H$166*'Economic Forecasts'!J$9*1000000/SUM('Statistics NZ'!H$30:H$110,'Statistics NZ'!H$130:H$210)</f>
        <v>30202.47157799649</v>
      </c>
      <c r="I166" s="27">
        <f>'Statistics NZ'!I$166*'Economic Forecasts'!K$9*1000000/SUM('Statistics NZ'!I$30:I$110,'Statistics NZ'!I$130:I$210)</f>
        <v>30753.752996482053</v>
      </c>
      <c r="J166" s="27">
        <f>'Statistics NZ'!J$166*'Economic Forecasts'!L$9*1000000/SUM('Statistics NZ'!J$30:J$110,'Statistics NZ'!J$130:J$210)</f>
        <v>30591.65459922214</v>
      </c>
      <c r="K166" s="27">
        <f>'Statistics NZ'!K$166*'Economic Forecasts'!M$9*1000000/SUM('Statistics NZ'!K$30:K$110,'Statistics NZ'!K$130:K$210)</f>
        <v>30484.102761276066</v>
      </c>
      <c r="L166" s="27">
        <f>'Statistics NZ'!L$166*'Economic Forecasts'!N$9*1000000/SUM('Statistics NZ'!L$30:L$110,'Statistics NZ'!L$130:L$210)</f>
        <v>29891.408124005477</v>
      </c>
      <c r="M166" s="27">
        <f>'Statistics NZ'!M$166*'Economic Forecasts'!O$9*1000000/SUM('Statistics NZ'!M$30:M$110,'Statistics NZ'!M$130:M$210)</f>
        <v>29953.513399179206</v>
      </c>
      <c r="N166" s="27">
        <f>'Statistics NZ'!N$166*'Economic Forecasts'!P$9*1000000/SUM('Statistics NZ'!N$30:N$110,'Statistics NZ'!N$130:N$210)</f>
        <v>30235.446898693521</v>
      </c>
      <c r="O166" s="27">
        <f>'Statistics NZ'!O$166*'Economic Forecasts'!Q$9*1000000/SUM('Statistics NZ'!O$30:O$110,'Statistics NZ'!O$130:O$210)</f>
        <v>31034.638775596643</v>
      </c>
      <c r="P166" s="27">
        <f>'Statistics NZ'!P$166*'Economic Forecasts'!R$9*1000000/SUM('Statistics NZ'!P$30:P$110,'Statistics NZ'!P$130:P$210)</f>
        <v>31725.754708018794</v>
      </c>
      <c r="Q166" s="27">
        <f>'Statistics NZ'!Q$166*'Economic Forecasts'!S$9*1000000/SUM('Statistics NZ'!Q$30:Q$110,'Statistics NZ'!Q$130:Q$210)</f>
        <v>31960.426551222343</v>
      </c>
      <c r="R166" s="27">
        <f>'Statistics NZ'!R$166*'Economic Forecasts'!T$9*1000000/SUM('Statistics NZ'!R$30:R$110,'Statistics NZ'!R$130:R$210)</f>
        <v>32656.653586137236</v>
      </c>
      <c r="S166" s="27">
        <f>'Statistics NZ'!S$166*'Economic Forecasts'!U$9*1000000/SUM('Statistics NZ'!S$30:S$110,'Statistics NZ'!S$130:S$210)</f>
        <v>32153.601772045371</v>
      </c>
      <c r="T166" s="27">
        <f>'Statistics NZ'!T$166*'Economic Forecasts'!V$9*1000000/SUM('Statistics NZ'!T$30:T$110,'Statistics NZ'!T$130:T$210)</f>
        <v>31701.02451747522</v>
      </c>
      <c r="U166" s="28">
        <f>SUM('Statistics NZ'!U$166,$L$13/5*(U$8-U$9)*1000)*'Economic Forecasts'!W$9*1000000/SUM('Statistics NZ'!U$30:U$110,'Statistics NZ'!U$130:U$210,SUM($E$12:$T$13)*(U$8-U$9)*1000)</f>
        <v>30965.216444074002</v>
      </c>
      <c r="V166" s="28">
        <f>SUM('Statistics NZ'!V$166,$L$13/5*(V$8-V$9)*1000)*'Economic Forecasts'!X$9*1000000/SUM('Statistics NZ'!V$30:V$110,'Statistics NZ'!V$130:V$210,SUM($E$12:$T$13)*(V$8-V$9)*1000)</f>
        <v>29898.718247837507</v>
      </c>
      <c r="W166" s="28">
        <f>SUM('Statistics NZ'!W$166,$L$13/5*(W$8-W$9)*1000)*'Economic Forecasts'!Y$9*1000000/SUM('Statistics NZ'!W$30:W$110,'Statistics NZ'!W$130:W$210,SUM($E$12:$T$13)*(W$8-W$9)*1000)</f>
        <v>29697.643576557635</v>
      </c>
      <c r="X166" s="28">
        <f>SUM('Statistics NZ'!X$166,$L$13/5*(X$8-X$9)*1000)*'Economic Forecasts'!Z$9*1000000/SUM('Statistics NZ'!X$30:X$110,'Statistics NZ'!X$130:X$210,SUM($E$12:$T$13)*(X$8-X$9)*1000)</f>
        <v>30073.843585521929</v>
      </c>
      <c r="Y166" s="28">
        <f>SUM('Statistics NZ'!Y$166,$L$13/5*(Y$8-Y$9)*1000)*'Economic Forecasts'!AA$9*1000000/SUM('Statistics NZ'!Y$30:Y$110,'Statistics NZ'!Y$130:Y$210,SUM($E$12:$T$13)*(Y$8-Y$9)*1000)</f>
        <v>29856.640376450072</v>
      </c>
      <c r="Z166" s="28">
        <f>SUM('Statistics NZ'!Z$166,$L$13/5*(Z$8-Z$9)*1000)*'Economic Forecasts'!AB$9*1000000/SUM('Statistics NZ'!Z$30:Z$110,'Statistics NZ'!Z$130:Z$210,SUM($E$12:$T$13)*(Z$8-Z$9)*1000)</f>
        <v>31220.786079151683</v>
      </c>
      <c r="AA166" s="28">
        <f>SUM('Statistics NZ'!AA$166,$L$13/5*(AA$8-AA$9)*1000)*'Economic Forecasts'!AC$9*1000000/SUM('Statistics NZ'!AA$30:AA$110,'Statistics NZ'!AA$130:AA$210,SUM($E$12:$T$13)*(AA$8-AA$9)*1000)</f>
        <v>32368.028936892864</v>
      </c>
      <c r="AB166" s="18">
        <f>SUM(AA$166,'Statistics NZ'!AB$166-'Statistics NZ'!AA$166,$L$13/5*(AB$8-AB$9)*1000)</f>
        <v>33399.518109813624</v>
      </c>
      <c r="AC166" s="18">
        <f>SUM(AB$166,'Statistics NZ'!AC$166-'Statistics NZ'!AB$166,$L$13/5*(AC$8-AC$9)*1000)</f>
        <v>34370.510891760801</v>
      </c>
      <c r="AD166" s="18">
        <f>SUM(AC$166,'Statistics NZ'!AD$166-'Statistics NZ'!AC$166,$L$13/5*(AD$8-AD$9)*1000)</f>
        <v>35830.92455090546</v>
      </c>
      <c r="AE166" s="18">
        <f>SUM(AD$166,'Statistics NZ'!AE$166-'Statistics NZ'!AD$166,$L$13/5*(AE$8-AE$9)*1000)</f>
        <v>36870.92455090546</v>
      </c>
      <c r="AF166" s="18">
        <f>SUM(AE$166,'Statistics NZ'!AF$166-'Statistics NZ'!AE$166,$L$13/5*(AF$8-AF$9)*1000)</f>
        <v>37510.92455090546</v>
      </c>
      <c r="AG166" s="18">
        <f>SUM(AF$166,'Statistics NZ'!AG$166-'Statistics NZ'!AF$166,$L$13/5*(AG$8-AG$9)*1000)</f>
        <v>38740.92455090546</v>
      </c>
      <c r="AH166" s="18">
        <f>SUM(AG$166,'Statistics NZ'!AH$166-'Statistics NZ'!AG$166,$L$13/5*(AH$8-AH$9)*1000)</f>
        <v>40870.92455090546</v>
      </c>
      <c r="AI166" s="18">
        <f>SUM(AH$166,'Statistics NZ'!AI$166-'Statistics NZ'!AH$166,$L$13/5*(AI$8-AI$9)*1000)</f>
        <v>42140.92455090546</v>
      </c>
      <c r="AJ166" s="18">
        <f>SUM(AI$166,'Statistics NZ'!AJ$166-'Statistics NZ'!AI$166,$L$13/5*(AJ$8-AJ$9)*1000)</f>
        <v>42960.92455090546</v>
      </c>
      <c r="AK166" s="18">
        <f>SUM(AJ$166,'Statistics NZ'!AK$166-'Statistics NZ'!AJ$166,$L$13/5*(AK$8-AK$9)*1000)</f>
        <v>44740.92455090546</v>
      </c>
    </row>
    <row r="167" spans="1:37" x14ac:dyDescent="0.25">
      <c r="A167" s="12">
        <f>$A$67</f>
        <v>52</v>
      </c>
      <c r="B167" s="27">
        <f>'Statistics NZ'!B$167*'Economic Forecasts'!D$9*1000000/SUM('Statistics NZ'!B$30:B$110,'Statistics NZ'!B$130:B$210)</f>
        <v>25252.351410057272</v>
      </c>
      <c r="C167" s="27">
        <f>'Statistics NZ'!C$167*'Economic Forecasts'!E$9*1000000/SUM('Statistics NZ'!C$30:C$110,'Statistics NZ'!C$130:C$210)</f>
        <v>25974.10699282233</v>
      </c>
      <c r="D167" s="27">
        <f>'Statistics NZ'!D$167*'Economic Forecasts'!F$9*1000000/SUM('Statistics NZ'!D$30:D$110,'Statistics NZ'!D$130:D$210)</f>
        <v>26933.908401303117</v>
      </c>
      <c r="E167" s="27">
        <f>'Statistics NZ'!E$167*'Economic Forecasts'!G$9*1000000/SUM('Statistics NZ'!E$30:E$110,'Statistics NZ'!E$130:E$210)</f>
        <v>27440.050096429753</v>
      </c>
      <c r="F167" s="27">
        <f>'Statistics NZ'!F$167*'Economic Forecasts'!H$9*1000000/SUM('Statistics NZ'!F$30:F$110,'Statistics NZ'!F$130:F$210)</f>
        <v>27513.771928040878</v>
      </c>
      <c r="G167" s="27">
        <f>'Statistics NZ'!G$167*'Economic Forecasts'!I$9*1000000/SUM('Statistics NZ'!G$30:G$110,'Statistics NZ'!G$130:G$210)</f>
        <v>28907.535859682255</v>
      </c>
      <c r="H167" s="27">
        <f>'Statistics NZ'!H$167*'Economic Forecasts'!J$9*1000000/SUM('Statistics NZ'!H$30:H$110,'Statistics NZ'!H$130:H$210)</f>
        <v>29111.88135510853</v>
      </c>
      <c r="I167" s="27">
        <f>'Statistics NZ'!I$167*'Economic Forecasts'!K$9*1000000/SUM('Statistics NZ'!I$30:I$110,'Statistics NZ'!I$130:I$210)</f>
        <v>29969.468571962272</v>
      </c>
      <c r="J167" s="27">
        <f>'Statistics NZ'!J$167*'Economic Forecasts'!L$9*1000000/SUM('Statistics NZ'!J$30:J$110,'Statistics NZ'!J$130:J$210)</f>
        <v>30659.917774929676</v>
      </c>
      <c r="K167" s="27">
        <f>'Statistics NZ'!K$167*'Economic Forecasts'!M$9*1000000/SUM('Statistics NZ'!K$30:K$110,'Statistics NZ'!K$130:K$210)</f>
        <v>30785.925560892661</v>
      </c>
      <c r="L167" s="27">
        <f>'Statistics NZ'!L$167*'Economic Forecasts'!N$9*1000000/SUM('Statistics NZ'!L$30:L$110,'Statistics NZ'!L$130:L$210)</f>
        <v>30728.757016078591</v>
      </c>
      <c r="M167" s="27">
        <f>'Statistics NZ'!M$167*'Economic Forecasts'!O$9*1000000/SUM('Statistics NZ'!M$30:M$110,'Statistics NZ'!M$130:M$210)</f>
        <v>30246.600614435363</v>
      </c>
      <c r="N167" s="27">
        <f>'Statistics NZ'!N$167*'Economic Forecasts'!P$9*1000000/SUM('Statistics NZ'!N$30:N$110,'Statistics NZ'!N$130:N$210)</f>
        <v>30137.597555979304</v>
      </c>
      <c r="O167" s="27">
        <f>'Statistics NZ'!O$167*'Economic Forecasts'!Q$9*1000000/SUM('Statistics NZ'!O$30:O$110,'Statistics NZ'!O$130:O$210)</f>
        <v>30268.593894426853</v>
      </c>
      <c r="P167" s="27">
        <f>'Statistics NZ'!P$167*'Economic Forecasts'!R$9*1000000/SUM('Statistics NZ'!P$30:P$110,'Statistics NZ'!P$130:P$210)</f>
        <v>30942.402739919566</v>
      </c>
      <c r="Q167" s="27">
        <f>'Statistics NZ'!Q$167*'Economic Forecasts'!S$9*1000000/SUM('Statistics NZ'!Q$30:Q$110,'Statistics NZ'!Q$130:Q$210)</f>
        <v>31831.992070491004</v>
      </c>
      <c r="R167" s="27">
        <f>'Statistics NZ'!R$167*'Economic Forecasts'!T$9*1000000/SUM('Statistics NZ'!R$30:R$110,'Statistics NZ'!R$130:R$210)</f>
        <v>31688.024030616212</v>
      </c>
      <c r="S167" s="27">
        <f>'Statistics NZ'!S$167*'Economic Forecasts'!U$9*1000000/SUM('Statistics NZ'!S$30:S$110,'Statistics NZ'!S$130:S$210)</f>
        <v>32231.479099982505</v>
      </c>
      <c r="T167" s="27">
        <f>'Statistics NZ'!T$167*'Economic Forecasts'!V$9*1000000/SUM('Statistics NZ'!T$30:T$110,'Statistics NZ'!T$130:T$210)</f>
        <v>32398.505998956702</v>
      </c>
      <c r="U167" s="28">
        <f>SUM('Statistics NZ'!U$167,$L$13/5*(U$8-U$9)*1000)*'Economic Forecasts'!W$9*1000000/SUM('Statistics NZ'!U$30:U$110,'Statistics NZ'!U$130:U$210,SUM($E$12:$T$13)*(U$8-U$9)*1000)</f>
        <v>31585.155360352946</v>
      </c>
      <c r="V167" s="28">
        <f>SUM('Statistics NZ'!V$167,$L$13/5*(V$8-V$9)*1000)*'Economic Forecasts'!X$9*1000000/SUM('Statistics NZ'!V$30:V$110,'Statistics NZ'!V$130:V$210,SUM($E$12:$T$13)*(V$8-V$9)*1000)</f>
        <v>30742.324414947936</v>
      </c>
      <c r="W167" s="28">
        <f>SUM('Statistics NZ'!W$167,$L$13/5*(W$8-W$9)*1000)*'Economic Forecasts'!Y$9*1000000/SUM('Statistics NZ'!W$30:W$110,'Statistics NZ'!W$130:W$210,SUM($E$12:$T$13)*(W$8-W$9)*1000)</f>
        <v>29707.425569029911</v>
      </c>
      <c r="X167" s="28">
        <f>SUM('Statistics NZ'!X$167,$L$13/5*(X$8-X$9)*1000)*'Economic Forecasts'!Z$9*1000000/SUM('Statistics NZ'!X$30:X$110,'Statistics NZ'!X$130:X$210,SUM($E$12:$T$13)*(X$8-X$9)*1000)</f>
        <v>29556.039060228683</v>
      </c>
      <c r="Y167" s="28">
        <f>SUM('Statistics NZ'!Y$167,$L$13/5*(Y$8-Y$9)*1000)*'Economic Forecasts'!AA$9*1000000/SUM('Statistics NZ'!Y$30:Y$110,'Statistics NZ'!Y$130:Y$210,SUM($E$12:$T$13)*(Y$8-Y$9)*1000)</f>
        <v>29973.868020300873</v>
      </c>
      <c r="Z167" s="28">
        <f>SUM('Statistics NZ'!Z$167,$L$13/5*(Z$8-Z$9)*1000)*'Economic Forecasts'!AB$9*1000000/SUM('Statistics NZ'!Z$30:Z$110,'Statistics NZ'!Z$130:Z$210,SUM($E$12:$T$13)*(Z$8-Z$9)*1000)</f>
        <v>29764.898795651185</v>
      </c>
      <c r="AA167" s="28">
        <f>SUM('Statistics NZ'!AA$167,$L$13/5*(AA$8-AA$9)*1000)*'Economic Forecasts'!AC$9*1000000/SUM('Statistics NZ'!AA$30:AA$110,'Statistics NZ'!AA$130:AA$210,SUM($E$12:$T$13)*(AA$8-AA$9)*1000)</f>
        <v>31136.341562481619</v>
      </c>
      <c r="AB167" s="18">
        <f>SUM(AA$167,'Statistics NZ'!AB$167-'Statistics NZ'!AA$167,$L$13/5*(AB$8-AB$9)*1000)</f>
        <v>32297.830735402382</v>
      </c>
      <c r="AC167" s="18">
        <f>SUM(AB$167,'Statistics NZ'!AC$167-'Statistics NZ'!AB$167,$L$13/5*(AC$8-AC$9)*1000)</f>
        <v>33318.823517349563</v>
      </c>
      <c r="AD167" s="18">
        <f>SUM(AC$167,'Statistics NZ'!AD$167-'Statistics NZ'!AC$167,$L$13/5*(AD$8-AD$9)*1000)</f>
        <v>34299.237176494222</v>
      </c>
      <c r="AE167" s="18">
        <f>SUM(AD$167,'Statistics NZ'!AE$167-'Statistics NZ'!AD$167,$L$13/5*(AE$8-AE$9)*1000)</f>
        <v>35759.237176494222</v>
      </c>
      <c r="AF167" s="18">
        <f>SUM(AE$167,'Statistics NZ'!AF$167-'Statistics NZ'!AE$167,$L$13/5*(AF$8-AF$9)*1000)</f>
        <v>36799.237176494222</v>
      </c>
      <c r="AG167" s="18">
        <f>SUM(AF$167,'Statistics NZ'!AG$167-'Statistics NZ'!AF$167,$L$13/5*(AG$8-AG$9)*1000)</f>
        <v>37429.237176494222</v>
      </c>
      <c r="AH167" s="18">
        <f>SUM(AG$167,'Statistics NZ'!AH$167-'Statistics NZ'!AG$167,$L$13/5*(AH$8-AH$9)*1000)</f>
        <v>38659.237176494222</v>
      </c>
      <c r="AI167" s="18">
        <f>SUM(AH$167,'Statistics NZ'!AI$167-'Statistics NZ'!AH$167,$L$13/5*(AI$8-AI$9)*1000)</f>
        <v>40789.237176494222</v>
      </c>
      <c r="AJ167" s="18">
        <f>SUM(AI$167,'Statistics NZ'!AJ$167-'Statistics NZ'!AI$167,$L$13/5*(AJ$8-AJ$9)*1000)</f>
        <v>42069.237176494222</v>
      </c>
      <c r="AK167" s="18">
        <f>SUM(AJ$167,'Statistics NZ'!AK$167-'Statistics NZ'!AJ$167,$L$13/5*(AK$8-AK$9)*1000)</f>
        <v>42889.237176494222</v>
      </c>
    </row>
    <row r="168" spans="1:37" x14ac:dyDescent="0.25">
      <c r="A168" s="12">
        <f>$A$68</f>
        <v>53</v>
      </c>
      <c r="B168" s="27">
        <f>'Statistics NZ'!B$168*'Economic Forecasts'!D$9*1000000/SUM('Statistics NZ'!B$30:B$110,'Statistics NZ'!B$130:B$210)</f>
        <v>24528.339784972333</v>
      </c>
      <c r="C168" s="27">
        <f>'Statistics NZ'!C$168*'Economic Forecasts'!E$9*1000000/SUM('Statistics NZ'!C$30:C$110,'Statistics NZ'!C$130:C$210)</f>
        <v>25217.960966944327</v>
      </c>
      <c r="D168" s="27">
        <f>'Statistics NZ'!D$168*'Economic Forecasts'!F$9*1000000/SUM('Statistics NZ'!D$30:D$110,'Statistics NZ'!D$130:D$210)</f>
        <v>25804.295175136132</v>
      </c>
      <c r="E168" s="27">
        <f>'Statistics NZ'!E$168*'Economic Forecasts'!G$9*1000000/SUM('Statistics NZ'!E$30:E$110,'Statistics NZ'!E$130:E$210)</f>
        <v>26763.365515781552</v>
      </c>
      <c r="F168" s="27">
        <f>'Statistics NZ'!F$168*'Economic Forecasts'!H$9*1000000/SUM('Statistics NZ'!F$30:F$110,'Statistics NZ'!F$130:F$210)</f>
        <v>27337.212963796763</v>
      </c>
      <c r="G168" s="27">
        <f>'Statistics NZ'!G$168*'Economic Forecasts'!I$9*1000000/SUM('Statistics NZ'!G$30:G$110,'Statistics NZ'!G$130:G$210)</f>
        <v>27345.762770423175</v>
      </c>
      <c r="H168" s="27">
        <f>'Statistics NZ'!H$168*'Economic Forecasts'!J$9*1000000/SUM('Statistics NZ'!H$30:H$110,'Statistics NZ'!H$130:H$210)</f>
        <v>28679.575320810596</v>
      </c>
      <c r="I168" s="27">
        <f>'Statistics NZ'!I$168*'Economic Forecasts'!K$9*1000000/SUM('Statistics NZ'!I$30:I$110,'Statistics NZ'!I$130:I$210)</f>
        <v>28920.488154167055</v>
      </c>
      <c r="J168" s="27">
        <f>'Statistics NZ'!J$168*'Economic Forecasts'!L$9*1000000/SUM('Statistics NZ'!J$30:J$110,'Statistics NZ'!J$130:J$210)</f>
        <v>29831.007784195259</v>
      </c>
      <c r="K168" s="27">
        <f>'Statistics NZ'!K$168*'Economic Forecasts'!M$9*1000000/SUM('Statistics NZ'!K$30:K$110,'Statistics NZ'!K$130:K$210)</f>
        <v>30717.772025495367</v>
      </c>
      <c r="L168" s="27">
        <f>'Statistics NZ'!L$168*'Economic Forecasts'!N$9*1000000/SUM('Statistics NZ'!L$30:L$110,'Statistics NZ'!L$130:L$210)</f>
        <v>30972.172391681241</v>
      </c>
      <c r="M168" s="27">
        <f>'Statistics NZ'!M$168*'Economic Forecasts'!O$9*1000000/SUM('Statistics NZ'!M$30:M$110,'Statistics NZ'!M$130:M$210)</f>
        <v>31008.627374101368</v>
      </c>
      <c r="N168" s="27">
        <f>'Statistics NZ'!N$168*'Economic Forecasts'!P$9*1000000/SUM('Statistics NZ'!N$30:N$110,'Statistics NZ'!N$130:N$210)</f>
        <v>30480.070255479066</v>
      </c>
      <c r="O168" s="27">
        <f>'Statistics NZ'!O$168*'Economic Forecasts'!Q$9*1000000/SUM('Statistics NZ'!O$30:O$110,'Statistics NZ'!O$130:O$210)</f>
        <v>30219.488453326219</v>
      </c>
      <c r="P168" s="27">
        <f>'Statistics NZ'!P$168*'Economic Forecasts'!R$9*1000000/SUM('Statistics NZ'!P$30:P$110,'Statistics NZ'!P$130:P$210)</f>
        <v>30276.553567035222</v>
      </c>
      <c r="Q168" s="27">
        <f>'Statistics NZ'!Q$168*'Economic Forecasts'!S$9*1000000/SUM('Statistics NZ'!Q$30:Q$110,'Statistics NZ'!Q$130:Q$210)</f>
        <v>31061.385186102951</v>
      </c>
      <c r="R168" s="27">
        <f>'Statistics NZ'!R$168*'Economic Forecasts'!T$9*1000000/SUM('Statistics NZ'!R$30:R$110,'Statistics NZ'!R$130:R$210)</f>
        <v>31579.300304996508</v>
      </c>
      <c r="S168" s="27">
        <f>'Statistics NZ'!S$168*'Economic Forecasts'!U$9*1000000/SUM('Statistics NZ'!S$30:S$110,'Statistics NZ'!S$130:S$210)</f>
        <v>31160.665840846872</v>
      </c>
      <c r="T168" s="27">
        <f>'Statistics NZ'!T$168*'Economic Forecasts'!V$9*1000000/SUM('Statistics NZ'!T$30:T$110,'Statistics NZ'!T$130:T$210)</f>
        <v>32486.919144496609</v>
      </c>
      <c r="U168" s="28">
        <f>SUM('Statistics NZ'!U$168,$L$13/5*(U$8-U$9)*1000)*'Economic Forecasts'!W$9*1000000/SUM('Statistics NZ'!U$30:U$110,'Statistics NZ'!U$130:U$210,SUM($E$12:$T$13)*(U$8-U$9)*1000)</f>
        <v>32283.816678699059</v>
      </c>
      <c r="V168" s="28">
        <f>SUM('Statistics NZ'!V$168,$L$13/5*(V$8-V$9)*1000)*'Economic Forecasts'!X$9*1000000/SUM('Statistics NZ'!V$30:V$110,'Statistics NZ'!V$130:V$210,SUM($E$12:$T$13)*(V$8-V$9)*1000)</f>
        <v>31350.505605190345</v>
      </c>
      <c r="W168" s="28">
        <f>SUM('Statistics NZ'!W$168,$L$13/5*(W$8-W$9)*1000)*'Economic Forecasts'!Y$9*1000000/SUM('Statistics NZ'!W$30:W$110,'Statistics NZ'!W$130:W$210,SUM($E$12:$T$13)*(W$8-W$9)*1000)</f>
        <v>30538.894929173493</v>
      </c>
      <c r="X168" s="28">
        <f>SUM('Statistics NZ'!X$168,$L$13/5*(X$8-X$9)*1000)*'Economic Forecasts'!Z$9*1000000/SUM('Statistics NZ'!X$30:X$110,'Statistics NZ'!X$130:X$210,SUM($E$12:$T$13)*(X$8-X$9)*1000)</f>
        <v>29565.808956932327</v>
      </c>
      <c r="Y168" s="28">
        <f>SUM('Statistics NZ'!Y$168,$L$13/5*(Y$8-Y$9)*1000)*'Economic Forecasts'!AA$9*1000000/SUM('Statistics NZ'!Y$30:Y$110,'Statistics NZ'!Y$130:Y$210,SUM($E$12:$T$13)*(Y$8-Y$9)*1000)</f>
        <v>29446.343622972257</v>
      </c>
      <c r="Z168" s="28">
        <f>SUM('Statistics NZ'!Z$168,$L$13/5*(Z$8-Z$9)*1000)*'Economic Forecasts'!AB$9*1000000/SUM('Statistics NZ'!Z$30:Z$110,'Statistics NZ'!Z$130:Z$210,SUM($E$12:$T$13)*(Z$8-Z$9)*1000)</f>
        <v>29872.380407184777</v>
      </c>
      <c r="AA168" s="28">
        <f>SUM('Statistics NZ'!AA$168,$L$13/5*(AA$8-AA$9)*1000)*'Economic Forecasts'!AC$9*1000000/SUM('Statistics NZ'!AA$30:AA$110,'Statistics NZ'!AA$130:AA$210,SUM($E$12:$T$13)*(AA$8-AA$9)*1000)</f>
        <v>29679.82236575722</v>
      </c>
      <c r="AB168" s="18">
        <f>SUM(AA$168,'Statistics NZ'!AB$168-'Statistics NZ'!AA$168,$L$13/5*(AB$8-AB$9)*1000)</f>
        <v>31061.311538677983</v>
      </c>
      <c r="AC168" s="18">
        <f>SUM(AB$168,'Statistics NZ'!AC$168-'Statistics NZ'!AB$168,$L$13/5*(AC$8-AC$9)*1000)</f>
        <v>32232.304320625157</v>
      </c>
      <c r="AD168" s="18">
        <f>SUM(AC$168,'Statistics NZ'!AD$168-'Statistics NZ'!AC$168,$L$13/5*(AD$8-AD$9)*1000)</f>
        <v>33252.717979769819</v>
      </c>
      <c r="AE168" s="18">
        <f>SUM(AD$168,'Statistics NZ'!AE$168-'Statistics NZ'!AD$168,$L$13/5*(AE$8-AE$9)*1000)</f>
        <v>34232.717979769819</v>
      </c>
      <c r="AF168" s="18">
        <f>SUM(AE$168,'Statistics NZ'!AF$168-'Statistics NZ'!AE$168,$L$13/5*(AF$8-AF$9)*1000)</f>
        <v>35682.717979769819</v>
      </c>
      <c r="AG168" s="18">
        <f>SUM(AF$168,'Statistics NZ'!AG$168-'Statistics NZ'!AF$168,$L$13/5*(AG$8-AG$9)*1000)</f>
        <v>36722.717979769819</v>
      </c>
      <c r="AH168" s="18">
        <f>SUM(AG$168,'Statistics NZ'!AH$168-'Statistics NZ'!AG$168,$L$13/5*(AH$8-AH$9)*1000)</f>
        <v>37362.717979769819</v>
      </c>
      <c r="AI168" s="18">
        <f>SUM(AH$168,'Statistics NZ'!AI$168-'Statistics NZ'!AH$168,$L$13/5*(AI$8-AI$9)*1000)</f>
        <v>38592.717979769819</v>
      </c>
      <c r="AJ168" s="18">
        <f>SUM(AI$168,'Statistics NZ'!AJ$168-'Statistics NZ'!AI$168,$L$13/5*(AJ$8-AJ$9)*1000)</f>
        <v>40722.717979769819</v>
      </c>
      <c r="AK168" s="18">
        <f>SUM(AJ$168,'Statistics NZ'!AK$168-'Statistics NZ'!AJ$168,$L$13/5*(AK$8-AK$9)*1000)</f>
        <v>41992.717979769819</v>
      </c>
    </row>
    <row r="169" spans="1:37" x14ac:dyDescent="0.25">
      <c r="A169" s="12">
        <f>$A$69</f>
        <v>54</v>
      </c>
      <c r="B169" s="27">
        <f>'Statistics NZ'!B$169*'Economic Forecasts'!D$9*1000000/SUM('Statistics NZ'!B$30:B$110,'Statistics NZ'!B$130:B$210)</f>
        <v>24215.253676827488</v>
      </c>
      <c r="C169" s="27">
        <f>'Statistics NZ'!C$169*'Economic Forecasts'!E$9*1000000/SUM('Statistics NZ'!C$30:C$110,'Statistics NZ'!C$130:C$210)</f>
        <v>24461.814941066328</v>
      </c>
      <c r="D169" s="27">
        <f>'Statistics NZ'!D$169*'Economic Forecasts'!F$9*1000000/SUM('Statistics NZ'!D$30:D$110,'Statistics NZ'!D$130:D$210)</f>
        <v>25155.995410553351</v>
      </c>
      <c r="E169" s="27">
        <f>'Statistics NZ'!E$169*'Economic Forecasts'!G$9*1000000/SUM('Statistics NZ'!E$30:E$110,'Statistics NZ'!E$130:E$210)</f>
        <v>25664.978950091729</v>
      </c>
      <c r="F169" s="27">
        <f>'Statistics NZ'!F$169*'Economic Forecasts'!H$9*1000000/SUM('Statistics NZ'!F$30:F$110,'Statistics NZ'!F$130:F$210)</f>
        <v>26650.594769514104</v>
      </c>
      <c r="G169" s="27">
        <f>'Statistics NZ'!G$169*'Economic Forecasts'!I$9*1000000/SUM('Statistics NZ'!G$30:G$110,'Statistics NZ'!G$130:G$210)</f>
        <v>27208.248158790302</v>
      </c>
      <c r="H169" s="27">
        <f>'Statistics NZ'!H$169*'Economic Forecasts'!J$9*1000000/SUM('Statistics NZ'!H$30:H$110,'Statistics NZ'!H$130:H$210)</f>
        <v>27186.1544750541</v>
      </c>
      <c r="I169" s="27">
        <f>'Statistics NZ'!I$169*'Economic Forecasts'!K$9*1000000/SUM('Statistics NZ'!I$30:I$110,'Statistics NZ'!I$130:I$210)</f>
        <v>28459.721054761681</v>
      </c>
      <c r="J169" s="27">
        <f>'Statistics NZ'!J$169*'Economic Forecasts'!L$9*1000000/SUM('Statistics NZ'!J$30:J$110,'Statistics NZ'!J$130:J$210)</f>
        <v>28768.052619606406</v>
      </c>
      <c r="K169" s="27">
        <f>'Statistics NZ'!K$169*'Economic Forecasts'!M$9*1000000/SUM('Statistics NZ'!K$30:K$110,'Statistics NZ'!K$130:K$210)</f>
        <v>29851.248504015468</v>
      </c>
      <c r="L169" s="27">
        <f>'Statistics NZ'!L$169*'Economic Forecasts'!N$9*1000000/SUM('Statistics NZ'!L$30:L$110,'Statistics NZ'!L$130:L$210)</f>
        <v>30865.069626416076</v>
      </c>
      <c r="M169" s="27">
        <f>'Statistics NZ'!M$169*'Economic Forecasts'!O$9*1000000/SUM('Statistics NZ'!M$30:M$110,'Statistics NZ'!M$130:M$210)</f>
        <v>31243.097146306292</v>
      </c>
      <c r="N169" s="27">
        <f>'Statistics NZ'!N$169*'Economic Forecasts'!P$9*1000000/SUM('Statistics NZ'!N$30:N$110,'Statistics NZ'!N$130:N$210)</f>
        <v>31155.230720207175</v>
      </c>
      <c r="O169" s="27">
        <f>'Statistics NZ'!O$169*'Economic Forecasts'!Q$9*1000000/SUM('Statistics NZ'!O$30:O$110,'Statistics NZ'!O$130:O$210)</f>
        <v>30523.942188150115</v>
      </c>
      <c r="P169" s="27">
        <f>'Statistics NZ'!P$169*'Economic Forecasts'!R$9*1000000/SUM('Statistics NZ'!P$30:P$110,'Statistics NZ'!P$130:P$210)</f>
        <v>30208.01026982654</v>
      </c>
      <c r="Q169" s="27">
        <f>'Statistics NZ'!Q$169*'Economic Forecasts'!S$9*1000000/SUM('Statistics NZ'!Q$30:Q$110,'Statistics NZ'!Q$130:Q$210)</f>
        <v>30359.93532980101</v>
      </c>
      <c r="R169" s="27">
        <f>'Statistics NZ'!R$169*'Economic Forecasts'!T$9*1000000/SUM('Statistics NZ'!R$30:R$110,'Statistics NZ'!R$130:R$210)</f>
        <v>30788.582300489554</v>
      </c>
      <c r="S169" s="27">
        <f>'Statistics NZ'!S$169*'Economic Forecasts'!U$9*1000000/SUM('Statistics NZ'!S$30:S$110,'Statistics NZ'!S$130:S$210)</f>
        <v>30985.441852988315</v>
      </c>
      <c r="T169" s="27">
        <f>'Statistics NZ'!T$169*'Economic Forecasts'!V$9*1000000/SUM('Statistics NZ'!T$30:T$110,'Statistics NZ'!T$130:T$210)</f>
        <v>31209.840375586849</v>
      </c>
      <c r="U169" s="28">
        <f>SUM('Statistics NZ'!U$169,$L$13/5*(U$8-U$9)*1000)*'Economic Forecasts'!W$9*1000000/SUM('Statistics NZ'!U$30:U$110,'Statistics NZ'!U$130:U$210,SUM($E$12:$T$13)*(U$8-U$9)*1000)</f>
        <v>32372.379381024621</v>
      </c>
      <c r="V169" s="28">
        <f>SUM('Statistics NZ'!V$169,$L$13/5*(V$8-V$9)*1000)*'Economic Forecasts'!X$9*1000000/SUM('Statistics NZ'!V$30:V$110,'Statistics NZ'!V$130:V$210,SUM($E$12:$T$13)*(V$8-V$9)*1000)</f>
        <v>32046.971161758258</v>
      </c>
      <c r="W169" s="28">
        <f>SUM('Statistics NZ'!W$169,$L$13/5*(W$8-W$9)*1000)*'Economic Forecasts'!Y$9*1000000/SUM('Statistics NZ'!W$30:W$110,'Statistics NZ'!W$130:W$210,SUM($E$12:$T$13)*(W$8-W$9)*1000)</f>
        <v>31155.160454926972</v>
      </c>
      <c r="X169" s="28">
        <f>SUM('Statistics NZ'!X$169,$L$13/5*(X$8-X$9)*1000)*'Economic Forecasts'!Z$9*1000000/SUM('Statistics NZ'!X$30:X$110,'Statistics NZ'!X$130:X$210,SUM($E$12:$T$13)*(X$8-X$9)*1000)</f>
        <v>30396.250176742255</v>
      </c>
      <c r="Y169" s="28">
        <f>SUM('Statistics NZ'!Y$169,$L$13/5*(Y$8-Y$9)*1000)*'Economic Forecasts'!AA$9*1000000/SUM('Statistics NZ'!Y$30:Y$110,'Statistics NZ'!Y$130:Y$210,SUM($E$12:$T$13)*(Y$8-Y$9)*1000)</f>
        <v>29456.112593293157</v>
      </c>
      <c r="Z169" s="28">
        <f>SUM('Statistics NZ'!Z$169,$L$13/5*(Z$8-Z$9)*1000)*'Economic Forecasts'!AB$9*1000000/SUM('Statistics NZ'!Z$30:Z$110,'Statistics NZ'!Z$130:Z$210,SUM($E$12:$T$13)*(Z$8-Z$9)*1000)</f>
        <v>29354.514460704737</v>
      </c>
      <c r="AA169" s="28">
        <f>SUM('Statistics NZ'!AA$169,$L$13/5*(AA$8-AA$9)*1000)*'Economic Forecasts'!AC$9*1000000/SUM('Statistics NZ'!AA$30:AA$110,'Statistics NZ'!AA$130:AA$210,SUM($E$12:$T$13)*(AA$8-AA$9)*1000)</f>
        <v>29787.35062860265</v>
      </c>
      <c r="AB169" s="18">
        <f>SUM(AA$169,'Statistics NZ'!AB$169-'Statistics NZ'!AA$169,$L$13/5*(AB$8-AB$9)*1000)</f>
        <v>29578.839801523412</v>
      </c>
      <c r="AC169" s="18">
        <f>SUM(AB$169,'Statistics NZ'!AC$169-'Statistics NZ'!AB$169,$L$13/5*(AC$8-AC$9)*1000)</f>
        <v>30969.832583470587</v>
      </c>
      <c r="AD169" s="18">
        <f>SUM(AC$169,'Statistics NZ'!AD$169-'Statistics NZ'!AC$169,$L$13/5*(AD$8-AD$9)*1000)</f>
        <v>32130.246242615241</v>
      </c>
      <c r="AE169" s="18">
        <f>SUM(AD$169,'Statistics NZ'!AE$169-'Statistics NZ'!AD$169,$L$13/5*(AE$8-AE$9)*1000)</f>
        <v>33150.246242615241</v>
      </c>
      <c r="AF169" s="18">
        <f>SUM(AE$169,'Statistics NZ'!AF$169-'Statistics NZ'!AE$169,$L$13/5*(AF$8-AF$9)*1000)</f>
        <v>34130.246242615241</v>
      </c>
      <c r="AG169" s="18">
        <f>SUM(AF$169,'Statistics NZ'!AG$169-'Statistics NZ'!AF$169,$L$13/5*(AG$8-AG$9)*1000)</f>
        <v>35580.246242615241</v>
      </c>
      <c r="AH169" s="18">
        <f>SUM(AG$169,'Statistics NZ'!AH$169-'Statistics NZ'!AG$169,$L$13/5*(AH$8-AH$9)*1000)</f>
        <v>36630.246242615241</v>
      </c>
      <c r="AI169" s="18">
        <f>SUM(AH$169,'Statistics NZ'!AI$169-'Statistics NZ'!AH$169,$L$13/5*(AI$8-AI$9)*1000)</f>
        <v>37260.246242615241</v>
      </c>
      <c r="AJ169" s="18">
        <f>SUM(AI$169,'Statistics NZ'!AJ$169-'Statistics NZ'!AI$169,$L$13/5*(AJ$8-AJ$9)*1000)</f>
        <v>38490.246242615241</v>
      </c>
      <c r="AK169" s="18">
        <f>SUM(AJ$169,'Statistics NZ'!AK$169-'Statistics NZ'!AJ$169,$L$13/5*(AK$8-AK$9)*1000)</f>
        <v>40620.246242615241</v>
      </c>
    </row>
    <row r="170" spans="1:37" x14ac:dyDescent="0.25">
      <c r="A170" s="12">
        <f>$A$70</f>
        <v>55</v>
      </c>
      <c r="B170" s="27">
        <f>'Statistics NZ'!B$170*'Economic Forecasts'!D$9*1000000/SUM('Statistics NZ'!B$30:B$110,'Statistics NZ'!B$130:B$210)</f>
        <v>23638.001164935442</v>
      </c>
      <c r="C170" s="27">
        <f>'Statistics NZ'!C$170*'Economic Forecasts'!E$9*1000000/SUM('Statistics NZ'!C$30:C$110,'Statistics NZ'!C$130:C$210)</f>
        <v>24147.572436805338</v>
      </c>
      <c r="D170" s="27">
        <f>'Statistics NZ'!D$170*'Economic Forecasts'!F$9*1000000/SUM('Statistics NZ'!D$30:D$110,'Statistics NZ'!D$130:D$210)</f>
        <v>24271.950277031367</v>
      </c>
      <c r="E170" s="27">
        <f>'Statistics NZ'!E$170*'Economic Forecasts'!G$9*1000000/SUM('Statistics NZ'!E$30:E$110,'Statistics NZ'!E$130:E$210)</f>
        <v>25037.329483983252</v>
      </c>
      <c r="F170" s="27">
        <f>'Statistics NZ'!F$170*'Economic Forecasts'!H$9*1000000/SUM('Statistics NZ'!F$30:F$110,'Statistics NZ'!F$130:F$210)</f>
        <v>25532.38799596806</v>
      </c>
      <c r="G170" s="27">
        <f>'Statistics NZ'!G$170*'Economic Forecasts'!I$9*1000000/SUM('Statistics NZ'!G$30:G$110,'Statistics NZ'!G$130:G$210)</f>
        <v>26481.38521158796</v>
      </c>
      <c r="H170" s="27">
        <f>'Statistics NZ'!H$170*'Economic Forecasts'!J$9*1000000/SUM('Statistics NZ'!H$30:H$110,'Statistics NZ'!H$130:H$210)</f>
        <v>27038.777417907073</v>
      </c>
      <c r="I170" s="27">
        <f>'Statistics NZ'!I$170*'Economic Forecasts'!K$9*1000000/SUM('Statistics NZ'!I$30:I$110,'Statistics NZ'!I$130:I$210)</f>
        <v>26989.187758787088</v>
      </c>
      <c r="J170" s="27">
        <f>'Statistics NZ'!J$170*'Economic Forecasts'!L$9*1000000/SUM('Statistics NZ'!J$30:J$110,'Statistics NZ'!J$130:J$210)</f>
        <v>28348.721683117234</v>
      </c>
      <c r="K170" s="27">
        <f>'Statistics NZ'!K$170*'Economic Forecasts'!M$9*1000000/SUM('Statistics NZ'!K$30:K$110,'Statistics NZ'!K$130:K$210)</f>
        <v>28858.154131083444</v>
      </c>
      <c r="L170" s="27">
        <f>'Statistics NZ'!L$170*'Economic Forecasts'!N$9*1000000/SUM('Statistics NZ'!L$30:L$110,'Statistics NZ'!L$130:L$210)</f>
        <v>29901.14473902958</v>
      </c>
      <c r="M170" s="27">
        <f>'Statistics NZ'!M$170*'Economic Forecasts'!O$9*1000000/SUM('Statistics NZ'!M$30:M$110,'Statistics NZ'!M$130:M$210)</f>
        <v>31037.936095626981</v>
      </c>
      <c r="N170" s="27">
        <f>'Statistics NZ'!N$170*'Economic Forecasts'!P$9*1000000/SUM('Statistics NZ'!N$30:N$110,'Statistics NZ'!N$130:N$210)</f>
        <v>31419.423945535564</v>
      </c>
      <c r="O170" s="27">
        <f>'Statistics NZ'!O$170*'Economic Forecasts'!Q$9*1000000/SUM('Statistics NZ'!O$30:O$110,'Statistics NZ'!O$130:O$210)</f>
        <v>31162.312922458274</v>
      </c>
      <c r="P170" s="27">
        <f>'Statistics NZ'!P$170*'Economic Forecasts'!R$9*1000000/SUM('Statistics NZ'!P$30:P$110,'Statistics NZ'!P$130:P$210)</f>
        <v>30511.559157464995</v>
      </c>
      <c r="Q170" s="27">
        <f>'Statistics NZ'!Q$170*'Economic Forecasts'!S$9*1000000/SUM('Statistics NZ'!Q$30:Q$110,'Statistics NZ'!Q$130:Q$210)</f>
        <v>30310.537452596647</v>
      </c>
      <c r="R170" s="27">
        <f>'Statistics NZ'!R$170*'Economic Forecasts'!T$9*1000000/SUM('Statistics NZ'!R$30:R$110,'Statistics NZ'!R$130:R$210)</f>
        <v>30096.704046545969</v>
      </c>
      <c r="S170" s="27">
        <f>'Statistics NZ'!S$170*'Economic Forecasts'!U$9*1000000/SUM('Statistics NZ'!S$30:S$110,'Statistics NZ'!S$130:S$210)</f>
        <v>30206.668573616946</v>
      </c>
      <c r="T170" s="27">
        <f>'Statistics NZ'!T$170*'Economic Forecasts'!V$9*1000000/SUM('Statistics NZ'!T$30:T$110,'Statistics NZ'!T$130:T$210)</f>
        <v>31072.308815858112</v>
      </c>
      <c r="U170" s="28">
        <f>SUM('Statistics NZ'!U$170,$M$13/5*(U$8-U$9)*1000)*'Economic Forecasts'!W$9*1000000/SUM('Statistics NZ'!U$30:U$110,'Statistics NZ'!U$130:U$210,SUM($E$12:$T$13)*(U$8-U$9)*1000)</f>
        <v>31111.520477239563</v>
      </c>
      <c r="V170" s="28">
        <f>SUM('Statistics NZ'!V$170,$M$13/5*(V$8-V$9)*1000)*'Economic Forecasts'!X$9*1000000/SUM('Statistics NZ'!V$30:V$110,'Statistics NZ'!V$130:V$210,SUM($E$12:$T$13)*(V$8-V$9)*1000)</f>
        <v>32143.978742909032</v>
      </c>
      <c r="W170" s="28">
        <f>SUM('Statistics NZ'!W$170,$M$13/5*(W$8-W$9)*1000)*'Economic Forecasts'!Y$9*1000000/SUM('Statistics NZ'!W$30:W$110,'Statistics NZ'!W$130:W$210,SUM($E$12:$T$13)*(W$8-W$9)*1000)</f>
        <v>31849.629511071169</v>
      </c>
      <c r="X170" s="28">
        <f>SUM('Statistics NZ'!X$170,$M$13/5*(X$8-X$9)*1000)*'Economic Forecasts'!Z$9*1000000/SUM('Statistics NZ'!X$30:X$110,'Statistics NZ'!X$130:X$210,SUM($E$12:$T$13)*(X$8-X$9)*1000)</f>
        <v>31011.980495591808</v>
      </c>
      <c r="Y170" s="28">
        <f>SUM('Statistics NZ'!Y$170,$M$13/5*(Y$8-Y$9)*1000)*'Economic Forecasts'!AA$9*1000000/SUM('Statistics NZ'!Y$30:Y$110,'Statistics NZ'!Y$130:Y$210,SUM($E$12:$T$13)*(Y$8-Y$9)*1000)</f>
        <v>30286.762938469707</v>
      </c>
      <c r="Z170" s="28">
        <f>SUM('Statistics NZ'!Z$170,$M$13/5*(Z$8-Z$9)*1000)*'Economic Forecasts'!AB$9*1000000/SUM('Statistics NZ'!Z$30:Z$110,'Statistics NZ'!Z$130:Z$210,SUM($E$12:$T$13)*(Z$8-Z$9)*1000)</f>
        <v>29374.300875581848</v>
      </c>
      <c r="AA170" s="28">
        <f>SUM('Statistics NZ'!AA$170,$M$13/5*(AA$8-AA$9)*1000)*'Economic Forecasts'!AC$9*1000000/SUM('Statistics NZ'!AA$30:AA$110,'Statistics NZ'!AA$130:AA$210,SUM($E$12:$T$13)*(AA$8-AA$9)*1000)</f>
        <v>29279.25342721276</v>
      </c>
      <c r="AB170" s="18">
        <f>SUM(AA$170,'Statistics NZ'!AB$170-'Statistics NZ'!AA$170,$M$13/5*(AB$8-AB$9)*1000)</f>
        <v>29720.90333238001</v>
      </c>
      <c r="AC170" s="18">
        <f>SUM(AB$170,'Statistics NZ'!AC$170-'Statistics NZ'!AB$170,$M$13/5*(AC$8-AC$9)*1000)</f>
        <v>29512.003269158176</v>
      </c>
      <c r="AD170" s="18">
        <f>SUM(AC$170,'Statistics NZ'!AD$170-'Statistics NZ'!AC$170,$M$13/5*(AD$8-AD$9)*1000)</f>
        <v>30892.461576149079</v>
      </c>
      <c r="AE170" s="18">
        <f>SUM(AD$170,'Statistics NZ'!AE$170-'Statistics NZ'!AD$170,$M$13/5*(AE$8-AE$9)*1000)</f>
        <v>32062.461576149079</v>
      </c>
      <c r="AF170" s="18">
        <f>SUM(AE$170,'Statistics NZ'!AF$170-'Statistics NZ'!AE$170,$M$13/5*(AF$8-AF$9)*1000)</f>
        <v>33082.461576149079</v>
      </c>
      <c r="AG170" s="18">
        <f>SUM(AF$170,'Statistics NZ'!AG$170-'Statistics NZ'!AF$170,$M$13/5*(AG$8-AG$9)*1000)</f>
        <v>34062.461576149079</v>
      </c>
      <c r="AH170" s="18">
        <f>SUM(AG$170,'Statistics NZ'!AH$170-'Statistics NZ'!AG$170,$M$13/5*(AH$8-AH$9)*1000)</f>
        <v>35512.461576149079</v>
      </c>
      <c r="AI170" s="18">
        <f>SUM(AH$170,'Statistics NZ'!AI$170-'Statistics NZ'!AH$170,$M$13/5*(AI$8-AI$9)*1000)</f>
        <v>36552.461576149079</v>
      </c>
      <c r="AJ170" s="18">
        <f>SUM(AI$170,'Statistics NZ'!AJ$170-'Statistics NZ'!AI$170,$M$13/5*(AJ$8-AJ$9)*1000)</f>
        <v>37192.461576149079</v>
      </c>
      <c r="AK170" s="18">
        <f>SUM(AJ$170,'Statistics NZ'!AK$170-'Statistics NZ'!AJ$170,$M$13/5*(AK$8-AK$9)*1000)</f>
        <v>38412.461576149079</v>
      </c>
    </row>
    <row r="171" spans="1:37" x14ac:dyDescent="0.25">
      <c r="A171" s="12">
        <f>$A$71</f>
        <v>56</v>
      </c>
      <c r="B171" s="27">
        <f>'Statistics NZ'!B$171*'Economic Forecasts'!D$9*1000000/SUM('Statistics NZ'!B$30:B$110,'Statistics NZ'!B$130:B$210)</f>
        <v>23657.569046694491</v>
      </c>
      <c r="C171" s="27">
        <f>'Statistics NZ'!C$171*'Economic Forecasts'!E$9*1000000/SUM('Statistics NZ'!C$30:C$110,'Statistics NZ'!C$130:C$210)</f>
        <v>23666.388602155697</v>
      </c>
      <c r="D171" s="27">
        <f>'Statistics NZ'!D$171*'Economic Forecasts'!F$9*1000000/SUM('Statistics NZ'!D$30:D$110,'Statistics NZ'!D$130:D$210)</f>
        <v>24016.559460680568</v>
      </c>
      <c r="E171" s="27">
        <f>'Statistics NZ'!E$171*'Economic Forecasts'!G$9*1000000/SUM('Statistics NZ'!E$30:E$110,'Statistics NZ'!E$130:E$210)</f>
        <v>24095.855284820551</v>
      </c>
      <c r="F171" s="27">
        <f>'Statistics NZ'!F$171*'Economic Forecasts'!H$9*1000000/SUM('Statistics NZ'!F$30:F$110,'Statistics NZ'!F$130:F$210)</f>
        <v>24924.240452460559</v>
      </c>
      <c r="G171" s="27">
        <f>'Statistics NZ'!G$171*'Economic Forecasts'!I$9*1000000/SUM('Statistics NZ'!G$30:G$110,'Statistics NZ'!G$130:G$210)</f>
        <v>25410.735735303431</v>
      </c>
      <c r="H171" s="27">
        <f>'Statistics NZ'!H$171*'Economic Forecasts'!J$9*1000000/SUM('Statistics NZ'!H$30:H$110,'Statistics NZ'!H$130:H$210)</f>
        <v>26292.066995028828</v>
      </c>
      <c r="I171" s="27">
        <f>'Statistics NZ'!I$171*'Economic Forecasts'!K$9*1000000/SUM('Statistics NZ'!I$30:I$110,'Statistics NZ'!I$130:I$210)</f>
        <v>26842.134429189631</v>
      </c>
      <c r="J171" s="27">
        <f>'Statistics NZ'!J$171*'Economic Forecasts'!L$9*1000000/SUM('Statistics NZ'!J$30:J$110,'Statistics NZ'!J$130:J$210)</f>
        <v>26905.443111014945</v>
      </c>
      <c r="K171" s="27">
        <f>'Statistics NZ'!K$171*'Economic Forecasts'!M$9*1000000/SUM('Statistics NZ'!K$30:K$110,'Statistics NZ'!K$130:K$210)</f>
        <v>28381.079383302374</v>
      </c>
      <c r="L171" s="27">
        <f>'Statistics NZ'!L$171*'Economic Forecasts'!N$9*1000000/SUM('Statistics NZ'!L$30:L$110,'Statistics NZ'!L$130:L$210)</f>
        <v>28946.95646666719</v>
      </c>
      <c r="M171" s="27">
        <f>'Statistics NZ'!M$171*'Economic Forecasts'!O$9*1000000/SUM('Statistics NZ'!M$30:M$110,'Statistics NZ'!M$130:M$210)</f>
        <v>30021.900416072309</v>
      </c>
      <c r="N171" s="27">
        <f>'Statistics NZ'!N$171*'Economic Forecasts'!P$9*1000000/SUM('Statistics NZ'!N$30:N$110,'Statistics NZ'!N$130:N$210)</f>
        <v>31125.87591739291</v>
      </c>
      <c r="O171" s="27">
        <f>'Statistics NZ'!O$171*'Economic Forecasts'!Q$9*1000000/SUM('Statistics NZ'!O$30:O$110,'Statistics NZ'!O$130:O$210)</f>
        <v>31398.019039741288</v>
      </c>
      <c r="P171" s="27">
        <f>'Statistics NZ'!P$171*'Economic Forecasts'!R$9*1000000/SUM('Statistics NZ'!P$30:P$110,'Statistics NZ'!P$130:P$210)</f>
        <v>31108.865033140653</v>
      </c>
      <c r="Q171" s="27">
        <f>'Statistics NZ'!Q$171*'Economic Forecasts'!S$9*1000000/SUM('Statistics NZ'!Q$30:Q$110,'Statistics NZ'!Q$130:Q$210)</f>
        <v>30567.406414059329</v>
      </c>
      <c r="R171" s="27">
        <f>'Statistics NZ'!R$171*'Economic Forecasts'!T$9*1000000/SUM('Statistics NZ'!R$30:R$110,'Statistics NZ'!R$130:R$210)</f>
        <v>29997.864295982599</v>
      </c>
      <c r="S171" s="27">
        <f>'Statistics NZ'!S$171*'Economic Forecasts'!U$9*1000000/SUM('Statistics NZ'!S$30:S$110,'Statistics NZ'!S$130:S$210)</f>
        <v>29437.629960237718</v>
      </c>
      <c r="T171" s="27">
        <f>'Statistics NZ'!T$171*'Economic Forecasts'!V$9*1000000/SUM('Statistics NZ'!T$30:T$110,'Statistics NZ'!T$130:T$210)</f>
        <v>30247.119457485653</v>
      </c>
      <c r="U171" s="28">
        <f>SUM('Statistics NZ'!U$171,$M$13/5*(U$8-U$9)*1000)*'Economic Forecasts'!W$9*1000000/SUM('Statistics NZ'!U$30:U$110,'Statistics NZ'!U$130:U$210,SUM($E$12:$T$13)*(U$8-U$9)*1000)</f>
        <v>30973.756273622013</v>
      </c>
      <c r="V171" s="28">
        <f>SUM('Statistics NZ'!V$171,$M$13/5*(V$8-V$9)*1000)*'Economic Forecasts'!X$9*1000000/SUM('Statistics NZ'!V$30:V$110,'Statistics NZ'!V$130:V$210,SUM($E$12:$T$13)*(V$8-V$9)*1000)</f>
        <v>30888.378866279552</v>
      </c>
      <c r="W171" s="28">
        <f>SUM('Statistics NZ'!W$171,$M$13/5*(W$8-W$9)*1000)*'Economic Forecasts'!Y$9*1000000/SUM('Statistics NZ'!W$30:W$110,'Statistics NZ'!W$130:W$210,SUM($E$12:$T$13)*(W$8-W$9)*1000)</f>
        <v>31947.449435793937</v>
      </c>
      <c r="X171" s="28">
        <f>SUM('Statistics NZ'!X$171,$M$13/5*(X$8-X$9)*1000)*'Economic Forecasts'!Z$9*1000000/SUM('Statistics NZ'!X$30:X$110,'Statistics NZ'!X$130:X$210,SUM($E$12:$T$13)*(X$8-X$9)*1000)</f>
        <v>31705.643161550681</v>
      </c>
      <c r="Y171" s="28">
        <f>SUM('Statistics NZ'!Y$171,$M$13/5*(Y$8-Y$9)*1000)*'Economic Forecasts'!AA$9*1000000/SUM('Statistics NZ'!Y$30:Y$110,'Statistics NZ'!Y$130:Y$210,SUM($E$12:$T$13)*(Y$8-Y$9)*1000)</f>
        <v>30911.977039007332</v>
      </c>
      <c r="Z171" s="28">
        <f>SUM('Statistics NZ'!Z$171,$M$13/5*(Z$8-Z$9)*1000)*'Economic Forecasts'!AB$9*1000000/SUM('Statistics NZ'!Z$30:Z$110,'Statistics NZ'!Z$130:Z$210,SUM($E$12:$T$13)*(Z$8-Z$9)*1000)</f>
        <v>30204.84060106871</v>
      </c>
      <c r="AA171" s="28">
        <f>SUM('Statistics NZ'!AA$171,$M$13/5*(AA$8-AA$9)*1000)*'Economic Forecasts'!AC$9*1000000/SUM('Statistics NZ'!AA$30:AA$110,'Statistics NZ'!AA$130:AA$210,SUM($E$12:$T$13)*(AA$8-AA$9)*1000)</f>
        <v>29298.804020457381</v>
      </c>
      <c r="AB171" s="18">
        <f>SUM(AA$171,'Statistics NZ'!AB$171-'Statistics NZ'!AA$171,$M$13/5*(AB$8-AB$9)*1000)</f>
        <v>29200.453925624632</v>
      </c>
      <c r="AC171" s="18">
        <f>SUM(AB$171,'Statistics NZ'!AC$171-'Statistics NZ'!AB$171,$M$13/5*(AC$8-AC$9)*1000)</f>
        <v>29641.553862402798</v>
      </c>
      <c r="AD171" s="18">
        <f>SUM(AC$171,'Statistics NZ'!AD$171-'Statistics NZ'!AC$171,$M$13/5*(AD$8-AD$9)*1000)</f>
        <v>29432.0121693937</v>
      </c>
      <c r="AE171" s="18">
        <f>SUM(AD$171,'Statistics NZ'!AE$171-'Statistics NZ'!AD$171,$M$13/5*(AE$8-AE$9)*1000)</f>
        <v>30812.0121693937</v>
      </c>
      <c r="AF171" s="18">
        <f>SUM(AE$171,'Statistics NZ'!AF$171-'Statistics NZ'!AE$171,$M$13/5*(AF$8-AF$9)*1000)</f>
        <v>31982.0121693937</v>
      </c>
      <c r="AG171" s="18">
        <f>SUM(AF$171,'Statistics NZ'!AG$171-'Statistics NZ'!AF$171,$M$13/5*(AG$8-AG$9)*1000)</f>
        <v>33002.012169393696</v>
      </c>
      <c r="AH171" s="18">
        <f>SUM(AG$171,'Statistics NZ'!AH$171-'Statistics NZ'!AG$171,$M$13/5*(AH$8-AH$9)*1000)</f>
        <v>33982.012169393696</v>
      </c>
      <c r="AI171" s="18">
        <f>SUM(AH$171,'Statistics NZ'!AI$171-'Statistics NZ'!AH$171,$M$13/5*(AI$8-AI$9)*1000)</f>
        <v>35422.012169393696</v>
      </c>
      <c r="AJ171" s="18">
        <f>SUM(AI$171,'Statistics NZ'!AJ$171-'Statistics NZ'!AI$171,$M$13/5*(AJ$8-AJ$9)*1000)</f>
        <v>36462.012169393696</v>
      </c>
      <c r="AK171" s="18">
        <f>SUM(AJ$171,'Statistics NZ'!AK$171-'Statistics NZ'!AJ$171,$M$13/5*(AK$8-AK$9)*1000)</f>
        <v>37102.012169393696</v>
      </c>
    </row>
    <row r="172" spans="1:37" x14ac:dyDescent="0.25">
      <c r="A172" s="12">
        <f>$A$72</f>
        <v>57</v>
      </c>
      <c r="B172" s="27">
        <f>'Statistics NZ'!B$172*'Economic Forecasts'!D$9*1000000/SUM('Statistics NZ'!B$30:B$110,'Statistics NZ'!B$130:B$210)</f>
        <v>23315.131115911077</v>
      </c>
      <c r="C172" s="27">
        <f>'Statistics NZ'!C$172*'Economic Forecasts'!E$9*1000000/SUM('Statistics NZ'!C$30:C$110,'Statistics NZ'!C$130:C$210)</f>
        <v>23597.64805434861</v>
      </c>
      <c r="D172" s="27">
        <f>'Statistics NZ'!D$172*'Economic Forecasts'!F$9*1000000/SUM('Statistics NZ'!D$30:D$110,'Statistics NZ'!D$130:D$210)</f>
        <v>23545.068722802174</v>
      </c>
      <c r="E172" s="27">
        <f>'Statistics NZ'!E$172*'Economic Forecasts'!G$9*1000000/SUM('Statistics NZ'!E$30:E$110,'Statistics NZ'!E$130:E$210)</f>
        <v>23840.872689213986</v>
      </c>
      <c r="F172" s="27">
        <f>'Statistics NZ'!F$172*'Economic Forecasts'!H$9*1000000/SUM('Statistics NZ'!F$30:F$110,'Statistics NZ'!F$130:F$210)</f>
        <v>24012.01913719931</v>
      </c>
      <c r="G172" s="27">
        <f>'Statistics NZ'!G$172*'Economic Forecasts'!I$9*1000000/SUM('Statistics NZ'!G$30:G$110,'Statistics NZ'!G$130:G$210)</f>
        <v>24841.032344252948</v>
      </c>
      <c r="H172" s="27">
        <f>'Statistics NZ'!H$172*'Economic Forecasts'!J$9*1000000/SUM('Statistics NZ'!H$30:H$110,'Statistics NZ'!H$130:H$210)</f>
        <v>25280.077869285942</v>
      </c>
      <c r="I172" s="27">
        <f>'Statistics NZ'!I$172*'Economic Forecasts'!K$9*1000000/SUM('Statistics NZ'!I$30:I$110,'Statistics NZ'!I$130:I$210)</f>
        <v>26097.064225895836</v>
      </c>
      <c r="J172" s="27">
        <f>'Statistics NZ'!J$172*'Economic Forecasts'!L$9*1000000/SUM('Statistics NZ'!J$30:J$110,'Statistics NZ'!J$130:J$210)</f>
        <v>26651.894172672648</v>
      </c>
      <c r="K172" s="27">
        <f>'Statistics NZ'!K$172*'Economic Forecasts'!M$9*1000000/SUM('Statistics NZ'!K$30:K$110,'Statistics NZ'!K$130:K$210)</f>
        <v>26959.591359301638</v>
      </c>
      <c r="L172" s="27">
        <f>'Statistics NZ'!L$172*'Economic Forecasts'!N$9*1000000/SUM('Statistics NZ'!L$30:L$110,'Statistics NZ'!L$130:L$210)</f>
        <v>28479.598945510101</v>
      </c>
      <c r="M172" s="27">
        <f>'Statistics NZ'!M$172*'Economic Forecasts'!O$9*1000000/SUM('Statistics NZ'!M$30:M$110,'Statistics NZ'!M$130:M$210)</f>
        <v>29162.177917987581</v>
      </c>
      <c r="N172" s="27">
        <f>'Statistics NZ'!N$172*'Economic Forecasts'!P$9*1000000/SUM('Statistics NZ'!N$30:N$110,'Statistics NZ'!N$130:N$210)</f>
        <v>30108.242753165036</v>
      </c>
      <c r="O172" s="27">
        <f>'Statistics NZ'!O$172*'Economic Forecasts'!Q$9*1000000/SUM('Statistics NZ'!O$30:O$110,'Statistics NZ'!O$130:O$210)</f>
        <v>31073.923128477145</v>
      </c>
      <c r="P172" s="27">
        <f>'Statistics NZ'!P$172*'Economic Forecasts'!R$9*1000000/SUM('Statistics NZ'!P$30:P$110,'Statistics NZ'!P$130:P$210)</f>
        <v>31373.246322374143</v>
      </c>
      <c r="Q172" s="27">
        <f>'Statistics NZ'!Q$172*'Economic Forecasts'!S$9*1000000/SUM('Statistics NZ'!Q$30:Q$110,'Statistics NZ'!Q$130:Q$210)</f>
        <v>31189.819666834293</v>
      </c>
      <c r="R172" s="27">
        <f>'Statistics NZ'!R$172*'Economic Forecasts'!T$9*1000000/SUM('Statistics NZ'!R$30:R$110,'Statistics NZ'!R$130:R$210)</f>
        <v>30274.61559756003</v>
      </c>
      <c r="S172" s="27">
        <f>'Statistics NZ'!S$172*'Economic Forecasts'!U$9*1000000/SUM('Statistics NZ'!S$30:S$110,'Statistics NZ'!S$130:S$210)</f>
        <v>29350.017966308442</v>
      </c>
      <c r="T172" s="27">
        <f>'Statistics NZ'!T$172*'Economic Forecasts'!V$9*1000000/SUM('Statistics NZ'!T$30:T$110,'Statistics NZ'!T$130:T$210)</f>
        <v>29490.695878977567</v>
      </c>
      <c r="U172" s="28">
        <f>SUM('Statistics NZ'!U$172,$M$13/5*(U$8-U$9)*1000)*'Economic Forecasts'!W$9*1000000/SUM('Statistics NZ'!U$30:U$110,'Statistics NZ'!U$130:U$210,SUM($E$12:$T$13)*(U$8-U$9)*1000)</f>
        <v>30157.011352175148</v>
      </c>
      <c r="V172" s="28">
        <f>SUM('Statistics NZ'!V$172,$M$13/5*(V$8-V$9)*1000)*'Economic Forecasts'!X$9*1000000/SUM('Statistics NZ'!V$30:V$110,'Statistics NZ'!V$130:V$210,SUM($E$12:$T$13)*(V$8-V$9)*1000)</f>
        <v>30760.857003809368</v>
      </c>
      <c r="W172" s="28">
        <f>SUM('Statistics NZ'!W$172,$M$13/5*(W$8-W$9)*1000)*'Economic Forecasts'!Y$9*1000000/SUM('Statistics NZ'!W$30:W$110,'Statistics NZ'!W$130:W$210,SUM($E$12:$T$13)*(W$8-W$9)*1000)</f>
        <v>30705.136391814704</v>
      </c>
      <c r="X172" s="28">
        <f>SUM('Statistics NZ'!X$172,$M$13/5*(X$8-X$9)*1000)*'Economic Forecasts'!Z$9*1000000/SUM('Statistics NZ'!X$30:X$110,'Statistics NZ'!X$130:X$210,SUM($E$12:$T$13)*(X$8-X$9)*1000)</f>
        <v>31803.342128587148</v>
      </c>
      <c r="Y172" s="28">
        <f>SUM('Statistics NZ'!Y$172,$M$13/5*(Y$8-Y$9)*1000)*'Economic Forecasts'!AA$9*1000000/SUM('Statistics NZ'!Y$30:Y$110,'Statistics NZ'!Y$130:Y$210,SUM($E$12:$T$13)*(Y$8-Y$9)*1000)</f>
        <v>31595.804961470349</v>
      </c>
      <c r="Z172" s="28">
        <f>SUM('Statistics NZ'!Z$172,$M$13/5*(Z$8-Z$9)*1000)*'Economic Forecasts'!AB$9*1000000/SUM('Statistics NZ'!Z$30:Z$110,'Statistics NZ'!Z$130:Z$210,SUM($E$12:$T$13)*(Z$8-Z$9)*1000)</f>
        <v>30820.41710348838</v>
      </c>
      <c r="AA172" s="28">
        <f>SUM('Statistics NZ'!AA$172,$M$13/5*(AA$8-AA$9)*1000)*'Economic Forecasts'!AC$9*1000000/SUM('Statistics NZ'!AA$30:AA$110,'Statistics NZ'!AA$130:AA$210,SUM($E$12:$T$13)*(AA$8-AA$9)*1000)</f>
        <v>30139.479529976164</v>
      </c>
      <c r="AB172" s="18">
        <f>SUM(AA$172,'Statistics NZ'!AB$172-'Statistics NZ'!AA$172,$M$13/5*(AB$8-AB$9)*1000)</f>
        <v>29201.129435143415</v>
      </c>
      <c r="AC172" s="18">
        <f>SUM(AB$172,'Statistics NZ'!AC$172-'Statistics NZ'!AB$172,$M$13/5*(AC$8-AC$9)*1000)</f>
        <v>29112.229371921581</v>
      </c>
      <c r="AD172" s="18">
        <f>SUM(AC$172,'Statistics NZ'!AD$172-'Statistics NZ'!AC$172,$M$13/5*(AD$8-AD$9)*1000)</f>
        <v>29542.687678912484</v>
      </c>
      <c r="AE172" s="18">
        <f>SUM(AD$172,'Statistics NZ'!AE$172-'Statistics NZ'!AD$172,$M$13/5*(AE$8-AE$9)*1000)</f>
        <v>29342.687678912484</v>
      </c>
      <c r="AF172" s="18">
        <f>SUM(AE$172,'Statistics NZ'!AF$172-'Statistics NZ'!AE$172,$M$13/5*(AF$8-AF$9)*1000)</f>
        <v>30722.687678912484</v>
      </c>
      <c r="AG172" s="18">
        <f>SUM(AF$172,'Statistics NZ'!AG$172-'Statistics NZ'!AF$172,$M$13/5*(AG$8-AG$9)*1000)</f>
        <v>31882.687678912484</v>
      </c>
      <c r="AH172" s="18">
        <f>SUM(AG$172,'Statistics NZ'!AH$172-'Statistics NZ'!AG$172,$M$13/5*(AH$8-AH$9)*1000)</f>
        <v>32902.68767891248</v>
      </c>
      <c r="AI172" s="18">
        <f>SUM(AH$172,'Statistics NZ'!AI$172-'Statistics NZ'!AH$172,$M$13/5*(AI$8-AI$9)*1000)</f>
        <v>33882.68767891248</v>
      </c>
      <c r="AJ172" s="18">
        <f>SUM(AI$172,'Statistics NZ'!AJ$172-'Statistics NZ'!AI$172,$M$13/5*(AJ$8-AJ$9)*1000)</f>
        <v>35332.68767891248</v>
      </c>
      <c r="AK172" s="18">
        <f>SUM(AJ$172,'Statistics NZ'!AK$172-'Statistics NZ'!AJ$172,$M$13/5*(AK$8-AK$9)*1000)</f>
        <v>36372.68767891248</v>
      </c>
    </row>
    <row r="173" spans="1:37" x14ac:dyDescent="0.25">
      <c r="A173" s="12">
        <f>$A$73</f>
        <v>58</v>
      </c>
      <c r="B173" s="27">
        <f>'Statistics NZ'!B$173*'Economic Forecasts'!D$9*1000000/SUM('Statistics NZ'!B$30:B$110,'Statistics NZ'!B$130:B$210)</f>
        <v>23373.834761188235</v>
      </c>
      <c r="C173" s="27">
        <f>'Statistics NZ'!C$173*'Economic Forecasts'!E$9*1000000/SUM('Statistics NZ'!C$30:C$110,'Statistics NZ'!C$130:C$210)</f>
        <v>23283.405550087617</v>
      </c>
      <c r="D173" s="27">
        <f>'Statistics NZ'!D$173*'Economic Forecasts'!F$9*1000000/SUM('Statistics NZ'!D$30:D$110,'Statistics NZ'!D$130:D$210)</f>
        <v>23476.309656861577</v>
      </c>
      <c r="E173" s="27">
        <f>'Statistics NZ'!E$173*'Economic Forecasts'!G$9*1000000/SUM('Statistics NZ'!E$30:E$110,'Statistics NZ'!E$130:E$210)</f>
        <v>23409.363681264407</v>
      </c>
      <c r="F173" s="27">
        <f>'Statistics NZ'!F$173*'Economic Forecasts'!H$9*1000000/SUM('Statistics NZ'!F$30:F$110,'Statistics NZ'!F$130:F$210)</f>
        <v>23776.607184873828</v>
      </c>
      <c r="G173" s="27">
        <f>'Statistics NZ'!G$173*'Economic Forecasts'!I$9*1000000/SUM('Statistics NZ'!G$30:G$110,'Statistics NZ'!G$130:G$210)</f>
        <v>23917.719951860789</v>
      </c>
      <c r="H173" s="27">
        <f>'Statistics NZ'!H$173*'Economic Forecasts'!J$9*1000000/SUM('Statistics NZ'!H$30:H$110,'Statistics NZ'!H$130:H$210)</f>
        <v>24720.045052127254</v>
      </c>
      <c r="I173" s="27">
        <f>'Statistics NZ'!I$173*'Economic Forecasts'!K$9*1000000/SUM('Statistics NZ'!I$30:I$110,'Statistics NZ'!I$130:I$210)</f>
        <v>25106.905139939605</v>
      </c>
      <c r="J173" s="27">
        <f>'Statistics NZ'!J$173*'Economic Forecasts'!L$9*1000000/SUM('Statistics NZ'!J$30:J$110,'Statistics NZ'!J$130:J$210)</f>
        <v>25930.254886621504</v>
      </c>
      <c r="K173" s="27">
        <f>'Statistics NZ'!K$173*'Economic Forecasts'!M$9*1000000/SUM('Statistics NZ'!K$30:K$110,'Statistics NZ'!K$130:K$210)</f>
        <v>26521.461488890454</v>
      </c>
      <c r="L173" s="27">
        <f>'Statistics NZ'!L$173*'Economic Forecasts'!N$9*1000000/SUM('Statistics NZ'!L$30:L$110,'Statistics NZ'!L$130:L$210)</f>
        <v>27019.106691894198</v>
      </c>
      <c r="M173" s="27">
        <f>'Statistics NZ'!M$173*'Economic Forecasts'!O$9*1000000/SUM('Statistics NZ'!M$30:M$110,'Statistics NZ'!M$130:M$210)</f>
        <v>28605.312209000884</v>
      </c>
      <c r="N173" s="27">
        <f>'Statistics NZ'!N$173*'Economic Forecasts'!P$9*1000000/SUM('Statistics NZ'!N$30:N$110,'Statistics NZ'!N$130:N$210)</f>
        <v>29237.383603008493</v>
      </c>
      <c r="O173" s="27">
        <f>'Statistics NZ'!O$173*'Economic Forecasts'!Q$9*1000000/SUM('Statistics NZ'!O$30:O$110,'Statistics NZ'!O$130:O$210)</f>
        <v>30111.456482904843</v>
      </c>
      <c r="P173" s="27">
        <f>'Statistics NZ'!P$173*'Economic Forecasts'!R$9*1000000/SUM('Statistics NZ'!P$30:P$110,'Statistics NZ'!P$130:P$210)</f>
        <v>31040.321735931971</v>
      </c>
      <c r="Q173" s="27">
        <f>'Statistics NZ'!Q$173*'Economic Forecasts'!S$9*1000000/SUM('Statistics NZ'!Q$30:Q$110,'Statistics NZ'!Q$130:Q$210)</f>
        <v>31456.56820373785</v>
      </c>
      <c r="R173" s="27">
        <f>'Statistics NZ'!R$173*'Economic Forecasts'!T$9*1000000/SUM('Statistics NZ'!R$30:R$110,'Statistics NZ'!R$130:R$210)</f>
        <v>30887.422051052923</v>
      </c>
      <c r="S173" s="27">
        <f>'Statistics NZ'!S$173*'Economic Forecasts'!U$9*1000000/SUM('Statistics NZ'!S$30:S$110,'Statistics NZ'!S$130:S$210)</f>
        <v>29564.180618135568</v>
      </c>
      <c r="T173" s="27">
        <f>'Statistics NZ'!T$173*'Economic Forecasts'!V$9*1000000/SUM('Statistics NZ'!T$30:T$110,'Statistics NZ'!T$130:T$210)</f>
        <v>29372.811684924356</v>
      </c>
      <c r="U173" s="28">
        <f>SUM('Statistics NZ'!U$173,$M$13/5*(U$8-U$9)*1000)*'Economic Forecasts'!W$9*1000000/SUM('Statistics NZ'!U$30:U$110,'Statistics NZ'!U$130:U$210,SUM($E$12:$T$13)*(U$8-U$9)*1000)</f>
        <v>29399.308232278658</v>
      </c>
      <c r="V173" s="28">
        <f>SUM('Statistics NZ'!V$173,$M$13/5*(V$8-V$9)*1000)*'Economic Forecasts'!X$9*1000000/SUM('Statistics NZ'!V$30:V$110,'Statistics NZ'!V$130:V$210,SUM($E$12:$T$13)*(V$8-V$9)*1000)</f>
        <v>29946.678958807443</v>
      </c>
      <c r="W173" s="28">
        <f>SUM('Statistics NZ'!W$173,$M$13/5*(W$8-W$9)*1000)*'Economic Forecasts'!Y$9*1000000/SUM('Statistics NZ'!W$30:W$110,'Statistics NZ'!W$130:W$210,SUM($E$12:$T$13)*(W$8-W$9)*1000)</f>
        <v>30577.970489675103</v>
      </c>
      <c r="X173" s="28">
        <f>SUM('Statistics NZ'!X$173,$M$13/5*(X$8-X$9)*1000)*'Economic Forecasts'!Z$9*1000000/SUM('Statistics NZ'!X$30:X$110,'Statistics NZ'!X$130:X$210,SUM($E$12:$T$13)*(X$8-X$9)*1000)</f>
        <v>30572.335143927732</v>
      </c>
      <c r="Y173" s="28">
        <f>SUM('Statistics NZ'!Y$173,$M$13/5*(Y$8-Y$9)*1000)*'Economic Forecasts'!AA$9*1000000/SUM('Statistics NZ'!Y$30:Y$110,'Statistics NZ'!Y$130:Y$210,SUM($E$12:$T$13)*(Y$8-Y$9)*1000)</f>
        <v>31703.263635000254</v>
      </c>
      <c r="Z173" s="28">
        <f>SUM('Statistics NZ'!Z$173,$M$13/5*(Z$8-Z$9)*1000)*'Economic Forecasts'!AB$9*1000000/SUM('Statistics NZ'!Z$30:Z$110,'Statistics NZ'!Z$130:Z$210,SUM($E$12:$T$13)*(Z$8-Z$9)*1000)</f>
        <v>31514.162050659765</v>
      </c>
      <c r="AA173" s="28">
        <f>SUM('Statistics NZ'!AA$173,$M$13/5*(AA$8-AA$9)*1000)*'Economic Forecasts'!AC$9*1000000/SUM('Statistics NZ'!AA$30:AA$110,'Statistics NZ'!AA$130:AA$210,SUM($E$12:$T$13)*(AA$8-AA$9)*1000)</f>
        <v>30755.323217181784</v>
      </c>
      <c r="AB173" s="18">
        <f>SUM(AA$173,'Statistics NZ'!AB$173-'Statistics NZ'!AA$173,$M$13/5*(AB$8-AB$9)*1000)</f>
        <v>30046.973122349034</v>
      </c>
      <c r="AC173" s="18">
        <f>SUM(AB$173,'Statistics NZ'!AC$173-'Statistics NZ'!AB$173,$M$13/5*(AC$8-AC$9)*1000)</f>
        <v>29118.0730591272</v>
      </c>
      <c r="AD173" s="18">
        <f>SUM(AC$173,'Statistics NZ'!AD$173-'Statistics NZ'!AC$173,$M$13/5*(AD$8-AD$9)*1000)</f>
        <v>29028.531366118103</v>
      </c>
      <c r="AE173" s="18">
        <f>SUM(AD$173,'Statistics NZ'!AE$173-'Statistics NZ'!AD$173,$M$13/5*(AE$8-AE$9)*1000)</f>
        <v>29458.531366118103</v>
      </c>
      <c r="AF173" s="18">
        <f>SUM(AE$173,'Statistics NZ'!AF$173-'Statistics NZ'!AE$173,$M$13/5*(AF$8-AF$9)*1000)</f>
        <v>29268.531366118103</v>
      </c>
      <c r="AG173" s="18">
        <f>SUM(AF$173,'Statistics NZ'!AG$173-'Statistics NZ'!AF$173,$M$13/5*(AG$8-AG$9)*1000)</f>
        <v>30648.531366118103</v>
      </c>
      <c r="AH173" s="18">
        <f>SUM(AG$173,'Statistics NZ'!AH$173-'Statistics NZ'!AG$173,$M$13/5*(AH$8-AH$9)*1000)</f>
        <v>31808.531366118103</v>
      </c>
      <c r="AI173" s="18">
        <f>SUM(AH$173,'Statistics NZ'!AI$173-'Statistics NZ'!AH$173,$M$13/5*(AI$8-AI$9)*1000)</f>
        <v>32828.531366118099</v>
      </c>
      <c r="AJ173" s="18">
        <f>SUM(AI$173,'Statistics NZ'!AJ$173-'Statistics NZ'!AI$173,$M$13/5*(AJ$8-AJ$9)*1000)</f>
        <v>33798.531366118099</v>
      </c>
      <c r="AK173" s="18">
        <f>SUM(AJ$173,'Statistics NZ'!AK$173-'Statistics NZ'!AJ$173,$M$13/5*(AK$8-AK$9)*1000)</f>
        <v>35248.531366118099</v>
      </c>
    </row>
    <row r="174" spans="1:37" x14ac:dyDescent="0.25">
      <c r="A174" s="12">
        <f>$A$74</f>
        <v>59</v>
      </c>
      <c r="B174" s="27">
        <f>'Statistics NZ'!B$174*'Economic Forecasts'!D$9*1000000/SUM('Statistics NZ'!B$30:B$110,'Statistics NZ'!B$130:B$210)</f>
        <v>23501.025992622075</v>
      </c>
      <c r="C174" s="27">
        <f>'Statistics NZ'!C$174*'Economic Forecasts'!E$9*1000000/SUM('Statistics NZ'!C$30:C$110,'Statistics NZ'!C$130:C$210)</f>
        <v>23381.60633266918</v>
      </c>
      <c r="D174" s="27">
        <f>'Statistics NZ'!D$174*'Economic Forecasts'!F$9*1000000/SUM('Statistics NZ'!D$30:D$110,'Statistics NZ'!D$130:D$210)</f>
        <v>23191.450669393384</v>
      </c>
      <c r="E174" s="27">
        <f>'Statistics NZ'!E$174*'Economic Forecasts'!G$9*1000000/SUM('Statistics NZ'!E$30:E$110,'Statistics NZ'!E$130:E$210)</f>
        <v>23281.872383461123</v>
      </c>
      <c r="F174" s="27">
        <f>'Statistics NZ'!F$174*'Economic Forecasts'!H$9*1000000/SUM('Statistics NZ'!F$30:F$110,'Statistics NZ'!F$130:F$210)</f>
        <v>23325.400942916651</v>
      </c>
      <c r="G174" s="27">
        <f>'Statistics NZ'!G$174*'Economic Forecasts'!I$9*1000000/SUM('Statistics NZ'!G$30:G$110,'Statistics NZ'!G$130:G$210)</f>
        <v>23632.868256335547</v>
      </c>
      <c r="H174" s="27">
        <f>'Statistics NZ'!H$174*'Economic Forecasts'!J$9*1000000/SUM('Statistics NZ'!H$30:H$110,'Statistics NZ'!H$130:H$210)</f>
        <v>23786.657023529442</v>
      </c>
      <c r="I174" s="27">
        <f>'Statistics NZ'!I$174*'Economic Forecasts'!K$9*1000000/SUM('Statistics NZ'!I$30:I$110,'Statistics NZ'!I$130:I$210)</f>
        <v>24538.298932162761</v>
      </c>
      <c r="J174" s="27">
        <f>'Statistics NZ'!J$174*'Economic Forecasts'!L$9*1000000/SUM('Statistics NZ'!J$30:J$110,'Statistics NZ'!J$130:J$210)</f>
        <v>24935.562897740198</v>
      </c>
      <c r="K174" s="27">
        <f>'Statistics NZ'!K$174*'Economic Forecasts'!M$9*1000000/SUM('Statistics NZ'!K$30:K$110,'Statistics NZ'!K$130:K$210)</f>
        <v>25839.926134917496</v>
      </c>
      <c r="L174" s="27">
        <f>'Statistics NZ'!L$174*'Economic Forecasts'!N$9*1000000/SUM('Statistics NZ'!L$30:L$110,'Statistics NZ'!L$130:L$210)</f>
        <v>26542.012555713009</v>
      </c>
      <c r="M174" s="27">
        <f>'Statistics NZ'!M$174*'Economic Forecasts'!O$9*1000000/SUM('Statistics NZ'!M$30:M$110,'Statistics NZ'!M$130:M$210)</f>
        <v>27159.415280403846</v>
      </c>
      <c r="N174" s="27">
        <f>'Statistics NZ'!N$174*'Economic Forecasts'!P$9*1000000/SUM('Statistics NZ'!N$30:N$110,'Statistics NZ'!N$130:N$210)</f>
        <v>28630.717678180339</v>
      </c>
      <c r="O174" s="27">
        <f>'Statistics NZ'!O$174*'Economic Forecasts'!Q$9*1000000/SUM('Statistics NZ'!O$30:O$110,'Statistics NZ'!O$130:O$210)</f>
        <v>29188.274190213044</v>
      </c>
      <c r="P174" s="27">
        <f>'Statistics NZ'!P$174*'Economic Forecasts'!R$9*1000000/SUM('Statistics NZ'!P$30:P$110,'Statistics NZ'!P$130:P$210)</f>
        <v>30070.923675409173</v>
      </c>
      <c r="Q174" s="27">
        <f>'Statistics NZ'!Q$174*'Economic Forecasts'!S$9*1000000/SUM('Statistics NZ'!Q$30:Q$110,'Statistics NZ'!Q$130:Q$210)</f>
        <v>31091.023912425571</v>
      </c>
      <c r="R174" s="27">
        <f>'Statistics NZ'!R$174*'Economic Forecasts'!T$9*1000000/SUM('Statistics NZ'!R$30:R$110,'Statistics NZ'!R$130:R$210)</f>
        <v>31144.405402517681</v>
      </c>
      <c r="S174" s="27">
        <f>'Statistics NZ'!S$174*'Economic Forecasts'!U$9*1000000/SUM('Statistics NZ'!S$30:S$110,'Statistics NZ'!S$130:S$210)</f>
        <v>30148.260577664092</v>
      </c>
      <c r="T174" s="27">
        <f>'Statistics NZ'!T$174*'Economic Forecasts'!V$9*1000000/SUM('Statistics NZ'!T$30:T$110,'Statistics NZ'!T$130:T$210)</f>
        <v>29598.756390193012</v>
      </c>
      <c r="U174" s="28">
        <f>SUM('Statistics NZ'!U$174,$M$13/5*(U$8-U$9)*1000)*'Economic Forecasts'!W$9*1000000/SUM('Statistics NZ'!U$30:U$110,'Statistics NZ'!U$130:U$210,SUM($E$12:$T$13)*(U$8-U$9)*1000)</f>
        <v>29291.064929436303</v>
      </c>
      <c r="V174" s="28">
        <f>SUM('Statistics NZ'!V$174,$M$13/5*(V$8-V$9)*1000)*'Economic Forecasts'!X$9*1000000/SUM('Statistics NZ'!V$30:V$110,'Statistics NZ'!V$130:V$210,SUM($E$12:$T$13)*(V$8-V$9)*1000)</f>
        <v>29201.166532058694</v>
      </c>
      <c r="W174" s="28">
        <f>SUM('Statistics NZ'!W$174,$M$13/5*(W$8-W$9)*1000)*'Economic Forecasts'!Y$9*1000000/SUM('Statistics NZ'!W$30:W$110,'Statistics NZ'!W$130:W$210,SUM($E$12:$T$13)*(W$8-W$9)*1000)</f>
        <v>29775.847106948349</v>
      </c>
      <c r="X174" s="28">
        <f>SUM('Statistics NZ'!X$174,$M$13/5*(X$8-X$9)*1000)*'Economic Forecasts'!Z$9*1000000/SUM('Statistics NZ'!X$30:X$110,'Statistics NZ'!X$130:X$210,SUM($E$12:$T$13)*(X$8-X$9)*1000)</f>
        <v>30445.326486780334</v>
      </c>
      <c r="Y174" s="28">
        <f>SUM('Statistics NZ'!Y$174,$M$13/5*(Y$8-Y$9)*1000)*'Economic Forecasts'!AA$9*1000000/SUM('Statistics NZ'!Y$30:Y$110,'Statistics NZ'!Y$130:Y$210,SUM($E$12:$T$13)*(Y$8-Y$9)*1000)</f>
        <v>30482.142344887714</v>
      </c>
      <c r="Z174" s="28">
        <f>SUM('Statistics NZ'!Z$174,$M$13/5*(Z$8-Z$9)*1000)*'Economic Forecasts'!AB$9*1000000/SUM('Statistics NZ'!Z$30:Z$110,'Statistics NZ'!Z$130:Z$210,SUM($E$12:$T$13)*(Z$8-Z$9)*1000)</f>
        <v>31621.643662193357</v>
      </c>
      <c r="AA174" s="28">
        <f>SUM('Statistics NZ'!AA$174,$M$13/5*(AA$8-AA$9)*1000)*'Economic Forecasts'!AC$9*1000000/SUM('Statistics NZ'!AA$30:AA$110,'Statistics NZ'!AA$130:AA$210,SUM($E$12:$T$13)*(AA$8-AA$9)*1000)</f>
        <v>31439.593980743583</v>
      </c>
      <c r="AB174" s="18">
        <f>SUM(AA$174,'Statistics NZ'!AB$174-'Statistics NZ'!AA$174,$M$13/5*(AB$8-AB$9)*1000)</f>
        <v>30661.243885910833</v>
      </c>
      <c r="AC174" s="18">
        <f>SUM(AB$174,'Statistics NZ'!AC$174-'Statistics NZ'!AB$174,$M$13/5*(AC$8-AC$9)*1000)</f>
        <v>29952.343822688999</v>
      </c>
      <c r="AD174" s="18">
        <f>SUM(AC$174,'Statistics NZ'!AD$174-'Statistics NZ'!AC$174,$M$13/5*(AD$8-AD$9)*1000)</f>
        <v>29042.802129679902</v>
      </c>
      <c r="AE174" s="18">
        <f>SUM(AD$174,'Statistics NZ'!AE$174-'Statistics NZ'!AD$174,$M$13/5*(AE$8-AE$9)*1000)</f>
        <v>28952.802129679902</v>
      </c>
      <c r="AF174" s="18">
        <f>SUM(AE$174,'Statistics NZ'!AF$174-'Statistics NZ'!AE$174,$M$13/5*(AF$8-AF$9)*1000)</f>
        <v>29392.802129679902</v>
      </c>
      <c r="AG174" s="18">
        <f>SUM(AF$174,'Statistics NZ'!AG$174-'Statistics NZ'!AF$174,$M$13/5*(AG$8-AG$9)*1000)</f>
        <v>29202.802129679902</v>
      </c>
      <c r="AH174" s="18">
        <f>SUM(AG$174,'Statistics NZ'!AH$174-'Statistics NZ'!AG$174,$M$13/5*(AH$8-AH$9)*1000)</f>
        <v>30572.802129679902</v>
      </c>
      <c r="AI174" s="18">
        <f>SUM(AH$174,'Statistics NZ'!AI$174-'Statistics NZ'!AH$174,$M$13/5*(AI$8-AI$9)*1000)</f>
        <v>31732.802129679902</v>
      </c>
      <c r="AJ174" s="18">
        <f>SUM(AI$174,'Statistics NZ'!AJ$174-'Statistics NZ'!AI$174,$M$13/5*(AJ$8-AJ$9)*1000)</f>
        <v>32752.802129679902</v>
      </c>
      <c r="AK174" s="18">
        <f>SUM(AJ$174,'Statistics NZ'!AK$174-'Statistics NZ'!AJ$174,$M$13/5*(AK$8-AK$9)*1000)</f>
        <v>33732.802129679898</v>
      </c>
    </row>
    <row r="175" spans="1:37" x14ac:dyDescent="0.25">
      <c r="A175" s="12">
        <f>$A$75</f>
        <v>60</v>
      </c>
      <c r="B175" s="27">
        <f>'Statistics NZ'!B$175*'Economic Forecasts'!D$9*1000000/SUM('Statistics NZ'!B$30:B$110,'Statistics NZ'!B$130:B$210)</f>
        <v>19724.424813124937</v>
      </c>
      <c r="C175" s="27">
        <f>'Statistics NZ'!C$175*'Economic Forecasts'!E$9*1000000/SUM('Statistics NZ'!C$30:C$110,'Statistics NZ'!C$130:C$210)</f>
        <v>23430.706723959953</v>
      </c>
      <c r="D175" s="27">
        <f>'Statistics NZ'!D$175*'Economic Forecasts'!F$9*1000000/SUM('Statistics NZ'!D$30:D$110,'Statistics NZ'!D$130:D$210)</f>
        <v>23270.032459039779</v>
      </c>
      <c r="E175" s="27">
        <f>'Statistics NZ'!E$175*'Economic Forecasts'!G$9*1000000/SUM('Statistics NZ'!E$30:E$110,'Statistics NZ'!E$130:E$210)</f>
        <v>23056.310856578395</v>
      </c>
      <c r="F175" s="27">
        <f>'Statistics NZ'!F$175*'Economic Forecasts'!H$9*1000000/SUM('Statistics NZ'!F$30:F$110,'Statistics NZ'!F$130:F$210)</f>
        <v>23227.312629447701</v>
      </c>
      <c r="G175" s="27">
        <f>'Statistics NZ'!G$175*'Economic Forecasts'!I$9*1000000/SUM('Statistics NZ'!G$30:G$110,'Statistics NZ'!G$130:G$210)</f>
        <v>23279.259254993867</v>
      </c>
      <c r="H175" s="27">
        <f>'Statistics NZ'!H$175*'Economic Forecasts'!J$9*1000000/SUM('Statistics NZ'!H$30:H$110,'Statistics NZ'!H$130:H$210)</f>
        <v>23531.20345780794</v>
      </c>
      <c r="I175" s="27">
        <f>'Statistics NZ'!I$175*'Economic Forecasts'!K$9*1000000/SUM('Statistics NZ'!I$30:I$110,'Statistics NZ'!I$130:I$210)</f>
        <v>23646.175399271509</v>
      </c>
      <c r="J175" s="27">
        <f>'Statistics NZ'!J$175*'Economic Forecasts'!L$9*1000000/SUM('Statistics NZ'!J$30:J$110,'Statistics NZ'!J$130:J$210)</f>
        <v>24350.44996310414</v>
      </c>
      <c r="K175" s="27">
        <f>'Statistics NZ'!K$175*'Economic Forecasts'!M$9*1000000/SUM('Statistics NZ'!K$30:K$110,'Statistics NZ'!K$130:K$210)</f>
        <v>24944.193955410188</v>
      </c>
      <c r="L175" s="27">
        <f>'Statistics NZ'!L$175*'Economic Forecasts'!N$9*1000000/SUM('Statistics NZ'!L$30:L$110,'Statistics NZ'!L$130:L$210)</f>
        <v>25840.976273977369</v>
      </c>
      <c r="M175" s="27">
        <f>'Statistics NZ'!M$175*'Economic Forecasts'!O$9*1000000/SUM('Statistics NZ'!M$30:M$110,'Statistics NZ'!M$130:M$210)</f>
        <v>26583.010423733405</v>
      </c>
      <c r="N175" s="27">
        <f>'Statistics NZ'!N$175*'Economic Forecasts'!P$9*1000000/SUM('Statistics NZ'!N$30:N$110,'Statistics NZ'!N$130:N$210)</f>
        <v>27241.257011638434</v>
      </c>
      <c r="O175" s="27">
        <f>'Statistics NZ'!O$175*'Economic Forecasts'!Q$9*1000000/SUM('Statistics NZ'!O$30:O$110,'Statistics NZ'!O$130:O$210)</f>
        <v>28618.651073445766</v>
      </c>
      <c r="P175" s="27">
        <f>'Statistics NZ'!P$175*'Economic Forecasts'!R$9*1000000/SUM('Statistics NZ'!P$30:P$110,'Statistics NZ'!P$130:P$210)</f>
        <v>29121.109414088856</v>
      </c>
      <c r="Q175" s="27">
        <f>'Statistics NZ'!Q$175*'Economic Forecasts'!S$9*1000000/SUM('Statistics NZ'!Q$30:Q$110,'Statistics NZ'!Q$130:Q$210)</f>
        <v>30142.584670101816</v>
      </c>
      <c r="R175" s="27">
        <f>'Statistics NZ'!R$175*'Economic Forecasts'!T$9*1000000/SUM('Statistics NZ'!R$30:R$110,'Statistics NZ'!R$130:R$210)</f>
        <v>30808.350250602227</v>
      </c>
      <c r="S175" s="27">
        <f>'Statistics NZ'!S$175*'Economic Forecasts'!U$9*1000000/SUM('Statistics NZ'!S$30:S$110,'Statistics NZ'!S$130:S$210)</f>
        <v>30372.157895483364</v>
      </c>
      <c r="T175" s="27">
        <f>'Statistics NZ'!T$175*'Economic Forecasts'!V$9*1000000/SUM('Statistics NZ'!T$30:T$110,'Statistics NZ'!T$130:T$210)</f>
        <v>30188.177360459045</v>
      </c>
      <c r="U175" s="28">
        <f>SUM('Statistics NZ'!U$175,$N$13/5*(U$8-U$9)*1000)*'Economic Forecasts'!W$9*1000000/SUM('Statistics NZ'!U$30:U$110,'Statistics NZ'!U$130:U$210,SUM($E$12:$T$13)*(U$8-U$9)*1000)</f>
        <v>29483.738076703026</v>
      </c>
      <c r="V175" s="28">
        <f>SUM('Statistics NZ'!V$175,$N$13/5*(V$8-V$9)*1000)*'Economic Forecasts'!X$9*1000000/SUM('Statistics NZ'!V$30:V$110,'Statistics NZ'!V$130:V$210,SUM($E$12:$T$13)*(V$8-V$9)*1000)</f>
        <v>29063.56493193789</v>
      </c>
      <c r="W175" s="28">
        <f>SUM('Statistics NZ'!W$175,$N$13/5*(W$8-W$9)*1000)*'Economic Forecasts'!Y$9*1000000/SUM('Statistics NZ'!W$30:W$110,'Statistics NZ'!W$130:W$210,SUM($E$12:$T$13)*(W$8-W$9)*1000)</f>
        <v>29031.455989029055</v>
      </c>
      <c r="X175" s="28">
        <f>SUM('Statistics NZ'!X$175,$N$13/5*(X$8-X$9)*1000)*'Economic Forecasts'!Z$9*1000000/SUM('Statistics NZ'!X$30:X$110,'Statistics NZ'!X$130:X$210,SUM($E$12:$T$13)*(X$8-X$9)*1000)</f>
        <v>29648.348471540074</v>
      </c>
      <c r="Y175" s="28">
        <f>SUM('Statistics NZ'!Y$175,$N$13/5*(Y$8-Y$9)*1000)*'Economic Forecasts'!AA$9*1000000/SUM('Statistics NZ'!Y$30:Y$110,'Statistics NZ'!Y$130:Y$210,SUM($E$12:$T$13)*(Y$8-Y$9)*1000)</f>
        <v>30360.416999197772</v>
      </c>
      <c r="Z175" s="28">
        <f>SUM('Statistics NZ'!Z$175,$N$13/5*(Z$8-Z$9)*1000)*'Economic Forecasts'!AB$9*1000000/SUM('Statistics NZ'!Z$30:Z$110,'Statistics NZ'!Z$130:Z$210,SUM($E$12:$T$13)*(Z$8-Z$9)*1000)</f>
        <v>30404.735259101213</v>
      </c>
      <c r="AA175" s="28">
        <f>SUM('Statistics NZ'!AA$175,$N$13/5*(AA$8-AA$9)*1000)*'Economic Forecasts'!AC$9*1000000/SUM('Statistics NZ'!AA$30:AA$110,'Statistics NZ'!AA$130:AA$210,SUM($E$12:$T$13)*(AA$8-AA$9)*1000)</f>
        <v>31551.118214884493</v>
      </c>
      <c r="AB175" s="18">
        <f>SUM(AA$175,'Statistics NZ'!AB$175-'Statistics NZ'!AA$175,$N$13/5*(AB$8-AB$9)*1000)</f>
        <v>31365.711354864874</v>
      </c>
      <c r="AC175" s="18">
        <f>SUM(AB$175,'Statistics NZ'!AC$175-'Statistics NZ'!AB$175,$N$13/5*(AC$8-AC$9)*1000)</f>
        <v>30588.773448185126</v>
      </c>
      <c r="AD175" s="18">
        <f>SUM(AC$175,'Statistics NZ'!AD$175-'Statistics NZ'!AC$175,$N$13/5*(AD$8-AD$9)*1000)</f>
        <v>29890.049320401897</v>
      </c>
      <c r="AE175" s="18">
        <f>SUM(AD$175,'Statistics NZ'!AE$175-'Statistics NZ'!AD$175,$N$13/5*(AE$8-AE$9)*1000)</f>
        <v>28980.049320401897</v>
      </c>
      <c r="AF175" s="18">
        <f>SUM(AE$175,'Statistics NZ'!AF$175-'Statistics NZ'!AE$175,$N$13/5*(AF$8-AF$9)*1000)</f>
        <v>28900.049320401897</v>
      </c>
      <c r="AG175" s="18">
        <f>SUM(AF$175,'Statistics NZ'!AG$175-'Statistics NZ'!AF$175,$N$13/5*(AG$8-AG$9)*1000)</f>
        <v>29340.049320401897</v>
      </c>
      <c r="AH175" s="18">
        <f>SUM(AG$175,'Statistics NZ'!AH$175-'Statistics NZ'!AG$175,$N$13/5*(AH$8-AH$9)*1000)</f>
        <v>29150.049320401897</v>
      </c>
      <c r="AI175" s="18">
        <f>SUM(AH$175,'Statistics NZ'!AI$175-'Statistics NZ'!AH$175,$N$13/5*(AI$8-AI$9)*1000)</f>
        <v>30530.049320401897</v>
      </c>
      <c r="AJ175" s="18">
        <f>SUM(AI$175,'Statistics NZ'!AJ$175-'Statistics NZ'!AI$175,$N$13/5*(AJ$8-AJ$9)*1000)</f>
        <v>31680.049320401897</v>
      </c>
      <c r="AK175" s="18">
        <f>SUM(AJ$175,'Statistics NZ'!AK$175-'Statistics NZ'!AJ$175,$N$13/5*(AK$8-AK$9)*1000)</f>
        <v>32700.049320401897</v>
      </c>
    </row>
    <row r="176" spans="1:37" x14ac:dyDescent="0.25">
      <c r="A176" s="12">
        <f>$A$76</f>
        <v>61</v>
      </c>
      <c r="B176" s="27">
        <f>'Statistics NZ'!B$176*'Economic Forecasts'!D$9*1000000/SUM('Statistics NZ'!B$30:B$110,'Statistics NZ'!B$130:B$210)</f>
        <v>18726.462843413261</v>
      </c>
      <c r="C176" s="27">
        <f>'Statistics NZ'!C$176*'Economic Forecasts'!E$9*1000000/SUM('Statistics NZ'!C$30:C$110,'Statistics NZ'!C$130:C$210)</f>
        <v>19669.616751086251</v>
      </c>
      <c r="D176" s="27">
        <f>'Statistics NZ'!D$176*'Economic Forecasts'!F$9*1000000/SUM('Statistics NZ'!D$30:D$110,'Statistics NZ'!D$130:D$210)</f>
        <v>23279.855182745578</v>
      </c>
      <c r="E176" s="27">
        <f>'Statistics NZ'!E$176*'Economic Forecasts'!G$9*1000000/SUM('Statistics NZ'!E$30:E$110,'Statistics NZ'!E$130:E$210)</f>
        <v>23095.538948210175</v>
      </c>
      <c r="F176" s="27">
        <f>'Statistics NZ'!F$176*'Economic Forecasts'!H$9*1000000/SUM('Statistics NZ'!F$30:F$110,'Statistics NZ'!F$130:F$210)</f>
        <v>22972.283014428427</v>
      </c>
      <c r="G176" s="27">
        <f>'Statistics NZ'!G$176*'Economic Forecasts'!I$9*1000000/SUM('Statistics NZ'!G$30:G$110,'Statistics NZ'!G$130:G$210)</f>
        <v>23122.099698842008</v>
      </c>
      <c r="H176" s="27">
        <f>'Statistics NZ'!H$176*'Economic Forecasts'!J$9*1000000/SUM('Statistics NZ'!H$30:H$110,'Statistics NZ'!H$130:H$210)</f>
        <v>23167.673383511945</v>
      </c>
      <c r="I176" s="27">
        <f>'Statistics NZ'!I$176*'Economic Forecasts'!K$9*1000000/SUM('Statistics NZ'!I$30:I$110,'Statistics NZ'!I$130:I$210)</f>
        <v>23381.479405996077</v>
      </c>
      <c r="J176" s="27">
        <f>'Statistics NZ'!J$176*'Economic Forecasts'!L$9*1000000/SUM('Statistics NZ'!J$30:J$110,'Statistics NZ'!J$130:J$210)</f>
        <v>23511.788090125778</v>
      </c>
      <c r="K176" s="27">
        <f>'Statistics NZ'!K$176*'Economic Forecasts'!M$9*1000000/SUM('Statistics NZ'!K$30:K$110,'Statistics NZ'!K$130:K$210)</f>
        <v>24301.603478807112</v>
      </c>
      <c r="L176" s="27">
        <f>'Statistics NZ'!L$176*'Economic Forecasts'!N$9*1000000/SUM('Statistics NZ'!L$30:L$110,'Statistics NZ'!L$130:L$210)</f>
        <v>24964.680921807834</v>
      </c>
      <c r="M176" s="27">
        <f>'Statistics NZ'!M$176*'Economic Forecasts'!O$9*1000000/SUM('Statistics NZ'!M$30:M$110,'Statistics NZ'!M$130:M$210)</f>
        <v>25899.140254802373</v>
      </c>
      <c r="N176" s="27">
        <f>'Statistics NZ'!N$176*'Economic Forecasts'!P$9*1000000/SUM('Statistics NZ'!N$30:N$110,'Statistics NZ'!N$130:N$210)</f>
        <v>26526.956809824638</v>
      </c>
      <c r="O176" s="27">
        <f>'Statistics NZ'!O$176*'Economic Forecasts'!Q$9*1000000/SUM('Statistics NZ'!O$30:O$110,'Statistics NZ'!O$130:O$210)</f>
        <v>27224.056546187941</v>
      </c>
      <c r="P176" s="27">
        <f>'Statistics NZ'!P$176*'Economic Forecasts'!R$9*1000000/SUM('Statistics NZ'!P$30:P$110,'Statistics NZ'!P$130:P$210)</f>
        <v>28592.346835621876</v>
      </c>
      <c r="Q176" s="27">
        <f>'Statistics NZ'!Q$176*'Economic Forecasts'!S$9*1000000/SUM('Statistics NZ'!Q$30:Q$110,'Statistics NZ'!Q$130:Q$210)</f>
        <v>29134.867975132827</v>
      </c>
      <c r="R176" s="27">
        <f>'Statistics NZ'!R$176*'Economic Forecasts'!T$9*1000000/SUM('Statistics NZ'!R$30:R$110,'Statistics NZ'!R$130:R$210)</f>
        <v>29938.560445644576</v>
      </c>
      <c r="S176" s="27">
        <f>'Statistics NZ'!S$176*'Economic Forecasts'!U$9*1000000/SUM('Statistics NZ'!S$30:S$110,'Statistics NZ'!S$130:S$210)</f>
        <v>30060.648583734815</v>
      </c>
      <c r="T176" s="27">
        <f>'Statistics NZ'!T$176*'Economic Forecasts'!V$9*1000000/SUM('Statistics NZ'!T$30:T$110,'Statistics NZ'!T$130:T$210)</f>
        <v>30404.298382889931</v>
      </c>
      <c r="U176" s="28">
        <f>SUM('Statistics NZ'!U$176,$N$13/5*(U$8-U$9)*1000)*'Economic Forecasts'!W$9*1000000/SUM('Statistics NZ'!U$30:U$110,'Statistics NZ'!U$130:U$210,SUM($E$12:$T$13)*(U$8-U$9)*1000)</f>
        <v>30064.315791948393</v>
      </c>
      <c r="V176" s="28">
        <f>SUM('Statistics NZ'!V$176,$N$13/5*(V$8-V$9)*1000)*'Economic Forecasts'!X$9*1000000/SUM('Statistics NZ'!V$30:V$110,'Statistics NZ'!V$130:V$210,SUM($E$12:$T$13)*(V$8-V$9)*1000)</f>
        <v>29279.371160733579</v>
      </c>
      <c r="W176" s="28">
        <f>SUM('Statistics NZ'!W$176,$N$13/5*(W$8-W$9)*1000)*'Economic Forecasts'!Y$9*1000000/SUM('Statistics NZ'!W$30:W$110,'Statistics NZ'!W$130:W$210,SUM($E$12:$T$13)*(W$8-W$9)*1000)</f>
        <v>28914.072079361729</v>
      </c>
      <c r="X176" s="28">
        <f>SUM('Statistics NZ'!X$176,$N$13/5*(X$8-X$9)*1000)*'Economic Forecasts'!Z$9*1000000/SUM('Statistics NZ'!X$30:X$110,'Statistics NZ'!X$130:X$210,SUM($E$12:$T$13)*(X$8-X$9)*1000)</f>
        <v>28905.836322062969</v>
      </c>
      <c r="Y176" s="28">
        <f>SUM('Statistics NZ'!Y$176,$N$13/5*(Y$8-Y$9)*1000)*'Economic Forecasts'!AA$9*1000000/SUM('Statistics NZ'!Y$30:Y$110,'Statistics NZ'!Y$130:Y$210,SUM($E$12:$T$13)*(Y$8-Y$9)*1000)</f>
        <v>29549.592462563047</v>
      </c>
      <c r="Z176" s="28">
        <f>SUM('Statistics NZ'!Z$176,$N$13/5*(Z$8-Z$9)*1000)*'Economic Forecasts'!AB$9*1000000/SUM('Statistics NZ'!Z$30:Z$110,'Statistics NZ'!Z$130:Z$210,SUM($E$12:$T$13)*(Z$8-Z$9)*1000)</f>
        <v>30267.940480785735</v>
      </c>
      <c r="AA176" s="28">
        <f>SUM('Statistics NZ'!AA$176,$N$13/5*(AA$8-AA$9)*1000)*'Economic Forecasts'!AC$9*1000000/SUM('Statistics NZ'!AA$30:AA$110,'Statistics NZ'!AA$130:AA$210,SUM($E$12:$T$13)*(AA$8-AA$9)*1000)</f>
        <v>30329.206137095567</v>
      </c>
      <c r="AB176" s="18">
        <f>SUM(AA$176,'Statistics NZ'!AB$176-'Statistics NZ'!AA$176,$N$13/5*(AB$8-AB$9)*1000)</f>
        <v>31493.799277075948</v>
      </c>
      <c r="AC176" s="18">
        <f>SUM(AB$176,'Statistics NZ'!AC$176-'Statistics NZ'!AB$176,$N$13/5*(AC$8-AC$9)*1000)</f>
        <v>31306.8613703962</v>
      </c>
      <c r="AD176" s="18">
        <f>SUM(AC$176,'Statistics NZ'!AD$176-'Statistics NZ'!AC$176,$N$13/5*(AD$8-AD$9)*1000)</f>
        <v>30548.137242612971</v>
      </c>
      <c r="AE176" s="18">
        <f>SUM(AD$176,'Statistics NZ'!AE$176-'Statistics NZ'!AD$176,$N$13/5*(AE$8-AE$9)*1000)</f>
        <v>29858.137242612971</v>
      </c>
      <c r="AF176" s="18">
        <f>SUM(AE$176,'Statistics NZ'!AF$176-'Statistics NZ'!AE$176,$N$13/5*(AF$8-AF$9)*1000)</f>
        <v>28958.137242612971</v>
      </c>
      <c r="AG176" s="18">
        <f>SUM(AF$176,'Statistics NZ'!AG$176-'Statistics NZ'!AF$176,$N$13/5*(AG$8-AG$9)*1000)</f>
        <v>28878.137242612971</v>
      </c>
      <c r="AH176" s="18">
        <f>SUM(AG$176,'Statistics NZ'!AH$176-'Statistics NZ'!AG$176,$N$13/5*(AH$8-AH$9)*1000)</f>
        <v>29318.137242612971</v>
      </c>
      <c r="AI176" s="18">
        <f>SUM(AH$176,'Statistics NZ'!AI$176-'Statistics NZ'!AH$176,$N$13/5*(AI$8-AI$9)*1000)</f>
        <v>29138.137242612971</v>
      </c>
      <c r="AJ176" s="18">
        <f>SUM(AI$176,'Statistics NZ'!AJ$176-'Statistics NZ'!AI$176,$N$13/5*(AJ$8-AJ$9)*1000)</f>
        <v>30498.137242612971</v>
      </c>
      <c r="AK176" s="18">
        <f>SUM(AJ$176,'Statistics NZ'!AK$176-'Statistics NZ'!AJ$176,$N$13/5*(AK$8-AK$9)*1000)</f>
        <v>31658.137242612971</v>
      </c>
    </row>
    <row r="177" spans="1:37" x14ac:dyDescent="0.25">
      <c r="A177" s="12">
        <f>$A$77</f>
        <v>62</v>
      </c>
      <c r="B177" s="27">
        <f>'Statistics NZ'!B$177*'Economic Forecasts'!D$9*1000000/SUM('Statistics NZ'!B$30:B$110,'Statistics NZ'!B$130:B$210)</f>
        <v>18002.451218328319</v>
      </c>
      <c r="C177" s="27">
        <f>'Statistics NZ'!C$177*'Economic Forecasts'!E$9*1000000/SUM('Statistics NZ'!C$30:C$110,'Statistics NZ'!C$130:C$210)</f>
        <v>18677.788847012504</v>
      </c>
      <c r="D177" s="27">
        <f>'Statistics NZ'!D$177*'Economic Forecasts'!F$9*1000000/SUM('Statistics NZ'!D$30:D$110,'Statistics NZ'!D$130:D$210)</f>
        <v>19537.397450835848</v>
      </c>
      <c r="E177" s="27">
        <f>'Statistics NZ'!E$177*'Economic Forecasts'!G$9*1000000/SUM('Statistics NZ'!E$30:E$110,'Statistics NZ'!E$130:E$210)</f>
        <v>23105.345971118113</v>
      </c>
      <c r="F177" s="27">
        <f>'Statistics NZ'!F$177*'Economic Forecasts'!H$9*1000000/SUM('Statistics NZ'!F$30:F$110,'Statistics NZ'!F$130:F$210)</f>
        <v>23001.70950846911</v>
      </c>
      <c r="G177" s="27">
        <f>'Statistics NZ'!G$177*'Economic Forecasts'!I$9*1000000/SUM('Statistics NZ'!G$30:G$110,'Statistics NZ'!G$130:G$210)</f>
        <v>22915.827781392698</v>
      </c>
      <c r="H177" s="27">
        <f>'Statistics NZ'!H$177*'Economic Forecasts'!J$9*1000000/SUM('Statistics NZ'!H$30:H$110,'Statistics NZ'!H$130:H$210)</f>
        <v>23000.646052078657</v>
      </c>
      <c r="I177" s="27">
        <f>'Statistics NZ'!I$177*'Economic Forecasts'!K$9*1000000/SUM('Statistics NZ'!I$30:I$110,'Statistics NZ'!I$130:I$210)</f>
        <v>23057.962080881665</v>
      </c>
      <c r="J177" s="27">
        <f>'Statistics NZ'!J$177*'Economic Forecasts'!L$9*1000000/SUM('Statistics NZ'!J$30:J$110,'Statistics NZ'!J$130:J$210)</f>
        <v>23248.487269539553</v>
      </c>
      <c r="K177" s="27">
        <f>'Statistics NZ'!K$177*'Economic Forecasts'!M$9*1000000/SUM('Statistics NZ'!K$30:K$110,'Statistics NZ'!K$130:K$210)</f>
        <v>23493.49727338204</v>
      </c>
      <c r="L177" s="27">
        <f>'Statistics NZ'!L$177*'Economic Forecasts'!N$9*1000000/SUM('Statistics NZ'!L$30:L$110,'Statistics NZ'!L$130:L$210)</f>
        <v>24273.381255096301</v>
      </c>
      <c r="M177" s="27">
        <f>'Statistics NZ'!M$177*'Economic Forecasts'!O$9*1000000/SUM('Statistics NZ'!M$30:M$110,'Statistics NZ'!M$130:M$210)</f>
        <v>25019.878609033902</v>
      </c>
      <c r="N177" s="27">
        <f>'Statistics NZ'!N$177*'Economic Forecasts'!P$9*1000000/SUM('Statistics NZ'!N$30:N$110,'Statistics NZ'!N$130:N$210)</f>
        <v>25832.226476553689</v>
      </c>
      <c r="O177" s="27">
        <f>'Statistics NZ'!O$177*'Economic Forecasts'!Q$9*1000000/SUM('Statistics NZ'!O$30:O$110,'Statistics NZ'!O$130:O$210)</f>
        <v>26526.759282559029</v>
      </c>
      <c r="P177" s="27">
        <f>'Statistics NZ'!P$177*'Economic Forecasts'!R$9*1000000/SUM('Statistics NZ'!P$30:P$110,'Statistics NZ'!P$130:P$210)</f>
        <v>27260.648489853189</v>
      </c>
      <c r="Q177" s="27">
        <f>'Statistics NZ'!Q$177*'Economic Forecasts'!S$9*1000000/SUM('Statistics NZ'!Q$30:Q$110,'Statistics NZ'!Q$130:Q$210)</f>
        <v>28472.936420594375</v>
      </c>
      <c r="R177" s="27">
        <f>'Statistics NZ'!R$177*'Economic Forecasts'!T$9*1000000/SUM('Statistics NZ'!R$30:R$110,'Statistics NZ'!R$130:R$210)</f>
        <v>28742.599463827806</v>
      </c>
      <c r="S177" s="27">
        <f>'Statistics NZ'!S$177*'Economic Forecasts'!U$9*1000000/SUM('Statistics NZ'!S$30:S$110,'Statistics NZ'!S$130:S$210)</f>
        <v>29291.609970355588</v>
      </c>
      <c r="T177" s="27">
        <f>'Statistics NZ'!T$177*'Economic Forecasts'!V$9*1000000/SUM('Statistics NZ'!T$30:T$110,'Statistics NZ'!T$130:T$210)</f>
        <v>30070.293166405841</v>
      </c>
      <c r="U177" s="28">
        <f>SUM('Statistics NZ'!U$177,$N$13/5*(U$8-U$9)*1000)*'Economic Forecasts'!W$9*1000000/SUM('Statistics NZ'!U$30:U$110,'Statistics NZ'!U$130:U$210,SUM($E$12:$T$13)*(U$8-U$9)*1000)</f>
        <v>30270.962097374704</v>
      </c>
      <c r="V177" s="28">
        <f>SUM('Statistics NZ'!V$177,$N$13/5*(V$8-V$9)*1000)*'Economic Forecasts'!X$9*1000000/SUM('Statistics NZ'!V$30:V$110,'Statistics NZ'!V$130:V$210,SUM($E$12:$T$13)*(V$8-V$9)*1000)</f>
        <v>29848.314854831315</v>
      </c>
      <c r="W177" s="28">
        <f>SUM('Statistics NZ'!W$177,$N$13/5*(W$8-W$9)*1000)*'Economic Forecasts'!Y$9*1000000/SUM('Statistics NZ'!W$30:W$110,'Statistics NZ'!W$130:W$210,SUM($E$12:$T$13)*(W$8-W$9)*1000)</f>
        <v>29119.493921279551</v>
      </c>
      <c r="X177" s="28">
        <f>SUM('Statistics NZ'!X$177,$N$13/5*(X$8-X$9)*1000)*'Economic Forecasts'!Z$9*1000000/SUM('Statistics NZ'!X$30:X$110,'Statistics NZ'!X$130:X$210,SUM($E$12:$T$13)*(X$8-X$9)*1000)</f>
        <v>28778.827664915574</v>
      </c>
      <c r="Y177" s="28">
        <f>SUM('Statistics NZ'!Y$177,$N$13/5*(Y$8-Y$9)*1000)*'Economic Forecasts'!AA$9*1000000/SUM('Statistics NZ'!Y$30:Y$110,'Statistics NZ'!Y$130:Y$210,SUM($E$12:$T$13)*(Y$8-Y$9)*1000)</f>
        <v>28807.15071817462</v>
      </c>
      <c r="Z177" s="28">
        <f>SUM('Statistics NZ'!Z$177,$N$13/5*(Z$8-Z$9)*1000)*'Economic Forecasts'!AB$9*1000000/SUM('Statistics NZ'!Z$30:Z$110,'Statistics NZ'!Z$130:Z$210,SUM($E$12:$T$13)*(Z$8-Z$9)*1000)</f>
        <v>29466.713922080766</v>
      </c>
      <c r="AA177" s="28">
        <f>SUM('Statistics NZ'!AA$177,$N$13/5*(AA$8-AA$9)*1000)*'Economic Forecasts'!AC$9*1000000/SUM('Statistics NZ'!AA$30:AA$110,'Statistics NZ'!AA$130:AA$210,SUM($E$12:$T$13)*(AA$8-AA$9)*1000)</f>
        <v>30192.351984383207</v>
      </c>
      <c r="AB177" s="18">
        <f>SUM(AA$177,'Statistics NZ'!AB$177-'Statistics NZ'!AA$177,$N$13/5*(AB$8-AB$9)*1000)</f>
        <v>30246.945124363589</v>
      </c>
      <c r="AC177" s="18">
        <f>SUM(AB$177,'Statistics NZ'!AC$177-'Statistics NZ'!AB$177,$N$13/5*(AC$8-AC$9)*1000)</f>
        <v>31410.00721768384</v>
      </c>
      <c r="AD177" s="18">
        <f>SUM(AC$177,'Statistics NZ'!AD$177-'Statistics NZ'!AC$177,$N$13/5*(AD$8-AD$9)*1000)</f>
        <v>31231.283089900611</v>
      </c>
      <c r="AE177" s="18">
        <f>SUM(AD$177,'Statistics NZ'!AE$177-'Statistics NZ'!AD$177,$N$13/5*(AE$8-AE$9)*1000)</f>
        <v>30471.283089900611</v>
      </c>
      <c r="AF177" s="18">
        <f>SUM(AE$177,'Statistics NZ'!AF$177-'Statistics NZ'!AE$177,$N$13/5*(AF$8-AF$9)*1000)</f>
        <v>29791.283089900611</v>
      </c>
      <c r="AG177" s="18">
        <f>SUM(AF$177,'Statistics NZ'!AG$177-'Statistics NZ'!AF$177,$N$13/5*(AG$8-AG$9)*1000)</f>
        <v>28901.283089900611</v>
      </c>
      <c r="AH177" s="18">
        <f>SUM(AG$177,'Statistics NZ'!AH$177-'Statistics NZ'!AG$177,$N$13/5*(AH$8-AH$9)*1000)</f>
        <v>28821.283089900611</v>
      </c>
      <c r="AI177" s="18">
        <f>SUM(AH$177,'Statistics NZ'!AI$177-'Statistics NZ'!AH$177,$N$13/5*(AI$8-AI$9)*1000)</f>
        <v>29261.283089900611</v>
      </c>
      <c r="AJ177" s="18">
        <f>SUM(AI$177,'Statistics NZ'!AJ$177-'Statistics NZ'!AI$177,$N$13/5*(AJ$8-AJ$9)*1000)</f>
        <v>29091.283089900611</v>
      </c>
      <c r="AK177" s="18">
        <f>SUM(AJ$177,'Statistics NZ'!AK$177-'Statistics NZ'!AJ$177,$N$13/5*(AK$8-AK$9)*1000)</f>
        <v>30451.283089900611</v>
      </c>
    </row>
    <row r="178" spans="1:37" x14ac:dyDescent="0.25">
      <c r="A178" s="12">
        <f>$A$78</f>
        <v>63</v>
      </c>
      <c r="B178" s="27">
        <f>'Statistics NZ'!B$178*'Economic Forecasts'!D$9*1000000/SUM('Statistics NZ'!B$30:B$110,'Statistics NZ'!B$130:B$210)</f>
        <v>15918.471810989224</v>
      </c>
      <c r="C178" s="27">
        <f>'Statistics NZ'!C$178*'Economic Forecasts'!E$9*1000000/SUM('Statistics NZ'!C$30:C$110,'Statistics NZ'!C$130:C$210)</f>
        <v>17902.00266461819</v>
      </c>
      <c r="D178" s="27">
        <f>'Statistics NZ'!D$178*'Economic Forecasts'!F$9*1000000/SUM('Statistics NZ'!D$30:D$110,'Statistics NZ'!D$130:D$210)</f>
        <v>18555.125080255864</v>
      </c>
      <c r="E178" s="27">
        <f>'Statistics NZ'!E$178*'Economic Forecasts'!G$9*1000000/SUM('Statistics NZ'!E$30:E$110,'Statistics NZ'!E$130:E$210)</f>
        <v>19378.677266099065</v>
      </c>
      <c r="F178" s="27">
        <f>'Statistics NZ'!F$178*'Economic Forecasts'!H$9*1000000/SUM('Statistics NZ'!F$30:F$110,'Statistics NZ'!F$130:F$210)</f>
        <v>22962.474183081529</v>
      </c>
      <c r="G178" s="27">
        <f>'Statistics NZ'!G$178*'Economic Forecasts'!I$9*1000000/SUM('Statistics NZ'!G$30:G$110,'Statistics NZ'!G$130:G$210)</f>
        <v>22906.005309133205</v>
      </c>
      <c r="H178" s="27">
        <f>'Statistics NZ'!H$178*'Economic Forecasts'!J$9*1000000/SUM('Statistics NZ'!H$30:H$110,'Statistics NZ'!H$130:H$210)</f>
        <v>22833.618720645361</v>
      </c>
      <c r="I178" s="27">
        <f>'Statistics NZ'!I$178*'Economic Forecasts'!K$9*1000000/SUM('Statistics NZ'!I$30:I$110,'Statistics NZ'!I$130:I$210)</f>
        <v>22812.873198219237</v>
      </c>
      <c r="J178" s="27">
        <f>'Statistics NZ'!J$178*'Economic Forecasts'!L$9*1000000/SUM('Statistics NZ'!J$30:J$110,'Statistics NZ'!J$130:J$210)</f>
        <v>22858.41197978218</v>
      </c>
      <c r="K178" s="27">
        <f>'Statistics NZ'!K$178*'Economic Forecasts'!M$9*1000000/SUM('Statistics NZ'!K$30:K$110,'Statistics NZ'!K$130:K$210)</f>
        <v>23172.202035080503</v>
      </c>
      <c r="L178" s="27">
        <f>'Statistics NZ'!L$178*'Economic Forecasts'!N$9*1000000/SUM('Statistics NZ'!L$30:L$110,'Statistics NZ'!L$130:L$210)</f>
        <v>23455.505593071397</v>
      </c>
      <c r="M178" s="27">
        <f>'Statistics NZ'!M$178*'Economic Forecasts'!O$9*1000000/SUM('Statistics NZ'!M$30:M$110,'Statistics NZ'!M$130:M$210)</f>
        <v>24316.469292419126</v>
      </c>
      <c r="N178" s="27">
        <f>'Statistics NZ'!N$178*'Economic Forecasts'!P$9*1000000/SUM('Statistics NZ'!N$30:N$110,'Statistics NZ'!N$130:N$210)</f>
        <v>24883.08785222577</v>
      </c>
      <c r="O178" s="27">
        <f>'Statistics NZ'!O$178*'Economic Forecasts'!Q$9*1000000/SUM('Statistics NZ'!O$30:O$110,'Statistics NZ'!O$130:O$210)</f>
        <v>25780.356577829491</v>
      </c>
      <c r="P178" s="27">
        <f>'Statistics NZ'!P$178*'Economic Forecasts'!R$9*1000000/SUM('Statistics NZ'!P$30:P$110,'Statistics NZ'!P$130:P$210)</f>
        <v>26526.25601976016</v>
      </c>
      <c r="Q178" s="27">
        <f>'Statistics NZ'!Q$178*'Economic Forecasts'!S$9*1000000/SUM('Statistics NZ'!Q$30:Q$110,'Statistics NZ'!Q$130:Q$210)</f>
        <v>27237.989490485317</v>
      </c>
      <c r="R178" s="27">
        <f>'Statistics NZ'!R$178*'Economic Forecasts'!T$9*1000000/SUM('Statistics NZ'!R$30:R$110,'Statistics NZ'!R$130:R$210)</f>
        <v>28169.328910560263</v>
      </c>
      <c r="S178" s="27">
        <f>'Statistics NZ'!S$178*'Economic Forecasts'!U$9*1000000/SUM('Statistics NZ'!S$30:S$110,'Statistics NZ'!S$130:S$210)</f>
        <v>28016.368725384975</v>
      </c>
      <c r="T178" s="27">
        <f>'Statistics NZ'!T$178*'Economic Forecasts'!V$9*1000000/SUM('Statistics NZ'!T$30:T$110,'Statistics NZ'!T$130:T$210)</f>
        <v>29313.869587897756</v>
      </c>
      <c r="U178" s="28">
        <f>SUM('Statistics NZ'!U$178,$N$13/5*(U$8-U$9)*1000)*'Economic Forecasts'!W$9*1000000/SUM('Statistics NZ'!U$30:U$110,'Statistics NZ'!U$130:U$210,SUM($E$12:$T$13)*(U$8-U$9)*1000)</f>
        <v>29926.551588330847</v>
      </c>
      <c r="V178" s="28">
        <f>SUM('Statistics NZ'!V$178,$N$13/5*(V$8-V$9)*1000)*'Economic Forecasts'!X$9*1000000/SUM('Statistics NZ'!V$30:V$110,'Statistics NZ'!V$130:V$210,SUM($E$12:$T$13)*(V$8-V$9)*1000)</f>
        <v>30044.502335554665</v>
      </c>
      <c r="W178" s="28">
        <f>SUM('Statistics NZ'!W$178,$N$13/5*(W$8-W$9)*1000)*'Economic Forecasts'!Y$9*1000000/SUM('Statistics NZ'!W$30:W$110,'Statistics NZ'!W$130:W$210,SUM($E$12:$T$13)*(W$8-W$9)*1000)</f>
        <v>29667.285499727092</v>
      </c>
      <c r="X178" s="28">
        <f>SUM('Statistics NZ'!X$178,$N$13/5*(X$8-X$9)*1000)*'Economic Forecasts'!Z$9*1000000/SUM('Statistics NZ'!X$30:X$110,'Statistics NZ'!X$130:X$210,SUM($E$12:$T$13)*(X$8-X$9)*1000)</f>
        <v>28974.225598988494</v>
      </c>
      <c r="Y178" s="28">
        <f>SUM('Statistics NZ'!Y$178,$N$13/5*(Y$8-Y$9)*1000)*'Economic Forecasts'!AA$9*1000000/SUM('Statistics NZ'!Y$30:Y$110,'Statistics NZ'!Y$130:Y$210,SUM($E$12:$T$13)*(Y$8-Y$9)*1000)</f>
        <v>28670.385133682019</v>
      </c>
      <c r="Z178" s="28">
        <f>SUM('Statistics NZ'!Z$178,$N$13/5*(Z$8-Z$9)*1000)*'Economic Forecasts'!AB$9*1000000/SUM('Statistics NZ'!Z$30:Z$110,'Statistics NZ'!Z$130:Z$210,SUM($E$12:$T$13)*(Z$8-Z$9)*1000)</f>
        <v>28714.342641345607</v>
      </c>
      <c r="AA178" s="28">
        <f>SUM('Statistics NZ'!AA$178,$N$13/5*(AA$8-AA$9)*1000)*'Economic Forecasts'!AC$9*1000000/SUM('Statistics NZ'!AA$30:AA$110,'Statistics NZ'!AA$130:AA$210,SUM($E$12:$T$13)*(AA$8-AA$9)*1000)</f>
        <v>29381.00236473135</v>
      </c>
      <c r="AB178" s="18">
        <f>SUM(AA$178,'Statistics NZ'!AB$178-'Statistics NZ'!AA$178,$N$13/5*(AB$8-AB$9)*1000)</f>
        <v>30115.595504711731</v>
      </c>
      <c r="AC178" s="18">
        <f>SUM(AB$178,'Statistics NZ'!AC$178-'Statistics NZ'!AB$178,$N$13/5*(AC$8-AC$9)*1000)</f>
        <v>30178.657598031983</v>
      </c>
      <c r="AD178" s="18">
        <f>SUM(AC$178,'Statistics NZ'!AD$178-'Statistics NZ'!AC$178,$N$13/5*(AD$8-AD$9)*1000)</f>
        <v>31329.933470248754</v>
      </c>
      <c r="AE178" s="18">
        <f>SUM(AD$178,'Statistics NZ'!AE$178-'Statistics NZ'!AD$178,$N$13/5*(AE$8-AE$9)*1000)</f>
        <v>31159.933470248754</v>
      </c>
      <c r="AF178" s="18">
        <f>SUM(AE$178,'Statistics NZ'!AF$178-'Statistics NZ'!AE$178,$N$13/5*(AF$8-AF$9)*1000)</f>
        <v>30409.933470248754</v>
      </c>
      <c r="AG178" s="18">
        <f>SUM(AF$178,'Statistics NZ'!AG$178-'Statistics NZ'!AF$178,$N$13/5*(AG$8-AG$9)*1000)</f>
        <v>29729.933470248754</v>
      </c>
      <c r="AH178" s="18">
        <f>SUM(AG$178,'Statistics NZ'!AH$178-'Statistics NZ'!AG$178,$N$13/5*(AH$8-AH$9)*1000)</f>
        <v>28849.933470248754</v>
      </c>
      <c r="AI178" s="18">
        <f>SUM(AH$178,'Statistics NZ'!AI$178-'Statistics NZ'!AH$178,$N$13/5*(AI$8-AI$9)*1000)</f>
        <v>28779.933470248754</v>
      </c>
      <c r="AJ178" s="18">
        <f>SUM(AI$178,'Statistics NZ'!AJ$178-'Statistics NZ'!AI$178,$N$13/5*(AJ$8-AJ$9)*1000)</f>
        <v>29219.933470248754</v>
      </c>
      <c r="AK178" s="18">
        <f>SUM(AJ$178,'Statistics NZ'!AK$178-'Statistics NZ'!AJ$178,$N$13/5*(AK$8-AK$9)*1000)</f>
        <v>29049.933470248754</v>
      </c>
    </row>
    <row r="179" spans="1:37" x14ac:dyDescent="0.25">
      <c r="A179" s="12">
        <f>$A$79</f>
        <v>64</v>
      </c>
      <c r="B179" s="27">
        <f>'Statistics NZ'!B$179*'Economic Forecasts'!D$9*1000000/SUM('Statistics NZ'!B$30:B$110,'Statistics NZ'!B$130:B$210)</f>
        <v>17542.605996990584</v>
      </c>
      <c r="C179" s="27">
        <f>'Statistics NZ'!C$179*'Economic Forecasts'!E$9*1000000/SUM('Statistics NZ'!C$30:C$110,'Statistics NZ'!C$130:C$210)</f>
        <v>15820.14607388914</v>
      </c>
      <c r="D179" s="27">
        <f>'Statistics NZ'!D$179*'Economic Forecasts'!F$9*1000000/SUM('Statistics NZ'!D$30:D$110,'Statistics NZ'!D$130:D$210)</f>
        <v>17759.484460086082</v>
      </c>
      <c r="E179" s="27">
        <f>'Statistics NZ'!E$179*'Economic Forecasts'!G$9*1000000/SUM('Statistics NZ'!E$30:E$110,'Statistics NZ'!E$130:E$210)</f>
        <v>18378.360929488688</v>
      </c>
      <c r="F179" s="27">
        <f>'Statistics NZ'!F$179*'Economic Forecasts'!H$9*1000000/SUM('Statistics NZ'!F$30:F$110,'Statistics NZ'!F$130:F$210)</f>
        <v>19293.971259342747</v>
      </c>
      <c r="G179" s="27">
        <f>'Statistics NZ'!G$179*'Economic Forecasts'!I$9*1000000/SUM('Statistics NZ'!G$30:G$110,'Statistics NZ'!G$130:G$210)</f>
        <v>22866.715420095243</v>
      </c>
      <c r="H179" s="27">
        <f>'Statistics NZ'!H$179*'Economic Forecasts'!J$9*1000000/SUM('Statistics NZ'!H$30:H$110,'Statistics NZ'!H$130:H$210)</f>
        <v>22784.493034929692</v>
      </c>
      <c r="I179" s="27">
        <f>'Statistics NZ'!I$179*'Economic Forecasts'!K$9*1000000/SUM('Statistics NZ'!I$30:I$110,'Statistics NZ'!I$130:I$210)</f>
        <v>22685.426979234773</v>
      </c>
      <c r="J179" s="27">
        <f>'Statistics NZ'!J$179*'Economic Forecasts'!L$9*1000000/SUM('Statistics NZ'!J$30:J$110,'Statistics NZ'!J$130:J$210)</f>
        <v>22595.111159195949</v>
      </c>
      <c r="K179" s="27">
        <f>'Statistics NZ'!K$179*'Economic Forecasts'!M$9*1000000/SUM('Statistics NZ'!K$30:K$110,'Statistics NZ'!K$130:K$210)</f>
        <v>22743.808384011783</v>
      </c>
      <c r="L179" s="27">
        <f>'Statistics NZ'!L$179*'Economic Forecasts'!N$9*1000000/SUM('Statistics NZ'!L$30:L$110,'Statistics NZ'!L$130:L$210)</f>
        <v>23153.67052732411</v>
      </c>
      <c r="M179" s="27">
        <f>'Statistics NZ'!M$179*'Economic Forecasts'!O$9*1000000/SUM('Statistics NZ'!M$30:M$110,'Statistics NZ'!M$130:M$210)</f>
        <v>23495.825089701888</v>
      </c>
      <c r="N179" s="27">
        <f>'Statistics NZ'!N$179*'Economic Forecasts'!P$9*1000000/SUM('Statistics NZ'!N$30:N$110,'Statistics NZ'!N$130:N$210)</f>
        <v>24276.421927397612</v>
      </c>
      <c r="O179" s="27">
        <f>'Statistics NZ'!O$179*'Economic Forecasts'!Q$9*1000000/SUM('Statistics NZ'!O$30:O$110,'Statistics NZ'!O$130:O$210)</f>
        <v>24955.385167338947</v>
      </c>
      <c r="P179" s="27">
        <f>'Statistics NZ'!P$179*'Economic Forecasts'!R$9*1000000/SUM('Statistics NZ'!P$30:P$110,'Statistics NZ'!P$130:P$210)</f>
        <v>25791.86354966713</v>
      </c>
      <c r="Q179" s="27">
        <f>'Statistics NZ'!Q$179*'Economic Forecasts'!S$9*1000000/SUM('Statistics NZ'!Q$30:Q$110,'Statistics NZ'!Q$130:Q$210)</f>
        <v>26487.141756979014</v>
      </c>
      <c r="R179" s="27">
        <f>'Statistics NZ'!R$179*'Economic Forecasts'!T$9*1000000/SUM('Statistics NZ'!R$30:R$110,'Statistics NZ'!R$130:R$210)</f>
        <v>26894.296128292801</v>
      </c>
      <c r="S179" s="27">
        <f>'Statistics NZ'!S$179*'Economic Forecasts'!U$9*1000000/SUM('Statistics NZ'!S$30:S$110,'Statistics NZ'!S$130:S$210)</f>
        <v>27451.758097840731</v>
      </c>
      <c r="T179" s="27">
        <f>'Statistics NZ'!T$179*'Economic Forecasts'!V$9*1000000/SUM('Statistics NZ'!T$30:T$110,'Statistics NZ'!T$130:T$210)</f>
        <v>27997.49608763693</v>
      </c>
      <c r="U179" s="28">
        <f>SUM('Statistics NZ'!U$179,$N$13/5*(U$8-U$9)*1000)*'Economic Forecasts'!W$9*1000000/SUM('Statistics NZ'!U$30:U$110,'Statistics NZ'!U$130:U$210,SUM($E$12:$T$13)*(U$8-U$9)*1000)</f>
        <v>29149.167867917564</v>
      </c>
      <c r="V179" s="28">
        <f>SUM('Statistics NZ'!V$179,$N$13/5*(V$8-V$9)*1000)*'Economic Forecasts'!X$9*1000000/SUM('Statistics NZ'!V$30:V$110,'Statistics NZ'!V$130:V$210,SUM($E$12:$T$13)*(V$8-V$9)*1000)</f>
        <v>29671.746122180291</v>
      </c>
      <c r="W179" s="28">
        <f>SUM('Statistics NZ'!W$179,$N$13/5*(W$8-W$9)*1000)*'Economic Forecasts'!Y$9*1000000/SUM('Statistics NZ'!W$30:W$110,'Statistics NZ'!W$130:W$210,SUM($E$12:$T$13)*(W$8-W$9)*1000)</f>
        <v>29833.579371755808</v>
      </c>
      <c r="X179" s="28">
        <f>SUM('Statistics NZ'!X$179,$N$13/5*(X$8-X$9)*1000)*'Economic Forecasts'!Z$9*1000000/SUM('Statistics NZ'!X$30:X$110,'Statistics NZ'!X$130:X$210,SUM($E$12:$T$13)*(X$8-X$9)*1000)</f>
        <v>29492.03012428174</v>
      </c>
      <c r="Y179" s="28">
        <f>SUM('Statistics NZ'!Y$179,$N$13/5*(Y$8-Y$9)*1000)*'Economic Forecasts'!AA$9*1000000/SUM('Statistics NZ'!Y$30:Y$110,'Statistics NZ'!Y$130:Y$210,SUM($E$12:$T$13)*(Y$8-Y$9)*1000)</f>
        <v>28846.226599458227</v>
      </c>
      <c r="Z179" s="28">
        <f>SUM('Statistics NZ'!Z$179,$N$13/5*(Z$8-Z$9)*1000)*'Economic Forecasts'!AB$9*1000000/SUM('Statistics NZ'!Z$30:Z$110,'Statistics NZ'!Z$130:Z$210,SUM($E$12:$T$13)*(Z$8-Z$9)*1000)</f>
        <v>28558.0057518422</v>
      </c>
      <c r="AA179" s="28">
        <f>SUM('Statistics NZ'!AA$179,$N$13/5*(AA$8-AA$9)*1000)*'Economic Forecasts'!AC$9*1000000/SUM('Statistics NZ'!AA$30:AA$110,'Statistics NZ'!AA$130:AA$210,SUM($E$12:$T$13)*(AA$8-AA$9)*1000)</f>
        <v>28608.753931568754</v>
      </c>
      <c r="AB179" s="18">
        <f>SUM(AA$179,'Statistics NZ'!AB$179-'Statistics NZ'!AA$179,$N$13/5*(AB$8-AB$9)*1000)</f>
        <v>29283.347071549135</v>
      </c>
      <c r="AC179" s="18">
        <f>SUM(AB$179,'Statistics NZ'!AC$179-'Statistics NZ'!AB$179,$N$13/5*(AC$8-AC$9)*1000)</f>
        <v>30026.409164869387</v>
      </c>
      <c r="AD179" s="18">
        <f>SUM(AC$179,'Statistics NZ'!AD$179-'Statistics NZ'!AC$179,$N$13/5*(AD$8-AD$9)*1000)</f>
        <v>30077.685037086158</v>
      </c>
      <c r="AE179" s="18">
        <f>SUM(AD$179,'Statistics NZ'!AE$179-'Statistics NZ'!AD$179,$N$13/5*(AE$8-AE$9)*1000)</f>
        <v>31237.685037086158</v>
      </c>
      <c r="AF179" s="18">
        <f>SUM(AE$179,'Statistics NZ'!AF$179-'Statistics NZ'!AE$179,$N$13/5*(AF$8-AF$9)*1000)</f>
        <v>31067.685037086158</v>
      </c>
      <c r="AG179" s="18">
        <f>SUM(AF$179,'Statistics NZ'!AG$179-'Statistics NZ'!AF$179,$N$13/5*(AG$8-AG$9)*1000)</f>
        <v>30327.685037086158</v>
      </c>
      <c r="AH179" s="18">
        <f>SUM(AG$179,'Statistics NZ'!AH$179-'Statistics NZ'!AG$179,$N$13/5*(AH$8-AH$9)*1000)</f>
        <v>29667.685037086158</v>
      </c>
      <c r="AI179" s="18">
        <f>SUM(AH$179,'Statistics NZ'!AI$179-'Statistics NZ'!AH$179,$N$13/5*(AI$8-AI$9)*1000)</f>
        <v>28787.685037086158</v>
      </c>
      <c r="AJ179" s="18">
        <f>SUM(AI$179,'Statistics NZ'!AJ$179-'Statistics NZ'!AI$179,$N$13/5*(AJ$8-AJ$9)*1000)</f>
        <v>28727.685037086158</v>
      </c>
      <c r="AK179" s="18">
        <f>SUM(AJ$179,'Statistics NZ'!AK$179-'Statistics NZ'!AJ$179,$N$13/5*(AK$8-AK$9)*1000)</f>
        <v>29167.685037086158</v>
      </c>
    </row>
    <row r="180" spans="1:37" x14ac:dyDescent="0.25">
      <c r="A180" s="12">
        <f>$A$80</f>
        <v>65</v>
      </c>
      <c r="B180" s="27">
        <f>'Statistics NZ'!B$180*'Economic Forecasts'!D$9*1000000/SUM('Statistics NZ'!B$30:B$110,'Statistics NZ'!B$130:B$210)</f>
        <v>17278.439593243373</v>
      </c>
      <c r="C180" s="27">
        <f>'Statistics NZ'!C$180*'Economic Forecasts'!E$9*1000000/SUM('Statistics NZ'!C$30:C$110,'Statistics NZ'!C$130:C$210)</f>
        <v>17460.099143001175</v>
      </c>
      <c r="D180" s="27">
        <f>'Statistics NZ'!D$180*'Economic Forecasts'!F$9*1000000/SUM('Statistics NZ'!D$30:D$110,'Statistics NZ'!D$130:D$210)</f>
        <v>15696.712481868117</v>
      </c>
      <c r="E180" s="27">
        <f>'Statistics NZ'!E$180*'Economic Forecasts'!G$9*1000000/SUM('Statistics NZ'!E$30:E$110,'Statistics NZ'!E$130:E$210)</f>
        <v>17583.992073945155</v>
      </c>
      <c r="F180" s="27">
        <f>'Statistics NZ'!F$180*'Economic Forecasts'!H$9*1000000/SUM('Statistics NZ'!F$30:F$110,'Statistics NZ'!F$130:F$210)</f>
        <v>18234.617473878072</v>
      </c>
      <c r="G180" s="27">
        <f>'Statistics NZ'!G$180*'Economic Forecasts'!I$9*1000000/SUM('Statistics NZ'!G$30:G$110,'Statistics NZ'!G$130:G$210)</f>
        <v>19242.223156343036</v>
      </c>
      <c r="H180" s="27">
        <f>'Statistics NZ'!H$180*'Economic Forecasts'!J$9*1000000/SUM('Statistics NZ'!H$30:H$110,'Statistics NZ'!H$130:H$210)</f>
        <v>22794.318172072828</v>
      </c>
      <c r="I180" s="27">
        <f>'Statistics NZ'!I$180*'Economic Forecasts'!K$9*1000000/SUM('Statistics NZ'!I$30:I$110,'Statistics NZ'!I$130:I$210)</f>
        <v>22616.802092089292</v>
      </c>
      <c r="J180" s="27">
        <f>'Statistics NZ'!J$180*'Economic Forecasts'!L$9*1000000/SUM('Statistics NZ'!J$30:J$110,'Statistics NZ'!J$130:J$210)</f>
        <v>22487.840454512672</v>
      </c>
      <c r="K180" s="27">
        <f>'Statistics NZ'!K$180*'Economic Forecasts'!M$9*1000000/SUM('Statistics NZ'!K$30:K$110,'Statistics NZ'!K$130:K$210)</f>
        <v>22490.666681107545</v>
      </c>
      <c r="L180" s="27">
        <f>'Statistics NZ'!L$180*'Economic Forecasts'!N$9*1000000/SUM('Statistics NZ'!L$30:L$110,'Statistics NZ'!L$130:L$210)</f>
        <v>22666.839776118813</v>
      </c>
      <c r="M180" s="27">
        <f>'Statistics NZ'!M$180*'Economic Forecasts'!O$9*1000000/SUM('Statistics NZ'!M$30:M$110,'Statistics NZ'!M$130:M$210)</f>
        <v>23163.659579078245</v>
      </c>
      <c r="N180" s="27">
        <f>'Statistics NZ'!N$180*'Economic Forecasts'!P$9*1000000/SUM('Statistics NZ'!N$30:N$110,'Statistics NZ'!N$130:N$210)</f>
        <v>23503.412119955286</v>
      </c>
      <c r="O180" s="27">
        <f>'Statistics NZ'!O$180*'Economic Forecasts'!Q$9*1000000/SUM('Statistics NZ'!O$30:O$110,'Statistics NZ'!O$130:O$210)</f>
        <v>24218.803550829532</v>
      </c>
      <c r="P180" s="27">
        <f>'Statistics NZ'!P$180*'Economic Forecasts'!R$9*1000000/SUM('Statistics NZ'!P$30:P$110,'Statistics NZ'!P$130:P$210)</f>
        <v>25008.511581567902</v>
      </c>
      <c r="Q180" s="27">
        <f>'Statistics NZ'!Q$180*'Economic Forecasts'!S$9*1000000/SUM('Statistics NZ'!Q$30:Q$110,'Statistics NZ'!Q$130:Q$210)</f>
        <v>25686.896146268344</v>
      </c>
      <c r="R180" s="27">
        <f>'Statistics NZ'!R$180*'Economic Forecasts'!T$9*1000000/SUM('Statistics NZ'!R$30:R$110,'Statistics NZ'!R$130:R$210)</f>
        <v>26143.114024011193</v>
      </c>
      <c r="S180" s="27">
        <f>'Statistics NZ'!S$180*'Economic Forecasts'!U$9*1000000/SUM('Statistics NZ'!S$30:S$110,'Statistics NZ'!S$130:S$210)</f>
        <v>26244.65951481511</v>
      </c>
      <c r="T180" s="27">
        <f>'Statistics NZ'!T$180*'Economic Forecasts'!V$9*1000000/SUM('Statistics NZ'!T$30:T$110,'Statistics NZ'!T$130:T$210)</f>
        <v>27457.193531559726</v>
      </c>
      <c r="U180" s="28">
        <f>SUM('Statistics NZ'!U$180,$O$13/5*(U$8-U$9)*1000)*'Economic Forecasts'!W$9*1000000/SUM('Statistics NZ'!U$30:U$110,'Statistics NZ'!U$130:U$210,SUM($E$12:$T$13)*(U$8-U$9)*1000)</f>
        <v>27832.212839167136</v>
      </c>
      <c r="V180" s="28">
        <f>SUM('Statistics NZ'!V$180,$O$13/5*(V$8-V$9)*1000)*'Economic Forecasts'!X$9*1000000/SUM('Statistics NZ'!V$30:V$110,'Statistics NZ'!V$130:V$210,SUM($E$12:$T$13)*(V$8-V$9)*1000)</f>
        <v>28896.588947649983</v>
      </c>
      <c r="W180" s="28">
        <f>SUM('Statistics NZ'!W$180,$O$13/5*(W$8-W$9)*1000)*'Economic Forecasts'!Y$9*1000000/SUM('Statistics NZ'!W$30:W$110,'Statistics NZ'!W$130:W$210,SUM($E$12:$T$13)*(W$8-W$9)*1000)</f>
        <v>29452.544534924775</v>
      </c>
      <c r="X180" s="28">
        <f>SUM('Statistics NZ'!X$180,$O$13/5*(X$8-X$9)*1000)*'Economic Forecasts'!Z$9*1000000/SUM('Statistics NZ'!X$30:X$110,'Statistics NZ'!X$130:X$210,SUM($E$12:$T$13)*(X$8-X$9)*1000)</f>
        <v>29636.57528682374</v>
      </c>
      <c r="Y180" s="28">
        <f>SUM('Statistics NZ'!Y$180,$O$13/5*(Y$8-Y$9)*1000)*'Economic Forecasts'!AA$9*1000000/SUM('Statistics NZ'!Y$30:Y$110,'Statistics NZ'!Y$130:Y$210,SUM($E$12:$T$13)*(Y$8-Y$9)*1000)</f>
        <v>29332.132721810838</v>
      </c>
      <c r="Z180" s="28">
        <f>SUM('Statistics NZ'!Z$180,$O$13/5*(Z$8-Z$9)*1000)*'Economic Forecasts'!AB$9*1000000/SUM('Statistics NZ'!Z$30:Z$110,'Statistics NZ'!Z$130:Z$210,SUM($E$12:$T$13)*(Z$8-Z$9)*1000)</f>
        <v>28702.41394275508</v>
      </c>
      <c r="AA180" s="28">
        <f>SUM('Statistics NZ'!AA$180,$O$13/5*(AA$8-AA$9)*1000)*'Economic Forecasts'!AC$9*1000000/SUM('Statistics NZ'!AA$30:AA$110,'Statistics NZ'!AA$130:AA$210,SUM($E$12:$T$13)*(AA$8-AA$9)*1000)</f>
        <v>28430.871289242332</v>
      </c>
      <c r="AB180" s="18">
        <f>SUM(AA$180,'Statistics NZ'!AB$180-'Statistics NZ'!AA$180,$O$13/5*(AB$8-AB$9)*1000)</f>
        <v>28484.044873066534</v>
      </c>
      <c r="AC180" s="18">
        <f>SUM(AB$180,'Statistics NZ'!AC$180-'Statistics NZ'!AB$180,$O$13/5*(AC$8-AC$9)*1000)</f>
        <v>29156.160595616002</v>
      </c>
      <c r="AD180" s="18">
        <f>SUM(AC$180,'Statistics NZ'!AD$180-'Statistics NZ'!AC$180,$O$13/5*(AD$8-AD$9)*1000)</f>
        <v>29887.042146678279</v>
      </c>
      <c r="AE180" s="18">
        <f>SUM(AD$180,'Statistics NZ'!AE$180-'Statistics NZ'!AD$180,$O$13/5*(AE$8-AE$9)*1000)</f>
        <v>29957.042146678279</v>
      </c>
      <c r="AF180" s="18">
        <f>SUM(AE$180,'Statistics NZ'!AF$180-'Statistics NZ'!AE$180,$O$13/5*(AF$8-AF$9)*1000)</f>
        <v>31107.042146678279</v>
      </c>
      <c r="AG180" s="18">
        <f>SUM(AF$180,'Statistics NZ'!AG$180-'Statistics NZ'!AF$180,$O$13/5*(AG$8-AG$9)*1000)</f>
        <v>30947.042146678279</v>
      </c>
      <c r="AH180" s="18">
        <f>SUM(AG$180,'Statistics NZ'!AH$180-'Statistics NZ'!AG$180,$O$13/5*(AH$8-AH$9)*1000)</f>
        <v>30217.042146678279</v>
      </c>
      <c r="AI180" s="18">
        <f>SUM(AH$180,'Statistics NZ'!AI$180-'Statistics NZ'!AH$180,$O$13/5*(AI$8-AI$9)*1000)</f>
        <v>29557.042146678279</v>
      </c>
      <c r="AJ180" s="18">
        <f>SUM(AI$180,'Statistics NZ'!AJ$180-'Statistics NZ'!AI$180,$O$13/5*(AJ$8-AJ$9)*1000)</f>
        <v>28697.042146678279</v>
      </c>
      <c r="AK180" s="18">
        <f>SUM(AJ$180,'Statistics NZ'!AK$180-'Statistics NZ'!AJ$180,$O$13/5*(AK$8-AK$9)*1000)</f>
        <v>28627.042146678279</v>
      </c>
    </row>
    <row r="181" spans="1:37" x14ac:dyDescent="0.25">
      <c r="A181" s="12">
        <f>$A$81</f>
        <v>66</v>
      </c>
      <c r="B181" s="27">
        <f>'Statistics NZ'!B$181*'Economic Forecasts'!D$9*1000000/SUM('Statistics NZ'!B$30:B$110,'Statistics NZ'!B$130:B$210)</f>
        <v>15928.25575186875</v>
      </c>
      <c r="C181" s="27">
        <f>'Statistics NZ'!C$181*'Economic Forecasts'!E$9*1000000/SUM('Statistics NZ'!C$30:C$110,'Statistics NZ'!C$130:C$210)</f>
        <v>17116.396403965718</v>
      </c>
      <c r="D181" s="27">
        <f>'Statistics NZ'!D$181*'Economic Forecasts'!F$9*1000000/SUM('Statistics NZ'!D$30:D$110,'Statistics NZ'!D$130:D$210)</f>
        <v>17268.348274796088</v>
      </c>
      <c r="E181" s="27">
        <f>'Statistics NZ'!E$181*'Economic Forecasts'!G$9*1000000/SUM('Statistics NZ'!E$30:E$110,'Statistics NZ'!E$130:E$210)</f>
        <v>15524.517263276732</v>
      </c>
      <c r="F181" s="27">
        <f>'Statistics NZ'!F$181*'Economic Forecasts'!H$9*1000000/SUM('Statistics NZ'!F$30:F$110,'Statistics NZ'!F$130:F$210)</f>
        <v>17449.910966126459</v>
      </c>
      <c r="G181" s="27">
        <f>'Statistics NZ'!G$181*'Economic Forecasts'!I$9*1000000/SUM('Statistics NZ'!G$30:G$110,'Statistics NZ'!G$130:G$210)</f>
        <v>18092.993901982576</v>
      </c>
      <c r="H181" s="27">
        <f>'Statistics NZ'!H$181*'Economic Forecasts'!J$9*1000000/SUM('Statistics NZ'!H$30:H$110,'Statistics NZ'!H$130:H$210)</f>
        <v>19050.940920538451</v>
      </c>
      <c r="I181" s="27">
        <f>'Statistics NZ'!I$181*'Economic Forecasts'!K$9*1000000/SUM('Statistics NZ'!I$30:I$110,'Statistics NZ'!I$130:I$210)</f>
        <v>22597.194981476292</v>
      </c>
      <c r="J181" s="27">
        <f>'Statistics NZ'!J$181*'Economic Forecasts'!L$9*1000000/SUM('Statistics NZ'!J$30:J$110,'Statistics NZ'!J$130:J$210)</f>
        <v>22283.050927390053</v>
      </c>
      <c r="K181" s="27">
        <f>'Statistics NZ'!K$181*'Economic Forecasts'!M$9*1000000/SUM('Statistics NZ'!K$30:K$110,'Statistics NZ'!K$130:K$210)</f>
        <v>22237.524978203302</v>
      </c>
      <c r="L181" s="27">
        <f>'Statistics NZ'!L$181*'Economic Forecasts'!N$9*1000000/SUM('Statistics NZ'!L$30:L$110,'Statistics NZ'!L$130:L$210)</f>
        <v>22355.268095347416</v>
      </c>
      <c r="M181" s="27">
        <f>'Statistics NZ'!M$181*'Economic Forecasts'!O$9*1000000/SUM('Statistics NZ'!M$30:M$110,'Statistics NZ'!M$130:M$210)</f>
        <v>22567.715574724058</v>
      </c>
      <c r="N181" s="27">
        <f>'Statistics NZ'!N$181*'Economic Forecasts'!P$9*1000000/SUM('Statistics NZ'!N$30:N$110,'Statistics NZ'!N$130:N$210)</f>
        <v>23014.165406384196</v>
      </c>
      <c r="O181" s="27">
        <f>'Statistics NZ'!O$181*'Economic Forecasts'!Q$9*1000000/SUM('Statistics NZ'!O$30:O$110,'Statistics NZ'!O$130:O$210)</f>
        <v>23364.368875678607</v>
      </c>
      <c r="P181" s="27">
        <f>'Statistics NZ'!P$181*'Economic Forecasts'!R$9*1000000/SUM('Statistics NZ'!P$30:P$110,'Statistics NZ'!P$130:P$210)</f>
        <v>24176.20011546247</v>
      </c>
      <c r="Q181" s="27">
        <f>'Statistics NZ'!Q$181*'Economic Forecasts'!S$9*1000000/SUM('Statistics NZ'!Q$30:Q$110,'Statistics NZ'!Q$130:Q$210)</f>
        <v>24857.01180923506</v>
      </c>
      <c r="R181" s="27">
        <f>'Statistics NZ'!R$181*'Economic Forecasts'!T$9*1000000/SUM('Statistics NZ'!R$30:R$110,'Statistics NZ'!R$130:R$210)</f>
        <v>25253.556268940869</v>
      </c>
      <c r="S181" s="27">
        <f>'Statistics NZ'!S$181*'Economic Forecasts'!U$9*1000000/SUM('Statistics NZ'!S$30:S$110,'Statistics NZ'!S$130:S$210)</f>
        <v>25426.947571475175</v>
      </c>
      <c r="T181" s="27">
        <f>'Statistics NZ'!T$181*'Economic Forecasts'!V$9*1000000/SUM('Statistics NZ'!T$30:T$110,'Statistics NZ'!T$130:T$210)</f>
        <v>26209.585811163273</v>
      </c>
      <c r="U181" s="28">
        <f>SUM('Statistics NZ'!U$181,$O$13/5*(U$8-U$9)*1000)*'Economic Forecasts'!W$9*1000000/SUM('Statistics NZ'!U$30:U$110,'Statistics NZ'!U$130:U$210,SUM($E$12:$T$13)*(U$8-U$9)*1000)</f>
        <v>27271.315724438562</v>
      </c>
      <c r="V181" s="28">
        <f>SUM('Statistics NZ'!V$181,$O$13/5*(V$8-V$9)*1000)*'Economic Forecasts'!X$9*1000000/SUM('Statistics NZ'!V$30:V$110,'Statistics NZ'!V$130:V$210,SUM($E$12:$T$13)*(V$8-V$9)*1000)</f>
        <v>27552.704704694996</v>
      </c>
      <c r="W181" s="28">
        <f>SUM('Statistics NZ'!W$181,$O$13/5*(W$8-W$9)*1000)*'Economic Forecasts'!Y$9*1000000/SUM('Statistics NZ'!W$30:W$110,'Statistics NZ'!W$130:W$210,SUM($E$12:$T$13)*(W$8-W$9)*1000)</f>
        <v>28640.63915972575</v>
      </c>
      <c r="X181" s="28">
        <f>SUM('Statistics NZ'!X$181,$O$13/5*(X$8-X$9)*1000)*'Economic Forecasts'!Z$9*1000000/SUM('Statistics NZ'!X$30:X$110,'Statistics NZ'!X$130:X$210,SUM($E$12:$T$13)*(X$8-X$9)*1000)</f>
        <v>29226.239625270609</v>
      </c>
      <c r="Y181" s="28">
        <f>SUM('Statistics NZ'!Y$181,$O$13/5*(Y$8-Y$9)*1000)*'Economic Forecasts'!AA$9*1000000/SUM('Statistics NZ'!Y$30:Y$110,'Statistics NZ'!Y$130:Y$210,SUM($E$12:$T$13)*(Y$8-Y$9)*1000)</f>
        <v>29449.36036566164</v>
      </c>
      <c r="Z181" s="28">
        <f>SUM('Statistics NZ'!Z$181,$O$13/5*(Z$8-Z$9)*1000)*'Economic Forecasts'!AB$9*1000000/SUM('Statistics NZ'!Z$30:Z$110,'Statistics NZ'!Z$130:Z$210,SUM($E$12:$T$13)*(Z$8-Z$9)*1000)</f>
        <v>29171.424611265313</v>
      </c>
      <c r="AA181" s="28">
        <f>SUM('Statistics NZ'!AA$181,$O$13/5*(AA$8-AA$9)*1000)*'Economic Forecasts'!AC$9*1000000/SUM('Statistics NZ'!AA$30:AA$110,'Statistics NZ'!AA$130:AA$210,SUM($E$12:$T$13)*(AA$8-AA$9)*1000)</f>
        <v>28548.17484871007</v>
      </c>
      <c r="AB181" s="18">
        <f>SUM(AA$181,'Statistics NZ'!AB$181-'Statistics NZ'!AA$181,$O$13/5*(AB$8-AB$9)*1000)</f>
        <v>28281.348432534272</v>
      </c>
      <c r="AC181" s="18">
        <f>SUM(AB$181,'Statistics NZ'!AC$181-'Statistics NZ'!AB$181,$O$13/5*(AC$8-AC$9)*1000)</f>
        <v>28333.46415508374</v>
      </c>
      <c r="AD181" s="18">
        <f>SUM(AC$181,'Statistics NZ'!AD$181-'Statistics NZ'!AC$181,$O$13/5*(AD$8-AD$9)*1000)</f>
        <v>29004.345706146018</v>
      </c>
      <c r="AE181" s="18">
        <f>SUM(AD$181,'Statistics NZ'!AE$181-'Statistics NZ'!AD$181,$O$13/5*(AE$8-AE$9)*1000)</f>
        <v>29734.345706146018</v>
      </c>
      <c r="AF181" s="18">
        <f>SUM(AE$181,'Statistics NZ'!AF$181-'Statistics NZ'!AE$181,$O$13/5*(AF$8-AF$9)*1000)</f>
        <v>29804.345706146018</v>
      </c>
      <c r="AG181" s="18">
        <f>SUM(AF$181,'Statistics NZ'!AG$181-'Statistics NZ'!AF$181,$O$13/5*(AG$8-AG$9)*1000)</f>
        <v>30954.345706146018</v>
      </c>
      <c r="AH181" s="18">
        <f>SUM(AG$181,'Statistics NZ'!AH$181-'Statistics NZ'!AG$181,$O$13/5*(AH$8-AH$9)*1000)</f>
        <v>30804.345706146018</v>
      </c>
      <c r="AI181" s="18">
        <f>SUM(AH$181,'Statistics NZ'!AI$181-'Statistics NZ'!AH$181,$O$13/5*(AI$8-AI$9)*1000)</f>
        <v>30074.345706146018</v>
      </c>
      <c r="AJ181" s="18">
        <f>SUM(AI$181,'Statistics NZ'!AJ$181-'Statistics NZ'!AI$181,$O$13/5*(AJ$8-AJ$9)*1000)</f>
        <v>29434.345706146018</v>
      </c>
      <c r="AK181" s="18">
        <f>SUM(AJ$181,'Statistics NZ'!AK$181-'Statistics NZ'!AJ$181,$O$13/5*(AK$8-AK$9)*1000)</f>
        <v>28574.345706146018</v>
      </c>
    </row>
    <row r="182" spans="1:37" x14ac:dyDescent="0.25">
      <c r="A182" s="12">
        <f>$A$82</f>
        <v>67</v>
      </c>
      <c r="B182" s="27">
        <f>'Statistics NZ'!B$182*'Economic Forecasts'!D$9*1000000/SUM('Statistics NZ'!B$30:B$110,'Statistics NZ'!B$130:B$210)</f>
        <v>14176.930334433549</v>
      </c>
      <c r="C182" s="27">
        <f>'Statistics NZ'!C$182*'Economic Forecasts'!E$9*1000000/SUM('Statistics NZ'!C$30:C$110,'Statistics NZ'!C$130:C$210)</f>
        <v>15790.685839114672</v>
      </c>
      <c r="D182" s="27">
        <f>'Statistics NZ'!D$182*'Economic Forecasts'!F$9*1000000/SUM('Statistics NZ'!D$30:D$110,'Statistics NZ'!D$130:D$210)</f>
        <v>16895.084773975694</v>
      </c>
      <c r="E182" s="27">
        <f>'Statistics NZ'!E$182*'Economic Forecasts'!G$9*1000000/SUM('Statistics NZ'!E$30:E$110,'Statistics NZ'!E$130:E$210)</f>
        <v>17034.798791100242</v>
      </c>
      <c r="F182" s="27">
        <f>'Statistics NZ'!F$182*'Economic Forecasts'!H$9*1000000/SUM('Statistics NZ'!F$30:F$110,'Statistics NZ'!F$130:F$210)</f>
        <v>15331.20339519711</v>
      </c>
      <c r="G182" s="27">
        <f>'Statistics NZ'!G$182*'Economic Forecasts'!I$9*1000000/SUM('Statistics NZ'!G$30:G$110,'Statistics NZ'!G$130:G$210)</f>
        <v>17317.018593482779</v>
      </c>
      <c r="H182" s="27">
        <f>'Statistics NZ'!H$182*'Economic Forecasts'!J$9*1000000/SUM('Statistics NZ'!H$30:H$110,'Statistics NZ'!H$130:H$210)</f>
        <v>17871.924463362273</v>
      </c>
      <c r="I182" s="27">
        <f>'Statistics NZ'!I$182*'Economic Forecasts'!K$9*1000000/SUM('Statistics NZ'!I$30:I$110,'Statistics NZ'!I$130:I$210)</f>
        <v>18871.843965007316</v>
      </c>
      <c r="J182" s="27">
        <f>'Statistics NZ'!J$182*'Economic Forecasts'!L$9*1000000/SUM('Statistics NZ'!J$30:J$110,'Statistics NZ'!J$130:J$210)</f>
        <v>22224.539633926441</v>
      </c>
      <c r="K182" s="27">
        <f>'Statistics NZ'!K$182*'Economic Forecasts'!M$9*1000000/SUM('Statistics NZ'!K$30:K$110,'Statistics NZ'!K$130:K$210)</f>
        <v>22033.064372011417</v>
      </c>
      <c r="L182" s="27">
        <f>'Statistics NZ'!L$182*'Economic Forecasts'!N$9*1000000/SUM('Statistics NZ'!L$30:L$110,'Statistics NZ'!L$130:L$210)</f>
        <v>22053.433029600132</v>
      </c>
      <c r="M182" s="27">
        <f>'Statistics NZ'!M$182*'Economic Forecasts'!O$9*1000000/SUM('Statistics NZ'!M$30:M$110,'Statistics NZ'!M$130:M$210)</f>
        <v>22264.858785626027</v>
      </c>
      <c r="N182" s="27">
        <f>'Statistics NZ'!N$182*'Economic Forecasts'!P$9*1000000/SUM('Statistics NZ'!N$30:N$110,'Statistics NZ'!N$130:N$210)</f>
        <v>22378.144678741774</v>
      </c>
      <c r="O182" s="27">
        <f>'Statistics NZ'!O$182*'Economic Forecasts'!Q$9*1000000/SUM('Statistics NZ'!O$30:O$110,'Statistics NZ'!O$130:O$210)</f>
        <v>22863.49337645221</v>
      </c>
      <c r="P182" s="27">
        <f>'Statistics NZ'!P$182*'Economic Forecasts'!R$9*1000000/SUM('Statistics NZ'!P$30:P$110,'Statistics NZ'!P$130:P$210)</f>
        <v>23197.010155338434</v>
      </c>
      <c r="Q182" s="27">
        <f>'Statistics NZ'!Q$182*'Economic Forecasts'!S$9*1000000/SUM('Statistics NZ'!Q$30:Q$110,'Statistics NZ'!Q$130:Q$210)</f>
        <v>24027.127472201773</v>
      </c>
      <c r="R182" s="27">
        <f>'Statistics NZ'!R$182*'Economic Forecasts'!T$9*1000000/SUM('Statistics NZ'!R$30:R$110,'Statistics NZ'!R$130:R$210)</f>
        <v>24344.230563757872</v>
      </c>
      <c r="S182" s="27">
        <f>'Statistics NZ'!S$182*'Economic Forecasts'!U$9*1000000/SUM('Statistics NZ'!S$30:S$110,'Statistics NZ'!S$130:S$210)</f>
        <v>24560.562298174529</v>
      </c>
      <c r="T182" s="27">
        <f>'Statistics NZ'!T$182*'Economic Forecasts'!V$9*1000000/SUM('Statistics NZ'!T$30:T$110,'Statistics NZ'!T$130:T$210)</f>
        <v>25315.630672926443</v>
      </c>
      <c r="U182" s="28">
        <f>SUM('Statistics NZ'!U$182,$O$13/5*(U$8-U$9)*1000)*'Economic Forecasts'!W$9*1000000/SUM('Statistics NZ'!U$30:U$110,'Statistics NZ'!U$130:U$210,SUM($E$12:$T$13)*(U$8-U$9)*1000)</f>
        <v>26001.916991105478</v>
      </c>
      <c r="V182" s="28">
        <f>SUM('Statistics NZ'!V$182,$O$13/5*(V$8-V$9)*1000)*'Economic Forecasts'!X$9*1000000/SUM('Statistics NZ'!V$30:V$110,'Statistics NZ'!V$130:V$210,SUM($E$12:$T$13)*(V$8-V$9)*1000)</f>
        <v>26973.951636561098</v>
      </c>
      <c r="W182" s="28">
        <f>SUM('Statistics NZ'!W$182,$O$13/5*(W$8-W$9)*1000)*'Economic Forecasts'!Y$9*1000000/SUM('Statistics NZ'!W$30:W$110,'Statistics NZ'!W$130:W$210,SUM($E$12:$T$13)*(W$8-W$9)*1000)</f>
        <v>27280.942206079184</v>
      </c>
      <c r="X182" s="28">
        <f>SUM('Statistics NZ'!X$182,$O$13/5*(X$8-X$9)*1000)*'Economic Forecasts'!Z$9*1000000/SUM('Statistics NZ'!X$30:X$110,'Statistics NZ'!X$130:X$210,SUM($E$12:$T$13)*(X$8-X$9)*1000)</f>
        <v>28395.798405460686</v>
      </c>
      <c r="Y182" s="28">
        <f>SUM('Statistics NZ'!Y$182,$O$13/5*(Y$8-Y$9)*1000)*'Economic Forecasts'!AA$9*1000000/SUM('Statistics NZ'!Y$30:Y$110,'Statistics NZ'!Y$130:Y$210,SUM($E$12:$T$13)*(Y$8-Y$9)*1000)</f>
        <v>29009.756701221129</v>
      </c>
      <c r="Z182" s="28">
        <f>SUM('Statistics NZ'!Z$182,$O$13/5*(Z$8-Z$9)*1000)*'Economic Forecasts'!AB$9*1000000/SUM('Statistics NZ'!Z$30:Z$110,'Statistics NZ'!Z$130:Z$210,SUM($E$12:$T$13)*(Z$8-Z$9)*1000)</f>
        <v>29249.593056017016</v>
      </c>
      <c r="AA182" s="28">
        <f>SUM('Statistics NZ'!AA$182,$O$13/5*(AA$8-AA$9)*1000)*'Economic Forecasts'!AC$9*1000000/SUM('Statistics NZ'!AA$30:AA$110,'Statistics NZ'!AA$130:AA$210,SUM($E$12:$T$13)*(AA$8-AA$9)*1000)</f>
        <v>28978.287900091767</v>
      </c>
      <c r="AB182" s="18">
        <f>SUM(AA$182,'Statistics NZ'!AB$182-'Statistics NZ'!AA$182,$O$13/5*(AB$8-AB$9)*1000)</f>
        <v>28351.461483915969</v>
      </c>
      <c r="AC182" s="18">
        <f>SUM(AB$182,'Statistics NZ'!AC$182-'Statistics NZ'!AB$182,$O$13/5*(AC$8-AC$9)*1000)</f>
        <v>28083.577206465437</v>
      </c>
      <c r="AD182" s="18">
        <f>SUM(AC$182,'Statistics NZ'!AD$182-'Statistics NZ'!AC$182,$O$13/5*(AD$8-AD$9)*1000)</f>
        <v>28144.458757527715</v>
      </c>
      <c r="AE182" s="18">
        <f>SUM(AD$182,'Statistics NZ'!AE$182-'Statistics NZ'!AD$182,$O$13/5*(AE$8-AE$9)*1000)</f>
        <v>28814.458757527715</v>
      </c>
      <c r="AF182" s="18">
        <f>SUM(AE$182,'Statistics NZ'!AF$182-'Statistics NZ'!AE$182,$O$13/5*(AF$8-AF$9)*1000)</f>
        <v>29544.458757527715</v>
      </c>
      <c r="AG182" s="18">
        <f>SUM(AF$182,'Statistics NZ'!AG$182-'Statistics NZ'!AF$182,$O$13/5*(AG$8-AG$9)*1000)</f>
        <v>29624.458757527715</v>
      </c>
      <c r="AH182" s="18">
        <f>SUM(AG$182,'Statistics NZ'!AH$182-'Statistics NZ'!AG$182,$O$13/5*(AH$8-AH$9)*1000)</f>
        <v>30764.458757527715</v>
      </c>
      <c r="AI182" s="18">
        <f>SUM(AH$182,'Statistics NZ'!AI$182-'Statistics NZ'!AH$182,$O$13/5*(AI$8-AI$9)*1000)</f>
        <v>30614.458757527715</v>
      </c>
      <c r="AJ182" s="18">
        <f>SUM(AI$182,'Statistics NZ'!AJ$182-'Statistics NZ'!AI$182,$O$13/5*(AJ$8-AJ$9)*1000)</f>
        <v>29914.458757527715</v>
      </c>
      <c r="AK182" s="18">
        <f>SUM(AJ$182,'Statistics NZ'!AK$182-'Statistics NZ'!AJ$182,$O$13/5*(AK$8-AK$9)*1000)</f>
        <v>29274.458757527715</v>
      </c>
    </row>
    <row r="183" spans="1:37" x14ac:dyDescent="0.25">
      <c r="A183" s="12">
        <f>$A$83</f>
        <v>68</v>
      </c>
      <c r="B183" s="27">
        <f>'Statistics NZ'!B$183*'Economic Forecasts'!D$9*1000000/SUM('Statistics NZ'!B$30:B$110,'Statistics NZ'!B$130:B$210)</f>
        <v>13687.733290457238</v>
      </c>
      <c r="C183" s="27">
        <f>'Statistics NZ'!C$183*'Economic Forecasts'!E$9*1000000/SUM('Statistics NZ'!C$30:C$110,'Statistics NZ'!C$130:C$210)</f>
        <v>14003.431596130302</v>
      </c>
      <c r="D183" s="27">
        <f>'Statistics NZ'!D$183*'Economic Forecasts'!F$9*1000000/SUM('Statistics NZ'!D$30:D$110,'Statistics NZ'!D$130:D$210)</f>
        <v>15559.194349986919</v>
      </c>
      <c r="E183" s="27">
        <f>'Statistics NZ'!E$183*'Economic Forecasts'!G$9*1000000/SUM('Statistics NZ'!E$30:E$110,'Statistics NZ'!E$130:E$210)</f>
        <v>16652.324897690392</v>
      </c>
      <c r="F183" s="27">
        <f>'Statistics NZ'!F$183*'Economic Forecasts'!H$9*1000000/SUM('Statistics NZ'!F$30:F$110,'Statistics NZ'!F$130:F$210)</f>
        <v>16851.572253965856</v>
      </c>
      <c r="G183" s="27">
        <f>'Statistics NZ'!G$183*'Economic Forecasts'!I$9*1000000/SUM('Statistics NZ'!G$30:G$110,'Statistics NZ'!G$130:G$210)</f>
        <v>15185.542113173215</v>
      </c>
      <c r="H183" s="27">
        <f>'Statistics NZ'!H$183*'Economic Forecasts'!J$9*1000000/SUM('Statistics NZ'!H$30:H$110,'Statistics NZ'!H$130:H$210)</f>
        <v>17115.388903340889</v>
      </c>
      <c r="I183" s="27">
        <f>'Statistics NZ'!I$183*'Economic Forecasts'!K$9*1000000/SUM('Statistics NZ'!I$30:I$110,'Statistics NZ'!I$130:I$210)</f>
        <v>17656.203107001653</v>
      </c>
      <c r="J183" s="27">
        <f>'Statistics NZ'!J$183*'Economic Forecasts'!L$9*1000000/SUM('Statistics NZ'!J$30:J$110,'Statistics NZ'!J$130:J$210)</f>
        <v>18567.583792451052</v>
      </c>
      <c r="K183" s="27">
        <f>'Statistics NZ'!K$183*'Economic Forecasts'!M$9*1000000/SUM('Statistics NZ'!K$30:K$110,'Statistics NZ'!K$130:K$210)</f>
        <v>21857.812423846943</v>
      </c>
      <c r="L183" s="27">
        <f>'Statistics NZ'!L$183*'Economic Forecasts'!N$9*1000000/SUM('Statistics NZ'!L$30:L$110,'Statistics NZ'!L$130:L$210)</f>
        <v>21848.964114093902</v>
      </c>
      <c r="M183" s="27">
        <f>'Statistics NZ'!M$183*'Economic Forecasts'!O$9*1000000/SUM('Statistics NZ'!M$30:M$110,'Statistics NZ'!M$130:M$210)</f>
        <v>21893.614979634895</v>
      </c>
      <c r="N183" s="27">
        <f>'Statistics NZ'!N$183*'Economic Forecasts'!P$9*1000000/SUM('Statistics NZ'!N$30:N$110,'Statistics NZ'!N$130:N$210)</f>
        <v>22055.241847784855</v>
      </c>
      <c r="O183" s="27">
        <f>'Statistics NZ'!O$183*'Economic Forecasts'!Q$9*1000000/SUM('Statistics NZ'!O$30:O$110,'Statistics NZ'!O$130:O$210)</f>
        <v>22185.838289263549</v>
      </c>
      <c r="P183" s="27">
        <f>'Statistics NZ'!P$183*'Economic Forecasts'!R$9*1000000/SUM('Statistics NZ'!P$30:P$110,'Statistics NZ'!P$130:P$210)</f>
        <v>22697.623275675174</v>
      </c>
      <c r="Q183" s="27">
        <f>'Statistics NZ'!Q$183*'Economic Forecasts'!S$9*1000000/SUM('Statistics NZ'!Q$30:Q$110,'Statistics NZ'!Q$130:Q$210)</f>
        <v>22979.892475469296</v>
      </c>
      <c r="R183" s="27">
        <f>'Statistics NZ'!R$183*'Economic Forecasts'!T$9*1000000/SUM('Statistics NZ'!R$30:R$110,'Statistics NZ'!R$130:R$210)</f>
        <v>23622.700384645275</v>
      </c>
      <c r="S183" s="27">
        <f>'Statistics NZ'!S$183*'Economic Forecasts'!U$9*1000000/SUM('Statistics NZ'!S$30:S$110,'Statistics NZ'!S$130:S$210)</f>
        <v>23684.442358881741</v>
      </c>
      <c r="T183" s="27">
        <f>'Statistics NZ'!T$183*'Economic Forecasts'!V$9*1000000/SUM('Statistics NZ'!T$30:T$110,'Statistics NZ'!T$130:T$210)</f>
        <v>24480.617631716221</v>
      </c>
      <c r="U183" s="28">
        <f>SUM('Statistics NZ'!U$183,$O$13/5*(U$8-U$9)*1000)*'Economic Forecasts'!W$9*1000000/SUM('Statistics NZ'!U$30:U$110,'Statistics NZ'!U$130:U$210,SUM($E$12:$T$13)*(U$8-U$9)*1000)</f>
        <v>25086.769067074649</v>
      </c>
      <c r="V183" s="28">
        <f>SUM('Statistics NZ'!V$183,$O$13/5*(V$8-V$9)*1000)*'Economic Forecasts'!X$9*1000000/SUM('Statistics NZ'!V$30:V$110,'Statistics NZ'!V$130:V$210,SUM($E$12:$T$13)*(V$8-V$9)*1000)</f>
        <v>25679.114263786953</v>
      </c>
      <c r="W183" s="28">
        <f>SUM('Statistics NZ'!W$183,$O$13/5*(W$8-W$9)*1000)*'Economic Forecasts'!Y$9*1000000/SUM('Statistics NZ'!W$30:W$110,'Statistics NZ'!W$130:W$210,SUM($E$12:$T$13)*(W$8-W$9)*1000)</f>
        <v>26664.676680325705</v>
      </c>
      <c r="X183" s="28">
        <f>SUM('Statistics NZ'!X$183,$O$13/5*(X$8-X$9)*1000)*'Economic Forecasts'!Z$9*1000000/SUM('Statistics NZ'!X$30:X$110,'Statistics NZ'!X$130:X$210,SUM($E$12:$T$13)*(X$8-X$9)*1000)</f>
        <v>27008.47307354294</v>
      </c>
      <c r="Y183" s="28">
        <f>SUM('Statistics NZ'!Y$183,$O$13/5*(Y$8-Y$9)*1000)*'Economic Forecasts'!AA$9*1000000/SUM('Statistics NZ'!Y$30:Y$110,'Statistics NZ'!Y$130:Y$210,SUM($E$12:$T$13)*(Y$8-Y$9)*1000)</f>
        <v>28140.318342661001</v>
      </c>
      <c r="Z183" s="28">
        <f>SUM('Statistics NZ'!Z$183,$O$13/5*(Z$8-Z$9)*1000)*'Economic Forecasts'!AB$9*1000000/SUM('Statistics NZ'!Z$30:Z$110,'Statistics NZ'!Z$130:Z$210,SUM($E$12:$T$13)*(Z$8-Z$9)*1000)</f>
        <v>28770.811331912824</v>
      </c>
      <c r="AA183" s="28">
        <f>SUM('Statistics NZ'!AA$183,$O$13/5*(AA$8-AA$9)*1000)*'Economic Forecasts'!AC$9*1000000/SUM('Statistics NZ'!AA$30:AA$110,'Statistics NZ'!AA$130:AA$210,SUM($E$12:$T$13)*(AA$8-AA$9)*1000)</f>
        <v>29017.389086581014</v>
      </c>
      <c r="AB183" s="18">
        <f>SUM(AA$183,'Statistics NZ'!AB$183-'Statistics NZ'!AA$183,$O$13/5*(AB$8-AB$9)*1000)</f>
        <v>28750.562670405216</v>
      </c>
      <c r="AC183" s="18">
        <f>SUM(AB$183,'Statistics NZ'!AC$183-'Statistics NZ'!AB$183,$O$13/5*(AC$8-AC$9)*1000)</f>
        <v>28132.678392954684</v>
      </c>
      <c r="AD183" s="18">
        <f>SUM(AC$183,'Statistics NZ'!AD$183-'Statistics NZ'!AC$183,$O$13/5*(AD$8-AD$9)*1000)</f>
        <v>27873.559944016961</v>
      </c>
      <c r="AE183" s="18">
        <f>SUM(AD$183,'Statistics NZ'!AE$183-'Statistics NZ'!AD$183,$O$13/5*(AE$8-AE$9)*1000)</f>
        <v>27933.559944016961</v>
      </c>
      <c r="AF183" s="18">
        <f>SUM(AE$183,'Statistics NZ'!AF$183-'Statistics NZ'!AE$183,$O$13/5*(AF$8-AF$9)*1000)</f>
        <v>28603.559944016961</v>
      </c>
      <c r="AG183" s="18">
        <f>SUM(AF$183,'Statistics NZ'!AG$183-'Statistics NZ'!AF$183,$O$13/5*(AG$8-AG$9)*1000)</f>
        <v>29333.559944016961</v>
      </c>
      <c r="AH183" s="18">
        <f>SUM(AG$183,'Statistics NZ'!AH$183-'Statistics NZ'!AG$183,$O$13/5*(AH$8-AH$9)*1000)</f>
        <v>29413.559944016961</v>
      </c>
      <c r="AI183" s="18">
        <f>SUM(AH$183,'Statistics NZ'!AI$183-'Statistics NZ'!AH$183,$O$13/5*(AI$8-AI$9)*1000)</f>
        <v>30563.559944016961</v>
      </c>
      <c r="AJ183" s="18">
        <f>SUM(AI$183,'Statistics NZ'!AJ$183-'Statistics NZ'!AI$183,$O$13/5*(AJ$8-AJ$9)*1000)</f>
        <v>30413.559944016961</v>
      </c>
      <c r="AK183" s="18">
        <f>SUM(AJ$183,'Statistics NZ'!AK$183-'Statistics NZ'!AJ$183,$O$13/5*(AK$8-AK$9)*1000)</f>
        <v>29723.559944016961</v>
      </c>
    </row>
    <row r="184" spans="1:37" x14ac:dyDescent="0.25">
      <c r="A184" s="12">
        <f>$A$84</f>
        <v>69</v>
      </c>
      <c r="B184" s="27">
        <f>'Statistics NZ'!B$184*'Economic Forecasts'!D$9*1000000/SUM('Statistics NZ'!B$30:B$110,'Statistics NZ'!B$130:B$210)</f>
        <v>12914.801960974663</v>
      </c>
      <c r="C184" s="27">
        <f>'Statistics NZ'!C$184*'Economic Forecasts'!E$9*1000000/SUM('Statistics NZ'!C$30:C$110,'Statistics NZ'!C$130:C$210)</f>
        <v>13512.427683222506</v>
      </c>
      <c r="D184" s="27">
        <f>'Statistics NZ'!D$184*'Economic Forecasts'!F$9*1000000/SUM('Statistics NZ'!D$30:D$110,'Statistics NZ'!D$130:D$210)</f>
        <v>13771.458635531353</v>
      </c>
      <c r="E184" s="27">
        <f>'Statistics NZ'!E$184*'Economic Forecasts'!G$9*1000000/SUM('Statistics NZ'!E$30:E$110,'Statistics NZ'!E$130:E$210)</f>
        <v>15289.148713486053</v>
      </c>
      <c r="F184" s="27">
        <f>'Statistics NZ'!F$184*'Economic Forecasts'!H$9*1000000/SUM('Statistics NZ'!F$30:F$110,'Statistics NZ'!F$130:F$210)</f>
        <v>16370.939517967994</v>
      </c>
      <c r="G184" s="27">
        <f>'Statistics NZ'!G$184*'Economic Forecasts'!I$9*1000000/SUM('Statistics NZ'!G$30:G$110,'Statistics NZ'!G$130:G$210)</f>
        <v>16658.912952096878</v>
      </c>
      <c r="H184" s="27">
        <f>'Statistics NZ'!H$184*'Economic Forecasts'!J$9*1000000/SUM('Statistics NZ'!H$30:H$110,'Statistics NZ'!H$130:H$210)</f>
        <v>14973.509006137494</v>
      </c>
      <c r="I184" s="27">
        <f>'Statistics NZ'!I$184*'Economic Forecasts'!K$9*1000000/SUM('Statistics NZ'!I$30:I$110,'Statistics NZ'!I$130:I$210)</f>
        <v>16852.311571868871</v>
      </c>
      <c r="J184" s="27">
        <f>'Statistics NZ'!J$184*'Economic Forecasts'!L$9*1000000/SUM('Statistics NZ'!J$30:J$110,'Statistics NZ'!J$130:J$210)</f>
        <v>17290.08721849565</v>
      </c>
      <c r="K184" s="27">
        <f>'Statistics NZ'!K$184*'Economic Forecasts'!M$9*1000000/SUM('Statistics NZ'!K$30:K$110,'Statistics NZ'!K$130:K$210)</f>
        <v>18274.883705817687</v>
      </c>
      <c r="L184" s="27">
        <f>'Statistics NZ'!L$184*'Economic Forecasts'!N$9*1000000/SUM('Statistics NZ'!L$30:L$110,'Statistics NZ'!L$130:L$210)</f>
        <v>21576.338893418939</v>
      </c>
      <c r="M184" s="27">
        <f>'Statistics NZ'!M$184*'Economic Forecasts'!O$9*1000000/SUM('Statistics NZ'!M$30:M$110,'Statistics NZ'!M$130:M$210)</f>
        <v>21590.758190536872</v>
      </c>
      <c r="N184" s="27">
        <f>'Statistics NZ'!N$184*'Economic Forecasts'!P$9*1000000/SUM('Statistics NZ'!N$30:N$110,'Statistics NZ'!N$130:N$210)</f>
        <v>21663.844476927978</v>
      </c>
      <c r="O184" s="27">
        <f>'Statistics NZ'!O$184*'Economic Forecasts'!Q$9*1000000/SUM('Statistics NZ'!O$30:O$110,'Statistics NZ'!O$130:O$210)</f>
        <v>21842.100201559155</v>
      </c>
      <c r="P184" s="27">
        <f>'Statistics NZ'!P$184*'Economic Forecasts'!R$9*1000000/SUM('Statistics NZ'!P$30:P$110,'Statistics NZ'!P$130:P$210)</f>
        <v>22041.566002392072</v>
      </c>
      <c r="Q184" s="27">
        <f>'Statistics NZ'!Q$184*'Economic Forecasts'!S$9*1000000/SUM('Statistics NZ'!Q$30:Q$110,'Statistics NZ'!Q$130:Q$210)</f>
        <v>22436.515826221312</v>
      </c>
      <c r="R184" s="27">
        <f>'Statistics NZ'!R$184*'Economic Forecasts'!T$9*1000000/SUM('Statistics NZ'!R$30:R$110,'Statistics NZ'!R$130:R$210)</f>
        <v>22466.275303053855</v>
      </c>
      <c r="S184" s="27">
        <f>'Statistics NZ'!S$184*'Economic Forecasts'!U$9*1000000/SUM('Statistics NZ'!S$30:S$110,'Statistics NZ'!S$130:S$210)</f>
        <v>22856.995749549656</v>
      </c>
      <c r="T184" s="27">
        <f>'Statistics NZ'!T$184*'Economic Forecasts'!V$9*1000000/SUM('Statistics NZ'!T$30:T$110,'Statistics NZ'!T$130:T$210)</f>
        <v>23527.720396452787</v>
      </c>
      <c r="U184" s="28">
        <f>SUM('Statistics NZ'!U$184,$O$13/5*(U$8-U$9)*1000)*'Economic Forecasts'!W$9*1000000/SUM('Statistics NZ'!U$30:U$110,'Statistics NZ'!U$130:U$210,SUM($E$12:$T$13)*(U$8-U$9)*1000)</f>
        <v>24220.8226443358</v>
      </c>
      <c r="V184" s="28">
        <f>SUM('Statistics NZ'!V$184,$O$13/5*(V$8-V$9)*1000)*'Economic Forecasts'!X$9*1000000/SUM('Statistics NZ'!V$30:V$110,'Statistics NZ'!V$130:V$210,SUM($E$12:$T$13)*(V$8-V$9)*1000)</f>
        <v>24737.414356314843</v>
      </c>
      <c r="W184" s="28">
        <f>SUM('Statistics NZ'!W$184,$O$13/5*(W$8-W$9)*1000)*'Economic Forecasts'!Y$9*1000000/SUM('Statistics NZ'!W$30:W$110,'Statistics NZ'!W$130:W$210,SUM($E$12:$T$13)*(W$8-W$9)*1000)</f>
        <v>25363.671681512802</v>
      </c>
      <c r="X184" s="28">
        <f>SUM('Statistics NZ'!X$184,$O$13/5*(X$8-X$9)*1000)*'Economic Forecasts'!Z$9*1000000/SUM('Statistics NZ'!X$30:X$110,'Statistics NZ'!X$130:X$210,SUM($E$12:$T$13)*(X$8-X$9)*1000)</f>
        <v>26363.659891102296</v>
      </c>
      <c r="Y184" s="28">
        <f>SUM('Statistics NZ'!Y$184,$O$13/5*(Y$8-Y$9)*1000)*'Economic Forecasts'!AA$9*1000000/SUM('Statistics NZ'!Y$30:Y$110,'Statistics NZ'!Y$130:Y$210,SUM($E$12:$T$13)*(Y$8-Y$9)*1000)</f>
        <v>26743.355586772253</v>
      </c>
      <c r="Z184" s="28">
        <f>SUM('Statistics NZ'!Z$184,$O$13/5*(Z$8-Z$9)*1000)*'Economic Forecasts'!AB$9*1000000/SUM('Statistics NZ'!Z$30:Z$110,'Statistics NZ'!Z$130:Z$210,SUM($E$12:$T$13)*(Z$8-Z$9)*1000)</f>
        <v>27871.874217268218</v>
      </c>
      <c r="AA184" s="28">
        <f>SUM('Statistics NZ'!AA$184,$O$13/5*(AA$8-AA$9)*1000)*'Economic Forecasts'!AC$9*1000000/SUM('Statistics NZ'!AA$30:AA$110,'Statistics NZ'!AA$130:AA$210,SUM($E$12:$T$13)*(AA$8-AA$9)*1000)</f>
        <v>28509.073662220824</v>
      </c>
      <c r="AB184" s="18">
        <f>SUM(AA$184,'Statistics NZ'!AB$184-'Statistics NZ'!AA$184,$O$13/5*(AB$8-AB$9)*1000)</f>
        <v>28762.247246045026</v>
      </c>
      <c r="AC184" s="18">
        <f>SUM(AB$184,'Statistics NZ'!AC$184-'Statistics NZ'!AB$184,$O$13/5*(AC$8-AC$9)*1000)</f>
        <v>28494.362968594494</v>
      </c>
      <c r="AD184" s="18">
        <f>SUM(AC$184,'Statistics NZ'!AD$184-'Statistics NZ'!AC$184,$O$13/5*(AD$8-AD$9)*1000)</f>
        <v>27895.244519656771</v>
      </c>
      <c r="AE184" s="18">
        <f>SUM(AD$184,'Statistics NZ'!AE$184-'Statistics NZ'!AD$184,$O$13/5*(AE$8-AE$9)*1000)</f>
        <v>27645.244519656771</v>
      </c>
      <c r="AF184" s="18">
        <f>SUM(AE$184,'Statistics NZ'!AF$184-'Statistics NZ'!AE$184,$O$13/5*(AF$8-AF$9)*1000)</f>
        <v>27715.244519656771</v>
      </c>
      <c r="AG184" s="18">
        <f>SUM(AF$184,'Statistics NZ'!AG$184-'Statistics NZ'!AF$184,$O$13/5*(AG$8-AG$9)*1000)</f>
        <v>28385.244519656771</v>
      </c>
      <c r="AH184" s="18">
        <f>SUM(AG$184,'Statistics NZ'!AH$184-'Statistics NZ'!AG$184,$O$13/5*(AH$8-AH$9)*1000)</f>
        <v>29115.244519656771</v>
      </c>
      <c r="AI184" s="18">
        <f>SUM(AH$184,'Statistics NZ'!AI$184-'Statistics NZ'!AH$184,$O$13/5*(AI$8-AI$9)*1000)</f>
        <v>29195.244519656771</v>
      </c>
      <c r="AJ184" s="18">
        <f>SUM(AI$184,'Statistics NZ'!AJ$184-'Statistics NZ'!AI$184,$O$13/5*(AJ$8-AJ$9)*1000)</f>
        <v>30335.244519656771</v>
      </c>
      <c r="AK184" s="18">
        <f>SUM(AJ$184,'Statistics NZ'!AK$184-'Statistics NZ'!AJ$184,$O$13/5*(AK$8-AK$9)*1000)</f>
        <v>30205.244519656771</v>
      </c>
    </row>
    <row r="185" spans="1:37" x14ac:dyDescent="0.25">
      <c r="A185" s="12">
        <f>$A$85</f>
        <v>70</v>
      </c>
      <c r="B185" s="27">
        <f>'Statistics NZ'!B$185*'Economic Forecasts'!D$9*1000000/SUM('Statistics NZ'!B$30:B$110,'Statistics NZ'!B$130:B$210)</f>
        <v>12132.086690612561</v>
      </c>
      <c r="C185" s="27">
        <f>'Statistics NZ'!C$185*'Economic Forecasts'!E$9*1000000/SUM('Statistics NZ'!C$30:C$110,'Statistics NZ'!C$130:C$210)</f>
        <v>12687.541109537413</v>
      </c>
      <c r="D185" s="27">
        <f>'Statistics NZ'!D$185*'Economic Forecasts'!F$9*1000000/SUM('Statistics NZ'!D$30:D$110,'Statistics NZ'!D$130:D$210)</f>
        <v>13241.03155541816</v>
      </c>
      <c r="E185" s="27">
        <f>'Statistics NZ'!E$185*'Economic Forecasts'!G$9*1000000/SUM('Statistics NZ'!E$30:E$110,'Statistics NZ'!E$130:E$210)</f>
        <v>13484.6564984242</v>
      </c>
      <c r="F185" s="27">
        <f>'Statistics NZ'!F$185*'Economic Forecasts'!H$9*1000000/SUM('Statistics NZ'!F$30:F$110,'Statistics NZ'!F$130:F$210)</f>
        <v>15046.74728613715</v>
      </c>
      <c r="G185" s="27">
        <f>'Statistics NZ'!G$185*'Economic Forecasts'!I$9*1000000/SUM('Statistics NZ'!G$30:G$110,'Statistics NZ'!G$130:G$210)</f>
        <v>16099.032033305883</v>
      </c>
      <c r="H185" s="27">
        <f>'Statistics NZ'!H$185*'Economic Forecasts'!J$9*1000000/SUM('Statistics NZ'!H$30:H$110,'Statistics NZ'!H$130:H$210)</f>
        <v>16388.328754748913</v>
      </c>
      <c r="I185" s="27">
        <f>'Statistics NZ'!I$185*'Economic Forecasts'!K$9*1000000/SUM('Statistics NZ'!I$30:I$110,'Statistics NZ'!I$130:I$210)</f>
        <v>14695.529404439465</v>
      </c>
      <c r="J185" s="27">
        <f>'Statistics NZ'!J$185*'Economic Forecasts'!L$9*1000000/SUM('Statistics NZ'!J$30:J$110,'Statistics NZ'!J$130:J$210)</f>
        <v>16509.936638980897</v>
      </c>
      <c r="K185" s="27">
        <f>'Statistics NZ'!K$185*'Economic Forecasts'!M$9*1000000/SUM('Statistics NZ'!K$30:K$110,'Statistics NZ'!K$130:K$210)</f>
        <v>16999.438971954016</v>
      </c>
      <c r="L185" s="27">
        <f>'Statistics NZ'!L$185*'Economic Forecasts'!N$9*1000000/SUM('Statistics NZ'!L$30:L$110,'Statistics NZ'!L$130:L$210)</f>
        <v>18012.737794596134</v>
      </c>
      <c r="M185" s="27">
        <f>'Statistics NZ'!M$185*'Economic Forecasts'!O$9*1000000/SUM('Statistics NZ'!M$30:M$110,'Statistics NZ'!M$130:M$210)</f>
        <v>21297.670975280715</v>
      </c>
      <c r="N185" s="27">
        <f>'Statistics NZ'!N$185*'Economic Forecasts'!P$9*1000000/SUM('Statistics NZ'!N$30:N$110,'Statistics NZ'!N$130:N$210)</f>
        <v>21262.662171799682</v>
      </c>
      <c r="O185" s="27">
        <f>'Statistics NZ'!O$185*'Economic Forecasts'!Q$9*1000000/SUM('Statistics NZ'!O$30:O$110,'Statistics NZ'!O$130:O$210)</f>
        <v>21341.224702332755</v>
      </c>
      <c r="P185" s="27">
        <f>'Statistics NZ'!P$185*'Economic Forecasts'!R$9*1000000/SUM('Statistics NZ'!P$30:P$110,'Statistics NZ'!P$130:P$210)</f>
        <v>21630.306219139977</v>
      </c>
      <c r="Q185" s="27">
        <f>'Statistics NZ'!Q$185*'Economic Forecasts'!S$9*1000000/SUM('Statistics NZ'!Q$30:Q$110,'Statistics NZ'!Q$130:Q$210)</f>
        <v>21754.825120801113</v>
      </c>
      <c r="R185" s="27">
        <f>'Statistics NZ'!R$185*'Economic Forecasts'!T$9*1000000/SUM('Statistics NZ'!R$30:R$110,'Statistics NZ'!R$130:R$210)</f>
        <v>21952.308600124332</v>
      </c>
      <c r="S185" s="27">
        <f>'Statistics NZ'!S$185*'Economic Forecasts'!U$9*1000000/SUM('Statistics NZ'!S$30:S$110,'Statistics NZ'!S$130:S$210)</f>
        <v>21756.9784924376</v>
      </c>
      <c r="T185" s="27">
        <f>'Statistics NZ'!T$185*'Economic Forecasts'!V$9*1000000/SUM('Statistics NZ'!T$30:T$110,'Statistics NZ'!T$130:T$210)</f>
        <v>22722.178403755865</v>
      </c>
      <c r="U185" s="28">
        <f>SUM('Statistics NZ'!U$185,$P$13/5*(U$8-U$9)*1000)*'Economic Forecasts'!W$9*1000000/SUM('Statistics NZ'!U$30:U$110,'Statistics NZ'!U$130:U$210,SUM($E$12:$T$13)*(U$8-U$9)*1000)</f>
        <v>23252.083171960778</v>
      </c>
      <c r="V185" s="28">
        <f>SUM('Statistics NZ'!V$185,$P$13/5*(V$8-V$9)*1000)*'Economic Forecasts'!X$9*1000000/SUM('Statistics NZ'!V$30:V$110,'Statistics NZ'!V$130:V$210,SUM($E$12:$T$13)*(V$8-V$9)*1000)</f>
        <v>23857.532060688718</v>
      </c>
      <c r="W185" s="28">
        <f>SUM('Statistics NZ'!W$185,$P$13/5*(W$8-W$9)*1000)*'Economic Forecasts'!Y$9*1000000/SUM('Statistics NZ'!W$30:W$110,'Statistics NZ'!W$130:W$210,SUM($E$12:$T$13)*(W$8-W$9)*1000)</f>
        <v>24395.870640975259</v>
      </c>
      <c r="X185" s="28">
        <f>SUM('Statistics NZ'!X$185,$P$13/5*(X$8-X$9)*1000)*'Economic Forecasts'!Z$9*1000000/SUM('Statistics NZ'!X$30:X$110,'Statistics NZ'!X$130:X$210,SUM($E$12:$T$13)*(X$8-X$9)*1000)</f>
        <v>25042.056876368977</v>
      </c>
      <c r="Y185" s="28">
        <f>SUM('Statistics NZ'!Y$185,$P$13/5*(Y$8-Y$9)*1000)*'Economic Forecasts'!AA$9*1000000/SUM('Statistics NZ'!Y$30:Y$110,'Statistics NZ'!Y$130:Y$210,SUM($E$12:$T$13)*(Y$8-Y$9)*1000)</f>
        <v>26065.911968231332</v>
      </c>
      <c r="Z185" s="28">
        <f>SUM('Statistics NZ'!Z$185,$P$13/5*(Z$8-Z$9)*1000)*'Economic Forecasts'!AB$9*1000000/SUM('Statistics NZ'!Z$30:Z$110,'Statistics NZ'!Z$130:Z$210,SUM($E$12:$T$13)*(Z$8-Z$9)*1000)</f>
        <v>26442.427649373814</v>
      </c>
      <c r="AA185" s="28">
        <f>SUM('Statistics NZ'!AA$185,$P$13/5*(AA$8-AA$9)*1000)*'Economic Forecasts'!AC$9*1000000/SUM('Statistics NZ'!AA$30:AA$110,'Statistics NZ'!AA$130:AA$210,SUM($E$12:$T$13)*(AA$8-AA$9)*1000)</f>
        <v>27577.85468137417</v>
      </c>
      <c r="AB185" s="18">
        <f>SUM(AA$185,'Statistics NZ'!AB$185-'Statistics NZ'!AA$185,$P$13/5*(AB$8-AB$9)*1000)</f>
        <v>28219.138422552292</v>
      </c>
      <c r="AC185" s="18">
        <f>SUM(AB$185,'Statistics NZ'!AC$185-'Statistics NZ'!AB$185,$P$13/5*(AC$8-AC$9)*1000)</f>
        <v>28469.994250004376</v>
      </c>
      <c r="AD185" s="18">
        <f>SUM(AC$185,'Statistics NZ'!AD$185-'Statistics NZ'!AC$185,$P$13/5*(AD$8-AD$9)*1000)</f>
        <v>28220.350844776076</v>
      </c>
      <c r="AE185" s="18">
        <f>SUM(AD$185,'Statistics NZ'!AE$185-'Statistics NZ'!AD$185,$P$13/5*(AE$8-AE$9)*1000)</f>
        <v>27630.350844776076</v>
      </c>
      <c r="AF185" s="18">
        <f>SUM(AE$185,'Statistics NZ'!AF$185-'Statistics NZ'!AE$185,$P$13/5*(AF$8-AF$9)*1000)</f>
        <v>27380.350844776076</v>
      </c>
      <c r="AG185" s="18">
        <f>SUM(AF$185,'Statistics NZ'!AG$185-'Statistics NZ'!AF$185,$P$13/5*(AG$8-AG$9)*1000)</f>
        <v>27460.350844776076</v>
      </c>
      <c r="AH185" s="18">
        <f>SUM(AG$185,'Statistics NZ'!AH$185-'Statistics NZ'!AG$185,$P$13/5*(AH$8-AH$9)*1000)</f>
        <v>28130.350844776076</v>
      </c>
      <c r="AI185" s="18">
        <f>SUM(AH$185,'Statistics NZ'!AI$185-'Statistics NZ'!AH$185,$P$13/5*(AI$8-AI$9)*1000)</f>
        <v>28860.350844776076</v>
      </c>
      <c r="AJ185" s="18">
        <f>SUM(AI$185,'Statistics NZ'!AJ$185-'Statistics NZ'!AI$185,$P$13/5*(AJ$8-AJ$9)*1000)</f>
        <v>28950.350844776076</v>
      </c>
      <c r="AK185" s="18">
        <f>SUM(AJ$185,'Statistics NZ'!AK$185-'Statistics NZ'!AJ$185,$P$13/5*(AK$8-AK$9)*1000)</f>
        <v>30080.350844776076</v>
      </c>
    </row>
    <row r="186" spans="1:37" x14ac:dyDescent="0.25">
      <c r="A186" s="12">
        <f>$A$86</f>
        <v>71</v>
      </c>
      <c r="B186" s="27">
        <f>'Statistics NZ'!B$186*'Economic Forecasts'!D$9*1000000/SUM('Statistics NZ'!B$30:B$110,'Statistics NZ'!B$130:B$210)</f>
        <v>11682.025410154352</v>
      </c>
      <c r="C186" s="27">
        <f>'Statistics NZ'!C$186*'Economic Forecasts'!E$9*1000000/SUM('Statistics NZ'!C$30:C$110,'Statistics NZ'!C$130:C$210)</f>
        <v>11862.654535852316</v>
      </c>
      <c r="D186" s="27">
        <f>'Statistics NZ'!D$186*'Economic Forecasts'!F$9*1000000/SUM('Statistics NZ'!D$30:D$110,'Statistics NZ'!D$130:D$210)</f>
        <v>12376.631869307777</v>
      </c>
      <c r="E186" s="27">
        <f>'Statistics NZ'!E$186*'Economic Forecasts'!G$9*1000000/SUM('Statistics NZ'!E$30:E$110,'Statistics NZ'!E$130:E$210)</f>
        <v>12915.849169763396</v>
      </c>
      <c r="F186" s="27">
        <f>'Statistics NZ'!F$186*'Economic Forecasts'!H$9*1000000/SUM('Statistics NZ'!F$30:F$110,'Statistics NZ'!F$130:F$210)</f>
        <v>13232.113486961549</v>
      </c>
      <c r="G186" s="27">
        <f>'Statistics NZ'!G$186*'Economic Forecasts'!I$9*1000000/SUM('Statistics NZ'!G$30:G$110,'Statistics NZ'!G$130:G$210)</f>
        <v>14763.175806015099</v>
      </c>
      <c r="H186" s="27">
        <f>'Statistics NZ'!H$186*'Economic Forecasts'!J$9*1000000/SUM('Statistics NZ'!H$30:H$110,'Statistics NZ'!H$130:H$210)</f>
        <v>15779.17025187455</v>
      </c>
      <c r="I186" s="27">
        <f>'Statistics NZ'!I$186*'Economic Forecasts'!K$9*1000000/SUM('Statistics NZ'!I$30:I$110,'Statistics NZ'!I$130:I$210)</f>
        <v>16087.634257962081</v>
      </c>
      <c r="J186" s="27">
        <f>'Statistics NZ'!J$186*'Economic Forecasts'!L$9*1000000/SUM('Statistics NZ'!J$30:J$110,'Statistics NZ'!J$130:J$210)</f>
        <v>14354.770663071402</v>
      </c>
      <c r="K186" s="27">
        <f>'Statistics NZ'!K$186*'Economic Forecasts'!M$9*1000000/SUM('Statistics NZ'!K$30:K$110,'Statistics NZ'!K$130:K$210)</f>
        <v>16142.651669816583</v>
      </c>
      <c r="L186" s="27">
        <f>'Statistics NZ'!L$186*'Economic Forecasts'!N$9*1000000/SUM('Statistics NZ'!L$30:L$110,'Statistics NZ'!L$130:L$210)</f>
        <v>16737.241226438247</v>
      </c>
      <c r="M186" s="27">
        <f>'Statistics NZ'!M$186*'Economic Forecasts'!O$9*1000000/SUM('Statistics NZ'!M$30:M$110,'Statistics NZ'!M$130:M$210)</f>
        <v>17800.163539890578</v>
      </c>
      <c r="N186" s="27">
        <f>'Statistics NZ'!N$186*'Economic Forecasts'!P$9*1000000/SUM('Statistics NZ'!N$30:N$110,'Statistics NZ'!N$130:N$210)</f>
        <v>20939.759340842764</v>
      </c>
      <c r="O186" s="27">
        <f>'Statistics NZ'!O$186*'Economic Forecasts'!Q$9*1000000/SUM('Statistics NZ'!O$30:O$110,'Statistics NZ'!O$130:O$210)</f>
        <v>20987.665526408236</v>
      </c>
      <c r="P186" s="27">
        <f>'Statistics NZ'!P$186*'Economic Forecasts'!R$9*1000000/SUM('Statistics NZ'!P$30:P$110,'Statistics NZ'!P$130:P$210)</f>
        <v>21003.624644660591</v>
      </c>
      <c r="Q186" s="27">
        <f>'Statistics NZ'!Q$186*'Economic Forecasts'!S$9*1000000/SUM('Statistics NZ'!Q$30:Q$110,'Statistics NZ'!Q$130:Q$210)</f>
        <v>21369.521678607089</v>
      </c>
      <c r="R186" s="27">
        <f>'Statistics NZ'!R$186*'Economic Forecasts'!T$9*1000000/SUM('Statistics NZ'!R$30:R$110,'Statistics NZ'!R$130:R$210)</f>
        <v>21240.66239606807</v>
      </c>
      <c r="S186" s="27">
        <f>'Statistics NZ'!S$186*'Economic Forecasts'!U$9*1000000/SUM('Statistics NZ'!S$30:S$110,'Statistics NZ'!S$130:S$210)</f>
        <v>21124.225202948364</v>
      </c>
      <c r="T186" s="27">
        <f>'Statistics NZ'!T$186*'Economic Forecasts'!V$9*1000000/SUM('Statistics NZ'!T$30:T$110,'Statistics NZ'!T$130:T$210)</f>
        <v>21582.631194574853</v>
      </c>
      <c r="U186" s="28">
        <f>SUM('Statistics NZ'!U$186,$P$13/5*(U$8-U$9)*1000)*'Economic Forecasts'!W$9*1000000/SUM('Statistics NZ'!U$30:U$110,'Statistics NZ'!U$130:U$210,SUM($E$12:$T$13)*(U$8-U$9)*1000)</f>
        <v>22405.817349738722</v>
      </c>
      <c r="V186" s="28">
        <f>SUM('Statistics NZ'!V$186,$P$13/5*(V$8-V$9)*1000)*'Economic Forecasts'!X$9*1000000/SUM('Statistics NZ'!V$30:V$110,'Statistics NZ'!V$130:V$210,SUM($E$12:$T$13)*(V$8-V$9)*1000)</f>
        <v>22847.166534963439</v>
      </c>
      <c r="W186" s="28">
        <f>SUM('Statistics NZ'!W$186,$P$13/5*(W$8-W$9)*1000)*'Economic Forecasts'!Y$9*1000000/SUM('Statistics NZ'!W$30:W$110,'Statistics NZ'!W$130:W$210,SUM($E$12:$T$13)*(W$8-W$9)*1000)</f>
        <v>23466.581356108902</v>
      </c>
      <c r="X186" s="28">
        <f>SUM('Statistics NZ'!X$186,$P$13/5*(X$8-X$9)*1000)*'Economic Forecasts'!Z$9*1000000/SUM('Statistics NZ'!X$30:X$110,'Statistics NZ'!X$130:X$210,SUM($E$12:$T$13)*(X$8-X$9)*1000)</f>
        <v>24035.757515893427</v>
      </c>
      <c r="Y186" s="28">
        <f>SUM('Statistics NZ'!Y$186,$P$13/5*(Y$8-Y$9)*1000)*'Economic Forecasts'!AA$9*1000000/SUM('Statistics NZ'!Y$30:Y$110,'Statistics NZ'!Y$130:Y$210,SUM($E$12:$T$13)*(Y$8-Y$9)*1000)</f>
        <v>24708.025093626187</v>
      </c>
      <c r="Z186" s="28">
        <f>SUM('Statistics NZ'!Z$186,$P$13/5*(Z$8-Z$9)*1000)*'Economic Forecasts'!AB$9*1000000/SUM('Statistics NZ'!Z$30:Z$110,'Statistics NZ'!Z$130:Z$210,SUM($E$12:$T$13)*(Z$8-Z$9)*1000)</f>
        <v>25729.140591014511</v>
      </c>
      <c r="AA186" s="28">
        <f>SUM('Statistics NZ'!AA$186,$P$13/5*(AA$8-AA$9)*1000)*'Economic Forecasts'!AC$9*1000000/SUM('Statistics NZ'!AA$30:AA$110,'Statistics NZ'!AA$130:AA$210,SUM($E$12:$T$13)*(AA$8-AA$9)*1000)</f>
        <v>26121.335484649768</v>
      </c>
      <c r="AB186" s="18">
        <f>SUM(AA$186,'Statistics NZ'!AB$186-'Statistics NZ'!AA$186,$P$13/5*(AB$8-AB$9)*1000)</f>
        <v>27262.61922582789</v>
      </c>
      <c r="AC186" s="18">
        <f>SUM(AB$186,'Statistics NZ'!AC$186-'Statistics NZ'!AB$186,$P$13/5*(AC$8-AC$9)*1000)</f>
        <v>27903.475053279974</v>
      </c>
      <c r="AD186" s="18">
        <f>SUM(AC$186,'Statistics NZ'!AD$186-'Statistics NZ'!AC$186,$P$13/5*(AD$8-AD$9)*1000)</f>
        <v>28163.831648051673</v>
      </c>
      <c r="AE186" s="18">
        <f>SUM(AD$186,'Statistics NZ'!AE$186-'Statistics NZ'!AD$186,$P$13/5*(AE$8-AE$9)*1000)</f>
        <v>27913.831648051673</v>
      </c>
      <c r="AF186" s="18">
        <f>SUM(AE$186,'Statistics NZ'!AF$186-'Statistics NZ'!AE$186,$P$13/5*(AF$8-AF$9)*1000)</f>
        <v>27343.831648051673</v>
      </c>
      <c r="AG186" s="18">
        <f>SUM(AF$186,'Statistics NZ'!AG$186-'Statistics NZ'!AF$186,$P$13/5*(AG$8-AG$9)*1000)</f>
        <v>27103.831648051673</v>
      </c>
      <c r="AH186" s="18">
        <f>SUM(AG$186,'Statistics NZ'!AH$186-'Statistics NZ'!AG$186,$P$13/5*(AH$8-AH$9)*1000)</f>
        <v>27193.831648051673</v>
      </c>
      <c r="AI186" s="18">
        <f>SUM(AH$186,'Statistics NZ'!AI$186-'Statistics NZ'!AH$186,$P$13/5*(AI$8-AI$9)*1000)</f>
        <v>27863.831648051673</v>
      </c>
      <c r="AJ186" s="18">
        <f>SUM(AI$186,'Statistics NZ'!AJ$186-'Statistics NZ'!AI$186,$P$13/5*(AJ$8-AJ$9)*1000)</f>
        <v>28593.831648051673</v>
      </c>
      <c r="AK186" s="18">
        <f>SUM(AJ$186,'Statistics NZ'!AK$186-'Statistics NZ'!AJ$186,$P$13/5*(AK$8-AK$9)*1000)</f>
        <v>28683.831648051673</v>
      </c>
    </row>
    <row r="187" spans="1:37" x14ac:dyDescent="0.25">
      <c r="A187" s="12">
        <f>$A$87</f>
        <v>72</v>
      </c>
      <c r="B187" s="27">
        <f>'Statistics NZ'!B$187*'Economic Forecasts'!D$9*1000000/SUM('Statistics NZ'!B$30:B$110,'Statistics NZ'!B$130:B$210)</f>
        <v>11124.340780021355</v>
      </c>
      <c r="C187" s="27">
        <f>'Statistics NZ'!C$187*'Economic Forecasts'!E$9*1000000/SUM('Statistics NZ'!C$30:C$110,'Statistics NZ'!C$130:C$210)</f>
        <v>11450.211249009768</v>
      </c>
      <c r="D187" s="27">
        <f>'Statistics NZ'!D$187*'Economic Forecasts'!F$9*1000000/SUM('Statistics NZ'!D$30:D$110,'Statistics NZ'!D$130:D$210)</f>
        <v>11590.813972843793</v>
      </c>
      <c r="E187" s="27">
        <f>'Statistics NZ'!E$187*'Economic Forecasts'!G$9*1000000/SUM('Statistics NZ'!E$30:E$110,'Statistics NZ'!E$130:E$210)</f>
        <v>12052.831153864247</v>
      </c>
      <c r="F187" s="27">
        <f>'Statistics NZ'!F$187*'Economic Forecasts'!H$9*1000000/SUM('Statistics NZ'!F$30:F$110,'Statistics NZ'!F$130:F$210)</f>
        <v>12633.774774800944</v>
      </c>
      <c r="G187" s="27">
        <f>'Statistics NZ'!G$187*'Economic Forecasts'!I$9*1000000/SUM('Statistics NZ'!G$30:G$110,'Statistics NZ'!G$130:G$210)</f>
        <v>12936.195965749757</v>
      </c>
      <c r="H187" s="27">
        <f>'Statistics NZ'!H$187*'Economic Forecasts'!J$9*1000000/SUM('Statistics NZ'!H$30:H$110,'Statistics NZ'!H$130:H$210)</f>
        <v>14452.776737551349</v>
      </c>
      <c r="I187" s="27">
        <f>'Statistics NZ'!I$187*'Economic Forecasts'!K$9*1000000/SUM('Statistics NZ'!I$30:I$110,'Statistics NZ'!I$130:I$210)</f>
        <v>15440.599607733258</v>
      </c>
      <c r="J187" s="27">
        <f>'Statistics NZ'!J$187*'Economic Forecasts'!L$9*1000000/SUM('Statistics NZ'!J$30:J$110,'Statistics NZ'!J$130:J$210)</f>
        <v>15671.274766002543</v>
      </c>
      <c r="K187" s="27">
        <f>'Statistics NZ'!K$187*'Economic Forecasts'!M$9*1000000/SUM('Statistics NZ'!K$30:K$110,'Statistics NZ'!K$130:K$210)</f>
        <v>14039.62829184289</v>
      </c>
      <c r="L187" s="27">
        <f>'Statistics NZ'!L$187*'Economic Forecasts'!N$9*1000000/SUM('Statistics NZ'!L$30:L$110,'Statistics NZ'!L$130:L$210)</f>
        <v>15831.736029196387</v>
      </c>
      <c r="M187" s="27">
        <f>'Statistics NZ'!M$187*'Economic Forecasts'!O$9*1000000/SUM('Statistics NZ'!M$30:M$110,'Statistics NZ'!M$130:M$210)</f>
        <v>16451.962349712259</v>
      </c>
      <c r="N187" s="27">
        <f>'Statistics NZ'!N$187*'Economic Forecasts'!P$9*1000000/SUM('Statistics NZ'!N$30:N$110,'Statistics NZ'!N$130:N$210)</f>
        <v>17485.677543030848</v>
      </c>
      <c r="O187" s="27">
        <f>'Statistics NZ'!O$187*'Economic Forecasts'!Q$9*1000000/SUM('Statistics NZ'!O$30:O$110,'Statistics NZ'!O$130:O$210)</f>
        <v>20594.821997603216</v>
      </c>
      <c r="P187" s="27">
        <f>'Statistics NZ'!P$187*'Economic Forecasts'!R$9*1000000/SUM('Statistics NZ'!P$30:P$110,'Statistics NZ'!P$130:P$210)</f>
        <v>20690.283857420898</v>
      </c>
      <c r="Q187" s="27">
        <f>'Statistics NZ'!Q$187*'Economic Forecasts'!S$9*1000000/SUM('Statistics NZ'!Q$30:Q$110,'Statistics NZ'!Q$130:Q$210)</f>
        <v>20638.433095982527</v>
      </c>
      <c r="R187" s="27">
        <f>'Statistics NZ'!R$187*'Economic Forecasts'!T$9*1000000/SUM('Statistics NZ'!R$30:R$110,'Statistics NZ'!R$130:R$210)</f>
        <v>20795.883518532912</v>
      </c>
      <c r="S187" s="27">
        <f>'Statistics NZ'!S$187*'Economic Forecasts'!U$9*1000000/SUM('Statistics NZ'!S$30:S$110,'Statistics NZ'!S$130:S$210)</f>
        <v>20491.471913459129</v>
      </c>
      <c r="T187" s="27">
        <f>'Statistics NZ'!T$187*'Economic Forecasts'!V$9*1000000/SUM('Statistics NZ'!T$30:T$110,'Statistics NZ'!T$130:T$210)</f>
        <v>20885.149713093371</v>
      </c>
      <c r="U187" s="28">
        <f>SUM('Statistics NZ'!U$187,$P$13/5*(U$8-U$9)*1000)*'Economic Forecasts'!W$9*1000000/SUM('Statistics NZ'!U$30:U$110,'Statistics NZ'!U$130:U$210,SUM($E$12:$T$13)*(U$8-U$9)*1000)</f>
        <v>21254.502219506387</v>
      </c>
      <c r="V187" s="28">
        <f>SUM('Statistics NZ'!V$187,$P$13/5*(V$8-V$9)*1000)*'Economic Forecasts'!X$9*1000000/SUM('Statistics NZ'!V$30:V$110,'Statistics NZ'!V$130:V$210,SUM($E$12:$T$13)*(V$8-V$9)*1000)</f>
        <v>21983.941619780675</v>
      </c>
      <c r="W187" s="28">
        <f>SUM('Statistics NZ'!W$187,$P$13/5*(W$8-W$9)*1000)*'Economic Forecasts'!Y$9*1000000/SUM('Statistics NZ'!W$30:W$110,'Statistics NZ'!W$130:W$210,SUM($E$12:$T$13)*(W$8-W$9)*1000)</f>
        <v>22439.472146519769</v>
      </c>
      <c r="X187" s="28">
        <f>SUM('Statistics NZ'!X$187,$P$13/5*(X$8-X$9)*1000)*'Economic Forecasts'!Z$9*1000000/SUM('Statistics NZ'!X$30:X$110,'Statistics NZ'!X$130:X$210,SUM($E$12:$T$13)*(X$8-X$9)*1000)</f>
        <v>23088.077535639753</v>
      </c>
      <c r="Y187" s="28">
        <f>SUM('Statistics NZ'!Y$187,$P$13/5*(Y$8-Y$9)*1000)*'Economic Forecasts'!AA$9*1000000/SUM('Statistics NZ'!Y$30:Y$110,'Statistics NZ'!Y$130:Y$210,SUM($E$12:$T$13)*(Y$8-Y$9)*1000)</f>
        <v>23672.514239610755</v>
      </c>
      <c r="Z187" s="28">
        <f>SUM('Statistics NZ'!Z$187,$P$13/5*(Z$8-Z$9)*1000)*'Economic Forecasts'!AB$9*1000000/SUM('Statistics NZ'!Z$30:Z$110,'Statistics NZ'!Z$130:Z$210,SUM($E$12:$T$13)*(Z$8-Z$9)*1000)</f>
        <v>24351.421752265713</v>
      </c>
      <c r="AA187" s="28">
        <f>SUM('Statistics NZ'!AA$187,$P$13/5*(AA$8-AA$9)*1000)*'Economic Forecasts'!AC$9*1000000/SUM('Statistics NZ'!AA$30:AA$110,'Statistics NZ'!AA$130:AA$210,SUM($E$12:$T$13)*(AA$8-AA$9)*1000)</f>
        <v>25368.637644731789</v>
      </c>
      <c r="AB187" s="18">
        <f>SUM(AA$187,'Statistics NZ'!AB$187-'Statistics NZ'!AA$187,$P$13/5*(AB$8-AB$9)*1000)</f>
        <v>25769.921385909911</v>
      </c>
      <c r="AC187" s="18">
        <f>SUM(AB$187,'Statistics NZ'!AC$187-'Statistics NZ'!AB$187,$P$13/5*(AC$8-AC$9)*1000)</f>
        <v>26900.777213361995</v>
      </c>
      <c r="AD187" s="18">
        <f>SUM(AC$187,'Statistics NZ'!AD$187-'Statistics NZ'!AC$187,$P$13/5*(AD$8-AD$9)*1000)</f>
        <v>27541.133808133694</v>
      </c>
      <c r="AE187" s="18">
        <f>SUM(AD$187,'Statistics NZ'!AE$187-'Statistics NZ'!AD$187,$P$13/5*(AE$8-AE$9)*1000)</f>
        <v>27801.133808133694</v>
      </c>
      <c r="AF187" s="18">
        <f>SUM(AE$187,'Statistics NZ'!AF$187-'Statistics NZ'!AE$187,$P$13/5*(AF$8-AF$9)*1000)</f>
        <v>27571.133808133694</v>
      </c>
      <c r="AG187" s="18">
        <f>SUM(AF$187,'Statistics NZ'!AG$187-'Statistics NZ'!AF$187,$P$13/5*(AG$8-AG$9)*1000)</f>
        <v>27011.133808133694</v>
      </c>
      <c r="AH187" s="18">
        <f>SUM(AG$187,'Statistics NZ'!AH$187-'Statistics NZ'!AG$187,$P$13/5*(AH$8-AH$9)*1000)</f>
        <v>26791.133808133694</v>
      </c>
      <c r="AI187" s="18">
        <f>SUM(AH$187,'Statistics NZ'!AI$187-'Statistics NZ'!AH$187,$P$13/5*(AI$8-AI$9)*1000)</f>
        <v>26881.133808133694</v>
      </c>
      <c r="AJ187" s="18">
        <f>SUM(AI$187,'Statistics NZ'!AJ$187-'Statistics NZ'!AI$187,$P$13/5*(AJ$8-AJ$9)*1000)</f>
        <v>27541.133808133694</v>
      </c>
      <c r="AK187" s="18">
        <f>SUM(AJ$187,'Statistics NZ'!AK$187-'Statistics NZ'!AJ$187,$P$13/5*(AK$8-AK$9)*1000)</f>
        <v>28271.133808133694</v>
      </c>
    </row>
    <row r="188" spans="1:37" x14ac:dyDescent="0.25">
      <c r="A188" s="12">
        <f>$A$88</f>
        <v>73</v>
      </c>
      <c r="B188" s="27">
        <f>'Statistics NZ'!B$188*'Economic Forecasts'!D$9*1000000/SUM('Statistics NZ'!B$30:B$110,'Statistics NZ'!B$130:B$210)</f>
        <v>10654.711617804096</v>
      </c>
      <c r="C188" s="27">
        <f>'Statistics NZ'!C$188*'Economic Forecasts'!E$9*1000000/SUM('Statistics NZ'!C$30:C$110,'Statistics NZ'!C$130:C$210)</f>
        <v>10831.546318745948</v>
      </c>
      <c r="D188" s="27">
        <f>'Statistics NZ'!D$188*'Economic Forecasts'!F$9*1000000/SUM('Statistics NZ'!D$30:D$110,'Statistics NZ'!D$130:D$210)</f>
        <v>11158.614129788597</v>
      </c>
      <c r="E188" s="27">
        <f>'Statistics NZ'!E$188*'Economic Forecasts'!G$9*1000000/SUM('Statistics NZ'!E$30:E$110,'Statistics NZ'!E$130:E$210)</f>
        <v>11238.848252504822</v>
      </c>
      <c r="F188" s="27">
        <f>'Statistics NZ'!F$188*'Economic Forecasts'!H$9*1000000/SUM('Statistics NZ'!F$30:F$110,'Statistics NZ'!F$130:F$210)</f>
        <v>11750.979953580381</v>
      </c>
      <c r="G188" s="27">
        <f>'Statistics NZ'!G$188*'Economic Forecasts'!I$9*1000000/SUM('Statistics NZ'!G$30:G$110,'Statistics NZ'!G$130:G$210)</f>
        <v>12317.380213401819</v>
      </c>
      <c r="H188" s="27">
        <f>'Statistics NZ'!H$188*'Economic Forecasts'!J$9*1000000/SUM('Statistics NZ'!H$30:H$110,'Statistics NZ'!H$130:H$210)</f>
        <v>12605.650954641998</v>
      </c>
      <c r="I188" s="27">
        <f>'Statistics NZ'!I$188*'Economic Forecasts'!K$9*1000000/SUM('Statistics NZ'!I$30:I$110,'Statistics NZ'!I$130:I$210)</f>
        <v>14077.905420130133</v>
      </c>
      <c r="J188" s="27">
        <f>'Statistics NZ'!J$188*'Economic Forecasts'!L$9*1000000/SUM('Statistics NZ'!J$30:J$110,'Statistics NZ'!J$130:J$210)</f>
        <v>14969.139244439266</v>
      </c>
      <c r="K188" s="27">
        <f>'Statistics NZ'!K$188*'Economic Forecasts'!M$9*1000000/SUM('Statistics NZ'!K$30:K$110,'Statistics NZ'!K$130:K$210)</f>
        <v>15256.655709651741</v>
      </c>
      <c r="L188" s="27">
        <f>'Statistics NZ'!L$188*'Economic Forecasts'!N$9*1000000/SUM('Statistics NZ'!L$30:L$110,'Statistics NZ'!L$130:L$210)</f>
        <v>13728.627183989487</v>
      </c>
      <c r="M188" s="27">
        <f>'Statistics NZ'!M$188*'Economic Forecasts'!O$9*1000000/SUM('Statistics NZ'!M$30:M$110,'Statistics NZ'!M$130:M$210)</f>
        <v>15533.622408576301</v>
      </c>
      <c r="N188" s="27">
        <f>'Statistics NZ'!N$188*'Economic Forecasts'!P$9*1000000/SUM('Statistics NZ'!N$30:N$110,'Statistics NZ'!N$130:N$210)</f>
        <v>16106.001810760368</v>
      </c>
      <c r="O188" s="27">
        <f>'Statistics NZ'!O$188*'Economic Forecasts'!Q$9*1000000/SUM('Statistics NZ'!O$30:O$110,'Statistics NZ'!O$130:O$210)</f>
        <v>17108.335679458654</v>
      </c>
      <c r="P188" s="27">
        <f>'Statistics NZ'!P$188*'Economic Forecasts'!R$9*1000000/SUM('Statistics NZ'!P$30:P$110,'Statistics NZ'!P$130:P$210)</f>
        <v>20249.648375365083</v>
      </c>
      <c r="Q188" s="27">
        <f>'Statistics NZ'!Q$188*'Economic Forecasts'!S$9*1000000/SUM('Statistics NZ'!Q$30:Q$110,'Statistics NZ'!Q$130:Q$210)</f>
        <v>20351.925408197229</v>
      </c>
      <c r="R188" s="27">
        <f>'Statistics NZ'!R$188*'Economic Forecasts'!T$9*1000000/SUM('Statistics NZ'!R$30:R$110,'Statistics NZ'!R$130:R$210)</f>
        <v>20044.701414251304</v>
      </c>
      <c r="S188" s="27">
        <f>'Statistics NZ'!S$188*'Economic Forecasts'!U$9*1000000/SUM('Statistics NZ'!S$30:S$110,'Statistics NZ'!S$130:S$210)</f>
        <v>20024.207945836308</v>
      </c>
      <c r="T188" s="27">
        <f>'Statistics NZ'!T$188*'Economic Forecasts'!V$9*1000000/SUM('Statistics NZ'!T$30:T$110,'Statistics NZ'!T$130:T$210)</f>
        <v>20197.49191444966</v>
      </c>
      <c r="U188" s="28">
        <f>SUM('Statistics NZ'!U$188,$P$13/5*(U$8-U$9)*1000)*'Economic Forecasts'!W$9*1000000/SUM('Statistics NZ'!U$30:U$110,'Statistics NZ'!U$130:U$210,SUM($E$12:$T$13)*(U$8-U$9)*1000)</f>
        <v>20516.479700126689</v>
      </c>
      <c r="V188" s="28">
        <f>SUM('Statistics NZ'!V$188,$P$13/5*(V$8-V$9)*1000)*'Economic Forecasts'!X$9*1000000/SUM('Statistics NZ'!V$30:V$110,'Statistics NZ'!V$130:V$210,SUM($E$12:$T$13)*(V$8-V$9)*1000)</f>
        <v>20806.816735440538</v>
      </c>
      <c r="W188" s="28">
        <f>SUM('Statistics NZ'!W$188,$P$13/5*(W$8-W$9)*1000)*'Economic Forecasts'!Y$9*1000000/SUM('Statistics NZ'!W$30:W$110,'Statistics NZ'!W$130:W$210,SUM($E$12:$T$13)*(W$8-W$9)*1000)</f>
        <v>21539.528839070248</v>
      </c>
      <c r="X188" s="28">
        <f>SUM('Statistics NZ'!X$188,$P$13/5*(X$8-X$9)*1000)*'Economic Forecasts'!Z$9*1000000/SUM('Statistics NZ'!X$30:X$110,'Statistics NZ'!X$130:X$210,SUM($E$12:$T$13)*(X$8-X$9)*1000)</f>
        <v>22023.158794942326</v>
      </c>
      <c r="Y188" s="28">
        <f>SUM('Statistics NZ'!Y$188,$P$13/5*(Y$8-Y$9)*1000)*'Economic Forecasts'!AA$9*1000000/SUM('Statistics NZ'!Y$30:Y$110,'Statistics NZ'!Y$130:Y$210,SUM($E$12:$T$13)*(Y$8-Y$9)*1000)</f>
        <v>22695.617207520721</v>
      </c>
      <c r="Z188" s="28">
        <f>SUM('Statistics NZ'!Z$188,$P$13/5*(Z$8-Z$9)*1000)*'Economic Forecasts'!AB$9*1000000/SUM('Statistics NZ'!Z$30:Z$110,'Statistics NZ'!Z$130:Z$210,SUM($E$12:$T$13)*(Z$8-Z$9)*1000)</f>
        <v>23286.376692523743</v>
      </c>
      <c r="AA188" s="28">
        <f>SUM('Statistics NZ'!AA$188,$P$13/5*(AA$8-AA$9)*1000)*'Economic Forecasts'!AC$9*1000000/SUM('Statistics NZ'!AA$30:AA$110,'Statistics NZ'!AA$130:AA$210,SUM($E$12:$T$13)*(AA$8-AA$9)*1000)</f>
        <v>23960.994931118948</v>
      </c>
      <c r="AB188" s="18">
        <f>SUM(AA$188,'Statistics NZ'!AB$188-'Statistics NZ'!AA$188,$P$13/5*(AB$8-AB$9)*1000)</f>
        <v>24992.27867229707</v>
      </c>
      <c r="AC188" s="18">
        <f>SUM(AB$188,'Statistics NZ'!AC$188-'Statistics NZ'!AB$188,$P$13/5*(AC$8-AC$9)*1000)</f>
        <v>25393.134499749154</v>
      </c>
      <c r="AD188" s="18">
        <f>SUM(AC$188,'Statistics NZ'!AD$188-'Statistics NZ'!AC$188,$P$13/5*(AD$8-AD$9)*1000)</f>
        <v>26523.491094520854</v>
      </c>
      <c r="AE188" s="18">
        <f>SUM(AD$188,'Statistics NZ'!AE$188-'Statistics NZ'!AD$188,$P$13/5*(AE$8-AE$9)*1000)</f>
        <v>27153.491094520854</v>
      </c>
      <c r="AF188" s="18">
        <f>SUM(AE$188,'Statistics NZ'!AF$188-'Statistics NZ'!AE$188,$P$13/5*(AF$8-AF$9)*1000)</f>
        <v>27423.491094520854</v>
      </c>
      <c r="AG188" s="18">
        <f>SUM(AF$188,'Statistics NZ'!AG$188-'Statistics NZ'!AF$188,$P$13/5*(AG$8-AG$9)*1000)</f>
        <v>27203.491094520854</v>
      </c>
      <c r="AH188" s="18">
        <f>SUM(AG$188,'Statistics NZ'!AH$188-'Statistics NZ'!AG$188,$P$13/5*(AH$8-AH$9)*1000)</f>
        <v>26653.491094520854</v>
      </c>
      <c r="AI188" s="18">
        <f>SUM(AH$188,'Statistics NZ'!AI$188-'Statistics NZ'!AH$188,$P$13/5*(AI$8-AI$9)*1000)</f>
        <v>26443.491094520854</v>
      </c>
      <c r="AJ188" s="18">
        <f>SUM(AI$188,'Statistics NZ'!AJ$188-'Statistics NZ'!AI$188,$P$13/5*(AJ$8-AJ$9)*1000)</f>
        <v>26543.491094520854</v>
      </c>
      <c r="AK188" s="18">
        <f>SUM(AJ$188,'Statistics NZ'!AK$188-'Statistics NZ'!AJ$188,$P$13/5*(AK$8-AK$9)*1000)</f>
        <v>27213.491094520854</v>
      </c>
    </row>
    <row r="189" spans="1:37" x14ac:dyDescent="0.25">
      <c r="A189" s="12">
        <f>$A$89</f>
        <v>74</v>
      </c>
      <c r="B189" s="27">
        <f>'Statistics NZ'!B$189*'Economic Forecasts'!D$9*1000000/SUM('Statistics NZ'!B$30:B$110,'Statistics NZ'!B$130:B$210)</f>
        <v>10556.872209008834</v>
      </c>
      <c r="C189" s="27">
        <f>'Statistics NZ'!C$189*'Economic Forecasts'!E$9*1000000/SUM('Statistics NZ'!C$30:C$110,'Statistics NZ'!C$130:C$210)</f>
        <v>10340.542405838152</v>
      </c>
      <c r="D189" s="27">
        <f>'Statistics NZ'!D$189*'Economic Forecasts'!F$9*1000000/SUM('Statistics NZ'!D$30:D$110,'Statistics NZ'!D$130:D$210)</f>
        <v>10510.31436520581</v>
      </c>
      <c r="E189" s="27">
        <f>'Statistics NZ'!E$189*'Economic Forecasts'!G$9*1000000/SUM('Statistics NZ'!E$30:E$110,'Statistics NZ'!E$130:E$210)</f>
        <v>10797.532221647301</v>
      </c>
      <c r="F189" s="27">
        <f>'Statistics NZ'!F$189*'Economic Forecasts'!H$9*1000000/SUM('Statistics NZ'!F$30:F$110,'Statistics NZ'!F$130:F$210)</f>
        <v>10917.229289094295</v>
      </c>
      <c r="G189" s="27">
        <f>'Statistics NZ'!G$189*'Economic Forecasts'!I$9*1000000/SUM('Statistics NZ'!G$30:G$110,'Statistics NZ'!G$130:G$210)</f>
        <v>11462.825126826094</v>
      </c>
      <c r="H189" s="27">
        <f>'Statistics NZ'!H$189*'Economic Forecasts'!J$9*1000000/SUM('Statistics NZ'!H$30:H$110,'Statistics NZ'!H$130:H$210)</f>
        <v>11976.842177481369</v>
      </c>
      <c r="I189" s="27">
        <f>'Statistics NZ'!I$189*'Economic Forecasts'!K$9*1000000/SUM('Statistics NZ'!I$30:I$110,'Statistics NZ'!I$130:I$210)</f>
        <v>12274.051243734631</v>
      </c>
      <c r="J189" s="27">
        <f>'Statistics NZ'!J$189*'Economic Forecasts'!L$9*1000000/SUM('Statistics NZ'!J$30:J$110,'Statistics NZ'!J$130:J$210)</f>
        <v>13623.379494776322</v>
      </c>
      <c r="K189" s="27">
        <f>'Statistics NZ'!K$189*'Economic Forecasts'!M$9*1000000/SUM('Statistics NZ'!K$30:K$110,'Statistics NZ'!K$130:K$210)</f>
        <v>14575.120355678786</v>
      </c>
      <c r="L189" s="27">
        <f>'Statistics NZ'!L$189*'Economic Forecasts'!N$9*1000000/SUM('Statistics NZ'!L$30:L$110,'Statistics NZ'!L$130:L$210)</f>
        <v>14809.391451665255</v>
      </c>
      <c r="M189" s="27">
        <f>'Statistics NZ'!M$189*'Economic Forecasts'!O$9*1000000/SUM('Statistics NZ'!M$30:M$110,'Statistics NZ'!M$130:M$210)</f>
        <v>13442.933606415714</v>
      </c>
      <c r="N189" s="27">
        <f>'Statistics NZ'!N$189*'Economic Forecasts'!P$9*1000000/SUM('Statistics NZ'!N$30:N$110,'Statistics NZ'!N$130:N$210)</f>
        <v>15186.217989246714</v>
      </c>
      <c r="O189" s="27">
        <f>'Statistics NZ'!O$189*'Economic Forecasts'!Q$9*1000000/SUM('Statistics NZ'!O$30:O$110,'Statistics NZ'!O$130:O$210)</f>
        <v>15753.025505081334</v>
      </c>
      <c r="P189" s="27">
        <f>'Statistics NZ'!P$189*'Economic Forecasts'!R$9*1000000/SUM('Statistics NZ'!P$30:P$110,'Statistics NZ'!P$130:P$210)</f>
        <v>16744.148318121031</v>
      </c>
      <c r="Q189" s="27">
        <f>'Statistics NZ'!Q$189*'Economic Forecasts'!S$9*1000000/SUM('Statistics NZ'!Q$30:Q$110,'Statistics NZ'!Q$130:Q$210)</f>
        <v>19887.585362476224</v>
      </c>
      <c r="R189" s="27">
        <f>'Statistics NZ'!R$189*'Economic Forecasts'!T$9*1000000/SUM('Statistics NZ'!R$30:R$110,'Statistics NZ'!R$130:R$210)</f>
        <v>19748.182162561196</v>
      </c>
      <c r="S189" s="27">
        <f>'Statistics NZ'!S$189*'Economic Forecasts'!U$9*1000000/SUM('Statistics NZ'!S$30:S$110,'Statistics NZ'!S$130:S$210)</f>
        <v>19187.026670512088</v>
      </c>
      <c r="T189" s="27">
        <f>'Statistics NZ'!T$189*'Economic Forecasts'!V$9*1000000/SUM('Statistics NZ'!T$30:T$110,'Statistics NZ'!T$130:T$210)</f>
        <v>19745.60250391236</v>
      </c>
      <c r="U189" s="28">
        <f>SUM('Statistics NZ'!U$189,$P$13/5*(U$8-U$9)*1000)*'Economic Forecasts'!W$9*1000000/SUM('Statistics NZ'!U$30:U$110,'Statistics NZ'!U$130:U$210,SUM($E$12:$T$13)*(U$8-U$9)*1000)</f>
        <v>19788.297481005382</v>
      </c>
      <c r="V189" s="28">
        <f>SUM('Statistics NZ'!V$189,$P$13/5*(V$8-V$9)*1000)*'Economic Forecasts'!X$9*1000000/SUM('Statistics NZ'!V$30:V$110,'Statistics NZ'!V$130:V$210,SUM($E$12:$T$13)*(V$8-V$9)*1000)</f>
        <v>20031.876186583286</v>
      </c>
      <c r="W189" s="28">
        <f>SUM('Statistics NZ'!W$189,$P$13/5*(W$8-W$9)*1000)*'Economic Forecasts'!Y$9*1000000/SUM('Statistics NZ'!W$30:W$110,'Statistics NZ'!W$130:W$210,SUM($E$12:$T$13)*(W$8-W$9)*1000)</f>
        <v>20336.34376498012</v>
      </c>
      <c r="X189" s="28">
        <f>SUM('Statistics NZ'!X$189,$P$13/5*(X$8-X$9)*1000)*'Economic Forecasts'!Z$9*1000000/SUM('Statistics NZ'!X$30:X$110,'Statistics NZ'!X$130:X$210,SUM($E$12:$T$13)*(X$8-X$9)*1000)</f>
        <v>21095.018608095947</v>
      </c>
      <c r="Y189" s="28">
        <f>SUM('Statistics NZ'!Y$189,$P$13/5*(Y$8-Y$9)*1000)*'Economic Forecasts'!AA$9*1000000/SUM('Statistics NZ'!Y$30:Y$110,'Statistics NZ'!Y$130:Y$210,SUM($E$12:$T$13)*(Y$8-Y$9)*1000)</f>
        <v>21601.492531579886</v>
      </c>
      <c r="Z189" s="28">
        <f>SUM('Statistics NZ'!Z$189,$P$13/5*(Z$8-Z$9)*1000)*'Economic Forecasts'!AB$9*1000000/SUM('Statistics NZ'!Z$30:Z$110,'Statistics NZ'!Z$130:Z$210,SUM($E$12:$T$13)*(Z$8-Z$9)*1000)</f>
        <v>22270.186910751581</v>
      </c>
      <c r="AA189" s="28">
        <f>SUM('Statistics NZ'!AA$189,$P$13/5*(AA$8-AA$9)*1000)*'Economic Forecasts'!AC$9*1000000/SUM('Statistics NZ'!AA$30:AA$110,'Statistics NZ'!AA$130:AA$210,SUM($E$12:$T$13)*(AA$8-AA$9)*1000)</f>
        <v>22866.16170942007</v>
      </c>
      <c r="AB189" s="18">
        <f>SUM(AA$189,'Statistics NZ'!AB$189-'Statistics NZ'!AA$189,$P$13/5*(AB$8-AB$9)*1000)</f>
        <v>23547.445450598192</v>
      </c>
      <c r="AC189" s="18">
        <f>SUM(AB$189,'Statistics NZ'!AC$189-'Statistics NZ'!AB$189,$P$13/5*(AC$8-AC$9)*1000)</f>
        <v>24568.301278050276</v>
      </c>
      <c r="AD189" s="18">
        <f>SUM(AC$189,'Statistics NZ'!AD$189-'Statistics NZ'!AC$189,$P$13/5*(AD$8-AD$9)*1000)</f>
        <v>24968.657872821976</v>
      </c>
      <c r="AE189" s="18">
        <f>SUM(AD$189,'Statistics NZ'!AE$189-'Statistics NZ'!AD$189,$P$13/5*(AE$8-AE$9)*1000)</f>
        <v>26088.657872821976</v>
      </c>
      <c r="AF189" s="18">
        <f>SUM(AE$189,'Statistics NZ'!AF$189-'Statistics NZ'!AE$189,$P$13/5*(AF$8-AF$9)*1000)</f>
        <v>26728.657872821976</v>
      </c>
      <c r="AG189" s="18">
        <f>SUM(AF$189,'Statistics NZ'!AG$189-'Statistics NZ'!AF$189,$P$13/5*(AG$8-AG$9)*1000)</f>
        <v>26998.657872821976</v>
      </c>
      <c r="AH189" s="18">
        <f>SUM(AG$189,'Statistics NZ'!AH$189-'Statistics NZ'!AG$189,$P$13/5*(AH$8-AH$9)*1000)</f>
        <v>26788.657872821976</v>
      </c>
      <c r="AI189" s="18">
        <f>SUM(AH$189,'Statistics NZ'!AI$189-'Statistics NZ'!AH$189,$P$13/5*(AI$8-AI$9)*1000)</f>
        <v>26258.657872821976</v>
      </c>
      <c r="AJ189" s="18">
        <f>SUM(AI$189,'Statistics NZ'!AJ$189-'Statistics NZ'!AI$189,$P$13/5*(AJ$8-AJ$9)*1000)</f>
        <v>26068.657872821976</v>
      </c>
      <c r="AK189" s="18">
        <f>SUM(AJ$189,'Statistics NZ'!AK$189-'Statistics NZ'!AJ$189,$P$13/5*(AK$8-AK$9)*1000)</f>
        <v>26168.657872821976</v>
      </c>
    </row>
    <row r="190" spans="1:37" x14ac:dyDescent="0.25">
      <c r="A190" s="12">
        <f>$A$90</f>
        <v>75</v>
      </c>
      <c r="B190" s="27">
        <f>'Statistics NZ'!B$190*'Economic Forecasts'!D$9*1000000/SUM('Statistics NZ'!B$30:B$110,'Statistics NZ'!B$130:B$210)</f>
        <v>10537.304327249782</v>
      </c>
      <c r="C190" s="27">
        <f>'Statistics NZ'!C$190*'Economic Forecasts'!E$9*1000000/SUM('Statistics NZ'!C$30:C$110,'Statistics NZ'!C$130:C$210)</f>
        <v>10261.981779772907</v>
      </c>
      <c r="D190" s="27">
        <f>'Statistics NZ'!D$190*'Economic Forecasts'!F$9*1000000/SUM('Statistics NZ'!D$30:D$110,'Statistics NZ'!D$130:D$210)</f>
        <v>10009.35545621002</v>
      </c>
      <c r="E190" s="27">
        <f>'Statistics NZ'!E$190*'Economic Forecasts'!G$9*1000000/SUM('Statistics NZ'!E$30:E$110,'Statistics NZ'!E$130:E$210)</f>
        <v>10150.268709722943</v>
      </c>
      <c r="F190" s="27">
        <f>'Statistics NZ'!F$190*'Economic Forecasts'!H$9*1000000/SUM('Statistics NZ'!F$30:F$110,'Statistics NZ'!F$130:F$210)</f>
        <v>10436.596553096433</v>
      </c>
      <c r="G190" s="27">
        <f>'Statistics NZ'!G$190*'Economic Forecasts'!I$9*1000000/SUM('Statistics NZ'!G$30:G$110,'Statistics NZ'!G$130:G$210)</f>
        <v>10598.447567990879</v>
      </c>
      <c r="H190" s="27">
        <f>'Statistics NZ'!H$190*'Economic Forecasts'!J$9*1000000/SUM('Statistics NZ'!H$30:H$110,'Statistics NZ'!H$130:H$210)</f>
        <v>11112.230108885504</v>
      </c>
      <c r="I190" s="27">
        <f>'Statistics NZ'!I$190*'Economic Forecasts'!K$9*1000000/SUM('Statistics NZ'!I$30:I$110,'Statistics NZ'!I$130:I$210)</f>
        <v>11587.802372279817</v>
      </c>
      <c r="J190" s="27">
        <f>'Statistics NZ'!J$190*'Economic Forecasts'!L$9*1000000/SUM('Statistics NZ'!J$30:J$110,'Statistics NZ'!J$130:J$210)</f>
        <v>11887.544455356006</v>
      </c>
      <c r="K190" s="27">
        <f>'Statistics NZ'!K$190*'Economic Forecasts'!M$9*1000000/SUM('Statistics NZ'!K$30:K$110,'Statistics NZ'!K$130:K$210)</f>
        <v>13202.313428390402</v>
      </c>
      <c r="L190" s="27">
        <f>'Statistics NZ'!L$190*'Economic Forecasts'!N$9*1000000/SUM('Statistics NZ'!L$30:L$110,'Statistics NZ'!L$130:L$210)</f>
        <v>14137.565015001937</v>
      </c>
      <c r="M190" s="27">
        <f>'Statistics NZ'!M$190*'Economic Forecasts'!O$9*1000000/SUM('Statistics NZ'!M$30:M$110,'Statistics NZ'!M$130:M$210)</f>
        <v>14458.969285970392</v>
      </c>
      <c r="N190" s="27">
        <f>'Statistics NZ'!N$190*'Economic Forecasts'!P$9*1000000/SUM('Statistics NZ'!N$30:N$110,'Statistics NZ'!N$130:N$210)</f>
        <v>13062.887252348171</v>
      </c>
      <c r="O190" s="27">
        <f>'Statistics NZ'!O$190*'Economic Forecasts'!Q$9*1000000/SUM('Statistics NZ'!O$30:O$110,'Statistics NZ'!O$130:O$210)</f>
        <v>14820.022124169409</v>
      </c>
      <c r="P190" s="27">
        <f>'Statistics NZ'!P$190*'Economic Forecasts'!R$9*1000000/SUM('Statistics NZ'!P$30:P$110,'Statistics NZ'!P$130:P$210)</f>
        <v>15353.698574744898</v>
      </c>
      <c r="Q190" s="27">
        <f>'Statistics NZ'!Q$190*'Economic Forecasts'!S$9*1000000/SUM('Statistics NZ'!Q$30:Q$110,'Statistics NZ'!Q$130:Q$210)</f>
        <v>16370.456505525633</v>
      </c>
      <c r="R190" s="27">
        <f>'Statistics NZ'!R$190*'Economic Forecasts'!T$9*1000000/SUM('Statistics NZ'!R$30:R$110,'Statistics NZ'!R$130:R$210)</f>
        <v>19273.751359857022</v>
      </c>
      <c r="S190" s="27">
        <f>'Statistics NZ'!S$190*'Economic Forecasts'!U$9*1000000/SUM('Statistics NZ'!S$30:S$110,'Statistics NZ'!S$130:S$210)</f>
        <v>18836.578694794967</v>
      </c>
      <c r="T190" s="27">
        <f>'Statistics NZ'!T$190*'Economic Forecasts'!V$9*1000000/SUM('Statistics NZ'!T$30:T$110,'Statistics NZ'!T$130:T$210)</f>
        <v>18822.176317162233</v>
      </c>
      <c r="U190" s="28">
        <f>SUM('Statistics NZ'!U$190,$Q$13/5*(U$8-U$9)*1000)*'Economic Forecasts'!W$9*1000000/SUM('Statistics NZ'!U$30:U$110,'Statistics NZ'!U$130:U$210,SUM($E$12:$T$13)*(U$8-U$9)*1000)</f>
        <v>19302.005946615416</v>
      </c>
      <c r="V190" s="28">
        <f>SUM('Statistics NZ'!V$190,$Q$13/5*(V$8-V$9)*1000)*'Economic Forecasts'!X$9*1000000/SUM('Statistics NZ'!V$30:V$110,'Statistics NZ'!V$130:V$210,SUM($E$12:$T$13)*(V$8-V$9)*1000)</f>
        <v>19281.334661796864</v>
      </c>
      <c r="W190" s="28">
        <f>SUM('Statistics NZ'!W$190,$Q$13/5*(W$8-W$9)*1000)*'Economic Forecasts'!Y$9*1000000/SUM('Statistics NZ'!W$30:W$110,'Statistics NZ'!W$130:W$210,SUM($E$12:$T$13)*(W$8-W$9)*1000)</f>
        <v>19534.451040277243</v>
      </c>
      <c r="X190" s="28">
        <f>SUM('Statistics NZ'!X$190,$Q$13/5*(X$8-X$9)*1000)*'Economic Forecasts'!Z$9*1000000/SUM('Statistics NZ'!X$30:X$110,'Statistics NZ'!X$130:X$210,SUM($E$12:$T$13)*(X$8-X$9)*1000)</f>
        <v>19863.013341271442</v>
      </c>
      <c r="Y190" s="28">
        <f>SUM('Statistics NZ'!Y$190,$Q$13/5*(Y$8-Y$9)*1000)*'Economic Forecasts'!AA$9*1000000/SUM('Statistics NZ'!Y$30:Y$110,'Statistics NZ'!Y$130:Y$210,SUM($E$12:$T$13)*(Y$8-Y$9)*1000)</f>
        <v>20633.097539512317</v>
      </c>
      <c r="Z190" s="28">
        <f>SUM('Statistics NZ'!Z$190,$Q$13/5*(Z$8-Z$9)*1000)*'Economic Forecasts'!AB$9*1000000/SUM('Statistics NZ'!Z$30:Z$110,'Statistics NZ'!Z$130:Z$210,SUM($E$12:$T$13)*(Z$8-Z$9)*1000)</f>
        <v>21145.440316821419</v>
      </c>
      <c r="AA190" s="28">
        <f>SUM('Statistics NZ'!AA$190,$Q$13/5*(AA$8-AA$9)*1000)*'Economic Forecasts'!AC$9*1000000/SUM('Statistics NZ'!AA$30:AA$110,'Statistics NZ'!AA$130:AA$210,SUM($E$12:$T$13)*(AA$8-AA$9)*1000)</f>
        <v>21819.244553596658</v>
      </c>
      <c r="AB190" s="18">
        <f>SUM(AA$190,'Statistics NZ'!AB$190-'Statistics NZ'!AA$190,$Q$13/5*(AB$8-AB$9)*1000)</f>
        <v>22419.820898941489</v>
      </c>
      <c r="AC190" s="18">
        <f>SUM(AB$190,'Statistics NZ'!AC$190-'Statistics NZ'!AB$190,$Q$13/5*(AC$8-AC$9)*1000)</f>
        <v>23090.205129171376</v>
      </c>
      <c r="AD190" s="18">
        <f>SUM(AC$190,'Statistics NZ'!AD$190-'Statistics NZ'!AC$190,$Q$13/5*(AD$8-AD$9)*1000)</f>
        <v>24110.365225100497</v>
      </c>
      <c r="AE190" s="18">
        <f>SUM(AD$190,'Statistics NZ'!AE$190-'Statistics NZ'!AD$190,$Q$13/5*(AE$8-AE$9)*1000)</f>
        <v>24510.365225100497</v>
      </c>
      <c r="AF190" s="18">
        <f>SUM(AE$190,'Statistics NZ'!AF$190-'Statistics NZ'!AE$190,$Q$13/5*(AF$8-AF$9)*1000)</f>
        <v>25610.365225100497</v>
      </c>
      <c r="AG190" s="18">
        <f>SUM(AF$190,'Statistics NZ'!AG$190-'Statistics NZ'!AF$190,$Q$13/5*(AG$8-AG$9)*1000)</f>
        <v>26250.365225100497</v>
      </c>
      <c r="AH190" s="18">
        <f>SUM(AG$190,'Statistics NZ'!AH$190-'Statistics NZ'!AG$190,$Q$13/5*(AH$8-AH$9)*1000)</f>
        <v>26530.365225100497</v>
      </c>
      <c r="AI190" s="18">
        <f>SUM(AH$190,'Statistics NZ'!AI$190-'Statistics NZ'!AH$190,$Q$13/5*(AI$8-AI$9)*1000)</f>
        <v>26330.365225100497</v>
      </c>
      <c r="AJ190" s="18">
        <f>SUM(AI$190,'Statistics NZ'!AJ$190-'Statistics NZ'!AI$190,$Q$13/5*(AJ$8-AJ$9)*1000)</f>
        <v>25820.365225100497</v>
      </c>
      <c r="AK190" s="18">
        <f>SUM(AJ$190,'Statistics NZ'!AK$190-'Statistics NZ'!AJ$190,$Q$13/5*(AK$8-AK$9)*1000)</f>
        <v>25640.365225100497</v>
      </c>
    </row>
    <row r="191" spans="1:37" x14ac:dyDescent="0.25">
      <c r="A191" s="12">
        <f>$A$91</f>
        <v>76</v>
      </c>
      <c r="B191" s="27">
        <f>'Statistics NZ'!B$191*'Economic Forecasts'!D$9*1000000/SUM('Statistics NZ'!B$30:B$110,'Statistics NZ'!B$130:B$210)</f>
        <v>9823.0766430443637</v>
      </c>
      <c r="C191" s="27">
        <f>'Statistics NZ'!C$191*'Economic Forecasts'!E$9*1000000/SUM('Statistics NZ'!C$30:C$110,'Statistics NZ'!C$130:C$210)</f>
        <v>10193.241231965814</v>
      </c>
      <c r="D191" s="27">
        <f>'Statistics NZ'!D$191*'Economic Forecasts'!F$9*1000000/SUM('Statistics NZ'!D$30:D$110,'Statistics NZ'!D$130:D$210)</f>
        <v>9891.4827717404223</v>
      </c>
      <c r="E191" s="27">
        <f>'Statistics NZ'!E$191*'Economic Forecasts'!G$9*1000000/SUM('Statistics NZ'!E$30:E$110,'Statistics NZ'!E$130:E$210)</f>
        <v>9640.3035185098088</v>
      </c>
      <c r="F191" s="27">
        <f>'Statistics NZ'!F$191*'Economic Forecasts'!H$9*1000000/SUM('Statistics NZ'!F$30:F$110,'Statistics NZ'!F$130:F$210)</f>
        <v>9789.2136842013533</v>
      </c>
      <c r="G191" s="27">
        <f>'Statistics NZ'!G$191*'Economic Forecasts'!I$9*1000000/SUM('Statistics NZ'!G$30:G$110,'Statistics NZ'!G$130:G$210)</f>
        <v>10107.323955016325</v>
      </c>
      <c r="H191" s="27">
        <f>'Statistics NZ'!H$191*'Economic Forecasts'!J$9*1000000/SUM('Statistics NZ'!H$30:H$110,'Statistics NZ'!H$130:H$210)</f>
        <v>10227.967766003367</v>
      </c>
      <c r="I191" s="27">
        <f>'Statistics NZ'!I$191*'Economic Forecasts'!K$9*1000000/SUM('Statistics NZ'!I$30:I$110,'Statistics NZ'!I$130:I$210)</f>
        <v>10695.678839388564</v>
      </c>
      <c r="J191" s="27">
        <f>'Statistics NZ'!J$191*'Economic Forecasts'!L$9*1000000/SUM('Statistics NZ'!J$30:J$110,'Statistics NZ'!J$130:J$210)</f>
        <v>11156.153287060928</v>
      </c>
      <c r="K191" s="27">
        <f>'Statistics NZ'!K$191*'Economic Forecasts'!M$9*1000000/SUM('Statistics NZ'!K$30:K$110,'Statistics NZ'!K$130:K$210)</f>
        <v>11459.530166088129</v>
      </c>
      <c r="L191" s="27">
        <f>'Statistics NZ'!L$191*'Economic Forecasts'!N$9*1000000/SUM('Statistics NZ'!L$30:L$110,'Statistics NZ'!L$130:L$210)</f>
        <v>12774.438911627094</v>
      </c>
      <c r="M191" s="27">
        <f>'Statistics NZ'!M$191*'Economic Forecasts'!O$9*1000000/SUM('Statistics NZ'!M$30:M$110,'Statistics NZ'!M$130:M$210)</f>
        <v>13726.251247830001</v>
      </c>
      <c r="N191" s="27">
        <f>'Statistics NZ'!N$191*'Economic Forecasts'!P$9*1000000/SUM('Statistics NZ'!N$30:N$110,'Statistics NZ'!N$130:N$210)</f>
        <v>13992.456008133247</v>
      </c>
      <c r="O191" s="27">
        <f>'Statistics NZ'!O$191*'Economic Forecasts'!Q$9*1000000/SUM('Statistics NZ'!O$30:O$110,'Statistics NZ'!O$130:O$210)</f>
        <v>12649.561627521669</v>
      </c>
      <c r="P191" s="27">
        <f>'Statistics NZ'!P$191*'Economic Forecasts'!R$9*1000000/SUM('Statistics NZ'!P$30:P$110,'Statistics NZ'!P$130:P$210)</f>
        <v>14394.092413823342</v>
      </c>
      <c r="Q191" s="27">
        <f>'Statistics NZ'!Q$191*'Economic Forecasts'!S$9*1000000/SUM('Statistics NZ'!Q$30:Q$110,'Statistics NZ'!Q$130:Q$210)</f>
        <v>15007.075094685237</v>
      </c>
      <c r="R191" s="27">
        <f>'Statistics NZ'!R$191*'Economic Forecasts'!T$9*1000000/SUM('Statistics NZ'!R$30:R$110,'Statistics NZ'!R$130:R$210)</f>
        <v>15735.2882896884</v>
      </c>
      <c r="S191" s="27">
        <f>'Statistics NZ'!S$191*'Economic Forecasts'!U$9*1000000/SUM('Statistics NZ'!S$30:S$110,'Statistics NZ'!S$130:S$210)</f>
        <v>18359.580061180008</v>
      </c>
      <c r="T191" s="27">
        <f>'Statistics NZ'!T$191*'Economic Forecasts'!V$9*1000000/SUM('Statistics NZ'!T$30:T$110,'Statistics NZ'!T$130:T$210)</f>
        <v>18458.700052164841</v>
      </c>
      <c r="U191" s="28">
        <f>SUM('Statistics NZ'!U$191,$Q$13/5*(U$8-U$9)*1000)*'Economic Forecasts'!W$9*1000000/SUM('Statistics NZ'!U$30:U$110,'Statistics NZ'!U$130:U$210,SUM($E$12:$T$13)*(U$8-U$9)*1000)</f>
        <v>18347.496821551005</v>
      </c>
      <c r="V191" s="28">
        <f>SUM('Statistics NZ'!V$191,$Q$13/5*(V$8-V$9)*1000)*'Economic Forecasts'!X$9*1000000/SUM('Statistics NZ'!V$30:V$110,'Statistics NZ'!V$130:V$210,SUM($E$12:$T$13)*(V$8-V$9)*1000)</f>
        <v>18741.819089807635</v>
      </c>
      <c r="W191" s="28">
        <f>SUM('Statistics NZ'!W$191,$Q$13/5*(W$8-W$9)*1000)*'Economic Forecasts'!Y$9*1000000/SUM('Statistics NZ'!W$30:W$110,'Statistics NZ'!W$130:W$210,SUM($E$12:$T$13)*(W$8-W$9)*1000)</f>
        <v>18742.109650022769</v>
      </c>
      <c r="X191" s="28">
        <f>SUM('Statistics NZ'!X$191,$Q$13/5*(X$8-X$9)*1000)*'Economic Forecasts'!Z$9*1000000/SUM('Statistics NZ'!X$30:X$110,'Statistics NZ'!X$130:X$210,SUM($E$12:$T$13)*(X$8-X$9)*1000)</f>
        <v>19022.802224757877</v>
      </c>
      <c r="Y191" s="28">
        <f>SUM('Statistics NZ'!Y$191,$Q$13/5*(Y$8-Y$9)*1000)*'Economic Forecasts'!AA$9*1000000/SUM('Statistics NZ'!Y$30:Y$110,'Statistics NZ'!Y$130:Y$210,SUM($E$12:$T$13)*(Y$8-Y$9)*1000)</f>
        <v>19372.900368116181</v>
      </c>
      <c r="Z191" s="28">
        <f>SUM('Statistics NZ'!Z$191,$Q$13/5*(Z$8-Z$9)*1000)*'Economic Forecasts'!AB$9*1000000/SUM('Statistics NZ'!Z$30:Z$110,'Statistics NZ'!Z$130:Z$210,SUM($E$12:$T$13)*(Z$8-Z$9)*1000)</f>
        <v>20148.792646237187</v>
      </c>
      <c r="AA191" s="28">
        <f>SUM('Statistics NZ'!AA$191,$Q$13/5*(AA$8-AA$9)*1000)*'Economic Forecasts'!AC$9*1000000/SUM('Statistics NZ'!AA$30:AA$110,'Statistics NZ'!AA$130:AA$210,SUM($E$12:$T$13)*(AA$8-AA$9)*1000)</f>
        <v>20655.9842555416</v>
      </c>
      <c r="AB191" s="18">
        <f>SUM(AA$191,'Statistics NZ'!AB$191-'Statistics NZ'!AA$191,$Q$13/5*(AB$8-AB$9)*1000)</f>
        <v>21336.560600886431</v>
      </c>
      <c r="AC191" s="18">
        <f>SUM(AB$191,'Statistics NZ'!AC$191-'Statistics NZ'!AB$191,$Q$13/5*(AC$8-AC$9)*1000)</f>
        <v>21926.944831116318</v>
      </c>
      <c r="AD191" s="18">
        <f>SUM(AC$191,'Statistics NZ'!AD$191-'Statistics NZ'!AC$191,$Q$13/5*(AD$8-AD$9)*1000)</f>
        <v>22607.104927045439</v>
      </c>
      <c r="AE191" s="18">
        <f>SUM(AD$191,'Statistics NZ'!AE$191-'Statistics NZ'!AD$191,$Q$13/5*(AE$8-AE$9)*1000)</f>
        <v>23597.104927045439</v>
      </c>
      <c r="AF191" s="18">
        <f>SUM(AE$191,'Statistics NZ'!AF$191-'Statistics NZ'!AE$191,$Q$13/5*(AF$8-AF$9)*1000)</f>
        <v>24007.104927045439</v>
      </c>
      <c r="AG191" s="18">
        <f>SUM(AF$191,'Statistics NZ'!AG$191-'Statistics NZ'!AF$191,$Q$13/5*(AG$8-AG$9)*1000)</f>
        <v>25097.104927045439</v>
      </c>
      <c r="AH191" s="18">
        <f>SUM(AG$191,'Statistics NZ'!AH$191-'Statistics NZ'!AG$191,$Q$13/5*(AH$8-AH$9)*1000)</f>
        <v>25727.104927045439</v>
      </c>
      <c r="AI191" s="18">
        <f>SUM(AH$191,'Statistics NZ'!AI$191-'Statistics NZ'!AH$191,$Q$13/5*(AI$8-AI$9)*1000)</f>
        <v>26017.104927045439</v>
      </c>
      <c r="AJ191" s="18">
        <f>SUM(AI$191,'Statistics NZ'!AJ$191-'Statistics NZ'!AI$191,$Q$13/5*(AJ$8-AJ$9)*1000)</f>
        <v>25837.104927045439</v>
      </c>
      <c r="AK191" s="18">
        <f>SUM(AJ$191,'Statistics NZ'!AK$191-'Statistics NZ'!AJ$191,$Q$13/5*(AK$8-AK$9)*1000)</f>
        <v>25347.104927045439</v>
      </c>
    </row>
    <row r="192" spans="1:37" x14ac:dyDescent="0.25">
      <c r="A192" s="12">
        <f>$A$92</f>
        <v>77</v>
      </c>
      <c r="B192" s="27">
        <f>'Statistics NZ'!B$192*'Economic Forecasts'!D$9*1000000/SUM('Statistics NZ'!B$30:B$110,'Statistics NZ'!B$130:B$210)</f>
        <v>9275.1759537908947</v>
      </c>
      <c r="C192" s="27">
        <f>'Statistics NZ'!C$192*'Economic Forecasts'!E$9*1000000/SUM('Statistics NZ'!C$30:C$110,'Statistics NZ'!C$130:C$210)</f>
        <v>9417.4550495714993</v>
      </c>
      <c r="D192" s="27">
        <f>'Statistics NZ'!D$192*'Economic Forecasts'!F$9*1000000/SUM('Statistics NZ'!D$30:D$110,'Statistics NZ'!D$130:D$210)</f>
        <v>9773.610087270823</v>
      </c>
      <c r="E192" s="27">
        <f>'Statistics NZ'!E$192*'Economic Forecasts'!G$9*1000000/SUM('Statistics NZ'!E$30:E$110,'Statistics NZ'!E$130:E$210)</f>
        <v>9483.3911519826888</v>
      </c>
      <c r="F192" s="27">
        <f>'Statistics NZ'!F$192*'Economic Forecasts'!H$9*1000000/SUM('Statistics NZ'!F$30:F$110,'Statistics NZ'!F$130:F$210)</f>
        <v>9279.1544541628064</v>
      </c>
      <c r="G192" s="27">
        <f>'Statistics NZ'!G$192*'Economic Forecasts'!I$9*1000000/SUM('Statistics NZ'!G$30:G$110,'Statistics NZ'!G$130:G$210)</f>
        <v>9439.3958413709315</v>
      </c>
      <c r="H192" s="27">
        <f>'Statistics NZ'!H$192*'Economic Forecasts'!J$9*1000000/SUM('Statistics NZ'!H$30:H$110,'Statistics NZ'!H$130:H$210)</f>
        <v>9707.2354974172194</v>
      </c>
      <c r="I192" s="27">
        <f>'Statistics NZ'!I$192*'Economic Forecasts'!K$9*1000000/SUM('Statistics NZ'!I$30:I$110,'Statistics NZ'!I$130:I$210)</f>
        <v>9823.1624171103012</v>
      </c>
      <c r="J192" s="27">
        <f>'Statistics NZ'!J$192*'Economic Forecasts'!L$9*1000000/SUM('Statistics NZ'!J$30:J$110,'Statistics NZ'!J$130:J$210)</f>
        <v>10278.483885106831</v>
      </c>
      <c r="K192" s="27">
        <f>'Statistics NZ'!K$192*'Economic Forecasts'!M$9*1000000/SUM('Statistics NZ'!K$30:K$110,'Statistics NZ'!K$130:K$210)</f>
        <v>10748.78615408776</v>
      </c>
      <c r="L192" s="27">
        <f>'Statistics NZ'!L$192*'Economic Forecasts'!N$9*1000000/SUM('Statistics NZ'!L$30:L$110,'Statistics NZ'!L$130:L$210)</f>
        <v>11070.531282408541</v>
      </c>
      <c r="M192" s="27">
        <f>'Statistics NZ'!M$192*'Economic Forecasts'!O$9*1000000/SUM('Statistics NZ'!M$30:M$110,'Statistics NZ'!M$130:M$210)</f>
        <v>12338.971762284193</v>
      </c>
      <c r="N192" s="27">
        <f>'Statistics NZ'!N$192*'Economic Forecasts'!P$9*1000000/SUM('Statistics NZ'!N$30:N$110,'Statistics NZ'!N$130:N$210)</f>
        <v>13258.585937776608</v>
      </c>
      <c r="O192" s="27">
        <f>'Statistics NZ'!O$192*'Economic Forecasts'!Q$9*1000000/SUM('Statistics NZ'!O$30:O$110,'Statistics NZ'!O$130:O$210)</f>
        <v>13582.565008433594</v>
      </c>
      <c r="P192" s="27">
        <f>'Statistics NZ'!P$192*'Economic Forecasts'!R$9*1000000/SUM('Statistics NZ'!P$30:P$110,'Statistics NZ'!P$130:P$210)</f>
        <v>12220.29070234798</v>
      </c>
      <c r="Q192" s="27">
        <f>'Statistics NZ'!Q$192*'Economic Forecasts'!S$9*1000000/SUM('Statistics NZ'!Q$30:Q$110,'Statistics NZ'!Q$130:Q$210)</f>
        <v>14009.237975157121</v>
      </c>
      <c r="R192" s="27">
        <f>'Statistics NZ'!R$192*'Economic Forecasts'!T$9*1000000/SUM('Statistics NZ'!R$30:R$110,'Statistics NZ'!R$130:R$210)</f>
        <v>14410.835632139251</v>
      </c>
      <c r="S192" s="27">
        <f>'Statistics NZ'!S$192*'Economic Forecasts'!U$9*1000000/SUM('Statistics NZ'!S$30:S$110,'Statistics NZ'!S$130:S$210)</f>
        <v>14884.304301985276</v>
      </c>
      <c r="T192" s="27">
        <f>'Statistics NZ'!T$192*'Economic Forecasts'!V$9*1000000/SUM('Statistics NZ'!T$30:T$110,'Statistics NZ'!T$130:T$210)</f>
        <v>17957.692227438703</v>
      </c>
      <c r="U192" s="28">
        <f>SUM('Statistics NZ'!U$192,$Q$13/5*(U$8-U$9)*1000)*'Economic Forecasts'!W$9*1000000/SUM('Statistics NZ'!U$30:U$110,'Statistics NZ'!U$130:U$210,SUM($E$12:$T$13)*(U$8-U$9)*1000)</f>
        <v>17934.204210698372</v>
      </c>
      <c r="V192" s="28">
        <f>SUM('Statistics NZ'!V$192,$Q$13/5*(V$8-V$9)*1000)*'Economic Forecasts'!X$9*1000000/SUM('Statistics NZ'!V$30:V$110,'Statistics NZ'!V$130:V$210,SUM($E$12:$T$13)*(V$8-V$9)*1000)</f>
        <v>17751.072312154691</v>
      </c>
      <c r="W192" s="28">
        <f>SUM('Statistics NZ'!W$192,$Q$13/5*(W$8-W$9)*1000)*'Economic Forecasts'!Y$9*1000000/SUM('Statistics NZ'!W$30:W$110,'Statistics NZ'!W$130:W$210,SUM($E$12:$T$13)*(W$8-W$9)*1000)</f>
        <v>18155.190101686123</v>
      </c>
      <c r="X192" s="28">
        <f>SUM('Statistics NZ'!X$192,$Q$13/5*(X$8-X$9)*1000)*'Economic Forecasts'!Z$9*1000000/SUM('Statistics NZ'!X$30:X$110,'Statistics NZ'!X$130:X$210,SUM($E$12:$T$13)*(X$8-X$9)*1000)</f>
        <v>18182.591108244309</v>
      </c>
      <c r="Y192" s="28">
        <f>SUM('Statistics NZ'!Y$192,$Q$13/5*(Y$8-Y$9)*1000)*'Economic Forecasts'!AA$9*1000000/SUM('Statistics NZ'!Y$30:Y$110,'Statistics NZ'!Y$130:Y$210,SUM($E$12:$T$13)*(Y$8-Y$9)*1000)</f>
        <v>18493.69303923515</v>
      </c>
      <c r="Z192" s="28">
        <f>SUM('Statistics NZ'!Z$192,$Q$13/5*(Z$8-Z$9)*1000)*'Economic Forecasts'!AB$9*1000000/SUM('Statistics NZ'!Z$30:Z$110,'Statistics NZ'!Z$130:Z$210,SUM($E$12:$T$13)*(Z$8-Z$9)*1000)</f>
        <v>18859.013307834062</v>
      </c>
      <c r="AA192" s="28">
        <f>SUM('Statistics NZ'!AA$192,$Q$13/5*(AA$8-AA$9)*1000)*'Economic Forecasts'!AC$9*1000000/SUM('Statistics NZ'!AA$30:AA$110,'Statistics NZ'!AA$130:AA$210,SUM($E$12:$T$13)*(AA$8-AA$9)*1000)</f>
        <v>19619.802813576589</v>
      </c>
      <c r="AB192" s="18">
        <f>SUM(AA$192,'Statistics NZ'!AB$192-'Statistics NZ'!AA$192,$Q$13/5*(AB$8-AB$9)*1000)</f>
        <v>20130.37915892142</v>
      </c>
      <c r="AC192" s="18">
        <f>SUM(AB$192,'Statistics NZ'!AC$192-'Statistics NZ'!AB$192,$Q$13/5*(AC$8-AC$9)*1000)</f>
        <v>20800.763389151307</v>
      </c>
      <c r="AD192" s="18">
        <f>SUM(AC$192,'Statistics NZ'!AD$192-'Statistics NZ'!AC$192,$Q$13/5*(AD$8-AD$9)*1000)</f>
        <v>21390.923485080428</v>
      </c>
      <c r="AE192" s="18">
        <f>SUM(AD$192,'Statistics NZ'!AE$192-'Statistics NZ'!AD$192,$Q$13/5*(AE$8-AE$9)*1000)</f>
        <v>22060.923485080428</v>
      </c>
      <c r="AF192" s="18">
        <f>SUM(AE$192,'Statistics NZ'!AF$192-'Statistics NZ'!AE$192,$Q$13/5*(AF$8-AF$9)*1000)</f>
        <v>23040.923485080428</v>
      </c>
      <c r="AG192" s="18">
        <f>SUM(AF$192,'Statistics NZ'!AG$192-'Statistics NZ'!AF$192,$Q$13/5*(AG$8-AG$9)*1000)</f>
        <v>23450.923485080428</v>
      </c>
      <c r="AH192" s="18">
        <f>SUM(AG$192,'Statistics NZ'!AH$192-'Statistics NZ'!AG$192,$Q$13/5*(AH$8-AH$9)*1000)</f>
        <v>24530.923485080428</v>
      </c>
      <c r="AI192" s="18">
        <f>SUM(AH$192,'Statistics NZ'!AI$192-'Statistics NZ'!AH$192,$Q$13/5*(AI$8-AI$9)*1000)</f>
        <v>25160.923485080428</v>
      </c>
      <c r="AJ192" s="18">
        <f>SUM(AI$192,'Statistics NZ'!AJ$192-'Statistics NZ'!AI$192,$Q$13/5*(AJ$8-AJ$9)*1000)</f>
        <v>25450.923485080428</v>
      </c>
      <c r="AK192" s="18">
        <f>SUM(AJ$192,'Statistics NZ'!AK$192-'Statistics NZ'!AJ$192,$Q$13/5*(AK$8-AK$9)*1000)</f>
        <v>25280.923485080428</v>
      </c>
    </row>
    <row r="193" spans="1:37" x14ac:dyDescent="0.25">
      <c r="A193" s="12">
        <f>$A$93</f>
        <v>78</v>
      </c>
      <c r="B193" s="27">
        <f>'Statistics NZ'!B$193*'Economic Forecasts'!D$9*1000000/SUM('Statistics NZ'!B$30:B$110,'Statistics NZ'!B$130:B$210)</f>
        <v>8864.2504368507907</v>
      </c>
      <c r="C193" s="27">
        <f>'Statistics NZ'!C$193*'Economic Forecasts'!E$9*1000000/SUM('Statistics NZ'!C$30:C$110,'Statistics NZ'!C$130:C$210)</f>
        <v>8877.3507453729253</v>
      </c>
      <c r="D193" s="27">
        <f>'Statistics NZ'!D$193*'Economic Forecasts'!F$9*1000000/SUM('Statistics NZ'!D$30:D$110,'Statistics NZ'!D$130:D$210)</f>
        <v>8958.3240196894385</v>
      </c>
      <c r="E193" s="27">
        <f>'Statistics NZ'!E$193*'Economic Forecasts'!G$9*1000000/SUM('Statistics NZ'!E$30:E$110,'Statistics NZ'!E$130:E$210)</f>
        <v>9297.0577167317369</v>
      </c>
      <c r="F193" s="27">
        <f>'Statistics NZ'!F$193*'Economic Forecasts'!H$9*1000000/SUM('Statistics NZ'!F$30:F$110,'Statistics NZ'!F$130:F$210)</f>
        <v>9112.4043212655888</v>
      </c>
      <c r="G193" s="27">
        <f>'Statistics NZ'!G$193*'Economic Forecasts'!I$9*1000000/SUM('Statistics NZ'!G$30:G$110,'Statistics NZ'!G$130:G$210)</f>
        <v>8830.4025612824844</v>
      </c>
      <c r="H193" s="27">
        <f>'Statistics NZ'!H$193*'Economic Forecasts'!J$9*1000000/SUM('Statistics NZ'!H$30:H$110,'Statistics NZ'!H$130:H$210)</f>
        <v>9039.1261716840509</v>
      </c>
      <c r="I193" s="27">
        <f>'Statistics NZ'!I$193*'Economic Forecasts'!K$9*1000000/SUM('Statistics NZ'!I$30:I$110,'Statistics NZ'!I$130:I$210)</f>
        <v>9293.7704305594489</v>
      </c>
      <c r="J193" s="27">
        <f>'Statistics NZ'!J$193*'Economic Forecasts'!L$9*1000000/SUM('Statistics NZ'!J$30:J$110,'Statistics NZ'!J$130:J$210)</f>
        <v>9361.8069541770019</v>
      </c>
      <c r="K193" s="27">
        <f>'Statistics NZ'!K$193*'Economic Forecasts'!M$9*1000000/SUM('Statistics NZ'!K$30:K$110,'Statistics NZ'!K$130:K$210)</f>
        <v>9833.581535895506</v>
      </c>
      <c r="L193" s="27">
        <f>'Statistics NZ'!L$193*'Economic Forecasts'!N$9*1000000/SUM('Statistics NZ'!L$30:L$110,'Statistics NZ'!L$130:L$210)</f>
        <v>10281.865465455956</v>
      </c>
      <c r="M193" s="27">
        <f>'Statistics NZ'!M$193*'Economic Forecasts'!O$9*1000000/SUM('Statistics NZ'!M$30:M$110,'Statistics NZ'!M$130:M$210)</f>
        <v>10717.22250453346</v>
      </c>
      <c r="N193" s="27">
        <f>'Statistics NZ'!N$193*'Economic Forecasts'!P$9*1000000/SUM('Statistics NZ'!N$30:N$110,'Statistics NZ'!N$130:N$210)</f>
        <v>11829.985534149018</v>
      </c>
      <c r="O193" s="27">
        <f>'Statistics NZ'!O$193*'Economic Forecasts'!Q$9*1000000/SUM('Statistics NZ'!O$30:O$110,'Statistics NZ'!O$130:O$210)</f>
        <v>12796.877950823553</v>
      </c>
      <c r="P193" s="27">
        <f>'Statistics NZ'!P$193*'Economic Forecasts'!R$9*1000000/SUM('Statistics NZ'!P$30:P$110,'Statistics NZ'!P$130:P$210)</f>
        <v>13081.977867257134</v>
      </c>
      <c r="Q193" s="27">
        <f>'Statistics NZ'!Q$193*'Economic Forecasts'!S$9*1000000/SUM('Statistics NZ'!Q$30:Q$110,'Statistics NZ'!Q$130:Q$210)</f>
        <v>11776.453925519949</v>
      </c>
      <c r="R193" s="27">
        <f>'Statistics NZ'!R$193*'Economic Forecasts'!T$9*1000000/SUM('Statistics NZ'!R$30:R$110,'Statistics NZ'!R$130:R$210)</f>
        <v>13412.554151449222</v>
      </c>
      <c r="S193" s="27">
        <f>'Statistics NZ'!S$193*'Economic Forecasts'!U$9*1000000/SUM('Statistics NZ'!S$30:S$110,'Statistics NZ'!S$130:S$210)</f>
        <v>13589.593725030378</v>
      </c>
      <c r="T193" s="27">
        <f>'Statistics NZ'!T$193*'Economic Forecasts'!V$9*1000000/SUM('Statistics NZ'!T$30:T$110,'Statistics NZ'!T$130:T$210)</f>
        <v>14489.932185706833</v>
      </c>
      <c r="U193" s="28">
        <f>SUM('Statistics NZ'!U$193,$Q$13/5*(U$8-U$9)*1000)*'Economic Forecasts'!W$9*1000000/SUM('Statistics NZ'!U$30:U$110,'Statistics NZ'!U$130:U$210,SUM($E$12:$T$13)*(U$8-U$9)*1000)</f>
        <v>17363.466795711403</v>
      </c>
      <c r="V193" s="28">
        <f>SUM('Statistics NZ'!V$193,$Q$13/5*(V$8-V$9)*1000)*'Economic Forecasts'!X$9*1000000/SUM('Statistics NZ'!V$30:V$110,'Statistics NZ'!V$130:V$210,SUM($E$12:$T$13)*(V$8-V$9)*1000)</f>
        <v>17280.222358418636</v>
      </c>
      <c r="W193" s="28">
        <f>SUM('Statistics NZ'!W$193,$Q$13/5*(W$8-W$9)*1000)*'Economic Forecasts'!Y$9*1000000/SUM('Statistics NZ'!W$30:W$110,'Statistics NZ'!W$130:W$210,SUM($E$12:$T$13)*(W$8-W$9)*1000)</f>
        <v>17128.080892096994</v>
      </c>
      <c r="X193" s="28">
        <f>SUM('Statistics NZ'!X$193,$Q$13/5*(X$8-X$9)*1000)*'Economic Forecasts'!Z$9*1000000/SUM('Statistics NZ'!X$30:X$110,'Statistics NZ'!X$130:X$210,SUM($E$12:$T$13)*(X$8-X$9)*1000)</f>
        <v>17547.547822507313</v>
      </c>
      <c r="Y193" s="28">
        <f>SUM('Statistics NZ'!Y$193,$Q$13/5*(Y$8-Y$9)*1000)*'Economic Forecasts'!AA$9*1000000/SUM('Statistics NZ'!Y$30:Y$110,'Statistics NZ'!Y$130:Y$210,SUM($E$12:$T$13)*(Y$8-Y$9)*1000)</f>
        <v>17614.485710354118</v>
      </c>
      <c r="Z193" s="28">
        <f>SUM('Statistics NZ'!Z$193,$Q$13/5*(Z$8-Z$9)*1000)*'Economic Forecasts'!AB$9*1000000/SUM('Statistics NZ'!Z$30:Z$110,'Statistics NZ'!Z$130:Z$210,SUM($E$12:$T$13)*(Z$8-Z$9)*1000)</f>
        <v>17930.763026407571</v>
      </c>
      <c r="AA193" s="28">
        <f>SUM('Statistics NZ'!AA$193,$Q$13/5*(AA$8-AA$9)*1000)*'Economic Forecasts'!AC$9*1000000/SUM('Statistics NZ'!AA$30:AA$110,'Statistics NZ'!AA$130:AA$210,SUM($E$12:$T$13)*(AA$8-AA$9)*1000)</f>
        <v>18290.362472942237</v>
      </c>
      <c r="AB193" s="18">
        <f>SUM(AA$193,'Statistics NZ'!AB$193-'Statistics NZ'!AA$193,$Q$13/5*(AB$8-AB$9)*1000)</f>
        <v>19050.938818287068</v>
      </c>
      <c r="AC193" s="18">
        <f>SUM(AB$193,'Statistics NZ'!AC$193-'Statistics NZ'!AB$193,$Q$13/5*(AC$8-AC$9)*1000)</f>
        <v>19571.323048516955</v>
      </c>
      <c r="AD193" s="18">
        <f>SUM(AC$193,'Statistics NZ'!AD$193-'Statistics NZ'!AC$193,$Q$13/5*(AD$8-AD$9)*1000)</f>
        <v>20221.483144446076</v>
      </c>
      <c r="AE193" s="18">
        <f>SUM(AD$193,'Statistics NZ'!AE$193-'Statistics NZ'!AD$193,$Q$13/5*(AE$8-AE$9)*1000)</f>
        <v>20811.483144446076</v>
      </c>
      <c r="AF193" s="18">
        <f>SUM(AE$193,'Statistics NZ'!AF$193-'Statistics NZ'!AE$193,$Q$13/5*(AF$8-AF$9)*1000)</f>
        <v>21471.483144446076</v>
      </c>
      <c r="AG193" s="18">
        <f>SUM(AF$193,'Statistics NZ'!AG$193-'Statistics NZ'!AF$193,$Q$13/5*(AG$8-AG$9)*1000)</f>
        <v>22441.483144446076</v>
      </c>
      <c r="AH193" s="18">
        <f>SUM(AG$193,'Statistics NZ'!AH$193-'Statistics NZ'!AG$193,$Q$13/5*(AH$8-AH$9)*1000)</f>
        <v>22851.483144446076</v>
      </c>
      <c r="AI193" s="18">
        <f>SUM(AH$193,'Statistics NZ'!AI$193-'Statistics NZ'!AH$193,$Q$13/5*(AI$8-AI$9)*1000)</f>
        <v>23911.483144446076</v>
      </c>
      <c r="AJ193" s="18">
        <f>SUM(AI$193,'Statistics NZ'!AJ$193-'Statistics NZ'!AI$193,$Q$13/5*(AJ$8-AJ$9)*1000)</f>
        <v>24541.483144446076</v>
      </c>
      <c r="AK193" s="18">
        <f>SUM(AJ$193,'Statistics NZ'!AK$193-'Statistics NZ'!AJ$193,$Q$13/5*(AK$8-AK$9)*1000)</f>
        <v>24831.483144446076</v>
      </c>
    </row>
    <row r="194" spans="1:37" x14ac:dyDescent="0.25">
      <c r="A194" s="12">
        <f>$A$94</f>
        <v>79</v>
      </c>
      <c r="B194" s="27">
        <f>'Statistics NZ'!B$194*'Economic Forecasts'!D$9*1000000/SUM('Statistics NZ'!B$30:B$110,'Statistics NZ'!B$130:B$210)</f>
        <v>8042.3994029705855</v>
      </c>
      <c r="C194" s="27">
        <f>'Statistics NZ'!C$194*'Economic Forecasts'!E$9*1000000/SUM('Statistics NZ'!C$30:C$110,'Statistics NZ'!C$130:C$210)</f>
        <v>8396.1669107232865</v>
      </c>
      <c r="D194" s="27">
        <f>'Statistics NZ'!D$194*'Economic Forecasts'!F$9*1000000/SUM('Statistics NZ'!D$30:D$110,'Statistics NZ'!D$130:D$210)</f>
        <v>8427.8969395762488</v>
      </c>
      <c r="E194" s="27">
        <f>'Statistics NZ'!E$194*'Economic Forecasts'!G$9*1000000/SUM('Statistics NZ'!E$30:E$110,'Statistics NZ'!E$130:E$210)</f>
        <v>8443.846723740533</v>
      </c>
      <c r="F194" s="27">
        <f>'Statistics NZ'!F$194*'Economic Forecasts'!H$9*1000000/SUM('Statistics NZ'!F$30:F$110,'Statistics NZ'!F$130:F$210)</f>
        <v>8857.3747062463153</v>
      </c>
      <c r="G194" s="27">
        <f>'Statistics NZ'!G$194*'Economic Forecasts'!I$9*1000000/SUM('Statistics NZ'!G$30:G$110,'Statistics NZ'!G$130:G$210)</f>
        <v>8692.8879496496083</v>
      </c>
      <c r="H194" s="27">
        <f>'Statistics NZ'!H$194*'Economic Forecasts'!J$9*1000000/SUM('Statistics NZ'!H$30:H$110,'Statistics NZ'!H$130:H$210)</f>
        <v>8400.4922573802869</v>
      </c>
      <c r="I194" s="27">
        <f>'Statistics NZ'!I$194*'Economic Forecasts'!K$9*1000000/SUM('Statistics NZ'!I$30:I$110,'Statistics NZ'!I$130:I$210)</f>
        <v>8607.5215591046363</v>
      </c>
      <c r="J194" s="27">
        <f>'Statistics NZ'!J$194*'Economic Forecasts'!L$9*1000000/SUM('Statistics NZ'!J$30:J$110,'Statistics NZ'!J$130:J$210)</f>
        <v>8796.1977840288073</v>
      </c>
      <c r="K194" s="27">
        <f>'Statistics NZ'!K$194*'Economic Forecasts'!M$9*1000000/SUM('Statistics NZ'!K$30:K$110,'Statistics NZ'!K$130:K$210)</f>
        <v>8937.849356388193</v>
      </c>
      <c r="L194" s="27">
        <f>'Statistics NZ'!L$194*'Economic Forecasts'!N$9*1000000/SUM('Statistics NZ'!L$30:L$110,'Statistics NZ'!L$130:L$210)</f>
        <v>9395.8334982623055</v>
      </c>
      <c r="M194" s="27">
        <f>'Statistics NZ'!M$194*'Economic Forecasts'!O$9*1000000/SUM('Statistics NZ'!M$30:M$110,'Statistics NZ'!M$130:M$210)</f>
        <v>9828.1912849231176</v>
      </c>
      <c r="N194" s="27">
        <f>'Statistics NZ'!N$194*'Economic Forecasts'!P$9*1000000/SUM('Statistics NZ'!N$30:N$110,'Statistics NZ'!N$130:N$210)</f>
        <v>10283.965919264367</v>
      </c>
      <c r="O194" s="27">
        <f>'Statistics NZ'!O$194*'Economic Forecasts'!Q$9*1000000/SUM('Statistics NZ'!O$30:O$110,'Statistics NZ'!O$130:O$210)</f>
        <v>11343.356894244975</v>
      </c>
      <c r="P194" s="27">
        <f>'Statistics NZ'!P$194*'Economic Forecasts'!R$9*1000000/SUM('Statistics NZ'!P$30:P$110,'Statistics NZ'!P$130:P$210)</f>
        <v>12269.250200354183</v>
      </c>
      <c r="Q194" s="27">
        <f>'Statistics NZ'!Q$194*'Economic Forecasts'!S$9*1000000/SUM('Statistics NZ'!Q$30:Q$110,'Statistics NZ'!Q$130:Q$210)</f>
        <v>12635.976988875851</v>
      </c>
      <c r="R194" s="27">
        <f>'Statistics NZ'!R$194*'Economic Forecasts'!T$9*1000000/SUM('Statistics NZ'!R$30:R$110,'Statistics NZ'!R$130:R$210)</f>
        <v>11178.775788717074</v>
      </c>
      <c r="S194" s="27">
        <f>'Statistics NZ'!S$194*'Economic Forecasts'!U$9*1000000/SUM('Statistics NZ'!S$30:S$110,'Statistics NZ'!S$130:S$210)</f>
        <v>12616.127125816167</v>
      </c>
      <c r="T194" s="27">
        <f>'Statistics NZ'!T$194*'Economic Forecasts'!V$9*1000000/SUM('Statistics NZ'!T$30:T$110,'Statistics NZ'!T$130:T$210)</f>
        <v>13153.911319770474</v>
      </c>
      <c r="U194" s="28">
        <f>SUM('Statistics NZ'!U$194,$Q$13/5*(U$8-U$9)*1000)*'Economic Forecasts'!W$9*1000000/SUM('Statistics NZ'!U$30:U$110,'Statistics NZ'!U$130:U$210,SUM($E$12:$T$13)*(U$8-U$9)*1000)</f>
        <v>13948.88260604799</v>
      </c>
      <c r="V194" s="28">
        <f>SUM('Statistics NZ'!V$194,$Q$13/5*(V$8-V$9)*1000)*'Economic Forecasts'!X$9*1000000/SUM('Statistics NZ'!V$30:V$110,'Statistics NZ'!V$130:V$210,SUM($E$12:$T$13)*(V$8-V$9)*1000)</f>
        <v>16662.231794140069</v>
      </c>
      <c r="W194" s="28">
        <f>SUM('Statistics NZ'!W$194,$Q$13/5*(W$8-W$9)*1000)*'Economic Forecasts'!Y$9*1000000/SUM('Statistics NZ'!W$30:W$110,'Statistics NZ'!W$130:W$210,SUM($E$12:$T$13)*(W$8-W$9)*1000)</f>
        <v>16599.853298594011</v>
      </c>
      <c r="X194" s="28">
        <f>SUM('Statistics NZ'!X$194,$Q$13/5*(X$8-X$9)*1000)*'Economic Forecasts'!Z$9*1000000/SUM('Statistics NZ'!X$30:X$110,'Statistics NZ'!X$130:X$210,SUM($E$12:$T$13)*(X$8-X$9)*1000)</f>
        <v>16482.629081809886</v>
      </c>
      <c r="Y194" s="28">
        <f>SUM('Statistics NZ'!Y$194,$Q$13/5*(Y$8-Y$9)*1000)*'Economic Forecasts'!AA$9*1000000/SUM('Statistics NZ'!Y$30:Y$110,'Statistics NZ'!Y$130:Y$210,SUM($E$12:$T$13)*(Y$8-Y$9)*1000)</f>
        <v>16920.888817570198</v>
      </c>
      <c r="Z194" s="28">
        <f>SUM('Statistics NZ'!Z$194,$Q$13/5*(Z$8-Z$9)*1000)*'Economic Forecasts'!AB$9*1000000/SUM('Statistics NZ'!Z$30:Z$110,'Statistics NZ'!Z$130:Z$210,SUM($E$12:$T$13)*(Z$8-Z$9)*1000)</f>
        <v>17002.512744981075</v>
      </c>
      <c r="AA194" s="28">
        <f>SUM('Statistics NZ'!AA$194,$Q$13/5*(AA$8-AA$9)*1000)*'Economic Forecasts'!AC$9*1000000/SUM('Statistics NZ'!AA$30:AA$110,'Statistics NZ'!AA$130:AA$210,SUM($E$12:$T$13)*(AA$8-AA$9)*1000)</f>
        <v>17322.608107333406</v>
      </c>
      <c r="AB194" s="18">
        <f>SUM(AA$194,'Statistics NZ'!AB$194-'Statistics NZ'!AA$194,$Q$13/5*(AB$8-AB$9)*1000)</f>
        <v>17683.184452678237</v>
      </c>
      <c r="AC194" s="18">
        <f>SUM(AB$194,'Statistics NZ'!AC$194-'Statistics NZ'!AB$194,$Q$13/5*(AC$8-AC$9)*1000)</f>
        <v>18433.568682908124</v>
      </c>
      <c r="AD194" s="18">
        <f>SUM(AC$194,'Statistics NZ'!AD$194-'Statistics NZ'!AC$194,$Q$13/5*(AD$8-AD$9)*1000)</f>
        <v>18943.728778837245</v>
      </c>
      <c r="AE194" s="18">
        <f>SUM(AD$194,'Statistics NZ'!AE$194-'Statistics NZ'!AD$194,$Q$13/5*(AE$8-AE$9)*1000)</f>
        <v>19593.728778837245</v>
      </c>
      <c r="AF194" s="18">
        <f>SUM(AE$194,'Statistics NZ'!AF$194-'Statistics NZ'!AE$194,$Q$13/5*(AF$8-AF$9)*1000)</f>
        <v>20173.728778837245</v>
      </c>
      <c r="AG194" s="18">
        <f>SUM(AF$194,'Statistics NZ'!AG$194-'Statistics NZ'!AF$194,$Q$13/5*(AG$8-AG$9)*1000)</f>
        <v>20823.728778837245</v>
      </c>
      <c r="AH194" s="18">
        <f>SUM(AG$194,'Statistics NZ'!AH$194-'Statistics NZ'!AG$194,$Q$13/5*(AH$8-AH$9)*1000)</f>
        <v>21773.728778837245</v>
      </c>
      <c r="AI194" s="18">
        <f>SUM(AH$194,'Statistics NZ'!AI$194-'Statistics NZ'!AH$194,$Q$13/5*(AI$8-AI$9)*1000)</f>
        <v>22183.728778837245</v>
      </c>
      <c r="AJ194" s="18">
        <f>SUM(AI$194,'Statistics NZ'!AJ$194-'Statistics NZ'!AI$194,$Q$13/5*(AJ$8-AJ$9)*1000)</f>
        <v>23223.728778837245</v>
      </c>
      <c r="AK194" s="18">
        <f>SUM(AJ$194,'Statistics NZ'!AK$194-'Statistics NZ'!AJ$194,$Q$13/5*(AK$8-AK$9)*1000)</f>
        <v>23843.728778837245</v>
      </c>
    </row>
    <row r="195" spans="1:37" x14ac:dyDescent="0.25">
      <c r="A195" s="12">
        <f>$A$95</f>
        <v>80</v>
      </c>
      <c r="B195" s="27">
        <f>'Statistics NZ'!B$195*'Economic Forecasts'!D$9*1000000/SUM('Statistics NZ'!B$30:B$110,'Statistics NZ'!B$130:B$210)</f>
        <v>7357.523541403747</v>
      </c>
      <c r="C195" s="27">
        <f>'Statistics NZ'!C$195*'Economic Forecasts'!E$9*1000000/SUM('Statistics NZ'!C$30:C$110,'Statistics NZ'!C$130:C$210)</f>
        <v>7610.5606500708154</v>
      </c>
      <c r="D195" s="27">
        <f>'Statistics NZ'!D$195*'Economic Forecasts'!F$9*1000000/SUM('Statistics NZ'!D$30:D$110,'Statistics NZ'!D$130:D$210)</f>
        <v>7868.0016883456583</v>
      </c>
      <c r="E195" s="27">
        <f>'Statistics NZ'!E$195*'Economic Forecasts'!G$9*1000000/SUM('Statistics NZ'!E$30:E$110,'Statistics NZ'!E$130:E$210)</f>
        <v>7914.267486711512</v>
      </c>
      <c r="F195" s="27">
        <f>'Statistics NZ'!F$195*'Economic Forecasts'!H$9*1000000/SUM('Statistics NZ'!F$30:F$110,'Statistics NZ'!F$130:F$210)</f>
        <v>7964.7710536788563</v>
      </c>
      <c r="G195" s="27">
        <f>'Statistics NZ'!G$195*'Economic Forecasts'!I$9*1000000/SUM('Statistics NZ'!G$30:G$110,'Statistics NZ'!G$130:G$210)</f>
        <v>8408.0362541243667</v>
      </c>
      <c r="H195" s="27">
        <f>'Statistics NZ'!H$195*'Economic Forecasts'!J$9*1000000/SUM('Statistics NZ'!H$30:H$110,'Statistics NZ'!H$130:H$210)</f>
        <v>8243.2900630901295</v>
      </c>
      <c r="I195" s="27">
        <f>'Statistics NZ'!I$195*'Economic Forecasts'!K$9*1000000/SUM('Statistics NZ'!I$30:I$110,'Statistics NZ'!I$130:I$210)</f>
        <v>7940.8797982628184</v>
      </c>
      <c r="J195" s="27">
        <f>'Statistics NZ'!J$195*'Economic Forecasts'!L$9*1000000/SUM('Statistics NZ'!J$30:J$110,'Statistics NZ'!J$130:J$210)</f>
        <v>8133.0697914412704</v>
      </c>
      <c r="K195" s="27">
        <f>'Statistics NZ'!K$195*'Economic Forecasts'!M$9*1000000/SUM('Statistics NZ'!K$30:K$110,'Statistics NZ'!K$130:K$210)</f>
        <v>8324.4675378125321</v>
      </c>
      <c r="L195" s="27">
        <f>'Statistics NZ'!L$195*'Economic Forecasts'!N$9*1000000/SUM('Statistics NZ'!L$30:L$110,'Statistics NZ'!L$130:L$210)</f>
        <v>8500.0649160445537</v>
      </c>
      <c r="M195" s="27">
        <f>'Statistics NZ'!M$195*'Economic Forecasts'!O$9*1000000/SUM('Statistics NZ'!M$30:M$110,'Statistics NZ'!M$130:M$210)</f>
        <v>8948.9296391546468</v>
      </c>
      <c r="N195" s="27">
        <f>'Statistics NZ'!N$195*'Economic Forecasts'!P$9*1000000/SUM('Statistics NZ'!N$30:N$110,'Statistics NZ'!N$130:N$210)</f>
        <v>9364.1820977507123</v>
      </c>
      <c r="O195" s="27">
        <f>'Statistics NZ'!O$195*'Economic Forecasts'!Q$9*1000000/SUM('Statistics NZ'!O$30:O$110,'Statistics NZ'!O$130:O$210)</f>
        <v>9811.2671319053934</v>
      </c>
      <c r="P195" s="27">
        <f>'Statistics NZ'!P$195*'Economic Forecasts'!R$9*1000000/SUM('Statistics NZ'!P$30:P$110,'Statistics NZ'!P$130:P$210)</f>
        <v>10829.840958971849</v>
      </c>
      <c r="Q195" s="27">
        <f>'Statistics NZ'!Q$195*'Economic Forecasts'!S$9*1000000/SUM('Statistics NZ'!Q$30:Q$110,'Statistics NZ'!Q$130:Q$210)</f>
        <v>11796.213076401693</v>
      </c>
      <c r="R195" s="27">
        <f>'Statistics NZ'!R$195*'Economic Forecasts'!T$9*1000000/SUM('Statistics NZ'!R$30:R$110,'Statistics NZ'!R$130:R$210)</f>
        <v>12028.797643562049</v>
      </c>
      <c r="S195" s="27">
        <f>'Statistics NZ'!S$195*'Economic Forecasts'!U$9*1000000/SUM('Statistics NZ'!S$30:S$110,'Statistics NZ'!S$130:S$210)</f>
        <v>10416.092611592052</v>
      </c>
      <c r="T195" s="27">
        <f>'Statistics NZ'!T$195*'Economic Forecasts'!V$9*1000000/SUM('Statistics NZ'!T$30:T$110,'Statistics NZ'!T$130:T$210)</f>
        <v>12161.719353155971</v>
      </c>
      <c r="U195" s="28">
        <f>SUM('Statistics NZ'!U$195,$R$13/5*(U$8-U$9)*1000)*'Economic Forecasts'!W$9*1000000/SUM('Statistics NZ'!U$30:U$110,'Statistics NZ'!U$130:U$210,SUM($E$12:$T$13)*(U$8-U$9)*1000)</f>
        <v>12604.021357799247</v>
      </c>
      <c r="V195" s="28">
        <f>SUM('Statistics NZ'!V$195,$R$13/5*(V$8-V$9)*1000)*'Economic Forecasts'!X$9*1000000/SUM('Statistics NZ'!V$30:V$110,'Statistics NZ'!V$130:V$210,SUM($E$12:$T$13)*(V$8-V$9)*1000)</f>
        <v>13319.957920780462</v>
      </c>
      <c r="W195" s="28">
        <f>SUM('Statistics NZ'!W$195,$R$13/5*(W$8-W$9)*1000)*'Economic Forecasts'!Y$9*1000000/SUM('Statistics NZ'!W$30:W$110,'Statistics NZ'!W$130:W$210,SUM($E$12:$T$13)*(W$8-W$9)*1000)</f>
        <v>15925.02719250657</v>
      </c>
      <c r="X195" s="28">
        <f>SUM('Statistics NZ'!X$195,$R$13/5*(X$8-X$9)*1000)*'Economic Forecasts'!Z$9*1000000/SUM('Statistics NZ'!X$30:X$110,'Statistics NZ'!X$130:X$210,SUM($E$12:$T$13)*(X$8-X$9)*1000)</f>
        <v>15895.866694038366</v>
      </c>
      <c r="Y195" s="28">
        <f>SUM('Statistics NZ'!Y$195,$R$13/5*(Y$8-Y$9)*1000)*'Economic Forecasts'!AA$9*1000000/SUM('Statistics NZ'!Y$30:Y$110,'Statistics NZ'!Y$130:Y$210,SUM($E$12:$T$13)*(Y$8-Y$9)*1000)</f>
        <v>15816.273573458446</v>
      </c>
      <c r="Z195" s="28">
        <f>SUM('Statistics NZ'!Z$195,$R$13/5*(Z$8-Z$9)*1000)*'Economic Forecasts'!AB$9*1000000/SUM('Statistics NZ'!Z$30:Z$110,'Statistics NZ'!Z$130:Z$210,SUM($E$12:$T$13)*(Z$8-Z$9)*1000)</f>
        <v>16249.529068710141</v>
      </c>
      <c r="AA195" s="28">
        <f>SUM('Statistics NZ'!AA$195,$R$13/5*(AA$8-AA$9)*1000)*'Economic Forecasts'!AC$9*1000000/SUM('Statistics NZ'!AA$30:AA$110,'Statistics NZ'!AA$130:AA$210,SUM($E$12:$T$13)*(AA$8-AA$9)*1000)</f>
        <v>16344.531426048788</v>
      </c>
      <c r="AB195" s="18">
        <f>SUM(AA$195,'Statistics NZ'!AB$195-'Statistics NZ'!AA$195,$R$13/5*(AB$8-AB$9)*1000)</f>
        <v>16664.704864214709</v>
      </c>
      <c r="AC195" s="18">
        <f>SUM(AB$195,'Statistics NZ'!AC$195-'Statistics NZ'!AB$195,$R$13/5*(AC$8-AC$9)*1000)</f>
        <v>17024.820489658658</v>
      </c>
      <c r="AD195" s="18">
        <f>SUM(AC$195,'Statistics NZ'!AD$195-'Statistics NZ'!AC$195,$R$13/5*(AD$8-AD$9)*1000)</f>
        <v>17754.86866692697</v>
      </c>
      <c r="AE195" s="18">
        <f>SUM(AD$195,'Statistics NZ'!AE$195-'Statistics NZ'!AD$195,$R$13/5*(AE$8-AE$9)*1000)</f>
        <v>18254.86866692697</v>
      </c>
      <c r="AF195" s="18">
        <f>SUM(AE$195,'Statistics NZ'!AF$195-'Statistics NZ'!AE$195,$R$13/5*(AF$8-AF$9)*1000)</f>
        <v>18894.86866692697</v>
      </c>
      <c r="AG195" s="18">
        <f>SUM(AF$195,'Statistics NZ'!AG$195-'Statistics NZ'!AF$195,$R$13/5*(AG$8-AG$9)*1000)</f>
        <v>19474.86866692697</v>
      </c>
      <c r="AH195" s="18">
        <f>SUM(AG$195,'Statistics NZ'!AH$195-'Statistics NZ'!AG$195,$R$13/5*(AH$8-AH$9)*1000)</f>
        <v>20114.86866692697</v>
      </c>
      <c r="AI195" s="18">
        <f>SUM(AH$195,'Statistics NZ'!AI$195-'Statistics NZ'!AH$195,$R$13/5*(AI$8-AI$9)*1000)</f>
        <v>21044.86866692697</v>
      </c>
      <c r="AJ195" s="18">
        <f>SUM(AI$195,'Statistics NZ'!AJ$195-'Statistics NZ'!AI$195,$R$13/5*(AJ$8-AJ$9)*1000)</f>
        <v>21454.86866692697</v>
      </c>
      <c r="AK195" s="18">
        <f>SUM(AJ$195,'Statistics NZ'!AK$195-'Statistics NZ'!AJ$195,$R$13/5*(AK$8-AK$9)*1000)</f>
        <v>22474.86866692697</v>
      </c>
    </row>
    <row r="196" spans="1:37" x14ac:dyDescent="0.25">
      <c r="A196" s="12">
        <f>$A$96</f>
        <v>81</v>
      </c>
      <c r="B196" s="27">
        <f>'Statistics NZ'!B$196*'Economic Forecasts'!D$9*1000000/SUM('Statistics NZ'!B$30:B$110,'Statistics NZ'!B$130:B$210)</f>
        <v>6750.919206873119</v>
      </c>
      <c r="C196" s="27">
        <f>'Statistics NZ'!C$196*'Economic Forecasts'!E$9*1000000/SUM('Statistics NZ'!C$30:C$110,'Statistics NZ'!C$130:C$210)</f>
        <v>6864.2347024509691</v>
      </c>
      <c r="D196" s="27">
        <f>'Statistics NZ'!D$196*'Economic Forecasts'!F$9*1000000/SUM('Statistics NZ'!D$30:D$110,'Statistics NZ'!D$130:D$210)</f>
        <v>7082.1837918816718</v>
      </c>
      <c r="E196" s="27">
        <f>'Statistics NZ'!E$196*'Economic Forecasts'!G$9*1000000/SUM('Statistics NZ'!E$30:E$110,'Statistics NZ'!E$130:E$210)</f>
        <v>7355.2671809586536</v>
      </c>
      <c r="F196" s="27">
        <f>'Statistics NZ'!F$196*'Economic Forecasts'!H$9*1000000/SUM('Statistics NZ'!F$30:F$110,'Statistics NZ'!F$130:F$210)</f>
        <v>7415.4764982527286</v>
      </c>
      <c r="G196" s="27">
        <f>'Statistics NZ'!G$196*'Economic Forecasts'!I$9*1000000/SUM('Statistics NZ'!G$30:G$110,'Statistics NZ'!G$130:G$210)</f>
        <v>7514.1912785106779</v>
      </c>
      <c r="H196" s="27">
        <f>'Statistics NZ'!H$196*'Economic Forecasts'!J$9*1000000/SUM('Statistics NZ'!H$30:H$110,'Statistics NZ'!H$130:H$210)</f>
        <v>7899.4102630804109</v>
      </c>
      <c r="I196" s="27">
        <f>'Statistics NZ'!I$196*'Economic Forecasts'!K$9*1000000/SUM('Statistics NZ'!I$30:I$110,'Statistics NZ'!I$130:I$210)</f>
        <v>7744.8086921328722</v>
      </c>
      <c r="J196" s="27">
        <f>'Statistics NZ'!J$196*'Economic Forecasts'!L$9*1000000/SUM('Statistics NZ'!J$30:J$110,'Statistics NZ'!J$130:J$210)</f>
        <v>7450.438034365864</v>
      </c>
      <c r="K196" s="27">
        <f>'Statistics NZ'!K$196*'Economic Forecasts'!M$9*1000000/SUM('Statistics NZ'!K$30:K$110,'Statistics NZ'!K$130:K$210)</f>
        <v>7662.4046225245183</v>
      </c>
      <c r="L196" s="27">
        <f>'Statistics NZ'!L$196*'Economic Forecasts'!N$9*1000000/SUM('Statistics NZ'!L$30:L$110,'Statistics NZ'!L$130:L$210)</f>
        <v>7867.1849394776627</v>
      </c>
      <c r="M196" s="27">
        <f>'Statistics NZ'!M$196*'Economic Forecasts'!O$9*1000000/SUM('Statistics NZ'!M$30:M$110,'Statistics NZ'!M$130:M$210)</f>
        <v>7991.5114026512038</v>
      </c>
      <c r="N196" s="27">
        <f>'Statistics NZ'!N$196*'Economic Forecasts'!P$9*1000000/SUM('Statistics NZ'!N$30:N$110,'Statistics NZ'!N$130:N$210)</f>
        <v>8424.8284076942145</v>
      </c>
      <c r="O196" s="27">
        <f>'Statistics NZ'!O$196*'Economic Forecasts'!Q$9*1000000/SUM('Statistics NZ'!O$30:O$110,'Statistics NZ'!O$130:O$210)</f>
        <v>8858.621574553219</v>
      </c>
      <c r="P196" s="27">
        <f>'Statistics NZ'!P$196*'Economic Forecasts'!R$9*1000000/SUM('Statistics NZ'!P$30:P$110,'Statistics NZ'!P$130:P$210)</f>
        <v>9263.1370227733896</v>
      </c>
      <c r="Q196" s="27">
        <f>'Statistics NZ'!Q$196*'Economic Forecasts'!S$9*1000000/SUM('Statistics NZ'!Q$30:Q$110,'Statistics NZ'!Q$130:Q$210)</f>
        <v>10334.035911152572</v>
      </c>
      <c r="R196" s="27">
        <f>'Statistics NZ'!R$196*'Economic Forecasts'!T$9*1000000/SUM('Statistics NZ'!R$30:R$110,'Statistics NZ'!R$130:R$210)</f>
        <v>11139.239888491724</v>
      </c>
      <c r="S196" s="27">
        <f>'Statistics NZ'!S$196*'Economic Forecasts'!U$9*1000000/SUM('Statistics NZ'!S$30:S$110,'Statistics NZ'!S$130:S$210)</f>
        <v>11185.131224971276</v>
      </c>
      <c r="T196" s="27">
        <f>'Statistics NZ'!T$196*'Economic Forecasts'!V$9*1000000/SUM('Statistics NZ'!T$30:T$110,'Statistics NZ'!T$130:T$210)</f>
        <v>9990.6854460093873</v>
      </c>
      <c r="U196" s="28">
        <f>SUM('Statistics NZ'!U$196,$R$13/5*(U$8-U$9)*1000)*'Economic Forecasts'!W$9*1000000/SUM('Statistics NZ'!U$30:U$110,'Statistics NZ'!U$130:U$210,SUM($E$12:$T$13)*(U$8-U$9)*1000)</f>
        <v>11580.630130926065</v>
      </c>
      <c r="V196" s="28">
        <f>SUM('Statistics NZ'!V$196,$R$13/5*(V$8-V$9)*1000)*'Economic Forecasts'!X$9*1000000/SUM('Statistics NZ'!V$30:V$110,'Statistics NZ'!V$130:V$210,SUM($E$12:$T$13)*(V$8-V$9)*1000)</f>
        <v>11956.454929753138</v>
      </c>
      <c r="W196" s="28">
        <f>SUM('Statistics NZ'!W$196,$R$13/5*(W$8-W$9)*1000)*'Economic Forecasts'!Y$9*1000000/SUM('Statistics NZ'!W$30:W$110,'Statistics NZ'!W$130:W$210,SUM($E$12:$T$13)*(W$8-W$9)*1000)</f>
        <v>12648.059714293622</v>
      </c>
      <c r="X196" s="28">
        <f>SUM('Statistics NZ'!X$196,$R$13/5*(X$8-X$9)*1000)*'Economic Forecasts'!Z$9*1000000/SUM('Statistics NZ'!X$30:X$110,'Statistics NZ'!X$130:X$210,SUM($E$12:$T$13)*(X$8-X$9)*1000)</f>
        <v>15163.124441264905</v>
      </c>
      <c r="Y196" s="28">
        <f>SUM('Statistics NZ'!Y$196,$R$13/5*(Y$8-Y$9)*1000)*'Economic Forecasts'!AA$9*1000000/SUM('Statistics NZ'!Y$30:Y$110,'Statistics NZ'!Y$130:Y$210,SUM($E$12:$T$13)*(Y$8-Y$9)*1000)</f>
        <v>15161.752561958125</v>
      </c>
      <c r="Z196" s="28">
        <f>SUM('Statistics NZ'!Z$196,$R$13/5*(Z$8-Z$9)*1000)*'Economic Forecasts'!AB$9*1000000/SUM('Statistics NZ'!Z$30:Z$110,'Statistics NZ'!Z$130:Z$210,SUM($E$12:$T$13)*(Z$8-Z$9)*1000)</f>
        <v>15106.31556421646</v>
      </c>
      <c r="AA196" s="28">
        <f>SUM('Statistics NZ'!AA$196,$R$13/5*(AA$8-AA$9)*1000)*'Economic Forecasts'!AC$9*1000000/SUM('Statistics NZ'!AA$30:AA$110,'Statistics NZ'!AA$130:AA$210,SUM($E$12:$T$13)*(AA$8-AA$9)*1000)</f>
        <v>15542.957103019249</v>
      </c>
      <c r="AB196" s="18">
        <f>SUM(AA$196,'Statistics NZ'!AB$196-'Statistics NZ'!AA$196,$R$13/5*(AB$8-AB$9)*1000)</f>
        <v>15633.130541185174</v>
      </c>
      <c r="AC196" s="18">
        <f>SUM(AB$196,'Statistics NZ'!AC$196-'Statistics NZ'!AB$196,$R$13/5*(AC$8-AC$9)*1000)</f>
        <v>15953.246166629122</v>
      </c>
      <c r="AD196" s="18">
        <f>SUM(AC$196,'Statistics NZ'!AD$196-'Statistics NZ'!AC$196,$R$13/5*(AD$8-AD$9)*1000)</f>
        <v>16313.294343897434</v>
      </c>
      <c r="AE196" s="18">
        <f>SUM(AD$196,'Statistics NZ'!AE$196-'Statistics NZ'!AD$196,$R$13/5*(AE$8-AE$9)*1000)</f>
        <v>17023.294343897433</v>
      </c>
      <c r="AF196" s="18">
        <f>SUM(AE$196,'Statistics NZ'!AF$196-'Statistics NZ'!AE$196,$R$13/5*(AF$8-AF$9)*1000)</f>
        <v>17513.294343897433</v>
      </c>
      <c r="AG196" s="18">
        <f>SUM(AF$196,'Statistics NZ'!AG$196-'Statistics NZ'!AF$196,$R$13/5*(AG$8-AG$9)*1000)</f>
        <v>18143.294343897433</v>
      </c>
      <c r="AH196" s="18">
        <f>SUM(AG$196,'Statistics NZ'!AH$196-'Statistics NZ'!AG$196,$R$13/5*(AH$8-AH$9)*1000)</f>
        <v>18703.294343897433</v>
      </c>
      <c r="AI196" s="18">
        <f>SUM(AH$196,'Statistics NZ'!AI$196-'Statistics NZ'!AH$196,$R$13/5*(AI$8-AI$9)*1000)</f>
        <v>19333.294343897433</v>
      </c>
      <c r="AJ196" s="18">
        <f>SUM(AI$196,'Statistics NZ'!AJ$196-'Statistics NZ'!AI$196,$R$13/5*(AJ$8-AJ$9)*1000)</f>
        <v>20243.294343897433</v>
      </c>
      <c r="AK196" s="18">
        <f>SUM(AJ$196,'Statistics NZ'!AK$196-'Statistics NZ'!AJ$196,$R$13/5*(AK$8-AK$9)*1000)</f>
        <v>20643.294343897433</v>
      </c>
    </row>
    <row r="197" spans="1:37" x14ac:dyDescent="0.25">
      <c r="A197" s="12">
        <f>$A$97</f>
        <v>82</v>
      </c>
      <c r="B197" s="27">
        <f>'Statistics NZ'!B$197*'Economic Forecasts'!D$9*1000000/SUM('Statistics NZ'!B$30:B$110,'Statistics NZ'!B$130:B$210)</f>
        <v>5772.5251189204928</v>
      </c>
      <c r="C197" s="27">
        <f>'Statistics NZ'!C$197*'Economic Forecasts'!E$9*1000000/SUM('Statistics NZ'!C$30:C$110,'Statistics NZ'!C$130:C$210)</f>
        <v>6284.8500852197712</v>
      </c>
      <c r="D197" s="27">
        <f>'Statistics NZ'!D$197*'Economic Forecasts'!F$9*1000000/SUM('Statistics NZ'!D$30:D$110,'Statistics NZ'!D$130:D$210)</f>
        <v>6345.4795139466851</v>
      </c>
      <c r="E197" s="27">
        <f>'Statistics NZ'!E$197*'Economic Forecasts'!G$9*1000000/SUM('Statistics NZ'!E$30:E$110,'Statistics NZ'!E$130:E$210)</f>
        <v>6590.3193941389527</v>
      </c>
      <c r="F197" s="27">
        <f>'Statistics NZ'!F$197*'Economic Forecasts'!H$9*1000000/SUM('Statistics NZ'!F$30:F$110,'Statistics NZ'!F$130:F$210)</f>
        <v>6826.94661743902</v>
      </c>
      <c r="G197" s="27">
        <f>'Statistics NZ'!G$197*'Economic Forecasts'!I$9*1000000/SUM('Statistics NZ'!G$30:G$110,'Statistics NZ'!G$130:G$210)</f>
        <v>6915.0204706817231</v>
      </c>
      <c r="H197" s="27">
        <f>'Statistics NZ'!H$197*'Economic Forecasts'!J$9*1000000/SUM('Statistics NZ'!H$30:H$110,'Statistics NZ'!H$130:H$210)</f>
        <v>7005.3227830551396</v>
      </c>
      <c r="I197" s="27">
        <f>'Statistics NZ'!I$197*'Economic Forecasts'!K$9*1000000/SUM('Statistics NZ'!I$30:I$110,'Statistics NZ'!I$130:I$210)</f>
        <v>7391.8807010989694</v>
      </c>
      <c r="J197" s="27">
        <f>'Statistics NZ'!J$197*'Economic Forecasts'!L$9*1000000/SUM('Statistics NZ'!J$30:J$110,'Statistics NZ'!J$130:J$210)</f>
        <v>7177.385331535701</v>
      </c>
      <c r="K197" s="27">
        <f>'Statistics NZ'!K$197*'Economic Forecasts'!M$9*1000000/SUM('Statistics NZ'!K$30:K$110,'Statistics NZ'!K$130:K$210)</f>
        <v>6912.7157331542667</v>
      </c>
      <c r="L197" s="27">
        <f>'Statistics NZ'!L$197*'Economic Forecasts'!N$9*1000000/SUM('Statistics NZ'!L$30:L$110,'Statistics NZ'!L$130:L$210)</f>
        <v>7175.885272766136</v>
      </c>
      <c r="M197" s="27">
        <f>'Statistics NZ'!M$197*'Economic Forecasts'!O$9*1000000/SUM('Statistics NZ'!M$30:M$110,'Statistics NZ'!M$130:M$210)</f>
        <v>7385.7978244551468</v>
      </c>
      <c r="N197" s="27">
        <f>'Statistics NZ'!N$197*'Economic Forecasts'!P$9*1000000/SUM('Statistics NZ'!N$30:N$110,'Statistics NZ'!N$130:N$210)</f>
        <v>7465.9048490948726</v>
      </c>
      <c r="O197" s="27">
        <f>'Statistics NZ'!O$197*'Economic Forecasts'!Q$9*1000000/SUM('Statistics NZ'!O$30:O$110,'Statistics NZ'!O$130:O$210)</f>
        <v>7915.7971054211694</v>
      </c>
      <c r="P197" s="27">
        <f>'Statistics NZ'!P$197*'Economic Forecasts'!R$9*1000000/SUM('Statistics NZ'!P$30:P$110,'Statistics NZ'!P$130:P$210)</f>
        <v>8313.3227614530733</v>
      </c>
      <c r="Q197" s="27">
        <f>'Statistics NZ'!Q$197*'Economic Forecasts'!S$9*1000000/SUM('Statistics NZ'!Q$30:Q$110,'Statistics NZ'!Q$130:Q$210)</f>
        <v>8792.8221423764717</v>
      </c>
      <c r="R197" s="27">
        <f>'Statistics NZ'!R$197*'Economic Forecasts'!T$9*1000000/SUM('Statistics NZ'!R$30:R$110,'Statistics NZ'!R$130:R$210)</f>
        <v>9676.4115801538592</v>
      </c>
      <c r="S197" s="27">
        <f>'Statistics NZ'!S$197*'Economic Forecasts'!U$9*1000000/SUM('Statistics NZ'!S$30:S$110,'Statistics NZ'!S$130:S$210)</f>
        <v>10309.011285678487</v>
      </c>
      <c r="T197" s="27">
        <f>'Statistics NZ'!T$197*'Economic Forecasts'!V$9*1000000/SUM('Statistics NZ'!T$30:T$110,'Statistics NZ'!T$130:T$210)</f>
        <v>10589.930099113197</v>
      </c>
      <c r="U197" s="28">
        <f>SUM('Statistics NZ'!U$197,$R$13/5*(U$8-U$9)*1000)*'Economic Forecasts'!W$9*1000000/SUM('Statistics NZ'!U$30:U$110,'Statistics NZ'!U$130:U$210,SUM($E$12:$T$13)*(U$8-U$9)*1000)</f>
        <v>9445.2849748541303</v>
      </c>
      <c r="V197" s="28">
        <f>SUM('Statistics NZ'!V$197,$R$13/5*(V$8-V$9)*1000)*'Economic Forecasts'!X$9*1000000/SUM('Statistics NZ'!V$30:V$110,'Statistics NZ'!V$130:V$210,SUM($E$12:$T$13)*(V$8-V$9)*1000)</f>
        <v>10906.851907883187</v>
      </c>
      <c r="W197" s="28">
        <f>SUM('Statistics NZ'!W$197,$R$13/5*(W$8-W$9)*1000)*'Economic Forecasts'!Y$9*1000000/SUM('Statistics NZ'!W$30:W$110,'Statistics NZ'!W$130:W$210,SUM($E$12:$T$13)*(W$8-W$9)*1000)</f>
        <v>11278.580768174781</v>
      </c>
      <c r="X197" s="28">
        <f>SUM('Statistics NZ'!X$197,$R$13/5*(X$8-X$9)*1000)*'Economic Forecasts'!Z$9*1000000/SUM('Statistics NZ'!X$30:X$110,'Statistics NZ'!X$130:X$210,SUM($E$12:$T$13)*(X$8-X$9)*1000)</f>
        <v>11968.368219172626</v>
      </c>
      <c r="Y197" s="28">
        <f>SUM('Statistics NZ'!Y$197,$R$13/5*(Y$8-Y$9)*1000)*'Economic Forecasts'!AA$9*1000000/SUM('Statistics NZ'!Y$30:Y$110,'Statistics NZ'!Y$130:Y$210,SUM($E$12:$T$13)*(Y$8-Y$9)*1000)</f>
        <v>14360.696995644299</v>
      </c>
      <c r="Z197" s="28">
        <f>SUM('Statistics NZ'!Z$197,$R$13/5*(Z$8-Z$9)*1000)*'Economic Forecasts'!AB$9*1000000/SUM('Statistics NZ'!Z$30:Z$110,'Statistics NZ'!Z$130:Z$210,SUM($E$12:$T$13)*(Z$8-Z$9)*1000)</f>
        <v>14383.257450263192</v>
      </c>
      <c r="AA197" s="28">
        <f>SUM('Statistics NZ'!AA$197,$R$13/5*(AA$8-AA$9)*1000)*'Economic Forecasts'!AC$9*1000000/SUM('Statistics NZ'!AA$30:AA$110,'Statistics NZ'!AA$130:AA$210,SUM($E$12:$T$13)*(AA$8-AA$9)*1000)</f>
        <v>14350.370915097257</v>
      </c>
      <c r="AB197" s="18">
        <f>SUM(AA$197,'Statistics NZ'!AB$197-'Statistics NZ'!AA$197,$R$13/5*(AB$8-AB$9)*1000)</f>
        <v>14770.544353263182</v>
      </c>
      <c r="AC197" s="18">
        <f>SUM(AB$197,'Statistics NZ'!AC$197-'Statistics NZ'!AB$197,$R$13/5*(AC$8-AC$9)*1000)</f>
        <v>14880.65997870713</v>
      </c>
      <c r="AD197" s="18">
        <f>SUM(AC$197,'Statistics NZ'!AD$197-'Statistics NZ'!AC$197,$R$13/5*(AD$8-AD$9)*1000)</f>
        <v>15190.708155975442</v>
      </c>
      <c r="AE197" s="18">
        <f>SUM(AD$197,'Statistics NZ'!AE$197-'Statistics NZ'!AD$197,$R$13/5*(AE$8-AE$9)*1000)</f>
        <v>15550.708155975442</v>
      </c>
      <c r="AF197" s="18">
        <f>SUM(AE$197,'Statistics NZ'!AF$197-'Statistics NZ'!AE$197,$R$13/5*(AF$8-AF$9)*1000)</f>
        <v>16240.708155975442</v>
      </c>
      <c r="AG197" s="18">
        <f>SUM(AF$197,'Statistics NZ'!AG$197-'Statistics NZ'!AF$197,$R$13/5*(AG$8-AG$9)*1000)</f>
        <v>16720.708155975444</v>
      </c>
      <c r="AH197" s="18">
        <f>SUM(AG$197,'Statistics NZ'!AH$197-'Statistics NZ'!AG$197,$R$13/5*(AH$8-AH$9)*1000)</f>
        <v>17330.708155975444</v>
      </c>
      <c r="AI197" s="18">
        <f>SUM(AH$197,'Statistics NZ'!AI$197-'Statistics NZ'!AH$197,$R$13/5*(AI$8-AI$9)*1000)</f>
        <v>17880.708155975444</v>
      </c>
      <c r="AJ197" s="18">
        <f>SUM(AI$197,'Statistics NZ'!AJ$197-'Statistics NZ'!AI$197,$R$13/5*(AJ$8-AJ$9)*1000)</f>
        <v>18490.708155975444</v>
      </c>
      <c r="AK197" s="18">
        <f>SUM(AJ$197,'Statistics NZ'!AK$197-'Statistics NZ'!AJ$197,$R$13/5*(AK$8-AK$9)*1000)</f>
        <v>19380.708155975444</v>
      </c>
    </row>
    <row r="198" spans="1:37" x14ac:dyDescent="0.25">
      <c r="A198" s="12">
        <f>$A$98</f>
        <v>83</v>
      </c>
      <c r="B198" s="27">
        <f>'Statistics NZ'!B$198*'Economic Forecasts'!D$9*1000000/SUM('Statistics NZ'!B$30:B$110,'Statistics NZ'!B$130:B$210)</f>
        <v>5097.4331982331814</v>
      </c>
      <c r="C198" s="27">
        <f>'Statistics NZ'!C$198*'Economic Forecasts'!E$9*1000000/SUM('Statistics NZ'!C$30:C$110,'Statistics NZ'!C$130:C$210)</f>
        <v>5342.1225724368051</v>
      </c>
      <c r="D198" s="27">
        <f>'Statistics NZ'!D$198*'Economic Forecasts'!F$9*1000000/SUM('Statistics NZ'!D$30:D$110,'Statistics NZ'!D$130:D$210)</f>
        <v>5726.6479204812977</v>
      </c>
      <c r="E198" s="27">
        <f>'Statistics NZ'!E$198*'Economic Forecasts'!G$9*1000000/SUM('Statistics NZ'!E$30:E$110,'Statistics NZ'!E$130:E$210)</f>
        <v>5825.3716073192527</v>
      </c>
      <c r="F198" s="27">
        <f>'Statistics NZ'!F$198*'Economic Forecasts'!H$9*1000000/SUM('Statistics NZ'!F$30:F$110,'Statistics NZ'!F$130:F$210)</f>
        <v>6091.2842664218842</v>
      </c>
      <c r="G198" s="27">
        <f>'Statistics NZ'!G$198*'Economic Forecasts'!I$9*1000000/SUM('Statistics NZ'!G$30:G$110,'Statistics NZ'!G$130:G$210)</f>
        <v>6286.3822460742922</v>
      </c>
      <c r="H198" s="27">
        <f>'Statistics NZ'!H$198*'Economic Forecasts'!J$9*1000000/SUM('Statistics NZ'!H$30:H$110,'Statistics NZ'!H$130:H$210)</f>
        <v>6425.6396916101849</v>
      </c>
      <c r="I198" s="27">
        <f>'Statistics NZ'!I$198*'Economic Forecasts'!K$9*1000000/SUM('Statistics NZ'!I$30:I$110,'Statistics NZ'!I$130:I$210)</f>
        <v>6440.9358363687306</v>
      </c>
      <c r="J198" s="27">
        <f>'Statistics NZ'!J$198*'Economic Forecasts'!L$9*1000000/SUM('Statistics NZ'!J$30:J$110,'Statistics NZ'!J$130:J$210)</f>
        <v>6826.317570754064</v>
      </c>
      <c r="K198" s="27">
        <f>'Statistics NZ'!K$198*'Economic Forecasts'!M$9*1000000/SUM('Statistics NZ'!K$30:K$110,'Statistics NZ'!K$130:K$210)</f>
        <v>6640.1015915650842</v>
      </c>
      <c r="L198" s="27">
        <f>'Statistics NZ'!L$198*'Economic Forecasts'!N$9*1000000/SUM('Statistics NZ'!L$30:L$110,'Statistics NZ'!L$130:L$210)</f>
        <v>6435.9025309340777</v>
      </c>
      <c r="M198" s="27">
        <f>'Statistics NZ'!M$198*'Economic Forecasts'!O$9*1000000/SUM('Statistics NZ'!M$30:M$110,'Statistics NZ'!M$130:M$210)</f>
        <v>6701.927655524114</v>
      </c>
      <c r="N198" s="27">
        <f>'Statistics NZ'!N$198*'Economic Forecasts'!P$9*1000000/SUM('Statistics NZ'!N$30:N$110,'Statistics NZ'!N$130:N$210)</f>
        <v>6859.2389242667177</v>
      </c>
      <c r="O198" s="27">
        <f>'Statistics NZ'!O$198*'Economic Forecasts'!Q$9*1000000/SUM('Statistics NZ'!O$30:O$110,'Statistics NZ'!O$130:O$210)</f>
        <v>6933.6882834086173</v>
      </c>
      <c r="P198" s="27">
        <f>'Statistics NZ'!P$198*'Economic Forecasts'!R$9*1000000/SUM('Statistics NZ'!P$30:P$110,'Statistics NZ'!P$130:P$210)</f>
        <v>7392.8841989364782</v>
      </c>
      <c r="Q198" s="27">
        <f>'Statistics NZ'!Q$198*'Economic Forecasts'!S$9*1000000/SUM('Statistics NZ'!Q$30:Q$110,'Statistics NZ'!Q$130:Q$210)</f>
        <v>7804.8645982892276</v>
      </c>
      <c r="R198" s="27">
        <f>'Statistics NZ'!R$198*'Economic Forecasts'!T$9*1000000/SUM('Statistics NZ'!R$30:R$110,'Statistics NZ'!R$130:R$210)</f>
        <v>8164.163396534309</v>
      </c>
      <c r="S198" s="27">
        <f>'Statistics NZ'!S$198*'Economic Forecasts'!U$9*1000000/SUM('Statistics NZ'!S$30:S$110,'Statistics NZ'!S$130:S$210)</f>
        <v>8868.2807188414554</v>
      </c>
      <c r="T198" s="27">
        <f>'Statistics NZ'!T$198*'Economic Forecasts'!V$9*1000000/SUM('Statistics NZ'!T$30:T$110,'Statistics NZ'!T$130:T$210)</f>
        <v>9676.3275952008353</v>
      </c>
      <c r="U198" s="28">
        <f>SUM('Statistics NZ'!U$198,$R$13/5*(U$8-U$9)*1000)*'Economic Forecasts'!W$9*1000000/SUM('Statistics NZ'!U$30:U$110,'Statistics NZ'!U$130:U$210,SUM($E$12:$T$13)*(U$8-U$9)*1000)</f>
        <v>9937.299987773933</v>
      </c>
      <c r="V198" s="28">
        <f>SUM('Statistics NZ'!V$198,$R$13/5*(V$8-V$9)*1000)*'Economic Forecasts'!X$9*1000000/SUM('Statistics NZ'!V$30:V$110,'Statistics NZ'!V$130:V$210,SUM($E$12:$T$13)*(V$8-V$9)*1000)</f>
        <v>8827.2646122156148</v>
      </c>
      <c r="W198" s="28">
        <f>SUM('Statistics NZ'!W$198,$R$13/5*(W$8-W$9)*1000)*'Economic Forecasts'!Y$9*1000000/SUM('Statistics NZ'!W$30:W$110,'Statistics NZ'!W$130:W$210,SUM($E$12:$T$13)*(W$8-W$9)*1000)</f>
        <v>10212.34358869654</v>
      </c>
      <c r="X198" s="28">
        <f>SUM('Statistics NZ'!X$198,$R$13/5*(X$8-X$9)*1000)*'Economic Forecasts'!Z$9*1000000/SUM('Statistics NZ'!X$30:X$110,'Statistics NZ'!X$130:X$210,SUM($E$12:$T$13)*(X$8-X$9)*1000)</f>
        <v>10581.042887254876</v>
      </c>
      <c r="Y198" s="28">
        <f>SUM('Statistics NZ'!Y$198,$R$13/5*(Y$8-Y$9)*1000)*'Economic Forecasts'!AA$9*1000000/SUM('Statistics NZ'!Y$30:Y$110,'Statistics NZ'!Y$130:Y$210,SUM($E$12:$T$13)*(Y$8-Y$9)*1000)</f>
        <v>11254.164433597996</v>
      </c>
      <c r="Z198" s="28">
        <f>SUM('Statistics NZ'!Z$198,$R$13/5*(Z$8-Z$9)*1000)*'Economic Forecasts'!AB$9*1000000/SUM('Statistics NZ'!Z$30:Z$110,'Statistics NZ'!Z$130:Z$210,SUM($E$12:$T$13)*(Z$8-Z$9)*1000)</f>
        <v>13523.404557994441</v>
      </c>
      <c r="AA198" s="28">
        <f>SUM('Statistics NZ'!AA$198,$R$13/5*(AA$8-AA$9)*1000)*'Economic Forecasts'!AC$9*1000000/SUM('Statistics NZ'!AA$30:AA$110,'Statistics NZ'!AA$130:AA$210,SUM($E$12:$T$13)*(AA$8-AA$9)*1000)</f>
        <v>13558.571888690032</v>
      </c>
      <c r="AB198" s="18">
        <f>SUM(AA$198,'Statistics NZ'!AB$198-'Statistics NZ'!AA$198,$R$13/5*(AB$8-AB$9)*1000)</f>
        <v>13528.745326855957</v>
      </c>
      <c r="AC198" s="18">
        <f>SUM(AB$198,'Statistics NZ'!AC$198-'Statistics NZ'!AB$198,$R$13/5*(AC$8-AC$9)*1000)</f>
        <v>13938.860952299905</v>
      </c>
      <c r="AD198" s="18">
        <f>SUM(AC$198,'Statistics NZ'!AD$198-'Statistics NZ'!AC$198,$R$13/5*(AD$8-AD$9)*1000)</f>
        <v>14048.909129568217</v>
      </c>
      <c r="AE198" s="18">
        <f>SUM(AD$198,'Statistics NZ'!AE$198-'Statistics NZ'!AD$198,$R$13/5*(AE$8-AE$9)*1000)</f>
        <v>14358.909129568217</v>
      </c>
      <c r="AF198" s="18">
        <f>SUM(AE$198,'Statistics NZ'!AF$198-'Statistics NZ'!AE$198,$R$13/5*(AF$8-AF$9)*1000)</f>
        <v>14708.909129568217</v>
      </c>
      <c r="AG198" s="18">
        <f>SUM(AF$198,'Statistics NZ'!AG$198-'Statistics NZ'!AF$198,$R$13/5*(AG$8-AG$9)*1000)</f>
        <v>15378.909129568217</v>
      </c>
      <c r="AH198" s="18">
        <f>SUM(AG$198,'Statistics NZ'!AH$198-'Statistics NZ'!AG$198,$R$13/5*(AH$8-AH$9)*1000)</f>
        <v>15848.909129568217</v>
      </c>
      <c r="AI198" s="18">
        <f>SUM(AH$198,'Statistics NZ'!AI$198-'Statistics NZ'!AH$198,$R$13/5*(AI$8-AI$9)*1000)</f>
        <v>16438.909129568216</v>
      </c>
      <c r="AJ198" s="18">
        <f>SUM(AI$198,'Statistics NZ'!AJ$198-'Statistics NZ'!AI$198,$R$13/5*(AJ$8-AJ$9)*1000)</f>
        <v>16968.909129568216</v>
      </c>
      <c r="AK198" s="18">
        <f>SUM(AJ$198,'Statistics NZ'!AK$198-'Statistics NZ'!AJ$198,$R$13/5*(AK$8-AK$9)*1000)</f>
        <v>17568.909129568216</v>
      </c>
    </row>
    <row r="199" spans="1:37" x14ac:dyDescent="0.25">
      <c r="A199" s="12">
        <f>$A$99</f>
        <v>84</v>
      </c>
      <c r="B199" s="27">
        <f>'Statistics NZ'!B$199*'Economic Forecasts'!D$9*1000000/SUM('Statistics NZ'!B$30:B$110,'Statistics NZ'!B$130:B$210)</f>
        <v>4549.5325089797107</v>
      </c>
      <c r="C199" s="27">
        <f>'Statistics NZ'!C$199*'Economic Forecasts'!E$9*1000000/SUM('Statistics NZ'!C$30:C$110,'Statistics NZ'!C$130:C$210)</f>
        <v>4644.8970161077368</v>
      </c>
      <c r="D199" s="27">
        <f>'Statistics NZ'!D$199*'Economic Forecasts'!F$9*1000000/SUM('Statistics NZ'!D$30:D$110,'Statistics NZ'!D$130:D$210)</f>
        <v>4862.2482343709125</v>
      </c>
      <c r="E199" s="27">
        <f>'Statistics NZ'!E$199*'Economic Forecasts'!G$9*1000000/SUM('Statistics NZ'!E$30:E$110,'Statistics NZ'!E$130:E$210)</f>
        <v>5187.9151183028362</v>
      </c>
      <c r="F199" s="27">
        <f>'Statistics NZ'!F$199*'Economic Forecasts'!H$9*1000000/SUM('Statistics NZ'!F$30:F$110,'Statistics NZ'!F$130:F$210)</f>
        <v>5277.1512646295869</v>
      </c>
      <c r="G199" s="27">
        <f>'Statistics NZ'!G$199*'Economic Forecasts'!I$9*1000000/SUM('Statistics NZ'!G$30:G$110,'Statistics NZ'!G$130:G$210)</f>
        <v>5598.8091879099175</v>
      </c>
      <c r="H199" s="27">
        <f>'Statistics NZ'!H$199*'Economic Forecasts'!J$9*1000000/SUM('Statistics NZ'!H$30:H$110,'Statistics NZ'!H$130:H$210)</f>
        <v>5757.5303658770154</v>
      </c>
      <c r="I199" s="27">
        <f>'Statistics NZ'!I$199*'Economic Forecasts'!K$9*1000000/SUM('Statistics NZ'!I$30:I$110,'Statistics NZ'!I$130:I$210)</f>
        <v>5882.1331838983842</v>
      </c>
      <c r="J199" s="27">
        <f>'Statistics NZ'!J$199*'Economic Forecasts'!L$9*1000000/SUM('Statistics NZ'!J$30:J$110,'Statistics NZ'!J$130:J$210)</f>
        <v>5841.377464116691</v>
      </c>
      <c r="K199" s="27">
        <f>'Statistics NZ'!K$199*'Economic Forecasts'!M$9*1000000/SUM('Statistics NZ'!K$30:K$110,'Statistics NZ'!K$130:K$210)</f>
        <v>6309.0701339210773</v>
      </c>
      <c r="L199" s="27">
        <f>'Statistics NZ'!L$199*'Economic Forecasts'!N$9*1000000/SUM('Statistics NZ'!L$30:L$110,'Statistics NZ'!L$130:L$210)</f>
        <v>6085.3843900662623</v>
      </c>
      <c r="M199" s="27">
        <f>'Statistics NZ'!M$199*'Economic Forecasts'!O$9*1000000/SUM('Statistics NZ'!M$30:M$110,'Statistics NZ'!M$130:M$210)</f>
        <v>5900.8226004906201</v>
      </c>
      <c r="N199" s="27">
        <f>'Statistics NZ'!N$199*'Economic Forecasts'!P$9*1000000/SUM('Statistics NZ'!N$30:N$110,'Statistics NZ'!N$130:N$210)</f>
        <v>6164.5085909957661</v>
      </c>
      <c r="O199" s="27">
        <f>'Statistics NZ'!O$199*'Economic Forecasts'!Q$9*1000000/SUM('Statistics NZ'!O$30:O$110,'Statistics NZ'!O$130:O$210)</f>
        <v>6344.4229902010857</v>
      </c>
      <c r="P199" s="27">
        <f>'Statistics NZ'!P$199*'Economic Forecasts'!R$9*1000000/SUM('Statistics NZ'!P$30:P$110,'Statistics NZ'!P$130:P$210)</f>
        <v>6433.2780380149225</v>
      </c>
      <c r="Q199" s="27">
        <f>'Statistics NZ'!Q$199*'Economic Forecasts'!S$9*1000000/SUM('Statistics NZ'!Q$30:Q$110,'Statistics NZ'!Q$130:Q$210)</f>
        <v>6866.3049314063464</v>
      </c>
      <c r="R199" s="27">
        <f>'Statistics NZ'!R$199*'Economic Forecasts'!T$9*1000000/SUM('Statistics NZ'!R$30:R$110,'Statistics NZ'!R$130:R$210)</f>
        <v>7205.4178160696256</v>
      </c>
      <c r="S199" s="27">
        <f>'Statistics NZ'!S$199*'Economic Forecasts'!U$9*1000000/SUM('Statistics NZ'!S$30:S$110,'Statistics NZ'!S$130:S$210)</f>
        <v>7359.4074900594296</v>
      </c>
      <c r="T199" s="27">
        <f>'Statistics NZ'!T$199*'Economic Forecasts'!V$9*1000000/SUM('Statistics NZ'!T$30:T$110,'Statistics NZ'!T$130:T$210)</f>
        <v>8261.7172665623366</v>
      </c>
      <c r="U199" s="28">
        <f>SUM('Statistics NZ'!U$199,$R$13/5*(U$8-U$9)*1000)*'Economic Forecasts'!W$9*1000000/SUM('Statistics NZ'!U$30:U$110,'Statistics NZ'!U$130:U$210,SUM($E$12:$T$13)*(U$8-U$9)*1000)</f>
        <v>8992.6311629679167</v>
      </c>
      <c r="V199" s="28">
        <f>SUM('Statistics NZ'!V$199,$R$13/5*(V$8-V$9)*1000)*'Economic Forecasts'!X$9*1000000/SUM('Statistics NZ'!V$30:V$110,'Statistics NZ'!V$130:V$210,SUM($E$12:$T$13)*(V$8-V$9)*1000)</f>
        <v>9200.0208255899925</v>
      </c>
      <c r="W199" s="28">
        <f>SUM('Statistics NZ'!W$199,$R$13/5*(W$8-W$9)*1000)*'Economic Forecasts'!Y$9*1000000/SUM('Statistics NZ'!W$30:W$110,'Statistics NZ'!W$130:W$210,SUM($E$12:$T$13)*(W$8-W$9)*1000)</f>
        <v>8187.4711469351078</v>
      </c>
      <c r="X199" s="28">
        <f>SUM('Statistics NZ'!X$199,$R$13/5*(X$8-X$9)*1000)*'Economic Forecasts'!Z$9*1000000/SUM('Statistics NZ'!X$30:X$110,'Statistics NZ'!X$130:X$210,SUM($E$12:$T$13)*(X$8-X$9)*1000)</f>
        <v>9496.5843531501578</v>
      </c>
      <c r="Y199" s="28">
        <f>SUM('Statistics NZ'!Y$199,$R$13/5*(Y$8-Y$9)*1000)*'Economic Forecasts'!AA$9*1000000/SUM('Statistics NZ'!Y$30:Y$110,'Statistics NZ'!Y$130:Y$210,SUM($E$12:$T$13)*(Y$8-Y$9)*1000)</f>
        <v>9866.9706480301502</v>
      </c>
      <c r="Z199" s="28">
        <f>SUM('Statistics NZ'!Z$199,$R$13/5*(Z$8-Z$9)*1000)*'Economic Forecasts'!AB$9*1000000/SUM('Statistics NZ'!Z$30:Z$110,'Statistics NZ'!Z$130:Z$210,SUM($E$12:$T$13)*(Z$8-Z$9)*1000)</f>
        <v>10494.377323865887</v>
      </c>
      <c r="AA199" s="28">
        <f>SUM('Statistics NZ'!AA$199,$R$13/5*(AA$8-AA$9)*1000)*'Economic Forecasts'!AC$9*1000000/SUM('Statistics NZ'!AA$30:AA$110,'Statistics NZ'!AA$130:AA$210,SUM($E$12:$T$13)*(AA$8-AA$9)*1000)</f>
        <v>12629.918709570447</v>
      </c>
      <c r="AB199" s="18">
        <f>SUM(AA$199,'Statistics NZ'!AB$199-'Statistics NZ'!AA$199,$R$13/5*(AB$8-AB$9)*1000)</f>
        <v>12670.092147736372</v>
      </c>
      <c r="AC199" s="18">
        <f>SUM(AB$199,'Statistics NZ'!AC$199-'Statistics NZ'!AB$199,$R$13/5*(AC$8-AC$9)*1000)</f>
        <v>12660.20777318032</v>
      </c>
      <c r="AD199" s="18">
        <f>SUM(AC$199,'Statistics NZ'!AD$199-'Statistics NZ'!AC$199,$R$13/5*(AD$8-AD$9)*1000)</f>
        <v>13060.255950448633</v>
      </c>
      <c r="AE199" s="18">
        <f>SUM(AD$199,'Statistics NZ'!AE$199-'Statistics NZ'!AD$199,$R$13/5*(AE$8-AE$9)*1000)</f>
        <v>13170.255950448633</v>
      </c>
      <c r="AF199" s="18">
        <f>SUM(AE$199,'Statistics NZ'!AF$199-'Statistics NZ'!AE$199,$R$13/5*(AF$8-AF$9)*1000)</f>
        <v>13470.255950448633</v>
      </c>
      <c r="AG199" s="18">
        <f>SUM(AF$199,'Statistics NZ'!AG$199-'Statistics NZ'!AF$199,$R$13/5*(AG$8-AG$9)*1000)</f>
        <v>13810.255950448633</v>
      </c>
      <c r="AH199" s="18">
        <f>SUM(AG$199,'Statistics NZ'!AH$199-'Statistics NZ'!AG$199,$R$13/5*(AH$8-AH$9)*1000)</f>
        <v>14450.255950448633</v>
      </c>
      <c r="AI199" s="18">
        <f>SUM(AH$199,'Statistics NZ'!AI$199-'Statistics NZ'!AH$199,$R$13/5*(AI$8-AI$9)*1000)</f>
        <v>14910.255950448633</v>
      </c>
      <c r="AJ199" s="18">
        <f>SUM(AI$199,'Statistics NZ'!AJ$199-'Statistics NZ'!AI$199,$R$13/5*(AJ$8-AJ$9)*1000)</f>
        <v>15470.255950448633</v>
      </c>
      <c r="AK199" s="18">
        <f>SUM(AJ$199,'Statistics NZ'!AK$199-'Statistics NZ'!AJ$199,$R$13/5*(AK$8-AK$9)*1000)</f>
        <v>15990.255950448633</v>
      </c>
    </row>
    <row r="200" spans="1:37" x14ac:dyDescent="0.25">
      <c r="A200" s="12">
        <f>$A$100</f>
        <v>85</v>
      </c>
      <c r="B200" s="27">
        <f>'Statistics NZ'!B$200*'Economic Forecasts'!D$9*1000000/SUM('Statistics NZ'!B$30:B$110,'Statistics NZ'!B$130:B$210)</f>
        <v>3766.8172386176097</v>
      </c>
      <c r="C200" s="27">
        <f>'Statistics NZ'!C$200*'Economic Forecasts'!E$9*1000000/SUM('Statistics NZ'!C$30:C$110,'Statistics NZ'!C$130:C$210)</f>
        <v>4065.512398876539</v>
      </c>
      <c r="D200" s="27">
        <f>'Statistics NZ'!D$200*'Economic Forecasts'!F$9*1000000/SUM('Statistics NZ'!D$30:D$110,'Statistics NZ'!D$130:D$210)</f>
        <v>4174.6575749649255</v>
      </c>
      <c r="E200" s="27">
        <f>'Statistics NZ'!E$200*'Economic Forecasts'!G$9*1000000/SUM('Statistics NZ'!E$30:E$110,'Statistics NZ'!E$130:E$210)</f>
        <v>4354.3181711275229</v>
      </c>
      <c r="F200" s="27">
        <f>'Statistics NZ'!F$200*'Economic Forecasts'!H$9*1000000/SUM('Statistics NZ'!F$30:F$110,'Statistics NZ'!F$130:F$210)</f>
        <v>4669.0037211220879</v>
      </c>
      <c r="G200" s="27">
        <f>'Statistics NZ'!G$200*'Economic Forecasts'!I$9*1000000/SUM('Statistics NZ'!G$30:G$110,'Statistics NZ'!G$130:G$210)</f>
        <v>4744.2541013341925</v>
      </c>
      <c r="H200" s="27">
        <f>'Statistics NZ'!H$200*'Economic Forecasts'!J$9*1000000/SUM('Statistics NZ'!H$30:H$110,'Statistics NZ'!H$130:H$210)</f>
        <v>5069.7707658575773</v>
      </c>
      <c r="I200" s="27">
        <f>'Statistics NZ'!I$200*'Economic Forecasts'!K$9*1000000/SUM('Statistics NZ'!I$30:I$110,'Statistics NZ'!I$130:I$210)</f>
        <v>5176.2772018305777</v>
      </c>
      <c r="J200" s="27">
        <f>'Statistics NZ'!J$200*'Economic Forecasts'!L$9*1000000/SUM('Statistics NZ'!J$30:J$110,'Statistics NZ'!J$130:J$210)</f>
        <v>5305.0239407003</v>
      </c>
      <c r="K200" s="27">
        <f>'Statistics NZ'!K$200*'Economic Forecasts'!M$9*1000000/SUM('Statistics NZ'!K$30:K$110,'Statistics NZ'!K$130:K$210)</f>
        <v>5306.2395416465852</v>
      </c>
      <c r="L200" s="27">
        <f>'Statistics NZ'!L$200*'Economic Forecasts'!N$9*1000000/SUM('Statistics NZ'!L$30:L$110,'Statistics NZ'!L$130:L$210)</f>
        <v>5754.3394792466561</v>
      </c>
      <c r="M200" s="27">
        <f>'Statistics NZ'!M$200*'Economic Forecasts'!O$9*1000000/SUM('Statistics NZ'!M$30:M$110,'Statistics NZ'!M$130:M$210)</f>
        <v>5490.5004991320002</v>
      </c>
      <c r="N200" s="27">
        <f>'Statistics NZ'!N$200*'Economic Forecasts'!P$9*1000000/SUM('Statistics NZ'!N$30:N$110,'Statistics NZ'!N$130:N$210)</f>
        <v>5362.1439807391744</v>
      </c>
      <c r="O200" s="27">
        <f>'Statistics NZ'!O$200*'Economic Forecasts'!Q$9*1000000/SUM('Statistics NZ'!O$30:O$110,'Statistics NZ'!O$130:O$210)</f>
        <v>5656.9468147922998</v>
      </c>
      <c r="P200" s="27">
        <f>'Statistics NZ'!P$200*'Economic Forecasts'!R$9*1000000/SUM('Statistics NZ'!P$30:P$110,'Statistics NZ'!P$130:P$210)</f>
        <v>5806.5964635355385</v>
      </c>
      <c r="Q200" s="27">
        <f>'Statistics NZ'!Q$200*'Economic Forecasts'!S$9*1000000/SUM('Statistics NZ'!Q$30:Q$110,'Statistics NZ'!Q$130:Q$210)</f>
        <v>5947.5044154052093</v>
      </c>
      <c r="R200" s="27">
        <f>'Statistics NZ'!R$200*'Economic Forecasts'!T$9*1000000/SUM('Statistics NZ'!R$30:R$110,'Statistics NZ'!R$130:R$210)</f>
        <v>6197.2523603232585</v>
      </c>
      <c r="S200" s="27">
        <f>'Statistics NZ'!S$200*'Economic Forecasts'!U$9*1000000/SUM('Statistics NZ'!S$30:S$110,'Statistics NZ'!S$130:S$210)</f>
        <v>6444.3488867980732</v>
      </c>
      <c r="T200" s="27">
        <f>'Statistics NZ'!T$200*'Economic Forecasts'!V$9*1000000/SUM('Statistics NZ'!T$30:T$110,'Statistics NZ'!T$130:T$210)</f>
        <v>6807.8122065727703</v>
      </c>
      <c r="U200" s="28">
        <f>SUM('Statistics NZ'!U$200,$S$13/5*(U$8-U$9)*1000)*'Economic Forecasts'!W$9*1000000/SUM('Statistics NZ'!U$30:U$110,'Statistics NZ'!U$130:U$210,SUM($E$12:$T$13)*(U$8-U$9)*1000)</f>
        <v>7595.6033343994995</v>
      </c>
      <c r="V200" s="28">
        <f>SUM('Statistics NZ'!V$200,$S$13/5*(V$8-V$9)*1000)*'Economic Forecasts'!X$9*1000000/SUM('Statistics NZ'!V$30:V$110,'Statistics NZ'!V$130:V$210,SUM($E$12:$T$13)*(V$8-V$9)*1000)</f>
        <v>8238.9483951674047</v>
      </c>
      <c r="W200" s="28">
        <f>SUM('Statistics NZ'!W$200,$S$13/5*(W$8-W$9)*1000)*'Economic Forecasts'!Y$9*1000000/SUM('Statistics NZ'!W$30:W$110,'Statistics NZ'!W$130:W$210,SUM($E$12:$T$13)*(W$8-W$9)*1000)</f>
        <v>8441.8148320764412</v>
      </c>
      <c r="X200" s="28">
        <f>SUM('Statistics NZ'!X$200,$S$13/5*(X$8-X$9)*1000)*'Economic Forecasts'!Z$9*1000000/SUM('Statistics NZ'!X$30:X$110,'Statistics NZ'!X$130:X$210,SUM($E$12:$T$13)*(X$8-X$9)*1000)</f>
        <v>7532.7836956428382</v>
      </c>
      <c r="Y200" s="28">
        <f>SUM('Statistics NZ'!Y$200,$S$13/5*(Y$8-Y$9)*1000)*'Economic Forecasts'!AA$9*1000000/SUM('Statistics NZ'!Y$30:Y$110,'Statistics NZ'!Y$130:Y$210,SUM($E$12:$T$13)*(Y$8-Y$9)*1000)</f>
        <v>8753.2427736951959</v>
      </c>
      <c r="Z200" s="28">
        <f>SUM('Statistics NZ'!Z$200,$S$13/5*(Z$8-Z$9)*1000)*'Economic Forecasts'!AB$9*1000000/SUM('Statistics NZ'!Z$30:Z$110,'Statistics NZ'!Z$130:Z$210,SUM($E$12:$T$13)*(Z$8-Z$9)*1000)</f>
        <v>9106.832047489781</v>
      </c>
      <c r="AA200" s="28">
        <f>SUM('Statistics NZ'!AA$200,$S$13/5*(AA$8-AA$9)*1000)*'Economic Forecasts'!AC$9*1000000/SUM('Statistics NZ'!AA$30:AA$110,'Statistics NZ'!AA$130:AA$210,SUM($E$12:$T$13)*(AA$8-AA$9)*1000)</f>
        <v>9707.0555497927617</v>
      </c>
      <c r="AB200" s="18">
        <f>SUM(AA$200,'Statistics NZ'!AB$200-'Statistics NZ'!AA$200,$S$13/5*(AB$8-AB$9)*1000)</f>
        <v>11737.192551019623</v>
      </c>
      <c r="AC200" s="18">
        <f>SUM(AB$200,'Statistics NZ'!AC$200-'Statistics NZ'!AB$200,$S$13/5*(AC$8-AC$9)*1000)</f>
        <v>11787.283885170866</v>
      </c>
      <c r="AD200" s="18">
        <f>SUM(AC$200,'Statistics NZ'!AD$200-'Statistics NZ'!AC$200,$S$13/5*(AD$8-AD$9)*1000)</f>
        <v>11777.321941067217</v>
      </c>
      <c r="AE200" s="18">
        <f>SUM(AD$200,'Statistics NZ'!AE$200-'Statistics NZ'!AD$200,$S$13/5*(AE$8-AE$9)*1000)</f>
        <v>12157.321941067217</v>
      </c>
      <c r="AF200" s="18">
        <f>SUM(AE$200,'Statistics NZ'!AF$200-'Statistics NZ'!AE$200,$S$13/5*(AF$8-AF$9)*1000)</f>
        <v>12277.321941067217</v>
      </c>
      <c r="AG200" s="18">
        <f>SUM(AF$200,'Statistics NZ'!AG$200-'Statistics NZ'!AF$200,$S$13/5*(AG$8-AG$9)*1000)</f>
        <v>12577.321941067217</v>
      </c>
      <c r="AH200" s="18">
        <f>SUM(AG$200,'Statistics NZ'!AH$200-'Statistics NZ'!AG$200,$S$13/5*(AH$8-AH$9)*1000)</f>
        <v>12897.321941067217</v>
      </c>
      <c r="AI200" s="18">
        <f>SUM(AH$200,'Statistics NZ'!AI$200-'Statistics NZ'!AH$200,$S$13/5*(AI$8-AI$9)*1000)</f>
        <v>13507.321941067217</v>
      </c>
      <c r="AJ200" s="18">
        <f>SUM(AI$200,'Statistics NZ'!AJ$200-'Statistics NZ'!AI$200,$S$13/5*(AJ$8-AJ$9)*1000)</f>
        <v>13937.321941067217</v>
      </c>
      <c r="AK200" s="18">
        <f>SUM(AJ$200,'Statistics NZ'!AK$200-'Statistics NZ'!AJ$200,$S$13/5*(AK$8-AK$9)*1000)</f>
        <v>14487.321941067217</v>
      </c>
    </row>
    <row r="201" spans="1:37" x14ac:dyDescent="0.25">
      <c r="A201" s="12">
        <f>$A$101</f>
        <v>86</v>
      </c>
      <c r="B201" s="27">
        <f>'Statistics NZ'!B$201*'Economic Forecasts'!D$9*1000000/SUM('Statistics NZ'!B$30:B$110,'Statistics NZ'!B$130:B$210)</f>
        <v>3218.9165493641394</v>
      </c>
      <c r="C201" s="27">
        <f>'Statistics NZ'!C$201*'Economic Forecasts'!E$9*1000000/SUM('Statistics NZ'!C$30:C$110,'Statistics NZ'!C$130:C$210)</f>
        <v>3358.4667642893151</v>
      </c>
      <c r="D201" s="27">
        <f>'Statistics NZ'!D$201*'Economic Forecasts'!F$9*1000000/SUM('Statistics NZ'!D$30:D$110,'Statistics NZ'!D$130:D$210)</f>
        <v>3575.4714289111353</v>
      </c>
      <c r="E201" s="27">
        <f>'Statistics NZ'!E$201*'Economic Forecasts'!G$9*1000000/SUM('Statistics NZ'!E$30:E$110,'Statistics NZ'!E$130:E$210)</f>
        <v>3716.8616821111059</v>
      </c>
      <c r="F201" s="27">
        <f>'Statistics NZ'!F$201*'Economic Forecasts'!H$9*1000000/SUM('Statistics NZ'!F$30:F$110,'Statistics NZ'!F$130:F$210)</f>
        <v>3894.1060447173718</v>
      </c>
      <c r="G201" s="27">
        <f>'Statistics NZ'!G$201*'Economic Forecasts'!I$9*1000000/SUM('Statistics NZ'!G$30:G$110,'Statistics NZ'!G$130:G$210)</f>
        <v>4174.55071028371</v>
      </c>
      <c r="H201" s="27">
        <f>'Statistics NZ'!H$201*'Economic Forecasts'!J$9*1000000/SUM('Statistics NZ'!H$30:H$110,'Statistics NZ'!H$130:H$210)</f>
        <v>4234.6341086911152</v>
      </c>
      <c r="I201" s="27">
        <f>'Statistics NZ'!I$201*'Economic Forecasts'!K$9*1000000/SUM('Statistics NZ'!I$30:I$110,'Statistics NZ'!I$130:I$210)</f>
        <v>4519.4389962952591</v>
      </c>
      <c r="J201" s="27">
        <f>'Statistics NZ'!J$201*'Economic Forecasts'!L$9*1000000/SUM('Statistics NZ'!J$30:J$110,'Statistics NZ'!J$130:J$210)</f>
        <v>4612.6403013809604</v>
      </c>
      <c r="K201" s="27">
        <f>'Statistics NZ'!K$201*'Economic Forecasts'!M$9*1000000/SUM('Statistics NZ'!K$30:K$110,'Statistics NZ'!K$130:K$210)</f>
        <v>4731.8026004408075</v>
      </c>
      <c r="L201" s="27">
        <f>'Statistics NZ'!L$201*'Economic Forecasts'!N$9*1000000/SUM('Statistics NZ'!L$30:L$110,'Statistics NZ'!L$130:L$210)</f>
        <v>4761.2047467878419</v>
      </c>
      <c r="M201" s="27">
        <f>'Statistics NZ'!M$201*'Economic Forecasts'!O$9*1000000/SUM('Statistics NZ'!M$30:M$110,'Statistics NZ'!M$130:M$210)</f>
        <v>5168.1045623502268</v>
      </c>
      <c r="N201" s="27">
        <f>'Statistics NZ'!N$201*'Economic Forecasts'!P$9*1000000/SUM('Statistics NZ'!N$30:N$110,'Statistics NZ'!N$130:N$210)</f>
        <v>4912.0370042537697</v>
      </c>
      <c r="O201" s="27">
        <f>'Statistics NZ'!O$201*'Economic Forecasts'!Q$9*1000000/SUM('Statistics NZ'!O$30:O$110,'Statistics NZ'!O$130:O$210)</f>
        <v>4871.259757182258</v>
      </c>
      <c r="P201" s="27">
        <f>'Statistics NZ'!P$201*'Economic Forecasts'!R$9*1000000/SUM('Statistics NZ'!P$30:P$110,'Statistics NZ'!P$130:P$210)</f>
        <v>5111.3715918474727</v>
      </c>
      <c r="Q201" s="27">
        <f>'Statistics NZ'!Q$201*'Economic Forecasts'!S$9*1000000/SUM('Statistics NZ'!Q$30:Q$110,'Statistics NZ'!Q$130:Q$210)</f>
        <v>5315.2115871893729</v>
      </c>
      <c r="R201" s="27">
        <f>'Statistics NZ'!R$201*'Economic Forecasts'!T$9*1000000/SUM('Statistics NZ'!R$30:R$110,'Statistics NZ'!R$130:R$210)</f>
        <v>5357.1144805346185</v>
      </c>
      <c r="S201" s="27">
        <f>'Statistics NZ'!S$201*'Economic Forecasts'!U$9*1000000/SUM('Statistics NZ'!S$30:S$110,'Statistics NZ'!S$130:S$210)</f>
        <v>5490.3516195681468</v>
      </c>
      <c r="T201" s="27">
        <f>'Statistics NZ'!T$201*'Economic Forecasts'!V$9*1000000/SUM('Statistics NZ'!T$30:T$110,'Statistics NZ'!T$130:T$210)</f>
        <v>5904.0333854981736</v>
      </c>
      <c r="U201" s="28">
        <f>SUM('Statistics NZ'!U$201,$S$13/5*(U$8-U$9)*1000)*'Economic Forecasts'!W$9*1000000/SUM('Statistics NZ'!U$30:U$110,'Statistics NZ'!U$130:U$210,SUM($E$12:$T$13)*(U$8-U$9)*1000)</f>
        <v>6178.6000971904768</v>
      </c>
      <c r="V201" s="28">
        <f>SUM('Statistics NZ'!V$201,$S$13/5*(V$8-V$9)*1000)*'Economic Forecasts'!X$9*1000000/SUM('Statistics NZ'!V$30:V$110,'Statistics NZ'!V$130:V$210,SUM($E$12:$T$13)*(V$8-V$9)*1000)</f>
        <v>6875.4454041400832</v>
      </c>
      <c r="W201" s="28">
        <f>SUM('Statistics NZ'!W$201,$S$13/5*(W$8-W$9)*1000)*'Economic Forecasts'!Y$9*1000000/SUM('Statistics NZ'!W$30:W$110,'Statistics NZ'!W$130:W$210,SUM($E$12:$T$13)*(W$8-W$9)*1000)</f>
        <v>7463.615584848696</v>
      </c>
      <c r="X201" s="28">
        <f>SUM('Statistics NZ'!X$201,$S$13/5*(X$8-X$9)*1000)*'Economic Forecasts'!Z$9*1000000/SUM('Statistics NZ'!X$30:X$110,'Statistics NZ'!X$130:X$210,SUM($E$12:$T$13)*(X$8-X$9)*1000)</f>
        <v>7679.3321461975302</v>
      </c>
      <c r="Y201" s="28">
        <f>SUM('Statistics NZ'!Y$201,$S$13/5*(Y$8-Y$9)*1000)*'Economic Forecasts'!AA$9*1000000/SUM('Statistics NZ'!Y$30:Y$110,'Statistics NZ'!Y$130:Y$210,SUM($E$12:$T$13)*(Y$8-Y$9)*1000)</f>
        <v>6867.831501761435</v>
      </c>
      <c r="Z201" s="28">
        <f>SUM('Statistics NZ'!Z$201,$S$13/5*(Z$8-Z$9)*1000)*'Economic Forecasts'!AB$9*1000000/SUM('Statistics NZ'!Z$30:Z$110,'Statistics NZ'!Z$130:Z$210,SUM($E$12:$T$13)*(Z$8-Z$9)*1000)</f>
        <v>7992.9317097779922</v>
      </c>
      <c r="AA201" s="28">
        <f>SUM('Statistics NZ'!AA$201,$S$13/5*(AA$8-AA$9)*1000)*'Economic Forecasts'!AC$9*1000000/SUM('Statistics NZ'!AA$30:AA$110,'Statistics NZ'!AA$130:AA$210,SUM($E$12:$T$13)*(AA$8-AA$9)*1000)</f>
        <v>8318.9634294245407</v>
      </c>
      <c r="AB201" s="18">
        <f>SUM(AA$201,'Statistics NZ'!AB$201-'Statistics NZ'!AA$201,$S$13/5*(AB$8-AB$9)*1000)</f>
        <v>8889.1004306514023</v>
      </c>
      <c r="AC201" s="18">
        <f>SUM(AB$201,'Statistics NZ'!AC$201-'Statistics NZ'!AB$201,$S$13/5*(AC$8-AC$9)*1000)</f>
        <v>10749.191764802645</v>
      </c>
      <c r="AD201" s="18">
        <f>SUM(AC$201,'Statistics NZ'!AD$201-'Statistics NZ'!AC$201,$S$13/5*(AD$8-AD$9)*1000)</f>
        <v>10809.229820698996</v>
      </c>
      <c r="AE201" s="18">
        <f>SUM(AD$201,'Statistics NZ'!AE$201-'Statistics NZ'!AD$201,$S$13/5*(AE$8-AE$9)*1000)</f>
        <v>10819.229820698996</v>
      </c>
      <c r="AF201" s="18">
        <f>SUM(AE$201,'Statistics NZ'!AF$201-'Statistics NZ'!AE$201,$S$13/5*(AF$8-AF$9)*1000)</f>
        <v>11179.229820698996</v>
      </c>
      <c r="AG201" s="18">
        <f>SUM(AF$201,'Statistics NZ'!AG$201-'Statistics NZ'!AF$201,$S$13/5*(AG$8-AG$9)*1000)</f>
        <v>11299.229820698996</v>
      </c>
      <c r="AH201" s="18">
        <f>SUM(AG$201,'Statistics NZ'!AH$201-'Statistics NZ'!AG$201,$S$13/5*(AH$8-AH$9)*1000)</f>
        <v>11579.229820698996</v>
      </c>
      <c r="AI201" s="18">
        <f>SUM(AH$201,'Statistics NZ'!AI$201-'Statistics NZ'!AH$201,$S$13/5*(AI$8-AI$9)*1000)</f>
        <v>11889.229820698996</v>
      </c>
      <c r="AJ201" s="18">
        <f>SUM(AI$201,'Statistics NZ'!AJ$201-'Statistics NZ'!AI$201,$S$13/5*(AJ$8-AJ$9)*1000)</f>
        <v>12469.229820698996</v>
      </c>
      <c r="AK201" s="18">
        <f>SUM(AJ$201,'Statistics NZ'!AK$201-'Statistics NZ'!AJ$201,$S$13/5*(AK$8-AK$9)*1000)</f>
        <v>12879.229820698996</v>
      </c>
    </row>
    <row r="202" spans="1:37" x14ac:dyDescent="0.25">
      <c r="A202" s="12">
        <f>$A$102</f>
        <v>87</v>
      </c>
      <c r="B202" s="27">
        <f>'Statistics NZ'!B$202*'Economic Forecasts'!D$9*1000000/SUM('Statistics NZ'!B$30:B$110,'Statistics NZ'!B$130:B$210)</f>
        <v>2328.5779293272494</v>
      </c>
      <c r="C202" s="27">
        <f>'Statistics NZ'!C$202*'Economic Forecasts'!E$9*1000000/SUM('Statistics NZ'!C$30:C$110,'Statistics NZ'!C$130:C$210)</f>
        <v>2798.7223035744291</v>
      </c>
      <c r="D202" s="27">
        <f>'Statistics NZ'!D$202*'Economic Forecasts'!F$9*1000000/SUM('Statistics NZ'!D$30:D$110,'Statistics NZ'!D$130:D$210)</f>
        <v>2927.1716643283471</v>
      </c>
      <c r="E202" s="27">
        <f>'Statistics NZ'!E$202*'Economic Forecasts'!G$9*1000000/SUM('Statistics NZ'!E$30:E$110,'Statistics NZ'!E$130:E$210)</f>
        <v>3138.2473305423591</v>
      </c>
      <c r="F202" s="27">
        <f>'Statistics NZ'!F$202*'Economic Forecasts'!H$9*1000000/SUM('Statistics NZ'!F$30:F$110,'Statistics NZ'!F$130:F$210)</f>
        <v>3266.3408385160828</v>
      </c>
      <c r="G202" s="27">
        <f>'Statistics NZ'!G$202*'Economic Forecasts'!I$9*1000000/SUM('Statistics NZ'!G$30:G$110,'Statistics NZ'!G$130:G$210)</f>
        <v>3418.2203463028968</v>
      </c>
      <c r="H202" s="27">
        <f>'Statistics NZ'!H$202*'Economic Forecasts'!J$9*1000000/SUM('Statistics NZ'!H$30:H$110,'Statistics NZ'!H$130:H$210)</f>
        <v>3694.251565818699</v>
      </c>
      <c r="I202" s="27">
        <f>'Statistics NZ'!I$202*'Economic Forecasts'!K$9*1000000/SUM('Statistics NZ'!I$30:I$110,'Statistics NZ'!I$130:I$210)</f>
        <v>3686.1367952429878</v>
      </c>
      <c r="J202" s="27">
        <f>'Statistics NZ'!J$202*'Economic Forecasts'!L$9*1000000/SUM('Statistics NZ'!J$30:J$110,'Statistics NZ'!J$130:J$210)</f>
        <v>3959.2641910373563</v>
      </c>
      <c r="K202" s="27">
        <f>'Statistics NZ'!K$202*'Economic Forecasts'!M$9*1000000/SUM('Statistics NZ'!K$30:K$110,'Statistics NZ'!K$130:K$210)</f>
        <v>4011.3223690979689</v>
      </c>
      <c r="L202" s="27">
        <f>'Statistics NZ'!L$202*'Economic Forecasts'!N$9*1000000/SUM('Statistics NZ'!L$30:L$110,'Statistics NZ'!L$130:L$210)</f>
        <v>4206.2176904137996</v>
      </c>
      <c r="M202" s="27">
        <f>'Statistics NZ'!M$202*'Economic Forecasts'!O$9*1000000/SUM('Statistics NZ'!M$30:M$110,'Statistics NZ'!M$130:M$210)</f>
        <v>4249.7646212142699</v>
      </c>
      <c r="N202" s="27">
        <f>'Statistics NZ'!N$202*'Economic Forecasts'!P$9*1000000/SUM('Statistics NZ'!N$30:N$110,'Statistics NZ'!N$130:N$210)</f>
        <v>4540.2095019397393</v>
      </c>
      <c r="O202" s="27">
        <f>'Statistics NZ'!O$202*'Economic Forecasts'!Q$9*1000000/SUM('Statistics NZ'!O$30:O$110,'Statistics NZ'!O$130:O$210)</f>
        <v>4419.4896990564839</v>
      </c>
      <c r="P202" s="27">
        <f>'Statistics NZ'!P$202*'Economic Forecasts'!R$9*1000000/SUM('Statistics NZ'!P$30:P$110,'Statistics NZ'!P$130:P$210)</f>
        <v>4318.2277241470028</v>
      </c>
      <c r="Q202" s="27">
        <f>'Statistics NZ'!Q$202*'Economic Forecasts'!S$9*1000000/SUM('Statistics NZ'!Q$30:Q$110,'Statistics NZ'!Q$130:Q$210)</f>
        <v>4633.5208817691746</v>
      </c>
      <c r="R202" s="27">
        <f>'Statistics NZ'!R$202*'Economic Forecasts'!T$9*1000000/SUM('Statistics NZ'!R$30:R$110,'Statistics NZ'!R$130:R$210)</f>
        <v>4754.192002098066</v>
      </c>
      <c r="S202" s="27">
        <f>'Statistics NZ'!S$202*'Economic Forecasts'!U$9*1000000/SUM('Statistics NZ'!S$30:S$110,'Statistics NZ'!S$130:S$210)</f>
        <v>4682.3743422203524</v>
      </c>
      <c r="T202" s="27">
        <f>'Statistics NZ'!T$202*'Economic Forecasts'!V$9*1000000/SUM('Statistics NZ'!T$30:T$110,'Statistics NZ'!T$130:T$210)</f>
        <v>4941.3124673969742</v>
      </c>
      <c r="U202" s="28">
        <f>SUM('Statistics NZ'!U$202,$S$13/5*(U$8-U$9)*1000)*'Economic Forecasts'!W$9*1000000/SUM('Statistics NZ'!U$30:U$110,'Statistics NZ'!U$130:U$210,SUM($E$12:$T$13)*(U$8-U$9)*1000)</f>
        <v>5283.1327736764397</v>
      </c>
      <c r="V202" s="28">
        <f>SUM('Statistics NZ'!V$202,$S$13/5*(V$8-V$9)*1000)*'Economic Forecasts'!X$9*1000000/SUM('Statistics NZ'!V$30:V$110,'Statistics NZ'!V$130:V$210,SUM($E$12:$T$13)*(V$8-V$9)*1000)</f>
        <v>5521.751787148929</v>
      </c>
      <c r="W202" s="28">
        <f>SUM('Statistics NZ'!W$202,$S$13/5*(W$8-W$9)*1000)*'Economic Forecasts'!Y$9*1000000/SUM('Statistics NZ'!W$30:W$110,'Statistics NZ'!W$130:W$210,SUM($E$12:$T$13)*(W$8-W$9)*1000)</f>
        <v>6152.8285935635186</v>
      </c>
      <c r="X202" s="28">
        <f>SUM('Statistics NZ'!X$202,$S$13/5*(X$8-X$9)*1000)*'Economic Forecasts'!Z$9*1000000/SUM('Statistics NZ'!X$30:X$110,'Statistics NZ'!X$130:X$210,SUM($E$12:$T$13)*(X$8-X$9)*1000)</f>
        <v>6692.5725791292725</v>
      </c>
      <c r="Y202" s="28">
        <f>SUM('Statistics NZ'!Y$202,$S$13/5*(Y$8-Y$9)*1000)*'Economic Forecasts'!AA$9*1000000/SUM('Statistics NZ'!Y$30:Y$110,'Statistics NZ'!Y$130:Y$210,SUM($E$12:$T$13)*(Y$8-Y$9)*1000)</f>
        <v>6897.1384127241363</v>
      </c>
      <c r="Z202" s="28">
        <f>SUM('Statistics NZ'!Z$202,$S$13/5*(Z$8-Z$9)*1000)*'Economic Forecasts'!AB$9*1000000/SUM('Statistics NZ'!Z$30:Z$110,'Statistics NZ'!Z$130:Z$210,SUM($E$12:$T$13)*(Z$8-Z$9)*1000)</f>
        <v>6175.5153693008597</v>
      </c>
      <c r="AA202" s="28">
        <f>SUM('Statistics NZ'!AA$202,$S$13/5*(AA$8-AA$9)*1000)*'Economic Forecasts'!AC$9*1000000/SUM('Statistics NZ'!AA$30:AA$110,'Statistics NZ'!AA$130:AA$210,SUM($E$12:$T$13)*(AA$8-AA$9)*1000)</f>
        <v>7204.5796144810383</v>
      </c>
      <c r="AB202" s="18">
        <f>SUM(AA$202,'Statistics NZ'!AB$202-'Statistics NZ'!AA$202,$S$13/5*(AB$8-AB$9)*1000)</f>
        <v>7514.7166157079009</v>
      </c>
      <c r="AC202" s="18">
        <f>SUM(AB$202,'Statistics NZ'!AC$202-'Statistics NZ'!AB$202,$S$13/5*(AC$8-AC$9)*1000)</f>
        <v>8034.8079498591424</v>
      </c>
      <c r="AD202" s="18">
        <f>SUM(AC$202,'Statistics NZ'!AD$202-'Statistics NZ'!AC$202,$S$13/5*(AD$8-AD$9)*1000)</f>
        <v>9724.8460057554948</v>
      </c>
      <c r="AE202" s="18">
        <f>SUM(AD$202,'Statistics NZ'!AE$202-'Statistics NZ'!AD$202,$S$13/5*(AE$8-AE$9)*1000)</f>
        <v>9784.8460057554948</v>
      </c>
      <c r="AF202" s="18">
        <f>SUM(AE$202,'Statistics NZ'!AF$202-'Statistics NZ'!AE$202,$S$13/5*(AF$8-AF$9)*1000)</f>
        <v>9804.8460057554948</v>
      </c>
      <c r="AG202" s="18">
        <f>SUM(AF$202,'Statistics NZ'!AG$202-'Statistics NZ'!AF$202,$S$13/5*(AG$8-AG$9)*1000)</f>
        <v>10144.846005755495</v>
      </c>
      <c r="AH202" s="18">
        <f>SUM(AG$202,'Statistics NZ'!AH$202-'Statistics NZ'!AG$202,$S$13/5*(AH$8-AH$9)*1000)</f>
        <v>10264.846005755495</v>
      </c>
      <c r="AI202" s="18">
        <f>SUM(AH$202,'Statistics NZ'!AI$202-'Statistics NZ'!AH$202,$S$13/5*(AI$8-AI$9)*1000)</f>
        <v>10534.846005755495</v>
      </c>
      <c r="AJ202" s="18">
        <f>SUM(AI$202,'Statistics NZ'!AJ$202-'Statistics NZ'!AI$202,$S$13/5*(AJ$8-AJ$9)*1000)</f>
        <v>10824.846005755495</v>
      </c>
      <c r="AK202" s="18">
        <f>SUM(AJ$202,'Statistics NZ'!AK$202-'Statistics NZ'!AJ$202,$S$13/5*(AK$8-AK$9)*1000)</f>
        <v>11354.846005755495</v>
      </c>
    </row>
    <row r="203" spans="1:37" x14ac:dyDescent="0.25">
      <c r="A203" s="12">
        <f>$A$103</f>
        <v>88</v>
      </c>
      <c r="B203" s="27">
        <f>'Statistics NZ'!B$203*'Economic Forecasts'!D$9*1000000/SUM('Statistics NZ'!B$30:B$110,'Statistics NZ'!B$130:B$210)</f>
        <v>1888.3005897485677</v>
      </c>
      <c r="C203" s="27">
        <f>'Statistics NZ'!C$203*'Economic Forecasts'!E$9*1000000/SUM('Statistics NZ'!C$30:C$110,'Statistics NZ'!C$130:C$210)</f>
        <v>1983.65580814749</v>
      </c>
      <c r="D203" s="27">
        <f>'Statistics NZ'!D$203*'Economic Forecasts'!F$9*1000000/SUM('Statistics NZ'!D$30:D$110,'Statistics NZ'!D$130:D$210)</f>
        <v>2436.0354790383562</v>
      </c>
      <c r="E203" s="27">
        <f>'Statistics NZ'!E$203*'Economic Forecasts'!G$9*1000000/SUM('Statistics NZ'!E$30:E$110,'Statistics NZ'!E$130:E$210)</f>
        <v>2540.0189331577221</v>
      </c>
      <c r="F203" s="27">
        <f>'Statistics NZ'!F$203*'Economic Forecasts'!H$9*1000000/SUM('Statistics NZ'!F$30:F$110,'Statistics NZ'!F$130:F$210)</f>
        <v>2736.663945783745</v>
      </c>
      <c r="G203" s="27">
        <f>'Statistics NZ'!G$203*'Economic Forecasts'!I$9*1000000/SUM('Statistics NZ'!G$30:G$110,'Statistics NZ'!G$130:G$210)</f>
        <v>2868.1618997713963</v>
      </c>
      <c r="H203" s="27">
        <f>'Statistics NZ'!H$203*'Economic Forecasts'!J$9*1000000/SUM('Statistics NZ'!H$30:H$110,'Statistics NZ'!H$130:H$210)</f>
        <v>2937.7160057973169</v>
      </c>
      <c r="I203" s="27">
        <f>'Statistics NZ'!I$203*'Economic Forecasts'!K$9*1000000/SUM('Statistics NZ'!I$30:I$110,'Statistics NZ'!I$130:I$210)</f>
        <v>3146.9412533856357</v>
      </c>
      <c r="J203" s="27">
        <f>'Statistics NZ'!J$203*'Economic Forecasts'!L$9*1000000/SUM('Statistics NZ'!J$30:J$110,'Statistics NZ'!J$130:J$210)</f>
        <v>3218.1211404983442</v>
      </c>
      <c r="K203" s="27">
        <f>'Statistics NZ'!K$203*'Economic Forecasts'!M$9*1000000/SUM('Statistics NZ'!K$30:K$110,'Statistics NZ'!K$130:K$210)</f>
        <v>3407.6767698647795</v>
      </c>
      <c r="L203" s="27">
        <f>'Statistics NZ'!L$203*'Economic Forecasts'!N$9*1000000/SUM('Statistics NZ'!L$30:L$110,'Statistics NZ'!L$130:L$210)</f>
        <v>3514.9180237022729</v>
      </c>
      <c r="M203" s="27">
        <f>'Statistics NZ'!M$203*'Economic Forecasts'!O$9*1000000/SUM('Statistics NZ'!M$30:M$110,'Statistics NZ'!M$130:M$210)</f>
        <v>3683.1293383857014</v>
      </c>
      <c r="N203" s="27">
        <f>'Statistics NZ'!N$203*'Economic Forecasts'!P$9*1000000/SUM('Statistics NZ'!N$30:N$110,'Statistics NZ'!N$130:N$210)</f>
        <v>3698.70515459746</v>
      </c>
      <c r="O203" s="27">
        <f>'Statistics NZ'!O$203*'Economic Forecasts'!Q$9*1000000/SUM('Statistics NZ'!O$30:O$110,'Statistics NZ'!O$130:O$210)</f>
        <v>3967.7196409307098</v>
      </c>
      <c r="P203" s="27">
        <f>'Statistics NZ'!P$203*'Economic Forecasts'!R$9*1000000/SUM('Statistics NZ'!P$30:P$110,'Statistics NZ'!P$130:P$210)</f>
        <v>3867.8003424899457</v>
      </c>
      <c r="Q203" s="27">
        <f>'Statistics NZ'!Q$203*'Economic Forecasts'!S$9*1000000/SUM('Statistics NZ'!Q$30:Q$110,'Statistics NZ'!Q$130:Q$210)</f>
        <v>3833.2752710585069</v>
      </c>
      <c r="R203" s="27">
        <f>'Statistics NZ'!R$203*'Economic Forecasts'!T$9*1000000/SUM('Statistics NZ'!R$30:R$110,'Statistics NZ'!R$130:R$210)</f>
        <v>4062.31374815448</v>
      </c>
      <c r="S203" s="27">
        <f>'Statistics NZ'!S$203*'Economic Forecasts'!U$9*1000000/SUM('Statistics NZ'!S$30:S$110,'Statistics NZ'!S$130:S$210)</f>
        <v>4059.3557187232573</v>
      </c>
      <c r="T203" s="27">
        <f>'Statistics NZ'!T$203*'Economic Forecasts'!V$9*1000000/SUM('Statistics NZ'!T$30:T$110,'Statistics NZ'!T$130:T$210)</f>
        <v>4145.5941575378183</v>
      </c>
      <c r="U203" s="28">
        <f>SUM('Statistics NZ'!U$203,$S$13/5*(U$8-U$9)*1000)*'Economic Forecasts'!W$9*1000000/SUM('Statistics NZ'!U$30:U$110,'Statistics NZ'!U$130:U$210,SUM($E$12:$T$13)*(U$8-U$9)*1000)</f>
        <v>4348.3042491288206</v>
      </c>
      <c r="V203" s="28">
        <f>SUM('Statistics NZ'!V$203,$S$13/5*(V$8-V$9)*1000)*'Economic Forecasts'!X$9*1000000/SUM('Statistics NZ'!V$30:V$110,'Statistics NZ'!V$130:V$210,SUM($E$12:$T$13)*(V$8-V$9)*1000)</f>
        <v>4638.9081238938288</v>
      </c>
      <c r="W203" s="28">
        <f>SUM('Statistics NZ'!W$203,$S$13/5*(W$8-W$9)*1000)*'Economic Forecasts'!Y$9*1000000/SUM('Statistics NZ'!W$30:W$110,'Statistics NZ'!W$130:W$210,SUM($E$12:$T$13)*(W$8-W$9)*1000)</f>
        <v>4851.8235947506173</v>
      </c>
      <c r="X203" s="28">
        <f>SUM('Statistics NZ'!X$203,$S$13/5*(X$8-X$9)*1000)*'Economic Forecasts'!Z$9*1000000/SUM('Statistics NZ'!X$30:X$110,'Statistics NZ'!X$130:X$210,SUM($E$12:$T$13)*(X$8-X$9)*1000)</f>
        <v>5422.4860076552768</v>
      </c>
      <c r="Y203" s="28">
        <f>SUM('Statistics NZ'!Y$203,$S$13/5*(Y$8-Y$9)*1000)*'Economic Forecasts'!AA$9*1000000/SUM('Statistics NZ'!Y$30:Y$110,'Statistics NZ'!Y$130:Y$210,SUM($E$12:$T$13)*(Y$8-Y$9)*1000)</f>
        <v>5920.2413806341037</v>
      </c>
      <c r="Z203" s="28">
        <f>SUM('Statistics NZ'!Z$203,$S$13/5*(Z$8-Z$9)*1000)*'Economic Forecasts'!AB$9*1000000/SUM('Statistics NZ'!Z$30:Z$110,'Statistics NZ'!Z$130:Z$210,SUM($E$12:$T$13)*(Z$8-Z$9)*1000)</f>
        <v>6107.1179801431181</v>
      </c>
      <c r="AA203" s="28">
        <f>SUM('Statistics NZ'!AA$203,$S$13/5*(AA$8-AA$9)*1000)*'Economic Forecasts'!AC$9*1000000/SUM('Statistics NZ'!AA$30:AA$110,'Statistics NZ'!AA$130:AA$210,SUM($E$12:$T$13)*(AA$8-AA$9)*1000)</f>
        <v>5484.1274089542303</v>
      </c>
      <c r="AB203" s="18">
        <f>SUM(AA$203,'Statistics NZ'!AB$203-'Statistics NZ'!AA$203,$S$13/5*(AB$8-AB$9)*1000)</f>
        <v>6414.2644101810929</v>
      </c>
      <c r="AC203" s="18">
        <f>SUM(AB$203,'Statistics NZ'!AC$203-'Statistics NZ'!AB$203,$S$13/5*(AC$8-AC$9)*1000)</f>
        <v>6694.3557443323343</v>
      </c>
      <c r="AD203" s="18">
        <f>SUM(AC$203,'Statistics NZ'!AD$203-'Statistics NZ'!AC$203,$S$13/5*(AD$8-AD$9)*1000)</f>
        <v>7164.393800228685</v>
      </c>
      <c r="AE203" s="18">
        <f>SUM(AD$203,'Statistics NZ'!AE$203-'Statistics NZ'!AD$203,$S$13/5*(AE$8-AE$9)*1000)</f>
        <v>8684.393800228685</v>
      </c>
      <c r="AF203" s="18">
        <f>SUM(AE$203,'Statistics NZ'!AF$203-'Statistics NZ'!AE$203,$S$13/5*(AF$8-AF$9)*1000)</f>
        <v>8754.393800228685</v>
      </c>
      <c r="AG203" s="18">
        <f>SUM(AF$203,'Statistics NZ'!AG$203-'Statistics NZ'!AF$203,$S$13/5*(AG$8-AG$9)*1000)</f>
        <v>8774.393800228685</v>
      </c>
      <c r="AH203" s="18">
        <f>SUM(AG$203,'Statistics NZ'!AH$203-'Statistics NZ'!AG$203,$S$13/5*(AH$8-AH$9)*1000)</f>
        <v>9094.393800228685</v>
      </c>
      <c r="AI203" s="18">
        <f>SUM(AH$203,'Statistics NZ'!AI$203-'Statistics NZ'!AH$203,$S$13/5*(AI$8-AI$9)*1000)</f>
        <v>9204.393800228685</v>
      </c>
      <c r="AJ203" s="18">
        <f>SUM(AI$203,'Statistics NZ'!AJ$203-'Statistics NZ'!AI$203,$S$13/5*(AJ$8-AJ$9)*1000)</f>
        <v>9454.393800228685</v>
      </c>
      <c r="AK203" s="18">
        <f>SUM(AJ$203,'Statistics NZ'!AK$203-'Statistics NZ'!AJ$203,$S$13/5*(AK$8-AK$9)*1000)</f>
        <v>9734.393800228685</v>
      </c>
    </row>
    <row r="204" spans="1:37" x14ac:dyDescent="0.25">
      <c r="A204" s="12">
        <f>$A$104</f>
        <v>89</v>
      </c>
      <c r="B204" s="27">
        <f>'Statistics NZ'!B$204*'Economic Forecasts'!D$9*1000000/SUM('Statistics NZ'!B$30:B$110,'Statistics NZ'!B$130:B$210)</f>
        <v>1682.8378312785167</v>
      </c>
      <c r="C204" s="27">
        <f>'Statistics NZ'!C$204*'Economic Forecasts'!E$9*1000000/SUM('Statistics NZ'!C$30:C$110,'Statistics NZ'!C$130:C$210)</f>
        <v>1590.8526778212542</v>
      </c>
      <c r="D204" s="27">
        <f>'Statistics NZ'!D$204*'Economic Forecasts'!F$9*1000000/SUM('Statistics NZ'!D$30:D$110,'Statistics NZ'!D$130:D$210)</f>
        <v>1689.5084773975695</v>
      </c>
      <c r="E204" s="27">
        <f>'Statistics NZ'!E$204*'Economic Forecasts'!G$9*1000000/SUM('Statistics NZ'!E$30:E$110,'Statistics NZ'!E$130:E$210)</f>
        <v>2088.8958793922575</v>
      </c>
      <c r="F204" s="27">
        <f>'Statistics NZ'!F$204*'Economic Forecasts'!H$9*1000000/SUM('Statistics NZ'!F$30:F$110,'Statistics NZ'!F$130:F$210)</f>
        <v>2148.1340649700364</v>
      </c>
      <c r="G204" s="27">
        <f>'Statistics NZ'!G$204*'Economic Forecasts'!I$9*1000000/SUM('Statistics NZ'!G$30:G$110,'Statistics NZ'!G$130:G$210)</f>
        <v>2318.1034532398958</v>
      </c>
      <c r="H204" s="27">
        <f>'Statistics NZ'!H$204*'Economic Forecasts'!J$9*1000000/SUM('Statistics NZ'!H$30:H$110,'Statistics NZ'!H$130:H$210)</f>
        <v>2416.9837372111706</v>
      </c>
      <c r="I204" s="27">
        <f>'Statistics NZ'!I$204*'Economic Forecasts'!K$9*1000000/SUM('Statistics NZ'!I$30:I$110,'Statistics NZ'!I$130:I$210)</f>
        <v>2421.4781607048353</v>
      </c>
      <c r="J204" s="27">
        <f>'Statistics NZ'!J$204*'Economic Forecasts'!L$9*1000000/SUM('Statistics NZ'!J$30:J$110,'Statistics NZ'!J$130:J$210)</f>
        <v>2691.5194993258883</v>
      </c>
      <c r="K204" s="27">
        <f>'Statistics NZ'!K$204*'Economic Forecasts'!M$9*1000000/SUM('Statistics NZ'!K$30:K$110,'Statistics NZ'!K$130:K$210)</f>
        <v>2735.8776352342943</v>
      </c>
      <c r="L204" s="27">
        <f>'Statistics NZ'!L$204*'Economic Forecasts'!N$9*1000000/SUM('Statistics NZ'!L$30:L$110,'Statistics NZ'!L$130:L$210)</f>
        <v>2930.7211222559117</v>
      </c>
      <c r="M204" s="27">
        <f>'Statistics NZ'!M$204*'Economic Forecasts'!O$9*1000000/SUM('Statistics NZ'!M$30:M$110,'Statistics NZ'!M$130:M$210)</f>
        <v>3028.567890980285</v>
      </c>
      <c r="N204" s="27">
        <f>'Statistics NZ'!N$204*'Economic Forecasts'!P$9*1000000/SUM('Statistics NZ'!N$30:N$110,'Statistics NZ'!N$130:N$210)</f>
        <v>3189.8885724835236</v>
      </c>
      <c r="O204" s="27">
        <f>'Statistics NZ'!O$204*'Economic Forecasts'!Q$9*1000000/SUM('Statistics NZ'!O$30:O$110,'Statistics NZ'!O$130:O$210)</f>
        <v>3182.0325833206684</v>
      </c>
      <c r="P204" s="27">
        <f>'Statistics NZ'!P$204*'Economic Forecasts'!R$9*1000000/SUM('Statistics NZ'!P$30:P$110,'Statistics NZ'!P$130:P$210)</f>
        <v>3387.9972620291678</v>
      </c>
      <c r="Q204" s="27">
        <f>'Statistics NZ'!Q$204*'Economic Forecasts'!S$9*1000000/SUM('Statistics NZ'!Q$30:Q$110,'Statistics NZ'!Q$130:Q$210)</f>
        <v>3368.9352253375023</v>
      </c>
      <c r="R204" s="27">
        <f>'Statistics NZ'!R$204*'Economic Forecasts'!T$9*1000000/SUM('Statistics NZ'!R$30:R$110,'Statistics NZ'!R$130:R$210)</f>
        <v>3271.5957436475255</v>
      </c>
      <c r="S204" s="27">
        <f>'Statistics NZ'!S$204*'Economic Forecasts'!U$9*1000000/SUM('Statistics NZ'!S$30:S$110,'Statistics NZ'!S$130:S$210)</f>
        <v>3426.6024292340203</v>
      </c>
      <c r="T204" s="27">
        <f>'Statistics NZ'!T$204*'Economic Forecasts'!V$9*1000000/SUM('Statistics NZ'!T$30:T$110,'Statistics NZ'!T$130:T$210)</f>
        <v>3467.7600417318722</v>
      </c>
      <c r="U204" s="28">
        <f>SUM('Statistics NZ'!U$204,$S$13/5*(U$8-U$9)*1000)*'Economic Forecasts'!W$9*1000000/SUM('Statistics NZ'!U$30:U$110,'Statistics NZ'!U$130:U$210,SUM($E$12:$T$13)*(U$8-U$9)*1000)</f>
        <v>3590.6011292323287</v>
      </c>
      <c r="V204" s="28">
        <f>SUM('Statistics NZ'!V$204,$S$13/5*(V$8-V$9)*1000)*'Economic Forecasts'!X$9*1000000/SUM('Statistics NZ'!V$30:V$110,'Statistics NZ'!V$130:V$210,SUM($E$12:$T$13)*(V$8-V$9)*1000)</f>
        <v>3756.0644606387286</v>
      </c>
      <c r="W204" s="28">
        <f>SUM('Statistics NZ'!W$204,$S$13/5*(W$8-W$9)*1000)*'Economic Forecasts'!Y$9*1000000/SUM('Statistics NZ'!W$30:W$110,'Statistics NZ'!W$130:W$210,SUM($E$12:$T$13)*(W$8-W$9)*1000)</f>
        <v>4010.5722421347573</v>
      </c>
      <c r="X204" s="28">
        <f>SUM('Statistics NZ'!X$204,$S$13/5*(X$8-X$9)*1000)*'Economic Forecasts'!Z$9*1000000/SUM('Statistics NZ'!X$30:X$110,'Statistics NZ'!X$130:X$210,SUM($E$12:$T$13)*(X$8-X$9)*1000)</f>
        <v>4201.248919699512</v>
      </c>
      <c r="Y204" s="28">
        <f>SUM('Statistics NZ'!Y$204,$S$13/5*(Y$8-Y$9)*1000)*'Economic Forecasts'!AA$9*1000000/SUM('Statistics NZ'!Y$30:Y$110,'Statistics NZ'!Y$130:Y$210,SUM($E$12:$T$13)*(Y$8-Y$9)*1000)</f>
        <v>4708.8890608424645</v>
      </c>
      <c r="Z204" s="28">
        <f>SUM('Statistics NZ'!Z$204,$S$13/5*(Z$8-Z$9)*1000)*'Economic Forecasts'!AB$9*1000000/SUM('Statistics NZ'!Z$30:Z$110,'Statistics NZ'!Z$130:Z$210,SUM($E$12:$T$13)*(Z$8-Z$9)*1000)</f>
        <v>5149.5545319347366</v>
      </c>
      <c r="AA204" s="28">
        <f>SUM('Statistics NZ'!AA$204,$S$13/5*(AA$8-AA$9)*1000)*'Economic Forecasts'!AC$9*1000000/SUM('Statistics NZ'!AA$30:AA$110,'Statistics NZ'!AA$130:AA$210,SUM($E$12:$T$13)*(AA$8-AA$9)*1000)</f>
        <v>5317.9473663749377</v>
      </c>
      <c r="AB204" s="18">
        <f>SUM(AA$204,'Statistics NZ'!AB$204-'Statistics NZ'!AA$204,$S$13/5*(AB$8-AB$9)*1000)</f>
        <v>4768.0843676018003</v>
      </c>
      <c r="AC204" s="18">
        <f>SUM(AB$204,'Statistics NZ'!AC$204-'Statistics NZ'!AB$204,$S$13/5*(AC$8-AC$9)*1000)</f>
        <v>5588.1757017530417</v>
      </c>
      <c r="AD204" s="18">
        <f>SUM(AC$204,'Statistics NZ'!AD$204-'Statistics NZ'!AC$204,$S$13/5*(AD$8-AD$9)*1000)</f>
        <v>5848.2137576493924</v>
      </c>
      <c r="AE204" s="18">
        <f>SUM(AD$204,'Statistics NZ'!AE$204-'Statistics NZ'!AD$204,$S$13/5*(AE$8-AE$9)*1000)</f>
        <v>6258.2137576493924</v>
      </c>
      <c r="AF204" s="18">
        <f>SUM(AE$204,'Statistics NZ'!AF$204-'Statistics NZ'!AE$204,$S$13/5*(AF$8-AF$9)*1000)</f>
        <v>7598.2137576493924</v>
      </c>
      <c r="AG204" s="18">
        <f>SUM(AF$204,'Statistics NZ'!AG$204-'Statistics NZ'!AF$204,$S$13/5*(AG$8-AG$9)*1000)</f>
        <v>7668.2137576493924</v>
      </c>
      <c r="AH204" s="18">
        <f>SUM(AG$204,'Statistics NZ'!AH$204-'Statistics NZ'!AG$204,$S$13/5*(AH$8-AH$9)*1000)</f>
        <v>7698.2137576493924</v>
      </c>
      <c r="AI204" s="18">
        <f>SUM(AH$204,'Statistics NZ'!AI$204-'Statistics NZ'!AH$204,$S$13/5*(AI$8-AI$9)*1000)</f>
        <v>7978.2137576493924</v>
      </c>
      <c r="AJ204" s="18">
        <f>SUM(AI$204,'Statistics NZ'!AJ$204-'Statistics NZ'!AI$204,$S$13/5*(AJ$8-AJ$9)*1000)</f>
        <v>8098.2137576493924</v>
      </c>
      <c r="AK204" s="18">
        <f>SUM(AJ$204,'Statistics NZ'!AK$204-'Statistics NZ'!AJ$204,$S$13/5*(AK$8-AK$9)*1000)</f>
        <v>8318.2137576493915</v>
      </c>
    </row>
    <row r="205" spans="1:37" x14ac:dyDescent="0.25">
      <c r="A205" s="12">
        <f>$A$105</f>
        <v>90</v>
      </c>
      <c r="B205" s="27">
        <f>'Statistics NZ'!B$205*'Economic Forecasts'!D$9*1000000/SUM('Statistics NZ'!B$30:B$110,'Statistics NZ'!B$130:B$210)</f>
        <v>1350.1838413746239</v>
      </c>
      <c r="C205" s="27">
        <f>'Statistics NZ'!C$205*'Economic Forecasts'!E$9*1000000/SUM('Statistics NZ'!C$30:C$110,'Statistics NZ'!C$130:C$210)</f>
        <v>1374.8109561418246</v>
      </c>
      <c r="D205" s="27">
        <f>'Statistics NZ'!D$205*'Economic Forecasts'!F$9*1000000/SUM('Statistics NZ'!D$30:D$110,'Statistics NZ'!D$130:D$210)</f>
        <v>1296.5995291655768</v>
      </c>
      <c r="E205" s="27">
        <f>'Statistics NZ'!E$205*'Economic Forecasts'!G$9*1000000/SUM('Statistics NZ'!E$30:E$110,'Statistics NZ'!E$130:E$210)</f>
        <v>1402.4042758361165</v>
      </c>
      <c r="F205" s="27">
        <f>'Statistics NZ'!F$205*'Economic Forecasts'!H$9*1000000/SUM('Statistics NZ'!F$30:F$110,'Statistics NZ'!F$130:F$210)</f>
        <v>1736.1631484004404</v>
      </c>
      <c r="G205" s="27">
        <f>'Statistics NZ'!G$205*'Economic Forecasts'!I$9*1000000/SUM('Statistics NZ'!G$30:G$110,'Statistics NZ'!G$130:G$210)</f>
        <v>1797.5124234868683</v>
      </c>
      <c r="H205" s="27">
        <f>'Statistics NZ'!H$205*'Economic Forecasts'!J$9*1000000/SUM('Statistics NZ'!H$30:H$110,'Statistics NZ'!H$130:H$210)</f>
        <v>1925.7268800544284</v>
      </c>
      <c r="I205" s="27">
        <f>'Statistics NZ'!I$205*'Economic Forecasts'!K$9*1000000/SUM('Statistics NZ'!I$30:I$110,'Statistics NZ'!I$130:I$210)</f>
        <v>2019.5323931384453</v>
      </c>
      <c r="J205" s="27">
        <f>'Statistics NZ'!J$205*'Economic Forecasts'!L$9*1000000/SUM('Statistics NZ'!J$30:J$110,'Statistics NZ'!J$130:J$210)</f>
        <v>2057.6471534701532</v>
      </c>
      <c r="K205" s="27">
        <f>'Statistics NZ'!K$205*'Economic Forecasts'!M$9*1000000/SUM('Statistics NZ'!K$30:K$110,'Statistics NZ'!K$130:K$210)</f>
        <v>2268.5391067956957</v>
      </c>
      <c r="L205" s="27">
        <f>'Statistics NZ'!L$205*'Economic Forecasts'!N$9*1000000/SUM('Statistics NZ'!L$30:L$110,'Statistics NZ'!L$130:L$210)</f>
        <v>2278.3679156408084</v>
      </c>
      <c r="M205" s="27">
        <f>'Statistics NZ'!M$205*'Economic Forecasts'!O$9*1000000/SUM('Statistics NZ'!M$30:M$110,'Statistics NZ'!M$130:M$210)</f>
        <v>2481.4717558354591</v>
      </c>
      <c r="N205" s="27">
        <f>'Statistics NZ'!N$205*'Economic Forecasts'!P$9*1000000/SUM('Statistics NZ'!N$30:N$110,'Statistics NZ'!N$130:N$210)</f>
        <v>2504.9431734839941</v>
      </c>
      <c r="O205" s="27">
        <f>'Statistics NZ'!O$205*'Economic Forecasts'!Q$9*1000000/SUM('Statistics NZ'!O$30:O$110,'Statistics NZ'!O$130:O$210)</f>
        <v>2700.799260534518</v>
      </c>
      <c r="P205" s="27">
        <f>'Statistics NZ'!P$205*'Economic Forecasts'!R$9*1000000/SUM('Statistics NZ'!P$30:P$110,'Statistics NZ'!P$130:P$210)</f>
        <v>2731.9399887460631</v>
      </c>
      <c r="Q205" s="27">
        <f>'Statistics NZ'!Q$205*'Economic Forecasts'!S$9*1000000/SUM('Statistics NZ'!Q$30:Q$110,'Statistics NZ'!Q$130:Q$210)</f>
        <v>2934.2339059391147</v>
      </c>
      <c r="R205" s="27">
        <f>'Statistics NZ'!R$205*'Economic Forecasts'!T$9*1000000/SUM('Statistics NZ'!R$30:R$110,'Statistics NZ'!R$130:R$210)</f>
        <v>2797.1649409433521</v>
      </c>
      <c r="S205" s="27">
        <f>'Statistics NZ'!S$205*'Economic Forecasts'!U$9*1000000/SUM('Statistics NZ'!S$30:S$110,'Statistics NZ'!S$130:S$210)</f>
        <v>2715.9718118076466</v>
      </c>
      <c r="T205" s="27">
        <f>'Statistics NZ'!T$205*'Economic Forecasts'!V$9*1000000/SUM('Statistics NZ'!T$30:T$110,'Statistics NZ'!T$130:T$210)</f>
        <v>2907.810119979134</v>
      </c>
      <c r="U205" s="28">
        <f>SUM('Statistics NZ'!U$205,$T$13/6*(U$8-U$9)*1000)*'Economic Forecasts'!W$9*1000000/SUM('Statistics NZ'!U$30:U$110,'Statistics NZ'!U$130:U$210,SUM($E$12:$T$13)*(U$8-U$9)*1000)</f>
        <v>2941.5228166766901</v>
      </c>
      <c r="V205" s="28">
        <f>SUM('Statistics NZ'!V$205,$T$13/6*(V$8-V$9)*1000)*'Economic Forecasts'!X$9*1000000/SUM('Statistics NZ'!V$30:V$110,'Statistics NZ'!V$130:V$210,SUM($E$12:$T$13)*(V$8-V$9)*1000)</f>
        <v>3030.4894163012</v>
      </c>
      <c r="W205" s="28">
        <f>SUM('Statistics NZ'!W$205,$T$13/6*(W$8-W$9)*1000)*'Economic Forecasts'!Y$9*1000000/SUM('Statistics NZ'!W$30:W$110,'Statistics NZ'!W$130:W$210,SUM($E$12:$T$13)*(W$8-W$9)*1000)</f>
        <v>3179.1182567450528</v>
      </c>
      <c r="X205" s="28">
        <f>SUM('Statistics NZ'!X$205,$T$13/6*(X$8-X$9)*1000)*'Economic Forecasts'!Z$9*1000000/SUM('Statistics NZ'!X$30:X$110,'Statistics NZ'!X$130:X$210,SUM($E$12:$T$13)*(X$8-X$9)*1000)</f>
        <v>3400.0508484498337</v>
      </c>
      <c r="Y205" s="28">
        <f>SUM('Statistics NZ'!Y$205,$T$13/6*(Y$8-Y$9)*1000)*'Economic Forecasts'!AA$9*1000000/SUM('Statistics NZ'!Y$30:Y$110,'Statistics NZ'!Y$130:Y$210,SUM($E$12:$T$13)*(Y$8-Y$9)*1000)</f>
        <v>3575.6040550426337</v>
      </c>
      <c r="Z205" s="28">
        <f>SUM('Statistics NZ'!Z$205,$T$13/6*(Z$8-Z$9)*1000)*'Economic Forecasts'!AB$9*1000000/SUM('Statistics NZ'!Z$30:Z$110,'Statistics NZ'!Z$130:Z$210,SUM($E$12:$T$13)*(Z$8-Z$9)*1000)</f>
        <v>4016.0404144032846</v>
      </c>
      <c r="AA205" s="28">
        <f>SUM('Statistics NZ'!AA$205,$T$13/6*(AA$8-AA$9)*1000)*'Economic Forecasts'!AC$9*1000000/SUM('Statistics NZ'!AA$30:AA$110,'Statistics NZ'!AA$130:AA$210,SUM($E$12:$T$13)*(AA$8-AA$9)*1000)</f>
        <v>4399.0054662537505</v>
      </c>
      <c r="AB205" s="18">
        <f>SUM(AA$205,'Statistics NZ'!AB$205-'Statistics NZ'!AA$205,$T$13/6*(AB$8-AB$9)*1000)</f>
        <v>4549.0953152651873</v>
      </c>
      <c r="AC205" s="18">
        <f>SUM(AB$205,'Statistics NZ'!AC$205-'Statistics NZ'!AB$205,$T$13/6*(AC$8-AC$9)*1000)</f>
        <v>4079.1552146061454</v>
      </c>
      <c r="AD205" s="18">
        <f>SUM(AC$205,'Statistics NZ'!AD$205-'Statistics NZ'!AC$205,$T$13/6*(AD$8-AD$9)*1000)</f>
        <v>4789.1801726648782</v>
      </c>
      <c r="AE205" s="18">
        <f>SUM(AD$205,'Statistics NZ'!AE$205-'Statistics NZ'!AD$205,$T$13/6*(AE$8-AE$9)*1000)</f>
        <v>5019.1801726648782</v>
      </c>
      <c r="AF205" s="18">
        <f>SUM(AE$205,'Statistics NZ'!AF$205-'Statistics NZ'!AE$205,$T$13/6*(AF$8-AF$9)*1000)</f>
        <v>5379.1801726648782</v>
      </c>
      <c r="AG205" s="18">
        <f>SUM(AF$205,'Statistics NZ'!AG$205-'Statistics NZ'!AF$205,$T$13/6*(AG$8-AG$9)*1000)</f>
        <v>6539.1801726648782</v>
      </c>
      <c r="AH205" s="18">
        <f>SUM(AG$205,'Statistics NZ'!AH$205-'Statistics NZ'!AG$205,$T$13/6*(AH$8-AH$9)*1000)</f>
        <v>6609.1801726648782</v>
      </c>
      <c r="AI205" s="18">
        <f>SUM(AH$205,'Statistics NZ'!AI$205-'Statistics NZ'!AH$205,$T$13/6*(AI$8-AI$9)*1000)</f>
        <v>6639.1801726648782</v>
      </c>
      <c r="AJ205" s="18">
        <f>SUM(AI$205,'Statistics NZ'!AJ$205-'Statistics NZ'!AI$205,$T$13/6*(AJ$8-AJ$9)*1000)</f>
        <v>6899.1801726648782</v>
      </c>
      <c r="AK205" s="18">
        <f>SUM(AJ$205,'Statistics NZ'!AK$205-'Statistics NZ'!AJ$205,$T$13/6*(AK$8-AK$9)*1000)</f>
        <v>6999.1801726648782</v>
      </c>
    </row>
    <row r="206" spans="1:37" x14ac:dyDescent="0.25">
      <c r="A206" s="12">
        <f>$A$106</f>
        <v>91</v>
      </c>
      <c r="B206" s="27">
        <f>'Statistics NZ'!B$206*'Economic Forecasts'!D$9*1000000/SUM('Statistics NZ'!B$30:B$110,'Statistics NZ'!B$130:B$210)</f>
        <v>997.96196971167853</v>
      </c>
      <c r="C206" s="27">
        <f>'Statistics NZ'!C$206*'Economic Forecasts'!E$9*1000000/SUM('Statistics NZ'!C$30:C$110,'Statistics NZ'!C$130:C$210)</f>
        <v>1109.6688431716157</v>
      </c>
      <c r="D206" s="27">
        <f>'Statistics NZ'!D$206*'Economic Forecasts'!F$9*1000000/SUM('Statistics NZ'!D$30:D$110,'Statistics NZ'!D$130:D$210)</f>
        <v>1129.6132261669795</v>
      </c>
      <c r="E206" s="27">
        <f>'Statistics NZ'!E$206*'Economic Forecasts'!G$9*1000000/SUM('Statistics NZ'!E$30:E$110,'Statistics NZ'!E$130:E$210)</f>
        <v>1059.1584740580461</v>
      </c>
      <c r="F206" s="27">
        <f>'Statistics NZ'!F$206*'Economic Forecasts'!H$9*1000000/SUM('Statistics NZ'!F$30:F$110,'Statistics NZ'!F$130:F$210)</f>
        <v>1128.0156048929414</v>
      </c>
      <c r="G206" s="27">
        <f>'Statistics NZ'!G$206*'Economic Forecasts'!I$9*1000000/SUM('Statistics NZ'!G$30:G$110,'Statistics NZ'!G$130:G$210)</f>
        <v>1414.436005366716</v>
      </c>
      <c r="H206" s="27">
        <f>'Statistics NZ'!H$206*'Economic Forecasts'!J$9*1000000/SUM('Statistics NZ'!H$30:H$110,'Statistics NZ'!H$130:H$210)</f>
        <v>1454.1202971839559</v>
      </c>
      <c r="I206" s="27">
        <f>'Statistics NZ'!I$206*'Economic Forecasts'!K$9*1000000/SUM('Statistics NZ'!I$30:I$110,'Statistics NZ'!I$130:I$210)</f>
        <v>1558.765293733072</v>
      </c>
      <c r="J206" s="27">
        <f>'Statistics NZ'!J$206*'Economic Forecasts'!L$9*1000000/SUM('Statistics NZ'!J$30:J$110,'Statistics NZ'!J$130:J$210)</f>
        <v>1667.5718637127782</v>
      </c>
      <c r="K206" s="27">
        <f>'Statistics NZ'!K$206*'Economic Forecasts'!M$9*1000000/SUM('Statistics NZ'!K$30:K$110,'Statistics NZ'!K$130:K$210)</f>
        <v>1674.6297269049771</v>
      </c>
      <c r="L206" s="27">
        <f>'Statistics NZ'!L$206*'Economic Forecasts'!N$9*1000000/SUM('Statistics NZ'!L$30:L$110,'Statistics NZ'!L$130:L$210)</f>
        <v>1869.4300846283554</v>
      </c>
      <c r="M206" s="27">
        <f>'Statistics NZ'!M$206*'Economic Forecasts'!O$9*1000000/SUM('Statistics NZ'!M$30:M$110,'Statistics NZ'!M$130:M$210)</f>
        <v>1875.7581776394022</v>
      </c>
      <c r="N206" s="27">
        <f>'Statistics NZ'!N$206*'Economic Forecasts'!P$9*1000000/SUM('Statistics NZ'!N$30:N$110,'Statistics NZ'!N$130:N$210)</f>
        <v>2025.4813941843233</v>
      </c>
      <c r="O206" s="27">
        <f>'Statistics NZ'!O$206*'Economic Forecasts'!Q$9*1000000/SUM('Statistics NZ'!O$30:O$110,'Statistics NZ'!O$130:O$210)</f>
        <v>2062.4285262263593</v>
      </c>
      <c r="P206" s="27">
        <f>'Statistics NZ'!P$206*'Economic Forecasts'!R$9*1000000/SUM('Statistics NZ'!P$30:P$110,'Statistics NZ'!P$130:P$210)</f>
        <v>2232.553109082804</v>
      </c>
      <c r="Q206" s="27">
        <f>'Statistics NZ'!Q$206*'Economic Forecasts'!S$9*1000000/SUM('Statistics NZ'!Q$30:Q$110,'Statistics NZ'!Q$130:Q$210)</f>
        <v>2331.5798040458958</v>
      </c>
      <c r="R206" s="27">
        <f>'Statistics NZ'!R$206*'Economic Forecasts'!T$9*1000000/SUM('Statistics NZ'!R$30:R$110,'Statistics NZ'!R$130:R$210)</f>
        <v>2421.5738888025489</v>
      </c>
      <c r="S206" s="27">
        <f>'Statistics NZ'!S$206*'Economic Forecasts'!U$9*1000000/SUM('Statistics NZ'!S$30:S$110,'Statistics NZ'!S$130:S$210)</f>
        <v>2287.6465081533938</v>
      </c>
      <c r="T206" s="27">
        <f>'Statistics NZ'!T$206*'Economic Forecasts'!V$9*1000000/SUM('Statistics NZ'!T$30:T$110,'Statistics NZ'!T$130:T$210)</f>
        <v>2249.6233698487217</v>
      </c>
      <c r="U206" s="28">
        <f>SUM('Statistics NZ'!U$206,$T$13/6*(U$8-U$9)*1000)*'Economic Forecasts'!W$9*1000000/SUM('Statistics NZ'!U$30:U$110,'Statistics NZ'!U$130:U$210,SUM($E$12:$T$13)*(U$8-U$9)*1000)</f>
        <v>2400.30630246491</v>
      </c>
      <c r="V206" s="28">
        <f>SUM('Statistics NZ'!V$206,$T$13/6*(V$8-V$9)*1000)*'Economic Forecasts'!X$9*1000000/SUM('Statistics NZ'!V$30:V$110,'Statistics NZ'!V$130:V$210,SUM($E$12:$T$13)*(V$8-V$9)*1000)</f>
        <v>2422.3082260587976</v>
      </c>
      <c r="W206" s="28">
        <f>SUM('Statistics NZ'!W$206,$T$13/6*(W$8-W$9)*1000)*'Economic Forecasts'!Y$9*1000000/SUM('Statistics NZ'!W$30:W$110,'Statistics NZ'!W$130:W$210,SUM($E$12:$T$13)*(W$8-W$9)*1000)</f>
        <v>2504.1607761579089</v>
      </c>
      <c r="X206" s="28">
        <f>SUM('Statistics NZ'!X$206,$T$13/6*(X$8-X$9)*1000)*'Economic Forecasts'!Z$9*1000000/SUM('Statistics NZ'!X$30:X$110,'Statistics NZ'!X$130:X$210,SUM($E$12:$T$13)*(X$8-X$9)*1000)</f>
        <v>2637.9989055654369</v>
      </c>
      <c r="Y206" s="28">
        <f>SUM('Statistics NZ'!Y$206,$T$13/6*(Y$8-Y$9)*1000)*'Economic Forecasts'!AA$9*1000000/SUM('Statistics NZ'!Y$30:Y$110,'Statistics NZ'!Y$130:Y$210,SUM($E$12:$T$13)*(Y$8-Y$9)*1000)</f>
        <v>2833.1623106542097</v>
      </c>
      <c r="Z206" s="28">
        <f>SUM('Statistics NZ'!Z$206,$T$13/6*(Z$8-Z$9)*1000)*'Economic Forecasts'!AB$9*1000000/SUM('Statistics NZ'!Z$30:Z$110,'Statistics NZ'!Z$130:Z$210,SUM($E$12:$T$13)*(Z$8-Z$9)*1000)</f>
        <v>2980.3085214431985</v>
      </c>
      <c r="AA206" s="28">
        <f>SUM('Statistics NZ'!AA$206,$T$13/6*(AA$8-AA$9)*1000)*'Economic Forecasts'!AC$9*1000000/SUM('Statistics NZ'!AA$30:AA$110,'Statistics NZ'!AA$130:AA$210,SUM($E$12:$T$13)*(AA$8-AA$9)*1000)</f>
        <v>3353.0487276664289</v>
      </c>
      <c r="AB206" s="18">
        <f>SUM(AA$206,'Statistics NZ'!AB$206-'Statistics NZ'!AA$206,$T$13/6*(AB$8-AB$9)*1000)</f>
        <v>3683.1385766778662</v>
      </c>
      <c r="AC206" s="18">
        <f>SUM(AB$206,'Statistics NZ'!AC$206-'Statistics NZ'!AB$206,$T$13/6*(AC$8-AC$9)*1000)</f>
        <v>3823.1984760188243</v>
      </c>
      <c r="AD206" s="18">
        <f>SUM(AC$206,'Statistics NZ'!AD$206-'Statistics NZ'!AC$206,$T$13/6*(AD$8-AD$9)*1000)</f>
        <v>3433.2234340775567</v>
      </c>
      <c r="AE206" s="18">
        <f>SUM(AD$206,'Statistics NZ'!AE$206-'Statistics NZ'!AD$206,$T$13/6*(AE$8-AE$9)*1000)</f>
        <v>4033.2234340775567</v>
      </c>
      <c r="AF206" s="18">
        <f>SUM(AE$206,'Statistics NZ'!AF$206-'Statistics NZ'!AE$206,$T$13/6*(AF$8-AF$9)*1000)</f>
        <v>4223.2234340775567</v>
      </c>
      <c r="AG206" s="18">
        <f>SUM(AF$206,'Statistics NZ'!AG$206-'Statistics NZ'!AF$206,$T$13/6*(AG$8-AG$9)*1000)</f>
        <v>4543.2234340775567</v>
      </c>
      <c r="AH206" s="18">
        <f>SUM(AG$206,'Statistics NZ'!AH$206-'Statistics NZ'!AG$206,$T$13/6*(AH$8-AH$9)*1000)</f>
        <v>5523.2234340775567</v>
      </c>
      <c r="AI206" s="18">
        <f>SUM(AH$206,'Statistics NZ'!AI$206-'Statistics NZ'!AH$206,$T$13/6*(AI$8-AI$9)*1000)</f>
        <v>5583.2234340775567</v>
      </c>
      <c r="AJ206" s="18">
        <f>SUM(AI$206,'Statistics NZ'!AJ$206-'Statistics NZ'!AI$206,$T$13/6*(AJ$8-AJ$9)*1000)</f>
        <v>5623.2234340775567</v>
      </c>
      <c r="AK206" s="18">
        <f>SUM(AJ$206,'Statistics NZ'!AK$206-'Statistics NZ'!AJ$206,$T$13/6*(AK$8-AK$9)*1000)</f>
        <v>5843.2234340775567</v>
      </c>
    </row>
    <row r="207" spans="1:37" x14ac:dyDescent="0.25">
      <c r="A207" s="12">
        <f>$A$107</f>
        <v>92</v>
      </c>
      <c r="B207" s="27">
        <f>'Statistics NZ'!B$207*'Economic Forecasts'!D$9*1000000/SUM('Statistics NZ'!B$30:B$110,'Statistics NZ'!B$130:B$210)</f>
        <v>772.93132948257437</v>
      </c>
      <c r="C207" s="27">
        <f>'Statistics NZ'!C$207*'Economic Forecasts'!E$9*1000000/SUM('Statistics NZ'!C$30:C$110,'Statistics NZ'!C$130:C$210)</f>
        <v>795.42633891062712</v>
      </c>
      <c r="D207" s="27">
        <f>'Statistics NZ'!D$207*'Economic Forecasts'!F$9*1000000/SUM('Statistics NZ'!D$30:D$110,'Statistics NZ'!D$130:D$210)</f>
        <v>874.22240981618415</v>
      </c>
      <c r="E207" s="27">
        <f>'Statistics NZ'!E$207*'Economic Forecasts'!G$9*1000000/SUM('Statistics NZ'!E$30:E$110,'Statistics NZ'!E$130:E$210)</f>
        <v>902.24610753092804</v>
      </c>
      <c r="F207" s="27">
        <f>'Statistics NZ'!F$207*'Economic Forecasts'!H$9*1000000/SUM('Statistics NZ'!F$30:F$110,'Statistics NZ'!F$130:F$210)</f>
        <v>843.55949583298229</v>
      </c>
      <c r="G207" s="27">
        <f>'Statistics NZ'!G$207*'Economic Forecasts'!I$9*1000000/SUM('Statistics NZ'!G$30:G$110,'Statistics NZ'!G$130:G$210)</f>
        <v>913.4899201326707</v>
      </c>
      <c r="H207" s="27">
        <f>'Statistics NZ'!H$207*'Economic Forecasts'!J$9*1000000/SUM('Statistics NZ'!H$30:H$110,'Statistics NZ'!H$130:H$210)</f>
        <v>1120.0656343173716</v>
      </c>
      <c r="I207" s="27">
        <f>'Statistics NZ'!I$207*'Economic Forecasts'!K$9*1000000/SUM('Statistics NZ'!I$30:I$110,'Statistics NZ'!I$130:I$210)</f>
        <v>1156.8195261666822</v>
      </c>
      <c r="J207" s="27">
        <f>'Statistics NZ'!J$207*'Economic Forecasts'!L$9*1000000/SUM('Statistics NZ'!J$30:J$110,'Statistics NZ'!J$130:J$210)</f>
        <v>1257.9928094675345</v>
      </c>
      <c r="K207" s="27">
        <f>'Statistics NZ'!K$207*'Economic Forecasts'!M$9*1000000/SUM('Statistics NZ'!K$30:K$110,'Statistics NZ'!K$130:K$210)</f>
        <v>1314.3896112335576</v>
      </c>
      <c r="L207" s="27">
        <f>'Statistics NZ'!L$207*'Economic Forecasts'!N$9*1000000/SUM('Statistics NZ'!L$30:L$110,'Statistics NZ'!L$130:L$210)</f>
        <v>1363.1261033748426</v>
      </c>
      <c r="M207" s="27">
        <f>'Statistics NZ'!M$207*'Economic Forecasts'!O$9*1000000/SUM('Statistics NZ'!M$30:M$110,'Statistics NZ'!M$130:M$210)</f>
        <v>1514.2839454901425</v>
      </c>
      <c r="N207" s="27">
        <f>'Statistics NZ'!N$207*'Economic Forecasts'!P$9*1000000/SUM('Statistics NZ'!N$30:N$110,'Statistics NZ'!N$130:N$210)</f>
        <v>1516.6648120703869</v>
      </c>
      <c r="O207" s="27">
        <f>'Statistics NZ'!O$207*'Economic Forecasts'!Q$9*1000000/SUM('Statistics NZ'!O$30:O$110,'Statistics NZ'!O$130:O$210)</f>
        <v>1640.1217327609618</v>
      </c>
      <c r="P207" s="27">
        <f>'Statistics NZ'!P$207*'Economic Forecasts'!R$9*1000000/SUM('Statistics NZ'!P$30:P$110,'Statistics NZ'!P$130:P$210)</f>
        <v>1664.6229322108627</v>
      </c>
      <c r="Q207" s="27">
        <f>'Statistics NZ'!Q$207*'Economic Forecasts'!S$9*1000000/SUM('Statistics NZ'!Q$30:Q$110,'Statistics NZ'!Q$130:Q$210)</f>
        <v>1847.4806074431463</v>
      </c>
      <c r="R207" s="27">
        <f>'Statistics NZ'!R$207*'Economic Forecasts'!T$9*1000000/SUM('Statistics NZ'!R$30:R$110,'Statistics NZ'!R$130:R$210)</f>
        <v>1858.1873105913437</v>
      </c>
      <c r="S207" s="27">
        <f>'Statistics NZ'!S$207*'Economic Forecasts'!U$9*1000000/SUM('Statistics NZ'!S$30:S$110,'Statistics NZ'!S$130:S$210)</f>
        <v>1878.790536483426</v>
      </c>
      <c r="T207" s="27">
        <f>'Statistics NZ'!T$207*'Economic Forecasts'!V$9*1000000/SUM('Statistics NZ'!T$30:T$110,'Statistics NZ'!T$130:T$210)</f>
        <v>1837.0286906624933</v>
      </c>
      <c r="U207" s="28">
        <f>SUM('Statistics NZ'!U$207,$T$13/6*(U$8-U$9)*1000)*'Economic Forecasts'!W$9*1000000/SUM('Statistics NZ'!U$30:U$110,'Statistics NZ'!U$130:U$210,SUM($E$12:$T$13)*(U$8-U$9)*1000)</f>
        <v>1819.7285872195459</v>
      </c>
      <c r="V207" s="28">
        <f>SUM('Statistics NZ'!V$207,$T$13/6*(V$8-V$9)*1000)*'Economic Forecasts'!X$9*1000000/SUM('Statistics NZ'!V$30:V$110,'Statistics NZ'!V$130:V$210,SUM($E$12:$T$13)*(V$8-V$9)*1000)</f>
        <v>1941.648898286576</v>
      </c>
      <c r="W207" s="28">
        <f>SUM('Statistics NZ'!W$207,$T$13/6*(W$8-W$9)*1000)*'Economic Forecasts'!Y$9*1000000/SUM('Statistics NZ'!W$30:W$110,'Statistics NZ'!W$130:W$210,SUM($E$12:$T$13)*(W$8-W$9)*1000)</f>
        <v>1956.369197710372</v>
      </c>
      <c r="X207" s="28">
        <f>SUM('Statistics NZ'!X$207,$T$13/6*(X$8-X$9)*1000)*'Economic Forecasts'!Z$9*1000000/SUM('Statistics NZ'!X$30:X$110,'Statistics NZ'!X$130:X$210,SUM($E$12:$T$13)*(X$8-X$9)*1000)</f>
        <v>2032.2653099393772</v>
      </c>
      <c r="Y207" s="28">
        <f>SUM('Statistics NZ'!Y$207,$T$13/6*(Y$8-Y$9)*1000)*'Economic Forecasts'!AA$9*1000000/SUM('Statistics NZ'!Y$30:Y$110,'Statistics NZ'!Y$130:Y$210,SUM($E$12:$T$13)*(Y$8-Y$9)*1000)</f>
        <v>2139.5654178702871</v>
      </c>
      <c r="Z207" s="28">
        <f>SUM('Statistics NZ'!Z$207,$T$13/6*(Z$8-Z$9)*1000)*'Economic Forecasts'!AB$9*1000000/SUM('Statistics NZ'!Z$30:Z$110,'Statistics NZ'!Z$130:Z$210,SUM($E$12:$T$13)*(Z$8-Z$9)*1000)</f>
        <v>2306.1056854597464</v>
      </c>
      <c r="AA207" s="28">
        <f>SUM('Statistics NZ'!AA$207,$T$13/6*(AA$8-AA$9)*1000)*'Economic Forecasts'!AC$9*1000000/SUM('Statistics NZ'!AA$30:AA$110,'Statistics NZ'!AA$130:AA$210,SUM($E$12:$T$13)*(AA$8-AA$9)*1000)</f>
        <v>2434.1708451691561</v>
      </c>
      <c r="AB207" s="18">
        <f>SUM(AA$207,'Statistics NZ'!AB$207-'Statistics NZ'!AA$207,$T$13/6*(AB$8-AB$9)*1000)</f>
        <v>2744.2606941805934</v>
      </c>
      <c r="AC207" s="18">
        <f>SUM(AB$207,'Statistics NZ'!AC$207-'Statistics NZ'!AB$207,$T$13/6*(AC$8-AC$9)*1000)</f>
        <v>3024.3205935215515</v>
      </c>
      <c r="AD207" s="18">
        <f>SUM(AC$207,'Statistics NZ'!AD$207-'Statistics NZ'!AC$207,$T$13/6*(AD$8-AD$9)*1000)</f>
        <v>3134.3455515802839</v>
      </c>
      <c r="AE207" s="18">
        <f>SUM(AD$207,'Statistics NZ'!AE$207-'Statistics NZ'!AD$207,$T$13/6*(AE$8-AE$9)*1000)</f>
        <v>2824.3455515802839</v>
      </c>
      <c r="AF207" s="18">
        <f>SUM(AE$207,'Statistics NZ'!AF$207-'Statistics NZ'!AE$207,$T$13/6*(AF$8-AF$9)*1000)</f>
        <v>3314.3455515802839</v>
      </c>
      <c r="AG207" s="18">
        <f>SUM(AF$207,'Statistics NZ'!AG$207-'Statistics NZ'!AF$207,$T$13/6*(AG$8-AG$9)*1000)</f>
        <v>3484.3455515802839</v>
      </c>
      <c r="AH207" s="18">
        <f>SUM(AG$207,'Statistics NZ'!AH$207-'Statistics NZ'!AG$207,$T$13/6*(AH$8-AH$9)*1000)</f>
        <v>3744.3455515802839</v>
      </c>
      <c r="AI207" s="18">
        <f>SUM(AH$207,'Statistics NZ'!AI$207-'Statistics NZ'!AH$207,$T$13/6*(AI$8-AI$9)*1000)</f>
        <v>4554.3455515802834</v>
      </c>
      <c r="AJ207" s="18">
        <f>SUM(AI$207,'Statistics NZ'!AJ$207-'Statistics NZ'!AI$207,$T$13/6*(AJ$8-AJ$9)*1000)</f>
        <v>4614.3455515802834</v>
      </c>
      <c r="AK207" s="18">
        <f>SUM(AJ$207,'Statistics NZ'!AK$207-'Statistics NZ'!AJ$207,$T$13/6*(AK$8-AK$9)*1000)</f>
        <v>4654.3455515802834</v>
      </c>
    </row>
    <row r="208" spans="1:37" x14ac:dyDescent="0.25">
      <c r="A208" s="12">
        <f>$A$108</f>
        <v>93</v>
      </c>
      <c r="B208" s="27">
        <f>'Statistics NZ'!B$208*'Economic Forecasts'!D$9*1000000/SUM('Statistics NZ'!B$30:B$110,'Statistics NZ'!B$130:B$210)</f>
        <v>567.46857101252306</v>
      </c>
      <c r="C208" s="27">
        <f>'Statistics NZ'!C$208*'Economic Forecasts'!E$9*1000000/SUM('Statistics NZ'!C$30:C$110,'Statistics NZ'!C$130:C$210)</f>
        <v>589.20469548935353</v>
      </c>
      <c r="D208" s="27">
        <f>'Statistics NZ'!D$208*'Economic Forecasts'!F$9*1000000/SUM('Statistics NZ'!D$30:D$110,'Statistics NZ'!D$130:D$210)</f>
        <v>658.12248828858822</v>
      </c>
      <c r="E208" s="27">
        <f>'Statistics NZ'!E$208*'Economic Forecasts'!G$9*1000000/SUM('Statistics NZ'!E$30:E$110,'Statistics NZ'!E$130:E$210)</f>
        <v>676.68458064819606</v>
      </c>
      <c r="F208" s="27">
        <f>'Statistics NZ'!F$208*'Economic Forecasts'!H$9*1000000/SUM('Statistics NZ'!F$30:F$110,'Statistics NZ'!F$130:F$210)</f>
        <v>706.23585697645035</v>
      </c>
      <c r="G208" s="27">
        <f>'Statistics NZ'!G$208*'Economic Forecasts'!I$9*1000000/SUM('Statistics NZ'!G$30:G$110,'Statistics NZ'!G$130:G$210)</f>
        <v>658.10564138590257</v>
      </c>
      <c r="H208" s="27">
        <f>'Statistics NZ'!H$208*'Economic Forecasts'!J$9*1000000/SUM('Statistics NZ'!H$30:H$110,'Statistics NZ'!H$130:H$210)</f>
        <v>717.23501144884324</v>
      </c>
      <c r="I208" s="27">
        <f>'Statistics NZ'!I$208*'Economic Forecasts'!K$9*1000000/SUM('Statistics NZ'!I$30:I$110,'Statistics NZ'!I$130:I$210)</f>
        <v>892.12353289125508</v>
      </c>
      <c r="J208" s="27">
        <f>'Statistics NZ'!J$208*'Economic Forecasts'!L$9*1000000/SUM('Statistics NZ'!J$30:J$110,'Statistics NZ'!J$130:J$210)</f>
        <v>945.93257766163458</v>
      </c>
      <c r="K208" s="27">
        <f>'Statistics NZ'!K$208*'Economic Forecasts'!M$9*1000000/SUM('Statistics NZ'!K$30:K$110,'Statistics NZ'!K$130:K$210)</f>
        <v>1012.5668116169629</v>
      </c>
      <c r="L208" s="27">
        <f>'Statistics NZ'!L$208*'Economic Forecasts'!N$9*1000000/SUM('Statistics NZ'!L$30:L$110,'Statistics NZ'!L$130:L$210)</f>
        <v>1051.5544226034499</v>
      </c>
      <c r="M208" s="27">
        <f>'Statistics NZ'!M$208*'Economic Forecasts'!O$9*1000000/SUM('Statistics NZ'!M$30:M$110,'Statistics NZ'!M$130:M$210)</f>
        <v>1074.6531226059074</v>
      </c>
      <c r="N208" s="27">
        <f>'Statistics NZ'!N$208*'Economic Forecasts'!P$9*1000000/SUM('Statistics NZ'!N$30:N$110,'Statistics NZ'!N$130:N$210)</f>
        <v>1183.977046842044</v>
      </c>
      <c r="O208" s="27">
        <f>'Statistics NZ'!O$208*'Economic Forecasts'!Q$9*1000000/SUM('Statistics NZ'!O$30:O$110,'Statistics NZ'!O$130:O$210)</f>
        <v>1168.7094981949369</v>
      </c>
      <c r="P208" s="27">
        <f>'Statistics NZ'!P$208*'Economic Forecasts'!R$9*1000000/SUM('Statistics NZ'!P$30:P$110,'Statistics NZ'!P$130:P$210)</f>
        <v>1302.3226469649692</v>
      </c>
      <c r="Q208" s="27">
        <f>'Statistics NZ'!Q$208*'Economic Forecasts'!S$9*1000000/SUM('Statistics NZ'!Q$30:Q$110,'Statistics NZ'!Q$130:Q$210)</f>
        <v>1333.7426845177795</v>
      </c>
      <c r="R208" s="27">
        <f>'Statistics NZ'!R$208*'Economic Forecasts'!T$9*1000000/SUM('Statistics NZ'!R$30:R$110,'Statistics NZ'!R$130:R$210)</f>
        <v>1462.8283083378665</v>
      </c>
      <c r="S208" s="27">
        <f>'Statistics NZ'!S$208*'Economic Forecasts'!U$9*1000000/SUM('Statistics NZ'!S$30:S$110,'Statistics NZ'!S$130:S$210)</f>
        <v>1450.4652328291734</v>
      </c>
      <c r="T208" s="27">
        <f>'Statistics NZ'!T$208*'Economic Forecasts'!V$9*1000000/SUM('Statistics NZ'!T$30:T$110,'Statistics NZ'!T$130:T$210)</f>
        <v>1512.8471570161712</v>
      </c>
      <c r="U208" s="28">
        <f>SUM('Statistics NZ'!U$208,$T$13/6*(U$8-U$9)*1000)*'Economic Forecasts'!W$9*1000000/SUM('Statistics NZ'!U$30:U$110,'Statistics NZ'!U$130:U$210,SUM($E$12:$T$13)*(U$8-U$9)*1000)</f>
        <v>1445.7971774004982</v>
      </c>
      <c r="V208" s="28">
        <f>SUM('Statistics NZ'!V$208,$T$13/6*(V$8-V$9)*1000)*'Economic Forecasts'!X$9*1000000/SUM('Statistics NZ'!V$30:V$110,'Statistics NZ'!V$130:V$210,SUM($E$12:$T$13)*(V$8-V$9)*1000)</f>
        <v>1431.561448405851</v>
      </c>
      <c r="W208" s="28">
        <f>SUM('Statistics NZ'!W$208,$T$13/6*(W$8-W$9)*1000)*'Economic Forecasts'!Y$9*1000000/SUM('Statistics NZ'!W$30:W$110,'Statistics NZ'!W$130:W$210,SUM($E$12:$T$13)*(W$8-W$9)*1000)</f>
        <v>1525.9615289301646</v>
      </c>
      <c r="X208" s="28">
        <f>SUM('Statistics NZ'!X$208,$T$13/6*(X$8-X$9)*1000)*'Economic Forecasts'!Z$9*1000000/SUM('Statistics NZ'!X$30:X$110,'Statistics NZ'!X$130:X$210,SUM($E$12:$T$13)*(X$8-X$9)*1000)</f>
        <v>1553.5403714607178</v>
      </c>
      <c r="Y208" s="28">
        <f>SUM('Statistics NZ'!Y$208,$T$13/6*(Y$8-Y$9)*1000)*'Economic Forecasts'!AA$9*1000000/SUM('Statistics NZ'!Y$30:Y$110,'Statistics NZ'!Y$130:Y$210,SUM($E$12:$T$13)*(Y$8-Y$9)*1000)</f>
        <v>1612.0410205416699</v>
      </c>
      <c r="Z208" s="28">
        <f>SUM('Statistics NZ'!Z$208,$T$13/6*(Z$8-Z$9)*1000)*'Economic Forecasts'!AB$9*1000000/SUM('Statistics NZ'!Z$30:Z$110,'Statistics NZ'!Z$130:Z$210,SUM($E$12:$T$13)*(Z$8-Z$9)*1000)</f>
        <v>1700.3002386340356</v>
      </c>
      <c r="AA208" s="28">
        <f>SUM('Statistics NZ'!AA$208,$T$13/6*(AA$8-AA$9)*1000)*'Economic Forecasts'!AC$9*1000000/SUM('Statistics NZ'!AA$30:AA$110,'Statistics NZ'!AA$130:AA$210,SUM($E$12:$T$13)*(AA$8-AA$9)*1000)</f>
        <v>1837.8777512081597</v>
      </c>
      <c r="AB208" s="18">
        <f>SUM(AA$208,'Statistics NZ'!AB$208-'Statistics NZ'!AA$208,$T$13/6*(AB$8-AB$9)*1000)</f>
        <v>1937.967600219597</v>
      </c>
      <c r="AC208" s="18">
        <f>SUM(AB$208,'Statistics NZ'!AC$208-'Statistics NZ'!AB$208,$T$13/6*(AC$8-AC$9)*1000)</f>
        <v>2198.027499560555</v>
      </c>
      <c r="AD208" s="18">
        <f>SUM(AC$208,'Statistics NZ'!AD$208-'Statistics NZ'!AC$208,$T$13/6*(AD$8-AD$9)*1000)</f>
        <v>2418.0524576192875</v>
      </c>
      <c r="AE208" s="18">
        <f>SUM(AD$208,'Statistics NZ'!AE$208-'Statistics NZ'!AD$208,$T$13/6*(AE$8-AE$9)*1000)</f>
        <v>2508.0524576192875</v>
      </c>
      <c r="AF208" s="18">
        <f>SUM(AE$208,'Statistics NZ'!AF$208-'Statistics NZ'!AE$208,$T$13/6*(AF$8-AF$9)*1000)</f>
        <v>2268.0524576192875</v>
      </c>
      <c r="AG208" s="18">
        <f>SUM(AF$208,'Statistics NZ'!AG$208-'Statistics NZ'!AF$208,$T$13/6*(AG$8-AG$9)*1000)</f>
        <v>2668.0524576192875</v>
      </c>
      <c r="AH208" s="18">
        <f>SUM(AG$208,'Statistics NZ'!AH$208-'Statistics NZ'!AG$208,$T$13/6*(AH$8-AH$9)*1000)</f>
        <v>2798.0524576192875</v>
      </c>
      <c r="AI208" s="18">
        <f>SUM(AH$208,'Statistics NZ'!AI$208-'Statistics NZ'!AH$208,$T$13/6*(AI$8-AI$9)*1000)</f>
        <v>3018.0524576192875</v>
      </c>
      <c r="AJ208" s="18">
        <f>SUM(AI$208,'Statistics NZ'!AJ$208-'Statistics NZ'!AI$208,$T$13/6*(AJ$8-AJ$9)*1000)</f>
        <v>3678.0524576192875</v>
      </c>
      <c r="AK208" s="18">
        <f>SUM(AJ$208,'Statistics NZ'!AK$208-'Statistics NZ'!AJ$208,$T$13/6*(AK$8-AK$9)*1000)</f>
        <v>3728.0524576192875</v>
      </c>
    </row>
    <row r="209" spans="1:37" x14ac:dyDescent="0.25">
      <c r="A209" s="12">
        <f>$A$109</f>
        <v>94</v>
      </c>
      <c r="B209" s="27">
        <f>'Statistics NZ'!B$209*'Economic Forecasts'!D$9*1000000/SUM('Statistics NZ'!B$30:B$110,'Statistics NZ'!B$130:B$210)</f>
        <v>391.3576351810504</v>
      </c>
      <c r="C209" s="27">
        <f>'Statistics NZ'!C$209*'Economic Forecasts'!E$9*1000000/SUM('Statistics NZ'!C$30:C$110,'Statistics NZ'!C$130:C$210)</f>
        <v>451.72359987517103</v>
      </c>
      <c r="D209" s="27">
        <f>'Statistics NZ'!D$209*'Economic Forecasts'!F$9*1000000/SUM('Statistics NZ'!D$30:D$110,'Statistics NZ'!D$130:D$210)</f>
        <v>442.02256676099211</v>
      </c>
      <c r="E209" s="27">
        <f>'Statistics NZ'!E$209*'Economic Forecasts'!G$9*1000000/SUM('Statistics NZ'!E$30:E$110,'Statistics NZ'!E$130:E$210)</f>
        <v>500.15816830518844</v>
      </c>
      <c r="F209" s="27">
        <f>'Statistics NZ'!F$209*'Economic Forecasts'!H$9*1000000/SUM('Statistics NZ'!F$30:F$110,'Statistics NZ'!F$130:F$210)</f>
        <v>519.86806138544262</v>
      </c>
      <c r="G209" s="27">
        <f>'Statistics NZ'!G$209*'Economic Forecasts'!I$9*1000000/SUM('Statistics NZ'!G$30:G$110,'Statistics NZ'!G$130:G$210)</f>
        <v>540.23597427200957</v>
      </c>
      <c r="H209" s="27">
        <f>'Statistics NZ'!H$209*'Economic Forecasts'!J$9*1000000/SUM('Statistics NZ'!H$30:H$110,'Statistics NZ'!H$130:H$210)</f>
        <v>510.90713144301162</v>
      </c>
      <c r="I209" s="27">
        <f>'Statistics NZ'!I$209*'Economic Forecasts'!K$9*1000000/SUM('Statistics NZ'!I$30:I$110,'Statistics NZ'!I$130:I$210)</f>
        <v>548.99909716384923</v>
      </c>
      <c r="J209" s="27">
        <f>'Statistics NZ'!J$209*'Economic Forecasts'!L$9*1000000/SUM('Statistics NZ'!J$30:J$110,'Statistics NZ'!J$130:J$210)</f>
        <v>711.88740380720958</v>
      </c>
      <c r="K209" s="27">
        <f>'Statistics NZ'!K$209*'Economic Forecasts'!M$9*1000000/SUM('Statistics NZ'!K$30:K$110,'Statistics NZ'!K$130:K$210)</f>
        <v>730.21645068530984</v>
      </c>
      <c r="L209" s="27">
        <f>'Statistics NZ'!L$209*'Economic Forecasts'!N$9*1000000/SUM('Statistics NZ'!L$30:L$110,'Statistics NZ'!L$130:L$210)</f>
        <v>778.92920192848158</v>
      </c>
      <c r="M209" s="27">
        <f>'Statistics NZ'!M$209*'Economic Forecasts'!O$9*1000000/SUM('Statistics NZ'!M$30:M$110,'Statistics NZ'!M$130:M$210)</f>
        <v>801.10505503349475</v>
      </c>
      <c r="N209" s="27">
        <f>'Statistics NZ'!N$209*'Economic Forecasts'!P$9*1000000/SUM('Statistics NZ'!N$30:N$110,'Statistics NZ'!N$130:N$210)</f>
        <v>821.93447879943551</v>
      </c>
      <c r="O209" s="27">
        <f>'Statistics NZ'!O$209*'Economic Forecasts'!Q$9*1000000/SUM('Statistics NZ'!O$30:O$110,'Statistics NZ'!O$130:O$210)</f>
        <v>913.36120447167332</v>
      </c>
      <c r="P209" s="27">
        <f>'Statistics NZ'!P$209*'Economic Forecasts'!R$9*1000000/SUM('Statistics NZ'!P$30:P$110,'Statistics NZ'!P$130:P$210)</f>
        <v>891.06286371287354</v>
      </c>
      <c r="Q209" s="27">
        <f>'Statistics NZ'!Q$209*'Economic Forecasts'!S$9*1000000/SUM('Statistics NZ'!Q$30:Q$110,'Statistics NZ'!Q$130:Q$210)</f>
        <v>997.83711952811643</v>
      </c>
      <c r="R209" s="27">
        <f>'Statistics NZ'!R$209*'Economic Forecasts'!T$9*1000000/SUM('Statistics NZ'!R$30:R$110,'Statistics NZ'!R$130:R$210)</f>
        <v>1018.0494308027043</v>
      </c>
      <c r="S209" s="27">
        <f>'Statistics NZ'!S$209*'Economic Forecasts'!U$9*1000000/SUM('Statistics NZ'!S$30:S$110,'Statistics NZ'!S$130:S$210)</f>
        <v>1080.5479251277736</v>
      </c>
      <c r="T209" s="27">
        <f>'Statistics NZ'!T$209*'Economic Forecasts'!V$9*1000000/SUM('Statistics NZ'!T$30:T$110,'Statistics NZ'!T$130:T$210)</f>
        <v>1090.428794992175</v>
      </c>
      <c r="U209" s="28">
        <f>SUM('Statistics NZ'!U$209,$T$13/6*(U$8-U$9)*1000)*'Economic Forecasts'!W$9*1000000/SUM('Statistics NZ'!U$30:U$110,'Statistics NZ'!U$130:U$210,SUM($E$12:$T$13)*(U$8-U$9)*1000)</f>
        <v>1170.2687701654099</v>
      </c>
      <c r="V209" s="28">
        <f>SUM('Statistics NZ'!V$209,$T$13/6*(V$8-V$9)*1000)*'Economic Forecasts'!X$9*1000000/SUM('Statistics NZ'!V$30:V$110,'Statistics NZ'!V$130:V$210,SUM($E$12:$T$13)*(V$8-V$9)*1000)</f>
        <v>1107.8521052123142</v>
      </c>
      <c r="W209" s="28">
        <f>SUM('Statistics NZ'!W$209,$T$13/6*(W$8-W$9)*1000)*'Economic Forecasts'!Y$9*1000000/SUM('Statistics NZ'!W$30:W$110,'Statistics NZ'!W$130:W$210,SUM($E$12:$T$13)*(W$8-W$9)*1000)</f>
        <v>1095.5538601499568</v>
      </c>
      <c r="X209" s="28">
        <f>SUM('Statistics NZ'!X$209,$T$13/6*(X$8-X$9)*1000)*'Economic Forecasts'!Z$9*1000000/SUM('Statistics NZ'!X$30:X$110,'Statistics NZ'!X$130:X$210,SUM($E$12:$T$13)*(X$8-X$9)*1000)</f>
        <v>1182.2842967221652</v>
      </c>
      <c r="Y209" s="28">
        <f>SUM('Statistics NZ'!Y$209,$T$13/6*(Y$8-Y$9)*1000)*'Economic Forecasts'!AA$9*1000000/SUM('Statistics NZ'!Y$30:Y$110,'Statistics NZ'!Y$130:Y$210,SUM($E$12:$T$13)*(Y$8-Y$9)*1000)</f>
        <v>1201.7442670638563</v>
      </c>
      <c r="Z209" s="28">
        <f>SUM('Statistics NZ'!Z$209,$T$13/6*(Z$8-Z$9)*1000)*'Economic Forecasts'!AB$9*1000000/SUM('Statistics NZ'!Z$30:Z$110,'Statistics NZ'!Z$130:Z$210,SUM($E$12:$T$13)*(Z$8-Z$9)*1000)</f>
        <v>1250.8316813117344</v>
      </c>
      <c r="AA209" s="28">
        <f>SUM('Statistics NZ'!AA$209,$T$13/6*(AA$8-AA$9)*1000)*'Economic Forecasts'!AC$9*1000000/SUM('Statistics NZ'!AA$30:AA$110,'Statistics NZ'!AA$130:AA$210,SUM($E$12:$T$13)*(AA$8-AA$9)*1000)</f>
        <v>1319.7870302256549</v>
      </c>
      <c r="AB209" s="18">
        <f>SUM(AA$209,'Statistics NZ'!AB$209-'Statistics NZ'!AA$209,$T$13/6*(AB$8-AB$9)*1000)</f>
        <v>1429.8768792370922</v>
      </c>
      <c r="AC209" s="18">
        <f>SUM(AB$209,'Statistics NZ'!AC$209-'Statistics NZ'!AB$209,$T$13/6*(AC$8-AC$9)*1000)</f>
        <v>1509.9367785780505</v>
      </c>
      <c r="AD209" s="18">
        <f>SUM(AC$209,'Statistics NZ'!AD$209-'Statistics NZ'!AC$209,$T$13/6*(AD$8-AD$9)*1000)</f>
        <v>1709.9617366367831</v>
      </c>
      <c r="AE209" s="18">
        <f>SUM(AD$209,'Statistics NZ'!AE$209-'Statistics NZ'!AD$209,$T$13/6*(AE$8-AE$9)*1000)</f>
        <v>1889.9617366367831</v>
      </c>
      <c r="AF209" s="18">
        <f>SUM(AE$209,'Statistics NZ'!AF$209-'Statistics NZ'!AE$209,$T$13/6*(AF$8-AF$9)*1000)</f>
        <v>1959.9617366367831</v>
      </c>
      <c r="AG209" s="18">
        <f>SUM(AF$209,'Statistics NZ'!AG$209-'Statistics NZ'!AF$209,$T$13/6*(AG$8-AG$9)*1000)</f>
        <v>1769.9617366367831</v>
      </c>
      <c r="AH209" s="18">
        <f>SUM(AG$209,'Statistics NZ'!AH$209-'Statistics NZ'!AG$209,$T$13/6*(AH$8-AH$9)*1000)</f>
        <v>2089.9617366367829</v>
      </c>
      <c r="AI209" s="18">
        <f>SUM(AH$209,'Statistics NZ'!AI$209-'Statistics NZ'!AH$209,$T$13/6*(AI$8-AI$9)*1000)</f>
        <v>2199.9617366367829</v>
      </c>
      <c r="AJ209" s="18">
        <f>SUM(AI$209,'Statistics NZ'!AJ$209-'Statistics NZ'!AI$209,$T$13/6*(AJ$8-AJ$9)*1000)</f>
        <v>2369.9617366367829</v>
      </c>
      <c r="AK209" s="18">
        <f>SUM(AJ$209,'Statistics NZ'!AK$209-'Statistics NZ'!AJ$209,$T$13/6*(AK$8-AK$9)*1000)</f>
        <v>2889.9617366367829</v>
      </c>
    </row>
    <row r="210" spans="1:37" x14ac:dyDescent="0.25">
      <c r="A210" s="12" t="str">
        <f>$A$110</f>
        <v>95 &amp; over</v>
      </c>
      <c r="B210" s="27">
        <f>'Statistics NZ'!B$210*'Economic Forecasts'!D$9*1000000/SUM('Statistics NZ'!B$30:B$110,'Statistics NZ'!B$130:B$210)</f>
        <v>831.63497475973202</v>
      </c>
      <c r="C210" s="27">
        <f>'Statistics NZ'!C$210*'Economic Forecasts'!E$9*1000000/SUM('Statistics NZ'!C$30:C$110,'Statistics NZ'!C$130:C$210)</f>
        <v>864.16688671771851</v>
      </c>
      <c r="D210" s="27">
        <f>'Statistics NZ'!D$210*'Economic Forecasts'!F$9*1000000/SUM('Statistics NZ'!D$30:D$110,'Statistics NZ'!D$130:D$210)</f>
        <v>962.62692316838275</v>
      </c>
      <c r="E210" s="27">
        <f>'Statistics NZ'!E$210*'Economic Forecasts'!G$9*1000000/SUM('Statistics NZ'!E$30:E$110,'Statistics NZ'!E$130:E$210)</f>
        <v>1000.3163366103769</v>
      </c>
      <c r="F210" s="27">
        <f>'Statistics NZ'!F$210*'Economic Forecasts'!H$9*1000000/SUM('Statistics NZ'!F$30:F$110,'Statistics NZ'!F$130:F$210)</f>
        <v>1039.7361227708852</v>
      </c>
      <c r="G210" s="27">
        <f>'Statistics NZ'!G$210*'Economic Forecasts'!I$9*1000000/SUM('Statistics NZ'!G$30:G$110,'Statistics NZ'!G$130:G$210)</f>
        <v>1100.1168930630013</v>
      </c>
      <c r="H210" s="27">
        <f>'Statistics NZ'!H$210*'Economic Forecasts'!J$9*1000000/SUM('Statistics NZ'!H$30:H$110,'Statistics NZ'!H$130:H$210)</f>
        <v>1169.1913200330457</v>
      </c>
      <c r="I210" s="27">
        <f>'Statistics NZ'!I$210*'Economic Forecasts'!K$9*1000000/SUM('Statistics NZ'!I$30:I$110,'Statistics NZ'!I$130:I$210)</f>
        <v>1176.426636779677</v>
      </c>
      <c r="J210" s="27">
        <f>'Statistics NZ'!J$210*'Economic Forecasts'!L$9*1000000/SUM('Statistics NZ'!J$30:J$110,'Statistics NZ'!J$130:J$210)</f>
        <v>1218.9852804917969</v>
      </c>
      <c r="K210" s="27">
        <f>'Statistics NZ'!K$210*'Economic Forecasts'!M$9*1000000/SUM('Statistics NZ'!K$30:K$110,'Statistics NZ'!K$130:K$210)</f>
        <v>1333.8620499184992</v>
      </c>
      <c r="L210" s="27">
        <f>'Statistics NZ'!L$210*'Economic Forecasts'!N$9*1000000/SUM('Statistics NZ'!L$30:L$110,'Statistics NZ'!L$130:L$210)</f>
        <v>1470.2288686400086</v>
      </c>
      <c r="M210" s="27">
        <f>'Statistics NZ'!M$210*'Economic Forecasts'!O$9*1000000/SUM('Statistics NZ'!M$30:M$110,'Statistics NZ'!M$130:M$210)</f>
        <v>1651.057979276349</v>
      </c>
      <c r="N210" s="27">
        <f>'Statistics NZ'!N$210*'Economic Forecasts'!P$9*1000000/SUM('Statistics NZ'!N$30:N$110,'Statistics NZ'!N$130:N$210)</f>
        <v>1741.7183003130897</v>
      </c>
      <c r="O210" s="27">
        <f>'Statistics NZ'!O$210*'Economic Forecasts'!Q$9*1000000/SUM('Statistics NZ'!O$30:O$110,'Statistics NZ'!O$130:O$210)</f>
        <v>1866.0067618238488</v>
      </c>
      <c r="P210" s="27">
        <f>'Statistics NZ'!P$210*'Economic Forecasts'!R$9*1000000/SUM('Statistics NZ'!P$30:P$110,'Statistics NZ'!P$130:P$210)</f>
        <v>2017.131317855516</v>
      </c>
      <c r="Q210" s="27">
        <f>'Statistics NZ'!Q$210*'Economic Forecasts'!S$9*1000000/SUM('Statistics NZ'!Q$30:Q$110,'Statistics NZ'!Q$130:Q$210)</f>
        <v>2133.988295228447</v>
      </c>
      <c r="R210" s="27">
        <f>'Statistics NZ'!R$210*'Economic Forecasts'!T$9*1000000/SUM('Statistics NZ'!R$30:R$110,'Statistics NZ'!R$130:R$210)</f>
        <v>2134.938612168778</v>
      </c>
      <c r="S210" s="27">
        <f>'Statistics NZ'!S$210*'Economic Forecasts'!U$9*1000000/SUM('Statistics NZ'!S$30:S$110,'Statistics NZ'!S$130:S$210)</f>
        <v>2083.2185223184097</v>
      </c>
      <c r="T210" s="27">
        <f>'Statistics NZ'!T$210*'Economic Forecasts'!V$9*1000000/SUM('Statistics NZ'!T$30:T$110,'Statistics NZ'!T$130:T$210)</f>
        <v>2259.4470526864893</v>
      </c>
      <c r="U210" s="28">
        <f>SUM('Statistics NZ'!U$210,$T$13/6*(U$8-U$9)*1000)*'Economic Forecasts'!W$9*1000000/SUM('Statistics NZ'!U$30:U$110,'Statistics NZ'!U$130:U$210,SUM($E$12:$T$13)*(U$8-U$9)*1000)</f>
        <v>2439.6675034984937</v>
      </c>
      <c r="V210" s="28">
        <f>SUM('Statistics NZ'!V$210,$T$13/6*(V$8-V$9)*1000)*'Economic Forecasts'!X$9*1000000/SUM('Statistics NZ'!V$30:V$110,'Statistics NZ'!V$130:V$210,SUM($E$12:$T$13)*(V$8-V$9)*1000)</f>
        <v>2598.8769587098177</v>
      </c>
      <c r="W210" s="28">
        <f>SUM('Statistics NZ'!W$210,$T$13/6*(W$8-W$9)*1000)*'Economic Forecasts'!Y$9*1000000/SUM('Statistics NZ'!W$30:W$110,'Statistics NZ'!W$130:W$210,SUM($E$12:$T$13)*(W$8-W$9)*1000)</f>
        <v>2680.2366406589026</v>
      </c>
      <c r="X210" s="28">
        <f>SUM('Statistics NZ'!X$210,$T$13/6*(X$8-X$9)*1000)*'Economic Forecasts'!Z$9*1000000/SUM('Statistics NZ'!X$30:X$110,'Statistics NZ'!X$130:X$210,SUM($E$12:$T$13)*(X$8-X$9)*1000)</f>
        <v>2725.9279758982516</v>
      </c>
      <c r="Y210" s="28">
        <f>SUM('Statistics NZ'!Y$210,$T$13/6*(Y$8-Y$9)*1000)*'Economic Forecasts'!AA$9*1000000/SUM('Statistics NZ'!Y$30:Y$110,'Statistics NZ'!Y$130:Y$210,SUM($E$12:$T$13)*(Y$8-Y$9)*1000)</f>
        <v>2823.393340333309</v>
      </c>
      <c r="Z210" s="28">
        <f>SUM('Statistics NZ'!Z$210,$T$13/6*(Z$8-Z$9)*1000)*'Economic Forecasts'!AB$9*1000000/SUM('Statistics NZ'!Z$30:Z$110,'Statistics NZ'!Z$130:Z$210,SUM($E$12:$T$13)*(Z$8-Z$9)*1000)</f>
        <v>2902.1400766914935</v>
      </c>
      <c r="AA210" s="28">
        <f>SUM('Statistics NZ'!AA$210,$T$13/6*(AA$8-AA$9)*1000)*'Economic Forecasts'!AC$9*1000000/SUM('Statistics NZ'!AA$30:AA$110,'Statistics NZ'!AA$130:AA$210,SUM($E$12:$T$13)*(AA$8-AA$9)*1000)</f>
        <v>3001.1380492632179</v>
      </c>
      <c r="AB210" s="18">
        <f>SUM(AA$210,'Statistics NZ'!AB$210-'Statistics NZ'!AA$210,$T$13/6*(AB$8-AB$9)*1000)</f>
        <v>3131.2278982746552</v>
      </c>
      <c r="AC210" s="18">
        <f>SUM(AB$210,'Statistics NZ'!AC$210-'Statistics NZ'!AB$210,$T$13/6*(AC$8-AC$9)*1000)</f>
        <v>3301.2877976156133</v>
      </c>
      <c r="AD210" s="18">
        <f>SUM(AC$210,'Statistics NZ'!AD$210-'Statistics NZ'!AC$210,$T$13/6*(AD$8-AD$9)*1000)</f>
        <v>3501.3127556743457</v>
      </c>
      <c r="AE210" s="18">
        <f>SUM(AD$210,'Statistics NZ'!AE$210-'Statistics NZ'!AD$210,$T$13/6*(AE$8-AE$9)*1000)</f>
        <v>3791.3127556743457</v>
      </c>
      <c r="AF210" s="18">
        <f>SUM(AE$210,'Statistics NZ'!AF$210-'Statistics NZ'!AE$210,$T$13/6*(AF$8-AF$9)*1000)</f>
        <v>4141.3127556743457</v>
      </c>
      <c r="AG210" s="18">
        <f>SUM(AF$210,'Statistics NZ'!AG$210-'Statistics NZ'!AF$210,$T$13/6*(AG$8-AG$9)*1000)</f>
        <v>4451.3127556743457</v>
      </c>
      <c r="AH210" s="18">
        <f>SUM(AG$210,'Statistics NZ'!AH$210-'Statistics NZ'!AG$210,$T$13/6*(AH$8-AH$9)*1000)</f>
        <v>4531.3127556743457</v>
      </c>
      <c r="AI210" s="18">
        <f>SUM(AH$210,'Statistics NZ'!AI$210-'Statistics NZ'!AH$210,$T$13/6*(AI$8-AI$9)*1000)</f>
        <v>4831.3127556743457</v>
      </c>
      <c r="AJ210" s="18">
        <f>SUM(AI$210,'Statistics NZ'!AJ$210-'Statistics NZ'!AI$210,$T$13/6*(AJ$8-AJ$9)*1000)</f>
        <v>5131.3127556743457</v>
      </c>
      <c r="AK210" s="18">
        <f>SUM(AJ$210,'Statistics NZ'!AK$210-'Statistics NZ'!AJ$210,$T$13/6*(AK$8-AK$9)*1000)</f>
        <v>5491.3127556743457</v>
      </c>
    </row>
    <row r="211" spans="1:37" x14ac:dyDescent="0.25">
      <c r="A211" s="11" t="s">
        <v>387</v>
      </c>
      <c r="B211" s="29">
        <f>SUM(B$115:B$210)</f>
        <v>2041347.5175145019</v>
      </c>
      <c r="C211" s="29">
        <f t="shared" ref="C211:AK211" si="6">SUM(C$115:C$210)</f>
        <v>2062144.8938604787</v>
      </c>
      <c r="D211" s="29">
        <f t="shared" si="6"/>
        <v>2079616.102546884</v>
      </c>
      <c r="E211" s="29">
        <f t="shared" si="6"/>
        <v>2098364.9078065469</v>
      </c>
      <c r="F211" s="29">
        <f t="shared" si="6"/>
        <v>2122463.1437124098</v>
      </c>
      <c r="G211" s="29">
        <f t="shared" si="6"/>
        <v>2141194.8971482366</v>
      </c>
      <c r="H211" s="29">
        <f t="shared" si="6"/>
        <v>2153506.5737652774</v>
      </c>
      <c r="I211" s="29">
        <f t="shared" si="6"/>
        <v>2167973.1665009554</v>
      </c>
      <c r="J211" s="29">
        <f t="shared" si="6"/>
        <v>2203729.8711572946</v>
      </c>
      <c r="K211" s="29">
        <f t="shared" si="6"/>
        <v>2255706.7716331822</v>
      </c>
      <c r="L211" s="29">
        <f t="shared" si="6"/>
        <v>2311998.068229863</v>
      </c>
      <c r="M211" s="29">
        <f t="shared" si="6"/>
        <v>2367277.9516496491</v>
      </c>
      <c r="N211" s="29">
        <f t="shared" si="6"/>
        <v>2416599.3931199699</v>
      </c>
      <c r="O211" s="29">
        <f t="shared" si="6"/>
        <v>2456166.6777573652</v>
      </c>
      <c r="P211" s="29">
        <f t="shared" si="6"/>
        <v>2504408.2706809179</v>
      </c>
      <c r="Q211" s="29">
        <f t="shared" si="6"/>
        <v>2524510.1867076633</v>
      </c>
      <c r="R211" s="29">
        <f t="shared" si="6"/>
        <v>2525174.0680384426</v>
      </c>
      <c r="S211" s="29">
        <f t="shared" si="6"/>
        <v>2563973.1091815135</v>
      </c>
      <c r="T211" s="29">
        <f t="shared" si="6"/>
        <v>2624728.0433845129</v>
      </c>
      <c r="U211" s="30">
        <f t="shared" si="6"/>
        <v>2646388.9188023047</v>
      </c>
      <c r="V211" s="30">
        <f t="shared" si="6"/>
        <v>2663031.3246463356</v>
      </c>
      <c r="W211" s="30">
        <f t="shared" si="6"/>
        <v>2686645.3240962783</v>
      </c>
      <c r="X211" s="30">
        <f t="shared" si="6"/>
        <v>2717265.8398908265</v>
      </c>
      <c r="Y211" s="30">
        <f t="shared" si="6"/>
        <v>2749923.0988328285</v>
      </c>
      <c r="Z211" s="30">
        <f t="shared" si="6"/>
        <v>2783125.8779836819</v>
      </c>
      <c r="AA211" s="30">
        <f t="shared" si="6"/>
        <v>2816374.9046866037</v>
      </c>
      <c r="AB211" s="19">
        <f t="shared" si="6"/>
        <v>2844572.4710107171</v>
      </c>
      <c r="AC211" s="19">
        <f t="shared" si="6"/>
        <v>2872247.515226793</v>
      </c>
      <c r="AD211" s="19">
        <f t="shared" si="6"/>
        <v>2899401.2836501594</v>
      </c>
      <c r="AE211" s="19">
        <f t="shared" si="6"/>
        <v>2926011.2836501594</v>
      </c>
      <c r="AF211" s="19">
        <f t="shared" si="6"/>
        <v>2952561.2836501594</v>
      </c>
      <c r="AG211" s="19">
        <f t="shared" si="6"/>
        <v>2978971.2836501594</v>
      </c>
      <c r="AH211" s="19">
        <f t="shared" si="6"/>
        <v>3005321.2836501594</v>
      </c>
      <c r="AI211" s="19">
        <f t="shared" si="6"/>
        <v>3031521.2836501594</v>
      </c>
      <c r="AJ211" s="19">
        <f t="shared" si="6"/>
        <v>3057731.2836501594</v>
      </c>
      <c r="AK211" s="19">
        <f t="shared" si="6"/>
        <v>3083811.2836501594</v>
      </c>
    </row>
    <row r="212" spans="1:37" x14ac:dyDescent="0.25">
      <c r="A212" s="11"/>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row>
    <row r="213" spans="1:37" x14ac:dyDescent="0.25">
      <c r="A213" s="11" t="s">
        <v>420</v>
      </c>
      <c r="B213" s="12"/>
      <c r="C213" s="18"/>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row>
    <row r="214" spans="1:37" x14ac:dyDescent="0.25">
      <c r="A214" s="11" t="s">
        <v>421</v>
      </c>
      <c r="B214" s="12"/>
      <c r="C214" s="18"/>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row>
    <row r="215" spans="1:37" x14ac:dyDescent="0.25">
      <c r="A215" s="12" t="s">
        <v>422</v>
      </c>
      <c r="B215" s="12"/>
      <c r="C215" s="17">
        <f>SUM(C$31:C$34)/SUM(B$31:B$34)-1</f>
        <v>2.6295548318437056E-2</v>
      </c>
      <c r="D215" s="17">
        <f t="shared" ref="D215:AK215" si="7">SUM(D$31:D$34)/SUM(C$31:C$34)-1</f>
        <v>6.5976756778252099E-3</v>
      </c>
      <c r="E215" s="17">
        <f t="shared" si="7"/>
        <v>4.9961512931062657E-3</v>
      </c>
      <c r="F215" s="17">
        <f t="shared" si="7"/>
        <v>-4.8762190921467496E-3</v>
      </c>
      <c r="G215" s="17">
        <f t="shared" si="7"/>
        <v>-1.1101841140114921E-2</v>
      </c>
      <c r="H215" s="17">
        <f t="shared" si="7"/>
        <v>-1.0191784185323516E-2</v>
      </c>
      <c r="I215" s="17">
        <f t="shared" si="7"/>
        <v>-6.9024483442401419E-3</v>
      </c>
      <c r="J215" s="17">
        <f t="shared" si="7"/>
        <v>-2.5889814854160864E-3</v>
      </c>
      <c r="K215" s="17">
        <f t="shared" si="7"/>
        <v>-2.5009781979873358E-3</v>
      </c>
      <c r="L215" s="17">
        <f t="shared" si="7"/>
        <v>9.419589252742E-3</v>
      </c>
      <c r="M215" s="17">
        <f t="shared" si="7"/>
        <v>1.0681205164694285E-2</v>
      </c>
      <c r="N215" s="17">
        <f t="shared" si="7"/>
        <v>1.2509207246511611E-3</v>
      </c>
      <c r="O215" s="17">
        <f t="shared" si="7"/>
        <v>3.8559265548763211E-3</v>
      </c>
      <c r="P215" s="17">
        <f t="shared" si="7"/>
        <v>-4.0918418771019871E-3</v>
      </c>
      <c r="Q215" s="17">
        <f t="shared" si="7"/>
        <v>-3.3632475909457504E-3</v>
      </c>
      <c r="R215" s="17">
        <f t="shared" si="7"/>
        <v>3.4550387123286619E-3</v>
      </c>
      <c r="S215" s="17">
        <f t="shared" si="7"/>
        <v>2.7048812848688764E-2</v>
      </c>
      <c r="T215" s="17">
        <f t="shared" si="7"/>
        <v>4.8838579170446428E-2</v>
      </c>
      <c r="U215" s="17">
        <f t="shared" si="7"/>
        <v>1.9627140319264713E-2</v>
      </c>
      <c r="V215" s="17">
        <f t="shared" si="7"/>
        <v>2.3492908458824902E-2</v>
      </c>
      <c r="W215" s="17">
        <f t="shared" si="7"/>
        <v>1.164666139613213E-2</v>
      </c>
      <c r="X215" s="17">
        <f t="shared" si="7"/>
        <v>3.6381003873393603E-3</v>
      </c>
      <c r="Y215" s="17">
        <f t="shared" si="7"/>
        <v>8.4762920091137062E-3</v>
      </c>
      <c r="Z215" s="17">
        <f t="shared" si="7"/>
        <v>-4.3269489311210663E-3</v>
      </c>
      <c r="AA215" s="17">
        <f t="shared" si="7"/>
        <v>-3.5763851625006948E-3</v>
      </c>
      <c r="AB215" s="17">
        <f t="shared" si="7"/>
        <v>-7.3269719007754697E-3</v>
      </c>
      <c r="AC215" s="17">
        <f t="shared" si="7"/>
        <v>-3.9560554828206307E-3</v>
      </c>
      <c r="AD215" s="17">
        <f t="shared" si="7"/>
        <v>-2.5265332219975845E-3</v>
      </c>
      <c r="AE215" s="17">
        <f t="shared" si="7"/>
        <v>-2.8399723991279213E-3</v>
      </c>
      <c r="AF215" s="17">
        <f t="shared" si="7"/>
        <v>-2.044761609497403E-3</v>
      </c>
      <c r="AG215" s="17">
        <f t="shared" si="7"/>
        <v>-4.5369634296746897E-3</v>
      </c>
      <c r="AH215" s="17">
        <f t="shared" si="7"/>
        <v>2.2053102974972649E-3</v>
      </c>
      <c r="AI215" s="17">
        <f t="shared" si="7"/>
        <v>-1.701687215059422E-2</v>
      </c>
      <c r="AJ215" s="17">
        <f t="shared" si="7"/>
        <v>-1.3804396213848991E-2</v>
      </c>
      <c r="AK215" s="17">
        <f t="shared" si="7"/>
        <v>-1.1122437142343067E-2</v>
      </c>
    </row>
    <row r="216" spans="1:37" x14ac:dyDescent="0.25">
      <c r="A216" s="12" t="s">
        <v>423</v>
      </c>
      <c r="B216" s="12"/>
      <c r="C216" s="17">
        <f>SUM(C$35:C$39)/SUM(B$35:B$39)-1</f>
        <v>-1.8997984469797391E-3</v>
      </c>
      <c r="D216" s="17">
        <f t="shared" ref="D216:AK216" si="8">SUM(D$35:D$39)/SUM(C$35:C$39)-1</f>
        <v>-9.7627378712339397E-4</v>
      </c>
      <c r="E216" s="17">
        <f t="shared" si="8"/>
        <v>7.8765783414751489E-3</v>
      </c>
      <c r="F216" s="17">
        <f t="shared" si="8"/>
        <v>2.4823543349302035E-2</v>
      </c>
      <c r="G216" s="17">
        <f t="shared" si="8"/>
        <v>2.4259295759812893E-2</v>
      </c>
      <c r="H216" s="17">
        <f t="shared" si="8"/>
        <v>1.0553672016346827E-2</v>
      </c>
      <c r="I216" s="17">
        <f t="shared" si="8"/>
        <v>7.1153756377564381E-3</v>
      </c>
      <c r="J216" s="17">
        <f t="shared" si="8"/>
        <v>1.3698879598035063E-2</v>
      </c>
      <c r="K216" s="17">
        <f t="shared" si="8"/>
        <v>1.4560906814758745E-2</v>
      </c>
      <c r="L216" s="17">
        <f t="shared" si="8"/>
        <v>1.206989886522214E-2</v>
      </c>
      <c r="M216" s="17">
        <f t="shared" si="8"/>
        <v>7.1349765660801978E-3</v>
      </c>
      <c r="N216" s="17">
        <f t="shared" si="8"/>
        <v>-1.7901446131111109E-3</v>
      </c>
      <c r="O216" s="17">
        <f t="shared" si="8"/>
        <v>-4.2348717095138655E-3</v>
      </c>
      <c r="P216" s="17">
        <f t="shared" si="8"/>
        <v>6.629567626493138E-3</v>
      </c>
      <c r="Q216" s="17">
        <f t="shared" si="8"/>
        <v>-1.4118464055586477E-2</v>
      </c>
      <c r="R216" s="17">
        <f t="shared" si="8"/>
        <v>-2.3844318721269686E-2</v>
      </c>
      <c r="S216" s="17">
        <f t="shared" si="8"/>
        <v>-4.8106781846969371E-3</v>
      </c>
      <c r="T216" s="17">
        <f t="shared" si="8"/>
        <v>2.2402303216456199E-2</v>
      </c>
      <c r="U216" s="17">
        <f t="shared" si="8"/>
        <v>-3.1779154705872115E-3</v>
      </c>
      <c r="V216" s="17">
        <f t="shared" si="8"/>
        <v>-4.8236855906602649E-5</v>
      </c>
      <c r="W216" s="17">
        <f t="shared" si="8"/>
        <v>1.8718208584408647E-2</v>
      </c>
      <c r="X216" s="17">
        <f t="shared" si="8"/>
        <v>2.8259995545752092E-2</v>
      </c>
      <c r="Y216" s="17">
        <f t="shared" si="8"/>
        <v>2.0578948527600005E-2</v>
      </c>
      <c r="Z216" s="17">
        <f t="shared" si="8"/>
        <v>2.6137359509444069E-2</v>
      </c>
      <c r="AA216" s="17">
        <f t="shared" si="8"/>
        <v>2.2223087282897236E-2</v>
      </c>
      <c r="AB216" s="17">
        <f t="shared" si="8"/>
        <v>1.002578387652231E-2</v>
      </c>
      <c r="AC216" s="17">
        <f t="shared" si="8"/>
        <v>3.9062672817542499E-3</v>
      </c>
      <c r="AD216" s="17">
        <f t="shared" si="8"/>
        <v>2.4558674638450739E-3</v>
      </c>
      <c r="AE216" s="17">
        <f t="shared" si="8"/>
        <v>-2.6940769831521605E-3</v>
      </c>
      <c r="AF216" s="17">
        <f t="shared" si="8"/>
        <v>-5.065039950960859E-3</v>
      </c>
      <c r="AG216" s="17">
        <f t="shared" si="8"/>
        <v>-3.0544951103403939E-3</v>
      </c>
      <c r="AH216" s="17">
        <f t="shared" si="8"/>
        <v>-6.4113974240909144E-3</v>
      </c>
      <c r="AI216" s="17">
        <f t="shared" si="8"/>
        <v>-1.3704995444898671E-3</v>
      </c>
      <c r="AJ216" s="17">
        <f t="shared" si="8"/>
        <v>-3.5453160105762827E-3</v>
      </c>
      <c r="AK216" s="17">
        <f t="shared" si="8"/>
        <v>-3.4431580613791812E-4</v>
      </c>
    </row>
    <row r="217" spans="1:37" x14ac:dyDescent="0.25">
      <c r="A217" s="12" t="s">
        <v>424</v>
      </c>
      <c r="B217" s="12"/>
      <c r="C217" s="17">
        <f>SUM(C$40:C$44)/SUM(B$40:B$44)-1</f>
        <v>1.7817371420800088E-2</v>
      </c>
      <c r="D217" s="17">
        <f t="shared" ref="D217:AK217" si="9">SUM(D$40:D$44)/SUM(C$40:C$44)-1</f>
        <v>1.4666537513140954E-2</v>
      </c>
      <c r="E217" s="17">
        <f t="shared" si="9"/>
        <v>9.8073214614891047E-3</v>
      </c>
      <c r="F217" s="17">
        <f t="shared" si="9"/>
        <v>1.1337537862573521E-2</v>
      </c>
      <c r="G217" s="17">
        <f t="shared" si="9"/>
        <v>3.1718767027328898E-3</v>
      </c>
      <c r="H217" s="17">
        <f t="shared" si="9"/>
        <v>-1.4337031290928559E-3</v>
      </c>
      <c r="I217" s="17">
        <f t="shared" si="9"/>
        <v>9.0904537027076682E-3</v>
      </c>
      <c r="J217" s="17">
        <f t="shared" si="9"/>
        <v>3.6645630570751431E-2</v>
      </c>
      <c r="K217" s="17">
        <f t="shared" si="9"/>
        <v>5.6623391094337228E-2</v>
      </c>
      <c r="L217" s="17">
        <f t="shared" si="9"/>
        <v>7.0205502029406786E-2</v>
      </c>
      <c r="M217" s="17">
        <f t="shared" si="9"/>
        <v>5.7208291364206465E-2</v>
      </c>
      <c r="N217" s="17">
        <f t="shared" si="9"/>
        <v>3.0353735863084985E-2</v>
      </c>
      <c r="O217" s="17">
        <f t="shared" si="9"/>
        <v>1.14215318928923E-2</v>
      </c>
      <c r="P217" s="17">
        <f t="shared" si="9"/>
        <v>1.5144865061502255E-2</v>
      </c>
      <c r="Q217" s="17">
        <f t="shared" si="9"/>
        <v>-3.28988276382709E-2</v>
      </c>
      <c r="R217" s="17">
        <f t="shared" si="9"/>
        <v>-4.7605138814530434E-2</v>
      </c>
      <c r="S217" s="17">
        <f t="shared" si="9"/>
        <v>2.9419197138433884E-3</v>
      </c>
      <c r="T217" s="17">
        <f t="shared" si="9"/>
        <v>4.7188942403408873E-4</v>
      </c>
      <c r="U217" s="17">
        <f t="shared" si="9"/>
        <v>-1.7985930941975647E-2</v>
      </c>
      <c r="V217" s="17">
        <f t="shared" si="9"/>
        <v>-6.9911618581368629E-3</v>
      </c>
      <c r="W217" s="17">
        <f t="shared" si="9"/>
        <v>-3.2824677223319831E-3</v>
      </c>
      <c r="X217" s="17">
        <f t="shared" si="9"/>
        <v>-4.395831632686531E-3</v>
      </c>
      <c r="Y217" s="17">
        <f t="shared" si="9"/>
        <v>7.8556748931823961E-3</v>
      </c>
      <c r="Z217" s="17">
        <f t="shared" si="9"/>
        <v>-6.7584947359766723E-4</v>
      </c>
      <c r="AA217" s="17">
        <f t="shared" si="9"/>
        <v>6.1366354133121082E-3</v>
      </c>
      <c r="AB217" s="17">
        <f t="shared" si="9"/>
        <v>2.4456545408999775E-2</v>
      </c>
      <c r="AC217" s="17">
        <f t="shared" si="9"/>
        <v>3.0475998499708501E-2</v>
      </c>
      <c r="AD217" s="17">
        <f t="shared" si="9"/>
        <v>2.0822851800743392E-2</v>
      </c>
      <c r="AE217" s="17">
        <f t="shared" si="9"/>
        <v>2.5498423365076794E-2</v>
      </c>
      <c r="AF217" s="17">
        <f t="shared" si="9"/>
        <v>2.1203065727400716E-2</v>
      </c>
      <c r="AG217" s="17">
        <f t="shared" si="9"/>
        <v>1.0060340346393692E-2</v>
      </c>
      <c r="AH217" s="17">
        <f t="shared" si="9"/>
        <v>4.1323976677956065E-3</v>
      </c>
      <c r="AI217" s="17">
        <f t="shared" si="9"/>
        <v>2.7963555825223363E-3</v>
      </c>
      <c r="AJ217" s="17">
        <f t="shared" si="9"/>
        <v>-2.0519576141981855E-3</v>
      </c>
      <c r="AK217" s="17">
        <f t="shared" si="9"/>
        <v>-4.4814109783755107E-3</v>
      </c>
    </row>
    <row r="218" spans="1:37" x14ac:dyDescent="0.25">
      <c r="A218" s="12" t="s">
        <v>425</v>
      </c>
      <c r="B218" s="12"/>
      <c r="C218" s="17">
        <f>SUM(C$45:C$49)/SUM(B$45:B$49)-1</f>
        <v>-2.3328204551282483E-2</v>
      </c>
      <c r="D218" s="17">
        <f t="shared" ref="D218:AK218" si="10">SUM(D$45:D$49)/SUM(C$45:C$49)-1</f>
        <v>-2.4521027790977312E-2</v>
      </c>
      <c r="E218" s="17">
        <f t="shared" si="10"/>
        <v>-1.2844051493260622E-2</v>
      </c>
      <c r="F218" s="17">
        <f t="shared" si="10"/>
        <v>-3.7323040134429331E-3</v>
      </c>
      <c r="G218" s="17">
        <f t="shared" si="10"/>
        <v>2.1064669711154949E-3</v>
      </c>
      <c r="H218" s="17">
        <f t="shared" si="10"/>
        <v>2.2718473863301281E-3</v>
      </c>
      <c r="I218" s="17">
        <f t="shared" si="10"/>
        <v>7.0502297618637577E-3</v>
      </c>
      <c r="J218" s="17">
        <f t="shared" si="10"/>
        <v>1.6228452875831856E-2</v>
      </c>
      <c r="K218" s="17">
        <f t="shared" si="10"/>
        <v>3.2285685555778265E-2</v>
      </c>
      <c r="L218" s="17">
        <f t="shared" si="10"/>
        <v>4.3773610996669321E-2</v>
      </c>
      <c r="M218" s="17">
        <f t="shared" si="10"/>
        <v>4.6968551720495189E-2</v>
      </c>
      <c r="N218" s="17">
        <f t="shared" si="10"/>
        <v>5.1690857708691196E-2</v>
      </c>
      <c r="O218" s="17">
        <f t="shared" si="10"/>
        <v>4.2722871771580628E-2</v>
      </c>
      <c r="P218" s="17">
        <f t="shared" si="10"/>
        <v>4.7589241222559364E-2</v>
      </c>
      <c r="Q218" s="17">
        <f t="shared" si="10"/>
        <v>3.1437568006177585E-2</v>
      </c>
      <c r="R218" s="17">
        <f t="shared" si="10"/>
        <v>5.5303797037373759E-3</v>
      </c>
      <c r="S218" s="17">
        <f t="shared" si="10"/>
        <v>2.4739380156877377E-2</v>
      </c>
      <c r="T218" s="17">
        <f t="shared" si="10"/>
        <v>2.6741258819098279E-2</v>
      </c>
      <c r="U218" s="17">
        <f t="shared" si="10"/>
        <v>-1.7039175429204523E-2</v>
      </c>
      <c r="V218" s="17">
        <f t="shared" si="10"/>
        <v>-2.1273688199435425E-2</v>
      </c>
      <c r="W218" s="17">
        <f t="shared" si="10"/>
        <v>-1.4467654839167454E-2</v>
      </c>
      <c r="X218" s="17">
        <f t="shared" si="10"/>
        <v>-1.6641349871069466E-2</v>
      </c>
      <c r="Y218" s="17">
        <f t="shared" si="10"/>
        <v>-1.5739018629463253E-2</v>
      </c>
      <c r="Z218" s="17">
        <f t="shared" si="10"/>
        <v>-6.2520933308312099E-3</v>
      </c>
      <c r="AA218" s="17">
        <f t="shared" si="10"/>
        <v>-2.0956857765864756E-3</v>
      </c>
      <c r="AB218" s="17">
        <f t="shared" si="10"/>
        <v>-4.1620913508376711E-3</v>
      </c>
      <c r="AC218" s="17">
        <f t="shared" si="10"/>
        <v>-2.8047643410159528E-3</v>
      </c>
      <c r="AD218" s="17">
        <f t="shared" si="10"/>
        <v>8.0507973200720784E-3</v>
      </c>
      <c r="AE218" s="17">
        <f t="shared" si="10"/>
        <v>-5.5032052705294987E-5</v>
      </c>
      <c r="AF218" s="17">
        <f t="shared" si="10"/>
        <v>5.88875370967612E-3</v>
      </c>
      <c r="AG218" s="17">
        <f t="shared" si="10"/>
        <v>2.1556878920432343E-2</v>
      </c>
      <c r="AH218" s="17">
        <f t="shared" si="10"/>
        <v>2.7475428425240755E-2</v>
      </c>
      <c r="AI218" s="17">
        <f t="shared" si="10"/>
        <v>1.9130297659648132E-2</v>
      </c>
      <c r="AJ218" s="17">
        <f t="shared" si="10"/>
        <v>2.3527933394974276E-2</v>
      </c>
      <c r="AK218" s="17">
        <f t="shared" si="10"/>
        <v>1.9738918159164065E-2</v>
      </c>
    </row>
    <row r="219" spans="1:37" x14ac:dyDescent="0.25">
      <c r="A219" s="12" t="s">
        <v>426</v>
      </c>
      <c r="B219" s="12"/>
      <c r="C219" s="17">
        <f>SUM(C$50:C$54)/SUM(B$50:B$54)-1</f>
        <v>1.4073188208088006E-2</v>
      </c>
      <c r="D219" s="17">
        <f t="shared" ref="D219:AK219" si="11">SUM(D$50:D$54)/SUM(C$50:C$54)-1</f>
        <v>-1.4874862750132722E-3</v>
      </c>
      <c r="E219" s="17">
        <f t="shared" si="11"/>
        <v>-1.1896211644865651E-2</v>
      </c>
      <c r="F219" s="17">
        <f t="shared" si="11"/>
        <v>-1.6370881318205965E-2</v>
      </c>
      <c r="G219" s="17">
        <f t="shared" si="11"/>
        <v>-3.4252888775728296E-2</v>
      </c>
      <c r="H219" s="17">
        <f t="shared" si="11"/>
        <v>-3.5676652398317965E-2</v>
      </c>
      <c r="I219" s="17">
        <f t="shared" si="11"/>
        <v>-3.0963302924344571E-2</v>
      </c>
      <c r="J219" s="17">
        <f t="shared" si="11"/>
        <v>-1.3923653780334E-2</v>
      </c>
      <c r="K219" s="17">
        <f t="shared" si="11"/>
        <v>2.9828964971445604E-3</v>
      </c>
      <c r="L219" s="17">
        <f t="shared" si="11"/>
        <v>2.2641212006034195E-2</v>
      </c>
      <c r="M219" s="17">
        <f t="shared" si="11"/>
        <v>3.2974387926108184E-2</v>
      </c>
      <c r="N219" s="17">
        <f t="shared" si="11"/>
        <v>3.6329850743334502E-2</v>
      </c>
      <c r="O219" s="17">
        <f t="shared" si="11"/>
        <v>3.7102381753698621E-2</v>
      </c>
      <c r="P219" s="17">
        <f t="shared" si="11"/>
        <v>3.5101218058496864E-2</v>
      </c>
      <c r="Q219" s="17">
        <f t="shared" si="11"/>
        <v>2.8347666398475413E-2</v>
      </c>
      <c r="R219" s="17">
        <f t="shared" si="11"/>
        <v>1.5003609041769561E-2</v>
      </c>
      <c r="S219" s="17">
        <f t="shared" si="11"/>
        <v>4.0721426004041161E-2</v>
      </c>
      <c r="T219" s="17">
        <f t="shared" si="11"/>
        <v>6.3551975526730642E-2</v>
      </c>
      <c r="U219" s="17">
        <f t="shared" si="11"/>
        <v>3.1668572957402219E-2</v>
      </c>
      <c r="V219" s="17">
        <f t="shared" si="11"/>
        <v>3.3037000322089671E-2</v>
      </c>
      <c r="W219" s="17">
        <f t="shared" si="11"/>
        <v>2.5733583974283603E-2</v>
      </c>
      <c r="X219" s="17">
        <f t="shared" si="11"/>
        <v>1.1641787855514618E-2</v>
      </c>
      <c r="Y219" s="17">
        <f t="shared" si="11"/>
        <v>1.6907614092271928E-3</v>
      </c>
      <c r="Z219" s="17">
        <f t="shared" si="11"/>
        <v>-7.4301888009389305E-3</v>
      </c>
      <c r="AA219" s="17">
        <f t="shared" si="11"/>
        <v>-1.569491849051019E-2</v>
      </c>
      <c r="AB219" s="17">
        <f t="shared" si="11"/>
        <v>-1.4890723886348822E-2</v>
      </c>
      <c r="AC219" s="17">
        <f t="shared" si="11"/>
        <v>-1.4913940548511029E-2</v>
      </c>
      <c r="AD219" s="17">
        <f t="shared" si="11"/>
        <v>-1.4417980407118614E-2</v>
      </c>
      <c r="AE219" s="17">
        <f t="shared" si="11"/>
        <v>-5.4715237476666845E-3</v>
      </c>
      <c r="AF219" s="17">
        <f t="shared" si="11"/>
        <v>-1.731993378276564E-3</v>
      </c>
      <c r="AG219" s="17">
        <f t="shared" si="11"/>
        <v>-4.4905840526774377E-3</v>
      </c>
      <c r="AH219" s="17">
        <f t="shared" si="11"/>
        <v>-2.7680156757394769E-3</v>
      </c>
      <c r="AI219" s="17">
        <f t="shared" si="11"/>
        <v>7.504667271054144E-3</v>
      </c>
      <c r="AJ219" s="17">
        <f t="shared" si="11"/>
        <v>4.0815160301255204E-4</v>
      </c>
      <c r="AK219" s="17">
        <f t="shared" si="11"/>
        <v>5.8137874362664821E-3</v>
      </c>
    </row>
    <row r="220" spans="1:37" x14ac:dyDescent="0.25">
      <c r="A220" s="12" t="s">
        <v>427</v>
      </c>
      <c r="B220" s="12"/>
      <c r="C220" s="17">
        <f>SUM(C$55:C$59)/SUM(B$55:B$59)-1</f>
        <v>-4.9849676860570513E-3</v>
      </c>
      <c r="D220" s="17">
        <f t="shared" ref="D220:AK220" si="12">SUM(D$55:D$59)/SUM(C$55:C$59)-1</f>
        <v>-1.0696614343906896E-2</v>
      </c>
      <c r="E220" s="17">
        <f t="shared" si="12"/>
        <v>-2.8824157429747643E-3</v>
      </c>
      <c r="F220" s="17">
        <f t="shared" si="12"/>
        <v>5.6428530048759917E-3</v>
      </c>
      <c r="G220" s="17">
        <f t="shared" si="12"/>
        <v>1.3360706071056327E-2</v>
      </c>
      <c r="H220" s="17">
        <f t="shared" si="12"/>
        <v>5.1542057402502728E-3</v>
      </c>
      <c r="I220" s="17">
        <f t="shared" si="12"/>
        <v>-4.2312176467422802E-3</v>
      </c>
      <c r="J220" s="17">
        <f t="shared" si="12"/>
        <v>-1.2324818030672646E-2</v>
      </c>
      <c r="K220" s="17">
        <f t="shared" si="12"/>
        <v>-1.2724920568316422E-2</v>
      </c>
      <c r="L220" s="17">
        <f t="shared" si="12"/>
        <v>-2.4687993603176306E-2</v>
      </c>
      <c r="M220" s="17">
        <f t="shared" si="12"/>
        <v>-1.7080640916962264E-2</v>
      </c>
      <c r="N220" s="17">
        <f t="shared" si="12"/>
        <v>-1.2608487096106402E-2</v>
      </c>
      <c r="O220" s="17">
        <f t="shared" si="12"/>
        <v>1.0206001550487898E-3</v>
      </c>
      <c r="P220" s="17">
        <f t="shared" si="12"/>
        <v>9.4364057246472122E-3</v>
      </c>
      <c r="Q220" s="17">
        <f t="shared" si="12"/>
        <v>2.1746032771764234E-2</v>
      </c>
      <c r="R220" s="17">
        <f t="shared" si="12"/>
        <v>1.2398531906534282E-2</v>
      </c>
      <c r="S220" s="17">
        <f t="shared" si="12"/>
        <v>3.0541732463906346E-2</v>
      </c>
      <c r="T220" s="17">
        <f t="shared" si="12"/>
        <v>5.0452544459460569E-2</v>
      </c>
      <c r="U220" s="17">
        <f t="shared" si="12"/>
        <v>2.7146095664944303E-2</v>
      </c>
      <c r="V220" s="17">
        <f t="shared" si="12"/>
        <v>2.5433963922707248E-2</v>
      </c>
      <c r="W220" s="17">
        <f t="shared" si="12"/>
        <v>2.9113359705004171E-2</v>
      </c>
      <c r="X220" s="17">
        <f t="shared" si="12"/>
        <v>3.4512682807032347E-2</v>
      </c>
      <c r="Y220" s="17">
        <f t="shared" si="12"/>
        <v>3.5574728760940255E-2</v>
      </c>
      <c r="Z220" s="17">
        <f t="shared" si="12"/>
        <v>3.6324373971813095E-2</v>
      </c>
      <c r="AA220" s="17">
        <f t="shared" si="12"/>
        <v>3.594913693141466E-2</v>
      </c>
      <c r="AB220" s="17">
        <f t="shared" si="12"/>
        <v>2.5734666940992579E-2</v>
      </c>
      <c r="AC220" s="17">
        <f t="shared" si="12"/>
        <v>1.2595014206949084E-2</v>
      </c>
      <c r="AD220" s="17">
        <f t="shared" si="12"/>
        <v>2.1682689595117211E-3</v>
      </c>
      <c r="AE220" s="17">
        <f t="shared" si="12"/>
        <v>-6.9655618926307561E-3</v>
      </c>
      <c r="AF220" s="17">
        <f t="shared" si="12"/>
        <v>-1.5304191879676132E-2</v>
      </c>
      <c r="AG220" s="17">
        <f t="shared" si="12"/>
        <v>-1.4385647841605453E-2</v>
      </c>
      <c r="AH220" s="17">
        <f t="shared" si="12"/>
        <v>-1.4220165312970545E-2</v>
      </c>
      <c r="AI220" s="17">
        <f t="shared" si="12"/>
        <v>-1.3473130685467738E-2</v>
      </c>
      <c r="AJ220" s="17">
        <f t="shared" si="12"/>
        <v>-4.8258427741330046E-3</v>
      </c>
      <c r="AK220" s="17">
        <f t="shared" si="12"/>
        <v>-1.4062808949940608E-3</v>
      </c>
    </row>
    <row r="221" spans="1:37" x14ac:dyDescent="0.25">
      <c r="A221" s="12" t="s">
        <v>428</v>
      </c>
      <c r="B221" s="12"/>
      <c r="C221" s="17">
        <f>SUM(C$60:C$64)/SUM(B$60:B$64)-1</f>
        <v>3.3666061135733116E-2</v>
      </c>
      <c r="D221" s="17">
        <f t="shared" ref="D221:AK221" si="13">SUM(D$60:D$64)/SUM(C$60:C$64)-1</f>
        <v>2.6348221594605592E-2</v>
      </c>
      <c r="E221" s="17">
        <f t="shared" si="13"/>
        <v>1.0147485078875418E-2</v>
      </c>
      <c r="F221" s="17">
        <f t="shared" si="13"/>
        <v>3.1218895962148441E-3</v>
      </c>
      <c r="G221" s="17">
        <f t="shared" si="13"/>
        <v>-8.1845643988308625E-3</v>
      </c>
      <c r="H221" s="17">
        <f t="shared" si="13"/>
        <v>-1.2644767100507659E-2</v>
      </c>
      <c r="I221" s="17">
        <f t="shared" si="13"/>
        <v>-1.2504606380097871E-2</v>
      </c>
      <c r="J221" s="17">
        <f t="shared" si="13"/>
        <v>-3.6119433598406081E-3</v>
      </c>
      <c r="K221" s="17">
        <f t="shared" si="13"/>
        <v>9.0445423333087582E-3</v>
      </c>
      <c r="L221" s="17">
        <f t="shared" si="13"/>
        <v>2.2067160679217768E-2</v>
      </c>
      <c r="M221" s="17">
        <f t="shared" si="13"/>
        <v>1.9797640875038436E-2</v>
      </c>
      <c r="N221" s="17">
        <f t="shared" si="13"/>
        <v>5.6903373624619391E-3</v>
      </c>
      <c r="O221" s="17">
        <f t="shared" si="13"/>
        <v>-1.5305782023697923E-3</v>
      </c>
      <c r="P221" s="17">
        <f t="shared" si="13"/>
        <v>-1.0593676602622115E-2</v>
      </c>
      <c r="Q221" s="17">
        <f t="shared" si="13"/>
        <v>-2.064031248578313E-2</v>
      </c>
      <c r="R221" s="17">
        <f t="shared" si="13"/>
        <v>-2.8076009301616911E-2</v>
      </c>
      <c r="S221" s="17">
        <f t="shared" si="13"/>
        <v>-2.4265675926314345E-2</v>
      </c>
      <c r="T221" s="17">
        <f t="shared" si="13"/>
        <v>1.3304810350649232E-2</v>
      </c>
      <c r="U221" s="17">
        <f t="shared" si="13"/>
        <v>7.2441058299812511E-3</v>
      </c>
      <c r="V221" s="17">
        <f t="shared" si="13"/>
        <v>1.5788322998767201E-2</v>
      </c>
      <c r="W221" s="17">
        <f t="shared" si="13"/>
        <v>2.2128512136048828E-2</v>
      </c>
      <c r="X221" s="17">
        <f t="shared" si="13"/>
        <v>2.9644708190133873E-2</v>
      </c>
      <c r="Y221" s="17">
        <f t="shared" si="13"/>
        <v>2.6953968891525681E-2</v>
      </c>
      <c r="Z221" s="17">
        <f t="shared" si="13"/>
        <v>3.0526299263603285E-2</v>
      </c>
      <c r="AA221" s="17">
        <f t="shared" si="13"/>
        <v>2.9265602964413384E-2</v>
      </c>
      <c r="AB221" s="17">
        <f t="shared" si="13"/>
        <v>3.0740066185524828E-2</v>
      </c>
      <c r="AC221" s="17">
        <f t="shared" si="13"/>
        <v>3.5909003178541843E-2</v>
      </c>
      <c r="AD221" s="17">
        <f t="shared" si="13"/>
        <v>3.6015900941707368E-2</v>
      </c>
      <c r="AE221" s="17">
        <f t="shared" si="13"/>
        <v>3.6474519891344537E-2</v>
      </c>
      <c r="AF221" s="17">
        <f t="shared" si="13"/>
        <v>3.5764712435312651E-2</v>
      </c>
      <c r="AG221" s="17">
        <f t="shared" si="13"/>
        <v>2.5020231012375493E-2</v>
      </c>
      <c r="AH221" s="17">
        <f t="shared" si="13"/>
        <v>1.2429929732052702E-2</v>
      </c>
      <c r="AI221" s="17">
        <f t="shared" si="13"/>
        <v>2.2241528014668166E-3</v>
      </c>
      <c r="AJ221" s="17">
        <f t="shared" si="13"/>
        <v>-6.4801134178706921E-3</v>
      </c>
      <c r="AK221" s="17">
        <f t="shared" si="13"/>
        <v>-1.4742363887968346E-2</v>
      </c>
    </row>
    <row r="222" spans="1:37" x14ac:dyDescent="0.25">
      <c r="A222" s="12" t="s">
        <v>429</v>
      </c>
      <c r="B222" s="12"/>
      <c r="C222" s="17">
        <f>SUM(C$65:C$69)/SUM(B$65:B$69)-1</f>
        <v>3.1013098128575889E-2</v>
      </c>
      <c r="D222" s="17">
        <f t="shared" ref="D222:AK222" si="14">SUM(D$65:D$69)/SUM(C$65:C$69)-1</f>
        <v>2.7720913922347989E-2</v>
      </c>
      <c r="E222" s="17">
        <f t="shared" si="14"/>
        <v>2.7333584081979279E-2</v>
      </c>
      <c r="F222" s="17">
        <f t="shared" si="14"/>
        <v>2.9591462953473258E-2</v>
      </c>
      <c r="G222" s="17">
        <f t="shared" si="14"/>
        <v>3.0796061724112755E-2</v>
      </c>
      <c r="H222" s="17">
        <f t="shared" si="14"/>
        <v>2.7505931893643476E-2</v>
      </c>
      <c r="I222" s="17">
        <f t="shared" si="14"/>
        <v>2.2546506723725601E-2</v>
      </c>
      <c r="J222" s="17">
        <f t="shared" si="14"/>
        <v>8.9746545929649812E-3</v>
      </c>
      <c r="K222" s="17">
        <f t="shared" si="14"/>
        <v>5.3203983061254068E-3</v>
      </c>
      <c r="L222" s="17">
        <f t="shared" si="14"/>
        <v>-2.6791609156768814E-3</v>
      </c>
      <c r="M222" s="17">
        <f t="shared" si="14"/>
        <v>-3.2422067073489824E-4</v>
      </c>
      <c r="N222" s="17">
        <f t="shared" si="14"/>
        <v>-1.9003323737540878E-3</v>
      </c>
      <c r="O222" s="17">
        <f t="shared" si="14"/>
        <v>2.469570380281283E-3</v>
      </c>
      <c r="P222" s="17">
        <f t="shared" si="14"/>
        <v>8.2394264647593918E-3</v>
      </c>
      <c r="Q222" s="17">
        <f t="shared" si="14"/>
        <v>2.3709873930702674E-2</v>
      </c>
      <c r="R222" s="17">
        <f t="shared" si="14"/>
        <v>6.7022043890974103E-3</v>
      </c>
      <c r="S222" s="17">
        <f t="shared" si="14"/>
        <v>-9.8593162507824017E-3</v>
      </c>
      <c r="T222" s="17">
        <f t="shared" si="14"/>
        <v>6.1140293433923354E-3</v>
      </c>
      <c r="U222" s="17">
        <f t="shared" si="14"/>
        <v>-9.4765161747273341E-3</v>
      </c>
      <c r="V222" s="17">
        <f t="shared" si="14"/>
        <v>-2.9241844606380019E-2</v>
      </c>
      <c r="W222" s="17">
        <f t="shared" si="14"/>
        <v>-2.4072539130839954E-2</v>
      </c>
      <c r="X222" s="17">
        <f t="shared" si="14"/>
        <v>-1.758320268897573E-2</v>
      </c>
      <c r="Y222" s="17">
        <f t="shared" si="14"/>
        <v>-3.2047877931037361E-3</v>
      </c>
      <c r="Z222" s="17">
        <f t="shared" si="14"/>
        <v>8.1953004802401974E-3</v>
      </c>
      <c r="AA222" s="17">
        <f t="shared" si="14"/>
        <v>2.0345602096474735E-2</v>
      </c>
      <c r="AB222" s="17">
        <f t="shared" si="14"/>
        <v>2.5720610692191226E-2</v>
      </c>
      <c r="AC222" s="17">
        <f t="shared" si="14"/>
        <v>3.2009867449105389E-2</v>
      </c>
      <c r="AD222" s="17">
        <f t="shared" si="14"/>
        <v>2.8122661903136281E-2</v>
      </c>
      <c r="AE222" s="17">
        <f t="shared" si="14"/>
        <v>3.1143975779609034E-2</v>
      </c>
      <c r="AF222" s="17">
        <f t="shared" si="14"/>
        <v>2.9749990986806862E-2</v>
      </c>
      <c r="AG222" s="17">
        <f t="shared" si="14"/>
        <v>3.0761502643380734E-2</v>
      </c>
      <c r="AH222" s="17">
        <f t="shared" si="14"/>
        <v>3.6036393547913326E-2</v>
      </c>
      <c r="AI222" s="17">
        <f t="shared" si="14"/>
        <v>3.6071198872127397E-2</v>
      </c>
      <c r="AJ222" s="17">
        <f t="shared" si="14"/>
        <v>3.6556135193184236E-2</v>
      </c>
      <c r="AK222" s="17">
        <f t="shared" si="14"/>
        <v>3.5890681680163405E-2</v>
      </c>
    </row>
    <row r="223" spans="1:37" x14ac:dyDescent="0.25">
      <c r="A223" s="12" t="s">
        <v>430</v>
      </c>
      <c r="B223" s="12"/>
      <c r="C223" s="17">
        <f>SUM(C$70:C$74)/SUM(B$70:B$74)-1</f>
        <v>5.816376906915055E-3</v>
      </c>
      <c r="D223" s="17">
        <f t="shared" ref="D223:AK223" si="15">SUM(D$70:D$74)/SUM(C$70:C$74)-1</f>
        <v>6.0343991597195945E-3</v>
      </c>
      <c r="E223" s="17">
        <f t="shared" si="15"/>
        <v>1.7579919603171179E-2</v>
      </c>
      <c r="F223" s="17">
        <f t="shared" si="15"/>
        <v>2.0064532706739246E-2</v>
      </c>
      <c r="G223" s="17">
        <f t="shared" si="15"/>
        <v>2.8371231400608155E-2</v>
      </c>
      <c r="H223" s="17">
        <f t="shared" si="15"/>
        <v>2.878349908350919E-2</v>
      </c>
      <c r="I223" s="17">
        <f t="shared" si="15"/>
        <v>2.3843265594794438E-2</v>
      </c>
      <c r="J223" s="17">
        <f t="shared" si="15"/>
        <v>2.3591832038593497E-2</v>
      </c>
      <c r="K223" s="17">
        <f t="shared" si="15"/>
        <v>2.7936251583013272E-2</v>
      </c>
      <c r="L223" s="17">
        <f t="shared" si="15"/>
        <v>3.4799964560601859E-2</v>
      </c>
      <c r="M223" s="17">
        <f t="shared" si="15"/>
        <v>3.6761262934773109E-2</v>
      </c>
      <c r="N223" s="17">
        <f t="shared" si="15"/>
        <v>3.00782188707025E-2</v>
      </c>
      <c r="O223" s="17">
        <f t="shared" si="15"/>
        <v>1.5052084739357818E-2</v>
      </c>
      <c r="P223" s="17">
        <f t="shared" si="15"/>
        <v>7.7591263369138908E-3</v>
      </c>
      <c r="Q223" s="17">
        <f t="shared" si="15"/>
        <v>-6.5245619254148401E-3</v>
      </c>
      <c r="R223" s="17">
        <f t="shared" si="15"/>
        <v>-1.642538559055895E-2</v>
      </c>
      <c r="S223" s="17">
        <f t="shared" si="15"/>
        <v>-2.4287337483412053E-2</v>
      </c>
      <c r="T223" s="17">
        <f t="shared" si="15"/>
        <v>1.1296682846139605E-2</v>
      </c>
      <c r="U223" s="17">
        <f t="shared" si="15"/>
        <v>1.0748511937979544E-2</v>
      </c>
      <c r="V223" s="17">
        <f t="shared" si="15"/>
        <v>1.8534214892209189E-2</v>
      </c>
      <c r="W223" s="17">
        <f t="shared" si="15"/>
        <v>1.1825046987755439E-2</v>
      </c>
      <c r="X223" s="17">
        <f t="shared" si="15"/>
        <v>5.1203789573701641E-3</v>
      </c>
      <c r="Y223" s="17">
        <f t="shared" si="15"/>
        <v>-3.49947874486356E-3</v>
      </c>
      <c r="Z223" s="17">
        <f t="shared" si="15"/>
        <v>-9.7242825284369339E-3</v>
      </c>
      <c r="AA223" s="17">
        <f t="shared" si="15"/>
        <v>-2.4906399863889761E-2</v>
      </c>
      <c r="AB223" s="17">
        <f t="shared" si="15"/>
        <v>-2.11956573050881E-2</v>
      </c>
      <c r="AC223" s="17">
        <f t="shared" si="15"/>
        <v>-1.5944226931442373E-2</v>
      </c>
      <c r="AD223" s="17">
        <f t="shared" si="15"/>
        <v>-2.7891610979435821E-3</v>
      </c>
      <c r="AE223" s="17">
        <f t="shared" si="15"/>
        <v>8.5605833071551451E-3</v>
      </c>
      <c r="AF223" s="17">
        <f t="shared" si="15"/>
        <v>2.069747071895689E-2</v>
      </c>
      <c r="AG223" s="17">
        <f t="shared" si="15"/>
        <v>2.5970900575436939E-2</v>
      </c>
      <c r="AH223" s="17">
        <f t="shared" si="15"/>
        <v>3.2047123345314787E-2</v>
      </c>
      <c r="AI223" s="17">
        <f t="shared" si="15"/>
        <v>2.8152198883323098E-2</v>
      </c>
      <c r="AJ223" s="17">
        <f t="shared" si="15"/>
        <v>3.1376915895665825E-2</v>
      </c>
      <c r="AK223" s="17">
        <f t="shared" si="15"/>
        <v>2.9852649139672005E-2</v>
      </c>
    </row>
    <row r="224" spans="1:37" x14ac:dyDescent="0.25">
      <c r="A224" s="12" t="s">
        <v>431</v>
      </c>
      <c r="B224" s="12"/>
      <c r="C224" s="17">
        <f>SUM(C$75:C$79)/SUM(B$75:B$79)-1</f>
        <v>6.2273226469046206E-2</v>
      </c>
      <c r="D224" s="17">
        <f t="shared" ref="D224:AK224" si="16">SUM(D$75:D$79)/SUM(C$75:C$79)-1</f>
        <v>7.3583911342386177E-2</v>
      </c>
      <c r="E224" s="17">
        <f t="shared" si="16"/>
        <v>4.552487729013488E-2</v>
      </c>
      <c r="F224" s="17">
        <f t="shared" si="16"/>
        <v>4.286816586560005E-2</v>
      </c>
      <c r="G224" s="17">
        <f t="shared" si="16"/>
        <v>3.3088883896684518E-2</v>
      </c>
      <c r="H224" s="17">
        <f t="shared" si="16"/>
        <v>5.716529629570033E-3</v>
      </c>
      <c r="I224" s="17">
        <f t="shared" si="16"/>
        <v>7.7077712955950783E-3</v>
      </c>
      <c r="J224" s="17">
        <f t="shared" si="16"/>
        <v>1.4040357514755408E-2</v>
      </c>
      <c r="K224" s="17">
        <f t="shared" si="16"/>
        <v>1.8441289102687275E-2</v>
      </c>
      <c r="L224" s="17">
        <f t="shared" si="16"/>
        <v>2.9568476603325733E-2</v>
      </c>
      <c r="M224" s="17">
        <f t="shared" si="16"/>
        <v>3.147677451419284E-2</v>
      </c>
      <c r="N224" s="17">
        <f t="shared" si="16"/>
        <v>3.0106252371513431E-2</v>
      </c>
      <c r="O224" s="17">
        <f t="shared" si="16"/>
        <v>3.2505618820673599E-2</v>
      </c>
      <c r="P224" s="17">
        <f t="shared" si="16"/>
        <v>3.2499486500082497E-2</v>
      </c>
      <c r="Q224" s="17">
        <f t="shared" si="16"/>
        <v>2.6964881114629691E-2</v>
      </c>
      <c r="R224" s="17">
        <f t="shared" si="16"/>
        <v>1.8322242781591669E-2</v>
      </c>
      <c r="S224" s="17">
        <f t="shared" si="16"/>
        <v>4.1050171925967049E-3</v>
      </c>
      <c r="T224" s="17">
        <f t="shared" si="16"/>
        <v>2.1887335635289773E-2</v>
      </c>
      <c r="U224" s="17">
        <f t="shared" si="16"/>
        <v>6.6258580311442383E-3</v>
      </c>
      <c r="V224" s="17">
        <f t="shared" si="16"/>
        <v>-6.6604439531900983E-3</v>
      </c>
      <c r="W224" s="17">
        <f t="shared" si="16"/>
        <v>-6.2930991953474846E-3</v>
      </c>
      <c r="X224" s="17">
        <f t="shared" si="16"/>
        <v>-4.5821220779620475E-3</v>
      </c>
      <c r="Y224" s="17">
        <f t="shared" si="16"/>
        <v>5.355722687494735E-3</v>
      </c>
      <c r="Z224" s="17">
        <f t="shared" si="16"/>
        <v>1.1252492024127925E-2</v>
      </c>
      <c r="AA224" s="17">
        <f t="shared" si="16"/>
        <v>2.2592372855092746E-2</v>
      </c>
      <c r="AB224" s="17">
        <f t="shared" si="16"/>
        <v>1.494911458931214E-2</v>
      </c>
      <c r="AC224" s="17">
        <f t="shared" si="16"/>
        <v>6.9321191477564881E-3</v>
      </c>
      <c r="AD224" s="17">
        <f t="shared" si="16"/>
        <v>-3.0033481296272146E-3</v>
      </c>
      <c r="AE224" s="17">
        <f t="shared" si="16"/>
        <v>-9.4232554550682801E-3</v>
      </c>
      <c r="AF224" s="17">
        <f t="shared" si="16"/>
        <v>-2.4894141965520422E-2</v>
      </c>
      <c r="AG224" s="17">
        <f t="shared" si="16"/>
        <v>-2.0525103721402815E-2</v>
      </c>
      <c r="AH224" s="17">
        <f t="shared" si="16"/>
        <v>-1.5328349235632088E-2</v>
      </c>
      <c r="AI224" s="17">
        <f t="shared" si="16"/>
        <v>-2.2332355015046712E-3</v>
      </c>
      <c r="AJ224" s="17">
        <f t="shared" si="16"/>
        <v>8.8212751967504666E-3</v>
      </c>
      <c r="AK224" s="17">
        <f t="shared" si="16"/>
        <v>2.0816275308154886E-2</v>
      </c>
    </row>
    <row r="225" spans="1:37" x14ac:dyDescent="0.25">
      <c r="A225" s="12" t="s">
        <v>432</v>
      </c>
      <c r="B225" s="12"/>
      <c r="C225" s="17">
        <f>SUM(C$80:C$110)/SUM(B$80:B$110)-1</f>
        <v>2.6559630441027604E-2</v>
      </c>
      <c r="D225" s="17">
        <f t="shared" ref="D225:AK225" si="17">SUM(D$80:D$110)/SUM(C$80:C$110)-1</f>
        <v>1.5665070985739549E-2</v>
      </c>
      <c r="E225" s="17">
        <f t="shared" si="17"/>
        <v>1.9283096935960087E-2</v>
      </c>
      <c r="F225" s="17">
        <f t="shared" si="17"/>
        <v>2.4412285265456912E-2</v>
      </c>
      <c r="G225" s="17">
        <f t="shared" si="17"/>
        <v>2.7357610820172074E-2</v>
      </c>
      <c r="H225" s="17">
        <f t="shared" si="17"/>
        <v>3.5590318237284535E-2</v>
      </c>
      <c r="I225" s="17">
        <f t="shared" si="17"/>
        <v>3.2659964248784812E-2</v>
      </c>
      <c r="J225" s="17">
        <f t="shared" si="17"/>
        <v>2.7479983044935707E-2</v>
      </c>
      <c r="K225" s="17">
        <f t="shared" si="17"/>
        <v>2.9959775496207763E-2</v>
      </c>
      <c r="L225" s="17">
        <f t="shared" si="17"/>
        <v>2.9493682360361095E-2</v>
      </c>
      <c r="M225" s="17">
        <f t="shared" si="17"/>
        <v>3.3094083407727126E-2</v>
      </c>
      <c r="N225" s="17">
        <f t="shared" si="17"/>
        <v>2.9507602965131108E-2</v>
      </c>
      <c r="O225" s="17">
        <f t="shared" si="17"/>
        <v>3.2441396749586682E-2</v>
      </c>
      <c r="P225" s="17">
        <f t="shared" si="17"/>
        <v>3.4536821512053617E-2</v>
      </c>
      <c r="Q225" s="17">
        <f t="shared" si="17"/>
        <v>3.6703586514496456E-2</v>
      </c>
      <c r="R225" s="17">
        <f t="shared" si="17"/>
        <v>2.2543935075491905E-2</v>
      </c>
      <c r="S225" s="17">
        <f t="shared" si="17"/>
        <v>9.3187963562799681E-3</v>
      </c>
      <c r="T225" s="17">
        <f t="shared" si="17"/>
        <v>4.0337393166807622E-2</v>
      </c>
      <c r="U225" s="17">
        <f t="shared" si="17"/>
        <v>3.3449912116563008E-2</v>
      </c>
      <c r="V225" s="17">
        <f t="shared" si="17"/>
        <v>3.0356564889253868E-2</v>
      </c>
      <c r="W225" s="17">
        <f t="shared" si="17"/>
        <v>3.1171041239917985E-2</v>
      </c>
      <c r="X225" s="17">
        <f t="shared" si="17"/>
        <v>3.1379457374882236E-2</v>
      </c>
      <c r="Y225" s="17">
        <f t="shared" si="17"/>
        <v>2.9470758948957787E-2</v>
      </c>
      <c r="Z225" s="17">
        <f t="shared" si="17"/>
        <v>2.6700436823900109E-2</v>
      </c>
      <c r="AA225" s="17">
        <f t="shared" si="17"/>
        <v>2.4850786414437387E-2</v>
      </c>
      <c r="AB225" s="17">
        <f t="shared" si="17"/>
        <v>2.501630233938168E-2</v>
      </c>
      <c r="AC225" s="17">
        <f t="shared" si="17"/>
        <v>2.4390794387312953E-2</v>
      </c>
      <c r="AD225" s="17">
        <f t="shared" si="17"/>
        <v>2.428701806608502E-2</v>
      </c>
      <c r="AE225" s="17">
        <f t="shared" si="17"/>
        <v>2.2851074958153861E-2</v>
      </c>
      <c r="AF225" s="17">
        <f t="shared" si="17"/>
        <v>2.3901482056533752E-2</v>
      </c>
      <c r="AG225" s="17">
        <f t="shared" si="17"/>
        <v>2.1961980660385461E-2</v>
      </c>
      <c r="AH225" s="17">
        <f t="shared" si="17"/>
        <v>1.9361215889638794E-2</v>
      </c>
      <c r="AI225" s="17">
        <f t="shared" si="17"/>
        <v>1.7027059461692584E-2</v>
      </c>
      <c r="AJ225" s="17">
        <f t="shared" si="17"/>
        <v>1.4418797530570737E-2</v>
      </c>
      <c r="AK225" s="17">
        <f t="shared" si="17"/>
        <v>1.1938452724613136E-2</v>
      </c>
    </row>
    <row r="226" spans="1:37" x14ac:dyDescent="0.25">
      <c r="A226" s="12" t="s">
        <v>433</v>
      </c>
      <c r="B226" s="12"/>
      <c r="C226" s="17">
        <f>SUM(C$131:C$134)/SUM(B$131:B$134)-1</f>
        <v>1.8770481757444335E-2</v>
      </c>
      <c r="D226" s="17">
        <f t="shared" ref="D226:AK226" si="18">SUM(D$131:D$134)/SUM(C$131:C$134)-1</f>
        <v>5.6737130621482557E-3</v>
      </c>
      <c r="E226" s="17">
        <f t="shared" si="18"/>
        <v>1.589626530993371E-3</v>
      </c>
      <c r="F226" s="17">
        <f t="shared" si="18"/>
        <v>2.2032514780696566E-3</v>
      </c>
      <c r="G226" s="17">
        <f t="shared" si="18"/>
        <v>-3.9626941448008823E-3</v>
      </c>
      <c r="H226" s="17">
        <f t="shared" si="18"/>
        <v>1.4400280648003694E-3</v>
      </c>
      <c r="I226" s="17">
        <f t="shared" si="18"/>
        <v>-2.1965939327993622E-3</v>
      </c>
      <c r="J226" s="17">
        <f t="shared" si="18"/>
        <v>6.7250285838047485E-3</v>
      </c>
      <c r="K226" s="17">
        <f t="shared" si="18"/>
        <v>2.9222440634120161E-3</v>
      </c>
      <c r="L226" s="17">
        <f t="shared" si="18"/>
        <v>6.0866500122374045E-3</v>
      </c>
      <c r="M226" s="17">
        <f t="shared" si="18"/>
        <v>7.3540042252944193E-3</v>
      </c>
      <c r="N226" s="17">
        <f t="shared" si="18"/>
        <v>-3.0569070957486844E-3</v>
      </c>
      <c r="O226" s="17">
        <f t="shared" si="18"/>
        <v>3.0072393937805586E-3</v>
      </c>
      <c r="P226" s="17">
        <f t="shared" si="18"/>
        <v>-7.1491022873764187E-3</v>
      </c>
      <c r="Q226" s="17">
        <f t="shared" si="18"/>
        <v>-7.1763813670713272E-3</v>
      </c>
      <c r="R226" s="17">
        <f t="shared" si="18"/>
        <v>6.3559155027561598E-3</v>
      </c>
      <c r="S226" s="17">
        <f t="shared" si="18"/>
        <v>2.7592853273267215E-2</v>
      </c>
      <c r="T226" s="17">
        <f t="shared" si="18"/>
        <v>5.3244391754152298E-2</v>
      </c>
      <c r="U226" s="17">
        <f t="shared" si="18"/>
        <v>3.0748668987554684E-2</v>
      </c>
      <c r="V226" s="17">
        <f t="shared" si="18"/>
        <v>3.1106713791180907E-2</v>
      </c>
      <c r="W226" s="17">
        <f t="shared" si="18"/>
        <v>1.5944029047615382E-2</v>
      </c>
      <c r="X226" s="17">
        <f t="shared" si="18"/>
        <v>3.0492823704559857E-3</v>
      </c>
      <c r="Y226" s="17">
        <f t="shared" si="18"/>
        <v>2.9574787552850701E-3</v>
      </c>
      <c r="Z226" s="17">
        <f t="shared" si="18"/>
        <v>-2.4992136188061176E-3</v>
      </c>
      <c r="AA226" s="17">
        <f t="shared" si="18"/>
        <v>-1.1722803615723532E-3</v>
      </c>
      <c r="AB226" s="17">
        <f t="shared" si="18"/>
        <v>-1.8101512344530502E-3</v>
      </c>
      <c r="AC226" s="17">
        <f t="shared" si="18"/>
        <v>-3.7723328855547855E-3</v>
      </c>
      <c r="AD226" s="17">
        <f t="shared" si="18"/>
        <v>-3.6418176786242595E-3</v>
      </c>
      <c r="AE226" s="17">
        <f t="shared" si="18"/>
        <v>-2.2905550021065091E-3</v>
      </c>
      <c r="AF226" s="17">
        <f t="shared" si="18"/>
        <v>-6.2122017484301795E-3</v>
      </c>
      <c r="AG226" s="17">
        <f t="shared" si="18"/>
        <v>0</v>
      </c>
      <c r="AH226" s="17">
        <f t="shared" si="18"/>
        <v>-3.057571191267261E-3</v>
      </c>
      <c r="AI226" s="17">
        <f t="shared" si="18"/>
        <v>-1.5811823918940426E-2</v>
      </c>
      <c r="AJ226" s="17">
        <f t="shared" si="18"/>
        <v>-1.1772393295320649E-2</v>
      </c>
      <c r="AK226" s="17">
        <f t="shared" si="18"/>
        <v>-1.1842559187372093E-2</v>
      </c>
    </row>
    <row r="227" spans="1:37" x14ac:dyDescent="0.25">
      <c r="A227" s="12" t="s">
        <v>434</v>
      </c>
      <c r="B227" s="12"/>
      <c r="C227" s="17">
        <f>SUM(C$135:C$139)/SUM(B$135:B$139)-1</f>
        <v>-4.5644800469669677E-3</v>
      </c>
      <c r="D227" s="17">
        <f t="shared" ref="D227:AK227" si="19">SUM(D$135:D$139)/SUM(C$135:C$139)-1</f>
        <v>-1.528534610712784E-3</v>
      </c>
      <c r="E227" s="17">
        <f t="shared" si="19"/>
        <v>1.3821180547233691E-2</v>
      </c>
      <c r="F227" s="17">
        <f t="shared" si="19"/>
        <v>2.631116728311711E-2</v>
      </c>
      <c r="G227" s="17">
        <f t="shared" si="19"/>
        <v>2.8214235473386307E-2</v>
      </c>
      <c r="H227" s="17">
        <f t="shared" si="19"/>
        <v>1.237971583278763E-2</v>
      </c>
      <c r="I227" s="17">
        <f t="shared" si="19"/>
        <v>1.5927881111849507E-2</v>
      </c>
      <c r="J227" s="17">
        <f t="shared" si="19"/>
        <v>3.9157345074809058E-2</v>
      </c>
      <c r="K227" s="17">
        <f t="shared" si="19"/>
        <v>4.9844462173259441E-2</v>
      </c>
      <c r="L227" s="17">
        <f t="shared" si="19"/>
        <v>2.7891031421258594E-2</v>
      </c>
      <c r="M227" s="17">
        <f t="shared" si="19"/>
        <v>8.1712318685922547E-4</v>
      </c>
      <c r="N227" s="17">
        <f t="shared" si="19"/>
        <v>-1.2282587413852797E-2</v>
      </c>
      <c r="O227" s="17">
        <f t="shared" si="19"/>
        <v>-1.0895049679099045E-2</v>
      </c>
      <c r="P227" s="17">
        <f t="shared" si="19"/>
        <v>3.4371442671525809E-3</v>
      </c>
      <c r="Q227" s="17">
        <f t="shared" si="19"/>
        <v>-2.5051888177788917E-2</v>
      </c>
      <c r="R227" s="17">
        <f t="shared" si="19"/>
        <v>-3.1438556388138639E-2</v>
      </c>
      <c r="S227" s="17">
        <f t="shared" si="19"/>
        <v>-1.657247633373049E-3</v>
      </c>
      <c r="T227" s="17">
        <f t="shared" si="19"/>
        <v>2.6076673213607959E-2</v>
      </c>
      <c r="U227" s="17">
        <f t="shared" si="19"/>
        <v>2.4115567372502422E-3</v>
      </c>
      <c r="V227" s="17">
        <f t="shared" si="19"/>
        <v>6.3161901872526016E-3</v>
      </c>
      <c r="W227" s="17">
        <f t="shared" si="19"/>
        <v>2.7797976116101575E-2</v>
      </c>
      <c r="X227" s="17">
        <f t="shared" si="19"/>
        <v>3.5853319216093915E-2</v>
      </c>
      <c r="Y227" s="17">
        <f t="shared" si="19"/>
        <v>3.1850035505837315E-2</v>
      </c>
      <c r="Z227" s="17">
        <f t="shared" si="19"/>
        <v>3.2836749794198594E-2</v>
      </c>
      <c r="AA227" s="17">
        <f t="shared" si="19"/>
        <v>2.7446712437964038E-2</v>
      </c>
      <c r="AB227" s="17">
        <f t="shared" si="19"/>
        <v>1.2347105059552943E-2</v>
      </c>
      <c r="AC227" s="17">
        <f t="shared" si="19"/>
        <v>3.4781125907901167E-3</v>
      </c>
      <c r="AD227" s="17">
        <f t="shared" si="19"/>
        <v>1.4357905781348101E-3</v>
      </c>
      <c r="AE227" s="17">
        <f t="shared" si="19"/>
        <v>-9.56220697232113E-4</v>
      </c>
      <c r="AF227" s="17">
        <f t="shared" si="19"/>
        <v>-1.7631451349819915E-3</v>
      </c>
      <c r="AG227" s="17">
        <f t="shared" si="19"/>
        <v>-2.6241566839211306E-3</v>
      </c>
      <c r="AH227" s="17">
        <f t="shared" si="19"/>
        <v>-3.8453968464909893E-3</v>
      </c>
      <c r="AI227" s="17">
        <f t="shared" si="19"/>
        <v>-7.6188967205503833E-4</v>
      </c>
      <c r="AJ227" s="17">
        <f t="shared" si="19"/>
        <v>-5.1848000155575447E-3</v>
      </c>
      <c r="AK227" s="17">
        <f t="shared" si="19"/>
        <v>-8.1754074851025926E-4</v>
      </c>
    </row>
    <row r="228" spans="1:37" x14ac:dyDescent="0.25">
      <c r="A228" s="12" t="s">
        <v>435</v>
      </c>
      <c r="B228" s="12"/>
      <c r="C228" s="17">
        <f>SUM(C$140:C$144)/SUM(B$140:B$144)-1</f>
        <v>2.1110528559186825E-2</v>
      </c>
      <c r="D228" s="17">
        <f t="shared" ref="D228:AK228" si="20">SUM(D$140:D$144)/SUM(C$140:C$144)-1</f>
        <v>1.702068559810721E-2</v>
      </c>
      <c r="E228" s="17">
        <f t="shared" si="20"/>
        <v>1.4161011259522294E-2</v>
      </c>
      <c r="F228" s="17">
        <f t="shared" si="20"/>
        <v>9.7950625637206468E-3</v>
      </c>
      <c r="G228" s="17">
        <f t="shared" si="20"/>
        <v>-1.6621167107985224E-3</v>
      </c>
      <c r="H228" s="17">
        <f t="shared" si="20"/>
        <v>-6.985286780341049E-4</v>
      </c>
      <c r="I228" s="17">
        <f t="shared" si="20"/>
        <v>8.083127607870777E-3</v>
      </c>
      <c r="J228" s="17">
        <f t="shared" si="20"/>
        <v>5.5075905507894207E-2</v>
      </c>
      <c r="K228" s="17">
        <f t="shared" si="20"/>
        <v>8.4920398981521039E-2</v>
      </c>
      <c r="L228" s="17">
        <f t="shared" si="20"/>
        <v>9.0248178364933818E-2</v>
      </c>
      <c r="M228" s="17">
        <f t="shared" si="20"/>
        <v>7.1418143548391821E-2</v>
      </c>
      <c r="N228" s="17">
        <f t="shared" si="20"/>
        <v>4.4375448959574681E-2</v>
      </c>
      <c r="O228" s="17">
        <f t="shared" si="20"/>
        <v>1.5092048571112127E-2</v>
      </c>
      <c r="P228" s="17">
        <f t="shared" si="20"/>
        <v>1.4834824999531593E-2</v>
      </c>
      <c r="Q228" s="17">
        <f t="shared" si="20"/>
        <v>-2.6815781253152426E-2</v>
      </c>
      <c r="R228" s="17">
        <f t="shared" si="20"/>
        <v>-4.6011525024617694E-2</v>
      </c>
      <c r="S228" s="17">
        <f t="shared" si="20"/>
        <v>-1.9757231250902008E-3</v>
      </c>
      <c r="T228" s="17">
        <f t="shared" si="20"/>
        <v>-5.5212201396263039E-3</v>
      </c>
      <c r="U228" s="17">
        <f t="shared" si="20"/>
        <v>-1.7104054975062066E-2</v>
      </c>
      <c r="V228" s="17">
        <f t="shared" si="20"/>
        <v>-1.5399872208594845E-2</v>
      </c>
      <c r="W228" s="17">
        <f t="shared" si="20"/>
        <v>-7.7834006186219273E-3</v>
      </c>
      <c r="X228" s="17">
        <f t="shared" si="20"/>
        <v>-2.5855102501387561E-3</v>
      </c>
      <c r="Y228" s="17">
        <f t="shared" si="20"/>
        <v>8.2693861527809442E-3</v>
      </c>
      <c r="Z228" s="17">
        <f t="shared" si="20"/>
        <v>5.0870838134897678E-3</v>
      </c>
      <c r="AA228" s="17">
        <f t="shared" si="20"/>
        <v>1.2839978109587591E-2</v>
      </c>
      <c r="AB228" s="17">
        <f t="shared" si="20"/>
        <v>3.3737678555946671E-2</v>
      </c>
      <c r="AC228" s="17">
        <f t="shared" si="20"/>
        <v>3.8469784098360105E-2</v>
      </c>
      <c r="AD228" s="17">
        <f t="shared" si="20"/>
        <v>3.2560997016073401E-2</v>
      </c>
      <c r="AE228" s="17">
        <f t="shared" si="20"/>
        <v>3.2510341644867102E-2</v>
      </c>
      <c r="AF228" s="17">
        <f t="shared" si="20"/>
        <v>2.6887517670829864E-2</v>
      </c>
      <c r="AG228" s="17">
        <f t="shared" si="20"/>
        <v>1.2402714378890733E-2</v>
      </c>
      <c r="AH228" s="17">
        <f t="shared" si="20"/>
        <v>4.0349763465934441E-3</v>
      </c>
      <c r="AI228" s="17">
        <f t="shared" si="20"/>
        <v>1.7914957524829411E-3</v>
      </c>
      <c r="AJ228" s="17">
        <f t="shared" si="20"/>
        <v>-3.8665773727530883E-4</v>
      </c>
      <c r="AK228" s="17">
        <f t="shared" si="20"/>
        <v>-1.1604218979313075E-3</v>
      </c>
    </row>
    <row r="229" spans="1:37" x14ac:dyDescent="0.25">
      <c r="A229" s="12" t="s">
        <v>436</v>
      </c>
      <c r="B229" s="12"/>
      <c r="C229" s="17">
        <f>SUM(C$145:C$149)/SUM(B$145:B$149)-1</f>
        <v>-2.1781662657119227E-2</v>
      </c>
      <c r="D229" s="17">
        <f t="shared" ref="D229:AK229" si="21">SUM(D$145:D$149)/SUM(C$145:C$149)-1</f>
        <v>-2.2392138242195103E-2</v>
      </c>
      <c r="E229" s="17">
        <f t="shared" si="21"/>
        <v>-1.2209075795232116E-2</v>
      </c>
      <c r="F229" s="17">
        <f t="shared" si="21"/>
        <v>-4.4868098391647182E-3</v>
      </c>
      <c r="G229" s="17">
        <f t="shared" si="21"/>
        <v>3.3485062235458773E-3</v>
      </c>
      <c r="H229" s="17">
        <f t="shared" si="21"/>
        <v>-3.5327924119199494E-4</v>
      </c>
      <c r="I229" s="17">
        <f t="shared" si="21"/>
        <v>9.2589746935578532E-3</v>
      </c>
      <c r="J229" s="17">
        <f t="shared" si="21"/>
        <v>3.5129701495552501E-2</v>
      </c>
      <c r="K229" s="17">
        <f t="shared" si="21"/>
        <v>4.4842842040575093E-2</v>
      </c>
      <c r="L229" s="17">
        <f t="shared" si="21"/>
        <v>5.4495490686892412E-2</v>
      </c>
      <c r="M229" s="17">
        <f t="shared" si="21"/>
        <v>6.5455656918662841E-2</v>
      </c>
      <c r="N229" s="17">
        <f t="shared" si="21"/>
        <v>6.0365173457529453E-2</v>
      </c>
      <c r="O229" s="17">
        <f t="shared" si="21"/>
        <v>4.9680280094966722E-2</v>
      </c>
      <c r="P229" s="17">
        <f t="shared" si="21"/>
        <v>6.0778451877755213E-2</v>
      </c>
      <c r="Q229" s="17">
        <f t="shared" si="21"/>
        <v>3.0160225079962411E-2</v>
      </c>
      <c r="R229" s="17">
        <f t="shared" si="21"/>
        <v>6.5025641209466301E-3</v>
      </c>
      <c r="S229" s="17">
        <f t="shared" si="21"/>
        <v>4.5557387564558072E-2</v>
      </c>
      <c r="T229" s="17">
        <f t="shared" si="21"/>
        <v>2.4565527837900669E-2</v>
      </c>
      <c r="U229" s="17">
        <f t="shared" si="21"/>
        <v>-1.6539413005148051E-2</v>
      </c>
      <c r="V229" s="17">
        <f t="shared" si="21"/>
        <v>-1.8941933609902706E-2</v>
      </c>
      <c r="W229" s="17">
        <f t="shared" si="21"/>
        <v>-2.084546771035567E-2</v>
      </c>
      <c r="X229" s="17">
        <f t="shared" si="21"/>
        <v>-1.9789369768901888E-2</v>
      </c>
      <c r="Y229" s="17">
        <f t="shared" si="21"/>
        <v>-1.7323511547978954E-2</v>
      </c>
      <c r="Z229" s="17">
        <f t="shared" si="21"/>
        <v>-1.0331123951792476E-2</v>
      </c>
      <c r="AA229" s="17">
        <f t="shared" si="21"/>
        <v>-9.3735137002154412E-3</v>
      </c>
      <c r="AB229" s="17">
        <f t="shared" si="21"/>
        <v>-5.0476465715401098E-3</v>
      </c>
      <c r="AC229" s="17">
        <f t="shared" si="21"/>
        <v>-2.0834729148400122E-4</v>
      </c>
      <c r="AD229" s="17">
        <f t="shared" si="21"/>
        <v>8.8379254748254255E-3</v>
      </c>
      <c r="AE229" s="17">
        <f t="shared" si="21"/>
        <v>5.3548658505984115E-3</v>
      </c>
      <c r="AF229" s="17">
        <f t="shared" si="21"/>
        <v>1.2354921633343618E-2</v>
      </c>
      <c r="AG229" s="17">
        <f t="shared" si="21"/>
        <v>3.1568043257682366E-2</v>
      </c>
      <c r="AH229" s="17">
        <f t="shared" si="21"/>
        <v>3.6280719348510848E-2</v>
      </c>
      <c r="AI229" s="17">
        <f t="shared" si="21"/>
        <v>3.0849843128347487E-2</v>
      </c>
      <c r="AJ229" s="17">
        <f t="shared" si="21"/>
        <v>3.0911039868788626E-2</v>
      </c>
      <c r="AK229" s="17">
        <f t="shared" si="21"/>
        <v>2.5830335447302177E-2</v>
      </c>
    </row>
    <row r="230" spans="1:37" x14ac:dyDescent="0.25">
      <c r="A230" s="12" t="s">
        <v>437</v>
      </c>
      <c r="B230" s="12"/>
      <c r="C230" s="17">
        <f>SUM(C$150:C$154)/SUM(B$150:B$154)-1</f>
        <v>1.0827207543760764E-2</v>
      </c>
      <c r="D230" s="17">
        <f t="shared" ref="D230:AK230" si="22">SUM(D$150:D$154)/SUM(C$150:C$154)-1</f>
        <v>-5.3246581535039139E-3</v>
      </c>
      <c r="E230" s="17">
        <f t="shared" si="22"/>
        <v>-1.4833787740203719E-2</v>
      </c>
      <c r="F230" s="17">
        <f t="shared" si="22"/>
        <v>-1.9156929809962864E-2</v>
      </c>
      <c r="G230" s="17">
        <f t="shared" si="22"/>
        <v>-3.2420895368187042E-2</v>
      </c>
      <c r="H230" s="17">
        <f t="shared" si="22"/>
        <v>-3.3035258540173085E-2</v>
      </c>
      <c r="I230" s="17">
        <f t="shared" si="22"/>
        <v>-2.8065571127134148E-2</v>
      </c>
      <c r="J230" s="17">
        <f t="shared" si="22"/>
        <v>-5.6490733053683462E-3</v>
      </c>
      <c r="K230" s="17">
        <f t="shared" si="22"/>
        <v>1.9204807076166119E-2</v>
      </c>
      <c r="L230" s="17">
        <f t="shared" si="22"/>
        <v>3.7079182401286381E-2</v>
      </c>
      <c r="M230" s="17">
        <f t="shared" si="22"/>
        <v>4.8088884823437761E-2</v>
      </c>
      <c r="N230" s="17">
        <f t="shared" si="22"/>
        <v>5.3800655705023237E-2</v>
      </c>
      <c r="O230" s="17">
        <f t="shared" si="22"/>
        <v>4.5827204584212522E-2</v>
      </c>
      <c r="P230" s="17">
        <f t="shared" si="22"/>
        <v>3.9446699855128609E-2</v>
      </c>
      <c r="Q230" s="17">
        <f t="shared" si="22"/>
        <v>2.5897345077783074E-2</v>
      </c>
      <c r="R230" s="17">
        <f t="shared" si="22"/>
        <v>2.016640958806426E-2</v>
      </c>
      <c r="S230" s="17">
        <f t="shared" si="22"/>
        <v>6.8654967448848359E-2</v>
      </c>
      <c r="T230" s="17">
        <f t="shared" si="22"/>
        <v>5.8707980283908556E-2</v>
      </c>
      <c r="U230" s="17">
        <f t="shared" si="22"/>
        <v>3.0191394682937522E-2</v>
      </c>
      <c r="V230" s="17">
        <f t="shared" si="22"/>
        <v>2.9532704267210885E-2</v>
      </c>
      <c r="W230" s="17">
        <f t="shared" si="22"/>
        <v>2.2191021549937906E-2</v>
      </c>
      <c r="X230" s="17">
        <f t="shared" si="22"/>
        <v>1.0539301875498897E-2</v>
      </c>
      <c r="Y230" s="17">
        <f t="shared" si="22"/>
        <v>2.0793868478170552E-3</v>
      </c>
      <c r="Z230" s="17">
        <f t="shared" si="22"/>
        <v>-7.8512183314777273E-3</v>
      </c>
      <c r="AA230" s="17">
        <f t="shared" si="22"/>
        <v>-1.3688315111786364E-2</v>
      </c>
      <c r="AB230" s="17">
        <f t="shared" si="22"/>
        <v>-2.0691854285059486E-2</v>
      </c>
      <c r="AC230" s="17">
        <f t="shared" si="22"/>
        <v>-1.7786665774903176E-2</v>
      </c>
      <c r="AD230" s="17">
        <f t="shared" si="22"/>
        <v>-1.6047633112271198E-2</v>
      </c>
      <c r="AE230" s="17">
        <f t="shared" si="22"/>
        <v>-9.4961475017961705E-3</v>
      </c>
      <c r="AF230" s="17">
        <f t="shared" si="22"/>
        <v>-8.7624844431704041E-3</v>
      </c>
      <c r="AG230" s="17">
        <f t="shared" si="22"/>
        <v>-5.1479675732680752E-3</v>
      </c>
      <c r="AH230" s="17">
        <f t="shared" si="22"/>
        <v>-4.181500023107132E-4</v>
      </c>
      <c r="AI230" s="17">
        <f t="shared" si="22"/>
        <v>8.4187891131897175E-3</v>
      </c>
      <c r="AJ230" s="17">
        <f t="shared" si="22"/>
        <v>5.3928229839996789E-3</v>
      </c>
      <c r="AK230" s="17">
        <f t="shared" si="22"/>
        <v>1.2068766989987267E-2</v>
      </c>
    </row>
    <row r="231" spans="1:37" x14ac:dyDescent="0.25">
      <c r="A231" s="12" t="s">
        <v>438</v>
      </c>
      <c r="B231" s="12"/>
      <c r="C231" s="17">
        <f>SUM(C$155:C$159)/SUM(B$155:B$159)-1</f>
        <v>-9.6933310324514022E-3</v>
      </c>
      <c r="D231" s="17">
        <f t="shared" ref="D231:AK231" si="23">SUM(D$155:D$159)/SUM(C$155:C$159)-1</f>
        <v>-1.3317162063596233E-2</v>
      </c>
      <c r="E231" s="17">
        <f t="shared" si="23"/>
        <v>-9.0972814122071144E-3</v>
      </c>
      <c r="F231" s="17">
        <f t="shared" si="23"/>
        <v>-1.7410720472205155E-3</v>
      </c>
      <c r="G231" s="17">
        <f t="shared" si="23"/>
        <v>3.721815558902497E-3</v>
      </c>
      <c r="H231" s="17">
        <f t="shared" si="23"/>
        <v>1.930679867647056E-3</v>
      </c>
      <c r="I231" s="17">
        <f t="shared" si="23"/>
        <v>-7.3525174619970546E-3</v>
      </c>
      <c r="J231" s="17">
        <f t="shared" si="23"/>
        <v>-3.6148441816428178E-3</v>
      </c>
      <c r="K231" s="17">
        <f t="shared" si="23"/>
        <v>-4.7257073378434988E-3</v>
      </c>
      <c r="L231" s="17">
        <f t="shared" si="23"/>
        <v>-8.8293434980855068E-3</v>
      </c>
      <c r="M231" s="17">
        <f t="shared" si="23"/>
        <v>-3.7038746645620124E-3</v>
      </c>
      <c r="N231" s="17">
        <f t="shared" si="23"/>
        <v>-2.602446434706307E-4</v>
      </c>
      <c r="O231" s="17">
        <f t="shared" si="23"/>
        <v>1.1667180303984281E-2</v>
      </c>
      <c r="P231" s="17">
        <f t="shared" si="23"/>
        <v>2.0128767753416099E-2</v>
      </c>
      <c r="Q231" s="17">
        <f t="shared" si="23"/>
        <v>2.2702415097912265E-2</v>
      </c>
      <c r="R231" s="17">
        <f t="shared" si="23"/>
        <v>1.1295718498098628E-2</v>
      </c>
      <c r="S231" s="17">
        <f t="shared" si="23"/>
        <v>5.8294199214617759E-2</v>
      </c>
      <c r="T231" s="17">
        <f t="shared" si="23"/>
        <v>5.6991934125258048E-2</v>
      </c>
      <c r="U231" s="17">
        <f t="shared" si="23"/>
        <v>2.4832188714513537E-2</v>
      </c>
      <c r="V231" s="17">
        <f t="shared" si="23"/>
        <v>2.5737173664696744E-2</v>
      </c>
      <c r="W231" s="17">
        <f t="shared" si="23"/>
        <v>3.453290305797907E-2</v>
      </c>
      <c r="X231" s="17">
        <f t="shared" si="23"/>
        <v>3.2068405375657694E-2</v>
      </c>
      <c r="Y231" s="17">
        <f t="shared" si="23"/>
        <v>3.0517990895890801E-2</v>
      </c>
      <c r="Z231" s="17">
        <f t="shared" si="23"/>
        <v>3.5442698184917187E-2</v>
      </c>
      <c r="AA231" s="17">
        <f t="shared" si="23"/>
        <v>3.2666841395444512E-2</v>
      </c>
      <c r="AB231" s="17">
        <f t="shared" si="23"/>
        <v>2.2009066690736212E-2</v>
      </c>
      <c r="AC231" s="17">
        <f t="shared" si="23"/>
        <v>1.1659649996368371E-2</v>
      </c>
      <c r="AD231" s="17">
        <f t="shared" si="23"/>
        <v>2.6057765792002474E-3</v>
      </c>
      <c r="AE231" s="17">
        <f t="shared" si="23"/>
        <v>-7.3426572537468315E-3</v>
      </c>
      <c r="AF231" s="17">
        <f t="shared" si="23"/>
        <v>-1.324149071293601E-2</v>
      </c>
      <c r="AG231" s="17">
        <f t="shared" si="23"/>
        <v>-2.003622493013224E-2</v>
      </c>
      <c r="AH231" s="17">
        <f t="shared" si="23"/>
        <v>-1.6951667633303247E-2</v>
      </c>
      <c r="AI231" s="17">
        <f t="shared" si="23"/>
        <v>-1.5178546726970943E-2</v>
      </c>
      <c r="AJ231" s="17">
        <f t="shared" si="23"/>
        <v>-8.535395652439659E-3</v>
      </c>
      <c r="AK231" s="17">
        <f t="shared" si="23"/>
        <v>-8.0677464767748841E-3</v>
      </c>
    </row>
    <row r="232" spans="1:37" x14ac:dyDescent="0.25">
      <c r="A232" s="12" t="s">
        <v>439</v>
      </c>
      <c r="B232" s="12"/>
      <c r="C232" s="17">
        <f>SUM(C$160:C$164)/SUM(B$160:B$164)-1</f>
        <v>2.6645491427477852E-2</v>
      </c>
      <c r="D232" s="17">
        <f t="shared" ref="D232:AK232" si="24">SUM(D$160:D$164)/SUM(C$160:C$164)-1</f>
        <v>1.9483902411039589E-2</v>
      </c>
      <c r="E232" s="17">
        <f t="shared" si="24"/>
        <v>7.1358318340977167E-3</v>
      </c>
      <c r="F232" s="17">
        <f t="shared" si="24"/>
        <v>-1.2187385406537965E-3</v>
      </c>
      <c r="G232" s="17">
        <f t="shared" si="24"/>
        <v>-9.7998322009775762E-3</v>
      </c>
      <c r="H232" s="17">
        <f t="shared" si="24"/>
        <v>-1.8526173407920843E-2</v>
      </c>
      <c r="I232" s="17">
        <f t="shared" si="24"/>
        <v>-1.434570740669916E-2</v>
      </c>
      <c r="J232" s="17">
        <f t="shared" si="24"/>
        <v>-8.3039002942986162E-4</v>
      </c>
      <c r="K232" s="17">
        <f t="shared" si="24"/>
        <v>1.2168462149742876E-2</v>
      </c>
      <c r="L232" s="17">
        <f t="shared" si="24"/>
        <v>2.333391862735823E-2</v>
      </c>
      <c r="M232" s="17">
        <f t="shared" si="24"/>
        <v>2.8020579197657325E-2</v>
      </c>
      <c r="N232" s="17">
        <f t="shared" si="24"/>
        <v>1.6385841148569336E-2</v>
      </c>
      <c r="O232" s="17">
        <f t="shared" si="24"/>
        <v>9.7900019569263641E-4</v>
      </c>
      <c r="P232" s="17">
        <f t="shared" si="24"/>
        <v>-9.1815574785812926E-3</v>
      </c>
      <c r="Q232" s="17">
        <f t="shared" si="24"/>
        <v>-1.5149290050478714E-2</v>
      </c>
      <c r="R232" s="17">
        <f t="shared" si="24"/>
        <v>-2.5693066622011429E-2</v>
      </c>
      <c r="S232" s="17">
        <f t="shared" si="24"/>
        <v>-1.0027415156356301E-2</v>
      </c>
      <c r="T232" s="17">
        <f t="shared" si="24"/>
        <v>1.9433012114458137E-2</v>
      </c>
      <c r="U232" s="17">
        <f t="shared" si="24"/>
        <v>1.527367411249192E-2</v>
      </c>
      <c r="V232" s="17">
        <f t="shared" si="24"/>
        <v>2.0148506686538337E-2</v>
      </c>
      <c r="W232" s="17">
        <f t="shared" si="24"/>
        <v>2.4685295879787184E-2</v>
      </c>
      <c r="X232" s="17">
        <f t="shared" si="24"/>
        <v>3.5018777210298779E-2</v>
      </c>
      <c r="Y232" s="17">
        <f t="shared" si="24"/>
        <v>3.2802102646854125E-2</v>
      </c>
      <c r="Z232" s="17">
        <f t="shared" si="24"/>
        <v>2.9074314428896741E-2</v>
      </c>
      <c r="AA232" s="17">
        <f t="shared" si="24"/>
        <v>2.9552739203201117E-2</v>
      </c>
      <c r="AB232" s="17">
        <f t="shared" si="24"/>
        <v>3.5620672949748799E-2</v>
      </c>
      <c r="AC232" s="17">
        <f t="shared" si="24"/>
        <v>3.328640525632709E-2</v>
      </c>
      <c r="AD232" s="17">
        <f t="shared" si="24"/>
        <v>3.1029706123640199E-2</v>
      </c>
      <c r="AE232" s="17">
        <f t="shared" si="24"/>
        <v>3.567596412978058E-2</v>
      </c>
      <c r="AF232" s="17">
        <f t="shared" si="24"/>
        <v>3.2493605140524018E-2</v>
      </c>
      <c r="AG232" s="17">
        <f t="shared" si="24"/>
        <v>2.1503644428795932E-2</v>
      </c>
      <c r="AH232" s="17">
        <f t="shared" si="24"/>
        <v>1.1293439815442285E-2</v>
      </c>
      <c r="AI232" s="17">
        <f t="shared" si="24"/>
        <v>2.6801573598664863E-3</v>
      </c>
      <c r="AJ232" s="17">
        <f t="shared" si="24"/>
        <v>-6.7715830701253754E-3</v>
      </c>
      <c r="AK232" s="17">
        <f t="shared" si="24"/>
        <v>-1.2738427689145571E-2</v>
      </c>
    </row>
    <row r="233" spans="1:37" x14ac:dyDescent="0.25">
      <c r="A233" s="12" t="s">
        <v>440</v>
      </c>
      <c r="B233" s="12"/>
      <c r="C233" s="17">
        <f>SUM(C$165:C$169)/SUM(B$165:B$169)-1</f>
        <v>2.7177172600630017E-2</v>
      </c>
      <c r="D233" s="17">
        <f t="shared" ref="D233:AK233" si="25">SUM(D$165:D$169)/SUM(C$165:C$169)-1</f>
        <v>2.1482896141091778E-2</v>
      </c>
      <c r="E233" s="17">
        <f t="shared" si="25"/>
        <v>2.4650156555892977E-2</v>
      </c>
      <c r="F233" s="17">
        <f t="shared" si="25"/>
        <v>2.4873225232397989E-2</v>
      </c>
      <c r="G233" s="17">
        <f t="shared" si="25"/>
        <v>2.2358170497132734E-2</v>
      </c>
      <c r="H233" s="17">
        <f t="shared" si="25"/>
        <v>2.0579988926164638E-2</v>
      </c>
      <c r="I233" s="17">
        <f t="shared" si="25"/>
        <v>1.7390538475376971E-2</v>
      </c>
      <c r="J233" s="17">
        <f t="shared" si="25"/>
        <v>1.0338403549196462E-2</v>
      </c>
      <c r="K233" s="17">
        <f t="shared" si="25"/>
        <v>8.5041761902808766E-3</v>
      </c>
      <c r="L233" s="17">
        <f t="shared" si="25"/>
        <v>3.8965902022531917E-3</v>
      </c>
      <c r="M233" s="17">
        <f t="shared" si="25"/>
        <v>1.9076776265565254E-3</v>
      </c>
      <c r="N233" s="17">
        <f t="shared" si="25"/>
        <v>3.9481007920976197E-3</v>
      </c>
      <c r="O233" s="17">
        <f t="shared" si="25"/>
        <v>5.1071571062981658E-3</v>
      </c>
      <c r="P233" s="17">
        <f t="shared" si="25"/>
        <v>8.1081760473027398E-3</v>
      </c>
      <c r="Q233" s="17">
        <f t="shared" si="25"/>
        <v>2.0043422041439385E-2</v>
      </c>
      <c r="R233" s="17">
        <f t="shared" si="25"/>
        <v>7.1337123305572625E-3</v>
      </c>
      <c r="S233" s="17">
        <f t="shared" si="25"/>
        <v>-7.5874356450265079E-3</v>
      </c>
      <c r="T233" s="17">
        <f t="shared" si="25"/>
        <v>5.1661661137596404E-3</v>
      </c>
      <c r="U233" s="17">
        <f t="shared" si="25"/>
        <v>-9.713640194850548E-3</v>
      </c>
      <c r="V233" s="17">
        <f t="shared" si="25"/>
        <v>-2.1600258127056016E-2</v>
      </c>
      <c r="W233" s="17">
        <f t="shared" si="25"/>
        <v>-1.6971333320142112E-2</v>
      </c>
      <c r="X233" s="17">
        <f t="shared" si="25"/>
        <v>-1.1676084506565099E-2</v>
      </c>
      <c r="Y233" s="17">
        <f t="shared" si="25"/>
        <v>3.3211177735550379E-3</v>
      </c>
      <c r="Z233" s="17">
        <f t="shared" si="25"/>
        <v>1.7458112913423252E-2</v>
      </c>
      <c r="AA233" s="17">
        <f t="shared" si="25"/>
        <v>2.4759517384316032E-2</v>
      </c>
      <c r="AB233" s="17">
        <f t="shared" si="25"/>
        <v>2.7726930316363863E-2</v>
      </c>
      <c r="AC233" s="17">
        <f t="shared" si="25"/>
        <v>3.7413041231925348E-2</v>
      </c>
      <c r="AD233" s="17">
        <f t="shared" si="25"/>
        <v>3.3947936959158653E-2</v>
      </c>
      <c r="AE233" s="17">
        <f t="shared" si="25"/>
        <v>2.9805933729756484E-2</v>
      </c>
      <c r="AF233" s="17">
        <f t="shared" si="25"/>
        <v>3.0069449664133385E-2</v>
      </c>
      <c r="AG233" s="17">
        <f t="shared" si="25"/>
        <v>3.542360215696716E-2</v>
      </c>
      <c r="AH233" s="17">
        <f t="shared" si="25"/>
        <v>3.3419762978370571E-2</v>
      </c>
      <c r="AI233" s="17">
        <f t="shared" si="25"/>
        <v>3.1061789483908031E-2</v>
      </c>
      <c r="AJ233" s="17">
        <f t="shared" si="25"/>
        <v>3.5824199731206541E-2</v>
      </c>
      <c r="AK233" s="17">
        <f t="shared" si="25"/>
        <v>3.2576112719374661E-2</v>
      </c>
    </row>
    <row r="234" spans="1:37" x14ac:dyDescent="0.25">
      <c r="A234" s="12" t="s">
        <v>441</v>
      </c>
      <c r="B234" s="12"/>
      <c r="C234" s="17">
        <f>SUM(C$170:C$174)/SUM(B$170:B$174)-1</f>
        <v>5.0309066428591009E-3</v>
      </c>
      <c r="D234" s="17">
        <f t="shared" ref="D234:AK234" si="26">SUM(D$170:D$174)/SUM(C$170:C$174)-1</f>
        <v>3.596967860290512E-3</v>
      </c>
      <c r="E234" s="17">
        <f t="shared" si="26"/>
        <v>9.822291865146715E-3</v>
      </c>
      <c r="F234" s="17">
        <f t="shared" si="26"/>
        <v>1.5922429424475748E-2</v>
      </c>
      <c r="G234" s="17">
        <f t="shared" si="26"/>
        <v>2.2316946223584599E-2</v>
      </c>
      <c r="H234" s="17">
        <f t="shared" si="26"/>
        <v>2.2801718264596094E-2</v>
      </c>
      <c r="I234" s="17">
        <f t="shared" si="26"/>
        <v>1.932042185733418E-2</v>
      </c>
      <c r="J234" s="17">
        <f t="shared" si="26"/>
        <v>2.4683164626342569E-2</v>
      </c>
      <c r="K234" s="17">
        <f t="shared" si="26"/>
        <v>2.8532667000171985E-2</v>
      </c>
      <c r="L234" s="17">
        <f t="shared" si="26"/>
        <v>3.1697423591794838E-2</v>
      </c>
      <c r="M234" s="17">
        <f t="shared" si="26"/>
        <v>3.6184010498710117E-2</v>
      </c>
      <c r="N234" s="17">
        <f t="shared" si="26"/>
        <v>3.1063793318327759E-2</v>
      </c>
      <c r="O234" s="17">
        <f t="shared" si="26"/>
        <v>1.6026544781549523E-2</v>
      </c>
      <c r="P234" s="17">
        <f t="shared" si="26"/>
        <v>7.6564417953171038E-3</v>
      </c>
      <c r="Q234" s="17">
        <f t="shared" si="26"/>
        <v>3.3122871017523536E-3</v>
      </c>
      <c r="R234" s="17">
        <f t="shared" si="26"/>
        <v>-1.4321632199404633E-2</v>
      </c>
      <c r="S234" s="17">
        <f t="shared" si="26"/>
        <v>-2.4240348957750624E-2</v>
      </c>
      <c r="T234" s="17">
        <f t="shared" si="26"/>
        <v>7.2285520048369634E-3</v>
      </c>
      <c r="U234" s="17">
        <f t="shared" si="26"/>
        <v>7.6843105468809014E-3</v>
      </c>
      <c r="V234" s="17">
        <f t="shared" si="26"/>
        <v>1.3306588662009178E-2</v>
      </c>
      <c r="W234" s="17">
        <f t="shared" si="26"/>
        <v>1.2520985732273004E-2</v>
      </c>
      <c r="X234" s="17">
        <f t="shared" si="26"/>
        <v>4.4079295342636104E-3</v>
      </c>
      <c r="Y234" s="17">
        <f t="shared" si="26"/>
        <v>-3.5918826524458103E-3</v>
      </c>
      <c r="Z234" s="17">
        <f t="shared" si="26"/>
        <v>-9.3211193917581703E-3</v>
      </c>
      <c r="AA234" s="17">
        <f t="shared" si="26"/>
        <v>-1.7083426541491087E-2</v>
      </c>
      <c r="AB234" s="17">
        <f t="shared" si="26"/>
        <v>-1.3794424625431012E-2</v>
      </c>
      <c r="AC234" s="17">
        <f t="shared" si="26"/>
        <v>-1.0041612912800146E-2</v>
      </c>
      <c r="AD234" s="17">
        <f t="shared" si="26"/>
        <v>4.0878719630059734E-3</v>
      </c>
      <c r="AE234" s="17">
        <f t="shared" si="26"/>
        <v>1.8183232169896479E-2</v>
      </c>
      <c r="AF234" s="17">
        <f t="shared" si="26"/>
        <v>2.5360407418413056E-2</v>
      </c>
      <c r="AG234" s="17">
        <f t="shared" si="26"/>
        <v>2.8164728974834352E-2</v>
      </c>
      <c r="AH234" s="17">
        <f t="shared" si="26"/>
        <v>3.7657787644669538E-2</v>
      </c>
      <c r="AI234" s="17">
        <f t="shared" si="26"/>
        <v>3.4227767420314859E-2</v>
      </c>
      <c r="AJ234" s="17">
        <f t="shared" si="26"/>
        <v>3.0043687467113722E-2</v>
      </c>
      <c r="AK234" s="17">
        <f t="shared" si="26"/>
        <v>3.0363710264357469E-2</v>
      </c>
    </row>
    <row r="235" spans="1:37" x14ac:dyDescent="0.25">
      <c r="A235" s="12" t="s">
        <v>442</v>
      </c>
      <c r="B235" s="12"/>
      <c r="C235" s="17">
        <f>SUM(C$175:C$179)/SUM(B$175:B$179)-1</f>
        <v>6.2124012853495669E-2</v>
      </c>
      <c r="D235" s="17">
        <f t="shared" ref="D235:AK235" si="27">SUM(D$175:D$179)/SUM(C$175:C$179)-1</f>
        <v>7.2268216816916642E-2</v>
      </c>
      <c r="E235" s="17">
        <f t="shared" si="27"/>
        <v>4.5041542981828275E-2</v>
      </c>
      <c r="F235" s="17">
        <f t="shared" si="27"/>
        <v>4.1522669072777019E-2</v>
      </c>
      <c r="G235" s="17">
        <f t="shared" si="27"/>
        <v>3.2587746032064269E-2</v>
      </c>
      <c r="H235" s="17">
        <f t="shared" si="27"/>
        <v>1.9786894397051391E-3</v>
      </c>
      <c r="I235" s="17">
        <f t="shared" si="27"/>
        <v>2.3091213710741965E-3</v>
      </c>
      <c r="J235" s="17">
        <f t="shared" si="27"/>
        <v>8.4815554192099185E-3</v>
      </c>
      <c r="K235" s="17">
        <f t="shared" si="27"/>
        <v>1.7939091038108756E-2</v>
      </c>
      <c r="L235" s="17">
        <f t="shared" si="27"/>
        <v>2.5560672920162064E-2</v>
      </c>
      <c r="M235" s="17">
        <f t="shared" si="27"/>
        <v>2.9798358955211324E-2</v>
      </c>
      <c r="N235" s="17">
        <f t="shared" si="27"/>
        <v>2.7495870440410242E-2</v>
      </c>
      <c r="O235" s="17">
        <f t="shared" si="27"/>
        <v>3.374697308519381E-2</v>
      </c>
      <c r="P235" s="17">
        <f t="shared" si="27"/>
        <v>3.145643738647963E-2</v>
      </c>
      <c r="Q235" s="17">
        <f t="shared" si="27"/>
        <v>3.0470014054744921E-2</v>
      </c>
      <c r="R235" s="17">
        <f t="shared" si="27"/>
        <v>2.175369193779253E-2</v>
      </c>
      <c r="S235" s="17">
        <f t="shared" si="27"/>
        <v>4.4233428281710285E-3</v>
      </c>
      <c r="T235" s="17">
        <f t="shared" si="27"/>
        <v>1.9157948816033832E-2</v>
      </c>
      <c r="U235" s="17">
        <f t="shared" si="27"/>
        <v>6.2213632103007566E-3</v>
      </c>
      <c r="V235" s="17">
        <f t="shared" si="27"/>
        <v>-6.6304293045482687E-3</v>
      </c>
      <c r="W235" s="17">
        <f t="shared" si="27"/>
        <v>-9.0706187953913942E-3</v>
      </c>
      <c r="X235" s="17">
        <f t="shared" si="27"/>
        <v>-5.2305396281648875E-3</v>
      </c>
      <c r="Y235" s="17">
        <f t="shared" si="27"/>
        <v>2.9801502895412391E-3</v>
      </c>
      <c r="Z235" s="17">
        <f t="shared" si="27"/>
        <v>8.0553631809485715E-3</v>
      </c>
      <c r="AA235" s="17">
        <f t="shared" si="27"/>
        <v>1.798157061628336E-2</v>
      </c>
      <c r="AB235" s="17">
        <f t="shared" si="27"/>
        <v>1.6279662118246607E-2</v>
      </c>
      <c r="AC235" s="17">
        <f t="shared" si="27"/>
        <v>6.5919664326177241E-3</v>
      </c>
      <c r="AD235" s="17">
        <f t="shared" si="27"/>
        <v>-2.8246930934534564E-3</v>
      </c>
      <c r="AE235" s="17">
        <f t="shared" si="27"/>
        <v>-8.9497390920174613E-3</v>
      </c>
      <c r="AF235" s="17">
        <f t="shared" si="27"/>
        <v>-1.7006456529405578E-2</v>
      </c>
      <c r="AG235" s="17">
        <f t="shared" si="27"/>
        <v>-1.307609518871955E-2</v>
      </c>
      <c r="AH235" s="17">
        <f t="shared" si="27"/>
        <v>-9.3085140977127168E-3</v>
      </c>
      <c r="AI235" s="17">
        <f t="shared" si="27"/>
        <v>4.7322802252360852E-3</v>
      </c>
      <c r="AJ235" s="17">
        <f t="shared" si="27"/>
        <v>1.8566921937892999E-2</v>
      </c>
      <c r="AK235" s="17">
        <f t="shared" si="27"/>
        <v>2.5533268655586472E-2</v>
      </c>
    </row>
    <row r="236" spans="1:37" x14ac:dyDescent="0.25">
      <c r="A236" s="12" t="s">
        <v>443</v>
      </c>
      <c r="B236" s="12"/>
      <c r="C236" s="17">
        <f>SUM(C$180:C$210)/SUM(B$180:B$210)-1</f>
        <v>3.5389125645910235E-2</v>
      </c>
      <c r="D236" s="17">
        <f t="shared" ref="D236:AK236" si="28">SUM(D$180:D$210)/SUM(C$180:C$210)-1</f>
        <v>2.2631244481116086E-2</v>
      </c>
      <c r="E236" s="17">
        <f t="shared" si="28"/>
        <v>2.8089827996498729E-2</v>
      </c>
      <c r="F236" s="17">
        <f t="shared" si="28"/>
        <v>3.1641296049234491E-2</v>
      </c>
      <c r="G236" s="17">
        <f t="shared" si="28"/>
        <v>3.5205085355030752E-2</v>
      </c>
      <c r="H236" s="17">
        <f t="shared" si="28"/>
        <v>4.4791527303805756E-2</v>
      </c>
      <c r="I236" s="17">
        <f t="shared" si="28"/>
        <v>3.9708843061861954E-2</v>
      </c>
      <c r="J236" s="17">
        <f t="shared" si="28"/>
        <v>3.4132214967520058E-2</v>
      </c>
      <c r="K236" s="17">
        <f t="shared" si="28"/>
        <v>3.3939049681279254E-2</v>
      </c>
      <c r="L236" s="17">
        <f t="shared" si="28"/>
        <v>3.5901236102378942E-2</v>
      </c>
      <c r="M236" s="17">
        <f t="shared" si="28"/>
        <v>3.7340486309597187E-2</v>
      </c>
      <c r="N236" s="17">
        <f t="shared" si="28"/>
        <v>3.3152701855660327E-2</v>
      </c>
      <c r="O236" s="17">
        <f t="shared" si="28"/>
        <v>3.5632465283720549E-2</v>
      </c>
      <c r="P236" s="17">
        <f t="shared" si="28"/>
        <v>3.6109433845942673E-2</v>
      </c>
      <c r="Q236" s="17">
        <f t="shared" si="28"/>
        <v>3.8127429235218502E-2</v>
      </c>
      <c r="R236" s="17">
        <f t="shared" si="28"/>
        <v>2.4358562381598947E-2</v>
      </c>
      <c r="S236" s="17">
        <f t="shared" si="28"/>
        <v>1.0985241124325418E-2</v>
      </c>
      <c r="T236" s="17">
        <f t="shared" si="28"/>
        <v>3.9828955730695226E-2</v>
      </c>
      <c r="U236" s="17">
        <f t="shared" si="28"/>
        <v>3.3488178289797776E-2</v>
      </c>
      <c r="V236" s="17">
        <f t="shared" si="28"/>
        <v>3.0167015602296843E-2</v>
      </c>
      <c r="W236" s="17">
        <f t="shared" si="28"/>
        <v>3.030209297615305E-2</v>
      </c>
      <c r="X236" s="17">
        <f t="shared" si="28"/>
        <v>3.0157922314585583E-2</v>
      </c>
      <c r="Y236" s="17">
        <f t="shared" si="28"/>
        <v>2.8708241548896174E-2</v>
      </c>
      <c r="Z236" s="17">
        <f t="shared" si="28"/>
        <v>2.5906225028362151E-2</v>
      </c>
      <c r="AA236" s="17">
        <f t="shared" si="28"/>
        <v>2.3968852745267499E-2</v>
      </c>
      <c r="AB236" s="17">
        <f t="shared" si="28"/>
        <v>2.2804368064917035E-2</v>
      </c>
      <c r="AC236" s="17">
        <f t="shared" si="28"/>
        <v>2.2655515231895018E-2</v>
      </c>
      <c r="AD236" s="17">
        <f t="shared" si="28"/>
        <v>2.2677220591663882E-2</v>
      </c>
      <c r="AE236" s="17">
        <f t="shared" si="28"/>
        <v>2.1285740866306968E-2</v>
      </c>
      <c r="AF236" s="17">
        <f t="shared" si="28"/>
        <v>2.2107514592098365E-2</v>
      </c>
      <c r="AG236" s="17">
        <f t="shared" si="28"/>
        <v>2.0536952474574655E-2</v>
      </c>
      <c r="AH236" s="17">
        <f t="shared" si="28"/>
        <v>1.7893656531880575E-2</v>
      </c>
      <c r="AI236" s="17">
        <f t="shared" si="28"/>
        <v>1.5598605068452676E-2</v>
      </c>
      <c r="AJ236" s="17">
        <f t="shared" si="28"/>
        <v>1.3167344498125511E-2</v>
      </c>
      <c r="AK236" s="17">
        <f t="shared" si="28"/>
        <v>1.2110500094918875E-2</v>
      </c>
    </row>
    <row r="237" spans="1:37" x14ac:dyDescent="0.25">
      <c r="A237" s="12" t="s">
        <v>444</v>
      </c>
      <c r="B237" s="12"/>
      <c r="C237" s="17">
        <f>SUM(C$80:C$110,C$180:C$210)/SUM(B$80:B$110,B$180:B$210)-1</f>
        <v>3.0510753180425398E-2</v>
      </c>
      <c r="D237" s="17">
        <f t="shared" ref="D237:AK237" si="29">SUM(D$80:D$110,D$180:D$210)/SUM(C$80:C$110,C$180:C$210)-1</f>
        <v>1.8797130487239633E-2</v>
      </c>
      <c r="E237" s="17">
        <f t="shared" si="29"/>
        <v>2.3257590481887025E-2</v>
      </c>
      <c r="F237" s="17">
        <f t="shared" si="29"/>
        <v>2.7690157502675561E-2</v>
      </c>
      <c r="G237" s="17">
        <f t="shared" si="29"/>
        <v>3.0929595484122441E-2</v>
      </c>
      <c r="H237" s="17">
        <f t="shared" si="29"/>
        <v>3.9795860083187806E-2</v>
      </c>
      <c r="I237" s="17">
        <f t="shared" si="29"/>
        <v>3.5897232306759674E-2</v>
      </c>
      <c r="J237" s="17">
        <f t="shared" si="29"/>
        <v>3.0546328387931698E-2</v>
      </c>
      <c r="K237" s="17">
        <f t="shared" si="29"/>
        <v>3.1800403794108645E-2</v>
      </c>
      <c r="L237" s="17">
        <f t="shared" si="29"/>
        <v>3.2463663777926755E-2</v>
      </c>
      <c r="M237" s="17">
        <f t="shared" si="29"/>
        <v>3.5068897636616247E-2</v>
      </c>
      <c r="N237" s="17">
        <f t="shared" si="29"/>
        <v>3.1206497558776247E-2</v>
      </c>
      <c r="O237" s="17">
        <f t="shared" si="29"/>
        <v>3.3931485464898214E-2</v>
      </c>
      <c r="P237" s="17">
        <f t="shared" si="29"/>
        <v>3.527237044072673E-2</v>
      </c>
      <c r="Q237" s="17">
        <f t="shared" si="29"/>
        <v>3.7370090749744733E-2</v>
      </c>
      <c r="R237" s="17">
        <f t="shared" si="29"/>
        <v>2.339398665685688E-2</v>
      </c>
      <c r="S237" s="17">
        <f t="shared" si="29"/>
        <v>1.0100168461927739E-2</v>
      </c>
      <c r="T237" s="17">
        <f t="shared" si="29"/>
        <v>4.0098785237888235E-2</v>
      </c>
      <c r="U237" s="17">
        <f t="shared" si="29"/>
        <v>3.3467865640377736E-2</v>
      </c>
      <c r="V237" s="17">
        <f t="shared" si="29"/>
        <v>3.0267631394296224E-2</v>
      </c>
      <c r="W237" s="17">
        <f t="shared" si="29"/>
        <v>3.0763384422756834E-2</v>
      </c>
      <c r="X237" s="17">
        <f t="shared" si="29"/>
        <v>3.0806645087642082E-2</v>
      </c>
      <c r="Y237" s="17">
        <f t="shared" si="29"/>
        <v>2.9113418034544258E-2</v>
      </c>
      <c r="Z237" s="17">
        <f t="shared" si="29"/>
        <v>2.6328389403808439E-2</v>
      </c>
      <c r="AA237" s="17">
        <f t="shared" si="29"/>
        <v>2.4437815742671898E-2</v>
      </c>
      <c r="AB237" s="17">
        <f t="shared" si="29"/>
        <v>2.3981025137368439E-2</v>
      </c>
      <c r="AC237" s="17">
        <f t="shared" si="29"/>
        <v>2.35795448776559E-2</v>
      </c>
      <c r="AD237" s="17">
        <f t="shared" si="29"/>
        <v>2.3535111104987516E-2</v>
      </c>
      <c r="AE237" s="17">
        <f t="shared" si="29"/>
        <v>2.2120548844424937E-2</v>
      </c>
      <c r="AF237" s="17">
        <f t="shared" si="29"/>
        <v>2.3064938781412136E-2</v>
      </c>
      <c r="AG237" s="17">
        <f t="shared" si="29"/>
        <v>2.129809898047319E-2</v>
      </c>
      <c r="AH237" s="17">
        <f t="shared" si="29"/>
        <v>1.8678029639687121E-2</v>
      </c>
      <c r="AI237" s="17">
        <f t="shared" si="29"/>
        <v>1.6362589598664989E-2</v>
      </c>
      <c r="AJ237" s="17">
        <f t="shared" si="29"/>
        <v>1.3837100443714334E-2</v>
      </c>
      <c r="AK237" s="17">
        <f t="shared" si="29"/>
        <v>1.2018370498218411E-2</v>
      </c>
    </row>
    <row r="238" spans="1:37" x14ac:dyDescent="0.25">
      <c r="A238" s="11" t="s">
        <v>445</v>
      </c>
      <c r="B238" s="12"/>
    </row>
    <row r="239" spans="1:37" x14ac:dyDescent="0.25">
      <c r="A239" s="12" t="s">
        <v>446</v>
      </c>
      <c r="B239" s="12"/>
      <c r="C239" s="17">
        <f>SUM(C$15:C$19)/SUM(B$15:B$19)-1</f>
        <v>1.6222106749167686E-2</v>
      </c>
      <c r="D239" s="17">
        <f t="shared" ref="D239:AK239" si="30">SUM(D$15:D$19)/SUM(C$15:C$19)-1</f>
        <v>2.7375456454639124E-2</v>
      </c>
      <c r="E239" s="17">
        <f t="shared" si="30"/>
        <v>1.8669231786915041E-2</v>
      </c>
      <c r="F239" s="17">
        <f t="shared" si="30"/>
        <v>2.5749570539736366E-2</v>
      </c>
      <c r="G239" s="17">
        <f t="shared" si="30"/>
        <v>1.1309804382430677E-2</v>
      </c>
      <c r="H239" s="17">
        <f t="shared" si="30"/>
        <v>-3.8860785459320368E-3</v>
      </c>
      <c r="I239" s="17">
        <f t="shared" si="30"/>
        <v>-9.5245934912487895E-3</v>
      </c>
      <c r="J239" s="17">
        <f t="shared" si="30"/>
        <v>-6.2033258405954639E-3</v>
      </c>
      <c r="K239" s="17">
        <f t="shared" si="30"/>
        <v>-8.1518547593107948E-3</v>
      </c>
      <c r="L239" s="17">
        <f t="shared" si="30"/>
        <v>-5.3797232314769516E-3</v>
      </c>
      <c r="M239" s="17">
        <f t="shared" si="30"/>
        <v>-5.1552701295016767E-3</v>
      </c>
      <c r="N239" s="17">
        <f t="shared" si="30"/>
        <v>-3.2274903629542218E-3</v>
      </c>
      <c r="O239" s="17">
        <f t="shared" si="30"/>
        <v>-6.6034619117183446E-3</v>
      </c>
      <c r="P239" s="17">
        <f t="shared" si="30"/>
        <v>6.5304869398714605E-3</v>
      </c>
      <c r="Q239" s="17">
        <f t="shared" si="30"/>
        <v>-8.7500518482801493E-3</v>
      </c>
      <c r="R239" s="17">
        <f t="shared" si="30"/>
        <v>-1.0486901573847351E-4</v>
      </c>
      <c r="S239" s="17">
        <f t="shared" si="30"/>
        <v>4.3125454465116064E-3</v>
      </c>
      <c r="T239" s="17">
        <f t="shared" si="30"/>
        <v>-7.175829328547767E-3</v>
      </c>
      <c r="U239" s="17">
        <f t="shared" si="30"/>
        <v>-9.9848993229566529E-3</v>
      </c>
      <c r="V239" s="17">
        <f t="shared" si="30"/>
        <v>-1.6719459227389155E-2</v>
      </c>
      <c r="W239" s="17">
        <f t="shared" si="30"/>
        <v>-1.5278513822714279E-2</v>
      </c>
      <c r="X239" s="17">
        <f t="shared" si="30"/>
        <v>1.6061130564130721E-2</v>
      </c>
      <c r="Y239" s="17">
        <f t="shared" si="30"/>
        <v>1.5181772468360499E-2</v>
      </c>
      <c r="Z239" s="17">
        <f t="shared" si="30"/>
        <v>1.1955316424604456E-2</v>
      </c>
      <c r="AA239" s="17">
        <f t="shared" si="30"/>
        <v>1.1198292389218212E-2</v>
      </c>
      <c r="AB239" s="17">
        <f t="shared" si="30"/>
        <v>3.6710744637047377E-4</v>
      </c>
      <c r="AC239" s="17">
        <f t="shared" si="30"/>
        <v>7.1213456731999969E-4</v>
      </c>
      <c r="AD239" s="17">
        <f t="shared" si="30"/>
        <v>1.1671156549282191E-3</v>
      </c>
      <c r="AE239" s="17">
        <f t="shared" si="30"/>
        <v>1.8452257861008015E-3</v>
      </c>
      <c r="AF239" s="17">
        <f t="shared" si="30"/>
        <v>2.8580077226787459E-3</v>
      </c>
      <c r="AG239" s="17">
        <f t="shared" si="30"/>
        <v>3.863147341362394E-3</v>
      </c>
      <c r="AH239" s="17">
        <f t="shared" si="30"/>
        <v>4.9207525819465747E-3</v>
      </c>
      <c r="AI239" s="17">
        <f t="shared" si="30"/>
        <v>5.64998924155935E-3</v>
      </c>
      <c r="AJ239" s="17">
        <f t="shared" si="30"/>
        <v>6.2424957899012146E-3</v>
      </c>
      <c r="AK239" s="17">
        <f t="shared" si="30"/>
        <v>6.7000702925004152E-3</v>
      </c>
    </row>
    <row r="240" spans="1:37" x14ac:dyDescent="0.25">
      <c r="A240" s="12" t="s">
        <v>447</v>
      </c>
      <c r="B240" s="12"/>
      <c r="C240" s="17">
        <f>SUM(C$20:C$24)/SUM(B$20:B$24)-1</f>
        <v>-6.4519210729720999E-3</v>
      </c>
      <c r="D240" s="17">
        <f t="shared" ref="D240:AK240" si="31">SUM(D$20:D$24)/SUM(C$20:C$24)-1</f>
        <v>-3.7903563548580266E-3</v>
      </c>
      <c r="E240" s="17">
        <f t="shared" si="31"/>
        <v>5.4690534879575647E-3</v>
      </c>
      <c r="F240" s="17">
        <f t="shared" si="31"/>
        <v>-2.9625967338268167E-3</v>
      </c>
      <c r="G240" s="17">
        <f t="shared" si="31"/>
        <v>2.243232480499957E-3</v>
      </c>
      <c r="H240" s="17">
        <f t="shared" si="31"/>
        <v>1.1873316453838489E-2</v>
      </c>
      <c r="I240" s="17">
        <f t="shared" si="31"/>
        <v>2.3213439696372573E-2</v>
      </c>
      <c r="J240" s="17">
        <f t="shared" si="31"/>
        <v>2.2625016093626993E-2</v>
      </c>
      <c r="K240" s="17">
        <f t="shared" si="31"/>
        <v>3.0759685306732454E-2</v>
      </c>
      <c r="L240" s="17">
        <f t="shared" si="31"/>
        <v>1.9051171143113388E-2</v>
      </c>
      <c r="M240" s="17">
        <f t="shared" si="31"/>
        <v>4.8719445261367067E-3</v>
      </c>
      <c r="N240" s="17">
        <f t="shared" si="31"/>
        <v>4.027936620405681E-3</v>
      </c>
      <c r="O240" s="17">
        <f t="shared" si="31"/>
        <v>-5.0137654583467528E-3</v>
      </c>
      <c r="P240" s="17">
        <f t="shared" si="31"/>
        <v>5.6882984970711981E-3</v>
      </c>
      <c r="Q240" s="17">
        <f t="shared" si="31"/>
        <v>-1.833201363476622E-2</v>
      </c>
      <c r="R240" s="17">
        <f t="shared" si="31"/>
        <v>-8.6029593663309312E-3</v>
      </c>
      <c r="S240" s="17">
        <f t="shared" si="31"/>
        <v>1.1803144402221966E-2</v>
      </c>
      <c r="T240" s="17">
        <f t="shared" si="31"/>
        <v>9.1572258486629643E-3</v>
      </c>
      <c r="U240" s="17">
        <f t="shared" si="31"/>
        <v>-6.3491313109865777E-3</v>
      </c>
      <c r="V240" s="17">
        <f t="shared" si="31"/>
        <v>-7.1368966324374394E-3</v>
      </c>
      <c r="W240" s="17">
        <f t="shared" si="31"/>
        <v>-3.9814170546245142E-3</v>
      </c>
      <c r="X240" s="17">
        <f t="shared" si="31"/>
        <v>-4.3745745150569615E-3</v>
      </c>
      <c r="Y240" s="17">
        <f t="shared" si="31"/>
        <v>-3.6111871475761337E-3</v>
      </c>
      <c r="Z240" s="17">
        <f t="shared" si="31"/>
        <v>2.2471678537876461E-3</v>
      </c>
      <c r="AA240" s="17">
        <f t="shared" si="31"/>
        <v>8.2303242613424032E-4</v>
      </c>
      <c r="AB240" s="17">
        <f t="shared" si="31"/>
        <v>-1.0334658961260179E-2</v>
      </c>
      <c r="AC240" s="17">
        <f t="shared" si="31"/>
        <v>5.231099034764819E-3</v>
      </c>
      <c r="AD240" s="17">
        <f t="shared" si="31"/>
        <v>4.1081643060694173E-3</v>
      </c>
      <c r="AE240" s="17">
        <f t="shared" si="31"/>
        <v>6.7109684305499684E-4</v>
      </c>
      <c r="AF240" s="17">
        <f t="shared" si="31"/>
        <v>4.8774310845245417E-4</v>
      </c>
      <c r="AG240" s="17">
        <f t="shared" si="31"/>
        <v>4.2656716470101941E-4</v>
      </c>
      <c r="AH240" s="17">
        <f t="shared" si="31"/>
        <v>7.3094619898261826E-4</v>
      </c>
      <c r="AI240" s="17">
        <f t="shared" si="31"/>
        <v>1.3390892292857171E-3</v>
      </c>
      <c r="AJ240" s="17">
        <f t="shared" si="31"/>
        <v>2.1275202889050604E-3</v>
      </c>
      <c r="AK240" s="17">
        <f t="shared" si="31"/>
        <v>2.9722049780736004E-3</v>
      </c>
    </row>
    <row r="241" spans="1:37" x14ac:dyDescent="0.25">
      <c r="A241" s="12" t="s">
        <v>448</v>
      </c>
      <c r="B241" s="12"/>
      <c r="C241" s="17">
        <f>SUM(C$25:C$29)/SUM(B$25:B$29)-1</f>
        <v>-1.6038348114192913E-2</v>
      </c>
      <c r="D241" s="17">
        <f t="shared" ref="D241:AK241" si="32">SUM(D$25:D$29)/SUM(C$25:C$29)-1</f>
        <v>-8.6853965644098086E-3</v>
      </c>
      <c r="E241" s="17">
        <f t="shared" si="32"/>
        <v>-6.4293155576707894E-3</v>
      </c>
      <c r="F241" s="17">
        <f t="shared" si="32"/>
        <v>4.6748003796224236E-3</v>
      </c>
      <c r="G241" s="17">
        <f t="shared" si="32"/>
        <v>2.2250743261909012E-3</v>
      </c>
      <c r="H241" s="17">
        <f t="shared" si="32"/>
        <v>-8.0008134741104131E-3</v>
      </c>
      <c r="I241" s="17">
        <f t="shared" si="32"/>
        <v>-7.7516673172518535E-3</v>
      </c>
      <c r="J241" s="17">
        <f t="shared" si="32"/>
        <v>4.9586872990396991E-3</v>
      </c>
      <c r="K241" s="17">
        <f t="shared" si="32"/>
        <v>2.2120207966369598E-4</v>
      </c>
      <c r="L241" s="17">
        <f t="shared" si="32"/>
        <v>3.6551180610202572E-3</v>
      </c>
      <c r="M241" s="17">
        <f t="shared" si="32"/>
        <v>1.3760789589064792E-2</v>
      </c>
      <c r="N241" s="17">
        <f t="shared" si="32"/>
        <v>2.8813397889233316E-2</v>
      </c>
      <c r="O241" s="17">
        <f t="shared" si="32"/>
        <v>1.7831841402530024E-2</v>
      </c>
      <c r="P241" s="17">
        <f t="shared" si="32"/>
        <v>3.8075652093440215E-2</v>
      </c>
      <c r="Q241" s="17">
        <f t="shared" si="32"/>
        <v>1.0037651070618159E-2</v>
      </c>
      <c r="R241" s="17">
        <f t="shared" si="32"/>
        <v>6.1156563941073827E-3</v>
      </c>
      <c r="S241" s="17">
        <f t="shared" si="32"/>
        <v>2.3621691318680638E-2</v>
      </c>
      <c r="T241" s="17">
        <f t="shared" si="32"/>
        <v>1.11172803936197E-2</v>
      </c>
      <c r="U241" s="17">
        <f t="shared" si="32"/>
        <v>-3.9521465140817114E-3</v>
      </c>
      <c r="V241" s="17">
        <f t="shared" si="32"/>
        <v>-1.178819240746376E-2</v>
      </c>
      <c r="W241" s="17">
        <f t="shared" si="32"/>
        <v>-5.4037187141485754E-3</v>
      </c>
      <c r="X241" s="17">
        <f t="shared" si="32"/>
        <v>3.2436114633567215E-3</v>
      </c>
      <c r="Y241" s="17">
        <f t="shared" si="32"/>
        <v>9.1104474047141171E-3</v>
      </c>
      <c r="Z241" s="17">
        <f t="shared" si="32"/>
        <v>6.929980378801659E-3</v>
      </c>
      <c r="AA241" s="17">
        <f t="shared" si="32"/>
        <v>9.8450534506839826E-3</v>
      </c>
      <c r="AB241" s="17">
        <f t="shared" si="32"/>
        <v>-1.3125104826626766E-3</v>
      </c>
      <c r="AC241" s="17">
        <f t="shared" si="32"/>
        <v>-1.2449220847258413E-2</v>
      </c>
      <c r="AD241" s="17">
        <f t="shared" si="32"/>
        <v>-1.2147715630333678E-2</v>
      </c>
      <c r="AE241" s="17">
        <f t="shared" si="32"/>
        <v>-7.5372020628530212E-3</v>
      </c>
      <c r="AF241" s="17">
        <f t="shared" si="32"/>
        <v>-8.2225547335738058E-3</v>
      </c>
      <c r="AG241" s="17">
        <f t="shared" si="32"/>
        <v>-9.9603857118797379E-3</v>
      </c>
      <c r="AH241" s="17">
        <f t="shared" si="32"/>
        <v>4.9430659738127769E-3</v>
      </c>
      <c r="AI241" s="17">
        <f t="shared" si="32"/>
        <v>4.0507371527396252E-3</v>
      </c>
      <c r="AJ241" s="17">
        <f t="shared" si="32"/>
        <v>9.2214740103147008E-4</v>
      </c>
      <c r="AK241" s="17">
        <f t="shared" si="32"/>
        <v>7.4855448576438555E-4</v>
      </c>
    </row>
    <row r="242" spans="1:37" x14ac:dyDescent="0.25">
      <c r="A242" s="12" t="s">
        <v>449</v>
      </c>
      <c r="B242" s="12"/>
      <c r="C242" s="17">
        <f>SUM(C$30:C$34)/SUM(B$30:B$34)-1</f>
        <v>1.554383042387153E-2</v>
      </c>
      <c r="D242" s="17">
        <f t="shared" ref="D242:AK242" si="33">SUM(D$30:D$34)/SUM(C$30:C$34)-1</f>
        <v>3.8607929978988764E-3</v>
      </c>
      <c r="E242" s="17">
        <f t="shared" si="33"/>
        <v>-3.8653128141641346E-4</v>
      </c>
      <c r="F242" s="17">
        <f t="shared" si="33"/>
        <v>-2.7513098186242591E-3</v>
      </c>
      <c r="G242" s="17">
        <f t="shared" si="33"/>
        <v>-1.168264334413649E-2</v>
      </c>
      <c r="H242" s="17">
        <f t="shared" si="33"/>
        <v>-7.6416182671066313E-3</v>
      </c>
      <c r="I242" s="17">
        <f t="shared" si="33"/>
        <v>-6.5660598286492178E-3</v>
      </c>
      <c r="J242" s="17">
        <f t="shared" si="33"/>
        <v>-7.16457642363999E-3</v>
      </c>
      <c r="K242" s="17">
        <f t="shared" si="33"/>
        <v>4.7635116394577626E-3</v>
      </c>
      <c r="L242" s="17">
        <f t="shared" si="33"/>
        <v>8.2103728712885626E-3</v>
      </c>
      <c r="M242" s="17">
        <f t="shared" si="33"/>
        <v>5.0762100718073633E-3</v>
      </c>
      <c r="N242" s="17">
        <f t="shared" si="33"/>
        <v>-1.7782170663971364E-4</v>
      </c>
      <c r="O242" s="17">
        <f t="shared" si="33"/>
        <v>8.379852445921987E-3</v>
      </c>
      <c r="P242" s="17">
        <f t="shared" si="33"/>
        <v>-1.5566246807114936E-3</v>
      </c>
      <c r="Q242" s="17">
        <f t="shared" si="33"/>
        <v>2.4525046699936937E-3</v>
      </c>
      <c r="R242" s="17">
        <f t="shared" si="33"/>
        <v>1.2254199695839629E-2</v>
      </c>
      <c r="S242" s="17">
        <f t="shared" si="33"/>
        <v>2.7759211523562977E-2</v>
      </c>
      <c r="T242" s="17">
        <f t="shared" si="33"/>
        <v>4.0137690066174736E-2</v>
      </c>
      <c r="U242" s="17">
        <f t="shared" si="33"/>
        <v>2.0733979251037926E-2</v>
      </c>
      <c r="V242" s="17">
        <f t="shared" si="33"/>
        <v>1.8212093481618341E-2</v>
      </c>
      <c r="W242" s="17">
        <f t="shared" si="33"/>
        <v>1.0020235099248431E-2</v>
      </c>
      <c r="X242" s="17">
        <f t="shared" si="33"/>
        <v>2.9263613523005105E-3</v>
      </c>
      <c r="Y242" s="17">
        <f t="shared" si="33"/>
        <v>2.1499616589799597E-3</v>
      </c>
      <c r="Z242" s="17">
        <f t="shared" si="33"/>
        <v>-2.9198079127110699E-3</v>
      </c>
      <c r="AA242" s="17">
        <f t="shared" si="33"/>
        <v>-5.1275919935808156E-3</v>
      </c>
      <c r="AB242" s="17">
        <f t="shared" si="33"/>
        <v>-2.8417155181752474E-3</v>
      </c>
      <c r="AC242" s="17">
        <f t="shared" si="33"/>
        <v>-6.4726550359452961E-3</v>
      </c>
      <c r="AD242" s="17">
        <f t="shared" si="33"/>
        <v>-1.6516280598982691E-3</v>
      </c>
      <c r="AE242" s="17">
        <f t="shared" si="33"/>
        <v>-3.9850745422046474E-3</v>
      </c>
      <c r="AF242" s="17">
        <f t="shared" si="33"/>
        <v>-5.8838513246606272E-4</v>
      </c>
      <c r="AG242" s="17">
        <f t="shared" si="33"/>
        <v>-1.6484482933722955E-3</v>
      </c>
      <c r="AH242" s="17">
        <f t="shared" si="33"/>
        <v>-1.3386272384850351E-2</v>
      </c>
      <c r="AI242" s="17">
        <f t="shared" si="33"/>
        <v>-1.2731109402063789E-2</v>
      </c>
      <c r="AJ242" s="17">
        <f t="shared" si="33"/>
        <v>-7.8703590702835502E-3</v>
      </c>
      <c r="AK242" s="17">
        <f t="shared" si="33"/>
        <v>-8.4819863611329538E-3</v>
      </c>
    </row>
    <row r="243" spans="1:37" x14ac:dyDescent="0.25">
      <c r="A243" s="12" t="s">
        <v>423</v>
      </c>
      <c r="B243" s="12"/>
      <c r="C243" s="17">
        <f>SUM(C$35:C$39)/SUM(B$35:B$39)-1</f>
        <v>-1.8997984469797391E-3</v>
      </c>
      <c r="D243" s="17">
        <f t="shared" ref="D243:AK243" si="34">SUM(D$35:D$39)/SUM(C$35:C$39)-1</f>
        <v>-9.7627378712339397E-4</v>
      </c>
      <c r="E243" s="17">
        <f t="shared" si="34"/>
        <v>7.8765783414751489E-3</v>
      </c>
      <c r="F243" s="17">
        <f t="shared" si="34"/>
        <v>2.4823543349302035E-2</v>
      </c>
      <c r="G243" s="17">
        <f t="shared" si="34"/>
        <v>2.4259295759812893E-2</v>
      </c>
      <c r="H243" s="17">
        <f t="shared" si="34"/>
        <v>1.0553672016346827E-2</v>
      </c>
      <c r="I243" s="17">
        <f t="shared" si="34"/>
        <v>7.1153756377564381E-3</v>
      </c>
      <c r="J243" s="17">
        <f t="shared" si="34"/>
        <v>1.3698879598035063E-2</v>
      </c>
      <c r="K243" s="17">
        <f t="shared" si="34"/>
        <v>1.4560906814758745E-2</v>
      </c>
      <c r="L243" s="17">
        <f t="shared" si="34"/>
        <v>1.206989886522214E-2</v>
      </c>
      <c r="M243" s="17">
        <f t="shared" si="34"/>
        <v>7.1349765660801978E-3</v>
      </c>
      <c r="N243" s="17">
        <f t="shared" si="34"/>
        <v>-1.7901446131111109E-3</v>
      </c>
      <c r="O243" s="17">
        <f t="shared" si="34"/>
        <v>-4.2348717095138655E-3</v>
      </c>
      <c r="P243" s="17">
        <f t="shared" si="34"/>
        <v>6.629567626493138E-3</v>
      </c>
      <c r="Q243" s="17">
        <f t="shared" si="34"/>
        <v>-1.4118464055586477E-2</v>
      </c>
      <c r="R243" s="17">
        <f t="shared" si="34"/>
        <v>-2.3844318721269686E-2</v>
      </c>
      <c r="S243" s="17">
        <f t="shared" si="34"/>
        <v>-4.8106781846969371E-3</v>
      </c>
      <c r="T243" s="17">
        <f t="shared" si="34"/>
        <v>2.2402303216456199E-2</v>
      </c>
      <c r="U243" s="17">
        <f t="shared" si="34"/>
        <v>-3.1779154705872115E-3</v>
      </c>
      <c r="V243" s="17">
        <f t="shared" si="34"/>
        <v>-4.8236855906602649E-5</v>
      </c>
      <c r="W243" s="17">
        <f t="shared" si="34"/>
        <v>1.8718208584408647E-2</v>
      </c>
      <c r="X243" s="17">
        <f t="shared" si="34"/>
        <v>2.8259995545752092E-2</v>
      </c>
      <c r="Y243" s="17">
        <f t="shared" si="34"/>
        <v>2.0578948527600005E-2</v>
      </c>
      <c r="Z243" s="17">
        <f t="shared" si="34"/>
        <v>2.6137359509444069E-2</v>
      </c>
      <c r="AA243" s="17">
        <f t="shared" si="34"/>
        <v>2.2223087282897236E-2</v>
      </c>
      <c r="AB243" s="17">
        <f t="shared" si="34"/>
        <v>1.002578387652231E-2</v>
      </c>
      <c r="AC243" s="17">
        <f t="shared" si="34"/>
        <v>3.9062672817542499E-3</v>
      </c>
      <c r="AD243" s="17">
        <f t="shared" si="34"/>
        <v>2.4558674638450739E-3</v>
      </c>
      <c r="AE243" s="17">
        <f t="shared" si="34"/>
        <v>-2.6940769831521605E-3</v>
      </c>
      <c r="AF243" s="17">
        <f t="shared" si="34"/>
        <v>-5.065039950960859E-3</v>
      </c>
      <c r="AG243" s="17">
        <f t="shared" si="34"/>
        <v>-3.0544951103403939E-3</v>
      </c>
      <c r="AH243" s="17">
        <f t="shared" si="34"/>
        <v>-6.4113974240909144E-3</v>
      </c>
      <c r="AI243" s="17">
        <f t="shared" si="34"/>
        <v>-1.3704995444898671E-3</v>
      </c>
      <c r="AJ243" s="17">
        <f t="shared" si="34"/>
        <v>-3.5453160105762827E-3</v>
      </c>
      <c r="AK243" s="17">
        <f t="shared" si="34"/>
        <v>-3.4431580613791812E-4</v>
      </c>
    </row>
    <row r="244" spans="1:37" x14ac:dyDescent="0.25">
      <c r="A244" s="12" t="s">
        <v>424</v>
      </c>
      <c r="B244" s="12"/>
      <c r="C244" s="17">
        <f>SUM(C$40:C$44)/SUM(B$40:B$44)-1</f>
        <v>1.7817371420800088E-2</v>
      </c>
      <c r="D244" s="17">
        <f t="shared" ref="D244:AK244" si="35">SUM(D$40:D$44)/SUM(C$40:C$44)-1</f>
        <v>1.4666537513140954E-2</v>
      </c>
      <c r="E244" s="17">
        <f t="shared" si="35"/>
        <v>9.8073214614891047E-3</v>
      </c>
      <c r="F244" s="17">
        <f t="shared" si="35"/>
        <v>1.1337537862573521E-2</v>
      </c>
      <c r="G244" s="17">
        <f t="shared" si="35"/>
        <v>3.1718767027328898E-3</v>
      </c>
      <c r="H244" s="17">
        <f t="shared" si="35"/>
        <v>-1.4337031290928559E-3</v>
      </c>
      <c r="I244" s="17">
        <f t="shared" si="35"/>
        <v>9.0904537027076682E-3</v>
      </c>
      <c r="J244" s="17">
        <f t="shared" si="35"/>
        <v>3.6645630570751431E-2</v>
      </c>
      <c r="K244" s="17">
        <f t="shared" si="35"/>
        <v>5.6623391094337228E-2</v>
      </c>
      <c r="L244" s="17">
        <f t="shared" si="35"/>
        <v>7.0205502029406786E-2</v>
      </c>
      <c r="M244" s="17">
        <f t="shared" si="35"/>
        <v>5.7208291364206465E-2</v>
      </c>
      <c r="N244" s="17">
        <f t="shared" si="35"/>
        <v>3.0353735863084985E-2</v>
      </c>
      <c r="O244" s="17">
        <f t="shared" si="35"/>
        <v>1.14215318928923E-2</v>
      </c>
      <c r="P244" s="17">
        <f t="shared" si="35"/>
        <v>1.5144865061502255E-2</v>
      </c>
      <c r="Q244" s="17">
        <f t="shared" si="35"/>
        <v>-3.28988276382709E-2</v>
      </c>
      <c r="R244" s="17">
        <f t="shared" si="35"/>
        <v>-4.7605138814530434E-2</v>
      </c>
      <c r="S244" s="17">
        <f t="shared" si="35"/>
        <v>2.9419197138433884E-3</v>
      </c>
      <c r="T244" s="17">
        <f t="shared" si="35"/>
        <v>4.7188942403408873E-4</v>
      </c>
      <c r="U244" s="17">
        <f t="shared" si="35"/>
        <v>-1.7985930941975647E-2</v>
      </c>
      <c r="V244" s="17">
        <f t="shared" si="35"/>
        <v>-6.9911618581368629E-3</v>
      </c>
      <c r="W244" s="17">
        <f t="shared" si="35"/>
        <v>-3.2824677223319831E-3</v>
      </c>
      <c r="X244" s="17">
        <f t="shared" si="35"/>
        <v>-4.395831632686531E-3</v>
      </c>
      <c r="Y244" s="17">
        <f t="shared" si="35"/>
        <v>7.8556748931823961E-3</v>
      </c>
      <c r="Z244" s="17">
        <f t="shared" si="35"/>
        <v>-6.7584947359766723E-4</v>
      </c>
      <c r="AA244" s="17">
        <f t="shared" si="35"/>
        <v>6.1366354133121082E-3</v>
      </c>
      <c r="AB244" s="17">
        <f t="shared" si="35"/>
        <v>2.4456545408999775E-2</v>
      </c>
      <c r="AC244" s="17">
        <f t="shared" si="35"/>
        <v>3.0475998499708501E-2</v>
      </c>
      <c r="AD244" s="17">
        <f t="shared" si="35"/>
        <v>2.0822851800743392E-2</v>
      </c>
      <c r="AE244" s="17">
        <f t="shared" si="35"/>
        <v>2.5498423365076794E-2</v>
      </c>
      <c r="AF244" s="17">
        <f t="shared" si="35"/>
        <v>2.1203065727400716E-2</v>
      </c>
      <c r="AG244" s="17">
        <f t="shared" si="35"/>
        <v>1.0060340346393692E-2</v>
      </c>
      <c r="AH244" s="17">
        <f t="shared" si="35"/>
        <v>4.1323976677956065E-3</v>
      </c>
      <c r="AI244" s="17">
        <f t="shared" si="35"/>
        <v>2.7963555825223363E-3</v>
      </c>
      <c r="AJ244" s="17">
        <f t="shared" si="35"/>
        <v>-2.0519576141981855E-3</v>
      </c>
      <c r="AK244" s="17">
        <f t="shared" si="35"/>
        <v>-4.4814109783755107E-3</v>
      </c>
    </row>
    <row r="245" spans="1:37" x14ac:dyDescent="0.25">
      <c r="A245" s="12" t="s">
        <v>425</v>
      </c>
      <c r="B245" s="12"/>
      <c r="C245" s="17">
        <f>SUM(C$45:C$49)/SUM(B$45:B$49)-1</f>
        <v>-2.3328204551282483E-2</v>
      </c>
      <c r="D245" s="17">
        <f t="shared" ref="D245:AK245" si="36">SUM(D$45:D$49)/SUM(C$45:C$49)-1</f>
        <v>-2.4521027790977312E-2</v>
      </c>
      <c r="E245" s="17">
        <f t="shared" si="36"/>
        <v>-1.2844051493260622E-2</v>
      </c>
      <c r="F245" s="17">
        <f t="shared" si="36"/>
        <v>-3.7323040134429331E-3</v>
      </c>
      <c r="G245" s="17">
        <f t="shared" si="36"/>
        <v>2.1064669711154949E-3</v>
      </c>
      <c r="H245" s="17">
        <f t="shared" si="36"/>
        <v>2.2718473863301281E-3</v>
      </c>
      <c r="I245" s="17">
        <f t="shared" si="36"/>
        <v>7.0502297618637577E-3</v>
      </c>
      <c r="J245" s="17">
        <f t="shared" si="36"/>
        <v>1.6228452875831856E-2</v>
      </c>
      <c r="K245" s="17">
        <f t="shared" si="36"/>
        <v>3.2285685555778265E-2</v>
      </c>
      <c r="L245" s="17">
        <f t="shared" si="36"/>
        <v>4.3773610996669321E-2</v>
      </c>
      <c r="M245" s="17">
        <f t="shared" si="36"/>
        <v>4.6968551720495189E-2</v>
      </c>
      <c r="N245" s="17">
        <f t="shared" si="36"/>
        <v>5.1690857708691196E-2</v>
      </c>
      <c r="O245" s="17">
        <f t="shared" si="36"/>
        <v>4.2722871771580628E-2</v>
      </c>
      <c r="P245" s="17">
        <f t="shared" si="36"/>
        <v>4.7589241222559364E-2</v>
      </c>
      <c r="Q245" s="17">
        <f t="shared" si="36"/>
        <v>3.1437568006177585E-2</v>
      </c>
      <c r="R245" s="17">
        <f t="shared" si="36"/>
        <v>5.5303797037373759E-3</v>
      </c>
      <c r="S245" s="17">
        <f t="shared" si="36"/>
        <v>2.4739380156877377E-2</v>
      </c>
      <c r="T245" s="17">
        <f t="shared" si="36"/>
        <v>2.6741258819098279E-2</v>
      </c>
      <c r="U245" s="17">
        <f t="shared" si="36"/>
        <v>-1.7039175429204523E-2</v>
      </c>
      <c r="V245" s="17">
        <f t="shared" si="36"/>
        <v>-2.1273688199435425E-2</v>
      </c>
      <c r="W245" s="17">
        <f t="shared" si="36"/>
        <v>-1.4467654839167454E-2</v>
      </c>
      <c r="X245" s="17">
        <f t="shared" si="36"/>
        <v>-1.6641349871069466E-2</v>
      </c>
      <c r="Y245" s="17">
        <f t="shared" si="36"/>
        <v>-1.5739018629463253E-2</v>
      </c>
      <c r="Z245" s="17">
        <f t="shared" si="36"/>
        <v>-6.2520933308312099E-3</v>
      </c>
      <c r="AA245" s="17">
        <f t="shared" si="36"/>
        <v>-2.0956857765864756E-3</v>
      </c>
      <c r="AB245" s="17">
        <f t="shared" si="36"/>
        <v>-4.1620913508376711E-3</v>
      </c>
      <c r="AC245" s="17">
        <f t="shared" si="36"/>
        <v>-2.8047643410159528E-3</v>
      </c>
      <c r="AD245" s="17">
        <f t="shared" si="36"/>
        <v>8.0507973200720784E-3</v>
      </c>
      <c r="AE245" s="17">
        <f t="shared" si="36"/>
        <v>-5.5032052705294987E-5</v>
      </c>
      <c r="AF245" s="17">
        <f t="shared" si="36"/>
        <v>5.88875370967612E-3</v>
      </c>
      <c r="AG245" s="17">
        <f t="shared" si="36"/>
        <v>2.1556878920432343E-2</v>
      </c>
      <c r="AH245" s="17">
        <f t="shared" si="36"/>
        <v>2.7475428425240755E-2</v>
      </c>
      <c r="AI245" s="17">
        <f t="shared" si="36"/>
        <v>1.9130297659648132E-2</v>
      </c>
      <c r="AJ245" s="17">
        <f t="shared" si="36"/>
        <v>2.3527933394974276E-2</v>
      </c>
      <c r="AK245" s="17">
        <f t="shared" si="36"/>
        <v>1.9738918159164065E-2</v>
      </c>
    </row>
    <row r="246" spans="1:37" x14ac:dyDescent="0.25">
      <c r="A246" s="12" t="s">
        <v>426</v>
      </c>
      <c r="B246" s="12"/>
      <c r="C246" s="17">
        <f>SUM(C$50:C$54)/SUM(B$50:B$54)-1</f>
        <v>1.4073188208088006E-2</v>
      </c>
      <c r="D246" s="17">
        <f t="shared" ref="D246:AK246" si="37">SUM(D$50:D$54)/SUM(C$50:C$54)-1</f>
        <v>-1.4874862750132722E-3</v>
      </c>
      <c r="E246" s="17">
        <f t="shared" si="37"/>
        <v>-1.1896211644865651E-2</v>
      </c>
      <c r="F246" s="17">
        <f t="shared" si="37"/>
        <v>-1.6370881318205965E-2</v>
      </c>
      <c r="G246" s="17">
        <f t="shared" si="37"/>
        <v>-3.4252888775728296E-2</v>
      </c>
      <c r="H246" s="17">
        <f t="shared" si="37"/>
        <v>-3.5676652398317965E-2</v>
      </c>
      <c r="I246" s="17">
        <f t="shared" si="37"/>
        <v>-3.0963302924344571E-2</v>
      </c>
      <c r="J246" s="17">
        <f t="shared" si="37"/>
        <v>-1.3923653780334E-2</v>
      </c>
      <c r="K246" s="17">
        <f t="shared" si="37"/>
        <v>2.9828964971445604E-3</v>
      </c>
      <c r="L246" s="17">
        <f t="shared" si="37"/>
        <v>2.2641212006034195E-2</v>
      </c>
      <c r="M246" s="17">
        <f t="shared" si="37"/>
        <v>3.2974387926108184E-2</v>
      </c>
      <c r="N246" s="17">
        <f t="shared" si="37"/>
        <v>3.6329850743334502E-2</v>
      </c>
      <c r="O246" s="17">
        <f t="shared" si="37"/>
        <v>3.7102381753698621E-2</v>
      </c>
      <c r="P246" s="17">
        <f t="shared" si="37"/>
        <v>3.5101218058496864E-2</v>
      </c>
      <c r="Q246" s="17">
        <f t="shared" si="37"/>
        <v>2.8347666398475413E-2</v>
      </c>
      <c r="R246" s="17">
        <f t="shared" si="37"/>
        <v>1.5003609041769561E-2</v>
      </c>
      <c r="S246" s="17">
        <f t="shared" si="37"/>
        <v>4.0721426004041161E-2</v>
      </c>
      <c r="T246" s="17">
        <f t="shared" si="37"/>
        <v>6.3551975526730642E-2</v>
      </c>
      <c r="U246" s="17">
        <f t="shared" si="37"/>
        <v>3.1668572957402219E-2</v>
      </c>
      <c r="V246" s="17">
        <f t="shared" si="37"/>
        <v>3.3037000322089671E-2</v>
      </c>
      <c r="W246" s="17">
        <f t="shared" si="37"/>
        <v>2.5733583974283603E-2</v>
      </c>
      <c r="X246" s="17">
        <f t="shared" si="37"/>
        <v>1.1641787855514618E-2</v>
      </c>
      <c r="Y246" s="17">
        <f t="shared" si="37"/>
        <v>1.6907614092271928E-3</v>
      </c>
      <c r="Z246" s="17">
        <f t="shared" si="37"/>
        <v>-7.4301888009389305E-3</v>
      </c>
      <c r="AA246" s="17">
        <f t="shared" si="37"/>
        <v>-1.569491849051019E-2</v>
      </c>
      <c r="AB246" s="17">
        <f t="shared" si="37"/>
        <v>-1.4890723886348822E-2</v>
      </c>
      <c r="AC246" s="17">
        <f t="shared" si="37"/>
        <v>-1.4913940548511029E-2</v>
      </c>
      <c r="AD246" s="17">
        <f t="shared" si="37"/>
        <v>-1.4417980407118614E-2</v>
      </c>
      <c r="AE246" s="17">
        <f t="shared" si="37"/>
        <v>-5.4715237476666845E-3</v>
      </c>
      <c r="AF246" s="17">
        <f t="shared" si="37"/>
        <v>-1.731993378276564E-3</v>
      </c>
      <c r="AG246" s="17">
        <f t="shared" si="37"/>
        <v>-4.4905840526774377E-3</v>
      </c>
      <c r="AH246" s="17">
        <f t="shared" si="37"/>
        <v>-2.7680156757394769E-3</v>
      </c>
      <c r="AI246" s="17">
        <f t="shared" si="37"/>
        <v>7.504667271054144E-3</v>
      </c>
      <c r="AJ246" s="17">
        <f t="shared" si="37"/>
        <v>4.0815160301255204E-4</v>
      </c>
      <c r="AK246" s="17">
        <f t="shared" si="37"/>
        <v>5.8137874362664821E-3</v>
      </c>
    </row>
    <row r="247" spans="1:37" x14ac:dyDescent="0.25">
      <c r="A247" s="12" t="s">
        <v>427</v>
      </c>
      <c r="B247" s="12"/>
      <c r="C247" s="17">
        <f>SUM(C$55:C$59)/SUM(B$55:B$59)-1</f>
        <v>-4.9849676860570513E-3</v>
      </c>
      <c r="D247" s="17">
        <f t="shared" ref="D247:AK247" si="38">SUM(D$55:D$59)/SUM(C$55:C$59)-1</f>
        <v>-1.0696614343906896E-2</v>
      </c>
      <c r="E247" s="17">
        <f t="shared" si="38"/>
        <v>-2.8824157429747643E-3</v>
      </c>
      <c r="F247" s="17">
        <f t="shared" si="38"/>
        <v>5.6428530048759917E-3</v>
      </c>
      <c r="G247" s="17">
        <f t="shared" si="38"/>
        <v>1.3360706071056327E-2</v>
      </c>
      <c r="H247" s="17">
        <f t="shared" si="38"/>
        <v>5.1542057402502728E-3</v>
      </c>
      <c r="I247" s="17">
        <f t="shared" si="38"/>
        <v>-4.2312176467422802E-3</v>
      </c>
      <c r="J247" s="17">
        <f t="shared" si="38"/>
        <v>-1.2324818030672646E-2</v>
      </c>
      <c r="K247" s="17">
        <f t="shared" si="38"/>
        <v>-1.2724920568316422E-2</v>
      </c>
      <c r="L247" s="17">
        <f t="shared" si="38"/>
        <v>-2.4687993603176306E-2</v>
      </c>
      <c r="M247" s="17">
        <f t="shared" si="38"/>
        <v>-1.7080640916962264E-2</v>
      </c>
      <c r="N247" s="17">
        <f t="shared" si="38"/>
        <v>-1.2608487096106402E-2</v>
      </c>
      <c r="O247" s="17">
        <f t="shared" si="38"/>
        <v>1.0206001550487898E-3</v>
      </c>
      <c r="P247" s="17">
        <f t="shared" si="38"/>
        <v>9.4364057246472122E-3</v>
      </c>
      <c r="Q247" s="17">
        <f t="shared" si="38"/>
        <v>2.1746032771764234E-2</v>
      </c>
      <c r="R247" s="17">
        <f t="shared" si="38"/>
        <v>1.2398531906534282E-2</v>
      </c>
      <c r="S247" s="17">
        <f t="shared" si="38"/>
        <v>3.0541732463906346E-2</v>
      </c>
      <c r="T247" s="17">
        <f t="shared" si="38"/>
        <v>5.0452544459460569E-2</v>
      </c>
      <c r="U247" s="17">
        <f t="shared" si="38"/>
        <v>2.7146095664944303E-2</v>
      </c>
      <c r="V247" s="17">
        <f t="shared" si="38"/>
        <v>2.5433963922707248E-2</v>
      </c>
      <c r="W247" s="17">
        <f t="shared" si="38"/>
        <v>2.9113359705004171E-2</v>
      </c>
      <c r="X247" s="17">
        <f t="shared" si="38"/>
        <v>3.4512682807032347E-2</v>
      </c>
      <c r="Y247" s="17">
        <f t="shared" si="38"/>
        <v>3.5574728760940255E-2</v>
      </c>
      <c r="Z247" s="17">
        <f t="shared" si="38"/>
        <v>3.6324373971813095E-2</v>
      </c>
      <c r="AA247" s="17">
        <f t="shared" si="38"/>
        <v>3.594913693141466E-2</v>
      </c>
      <c r="AB247" s="17">
        <f t="shared" si="38"/>
        <v>2.5734666940992579E-2</v>
      </c>
      <c r="AC247" s="17">
        <f t="shared" si="38"/>
        <v>1.2595014206949084E-2</v>
      </c>
      <c r="AD247" s="17">
        <f t="shared" si="38"/>
        <v>2.1682689595117211E-3</v>
      </c>
      <c r="AE247" s="17">
        <f t="shared" si="38"/>
        <v>-6.9655618926307561E-3</v>
      </c>
      <c r="AF247" s="17">
        <f t="shared" si="38"/>
        <v>-1.5304191879676132E-2</v>
      </c>
      <c r="AG247" s="17">
        <f t="shared" si="38"/>
        <v>-1.4385647841605453E-2</v>
      </c>
      <c r="AH247" s="17">
        <f t="shared" si="38"/>
        <v>-1.4220165312970545E-2</v>
      </c>
      <c r="AI247" s="17">
        <f t="shared" si="38"/>
        <v>-1.3473130685467738E-2</v>
      </c>
      <c r="AJ247" s="17">
        <f t="shared" si="38"/>
        <v>-4.8258427741330046E-3</v>
      </c>
      <c r="AK247" s="17">
        <f t="shared" si="38"/>
        <v>-1.4062808949940608E-3</v>
      </c>
    </row>
    <row r="248" spans="1:37" x14ac:dyDescent="0.25">
      <c r="A248" s="12" t="s">
        <v>428</v>
      </c>
      <c r="B248" s="12"/>
      <c r="C248" s="17">
        <f>SUM(C$60:C$64)/SUM(B$60:B$64)-1</f>
        <v>3.3666061135733116E-2</v>
      </c>
      <c r="D248" s="17">
        <f t="shared" ref="D248:AK248" si="39">SUM(D$60:D$64)/SUM(C$60:C$64)-1</f>
        <v>2.6348221594605592E-2</v>
      </c>
      <c r="E248" s="17">
        <f t="shared" si="39"/>
        <v>1.0147485078875418E-2</v>
      </c>
      <c r="F248" s="17">
        <f t="shared" si="39"/>
        <v>3.1218895962148441E-3</v>
      </c>
      <c r="G248" s="17">
        <f t="shared" si="39"/>
        <v>-8.1845643988308625E-3</v>
      </c>
      <c r="H248" s="17">
        <f t="shared" si="39"/>
        <v>-1.2644767100507659E-2</v>
      </c>
      <c r="I248" s="17">
        <f t="shared" si="39"/>
        <v>-1.2504606380097871E-2</v>
      </c>
      <c r="J248" s="17">
        <f t="shared" si="39"/>
        <v>-3.6119433598406081E-3</v>
      </c>
      <c r="K248" s="17">
        <f t="shared" si="39"/>
        <v>9.0445423333087582E-3</v>
      </c>
      <c r="L248" s="17">
        <f t="shared" si="39"/>
        <v>2.2067160679217768E-2</v>
      </c>
      <c r="M248" s="17">
        <f t="shared" si="39"/>
        <v>1.9797640875038436E-2</v>
      </c>
      <c r="N248" s="17">
        <f t="shared" si="39"/>
        <v>5.6903373624619391E-3</v>
      </c>
      <c r="O248" s="17">
        <f t="shared" si="39"/>
        <v>-1.5305782023697923E-3</v>
      </c>
      <c r="P248" s="17">
        <f t="shared" si="39"/>
        <v>-1.0593676602622115E-2</v>
      </c>
      <c r="Q248" s="17">
        <f t="shared" si="39"/>
        <v>-2.064031248578313E-2</v>
      </c>
      <c r="R248" s="17">
        <f t="shared" si="39"/>
        <v>-2.8076009301616911E-2</v>
      </c>
      <c r="S248" s="17">
        <f t="shared" si="39"/>
        <v>-2.4265675926314345E-2</v>
      </c>
      <c r="T248" s="17">
        <f t="shared" si="39"/>
        <v>1.3304810350649232E-2</v>
      </c>
      <c r="U248" s="17">
        <f t="shared" si="39"/>
        <v>7.2441058299812511E-3</v>
      </c>
      <c r="V248" s="17">
        <f t="shared" si="39"/>
        <v>1.5788322998767201E-2</v>
      </c>
      <c r="W248" s="17">
        <f t="shared" si="39"/>
        <v>2.2128512136048828E-2</v>
      </c>
      <c r="X248" s="17">
        <f t="shared" si="39"/>
        <v>2.9644708190133873E-2</v>
      </c>
      <c r="Y248" s="17">
        <f t="shared" si="39"/>
        <v>2.6953968891525681E-2</v>
      </c>
      <c r="Z248" s="17">
        <f t="shared" si="39"/>
        <v>3.0526299263603285E-2</v>
      </c>
      <c r="AA248" s="17">
        <f t="shared" si="39"/>
        <v>2.9265602964413384E-2</v>
      </c>
      <c r="AB248" s="17">
        <f t="shared" si="39"/>
        <v>3.0740066185524828E-2</v>
      </c>
      <c r="AC248" s="17">
        <f t="shared" si="39"/>
        <v>3.5909003178541843E-2</v>
      </c>
      <c r="AD248" s="17">
        <f t="shared" si="39"/>
        <v>3.6015900941707368E-2</v>
      </c>
      <c r="AE248" s="17">
        <f t="shared" si="39"/>
        <v>3.6474519891344537E-2</v>
      </c>
      <c r="AF248" s="17">
        <f t="shared" si="39"/>
        <v>3.5764712435312651E-2</v>
      </c>
      <c r="AG248" s="17">
        <f t="shared" si="39"/>
        <v>2.5020231012375493E-2</v>
      </c>
      <c r="AH248" s="17">
        <f t="shared" si="39"/>
        <v>1.2429929732052702E-2</v>
      </c>
      <c r="AI248" s="17">
        <f t="shared" si="39"/>
        <v>2.2241528014668166E-3</v>
      </c>
      <c r="AJ248" s="17">
        <f t="shared" si="39"/>
        <v>-6.4801134178706921E-3</v>
      </c>
      <c r="AK248" s="17">
        <f t="shared" si="39"/>
        <v>-1.4742363887968346E-2</v>
      </c>
    </row>
    <row r="249" spans="1:37" x14ac:dyDescent="0.25">
      <c r="A249" s="12" t="s">
        <v>429</v>
      </c>
      <c r="B249" s="12"/>
      <c r="C249" s="17">
        <f>SUM(C$65:C$69)/SUM(B$65:B$69)-1</f>
        <v>3.1013098128575889E-2</v>
      </c>
      <c r="D249" s="17">
        <f t="shared" ref="D249:AK249" si="40">SUM(D$65:D$69)/SUM(C$65:C$69)-1</f>
        <v>2.7720913922347989E-2</v>
      </c>
      <c r="E249" s="17">
        <f t="shared" si="40"/>
        <v>2.7333584081979279E-2</v>
      </c>
      <c r="F249" s="17">
        <f t="shared" si="40"/>
        <v>2.9591462953473258E-2</v>
      </c>
      <c r="G249" s="17">
        <f t="shared" si="40"/>
        <v>3.0796061724112755E-2</v>
      </c>
      <c r="H249" s="17">
        <f t="shared" si="40"/>
        <v>2.7505931893643476E-2</v>
      </c>
      <c r="I249" s="17">
        <f t="shared" si="40"/>
        <v>2.2546506723725601E-2</v>
      </c>
      <c r="J249" s="17">
        <f t="shared" si="40"/>
        <v>8.9746545929649812E-3</v>
      </c>
      <c r="K249" s="17">
        <f t="shared" si="40"/>
        <v>5.3203983061254068E-3</v>
      </c>
      <c r="L249" s="17">
        <f t="shared" si="40"/>
        <v>-2.6791609156768814E-3</v>
      </c>
      <c r="M249" s="17">
        <f t="shared" si="40"/>
        <v>-3.2422067073489824E-4</v>
      </c>
      <c r="N249" s="17">
        <f t="shared" si="40"/>
        <v>-1.9003323737540878E-3</v>
      </c>
      <c r="O249" s="17">
        <f t="shared" si="40"/>
        <v>2.469570380281283E-3</v>
      </c>
      <c r="P249" s="17">
        <f t="shared" si="40"/>
        <v>8.2394264647593918E-3</v>
      </c>
      <c r="Q249" s="17">
        <f t="shared" si="40"/>
        <v>2.3709873930702674E-2</v>
      </c>
      <c r="R249" s="17">
        <f t="shared" si="40"/>
        <v>6.7022043890974103E-3</v>
      </c>
      <c r="S249" s="17">
        <f t="shared" si="40"/>
        <v>-9.8593162507824017E-3</v>
      </c>
      <c r="T249" s="17">
        <f t="shared" si="40"/>
        <v>6.1140293433923354E-3</v>
      </c>
      <c r="U249" s="17">
        <f t="shared" si="40"/>
        <v>-9.4765161747273341E-3</v>
      </c>
      <c r="V249" s="17">
        <f t="shared" si="40"/>
        <v>-2.9241844606380019E-2</v>
      </c>
      <c r="W249" s="17">
        <f t="shared" si="40"/>
        <v>-2.4072539130839954E-2</v>
      </c>
      <c r="X249" s="17">
        <f t="shared" si="40"/>
        <v>-1.758320268897573E-2</v>
      </c>
      <c r="Y249" s="17">
        <f t="shared" si="40"/>
        <v>-3.2047877931037361E-3</v>
      </c>
      <c r="Z249" s="17">
        <f t="shared" si="40"/>
        <v>8.1953004802401974E-3</v>
      </c>
      <c r="AA249" s="17">
        <f t="shared" si="40"/>
        <v>2.0345602096474735E-2</v>
      </c>
      <c r="AB249" s="17">
        <f t="shared" si="40"/>
        <v>2.5720610692191226E-2</v>
      </c>
      <c r="AC249" s="17">
        <f t="shared" si="40"/>
        <v>3.2009867449105389E-2</v>
      </c>
      <c r="AD249" s="17">
        <f t="shared" si="40"/>
        <v>2.8122661903136281E-2</v>
      </c>
      <c r="AE249" s="17">
        <f t="shared" si="40"/>
        <v>3.1143975779609034E-2</v>
      </c>
      <c r="AF249" s="17">
        <f t="shared" si="40"/>
        <v>2.9749990986806862E-2</v>
      </c>
      <c r="AG249" s="17">
        <f t="shared" si="40"/>
        <v>3.0761502643380734E-2</v>
      </c>
      <c r="AH249" s="17">
        <f t="shared" si="40"/>
        <v>3.6036393547913326E-2</v>
      </c>
      <c r="AI249" s="17">
        <f t="shared" si="40"/>
        <v>3.6071198872127397E-2</v>
      </c>
      <c r="AJ249" s="17">
        <f t="shared" si="40"/>
        <v>3.6556135193184236E-2</v>
      </c>
      <c r="AK249" s="17">
        <f t="shared" si="40"/>
        <v>3.5890681680163405E-2</v>
      </c>
    </row>
    <row r="250" spans="1:37" x14ac:dyDescent="0.25">
      <c r="A250" s="12" t="s">
        <v>430</v>
      </c>
      <c r="B250" s="12"/>
      <c r="C250" s="17">
        <f>SUM(C$70:C$74)/SUM(B$70:B$74)-1</f>
        <v>5.816376906915055E-3</v>
      </c>
      <c r="D250" s="17">
        <f t="shared" ref="D250:AK250" si="41">SUM(D$70:D$74)/SUM(C$70:C$74)-1</f>
        <v>6.0343991597195945E-3</v>
      </c>
      <c r="E250" s="17">
        <f t="shared" si="41"/>
        <v>1.7579919603171179E-2</v>
      </c>
      <c r="F250" s="17">
        <f t="shared" si="41"/>
        <v>2.0064532706739246E-2</v>
      </c>
      <c r="G250" s="17">
        <f t="shared" si="41"/>
        <v>2.8371231400608155E-2</v>
      </c>
      <c r="H250" s="17">
        <f t="shared" si="41"/>
        <v>2.878349908350919E-2</v>
      </c>
      <c r="I250" s="17">
        <f t="shared" si="41"/>
        <v>2.3843265594794438E-2</v>
      </c>
      <c r="J250" s="17">
        <f t="shared" si="41"/>
        <v>2.3591832038593497E-2</v>
      </c>
      <c r="K250" s="17">
        <f t="shared" si="41"/>
        <v>2.7936251583013272E-2</v>
      </c>
      <c r="L250" s="17">
        <f t="shared" si="41"/>
        <v>3.4799964560601859E-2</v>
      </c>
      <c r="M250" s="17">
        <f t="shared" si="41"/>
        <v>3.6761262934773109E-2</v>
      </c>
      <c r="N250" s="17">
        <f t="shared" si="41"/>
        <v>3.00782188707025E-2</v>
      </c>
      <c r="O250" s="17">
        <f t="shared" si="41"/>
        <v>1.5052084739357818E-2</v>
      </c>
      <c r="P250" s="17">
        <f t="shared" si="41"/>
        <v>7.7591263369138908E-3</v>
      </c>
      <c r="Q250" s="17">
        <f t="shared" si="41"/>
        <v>-6.5245619254148401E-3</v>
      </c>
      <c r="R250" s="17">
        <f t="shared" si="41"/>
        <v>-1.642538559055895E-2</v>
      </c>
      <c r="S250" s="17">
        <f t="shared" si="41"/>
        <v>-2.4287337483412053E-2</v>
      </c>
      <c r="T250" s="17">
        <f t="shared" si="41"/>
        <v>1.1296682846139605E-2</v>
      </c>
      <c r="U250" s="17">
        <f t="shared" si="41"/>
        <v>1.0748511937979544E-2</v>
      </c>
      <c r="V250" s="17">
        <f t="shared" si="41"/>
        <v>1.8534214892209189E-2</v>
      </c>
      <c r="W250" s="17">
        <f t="shared" si="41"/>
        <v>1.1825046987755439E-2</v>
      </c>
      <c r="X250" s="17">
        <f t="shared" si="41"/>
        <v>5.1203789573701641E-3</v>
      </c>
      <c r="Y250" s="17">
        <f t="shared" si="41"/>
        <v>-3.49947874486356E-3</v>
      </c>
      <c r="Z250" s="17">
        <f t="shared" si="41"/>
        <v>-9.7242825284369339E-3</v>
      </c>
      <c r="AA250" s="17">
        <f t="shared" si="41"/>
        <v>-2.4906399863889761E-2</v>
      </c>
      <c r="AB250" s="17">
        <f t="shared" si="41"/>
        <v>-2.11956573050881E-2</v>
      </c>
      <c r="AC250" s="17">
        <f t="shared" si="41"/>
        <v>-1.5944226931442373E-2</v>
      </c>
      <c r="AD250" s="17">
        <f t="shared" si="41"/>
        <v>-2.7891610979435821E-3</v>
      </c>
      <c r="AE250" s="17">
        <f t="shared" si="41"/>
        <v>8.5605833071551451E-3</v>
      </c>
      <c r="AF250" s="17">
        <f t="shared" si="41"/>
        <v>2.069747071895689E-2</v>
      </c>
      <c r="AG250" s="17">
        <f t="shared" si="41"/>
        <v>2.5970900575436939E-2</v>
      </c>
      <c r="AH250" s="17">
        <f t="shared" si="41"/>
        <v>3.2047123345314787E-2</v>
      </c>
      <c r="AI250" s="17">
        <f t="shared" si="41"/>
        <v>2.8152198883323098E-2</v>
      </c>
      <c r="AJ250" s="17">
        <f t="shared" si="41"/>
        <v>3.1376915895665825E-2</v>
      </c>
      <c r="AK250" s="17">
        <f t="shared" si="41"/>
        <v>2.9852649139672005E-2</v>
      </c>
    </row>
    <row r="251" spans="1:37" x14ac:dyDescent="0.25">
      <c r="A251" s="12" t="s">
        <v>431</v>
      </c>
      <c r="B251" s="12"/>
      <c r="C251" s="17">
        <f>SUM(C$75:C$79)/SUM(B$75:B$79)-1</f>
        <v>6.2273226469046206E-2</v>
      </c>
      <c r="D251" s="17">
        <f t="shared" ref="D251:AK251" si="42">SUM(D$75:D$79)/SUM(C$75:C$79)-1</f>
        <v>7.3583911342386177E-2</v>
      </c>
      <c r="E251" s="17">
        <f t="shared" si="42"/>
        <v>4.552487729013488E-2</v>
      </c>
      <c r="F251" s="17">
        <f t="shared" si="42"/>
        <v>4.286816586560005E-2</v>
      </c>
      <c r="G251" s="17">
        <f t="shared" si="42"/>
        <v>3.3088883896684518E-2</v>
      </c>
      <c r="H251" s="17">
        <f t="shared" si="42"/>
        <v>5.716529629570033E-3</v>
      </c>
      <c r="I251" s="17">
        <f t="shared" si="42"/>
        <v>7.7077712955950783E-3</v>
      </c>
      <c r="J251" s="17">
        <f t="shared" si="42"/>
        <v>1.4040357514755408E-2</v>
      </c>
      <c r="K251" s="17">
        <f t="shared" si="42"/>
        <v>1.8441289102687275E-2</v>
      </c>
      <c r="L251" s="17">
        <f t="shared" si="42"/>
        <v>2.9568476603325733E-2</v>
      </c>
      <c r="M251" s="17">
        <f t="shared" si="42"/>
        <v>3.147677451419284E-2</v>
      </c>
      <c r="N251" s="17">
        <f t="shared" si="42"/>
        <v>3.0106252371513431E-2</v>
      </c>
      <c r="O251" s="17">
        <f t="shared" si="42"/>
        <v>3.2505618820673599E-2</v>
      </c>
      <c r="P251" s="17">
        <f t="shared" si="42"/>
        <v>3.2499486500082497E-2</v>
      </c>
      <c r="Q251" s="17">
        <f t="shared" si="42"/>
        <v>2.6964881114629691E-2</v>
      </c>
      <c r="R251" s="17">
        <f t="shared" si="42"/>
        <v>1.8322242781591669E-2</v>
      </c>
      <c r="S251" s="17">
        <f t="shared" si="42"/>
        <v>4.1050171925967049E-3</v>
      </c>
      <c r="T251" s="17">
        <f t="shared" si="42"/>
        <v>2.1887335635289773E-2</v>
      </c>
      <c r="U251" s="17">
        <f t="shared" si="42"/>
        <v>6.6258580311442383E-3</v>
      </c>
      <c r="V251" s="17">
        <f t="shared" si="42"/>
        <v>-6.6604439531900983E-3</v>
      </c>
      <c r="W251" s="17">
        <f t="shared" si="42"/>
        <v>-6.2930991953474846E-3</v>
      </c>
      <c r="X251" s="17">
        <f t="shared" si="42"/>
        <v>-4.5821220779620475E-3</v>
      </c>
      <c r="Y251" s="17">
        <f t="shared" si="42"/>
        <v>5.355722687494735E-3</v>
      </c>
      <c r="Z251" s="17">
        <f t="shared" si="42"/>
        <v>1.1252492024127925E-2</v>
      </c>
      <c r="AA251" s="17">
        <f t="shared" si="42"/>
        <v>2.2592372855092746E-2</v>
      </c>
      <c r="AB251" s="17">
        <f t="shared" si="42"/>
        <v>1.494911458931214E-2</v>
      </c>
      <c r="AC251" s="17">
        <f t="shared" si="42"/>
        <v>6.9321191477564881E-3</v>
      </c>
      <c r="AD251" s="17">
        <f t="shared" si="42"/>
        <v>-3.0033481296272146E-3</v>
      </c>
      <c r="AE251" s="17">
        <f t="shared" si="42"/>
        <v>-9.4232554550682801E-3</v>
      </c>
      <c r="AF251" s="17">
        <f t="shared" si="42"/>
        <v>-2.4894141965520422E-2</v>
      </c>
      <c r="AG251" s="17">
        <f t="shared" si="42"/>
        <v>-2.0525103721402815E-2</v>
      </c>
      <c r="AH251" s="17">
        <f t="shared" si="42"/>
        <v>-1.5328349235632088E-2</v>
      </c>
      <c r="AI251" s="17">
        <f t="shared" si="42"/>
        <v>-2.2332355015046712E-3</v>
      </c>
      <c r="AJ251" s="17">
        <f t="shared" si="42"/>
        <v>8.8212751967504666E-3</v>
      </c>
      <c r="AK251" s="17">
        <f t="shared" si="42"/>
        <v>2.0816275308154886E-2</v>
      </c>
    </row>
    <row r="252" spans="1:37" x14ac:dyDescent="0.25">
      <c r="A252" s="12" t="s">
        <v>450</v>
      </c>
      <c r="B252" s="12"/>
      <c r="C252" s="17">
        <f>SUM(C$80:C$84)/SUM(B$80:B$84)-1</f>
        <v>5.0292251642606534E-2</v>
      </c>
      <c r="D252" s="17">
        <f t="shared" ref="D252:AK252" si="43">SUM(D$80:D$84)/SUM(C$80:C$84)-1</f>
        <v>1.6537824769828013E-2</v>
      </c>
      <c r="E252" s="17">
        <f t="shared" si="43"/>
        <v>2.9418060695805215E-2</v>
      </c>
      <c r="F252" s="17">
        <f t="shared" si="43"/>
        <v>2.8265361467322947E-2</v>
      </c>
      <c r="G252" s="17">
        <f t="shared" si="43"/>
        <v>2.5847376111395093E-2</v>
      </c>
      <c r="H252" s="17">
        <f t="shared" si="43"/>
        <v>5.9455107595168588E-2</v>
      </c>
      <c r="I252" s="17">
        <f t="shared" si="43"/>
        <v>7.3858607368619156E-2</v>
      </c>
      <c r="J252" s="17">
        <f t="shared" si="43"/>
        <v>4.1633386731625865E-2</v>
      </c>
      <c r="K252" s="17">
        <f t="shared" si="43"/>
        <v>3.9453542516597162E-2</v>
      </c>
      <c r="L252" s="17">
        <f t="shared" si="43"/>
        <v>2.9863965856227637E-2</v>
      </c>
      <c r="M252" s="17">
        <f t="shared" si="43"/>
        <v>1.0351810256048921E-2</v>
      </c>
      <c r="N252" s="17">
        <f t="shared" si="43"/>
        <v>1.0668286800916915E-2</v>
      </c>
      <c r="O252" s="17">
        <f t="shared" si="43"/>
        <v>2.3852397026945749E-2</v>
      </c>
      <c r="P252" s="17">
        <f t="shared" si="43"/>
        <v>2.8549067951121332E-2</v>
      </c>
      <c r="Q252" s="17">
        <f t="shared" si="43"/>
        <v>2.8608861699497279E-2</v>
      </c>
      <c r="R252" s="17">
        <f t="shared" si="43"/>
        <v>1.6764535011120962E-2</v>
      </c>
      <c r="S252" s="17">
        <f t="shared" si="43"/>
        <v>7.7773249170369763E-3</v>
      </c>
      <c r="T252" s="17">
        <f t="shared" si="43"/>
        <v>3.5601563671379566E-2</v>
      </c>
      <c r="U252" s="17">
        <f t="shared" si="43"/>
        <v>2.680370372591101E-2</v>
      </c>
      <c r="V252" s="17">
        <f t="shared" si="43"/>
        <v>2.5656769838198645E-2</v>
      </c>
      <c r="W252" s="17">
        <f t="shared" si="43"/>
        <v>2.8123666733584241E-2</v>
      </c>
      <c r="X252" s="17">
        <f t="shared" si="43"/>
        <v>2.5404744440752136E-2</v>
      </c>
      <c r="Y252" s="17">
        <f t="shared" si="43"/>
        <v>1.5782314156528532E-2</v>
      </c>
      <c r="Z252" s="17">
        <f t="shared" si="43"/>
        <v>7.8272276723534429E-3</v>
      </c>
      <c r="AA252" s="17">
        <f t="shared" si="43"/>
        <v>-2.3209099101065833E-3</v>
      </c>
      <c r="AB252" s="17">
        <f t="shared" si="43"/>
        <v>-3.6976607658257832E-3</v>
      </c>
      <c r="AC252" s="17">
        <f t="shared" si="43"/>
        <v>-2.6928562481695062E-3</v>
      </c>
      <c r="AD252" s="17">
        <f t="shared" si="43"/>
        <v>6.4041357969746304E-3</v>
      </c>
      <c r="AE252" s="17">
        <f t="shared" si="43"/>
        <v>1.1891637950117717E-2</v>
      </c>
      <c r="AF252" s="17">
        <f t="shared" si="43"/>
        <v>2.3116352584242827E-2</v>
      </c>
      <c r="AG252" s="17">
        <f t="shared" si="43"/>
        <v>1.5336191781171404E-2</v>
      </c>
      <c r="AH252" s="17">
        <f t="shared" si="43"/>
        <v>7.2725589798279255E-3</v>
      </c>
      <c r="AI252" s="17">
        <f t="shared" si="43"/>
        <v>-2.2832639076559857E-3</v>
      </c>
      <c r="AJ252" s="17">
        <f t="shared" si="43"/>
        <v>-8.7828501834016359E-3</v>
      </c>
      <c r="AK252" s="17">
        <f t="shared" si="43"/>
        <v>-2.4210850634213466E-2</v>
      </c>
    </row>
    <row r="253" spans="1:37" x14ac:dyDescent="0.25">
      <c r="A253" s="12" t="s">
        <v>451</v>
      </c>
      <c r="B253" s="12"/>
      <c r="C253" s="17">
        <f>SUM(C$85:C$89)/SUM(B$85:B$89)-1</f>
        <v>2.0960010752814284E-2</v>
      </c>
      <c r="D253" s="17">
        <f t="shared" ref="D253:AK253" si="44">SUM(D$85:D$89)/SUM(C$85:C$89)-1</f>
        <v>2.2354888767771142E-2</v>
      </c>
      <c r="E253" s="17">
        <f t="shared" si="44"/>
        <v>3.1594956810198527E-2</v>
      </c>
      <c r="F253" s="17">
        <f t="shared" si="44"/>
        <v>4.8977502736639034E-2</v>
      </c>
      <c r="G253" s="17">
        <f t="shared" si="44"/>
        <v>5.8022412910013088E-2</v>
      </c>
      <c r="H253" s="17">
        <f t="shared" si="44"/>
        <v>5.1268677601606027E-2</v>
      </c>
      <c r="I253" s="17">
        <f t="shared" si="44"/>
        <v>1.6478870886640351E-2</v>
      </c>
      <c r="J253" s="17">
        <f t="shared" si="44"/>
        <v>2.7426784331573861E-2</v>
      </c>
      <c r="K253" s="17">
        <f t="shared" si="44"/>
        <v>2.6663965473848528E-2</v>
      </c>
      <c r="L253" s="17">
        <f t="shared" si="44"/>
        <v>2.440030274218441E-2</v>
      </c>
      <c r="M253" s="17">
        <f t="shared" si="44"/>
        <v>6.0095600238474711E-2</v>
      </c>
      <c r="N253" s="17">
        <f t="shared" si="44"/>
        <v>7.4645556405793512E-2</v>
      </c>
      <c r="O253" s="17">
        <f t="shared" si="44"/>
        <v>5.0380705809845994E-2</v>
      </c>
      <c r="P253" s="17">
        <f t="shared" si="44"/>
        <v>4.8583395643152283E-2</v>
      </c>
      <c r="Q253" s="17">
        <f t="shared" si="44"/>
        <v>3.5615343682681377E-2</v>
      </c>
      <c r="R253" s="17">
        <f t="shared" si="44"/>
        <v>-1.8287060186905624E-4</v>
      </c>
      <c r="S253" s="17">
        <f t="shared" si="44"/>
        <v>-8.3875750163769913E-3</v>
      </c>
      <c r="T253" s="17">
        <f t="shared" si="44"/>
        <v>3.1545752695438134E-2</v>
      </c>
      <c r="U253" s="17">
        <f t="shared" si="44"/>
        <v>2.2511960763380134E-2</v>
      </c>
      <c r="V253" s="17">
        <f t="shared" si="44"/>
        <v>2.7242294682461754E-2</v>
      </c>
      <c r="W253" s="17">
        <f t="shared" si="44"/>
        <v>2.6454863556620634E-2</v>
      </c>
      <c r="X253" s="17">
        <f t="shared" si="44"/>
        <v>2.917421717569102E-2</v>
      </c>
      <c r="Y253" s="17">
        <f t="shared" si="44"/>
        <v>2.9858294423650289E-2</v>
      </c>
      <c r="Z253" s="17">
        <f t="shared" si="44"/>
        <v>2.7453701987524504E-2</v>
      </c>
      <c r="AA253" s="17">
        <f t="shared" si="44"/>
        <v>3.0362698995433091E-2</v>
      </c>
      <c r="AB253" s="17">
        <f t="shared" si="44"/>
        <v>3.2331624709142526E-2</v>
      </c>
      <c r="AC253" s="17">
        <f t="shared" si="44"/>
        <v>2.817769246331725E-2</v>
      </c>
      <c r="AD253" s="17">
        <f t="shared" si="44"/>
        <v>1.7088387034079222E-2</v>
      </c>
      <c r="AE253" s="17">
        <f t="shared" si="44"/>
        <v>8.4972370524671881E-3</v>
      </c>
      <c r="AF253" s="17">
        <f t="shared" si="44"/>
        <v>-1.7525336133580316E-3</v>
      </c>
      <c r="AG253" s="17">
        <f t="shared" si="44"/>
        <v>-2.7684625216141123E-3</v>
      </c>
      <c r="AH253" s="17">
        <f t="shared" si="44"/>
        <v>-1.6927732828143638E-3</v>
      </c>
      <c r="AI253" s="17">
        <f t="shared" si="44"/>
        <v>7.189528961675018E-3</v>
      </c>
      <c r="AJ253" s="17">
        <f t="shared" si="44"/>
        <v>1.2727560624435696E-2</v>
      </c>
      <c r="AK253" s="17">
        <f t="shared" si="44"/>
        <v>2.3938296498048128E-2</v>
      </c>
    </row>
    <row r="254" spans="1:37" x14ac:dyDescent="0.25">
      <c r="A254" s="12" t="s">
        <v>452</v>
      </c>
      <c r="B254" s="12"/>
      <c r="C254" s="17">
        <f>SUM(C$90:C$94)/SUM(B$90:B$94)-1</f>
        <v>3.8726432255133947E-3</v>
      </c>
      <c r="D254" s="17">
        <f t="shared" ref="D254:AK254" si="45">SUM(D$90:D$94)/SUM(C$90:C$94)-1</f>
        <v>-8.7528682639725908E-5</v>
      </c>
      <c r="E254" s="17">
        <f t="shared" si="45"/>
        <v>-3.5585118277771111E-3</v>
      </c>
      <c r="F254" s="17">
        <f t="shared" si="45"/>
        <v>-5.3602535824233133E-3</v>
      </c>
      <c r="G254" s="17">
        <f t="shared" si="45"/>
        <v>4.8120797765887069E-3</v>
      </c>
      <c r="H254" s="17">
        <f t="shared" si="45"/>
        <v>2.0169174818035041E-2</v>
      </c>
      <c r="I254" s="17">
        <f t="shared" si="45"/>
        <v>2.2875605516789577E-2</v>
      </c>
      <c r="J254" s="17">
        <f t="shared" si="45"/>
        <v>3.0023791466712524E-2</v>
      </c>
      <c r="K254" s="17">
        <f t="shared" si="45"/>
        <v>5.1941220031206825E-2</v>
      </c>
      <c r="L254" s="17">
        <f t="shared" si="45"/>
        <v>5.943032783728297E-2</v>
      </c>
      <c r="M254" s="17">
        <f t="shared" si="45"/>
        <v>5.6805656857864983E-2</v>
      </c>
      <c r="N254" s="17">
        <f t="shared" si="45"/>
        <v>1.6521112103584645E-2</v>
      </c>
      <c r="O254" s="17">
        <f t="shared" si="45"/>
        <v>3.2936800945678968E-2</v>
      </c>
      <c r="P254" s="17">
        <f t="shared" si="45"/>
        <v>3.0091982072433465E-2</v>
      </c>
      <c r="Q254" s="17">
        <f t="shared" si="45"/>
        <v>3.2518992390272006E-2</v>
      </c>
      <c r="R254" s="17">
        <f t="shared" si="45"/>
        <v>5.5550817156304166E-2</v>
      </c>
      <c r="S254" s="17">
        <f t="shared" si="45"/>
        <v>5.3806636859497825E-2</v>
      </c>
      <c r="T254" s="17">
        <f t="shared" si="45"/>
        <v>5.9407770679647864E-2</v>
      </c>
      <c r="U254" s="17">
        <f t="shared" si="45"/>
        <v>5.0663126204556708E-2</v>
      </c>
      <c r="V254" s="17">
        <f t="shared" si="45"/>
        <v>3.1152954286139733E-2</v>
      </c>
      <c r="W254" s="17">
        <f t="shared" si="45"/>
        <v>7.3989584570413047E-3</v>
      </c>
      <c r="X254" s="17">
        <f t="shared" si="45"/>
        <v>1.3229157483717335E-2</v>
      </c>
      <c r="Y254" s="17">
        <f t="shared" si="45"/>
        <v>2.5651192509869691E-2</v>
      </c>
      <c r="Z254" s="17">
        <f t="shared" si="45"/>
        <v>2.3791677537450262E-2</v>
      </c>
      <c r="AA254" s="17">
        <f t="shared" si="45"/>
        <v>3.2604670176263228E-2</v>
      </c>
      <c r="AB254" s="17">
        <f t="shared" si="45"/>
        <v>3.1539061217336517E-2</v>
      </c>
      <c r="AC254" s="17">
        <f t="shared" si="45"/>
        <v>3.2867600676155462E-2</v>
      </c>
      <c r="AD254" s="17">
        <f t="shared" si="45"/>
        <v>3.2239867397974242E-2</v>
      </c>
      <c r="AE254" s="17">
        <f t="shared" si="45"/>
        <v>2.9315607011060507E-2</v>
      </c>
      <c r="AF254" s="17">
        <f t="shared" si="45"/>
        <v>3.2030678231442788E-2</v>
      </c>
      <c r="AG254" s="17">
        <f t="shared" si="45"/>
        <v>3.3616421163713106E-2</v>
      </c>
      <c r="AH254" s="17">
        <f t="shared" si="45"/>
        <v>2.9573340086328281E-2</v>
      </c>
      <c r="AI254" s="17">
        <f t="shared" si="45"/>
        <v>1.8365651561890628E-2</v>
      </c>
      <c r="AJ254" s="17">
        <f t="shared" si="45"/>
        <v>9.5221829308616002E-3</v>
      </c>
      <c r="AK254" s="17">
        <f t="shared" si="45"/>
        <v>-6.4311587824761318E-4</v>
      </c>
    </row>
    <row r="255" spans="1:37" x14ac:dyDescent="0.25">
      <c r="A255" s="12" t="s">
        <v>453</v>
      </c>
      <c r="B255" s="12"/>
      <c r="C255" s="17">
        <f>SUM(C$95:C$99)/SUM(B$95:B$99)-1</f>
        <v>7.1152226902504445E-3</v>
      </c>
      <c r="D255" s="17">
        <f t="shared" ref="D255:AK255" si="46">SUM(D$95:D$99)/SUM(C$95:C$99)-1</f>
        <v>1.1370909304560861E-2</v>
      </c>
      <c r="E255" s="17">
        <f t="shared" si="46"/>
        <v>4.2166470793549848E-3</v>
      </c>
      <c r="F255" s="17">
        <f t="shared" si="46"/>
        <v>6.4216325662576068E-3</v>
      </c>
      <c r="G255" s="17">
        <f t="shared" si="46"/>
        <v>1.3581134188486832E-2</v>
      </c>
      <c r="H255" s="17">
        <f t="shared" si="46"/>
        <v>9.2750725093582176E-4</v>
      </c>
      <c r="I255" s="17">
        <f t="shared" si="46"/>
        <v>3.4727436016734892E-3</v>
      </c>
      <c r="J255" s="17">
        <f t="shared" si="46"/>
        <v>-3.5416373845990057E-3</v>
      </c>
      <c r="K255" s="17">
        <f t="shared" si="46"/>
        <v>-8.9695667871104723E-3</v>
      </c>
      <c r="L255" s="17">
        <f t="shared" si="46"/>
        <v>4.8485278658065845E-3</v>
      </c>
      <c r="M255" s="17">
        <f t="shared" si="46"/>
        <v>2.3679690323876068E-2</v>
      </c>
      <c r="N255" s="17">
        <f t="shared" si="46"/>
        <v>2.9328485263529158E-2</v>
      </c>
      <c r="O255" s="17">
        <f t="shared" si="46"/>
        <v>4.1585848923013202E-2</v>
      </c>
      <c r="P255" s="17">
        <f t="shared" si="46"/>
        <v>5.5817341206041649E-2</v>
      </c>
      <c r="Q255" s="17">
        <f t="shared" si="46"/>
        <v>7.3132373103426573E-2</v>
      </c>
      <c r="R255" s="17">
        <f t="shared" si="46"/>
        <v>4.8914104034019745E-2</v>
      </c>
      <c r="S255" s="17">
        <f t="shared" si="46"/>
        <v>-2.4365869361021586E-3</v>
      </c>
      <c r="T255" s="17">
        <f t="shared" si="46"/>
        <v>4.1860557129753007E-2</v>
      </c>
      <c r="U255" s="17">
        <f t="shared" si="46"/>
        <v>3.2106024283598877E-2</v>
      </c>
      <c r="V255" s="17">
        <f t="shared" si="46"/>
        <v>2.7743578515066591E-2</v>
      </c>
      <c r="W255" s="17">
        <f t="shared" si="46"/>
        <v>6.8340156516508932E-2</v>
      </c>
      <c r="X255" s="17">
        <f t="shared" si="46"/>
        <v>7.9492841463782771E-2</v>
      </c>
      <c r="Y255" s="17">
        <f t="shared" si="46"/>
        <v>5.3730002355010242E-2</v>
      </c>
      <c r="Z255" s="17">
        <f t="shared" si="46"/>
        <v>5.1540087492573106E-2</v>
      </c>
      <c r="AA255" s="17">
        <f t="shared" si="46"/>
        <v>3.6435124747164149E-2</v>
      </c>
      <c r="AB255" s="17">
        <f t="shared" si="46"/>
        <v>1.3273402010394619E-2</v>
      </c>
      <c r="AC255" s="17">
        <f t="shared" si="46"/>
        <v>1.7954315881361316E-2</v>
      </c>
      <c r="AD255" s="17">
        <f t="shared" si="46"/>
        <v>2.9114429484646376E-2</v>
      </c>
      <c r="AE255" s="17">
        <f t="shared" si="46"/>
        <v>2.6849099966486767E-2</v>
      </c>
      <c r="AF255" s="17">
        <f t="shared" si="46"/>
        <v>3.5400771713289148E-2</v>
      </c>
      <c r="AG255" s="17">
        <f t="shared" si="46"/>
        <v>3.3982560584160826E-2</v>
      </c>
      <c r="AH255" s="17">
        <f t="shared" si="46"/>
        <v>3.4875834497840597E-2</v>
      </c>
      <c r="AI255" s="17">
        <f t="shared" si="46"/>
        <v>3.4477458193262089E-2</v>
      </c>
      <c r="AJ255" s="17">
        <f t="shared" si="46"/>
        <v>3.1450725121838108E-2</v>
      </c>
      <c r="AK255" s="17">
        <f t="shared" si="46"/>
        <v>3.4314582602171129E-2</v>
      </c>
    </row>
    <row r="256" spans="1:37" x14ac:dyDescent="0.25">
      <c r="A256" s="12" t="s">
        <v>454</v>
      </c>
      <c r="B256" s="12"/>
      <c r="C256" s="17">
        <f>SUM(C$100:C$110)/SUM(B$100:B$110)-1</f>
        <v>4.1127917509851786E-2</v>
      </c>
      <c r="D256" s="17">
        <f t="shared" ref="D256:AK256" si="47">SUM(D$100:D$110)/SUM(C$100:C$110)-1</f>
        <v>2.9476099331554373E-2</v>
      </c>
      <c r="E256" s="17">
        <f t="shared" si="47"/>
        <v>2.602441806908673E-2</v>
      </c>
      <c r="F256" s="17">
        <f t="shared" si="47"/>
        <v>3.5326633326226542E-2</v>
      </c>
      <c r="G256" s="17">
        <f t="shared" si="47"/>
        <v>2.3903757752184784E-2</v>
      </c>
      <c r="H256" s="17">
        <f t="shared" si="47"/>
        <v>1.5580479736714503E-2</v>
      </c>
      <c r="I256" s="17">
        <f t="shared" si="47"/>
        <v>1.4327538906529824E-2</v>
      </c>
      <c r="J256" s="17">
        <f t="shared" si="47"/>
        <v>2.3191534508889333E-2</v>
      </c>
      <c r="K256" s="17">
        <f t="shared" si="47"/>
        <v>2.3733804285110516E-2</v>
      </c>
      <c r="L256" s="17">
        <f t="shared" si="47"/>
        <v>2.1823703621974166E-2</v>
      </c>
      <c r="M256" s="17">
        <f t="shared" si="47"/>
        <v>1.6996851147051739E-2</v>
      </c>
      <c r="N256" s="17">
        <f t="shared" si="47"/>
        <v>1.0764522519239206E-2</v>
      </c>
      <c r="O256" s="17">
        <f t="shared" si="47"/>
        <v>9.3998312875804846E-3</v>
      </c>
      <c r="P256" s="17">
        <f t="shared" si="47"/>
        <v>7.1710527143165059E-3</v>
      </c>
      <c r="Q256" s="17">
        <f t="shared" si="47"/>
        <v>2.7958828659224944E-2</v>
      </c>
      <c r="R256" s="17">
        <f t="shared" si="47"/>
        <v>7.9537003837131248E-3</v>
      </c>
      <c r="S256" s="17">
        <f t="shared" si="47"/>
        <v>-5.4433366195384414E-3</v>
      </c>
      <c r="T256" s="17">
        <f t="shared" si="47"/>
        <v>3.7468623969107551E-2</v>
      </c>
      <c r="U256" s="17">
        <f t="shared" si="47"/>
        <v>4.483117242089163E-2</v>
      </c>
      <c r="V256" s="17">
        <f t="shared" si="47"/>
        <v>4.9065786294294034E-2</v>
      </c>
      <c r="W256" s="17">
        <f t="shared" si="47"/>
        <v>4.6611047575461528E-2</v>
      </c>
      <c r="X256" s="17">
        <f t="shared" si="47"/>
        <v>2.579959400649412E-2</v>
      </c>
      <c r="Y256" s="17">
        <f t="shared" si="47"/>
        <v>3.836287863162946E-2</v>
      </c>
      <c r="Z256" s="17">
        <f t="shared" si="47"/>
        <v>4.3230792778971461E-2</v>
      </c>
      <c r="AA256" s="17">
        <f t="shared" si="47"/>
        <v>4.8109121986435799E-2</v>
      </c>
      <c r="AB256" s="17">
        <f t="shared" si="47"/>
        <v>7.4150580067995131E-2</v>
      </c>
      <c r="AC256" s="17">
        <f t="shared" si="47"/>
        <v>6.4061894126856034E-2</v>
      </c>
      <c r="AD256" s="17">
        <f t="shared" si="47"/>
        <v>5.2383791596470664E-2</v>
      </c>
      <c r="AE256" s="17">
        <f t="shared" si="47"/>
        <v>5.2211647305988595E-2</v>
      </c>
      <c r="AF256" s="17">
        <f t="shared" si="47"/>
        <v>4.3405083868229388E-2</v>
      </c>
      <c r="AG256" s="17">
        <f t="shared" si="47"/>
        <v>4.2811090632567383E-2</v>
      </c>
      <c r="AH256" s="17">
        <f t="shared" si="47"/>
        <v>4.0278948491100808E-2</v>
      </c>
      <c r="AI256" s="17">
        <f t="shared" si="47"/>
        <v>4.123240908548742E-2</v>
      </c>
      <c r="AJ256" s="17">
        <f t="shared" si="47"/>
        <v>4.004656962207398E-2</v>
      </c>
      <c r="AK256" s="17">
        <f t="shared" si="47"/>
        <v>4.0223547801301995E-2</v>
      </c>
    </row>
    <row r="257" spans="1:37" x14ac:dyDescent="0.25">
      <c r="A257" s="12" t="s">
        <v>455</v>
      </c>
      <c r="B257" s="12"/>
      <c r="C257" s="17">
        <f>SUM(C$115:C$119)/SUM(B$115:B$119)-1</f>
        <v>2.1302237462227591E-2</v>
      </c>
      <c r="D257" s="17">
        <f t="shared" ref="D257:AK257" si="48">SUM(D$115:D$119)/SUM(C$115:C$119)-1</f>
        <v>2.7665633489771357E-2</v>
      </c>
      <c r="E257" s="17">
        <f t="shared" si="48"/>
        <v>2.3160427974631581E-2</v>
      </c>
      <c r="F257" s="17">
        <f t="shared" si="48"/>
        <v>2.454178594412304E-2</v>
      </c>
      <c r="G257" s="17">
        <f t="shared" si="48"/>
        <v>1.1992213757913595E-2</v>
      </c>
      <c r="H257" s="17">
        <f t="shared" si="48"/>
        <v>-4.4115774699510224E-3</v>
      </c>
      <c r="I257" s="17">
        <f t="shared" si="48"/>
        <v>-9.2595409378707361E-3</v>
      </c>
      <c r="J257" s="17">
        <f t="shared" si="48"/>
        <v>-8.6819034242646698E-3</v>
      </c>
      <c r="K257" s="17">
        <f t="shared" si="48"/>
        <v>-6.3188983308253288E-3</v>
      </c>
      <c r="L257" s="17">
        <f t="shared" si="48"/>
        <v>-2.6086462068719563E-3</v>
      </c>
      <c r="M257" s="17">
        <f t="shared" si="48"/>
        <v>-6.0194619090212509E-3</v>
      </c>
      <c r="N257" s="17">
        <f t="shared" si="48"/>
        <v>-1.8993036084622439E-3</v>
      </c>
      <c r="O257" s="17">
        <f t="shared" si="48"/>
        <v>-7.3058583590277504E-3</v>
      </c>
      <c r="P257" s="17">
        <f t="shared" si="48"/>
        <v>3.4531796192134312E-3</v>
      </c>
      <c r="Q257" s="17">
        <f t="shared" si="48"/>
        <v>-9.7085317883333078E-3</v>
      </c>
      <c r="R257" s="17">
        <f t="shared" si="48"/>
        <v>-4.3816894505597226E-3</v>
      </c>
      <c r="S257" s="17">
        <f t="shared" si="48"/>
        <v>6.7750374251442924E-3</v>
      </c>
      <c r="T257" s="17">
        <f t="shared" si="48"/>
        <v>-8.3170536700840625E-3</v>
      </c>
      <c r="U257" s="17">
        <f t="shared" si="48"/>
        <v>-8.1754168075592881E-3</v>
      </c>
      <c r="V257" s="17">
        <f t="shared" si="48"/>
        <v>-1.7658355387312419E-2</v>
      </c>
      <c r="W257" s="17">
        <f t="shared" si="48"/>
        <v>-9.2550320086934867E-3</v>
      </c>
      <c r="X257" s="17">
        <f t="shared" si="48"/>
        <v>1.4278199865032981E-2</v>
      </c>
      <c r="Y257" s="17">
        <f t="shared" si="48"/>
        <v>1.5863822678549244E-2</v>
      </c>
      <c r="Z257" s="17">
        <f t="shared" si="48"/>
        <v>1.1929311273058518E-2</v>
      </c>
      <c r="AA257" s="17">
        <f t="shared" si="48"/>
        <v>1.0973732482596255E-2</v>
      </c>
      <c r="AB257" s="17">
        <f t="shared" si="48"/>
        <v>5.077677412732573E-4</v>
      </c>
      <c r="AC257" s="17">
        <f t="shared" si="48"/>
        <v>7.0055761742371381E-4</v>
      </c>
      <c r="AD257" s="17">
        <f t="shared" si="48"/>
        <v>1.1764955751376593E-3</v>
      </c>
      <c r="AE257" s="17">
        <f t="shared" si="48"/>
        <v>1.8076933138910789E-3</v>
      </c>
      <c r="AF257" s="17">
        <f t="shared" si="48"/>
        <v>2.8870903283424454E-3</v>
      </c>
      <c r="AG257" s="17">
        <f t="shared" si="48"/>
        <v>3.8983466075099837E-3</v>
      </c>
      <c r="AH257" s="17">
        <f t="shared" si="48"/>
        <v>4.8390752260982772E-3</v>
      </c>
      <c r="AI257" s="17">
        <f t="shared" si="48"/>
        <v>5.648126887614513E-3</v>
      </c>
      <c r="AJ257" s="17">
        <f t="shared" si="48"/>
        <v>6.3849653671423923E-3</v>
      </c>
      <c r="AK257" s="17">
        <f t="shared" si="48"/>
        <v>6.5794360943278729E-3</v>
      </c>
    </row>
    <row r="258" spans="1:37" x14ac:dyDescent="0.25">
      <c r="A258" s="12" t="s">
        <v>456</v>
      </c>
      <c r="B258" s="12"/>
      <c r="C258" s="17">
        <f>SUM(C$120:C$124)/SUM(B$120:B$124)-1</f>
        <v>-5.9610292248517549E-3</v>
      </c>
      <c r="D258" s="17">
        <f t="shared" ref="D258:AK258" si="49">SUM(D$120:D$124)/SUM(C$120:C$124)-1</f>
        <v>-1.0517625252444152E-3</v>
      </c>
      <c r="E258" s="17">
        <f t="shared" si="49"/>
        <v>3.3527600885019382E-3</v>
      </c>
      <c r="F258" s="17">
        <f t="shared" si="49"/>
        <v>-2.4787060766483515E-3</v>
      </c>
      <c r="G258" s="17">
        <f t="shared" si="49"/>
        <v>-6.8557162672178151E-5</v>
      </c>
      <c r="H258" s="17">
        <f t="shared" si="49"/>
        <v>1.4920133082453324E-2</v>
      </c>
      <c r="I258" s="17">
        <f t="shared" si="49"/>
        <v>2.2928746725380256E-2</v>
      </c>
      <c r="J258" s="17">
        <f t="shared" si="49"/>
        <v>2.8954668503176295E-2</v>
      </c>
      <c r="K258" s="17">
        <f t="shared" si="49"/>
        <v>3.1938632704385794E-2</v>
      </c>
      <c r="L258" s="17">
        <f t="shared" si="49"/>
        <v>2.1186034632625361E-2</v>
      </c>
      <c r="M258" s="17">
        <f t="shared" si="49"/>
        <v>4.5104729767100338E-3</v>
      </c>
      <c r="N258" s="17">
        <f t="shared" si="49"/>
        <v>2.3840072340626239E-3</v>
      </c>
      <c r="O258" s="17">
        <f t="shared" si="49"/>
        <v>-7.2272980366799855E-3</v>
      </c>
      <c r="P258" s="17">
        <f t="shared" si="49"/>
        <v>5.8480229820463414E-3</v>
      </c>
      <c r="Q258" s="17">
        <f t="shared" si="49"/>
        <v>-1.5954929737437173E-2</v>
      </c>
      <c r="R258" s="17">
        <f t="shared" si="49"/>
        <v>-9.9046584323646547E-3</v>
      </c>
      <c r="S258" s="17">
        <f t="shared" si="49"/>
        <v>1.3322350019111751E-2</v>
      </c>
      <c r="T258" s="17">
        <f t="shared" si="49"/>
        <v>9.475708497814983E-3</v>
      </c>
      <c r="U258" s="17">
        <f t="shared" si="49"/>
        <v>-8.6885449598477216E-3</v>
      </c>
      <c r="V258" s="17">
        <f t="shared" si="49"/>
        <v>-8.1861113086372228E-3</v>
      </c>
      <c r="W258" s="17">
        <f t="shared" si="49"/>
        <v>-6.2818374664991294E-3</v>
      </c>
      <c r="X258" s="17">
        <f t="shared" si="49"/>
        <v>-2.1853124384588751E-3</v>
      </c>
      <c r="Y258" s="17">
        <f t="shared" si="49"/>
        <v>-5.0914007894056201E-3</v>
      </c>
      <c r="Z258" s="17">
        <f t="shared" si="49"/>
        <v>4.2824420857734413E-3</v>
      </c>
      <c r="AA258" s="17">
        <f t="shared" si="49"/>
        <v>-2.5955101777963563E-4</v>
      </c>
      <c r="AB258" s="17">
        <f t="shared" si="49"/>
        <v>-5.2701111931751088E-3</v>
      </c>
      <c r="AC258" s="17">
        <f t="shared" si="49"/>
        <v>3.7431602237529837E-3</v>
      </c>
      <c r="AD258" s="17">
        <f t="shared" si="49"/>
        <v>4.5931833205459238E-3</v>
      </c>
      <c r="AE258" s="17">
        <f t="shared" si="49"/>
        <v>6.3491223865708157E-4</v>
      </c>
      <c r="AF258" s="17">
        <f t="shared" si="49"/>
        <v>4.6146136791680448E-4</v>
      </c>
      <c r="AG258" s="17">
        <f t="shared" si="49"/>
        <v>4.0359245460108717E-4</v>
      </c>
      <c r="AH258" s="17">
        <f t="shared" si="49"/>
        <v>7.4922646211228461E-4</v>
      </c>
      <c r="AI258" s="17">
        <f t="shared" si="49"/>
        <v>1.3821517699881269E-3</v>
      </c>
      <c r="AJ258" s="17">
        <f t="shared" si="49"/>
        <v>2.0128559255190304E-3</v>
      </c>
      <c r="AK258" s="17">
        <f t="shared" si="49"/>
        <v>3.0419160342145535E-3</v>
      </c>
    </row>
    <row r="259" spans="1:37" x14ac:dyDescent="0.25">
      <c r="A259" s="12" t="s">
        <v>457</v>
      </c>
      <c r="B259" s="12"/>
      <c r="C259" s="17">
        <f>SUM(C$125:C$129)/SUM(B$125:B$129)-1</f>
        <v>-2.1412706519856273E-2</v>
      </c>
      <c r="D259" s="17">
        <f t="shared" ref="D259:AK259" si="50">SUM(D$125:D$129)/SUM(C$125:C$129)-1</f>
        <v>-9.0672657835001447E-3</v>
      </c>
      <c r="E259" s="17">
        <f t="shared" si="50"/>
        <v>-3.6518238260151437E-3</v>
      </c>
      <c r="F259" s="17">
        <f t="shared" si="50"/>
        <v>6.5341531731852864E-3</v>
      </c>
      <c r="G259" s="17">
        <f t="shared" si="50"/>
        <v>-8.9002376846081255E-4</v>
      </c>
      <c r="H259" s="17">
        <f t="shared" si="50"/>
        <v>-7.2155529075668134E-3</v>
      </c>
      <c r="I259" s="17">
        <f t="shared" si="50"/>
        <v>-8.2675229620050583E-3</v>
      </c>
      <c r="J259" s="17">
        <f t="shared" si="50"/>
        <v>2.2681975150933287E-3</v>
      </c>
      <c r="K259" s="17">
        <f t="shared" si="50"/>
        <v>-7.6297210612408239E-4</v>
      </c>
      <c r="L259" s="17">
        <f t="shared" si="50"/>
        <v>4.4991688095412652E-3</v>
      </c>
      <c r="M259" s="17">
        <f t="shared" si="50"/>
        <v>1.7666193683532949E-2</v>
      </c>
      <c r="N259" s="17">
        <f t="shared" si="50"/>
        <v>2.6526785430323718E-2</v>
      </c>
      <c r="O259" s="17">
        <f t="shared" si="50"/>
        <v>2.528202359950571E-2</v>
      </c>
      <c r="P259" s="17">
        <f t="shared" si="50"/>
        <v>3.8185863787500329E-2</v>
      </c>
      <c r="Q259" s="17">
        <f t="shared" si="50"/>
        <v>9.9299840710544984E-3</v>
      </c>
      <c r="R259" s="17">
        <f t="shared" si="50"/>
        <v>5.1367008587710483E-3</v>
      </c>
      <c r="S259" s="17">
        <f t="shared" si="50"/>
        <v>1.9998864711525233E-2</v>
      </c>
      <c r="T259" s="17">
        <f t="shared" si="50"/>
        <v>8.651203845601696E-3</v>
      </c>
      <c r="U259" s="17">
        <f t="shared" si="50"/>
        <v>-2.6743392535999444E-3</v>
      </c>
      <c r="V259" s="17">
        <f t="shared" si="50"/>
        <v>-8.7286380121047724E-3</v>
      </c>
      <c r="W259" s="17">
        <f t="shared" si="50"/>
        <v>-5.4437389331694064E-3</v>
      </c>
      <c r="X259" s="17">
        <f t="shared" si="50"/>
        <v>5.3846526873844169E-3</v>
      </c>
      <c r="Y259" s="17">
        <f t="shared" si="50"/>
        <v>9.3462938885751079E-3</v>
      </c>
      <c r="Z259" s="17">
        <f t="shared" si="50"/>
        <v>4.7654036113831122E-3</v>
      </c>
      <c r="AA259" s="17">
        <f t="shared" si="50"/>
        <v>9.0270832340368923E-3</v>
      </c>
      <c r="AB259" s="17">
        <f t="shared" si="50"/>
        <v>-3.5237007999413539E-3</v>
      </c>
      <c r="AC259" s="17">
        <f t="shared" si="50"/>
        <v>-1.0545430738297612E-2</v>
      </c>
      <c r="AD259" s="17">
        <f t="shared" si="50"/>
        <v>-1.3361414535260407E-2</v>
      </c>
      <c r="AE259" s="17">
        <f t="shared" si="50"/>
        <v>-5.9141377234772641E-3</v>
      </c>
      <c r="AF259" s="17">
        <f t="shared" si="50"/>
        <v>-8.9239842571547934E-3</v>
      </c>
      <c r="AG259" s="17">
        <f t="shared" si="50"/>
        <v>-5.1843162990349301E-3</v>
      </c>
      <c r="AH259" s="17">
        <f t="shared" si="50"/>
        <v>3.5656492370061965E-3</v>
      </c>
      <c r="AI259" s="17">
        <f t="shared" si="50"/>
        <v>4.4822216227293765E-3</v>
      </c>
      <c r="AJ259" s="17">
        <f t="shared" si="50"/>
        <v>8.706772603823687E-4</v>
      </c>
      <c r="AK259" s="17">
        <f t="shared" si="50"/>
        <v>5.9806989065891436E-4</v>
      </c>
    </row>
    <row r="260" spans="1:37" x14ac:dyDescent="0.25">
      <c r="A260" s="12" t="s">
        <v>458</v>
      </c>
      <c r="B260" s="12"/>
      <c r="C260" s="17">
        <f>SUM(C$130:C$134)/SUM(B$130:B$134)-1</f>
        <v>9.2972491610481267E-3</v>
      </c>
      <c r="D260" s="17">
        <f t="shared" ref="D260:AK260" si="51">SUM(D$130:D$134)/SUM(C$130:C$134)-1</f>
        <v>1.5173884526431536E-3</v>
      </c>
      <c r="E260" s="17">
        <f t="shared" si="51"/>
        <v>-2.9047357400641127E-3</v>
      </c>
      <c r="F260" s="17">
        <f t="shared" si="51"/>
        <v>3.7411128357835999E-3</v>
      </c>
      <c r="G260" s="17">
        <f t="shared" si="51"/>
        <v>-1.9086958516676411E-3</v>
      </c>
      <c r="H260" s="17">
        <f t="shared" si="51"/>
        <v>-2.7857209784819537E-3</v>
      </c>
      <c r="I260" s="17">
        <f t="shared" si="51"/>
        <v>-2.6141465426565702E-4</v>
      </c>
      <c r="J260" s="17">
        <f t="shared" si="51"/>
        <v>1.747845306982132E-3</v>
      </c>
      <c r="K260" s="17">
        <f t="shared" si="51"/>
        <v>8.2366552318897668E-3</v>
      </c>
      <c r="L260" s="17">
        <f t="shared" si="51"/>
        <v>3.4791049513065442E-3</v>
      </c>
      <c r="M260" s="17">
        <f t="shared" si="51"/>
        <v>1.2975949736633297E-3</v>
      </c>
      <c r="N260" s="17">
        <f t="shared" si="51"/>
        <v>1.6336844627777847E-3</v>
      </c>
      <c r="O260" s="17">
        <f t="shared" si="51"/>
        <v>3.3256269087542645E-3</v>
      </c>
      <c r="P260" s="17">
        <f t="shared" si="51"/>
        <v>-4.0116251000864578E-3</v>
      </c>
      <c r="Q260" s="17">
        <f t="shared" si="51"/>
        <v>-4.0029611088532313E-4</v>
      </c>
      <c r="R260" s="17">
        <f t="shared" si="51"/>
        <v>1.613153326067196E-2</v>
      </c>
      <c r="S260" s="17">
        <f t="shared" si="51"/>
        <v>2.8642845194098321E-2</v>
      </c>
      <c r="T260" s="17">
        <f t="shared" si="51"/>
        <v>4.6581168884480606E-2</v>
      </c>
      <c r="U260" s="17">
        <f t="shared" si="51"/>
        <v>2.6092859369398314E-2</v>
      </c>
      <c r="V260" s="17">
        <f t="shared" si="51"/>
        <v>2.3744333069776191E-2</v>
      </c>
      <c r="W260" s="17">
        <f t="shared" si="51"/>
        <v>1.2479125718136252E-2</v>
      </c>
      <c r="X260" s="17">
        <f t="shared" si="51"/>
        <v>2.3958703859956465E-3</v>
      </c>
      <c r="Y260" s="17">
        <f t="shared" si="51"/>
        <v>8.4064822065399447E-4</v>
      </c>
      <c r="Z260" s="17">
        <f t="shared" si="51"/>
        <v>-1.5420447495869682E-3</v>
      </c>
      <c r="AA260" s="17">
        <f t="shared" si="51"/>
        <v>-1.9893384452237539E-3</v>
      </c>
      <c r="AB260" s="17">
        <f t="shared" si="51"/>
        <v>-2.6776136373883874E-3</v>
      </c>
      <c r="AC260" s="17">
        <f t="shared" si="51"/>
        <v>-4.2593664670331766E-3</v>
      </c>
      <c r="AD260" s="17">
        <f t="shared" si="51"/>
        <v>-1.1170556093644812E-3</v>
      </c>
      <c r="AE260" s="17">
        <f t="shared" si="51"/>
        <v>-6.0892889776358317E-3</v>
      </c>
      <c r="AF260" s="17">
        <f t="shared" si="51"/>
        <v>-1.4222454045019761E-3</v>
      </c>
      <c r="AG260" s="17">
        <f t="shared" si="51"/>
        <v>-3.7250166380311533E-3</v>
      </c>
      <c r="AH260" s="17">
        <f t="shared" si="51"/>
        <v>-1.1051879379338159E-2</v>
      </c>
      <c r="AI260" s="17">
        <f t="shared" si="51"/>
        <v>-1.3732940003892025E-2</v>
      </c>
      <c r="AJ260" s="17">
        <f t="shared" si="51"/>
        <v>-5.8064309484218146E-3</v>
      </c>
      <c r="AK260" s="17">
        <f t="shared" si="51"/>
        <v>-9.1290790437494884E-3</v>
      </c>
    </row>
    <row r="261" spans="1:37" x14ac:dyDescent="0.25">
      <c r="A261" s="12" t="s">
        <v>434</v>
      </c>
      <c r="B261" s="12"/>
      <c r="C261" s="17">
        <f>SUM(C$135:C$139)/SUM(B$135:B$139)-1</f>
        <v>-4.5644800469669677E-3</v>
      </c>
      <c r="D261" s="17">
        <f t="shared" ref="D261:AK261" si="52">SUM(D$135:D$139)/SUM(C$135:C$139)-1</f>
        <v>-1.528534610712784E-3</v>
      </c>
      <c r="E261" s="17">
        <f t="shared" si="52"/>
        <v>1.3821180547233691E-2</v>
      </c>
      <c r="F261" s="17">
        <f t="shared" si="52"/>
        <v>2.631116728311711E-2</v>
      </c>
      <c r="G261" s="17">
        <f t="shared" si="52"/>
        <v>2.8214235473386307E-2</v>
      </c>
      <c r="H261" s="17">
        <f t="shared" si="52"/>
        <v>1.237971583278763E-2</v>
      </c>
      <c r="I261" s="17">
        <f t="shared" si="52"/>
        <v>1.5927881111849507E-2</v>
      </c>
      <c r="J261" s="17">
        <f t="shared" si="52"/>
        <v>3.9157345074809058E-2</v>
      </c>
      <c r="K261" s="17">
        <f t="shared" si="52"/>
        <v>4.9844462173259441E-2</v>
      </c>
      <c r="L261" s="17">
        <f t="shared" si="52"/>
        <v>2.7891031421258594E-2</v>
      </c>
      <c r="M261" s="17">
        <f t="shared" si="52"/>
        <v>8.1712318685922547E-4</v>
      </c>
      <c r="N261" s="17">
        <f t="shared" si="52"/>
        <v>-1.2282587413852797E-2</v>
      </c>
      <c r="O261" s="17">
        <f t="shared" si="52"/>
        <v>-1.0895049679099045E-2</v>
      </c>
      <c r="P261" s="17">
        <f t="shared" si="52"/>
        <v>3.4371442671525809E-3</v>
      </c>
      <c r="Q261" s="17">
        <f t="shared" si="52"/>
        <v>-2.5051888177788917E-2</v>
      </c>
      <c r="R261" s="17">
        <f t="shared" si="52"/>
        <v>-3.1438556388138639E-2</v>
      </c>
      <c r="S261" s="17">
        <f t="shared" si="52"/>
        <v>-1.657247633373049E-3</v>
      </c>
      <c r="T261" s="17">
        <f t="shared" si="52"/>
        <v>2.6076673213607959E-2</v>
      </c>
      <c r="U261" s="17">
        <f t="shared" si="52"/>
        <v>2.4115567372502422E-3</v>
      </c>
      <c r="V261" s="17">
        <f t="shared" si="52"/>
        <v>6.3161901872526016E-3</v>
      </c>
      <c r="W261" s="17">
        <f t="shared" si="52"/>
        <v>2.7797976116101575E-2</v>
      </c>
      <c r="X261" s="17">
        <f t="shared" si="52"/>
        <v>3.5853319216093915E-2</v>
      </c>
      <c r="Y261" s="17">
        <f t="shared" si="52"/>
        <v>3.1850035505837315E-2</v>
      </c>
      <c r="Z261" s="17">
        <f t="shared" si="52"/>
        <v>3.2836749794198594E-2</v>
      </c>
      <c r="AA261" s="17">
        <f t="shared" si="52"/>
        <v>2.7446712437964038E-2</v>
      </c>
      <c r="AB261" s="17">
        <f t="shared" si="52"/>
        <v>1.2347105059552943E-2</v>
      </c>
      <c r="AC261" s="17">
        <f t="shared" si="52"/>
        <v>3.4781125907901167E-3</v>
      </c>
      <c r="AD261" s="17">
        <f t="shared" si="52"/>
        <v>1.4357905781348101E-3</v>
      </c>
      <c r="AE261" s="17">
        <f t="shared" si="52"/>
        <v>-9.56220697232113E-4</v>
      </c>
      <c r="AF261" s="17">
        <f t="shared" si="52"/>
        <v>-1.7631451349819915E-3</v>
      </c>
      <c r="AG261" s="17">
        <f t="shared" si="52"/>
        <v>-2.6241566839211306E-3</v>
      </c>
      <c r="AH261" s="17">
        <f t="shared" si="52"/>
        <v>-3.8453968464909893E-3</v>
      </c>
      <c r="AI261" s="17">
        <f t="shared" si="52"/>
        <v>-7.6188967205503833E-4</v>
      </c>
      <c r="AJ261" s="17">
        <f t="shared" si="52"/>
        <v>-5.1848000155575447E-3</v>
      </c>
      <c r="AK261" s="17">
        <f t="shared" si="52"/>
        <v>-8.1754074851025926E-4</v>
      </c>
    </row>
    <row r="262" spans="1:37" x14ac:dyDescent="0.25">
      <c r="A262" s="12" t="s">
        <v>435</v>
      </c>
      <c r="B262" s="12"/>
      <c r="C262" s="17">
        <f>SUM(C$140:C$144)/SUM(B$140:B$144)-1</f>
        <v>2.1110528559186825E-2</v>
      </c>
      <c r="D262" s="17">
        <f t="shared" ref="D262:AK262" si="53">SUM(D$140:D$144)/SUM(C$140:C$144)-1</f>
        <v>1.702068559810721E-2</v>
      </c>
      <c r="E262" s="17">
        <f t="shared" si="53"/>
        <v>1.4161011259522294E-2</v>
      </c>
      <c r="F262" s="17">
        <f t="shared" si="53"/>
        <v>9.7950625637206468E-3</v>
      </c>
      <c r="G262" s="17">
        <f t="shared" si="53"/>
        <v>-1.6621167107985224E-3</v>
      </c>
      <c r="H262" s="17">
        <f t="shared" si="53"/>
        <v>-6.985286780341049E-4</v>
      </c>
      <c r="I262" s="17">
        <f t="shared" si="53"/>
        <v>8.083127607870777E-3</v>
      </c>
      <c r="J262" s="17">
        <f t="shared" si="53"/>
        <v>5.5075905507894207E-2</v>
      </c>
      <c r="K262" s="17">
        <f t="shared" si="53"/>
        <v>8.4920398981521039E-2</v>
      </c>
      <c r="L262" s="17">
        <f t="shared" si="53"/>
        <v>9.0248178364933818E-2</v>
      </c>
      <c r="M262" s="17">
        <f t="shared" si="53"/>
        <v>7.1418143548391821E-2</v>
      </c>
      <c r="N262" s="17">
        <f t="shared" si="53"/>
        <v>4.4375448959574681E-2</v>
      </c>
      <c r="O262" s="17">
        <f t="shared" si="53"/>
        <v>1.5092048571112127E-2</v>
      </c>
      <c r="P262" s="17">
        <f t="shared" si="53"/>
        <v>1.4834824999531593E-2</v>
      </c>
      <c r="Q262" s="17">
        <f t="shared" si="53"/>
        <v>-2.6815781253152426E-2</v>
      </c>
      <c r="R262" s="17">
        <f t="shared" si="53"/>
        <v>-4.6011525024617694E-2</v>
      </c>
      <c r="S262" s="17">
        <f t="shared" si="53"/>
        <v>-1.9757231250902008E-3</v>
      </c>
      <c r="T262" s="17">
        <f t="shared" si="53"/>
        <v>-5.5212201396263039E-3</v>
      </c>
      <c r="U262" s="17">
        <f t="shared" si="53"/>
        <v>-1.7104054975062066E-2</v>
      </c>
      <c r="V262" s="17">
        <f t="shared" si="53"/>
        <v>-1.5399872208594845E-2</v>
      </c>
      <c r="W262" s="17">
        <f t="shared" si="53"/>
        <v>-7.7834006186219273E-3</v>
      </c>
      <c r="X262" s="17">
        <f t="shared" si="53"/>
        <v>-2.5855102501387561E-3</v>
      </c>
      <c r="Y262" s="17">
        <f t="shared" si="53"/>
        <v>8.2693861527809442E-3</v>
      </c>
      <c r="Z262" s="17">
        <f t="shared" si="53"/>
        <v>5.0870838134897678E-3</v>
      </c>
      <c r="AA262" s="17">
        <f t="shared" si="53"/>
        <v>1.2839978109587591E-2</v>
      </c>
      <c r="AB262" s="17">
        <f t="shared" si="53"/>
        <v>3.3737678555946671E-2</v>
      </c>
      <c r="AC262" s="17">
        <f t="shared" si="53"/>
        <v>3.8469784098360105E-2</v>
      </c>
      <c r="AD262" s="17">
        <f t="shared" si="53"/>
        <v>3.2560997016073401E-2</v>
      </c>
      <c r="AE262" s="17">
        <f t="shared" si="53"/>
        <v>3.2510341644867102E-2</v>
      </c>
      <c r="AF262" s="17">
        <f t="shared" si="53"/>
        <v>2.6887517670829864E-2</v>
      </c>
      <c r="AG262" s="17">
        <f t="shared" si="53"/>
        <v>1.2402714378890733E-2</v>
      </c>
      <c r="AH262" s="17">
        <f t="shared" si="53"/>
        <v>4.0349763465934441E-3</v>
      </c>
      <c r="AI262" s="17">
        <f t="shared" si="53"/>
        <v>1.7914957524829411E-3</v>
      </c>
      <c r="AJ262" s="17">
        <f t="shared" si="53"/>
        <v>-3.8665773727530883E-4</v>
      </c>
      <c r="AK262" s="17">
        <f t="shared" si="53"/>
        <v>-1.1604218979313075E-3</v>
      </c>
    </row>
    <row r="263" spans="1:37" x14ac:dyDescent="0.25">
      <c r="A263" s="12" t="s">
        <v>436</v>
      </c>
      <c r="B263" s="12"/>
      <c r="C263" s="17">
        <f>SUM(C$145:C$149)/SUM(B$145:B$149)-1</f>
        <v>-2.1781662657119227E-2</v>
      </c>
      <c r="D263" s="17">
        <f t="shared" ref="D263:AK263" si="54">SUM(D$145:D$149)/SUM(C$145:C$149)-1</f>
        <v>-2.2392138242195103E-2</v>
      </c>
      <c r="E263" s="17">
        <f t="shared" si="54"/>
        <v>-1.2209075795232116E-2</v>
      </c>
      <c r="F263" s="17">
        <f t="shared" si="54"/>
        <v>-4.4868098391647182E-3</v>
      </c>
      <c r="G263" s="17">
        <f t="shared" si="54"/>
        <v>3.3485062235458773E-3</v>
      </c>
      <c r="H263" s="17">
        <f t="shared" si="54"/>
        <v>-3.5327924119199494E-4</v>
      </c>
      <c r="I263" s="17">
        <f t="shared" si="54"/>
        <v>9.2589746935578532E-3</v>
      </c>
      <c r="J263" s="17">
        <f t="shared" si="54"/>
        <v>3.5129701495552501E-2</v>
      </c>
      <c r="K263" s="17">
        <f t="shared" si="54"/>
        <v>4.4842842040575093E-2</v>
      </c>
      <c r="L263" s="17">
        <f t="shared" si="54"/>
        <v>5.4495490686892412E-2</v>
      </c>
      <c r="M263" s="17">
        <f t="shared" si="54"/>
        <v>6.5455656918662841E-2</v>
      </c>
      <c r="N263" s="17">
        <f t="shared" si="54"/>
        <v>6.0365173457529453E-2</v>
      </c>
      <c r="O263" s="17">
        <f t="shared" si="54"/>
        <v>4.9680280094966722E-2</v>
      </c>
      <c r="P263" s="17">
        <f t="shared" si="54"/>
        <v>6.0778451877755213E-2</v>
      </c>
      <c r="Q263" s="17">
        <f t="shared" si="54"/>
        <v>3.0160225079962411E-2</v>
      </c>
      <c r="R263" s="17">
        <f t="shared" si="54"/>
        <v>6.5025641209466301E-3</v>
      </c>
      <c r="S263" s="17">
        <f t="shared" si="54"/>
        <v>4.5557387564558072E-2</v>
      </c>
      <c r="T263" s="17">
        <f t="shared" si="54"/>
        <v>2.4565527837900669E-2</v>
      </c>
      <c r="U263" s="17">
        <f t="shared" si="54"/>
        <v>-1.6539413005148051E-2</v>
      </c>
      <c r="V263" s="17">
        <f t="shared" si="54"/>
        <v>-1.8941933609902706E-2</v>
      </c>
      <c r="W263" s="17">
        <f t="shared" si="54"/>
        <v>-2.084546771035567E-2</v>
      </c>
      <c r="X263" s="17">
        <f t="shared" si="54"/>
        <v>-1.9789369768901888E-2</v>
      </c>
      <c r="Y263" s="17">
        <f t="shared" si="54"/>
        <v>-1.7323511547978954E-2</v>
      </c>
      <c r="Z263" s="17">
        <f t="shared" si="54"/>
        <v>-1.0331123951792476E-2</v>
      </c>
      <c r="AA263" s="17">
        <f t="shared" si="54"/>
        <v>-9.3735137002154412E-3</v>
      </c>
      <c r="AB263" s="17">
        <f t="shared" si="54"/>
        <v>-5.0476465715401098E-3</v>
      </c>
      <c r="AC263" s="17">
        <f t="shared" si="54"/>
        <v>-2.0834729148400122E-4</v>
      </c>
      <c r="AD263" s="17">
        <f t="shared" si="54"/>
        <v>8.8379254748254255E-3</v>
      </c>
      <c r="AE263" s="17">
        <f t="shared" si="54"/>
        <v>5.3548658505984115E-3</v>
      </c>
      <c r="AF263" s="17">
        <f t="shared" si="54"/>
        <v>1.2354921633343618E-2</v>
      </c>
      <c r="AG263" s="17">
        <f t="shared" si="54"/>
        <v>3.1568043257682366E-2</v>
      </c>
      <c r="AH263" s="17">
        <f t="shared" si="54"/>
        <v>3.6280719348510848E-2</v>
      </c>
      <c r="AI263" s="17">
        <f t="shared" si="54"/>
        <v>3.0849843128347487E-2</v>
      </c>
      <c r="AJ263" s="17">
        <f t="shared" si="54"/>
        <v>3.0911039868788626E-2</v>
      </c>
      <c r="AK263" s="17">
        <f t="shared" si="54"/>
        <v>2.5830335447302177E-2</v>
      </c>
    </row>
    <row r="264" spans="1:37" x14ac:dyDescent="0.25">
      <c r="A264" s="12" t="s">
        <v>437</v>
      </c>
      <c r="B264" s="12"/>
      <c r="C264" s="17">
        <f>SUM(C$150:C$154)/SUM(B$150:B$154)-1</f>
        <v>1.0827207543760764E-2</v>
      </c>
      <c r="D264" s="17">
        <f t="shared" ref="D264:AK264" si="55">SUM(D$150:D$154)/SUM(C$150:C$154)-1</f>
        <v>-5.3246581535039139E-3</v>
      </c>
      <c r="E264" s="17">
        <f t="shared" si="55"/>
        <v>-1.4833787740203719E-2</v>
      </c>
      <c r="F264" s="17">
        <f t="shared" si="55"/>
        <v>-1.9156929809962864E-2</v>
      </c>
      <c r="G264" s="17">
        <f t="shared" si="55"/>
        <v>-3.2420895368187042E-2</v>
      </c>
      <c r="H264" s="17">
        <f t="shared" si="55"/>
        <v>-3.3035258540173085E-2</v>
      </c>
      <c r="I264" s="17">
        <f t="shared" si="55"/>
        <v>-2.8065571127134148E-2</v>
      </c>
      <c r="J264" s="17">
        <f t="shared" si="55"/>
        <v>-5.6490733053683462E-3</v>
      </c>
      <c r="K264" s="17">
        <f t="shared" si="55"/>
        <v>1.9204807076166119E-2</v>
      </c>
      <c r="L264" s="17">
        <f t="shared" si="55"/>
        <v>3.7079182401286381E-2</v>
      </c>
      <c r="M264" s="17">
        <f t="shared" si="55"/>
        <v>4.8088884823437761E-2</v>
      </c>
      <c r="N264" s="17">
        <f t="shared" si="55"/>
        <v>5.3800655705023237E-2</v>
      </c>
      <c r="O264" s="17">
        <f t="shared" si="55"/>
        <v>4.5827204584212522E-2</v>
      </c>
      <c r="P264" s="17">
        <f t="shared" si="55"/>
        <v>3.9446699855128609E-2</v>
      </c>
      <c r="Q264" s="17">
        <f t="shared" si="55"/>
        <v>2.5897345077783074E-2</v>
      </c>
      <c r="R264" s="17">
        <f t="shared" si="55"/>
        <v>2.016640958806426E-2</v>
      </c>
      <c r="S264" s="17">
        <f t="shared" si="55"/>
        <v>6.8654967448848359E-2</v>
      </c>
      <c r="T264" s="17">
        <f t="shared" si="55"/>
        <v>5.8707980283908556E-2</v>
      </c>
      <c r="U264" s="17">
        <f t="shared" si="55"/>
        <v>3.0191394682937522E-2</v>
      </c>
      <c r="V264" s="17">
        <f t="shared" si="55"/>
        <v>2.9532704267210885E-2</v>
      </c>
      <c r="W264" s="17">
        <f t="shared" si="55"/>
        <v>2.2191021549937906E-2</v>
      </c>
      <c r="X264" s="17">
        <f t="shared" si="55"/>
        <v>1.0539301875498897E-2</v>
      </c>
      <c r="Y264" s="17">
        <f t="shared" si="55"/>
        <v>2.0793868478170552E-3</v>
      </c>
      <c r="Z264" s="17">
        <f t="shared" si="55"/>
        <v>-7.8512183314777273E-3</v>
      </c>
      <c r="AA264" s="17">
        <f t="shared" si="55"/>
        <v>-1.3688315111786364E-2</v>
      </c>
      <c r="AB264" s="17">
        <f t="shared" si="55"/>
        <v>-2.0691854285059486E-2</v>
      </c>
      <c r="AC264" s="17">
        <f t="shared" si="55"/>
        <v>-1.7786665774903176E-2</v>
      </c>
      <c r="AD264" s="17">
        <f t="shared" si="55"/>
        <v>-1.6047633112271198E-2</v>
      </c>
      <c r="AE264" s="17">
        <f t="shared" si="55"/>
        <v>-9.4961475017961705E-3</v>
      </c>
      <c r="AF264" s="17">
        <f t="shared" si="55"/>
        <v>-8.7624844431704041E-3</v>
      </c>
      <c r="AG264" s="17">
        <f t="shared" si="55"/>
        <v>-5.1479675732680752E-3</v>
      </c>
      <c r="AH264" s="17">
        <f t="shared" si="55"/>
        <v>-4.181500023107132E-4</v>
      </c>
      <c r="AI264" s="17">
        <f t="shared" si="55"/>
        <v>8.4187891131897175E-3</v>
      </c>
      <c r="AJ264" s="17">
        <f t="shared" si="55"/>
        <v>5.3928229839996789E-3</v>
      </c>
      <c r="AK264" s="17">
        <f t="shared" si="55"/>
        <v>1.2068766989987267E-2</v>
      </c>
    </row>
    <row r="265" spans="1:37" x14ac:dyDescent="0.25">
      <c r="A265" s="12" t="s">
        <v>438</v>
      </c>
      <c r="B265" s="12"/>
      <c r="C265" s="17">
        <f>SUM(C$155:C$159)/SUM(B$155:B$159)-1</f>
        <v>-9.6933310324514022E-3</v>
      </c>
      <c r="D265" s="17">
        <f t="shared" ref="D265:AK265" si="56">SUM(D$155:D$159)/SUM(C$155:C$159)-1</f>
        <v>-1.3317162063596233E-2</v>
      </c>
      <c r="E265" s="17">
        <f t="shared" si="56"/>
        <v>-9.0972814122071144E-3</v>
      </c>
      <c r="F265" s="17">
        <f t="shared" si="56"/>
        <v>-1.7410720472205155E-3</v>
      </c>
      <c r="G265" s="17">
        <f t="shared" si="56"/>
        <v>3.721815558902497E-3</v>
      </c>
      <c r="H265" s="17">
        <f t="shared" si="56"/>
        <v>1.930679867647056E-3</v>
      </c>
      <c r="I265" s="17">
        <f t="shared" si="56"/>
        <v>-7.3525174619970546E-3</v>
      </c>
      <c r="J265" s="17">
        <f t="shared" si="56"/>
        <v>-3.6148441816428178E-3</v>
      </c>
      <c r="K265" s="17">
        <f t="shared" si="56"/>
        <v>-4.7257073378434988E-3</v>
      </c>
      <c r="L265" s="17">
        <f t="shared" si="56"/>
        <v>-8.8293434980855068E-3</v>
      </c>
      <c r="M265" s="17">
        <f t="shared" si="56"/>
        <v>-3.7038746645620124E-3</v>
      </c>
      <c r="N265" s="17">
        <f t="shared" si="56"/>
        <v>-2.602446434706307E-4</v>
      </c>
      <c r="O265" s="17">
        <f t="shared" si="56"/>
        <v>1.1667180303984281E-2</v>
      </c>
      <c r="P265" s="17">
        <f t="shared" si="56"/>
        <v>2.0128767753416099E-2</v>
      </c>
      <c r="Q265" s="17">
        <f t="shared" si="56"/>
        <v>2.2702415097912265E-2</v>
      </c>
      <c r="R265" s="17">
        <f t="shared" si="56"/>
        <v>1.1295718498098628E-2</v>
      </c>
      <c r="S265" s="17">
        <f t="shared" si="56"/>
        <v>5.8294199214617759E-2</v>
      </c>
      <c r="T265" s="17">
        <f t="shared" si="56"/>
        <v>5.6991934125258048E-2</v>
      </c>
      <c r="U265" s="17">
        <f t="shared" si="56"/>
        <v>2.4832188714513537E-2</v>
      </c>
      <c r="V265" s="17">
        <f t="shared" si="56"/>
        <v>2.5737173664696744E-2</v>
      </c>
      <c r="W265" s="17">
        <f t="shared" si="56"/>
        <v>3.453290305797907E-2</v>
      </c>
      <c r="X265" s="17">
        <f t="shared" si="56"/>
        <v>3.2068405375657694E-2</v>
      </c>
      <c r="Y265" s="17">
        <f t="shared" si="56"/>
        <v>3.0517990895890801E-2</v>
      </c>
      <c r="Z265" s="17">
        <f t="shared" si="56"/>
        <v>3.5442698184917187E-2</v>
      </c>
      <c r="AA265" s="17">
        <f t="shared" si="56"/>
        <v>3.2666841395444512E-2</v>
      </c>
      <c r="AB265" s="17">
        <f t="shared" si="56"/>
        <v>2.2009066690736212E-2</v>
      </c>
      <c r="AC265" s="17">
        <f t="shared" si="56"/>
        <v>1.1659649996368371E-2</v>
      </c>
      <c r="AD265" s="17">
        <f t="shared" si="56"/>
        <v>2.6057765792002474E-3</v>
      </c>
      <c r="AE265" s="17">
        <f t="shared" si="56"/>
        <v>-7.3426572537468315E-3</v>
      </c>
      <c r="AF265" s="17">
        <f t="shared" si="56"/>
        <v>-1.324149071293601E-2</v>
      </c>
      <c r="AG265" s="17">
        <f t="shared" si="56"/>
        <v>-2.003622493013224E-2</v>
      </c>
      <c r="AH265" s="17">
        <f t="shared" si="56"/>
        <v>-1.6951667633303247E-2</v>
      </c>
      <c r="AI265" s="17">
        <f t="shared" si="56"/>
        <v>-1.5178546726970943E-2</v>
      </c>
      <c r="AJ265" s="17">
        <f t="shared" si="56"/>
        <v>-8.535395652439659E-3</v>
      </c>
      <c r="AK265" s="17">
        <f t="shared" si="56"/>
        <v>-8.0677464767748841E-3</v>
      </c>
    </row>
    <row r="266" spans="1:37" x14ac:dyDescent="0.25">
      <c r="A266" s="12" t="s">
        <v>439</v>
      </c>
      <c r="B266" s="12"/>
      <c r="C266" s="17">
        <f>SUM(C$160:C$164)/SUM(B$160:B$164)-1</f>
        <v>2.6645491427477852E-2</v>
      </c>
      <c r="D266" s="17">
        <f t="shared" ref="D266:AK266" si="57">SUM(D$160:D$164)/SUM(C$160:C$164)-1</f>
        <v>1.9483902411039589E-2</v>
      </c>
      <c r="E266" s="17">
        <f t="shared" si="57"/>
        <v>7.1358318340977167E-3</v>
      </c>
      <c r="F266" s="17">
        <f t="shared" si="57"/>
        <v>-1.2187385406537965E-3</v>
      </c>
      <c r="G266" s="17">
        <f t="shared" si="57"/>
        <v>-9.7998322009775762E-3</v>
      </c>
      <c r="H266" s="17">
        <f t="shared" si="57"/>
        <v>-1.8526173407920843E-2</v>
      </c>
      <c r="I266" s="17">
        <f t="shared" si="57"/>
        <v>-1.434570740669916E-2</v>
      </c>
      <c r="J266" s="17">
        <f t="shared" si="57"/>
        <v>-8.3039002942986162E-4</v>
      </c>
      <c r="K266" s="17">
        <f t="shared" si="57"/>
        <v>1.2168462149742876E-2</v>
      </c>
      <c r="L266" s="17">
        <f t="shared" si="57"/>
        <v>2.333391862735823E-2</v>
      </c>
      <c r="M266" s="17">
        <f t="shared" si="57"/>
        <v>2.8020579197657325E-2</v>
      </c>
      <c r="N266" s="17">
        <f t="shared" si="57"/>
        <v>1.6385841148569336E-2</v>
      </c>
      <c r="O266" s="17">
        <f t="shared" si="57"/>
        <v>9.7900019569263641E-4</v>
      </c>
      <c r="P266" s="17">
        <f t="shared" si="57"/>
        <v>-9.1815574785812926E-3</v>
      </c>
      <c r="Q266" s="17">
        <f t="shared" si="57"/>
        <v>-1.5149290050478714E-2</v>
      </c>
      <c r="R266" s="17">
        <f t="shared" si="57"/>
        <v>-2.5693066622011429E-2</v>
      </c>
      <c r="S266" s="17">
        <f t="shared" si="57"/>
        <v>-1.0027415156356301E-2</v>
      </c>
      <c r="T266" s="17">
        <f t="shared" si="57"/>
        <v>1.9433012114458137E-2</v>
      </c>
      <c r="U266" s="17">
        <f t="shared" si="57"/>
        <v>1.527367411249192E-2</v>
      </c>
      <c r="V266" s="17">
        <f t="shared" si="57"/>
        <v>2.0148506686538337E-2</v>
      </c>
      <c r="W266" s="17">
        <f t="shared" si="57"/>
        <v>2.4685295879787184E-2</v>
      </c>
      <c r="X266" s="17">
        <f t="shared" si="57"/>
        <v>3.5018777210298779E-2</v>
      </c>
      <c r="Y266" s="17">
        <f t="shared" si="57"/>
        <v>3.2802102646854125E-2</v>
      </c>
      <c r="Z266" s="17">
        <f t="shared" si="57"/>
        <v>2.9074314428896741E-2</v>
      </c>
      <c r="AA266" s="17">
        <f t="shared" si="57"/>
        <v>2.9552739203201117E-2</v>
      </c>
      <c r="AB266" s="17">
        <f t="shared" si="57"/>
        <v>3.5620672949748799E-2</v>
      </c>
      <c r="AC266" s="17">
        <f t="shared" si="57"/>
        <v>3.328640525632709E-2</v>
      </c>
      <c r="AD266" s="17">
        <f t="shared" si="57"/>
        <v>3.1029706123640199E-2</v>
      </c>
      <c r="AE266" s="17">
        <f t="shared" si="57"/>
        <v>3.567596412978058E-2</v>
      </c>
      <c r="AF266" s="17">
        <f t="shared" si="57"/>
        <v>3.2493605140524018E-2</v>
      </c>
      <c r="AG266" s="17">
        <f t="shared" si="57"/>
        <v>2.1503644428795932E-2</v>
      </c>
      <c r="AH266" s="17">
        <f t="shared" si="57"/>
        <v>1.1293439815442285E-2</v>
      </c>
      <c r="AI266" s="17">
        <f t="shared" si="57"/>
        <v>2.6801573598664863E-3</v>
      </c>
      <c r="AJ266" s="17">
        <f t="shared" si="57"/>
        <v>-6.7715830701253754E-3</v>
      </c>
      <c r="AK266" s="17">
        <f t="shared" si="57"/>
        <v>-1.2738427689145571E-2</v>
      </c>
    </row>
    <row r="267" spans="1:37" x14ac:dyDescent="0.25">
      <c r="A267" s="12" t="s">
        <v>440</v>
      </c>
      <c r="B267" s="12"/>
      <c r="C267" s="17">
        <f>SUM(C$165:C$169)/SUM(B$165:B$169)-1</f>
        <v>2.7177172600630017E-2</v>
      </c>
      <c r="D267" s="17">
        <f t="shared" ref="D267:AK267" si="58">SUM(D$165:D$169)/SUM(C$165:C$169)-1</f>
        <v>2.1482896141091778E-2</v>
      </c>
      <c r="E267" s="17">
        <f t="shared" si="58"/>
        <v>2.4650156555892977E-2</v>
      </c>
      <c r="F267" s="17">
        <f t="shared" si="58"/>
        <v>2.4873225232397989E-2</v>
      </c>
      <c r="G267" s="17">
        <f t="shared" si="58"/>
        <v>2.2358170497132734E-2</v>
      </c>
      <c r="H267" s="17">
        <f t="shared" si="58"/>
        <v>2.0579988926164638E-2</v>
      </c>
      <c r="I267" s="17">
        <f t="shared" si="58"/>
        <v>1.7390538475376971E-2</v>
      </c>
      <c r="J267" s="17">
        <f t="shared" si="58"/>
        <v>1.0338403549196462E-2</v>
      </c>
      <c r="K267" s="17">
        <f t="shared" si="58"/>
        <v>8.5041761902808766E-3</v>
      </c>
      <c r="L267" s="17">
        <f t="shared" si="58"/>
        <v>3.8965902022531917E-3</v>
      </c>
      <c r="M267" s="17">
        <f t="shared" si="58"/>
        <v>1.9076776265565254E-3</v>
      </c>
      <c r="N267" s="17">
        <f t="shared" si="58"/>
        <v>3.9481007920976197E-3</v>
      </c>
      <c r="O267" s="17">
        <f t="shared" si="58"/>
        <v>5.1071571062981658E-3</v>
      </c>
      <c r="P267" s="17">
        <f t="shared" si="58"/>
        <v>8.1081760473027398E-3</v>
      </c>
      <c r="Q267" s="17">
        <f t="shared" si="58"/>
        <v>2.0043422041439385E-2</v>
      </c>
      <c r="R267" s="17">
        <f t="shared" si="58"/>
        <v>7.1337123305572625E-3</v>
      </c>
      <c r="S267" s="17">
        <f t="shared" si="58"/>
        <v>-7.5874356450265079E-3</v>
      </c>
      <c r="T267" s="17">
        <f t="shared" si="58"/>
        <v>5.1661661137596404E-3</v>
      </c>
      <c r="U267" s="17">
        <f t="shared" si="58"/>
        <v>-9.713640194850548E-3</v>
      </c>
      <c r="V267" s="17">
        <f t="shared" si="58"/>
        <v>-2.1600258127056016E-2</v>
      </c>
      <c r="W267" s="17">
        <f t="shared" si="58"/>
        <v>-1.6971333320142112E-2</v>
      </c>
      <c r="X267" s="17">
        <f t="shared" si="58"/>
        <v>-1.1676084506565099E-2</v>
      </c>
      <c r="Y267" s="17">
        <f t="shared" si="58"/>
        <v>3.3211177735550379E-3</v>
      </c>
      <c r="Z267" s="17">
        <f t="shared" si="58"/>
        <v>1.7458112913423252E-2</v>
      </c>
      <c r="AA267" s="17">
        <f t="shared" si="58"/>
        <v>2.4759517384316032E-2</v>
      </c>
      <c r="AB267" s="17">
        <f t="shared" si="58"/>
        <v>2.7726930316363863E-2</v>
      </c>
      <c r="AC267" s="17">
        <f t="shared" si="58"/>
        <v>3.7413041231925348E-2</v>
      </c>
      <c r="AD267" s="17">
        <f t="shared" si="58"/>
        <v>3.3947936959158653E-2</v>
      </c>
      <c r="AE267" s="17">
        <f t="shared" si="58"/>
        <v>2.9805933729756484E-2</v>
      </c>
      <c r="AF267" s="17">
        <f t="shared" si="58"/>
        <v>3.0069449664133385E-2</v>
      </c>
      <c r="AG267" s="17">
        <f t="shared" si="58"/>
        <v>3.542360215696716E-2</v>
      </c>
      <c r="AH267" s="17">
        <f t="shared" si="58"/>
        <v>3.3419762978370571E-2</v>
      </c>
      <c r="AI267" s="17">
        <f t="shared" si="58"/>
        <v>3.1061789483908031E-2</v>
      </c>
      <c r="AJ267" s="17">
        <f t="shared" si="58"/>
        <v>3.5824199731206541E-2</v>
      </c>
      <c r="AK267" s="17">
        <f t="shared" si="58"/>
        <v>3.2576112719374661E-2</v>
      </c>
    </row>
    <row r="268" spans="1:37" x14ac:dyDescent="0.25">
      <c r="A268" s="12" t="s">
        <v>441</v>
      </c>
      <c r="B268" s="12"/>
      <c r="C268" s="17">
        <f>SUM(C$170:C$174)/SUM(B$170:B$174)-1</f>
        <v>5.0309066428591009E-3</v>
      </c>
      <c r="D268" s="17">
        <f t="shared" ref="D268:AK268" si="59">SUM(D$170:D$174)/SUM(C$170:C$174)-1</f>
        <v>3.596967860290512E-3</v>
      </c>
      <c r="E268" s="17">
        <f t="shared" si="59"/>
        <v>9.822291865146715E-3</v>
      </c>
      <c r="F268" s="17">
        <f t="shared" si="59"/>
        <v>1.5922429424475748E-2</v>
      </c>
      <c r="G268" s="17">
        <f t="shared" si="59"/>
        <v>2.2316946223584599E-2</v>
      </c>
      <c r="H268" s="17">
        <f t="shared" si="59"/>
        <v>2.2801718264596094E-2</v>
      </c>
      <c r="I268" s="17">
        <f t="shared" si="59"/>
        <v>1.932042185733418E-2</v>
      </c>
      <c r="J268" s="17">
        <f t="shared" si="59"/>
        <v>2.4683164626342569E-2</v>
      </c>
      <c r="K268" s="17">
        <f t="shared" si="59"/>
        <v>2.8532667000171985E-2</v>
      </c>
      <c r="L268" s="17">
        <f t="shared" si="59"/>
        <v>3.1697423591794838E-2</v>
      </c>
      <c r="M268" s="17">
        <f t="shared" si="59"/>
        <v>3.6184010498710117E-2</v>
      </c>
      <c r="N268" s="17">
        <f t="shared" si="59"/>
        <v>3.1063793318327759E-2</v>
      </c>
      <c r="O268" s="17">
        <f t="shared" si="59"/>
        <v>1.6026544781549523E-2</v>
      </c>
      <c r="P268" s="17">
        <f t="shared" si="59"/>
        <v>7.6564417953171038E-3</v>
      </c>
      <c r="Q268" s="17">
        <f t="shared" si="59"/>
        <v>3.3122871017523536E-3</v>
      </c>
      <c r="R268" s="17">
        <f t="shared" si="59"/>
        <v>-1.4321632199404633E-2</v>
      </c>
      <c r="S268" s="17">
        <f t="shared" si="59"/>
        <v>-2.4240348957750624E-2</v>
      </c>
      <c r="T268" s="17">
        <f t="shared" si="59"/>
        <v>7.2285520048369634E-3</v>
      </c>
      <c r="U268" s="17">
        <f t="shared" si="59"/>
        <v>7.6843105468809014E-3</v>
      </c>
      <c r="V268" s="17">
        <f t="shared" si="59"/>
        <v>1.3306588662009178E-2</v>
      </c>
      <c r="W268" s="17">
        <f t="shared" si="59"/>
        <v>1.2520985732273004E-2</v>
      </c>
      <c r="X268" s="17">
        <f t="shared" si="59"/>
        <v>4.4079295342636104E-3</v>
      </c>
      <c r="Y268" s="17">
        <f t="shared" si="59"/>
        <v>-3.5918826524458103E-3</v>
      </c>
      <c r="Z268" s="17">
        <f t="shared" si="59"/>
        <v>-9.3211193917581703E-3</v>
      </c>
      <c r="AA268" s="17">
        <f t="shared" si="59"/>
        <v>-1.7083426541491087E-2</v>
      </c>
      <c r="AB268" s="17">
        <f t="shared" si="59"/>
        <v>-1.3794424625431012E-2</v>
      </c>
      <c r="AC268" s="17">
        <f t="shared" si="59"/>
        <v>-1.0041612912800146E-2</v>
      </c>
      <c r="AD268" s="17">
        <f t="shared" si="59"/>
        <v>4.0878719630059734E-3</v>
      </c>
      <c r="AE268" s="17">
        <f t="shared" si="59"/>
        <v>1.8183232169896479E-2</v>
      </c>
      <c r="AF268" s="17">
        <f t="shared" si="59"/>
        <v>2.5360407418413056E-2</v>
      </c>
      <c r="AG268" s="17">
        <f t="shared" si="59"/>
        <v>2.8164728974834352E-2</v>
      </c>
      <c r="AH268" s="17">
        <f t="shared" si="59"/>
        <v>3.7657787644669538E-2</v>
      </c>
      <c r="AI268" s="17">
        <f t="shared" si="59"/>
        <v>3.4227767420314859E-2</v>
      </c>
      <c r="AJ268" s="17">
        <f t="shared" si="59"/>
        <v>3.0043687467113722E-2</v>
      </c>
      <c r="AK268" s="17">
        <f t="shared" si="59"/>
        <v>3.0363710264357469E-2</v>
      </c>
    </row>
    <row r="269" spans="1:37" x14ac:dyDescent="0.25">
      <c r="A269" s="12" t="s">
        <v>442</v>
      </c>
      <c r="B269" s="12"/>
      <c r="C269" s="17">
        <f>SUM(C$175:C$179)/SUM(B$175:B$179)-1</f>
        <v>6.2124012853495669E-2</v>
      </c>
      <c r="D269" s="17">
        <f t="shared" ref="D269:AK269" si="60">SUM(D$175:D$179)/SUM(C$175:C$179)-1</f>
        <v>7.2268216816916642E-2</v>
      </c>
      <c r="E269" s="17">
        <f t="shared" si="60"/>
        <v>4.5041542981828275E-2</v>
      </c>
      <c r="F269" s="17">
        <f t="shared" si="60"/>
        <v>4.1522669072777019E-2</v>
      </c>
      <c r="G269" s="17">
        <f t="shared" si="60"/>
        <v>3.2587746032064269E-2</v>
      </c>
      <c r="H269" s="17">
        <f t="shared" si="60"/>
        <v>1.9786894397051391E-3</v>
      </c>
      <c r="I269" s="17">
        <f t="shared" si="60"/>
        <v>2.3091213710741965E-3</v>
      </c>
      <c r="J269" s="17">
        <f t="shared" si="60"/>
        <v>8.4815554192099185E-3</v>
      </c>
      <c r="K269" s="17">
        <f t="shared" si="60"/>
        <v>1.7939091038108756E-2</v>
      </c>
      <c r="L269" s="17">
        <f t="shared" si="60"/>
        <v>2.5560672920162064E-2</v>
      </c>
      <c r="M269" s="17">
        <f t="shared" si="60"/>
        <v>2.9798358955211324E-2</v>
      </c>
      <c r="N269" s="17">
        <f t="shared" si="60"/>
        <v>2.7495870440410242E-2</v>
      </c>
      <c r="O269" s="17">
        <f t="shared" si="60"/>
        <v>3.374697308519381E-2</v>
      </c>
      <c r="P269" s="17">
        <f t="shared" si="60"/>
        <v>3.145643738647963E-2</v>
      </c>
      <c r="Q269" s="17">
        <f t="shared" si="60"/>
        <v>3.0470014054744921E-2</v>
      </c>
      <c r="R269" s="17">
        <f t="shared" si="60"/>
        <v>2.175369193779253E-2</v>
      </c>
      <c r="S269" s="17">
        <f t="shared" si="60"/>
        <v>4.4233428281710285E-3</v>
      </c>
      <c r="T269" s="17">
        <f t="shared" si="60"/>
        <v>1.9157948816033832E-2</v>
      </c>
      <c r="U269" s="17">
        <f t="shared" si="60"/>
        <v>6.2213632103007566E-3</v>
      </c>
      <c r="V269" s="17">
        <f t="shared" si="60"/>
        <v>-6.6304293045482687E-3</v>
      </c>
      <c r="W269" s="17">
        <f t="shared" si="60"/>
        <v>-9.0706187953913942E-3</v>
      </c>
      <c r="X269" s="17">
        <f t="shared" si="60"/>
        <v>-5.2305396281648875E-3</v>
      </c>
      <c r="Y269" s="17">
        <f t="shared" si="60"/>
        <v>2.9801502895412391E-3</v>
      </c>
      <c r="Z269" s="17">
        <f t="shared" si="60"/>
        <v>8.0553631809485715E-3</v>
      </c>
      <c r="AA269" s="17">
        <f t="shared" si="60"/>
        <v>1.798157061628336E-2</v>
      </c>
      <c r="AB269" s="17">
        <f t="shared" si="60"/>
        <v>1.6279662118246607E-2</v>
      </c>
      <c r="AC269" s="17">
        <f t="shared" si="60"/>
        <v>6.5919664326177241E-3</v>
      </c>
      <c r="AD269" s="17">
        <f t="shared" si="60"/>
        <v>-2.8246930934534564E-3</v>
      </c>
      <c r="AE269" s="17">
        <f t="shared" si="60"/>
        <v>-8.9497390920174613E-3</v>
      </c>
      <c r="AF269" s="17">
        <f t="shared" si="60"/>
        <v>-1.7006456529405578E-2</v>
      </c>
      <c r="AG269" s="17">
        <f t="shared" si="60"/>
        <v>-1.307609518871955E-2</v>
      </c>
      <c r="AH269" s="17">
        <f t="shared" si="60"/>
        <v>-9.3085140977127168E-3</v>
      </c>
      <c r="AI269" s="17">
        <f t="shared" si="60"/>
        <v>4.7322802252360852E-3</v>
      </c>
      <c r="AJ269" s="17">
        <f t="shared" si="60"/>
        <v>1.8566921937892999E-2</v>
      </c>
      <c r="AK269" s="17">
        <f t="shared" si="60"/>
        <v>2.5533268655586472E-2</v>
      </c>
    </row>
    <row r="270" spans="1:37" x14ac:dyDescent="0.25">
      <c r="A270" s="12" t="s">
        <v>459</v>
      </c>
      <c r="B270" s="12"/>
      <c r="C270" s="17">
        <f>SUM(C$180:C$184)/SUM(B$180:B$184)-1</f>
        <v>5.2670387075391289E-2</v>
      </c>
      <c r="D270" s="17">
        <f t="shared" ref="D270:AK270" si="61">SUM(D$180:D$184)/SUM(C$180:C$184)-1</f>
        <v>1.6791304493896098E-2</v>
      </c>
      <c r="E270" s="17">
        <f t="shared" si="61"/>
        <v>3.6544437959542764E-2</v>
      </c>
      <c r="F270" s="17">
        <f t="shared" si="61"/>
        <v>2.6234605513980602E-2</v>
      </c>
      <c r="G270" s="17">
        <f t="shared" si="61"/>
        <v>2.6810235033813967E-2</v>
      </c>
      <c r="H270" s="17">
        <f t="shared" si="61"/>
        <v>6.1382588216466027E-2</v>
      </c>
      <c r="I270" s="17">
        <f t="shared" si="61"/>
        <v>7.3941444222799468E-2</v>
      </c>
      <c r="J270" s="17">
        <f t="shared" si="61"/>
        <v>4.3194625882412296E-2</v>
      </c>
      <c r="K270" s="17">
        <f t="shared" si="61"/>
        <v>3.9287586417753984E-2</v>
      </c>
      <c r="L270" s="17">
        <f t="shared" si="61"/>
        <v>3.374271111391014E-2</v>
      </c>
      <c r="M270" s="17">
        <f t="shared" si="61"/>
        <v>8.8665675877686034E-3</v>
      </c>
      <c r="N270" s="17">
        <f t="shared" si="61"/>
        <v>1.0173979579057413E-2</v>
      </c>
      <c r="O270" s="17">
        <f t="shared" si="61"/>
        <v>1.6514664352485608E-2</v>
      </c>
      <c r="P270" s="17">
        <f t="shared" si="61"/>
        <v>2.3116977367850122E-2</v>
      </c>
      <c r="Q270" s="17">
        <f t="shared" si="61"/>
        <v>2.4474985476908628E-2</v>
      </c>
      <c r="R270" s="17">
        <f t="shared" si="61"/>
        <v>1.5355213493575715E-2</v>
      </c>
      <c r="S270" s="17">
        <f t="shared" si="61"/>
        <v>7.7463014430876331E-3</v>
      </c>
      <c r="T270" s="17">
        <f t="shared" si="61"/>
        <v>3.4348917792989431E-2</v>
      </c>
      <c r="U270" s="17">
        <f t="shared" si="61"/>
        <v>2.6949122475617759E-2</v>
      </c>
      <c r="V270" s="17">
        <f t="shared" si="61"/>
        <v>2.6276028184924582E-2</v>
      </c>
      <c r="W270" s="17">
        <f t="shared" si="61"/>
        <v>2.661914503817453E-2</v>
      </c>
      <c r="X270" s="17">
        <f t="shared" si="61"/>
        <v>2.3495006454272493E-2</v>
      </c>
      <c r="Y270" s="17">
        <f t="shared" si="61"/>
        <v>1.4535778910143904E-2</v>
      </c>
      <c r="Z270" s="17">
        <f t="shared" si="61"/>
        <v>7.6481095111524677E-3</v>
      </c>
      <c r="AA270" s="17">
        <f t="shared" si="61"/>
        <v>-1.9637476336636928E-3</v>
      </c>
      <c r="AB270" s="17">
        <f t="shared" si="61"/>
        <v>-5.9528120945103735E-3</v>
      </c>
      <c r="AC270" s="17">
        <f t="shared" si="61"/>
        <v>-3.0107438598969694E-3</v>
      </c>
      <c r="AD270" s="17">
        <f t="shared" si="61"/>
        <v>4.2503988826285699E-3</v>
      </c>
      <c r="AE270" s="17">
        <f t="shared" si="61"/>
        <v>8.9632934948069565E-3</v>
      </c>
      <c r="AF270" s="17">
        <f t="shared" si="61"/>
        <v>1.8669580555238818E-2</v>
      </c>
      <c r="AG270" s="17">
        <f t="shared" si="61"/>
        <v>1.6828518970583461E-2</v>
      </c>
      <c r="AH270" s="17">
        <f t="shared" si="61"/>
        <v>7.1694361727527856E-3</v>
      </c>
      <c r="AI270" s="17">
        <f t="shared" si="61"/>
        <v>-2.0623405488752189E-3</v>
      </c>
      <c r="AJ270" s="17">
        <f t="shared" si="61"/>
        <v>-8.0664165499967355E-3</v>
      </c>
      <c r="AK270" s="17">
        <f t="shared" si="61"/>
        <v>-1.6062405353610254E-2</v>
      </c>
    </row>
    <row r="271" spans="1:37" x14ac:dyDescent="0.25">
      <c r="A271" s="12" t="s">
        <v>460</v>
      </c>
      <c r="B271" s="12"/>
      <c r="C271" s="17">
        <f>SUM(C$185:C$189)/SUM(B$185:B$189)-1</f>
        <v>1.8209407710751968E-2</v>
      </c>
      <c r="D271" s="17">
        <f t="shared" ref="D271:AK271" si="62">SUM(D$185:D$189)/SUM(C$185:C$189)-1</f>
        <v>2.9820462708898265E-2</v>
      </c>
      <c r="E271" s="17">
        <f t="shared" si="62"/>
        <v>2.738421265675095E-2</v>
      </c>
      <c r="F271" s="17">
        <f t="shared" si="62"/>
        <v>5.1101701785674303E-2</v>
      </c>
      <c r="G271" s="17">
        <f t="shared" si="62"/>
        <v>6.2876867520278656E-2</v>
      </c>
      <c r="H271" s="17">
        <f t="shared" si="62"/>
        <v>5.36288002496077E-2</v>
      </c>
      <c r="I271" s="17">
        <f t="shared" si="62"/>
        <v>1.9282270610664565E-2</v>
      </c>
      <c r="J271" s="17">
        <f t="shared" si="62"/>
        <v>3.5174034451086023E-2</v>
      </c>
      <c r="K271" s="17">
        <f t="shared" si="62"/>
        <v>2.5090267627051688E-2</v>
      </c>
      <c r="L271" s="17">
        <f t="shared" si="62"/>
        <v>2.7348956010506686E-2</v>
      </c>
      <c r="M271" s="17">
        <f t="shared" si="62"/>
        <v>6.8334648539831289E-2</v>
      </c>
      <c r="N271" s="17">
        <f t="shared" si="62"/>
        <v>7.635448302113379E-2</v>
      </c>
      <c r="O271" s="17">
        <f t="shared" si="62"/>
        <v>5.2810922358114132E-2</v>
      </c>
      <c r="P271" s="17">
        <f t="shared" si="62"/>
        <v>4.7324054180954533E-2</v>
      </c>
      <c r="Q271" s="17">
        <f t="shared" si="62"/>
        <v>3.672599964253731E-2</v>
      </c>
      <c r="R271" s="17">
        <f t="shared" si="62"/>
        <v>-2.120651123296291E-3</v>
      </c>
      <c r="S271" s="17">
        <f t="shared" si="62"/>
        <v>-1.1541798088675392E-2</v>
      </c>
      <c r="T271" s="17">
        <f t="shared" si="62"/>
        <v>2.4849350146594285E-2</v>
      </c>
      <c r="U271" s="17">
        <f t="shared" si="62"/>
        <v>1.9823700716508075E-2</v>
      </c>
      <c r="V271" s="17">
        <f t="shared" si="62"/>
        <v>2.1546483658608118E-2</v>
      </c>
      <c r="W271" s="17">
        <f t="shared" si="62"/>
        <v>2.4199106599914311E-2</v>
      </c>
      <c r="X271" s="17">
        <f t="shared" si="62"/>
        <v>2.7690618583584348E-2</v>
      </c>
      <c r="Y271" s="17">
        <f t="shared" si="62"/>
        <v>3.0008410786554363E-2</v>
      </c>
      <c r="Z271" s="17">
        <f t="shared" si="62"/>
        <v>2.8094092228047041E-2</v>
      </c>
      <c r="AA271" s="17">
        <f t="shared" si="62"/>
        <v>3.1253643570765766E-2</v>
      </c>
      <c r="AB271" s="17">
        <f t="shared" si="62"/>
        <v>3.094975326358651E-2</v>
      </c>
      <c r="AC271" s="17">
        <f t="shared" si="62"/>
        <v>2.6537035993741354E-2</v>
      </c>
      <c r="AD271" s="17">
        <f t="shared" si="62"/>
        <v>1.6375365339720727E-2</v>
      </c>
      <c r="AE271" s="17">
        <f t="shared" si="62"/>
        <v>8.6399490470587814E-3</v>
      </c>
      <c r="AF271" s="17">
        <f t="shared" si="62"/>
        <v>-1.0249842452599855E-3</v>
      </c>
      <c r="AG271" s="17">
        <f t="shared" si="62"/>
        <v>-4.9103147404206959E-3</v>
      </c>
      <c r="AH271" s="17">
        <f t="shared" si="62"/>
        <v>-1.6202983283365446E-3</v>
      </c>
      <c r="AI271" s="17">
        <f t="shared" si="62"/>
        <v>5.5327089401941976E-3</v>
      </c>
      <c r="AJ271" s="17">
        <f t="shared" si="62"/>
        <v>1.0197533915431212E-2</v>
      </c>
      <c r="AK271" s="17">
        <f t="shared" si="62"/>
        <v>1.9753450034102338E-2</v>
      </c>
    </row>
    <row r="272" spans="1:37" x14ac:dyDescent="0.25">
      <c r="A272" s="12" t="s">
        <v>461</v>
      </c>
      <c r="B272" s="12"/>
      <c r="C272" s="17">
        <f>SUM(C$190:C$194)/SUM(B$190:B$194)-1</f>
        <v>1.2977230679324325E-2</v>
      </c>
      <c r="D272" s="17">
        <f t="shared" ref="D272:AK272" si="63">SUM(D$190:D$194)/SUM(C$190:C$194)-1</f>
        <v>-1.814068804875224E-3</v>
      </c>
      <c r="E272" s="17">
        <f t="shared" si="63"/>
        <v>-9.7324272062715433E-4</v>
      </c>
      <c r="F272" s="17">
        <f t="shared" si="63"/>
        <v>9.7814993341833745E-3</v>
      </c>
      <c r="G272" s="17">
        <f t="shared" si="63"/>
        <v>4.0803623392773325E-3</v>
      </c>
      <c r="H272" s="17">
        <f t="shared" si="63"/>
        <v>1.7172653837500773E-2</v>
      </c>
      <c r="I272" s="17">
        <f t="shared" si="63"/>
        <v>3.1366803312824931E-2</v>
      </c>
      <c r="J272" s="17">
        <f t="shared" si="63"/>
        <v>2.9440342399254193E-2</v>
      </c>
      <c r="K272" s="17">
        <f t="shared" si="63"/>
        <v>5.248377027863782E-2</v>
      </c>
      <c r="L272" s="17">
        <f t="shared" si="63"/>
        <v>6.4194190674311757E-2</v>
      </c>
      <c r="M272" s="17">
        <f t="shared" si="63"/>
        <v>5.912865186378724E-2</v>
      </c>
      <c r="N272" s="17">
        <f t="shared" si="63"/>
        <v>2.224141685518144E-2</v>
      </c>
      <c r="O272" s="17">
        <f t="shared" si="63"/>
        <v>4.4283146002454865E-2</v>
      </c>
      <c r="P272" s="17">
        <f t="shared" si="63"/>
        <v>3.2625377930880051E-2</v>
      </c>
      <c r="Q272" s="17">
        <f t="shared" si="63"/>
        <v>3.6837732593093087E-2</v>
      </c>
      <c r="R272" s="17">
        <f t="shared" si="63"/>
        <v>6.0344598541710814E-2</v>
      </c>
      <c r="S272" s="17">
        <f t="shared" si="63"/>
        <v>5.7761235939091327E-2</v>
      </c>
      <c r="T272" s="17">
        <f t="shared" si="63"/>
        <v>5.871059188158001E-2</v>
      </c>
      <c r="U272" s="17">
        <f t="shared" si="63"/>
        <v>4.8425765811809462E-2</v>
      </c>
      <c r="V272" s="17">
        <f t="shared" si="63"/>
        <v>3.2459745046872435E-2</v>
      </c>
      <c r="W272" s="17">
        <f t="shared" si="63"/>
        <v>4.937819425452572E-3</v>
      </c>
      <c r="X272" s="17">
        <f t="shared" si="63"/>
        <v>1.0413729773945946E-2</v>
      </c>
      <c r="Y272" s="17">
        <f t="shared" si="63"/>
        <v>2.1256992371637917E-2</v>
      </c>
      <c r="Z272" s="17">
        <f t="shared" si="63"/>
        <v>2.2050358722532248E-2</v>
      </c>
      <c r="AA272" s="17">
        <f t="shared" si="63"/>
        <v>2.7569418929251466E-2</v>
      </c>
      <c r="AB272" s="17">
        <f t="shared" si="63"/>
        <v>2.9812110175710949E-2</v>
      </c>
      <c r="AC272" s="17">
        <f t="shared" si="63"/>
        <v>3.182163608685884E-2</v>
      </c>
      <c r="AD272" s="17">
        <f t="shared" si="63"/>
        <v>3.3237403641309005E-2</v>
      </c>
      <c r="AE272" s="17">
        <f t="shared" si="63"/>
        <v>3.0762459998965763E-2</v>
      </c>
      <c r="AF272" s="17">
        <f t="shared" si="63"/>
        <v>3.3733185972296242E-2</v>
      </c>
      <c r="AG272" s="17">
        <f t="shared" si="63"/>
        <v>3.2894850355438265E-2</v>
      </c>
      <c r="AH272" s="17">
        <f t="shared" si="63"/>
        <v>2.8374535777522691E-2</v>
      </c>
      <c r="AI272" s="17">
        <f t="shared" si="63"/>
        <v>1.8037517211434428E-2</v>
      </c>
      <c r="AJ272" s="17">
        <f t="shared" si="63"/>
        <v>1.0274781178436276E-2</v>
      </c>
      <c r="AK272" s="17">
        <f t="shared" si="63"/>
        <v>5.605668202324221E-4</v>
      </c>
    </row>
    <row r="273" spans="1:37" x14ac:dyDescent="0.25">
      <c r="A273" s="12" t="s">
        <v>462</v>
      </c>
      <c r="B273" s="12"/>
      <c r="C273" s="17">
        <f>SUM(C$195:C$199)/SUM(B$195:B$199)-1</f>
        <v>4.12738483309254E-2</v>
      </c>
      <c r="D273" s="17">
        <f t="shared" ref="D273:AK273" si="64">SUM(D$195:D$199)/SUM(C$195:C$199)-1</f>
        <v>3.700876572360956E-2</v>
      </c>
      <c r="E273" s="17">
        <f t="shared" si="64"/>
        <v>3.1004962990847762E-2</v>
      </c>
      <c r="F273" s="17">
        <f t="shared" si="64"/>
        <v>2.1369692586826305E-2</v>
      </c>
      <c r="G273" s="17">
        <f t="shared" si="64"/>
        <v>3.4156015750450353E-2</v>
      </c>
      <c r="H273" s="17">
        <f t="shared" si="64"/>
        <v>1.7531997730491966E-2</v>
      </c>
      <c r="I273" s="17">
        <f t="shared" si="64"/>
        <v>1.9655448578035362E-3</v>
      </c>
      <c r="J273" s="17">
        <f t="shared" si="64"/>
        <v>7.8953323622643623E-4</v>
      </c>
      <c r="K273" s="17">
        <f t="shared" si="64"/>
        <v>1.1859671756726531E-2</v>
      </c>
      <c r="L273" s="17">
        <f t="shared" si="64"/>
        <v>6.0158965778287499E-3</v>
      </c>
      <c r="M273" s="17">
        <f t="shared" si="64"/>
        <v>2.3972852574912995E-2</v>
      </c>
      <c r="N273" s="17">
        <f t="shared" si="64"/>
        <v>3.6547811884523718E-2</v>
      </c>
      <c r="O273" s="17">
        <f t="shared" si="64"/>
        <v>4.1410386279132405E-2</v>
      </c>
      <c r="P273" s="17">
        <f t="shared" si="64"/>
        <v>5.941897330002277E-2</v>
      </c>
      <c r="Q273" s="17">
        <f t="shared" si="64"/>
        <v>7.9601743356922494E-2</v>
      </c>
      <c r="R273" s="17">
        <f t="shared" si="64"/>
        <v>5.745878486589362E-2</v>
      </c>
      <c r="S273" s="17">
        <f t="shared" si="64"/>
        <v>-1.5785237856312806E-3</v>
      </c>
      <c r="T273" s="17">
        <f t="shared" si="64"/>
        <v>5.2816080399010312E-2</v>
      </c>
      <c r="U273" s="17">
        <f t="shared" si="64"/>
        <v>3.708511781439805E-2</v>
      </c>
      <c r="V273" s="17">
        <f t="shared" si="64"/>
        <v>3.1405759885348772E-2</v>
      </c>
      <c r="W273" s="17">
        <f t="shared" si="64"/>
        <v>7.4541435195871086E-2</v>
      </c>
      <c r="X273" s="17">
        <f t="shared" si="64"/>
        <v>8.3319839829356201E-2</v>
      </c>
      <c r="Y273" s="17">
        <f t="shared" si="64"/>
        <v>5.3163336193153166E-2</v>
      </c>
      <c r="Z273" s="17">
        <f t="shared" si="64"/>
        <v>4.9609280564664404E-2</v>
      </c>
      <c r="AA273" s="17">
        <f t="shared" si="64"/>
        <v>3.8268138220066028E-2</v>
      </c>
      <c r="AB273" s="17">
        <f t="shared" si="64"/>
        <v>1.1609962262865148E-2</v>
      </c>
      <c r="AC273" s="17">
        <f t="shared" si="64"/>
        <v>1.6249806832834945E-2</v>
      </c>
      <c r="AD273" s="17">
        <f t="shared" si="64"/>
        <v>2.5655351156899542E-2</v>
      </c>
      <c r="AE273" s="17">
        <f t="shared" si="64"/>
        <v>2.6058022410952564E-2</v>
      </c>
      <c r="AF273" s="17">
        <f t="shared" si="64"/>
        <v>3.1521974239117512E-2</v>
      </c>
      <c r="AG273" s="17">
        <f t="shared" si="64"/>
        <v>3.3404250868538599E-2</v>
      </c>
      <c r="AH273" s="17">
        <f t="shared" si="64"/>
        <v>3.4958322153913812E-2</v>
      </c>
      <c r="AI273" s="17">
        <f t="shared" si="64"/>
        <v>3.6553751099422493E-2</v>
      </c>
      <c r="AJ273" s="17">
        <f t="shared" si="64"/>
        <v>3.3702334371904952E-2</v>
      </c>
      <c r="AK273" s="17">
        <f t="shared" si="64"/>
        <v>3.7029825298902086E-2</v>
      </c>
    </row>
    <row r="274" spans="1:37" x14ac:dyDescent="0.25">
      <c r="A274" s="12" t="s">
        <v>463</v>
      </c>
      <c r="B274" s="12"/>
      <c r="C274" s="17">
        <f>SUM(C$200:C$210)/SUM(B$200:B$210)-1</f>
        <v>6.659681866009981E-2</v>
      </c>
      <c r="D274" s="17">
        <f t="shared" ref="D274:AK274" si="65">SUM(D$200:D$210)/SUM(C$200:C$210)-1</f>
        <v>6.2365784363311638E-2</v>
      </c>
      <c r="E274" s="17">
        <f t="shared" si="65"/>
        <v>6.0163396646516487E-2</v>
      </c>
      <c r="F274" s="17">
        <f t="shared" si="65"/>
        <v>6.1204826992197425E-2</v>
      </c>
      <c r="G274" s="17">
        <f t="shared" si="65"/>
        <v>5.5508201315340511E-2</v>
      </c>
      <c r="H274" s="17">
        <f t="shared" si="65"/>
        <v>5.4428733911532579E-2</v>
      </c>
      <c r="I274" s="17">
        <f t="shared" si="65"/>
        <v>4.1675695905952992E-2</v>
      </c>
      <c r="J274" s="17">
        <f t="shared" si="65"/>
        <v>5.1083541652024111E-2</v>
      </c>
      <c r="K274" s="17">
        <f t="shared" si="65"/>
        <v>3.1849737495256214E-2</v>
      </c>
      <c r="L274" s="17">
        <f t="shared" si="65"/>
        <v>5.0895949178036748E-2</v>
      </c>
      <c r="M274" s="17">
        <f t="shared" si="65"/>
        <v>3.4669534777447497E-2</v>
      </c>
      <c r="N274" s="17">
        <f t="shared" si="65"/>
        <v>1.5452328905587454E-2</v>
      </c>
      <c r="O274" s="17">
        <f t="shared" si="65"/>
        <v>3.0198140064798151E-2</v>
      </c>
      <c r="P274" s="17">
        <f t="shared" si="65"/>
        <v>2.720435609211691E-2</v>
      </c>
      <c r="Q274" s="17">
        <f t="shared" si="65"/>
        <v>4.0372574234595504E-2</v>
      </c>
      <c r="R274" s="17">
        <f t="shared" si="65"/>
        <v>1.8972089610896248E-2</v>
      </c>
      <c r="S274" s="17">
        <f t="shared" si="65"/>
        <v>7.48439589502925E-3</v>
      </c>
      <c r="T274" s="17">
        <f t="shared" si="65"/>
        <v>4.2810052997680037E-2</v>
      </c>
      <c r="U274" s="17">
        <f t="shared" si="65"/>
        <v>5.6293834963155653E-2</v>
      </c>
      <c r="V274" s="17">
        <f t="shared" si="65"/>
        <v>5.9936514734104662E-2</v>
      </c>
      <c r="W274" s="17">
        <f t="shared" si="65"/>
        <v>5.5293231856842873E-2</v>
      </c>
      <c r="X274" s="17">
        <f t="shared" si="65"/>
        <v>2.7322840794632652E-2</v>
      </c>
      <c r="Y274" s="17">
        <f t="shared" si="65"/>
        <v>5.0429154932219777E-2</v>
      </c>
      <c r="Z274" s="17">
        <f t="shared" si="65"/>
        <v>4.9750322223417243E-2</v>
      </c>
      <c r="AA274" s="17">
        <f t="shared" si="65"/>
        <v>5.4138633089927612E-2</v>
      </c>
      <c r="AB274" s="17">
        <f t="shared" si="65"/>
        <v>8.4410426491314361E-2</v>
      </c>
      <c r="AC274" s="17">
        <f t="shared" si="65"/>
        <v>7.0262175613040379E-2</v>
      </c>
      <c r="AD274" s="17">
        <f t="shared" si="65"/>
        <v>5.7910100395610176E-2</v>
      </c>
      <c r="AE274" s="17">
        <f t="shared" si="65"/>
        <v>5.3801828933611295E-2</v>
      </c>
      <c r="AF274" s="17">
        <f t="shared" si="65"/>
        <v>4.6185572361518767E-2</v>
      </c>
      <c r="AG274" s="17">
        <f t="shared" si="65"/>
        <v>4.2595155589857381E-2</v>
      </c>
      <c r="AH274" s="17">
        <f t="shared" si="65"/>
        <v>3.9366839748571802E-2</v>
      </c>
      <c r="AI274" s="17">
        <f t="shared" si="65"/>
        <v>4.0478936660839793E-2</v>
      </c>
      <c r="AJ274" s="17">
        <f t="shared" si="65"/>
        <v>3.9529606967221742E-2</v>
      </c>
      <c r="AK274" s="17">
        <f t="shared" si="65"/>
        <v>3.9470478769852324E-2</v>
      </c>
    </row>
    <row r="275" spans="1:37" x14ac:dyDescent="0.25">
      <c r="A275" s="8" t="s">
        <v>464</v>
      </c>
      <c r="B275" s="12"/>
      <c r="C275" s="18"/>
      <c r="D275" s="12"/>
      <c r="E275" s="12"/>
      <c r="F275" s="12"/>
      <c r="G275" s="12"/>
      <c r="H275" s="12"/>
      <c r="I275" s="12"/>
      <c r="J275" s="12"/>
      <c r="K275" s="12"/>
      <c r="L275" s="12"/>
      <c r="M275" s="12"/>
      <c r="N275" s="12"/>
      <c r="O275" s="12"/>
      <c r="P275" s="12"/>
      <c r="Q275" s="12"/>
      <c r="R275" s="12"/>
      <c r="S275" s="12"/>
      <c r="T275" s="12"/>
      <c r="U275" s="31">
        <v>84</v>
      </c>
      <c r="V275" s="31">
        <v>84.2</v>
      </c>
      <c r="W275" s="31">
        <v>84.4</v>
      </c>
      <c r="X275" s="31">
        <v>84.6</v>
      </c>
      <c r="Y275" s="31">
        <v>84.7</v>
      </c>
      <c r="Z275" s="31">
        <v>84.9</v>
      </c>
      <c r="AA275" s="32">
        <v>85.1</v>
      </c>
      <c r="AB275" s="32">
        <v>85.2</v>
      </c>
      <c r="AC275" s="32">
        <v>85.4</v>
      </c>
      <c r="AD275" s="32">
        <v>85.5</v>
      </c>
      <c r="AE275" s="32">
        <v>85.7</v>
      </c>
      <c r="AF275" s="32">
        <v>85.8</v>
      </c>
      <c r="AG275" s="32">
        <v>85.9</v>
      </c>
      <c r="AH275" s="32">
        <v>86.1</v>
      </c>
      <c r="AI275" s="32">
        <v>86.2</v>
      </c>
      <c r="AJ275" s="32">
        <v>86.4</v>
      </c>
      <c r="AK275" s="32">
        <v>86.5</v>
      </c>
    </row>
    <row r="276" spans="1:37" x14ac:dyDescent="0.25">
      <c r="A276" s="8" t="s">
        <v>465</v>
      </c>
      <c r="B276" s="12"/>
      <c r="C276" s="18"/>
      <c r="D276" s="12"/>
      <c r="E276" s="12"/>
      <c r="F276" s="12"/>
      <c r="G276" s="12"/>
      <c r="H276" s="12"/>
      <c r="I276" s="12"/>
      <c r="J276" s="12"/>
      <c r="K276" s="12"/>
      <c r="L276" s="12"/>
      <c r="M276" s="12"/>
      <c r="N276" s="12"/>
      <c r="O276" s="12"/>
      <c r="P276" s="12"/>
      <c r="Q276" s="12"/>
      <c r="R276" s="12"/>
      <c r="S276" s="12"/>
      <c r="T276" s="12"/>
      <c r="U276" s="31">
        <v>22.1</v>
      </c>
      <c r="V276" s="31">
        <v>22.2</v>
      </c>
      <c r="W276" s="31">
        <v>22.3</v>
      </c>
      <c r="X276" s="31">
        <v>22.5</v>
      </c>
      <c r="Y276" s="31">
        <v>22.6</v>
      </c>
      <c r="Z276" s="31">
        <v>22.7</v>
      </c>
      <c r="AA276" s="32">
        <v>22.8</v>
      </c>
      <c r="AB276" s="32">
        <v>22.9</v>
      </c>
      <c r="AC276" s="32">
        <v>23</v>
      </c>
      <c r="AD276" s="32">
        <v>23.1</v>
      </c>
      <c r="AE276" s="32">
        <v>23.2</v>
      </c>
      <c r="AF276" s="32">
        <v>23.3</v>
      </c>
      <c r="AG276" s="32">
        <v>23.4</v>
      </c>
      <c r="AH276" s="32">
        <v>23.5</v>
      </c>
      <c r="AI276" s="32">
        <v>23.6</v>
      </c>
      <c r="AJ276" s="32">
        <v>23.6</v>
      </c>
      <c r="AK276" s="32">
        <v>23.7</v>
      </c>
    </row>
    <row r="277" spans="1:37" x14ac:dyDescent="0.25">
      <c r="A277" s="8" t="s">
        <v>466</v>
      </c>
      <c r="B277" s="12"/>
      <c r="C277" s="18"/>
      <c r="D277" s="12"/>
      <c r="E277" s="12"/>
      <c r="F277" s="12"/>
      <c r="G277" s="12"/>
      <c r="H277" s="12"/>
      <c r="I277" s="12"/>
      <c r="J277" s="12"/>
      <c r="K277" s="12"/>
      <c r="L277" s="12"/>
      <c r="M277" s="12"/>
      <c r="N277" s="12"/>
      <c r="O277" s="12"/>
      <c r="P277" s="12"/>
      <c r="Q277" s="12"/>
      <c r="R277" s="12"/>
      <c r="S277" s="12"/>
      <c r="T277" s="12"/>
      <c r="U277" s="31">
        <v>80.8</v>
      </c>
      <c r="V277" s="31">
        <v>81</v>
      </c>
      <c r="W277" s="31">
        <v>81.2</v>
      </c>
      <c r="X277" s="31">
        <v>81.400000000000006</v>
      </c>
      <c r="Y277" s="31">
        <v>81.599999999999994</v>
      </c>
      <c r="Z277" s="31">
        <v>81.8</v>
      </c>
      <c r="AA277" s="32">
        <v>82</v>
      </c>
      <c r="AB277" s="32">
        <v>82.1</v>
      </c>
      <c r="AC277" s="32">
        <v>82.3</v>
      </c>
      <c r="AD277" s="32">
        <v>82.5</v>
      </c>
      <c r="AE277" s="32">
        <v>82.6</v>
      </c>
      <c r="AF277" s="32">
        <v>82.8</v>
      </c>
      <c r="AG277" s="32">
        <v>82.9</v>
      </c>
      <c r="AH277" s="32">
        <v>83.1</v>
      </c>
      <c r="AI277" s="32">
        <v>83.3</v>
      </c>
      <c r="AJ277" s="32">
        <v>83.4</v>
      </c>
      <c r="AK277" s="32">
        <v>83.6</v>
      </c>
    </row>
    <row r="278" spans="1:37" x14ac:dyDescent="0.25">
      <c r="A278" s="8" t="s">
        <v>467</v>
      </c>
      <c r="B278" s="12"/>
      <c r="C278" s="18"/>
      <c r="D278" s="12"/>
      <c r="E278" s="12"/>
      <c r="F278" s="12"/>
      <c r="G278" s="12"/>
      <c r="H278" s="12"/>
      <c r="I278" s="12"/>
      <c r="J278" s="12"/>
      <c r="K278" s="12"/>
      <c r="L278" s="12"/>
      <c r="M278" s="12"/>
      <c r="N278" s="12"/>
      <c r="O278" s="12"/>
      <c r="P278" s="12"/>
      <c r="Q278" s="12"/>
      <c r="R278" s="12"/>
      <c r="S278" s="12"/>
      <c r="T278" s="12"/>
      <c r="U278" s="31">
        <v>19.899999999999999</v>
      </c>
      <c r="V278" s="31">
        <v>20</v>
      </c>
      <c r="W278" s="31">
        <v>20.100000000000001</v>
      </c>
      <c r="X278" s="31">
        <v>20.2</v>
      </c>
      <c r="Y278" s="31">
        <v>20.399999999999999</v>
      </c>
      <c r="Z278" s="31">
        <v>20.5</v>
      </c>
      <c r="AA278" s="32">
        <v>20.6</v>
      </c>
      <c r="AB278" s="32">
        <v>20.7</v>
      </c>
      <c r="AC278" s="32">
        <v>20.8</v>
      </c>
      <c r="AD278" s="32">
        <v>20.9</v>
      </c>
      <c r="AE278" s="32">
        <v>21</v>
      </c>
      <c r="AF278" s="32">
        <v>21.1</v>
      </c>
      <c r="AG278" s="32">
        <v>21.2</v>
      </c>
      <c r="AH278" s="32">
        <v>21.3</v>
      </c>
      <c r="AI278" s="32">
        <v>21.4</v>
      </c>
      <c r="AJ278" s="32">
        <v>21.5</v>
      </c>
      <c r="AK278" s="32">
        <v>21.6</v>
      </c>
    </row>
    <row r="279" spans="1:37" x14ac:dyDescent="0.25">
      <c r="A279" s="11" t="s">
        <v>468</v>
      </c>
      <c r="B279" s="12"/>
      <c r="C279" s="18"/>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row>
    <row r="280" spans="1:37" x14ac:dyDescent="0.25">
      <c r="A280" s="12" t="s">
        <v>469</v>
      </c>
      <c r="B280" s="12"/>
      <c r="C280" s="17">
        <f>C$15/B$15-1</f>
        <v>3.9495395299945724E-2</v>
      </c>
      <c r="D280" s="17">
        <f t="shared" ref="D280:AK280" si="66">D$15/C$15-1</f>
        <v>3.7888756625414466E-2</v>
      </c>
      <c r="E280" s="17">
        <f t="shared" si="66"/>
        <v>-1.6443056907667675E-2</v>
      </c>
      <c r="F280" s="17">
        <f t="shared" si="66"/>
        <v>2.3908695919859779E-2</v>
      </c>
      <c r="G280" s="17">
        <f t="shared" si="66"/>
        <v>-2.4955461422689784E-2</v>
      </c>
      <c r="H280" s="17">
        <f t="shared" si="66"/>
        <v>-2.4490908290421554E-2</v>
      </c>
      <c r="I280" s="17">
        <f t="shared" si="66"/>
        <v>-1.443467759534911E-2</v>
      </c>
      <c r="J280" s="17">
        <f t="shared" si="66"/>
        <v>-2.9580881253180369E-2</v>
      </c>
      <c r="K280" s="17">
        <f t="shared" si="66"/>
        <v>7.725464395630155E-3</v>
      </c>
      <c r="L280" s="17">
        <f t="shared" si="66"/>
        <v>7.1551444780761919E-3</v>
      </c>
      <c r="M280" s="17">
        <f t="shared" si="66"/>
        <v>1.4499914729749985E-2</v>
      </c>
      <c r="N280" s="17">
        <f t="shared" si="66"/>
        <v>-1.6272985462368217E-2</v>
      </c>
      <c r="O280" s="17">
        <f t="shared" si="66"/>
        <v>-1.1296364939540005E-2</v>
      </c>
      <c r="P280" s="17">
        <f t="shared" si="66"/>
        <v>1.0876925640734392E-2</v>
      </c>
      <c r="Q280" s="17">
        <f t="shared" si="66"/>
        <v>1.0002002892628648E-2</v>
      </c>
      <c r="R280" s="17">
        <f t="shared" si="66"/>
        <v>1.2514720172736027E-2</v>
      </c>
      <c r="S280" s="17">
        <f t="shared" si="66"/>
        <v>-6.9346306587446005E-2</v>
      </c>
      <c r="T280" s="17">
        <f t="shared" si="66"/>
        <v>6.5611477055311784E-3</v>
      </c>
      <c r="U280" s="17">
        <f t="shared" si="66"/>
        <v>1.9024501531108573E-2</v>
      </c>
      <c r="V280" s="17">
        <f t="shared" si="66"/>
        <v>-4.2396385418839166E-3</v>
      </c>
      <c r="W280" s="17">
        <f t="shared" si="66"/>
        <v>-1.7932443379539142E-3</v>
      </c>
      <c r="X280" s="17">
        <f t="shared" si="66"/>
        <v>1.069228635187458E-2</v>
      </c>
      <c r="Y280" s="17">
        <f t="shared" si="66"/>
        <v>1.0549501998148747E-2</v>
      </c>
      <c r="Z280" s="17">
        <f t="shared" si="66"/>
        <v>1.1241694921168222E-2</v>
      </c>
      <c r="AA280" s="17">
        <f t="shared" si="66"/>
        <v>1.1200995557187898E-2</v>
      </c>
      <c r="AB280" s="17">
        <f t="shared" si="66"/>
        <v>9.495747542680455E-4</v>
      </c>
      <c r="AC280" s="17">
        <f t="shared" si="66"/>
        <v>1.8110641146924511E-3</v>
      </c>
      <c r="AD280" s="17">
        <f t="shared" si="66"/>
        <v>2.6516634739335299E-3</v>
      </c>
      <c r="AE280" s="17">
        <f t="shared" si="66"/>
        <v>3.8401290277347844E-3</v>
      </c>
      <c r="AF280" s="17">
        <f t="shared" si="66"/>
        <v>5.1005851319561035E-3</v>
      </c>
      <c r="AG280" s="17">
        <f t="shared" si="66"/>
        <v>5.7090388348517429E-3</v>
      </c>
      <c r="AH280" s="17">
        <f t="shared" si="66"/>
        <v>6.622735851159911E-3</v>
      </c>
      <c r="AI280" s="17">
        <f t="shared" si="66"/>
        <v>6.8924573009550016E-3</v>
      </c>
      <c r="AJ280" s="17">
        <f t="shared" si="66"/>
        <v>6.8452765247946079E-3</v>
      </c>
      <c r="AK280" s="17">
        <f t="shared" si="66"/>
        <v>6.7987372880384811E-3</v>
      </c>
    </row>
    <row r="281" spans="1:37" x14ac:dyDescent="0.25">
      <c r="A281" s="12" t="s">
        <v>470</v>
      </c>
      <c r="B281" s="12"/>
      <c r="C281" s="17">
        <f>C$16/B$16-1</f>
        <v>2.4649738079042249E-2</v>
      </c>
      <c r="D281" s="17">
        <f t="shared" ref="D281:AK281" si="67">D$16/C$16-1</f>
        <v>4.4185933649147247E-2</v>
      </c>
      <c r="E281" s="17">
        <f t="shared" si="67"/>
        <v>3.8676380666111454E-2</v>
      </c>
      <c r="F281" s="17">
        <f t="shared" si="67"/>
        <v>-1.2288719812160842E-2</v>
      </c>
      <c r="G281" s="17">
        <f t="shared" si="67"/>
        <v>2.2551441235048486E-2</v>
      </c>
      <c r="H281" s="17">
        <f t="shared" si="67"/>
        <v>-2.479808177259557E-2</v>
      </c>
      <c r="I281" s="17">
        <f t="shared" si="67"/>
        <v>-1.99005925881095E-2</v>
      </c>
      <c r="J281" s="17">
        <f t="shared" si="67"/>
        <v>-1.0831492825953526E-2</v>
      </c>
      <c r="K281" s="17">
        <f t="shared" si="67"/>
        <v>-2.5422035208448213E-2</v>
      </c>
      <c r="L281" s="17">
        <f t="shared" si="67"/>
        <v>5.7137355041623206E-3</v>
      </c>
      <c r="M281" s="17">
        <f t="shared" si="67"/>
        <v>-3.4315132576844265E-3</v>
      </c>
      <c r="N281" s="17">
        <f t="shared" si="67"/>
        <v>1.8944058521310536E-2</v>
      </c>
      <c r="O281" s="17">
        <f t="shared" si="67"/>
        <v>-2.4957744251067226E-2</v>
      </c>
      <c r="P281" s="17">
        <f t="shared" si="67"/>
        <v>4.2751416968844769E-3</v>
      </c>
      <c r="Q281" s="17">
        <f t="shared" si="67"/>
        <v>-4.0179512633152781E-3</v>
      </c>
      <c r="R281" s="17">
        <f t="shared" si="67"/>
        <v>1.4018257118595168E-2</v>
      </c>
      <c r="S281" s="17">
        <f t="shared" si="67"/>
        <v>2.6446512790766263E-2</v>
      </c>
      <c r="T281" s="17">
        <f t="shared" si="67"/>
        <v>-8.0188472469869265E-2</v>
      </c>
      <c r="U281" s="17">
        <f t="shared" si="67"/>
        <v>5.2940878606781983E-3</v>
      </c>
      <c r="V281" s="17">
        <f t="shared" si="67"/>
        <v>1.3008368341383081E-2</v>
      </c>
      <c r="W281" s="17">
        <f t="shared" si="67"/>
        <v>-7.3317700669095487E-4</v>
      </c>
      <c r="X281" s="17">
        <f t="shared" si="67"/>
        <v>1.1406287397378589E-2</v>
      </c>
      <c r="Y281" s="17">
        <f t="shared" si="67"/>
        <v>1.0907316016224522E-2</v>
      </c>
      <c r="Z281" s="17">
        <f t="shared" si="67"/>
        <v>1.1242493860402769E-2</v>
      </c>
      <c r="AA281" s="17">
        <f t="shared" si="67"/>
        <v>1.0843315847090418E-2</v>
      </c>
      <c r="AB281" s="17">
        <f t="shared" si="67"/>
        <v>3.0565089332190709E-4</v>
      </c>
      <c r="AC281" s="17">
        <f t="shared" si="67"/>
        <v>1.1672832682947387E-3</v>
      </c>
      <c r="AD281" s="17">
        <f t="shared" si="67"/>
        <v>1.6888694752443811E-3</v>
      </c>
      <c r="AE281" s="17">
        <f t="shared" si="67"/>
        <v>2.5622189101539572E-3</v>
      </c>
      <c r="AF281" s="17">
        <f t="shared" si="67"/>
        <v>3.8335060834515655E-3</v>
      </c>
      <c r="AG281" s="17">
        <f t="shared" si="67"/>
        <v>5.0918219143178955E-3</v>
      </c>
      <c r="AH281" s="17">
        <f t="shared" si="67"/>
        <v>6.0159065982012816E-3</v>
      </c>
      <c r="AI281" s="17">
        <f t="shared" si="67"/>
        <v>6.6093984008777085E-3</v>
      </c>
      <c r="AJ281" s="17">
        <f t="shared" si="67"/>
        <v>6.8786678020911207E-3</v>
      </c>
      <c r="AK281" s="17">
        <f t="shared" si="67"/>
        <v>7.1422056602568063E-3</v>
      </c>
    </row>
    <row r="282" spans="1:37" x14ac:dyDescent="0.25">
      <c r="A282" s="12" t="s">
        <v>471</v>
      </c>
      <c r="B282" s="12"/>
      <c r="C282" s="17">
        <f>C$17/B$17-1</f>
        <v>-8.7165727820656125E-3</v>
      </c>
      <c r="D282" s="17">
        <f t="shared" ref="D282:AK282" si="68">D$17/C$17-1</f>
        <v>2.7905913245038549E-2</v>
      </c>
      <c r="E282" s="17">
        <f t="shared" si="68"/>
        <v>4.7248420220396881E-2</v>
      </c>
      <c r="F282" s="17">
        <f t="shared" si="68"/>
        <v>3.8940999562773415E-2</v>
      </c>
      <c r="G282" s="17">
        <f t="shared" si="68"/>
        <v>-1.6470059083290689E-2</v>
      </c>
      <c r="H282" s="17">
        <f t="shared" si="68"/>
        <v>1.8873051425682519E-2</v>
      </c>
      <c r="I282" s="17">
        <f t="shared" si="68"/>
        <v>-2.0698376905181726E-2</v>
      </c>
      <c r="J282" s="17">
        <f t="shared" si="68"/>
        <v>-1.0199352433368336E-2</v>
      </c>
      <c r="K282" s="17">
        <f t="shared" si="68"/>
        <v>-5.5185128902042191E-3</v>
      </c>
      <c r="L282" s="17">
        <f t="shared" si="68"/>
        <v>-2.9995103293344427E-2</v>
      </c>
      <c r="M282" s="17">
        <f t="shared" si="68"/>
        <v>5.7566354760403282E-3</v>
      </c>
      <c r="N282" s="17">
        <f t="shared" si="68"/>
        <v>-1.0082559264394941E-3</v>
      </c>
      <c r="O282" s="17">
        <f t="shared" si="68"/>
        <v>9.294202648479688E-3</v>
      </c>
      <c r="P282" s="17">
        <f t="shared" si="68"/>
        <v>-9.4432114170990289E-3</v>
      </c>
      <c r="Q282" s="17">
        <f t="shared" si="68"/>
        <v>-1.5827592653146594E-2</v>
      </c>
      <c r="R282" s="17">
        <f t="shared" si="68"/>
        <v>2.3219569677264129E-3</v>
      </c>
      <c r="S282" s="17">
        <f t="shared" si="68"/>
        <v>2.7632856785122284E-2</v>
      </c>
      <c r="T282" s="17">
        <f t="shared" si="68"/>
        <v>1.7538215169108806E-2</v>
      </c>
      <c r="U282" s="17">
        <f t="shared" si="68"/>
        <v>-8.5495997387236233E-2</v>
      </c>
      <c r="V282" s="17">
        <f t="shared" si="68"/>
        <v>-6.3351083994578339E-4</v>
      </c>
      <c r="W282" s="17">
        <f t="shared" si="68"/>
        <v>1.6495772751212501E-2</v>
      </c>
      <c r="X282" s="17">
        <f t="shared" si="68"/>
        <v>1.2471107554301586E-2</v>
      </c>
      <c r="Y282" s="17">
        <f t="shared" si="68"/>
        <v>1.1619234845695603E-2</v>
      </c>
      <c r="Z282" s="17">
        <f t="shared" si="68"/>
        <v>1.1600227251847839E-2</v>
      </c>
      <c r="AA282" s="17">
        <f t="shared" si="68"/>
        <v>1.0843614357725739E-2</v>
      </c>
      <c r="AB282" s="17">
        <f t="shared" si="68"/>
        <v>-1.5557584428393945E-5</v>
      </c>
      <c r="AC282" s="17">
        <f t="shared" si="68"/>
        <v>5.2229830871630689E-4</v>
      </c>
      <c r="AD282" s="17">
        <f t="shared" si="68"/>
        <v>1.0427184843939674E-3</v>
      </c>
      <c r="AE282" s="17">
        <f t="shared" si="68"/>
        <v>1.5955127059790186E-3</v>
      </c>
      <c r="AF282" s="17">
        <f t="shared" si="68"/>
        <v>2.867347980626711E-3</v>
      </c>
      <c r="AG282" s="17">
        <f t="shared" si="68"/>
        <v>3.8121997376161509E-3</v>
      </c>
      <c r="AH282" s="17">
        <f t="shared" si="68"/>
        <v>5.0636294167543117E-3</v>
      </c>
      <c r="AI282" s="17">
        <f t="shared" si="68"/>
        <v>5.667883034583987E-3</v>
      </c>
      <c r="AJ282" s="17">
        <f t="shared" si="68"/>
        <v>6.575262388872849E-3</v>
      </c>
      <c r="AK282" s="17">
        <f t="shared" si="68"/>
        <v>7.154435563405892E-3</v>
      </c>
    </row>
    <row r="283" spans="1:37" x14ac:dyDescent="0.25">
      <c r="A283" s="12" t="s">
        <v>472</v>
      </c>
      <c r="B283" s="12"/>
      <c r="C283" s="17">
        <f>C$18/B$18-1</f>
        <v>2.8686337342805013E-2</v>
      </c>
      <c r="D283" s="17">
        <f t="shared" ref="D283:AK283" si="69">D$18/C$18-1</f>
        <v>-5.5281777872485671E-3</v>
      </c>
      <c r="E283" s="17">
        <f t="shared" si="69"/>
        <v>2.9670784121455407E-2</v>
      </c>
      <c r="F283" s="17">
        <f t="shared" si="69"/>
        <v>4.9286613104806198E-2</v>
      </c>
      <c r="G283" s="17">
        <f t="shared" si="69"/>
        <v>3.516307875411262E-2</v>
      </c>
      <c r="H283" s="17">
        <f t="shared" si="69"/>
        <v>-1.8539745370515504E-2</v>
      </c>
      <c r="I283" s="17">
        <f t="shared" si="69"/>
        <v>2.3929459441316636E-2</v>
      </c>
      <c r="J283" s="17">
        <f t="shared" si="69"/>
        <v>-1.499438752012916E-2</v>
      </c>
      <c r="K283" s="17">
        <f t="shared" si="69"/>
        <v>-6.660978169063636E-3</v>
      </c>
      <c r="L283" s="17">
        <f t="shared" si="69"/>
        <v>-1.3066032840634012E-3</v>
      </c>
      <c r="M283" s="17">
        <f t="shared" si="69"/>
        <v>-3.5911529875794601E-2</v>
      </c>
      <c r="N283" s="17">
        <f t="shared" si="69"/>
        <v>1.3161839734178393E-2</v>
      </c>
      <c r="O283" s="17">
        <f t="shared" si="69"/>
        <v>-1.1509401706413458E-2</v>
      </c>
      <c r="P283" s="17">
        <f t="shared" si="69"/>
        <v>2.4463173503413316E-2</v>
      </c>
      <c r="Q283" s="17">
        <f t="shared" si="69"/>
        <v>-3.2805482139171449E-2</v>
      </c>
      <c r="R283" s="17">
        <f t="shared" si="69"/>
        <v>-4.7650928499658463E-3</v>
      </c>
      <c r="S283" s="17">
        <f t="shared" si="69"/>
        <v>1.6885831328472989E-2</v>
      </c>
      <c r="T283" s="17">
        <f t="shared" si="69"/>
        <v>1.7271465934327157E-2</v>
      </c>
      <c r="U283" s="17">
        <f t="shared" si="69"/>
        <v>1.0258312508368173E-2</v>
      </c>
      <c r="V283" s="17">
        <f t="shared" si="69"/>
        <v>-9.0770396247467078E-2</v>
      </c>
      <c r="W283" s="17">
        <f t="shared" si="69"/>
        <v>3.2366611043603832E-3</v>
      </c>
      <c r="X283" s="17">
        <f t="shared" si="69"/>
        <v>2.978176866271709E-2</v>
      </c>
      <c r="Y283" s="17">
        <f t="shared" si="69"/>
        <v>1.2677540465739101E-2</v>
      </c>
      <c r="Z283" s="17">
        <f t="shared" si="69"/>
        <v>1.2307371225186658E-2</v>
      </c>
      <c r="AA283" s="17">
        <f t="shared" si="69"/>
        <v>1.1196793082748346E-2</v>
      </c>
      <c r="AB283" s="17">
        <f t="shared" si="69"/>
        <v>-1.5443602344289431E-5</v>
      </c>
      <c r="AC283" s="17">
        <f t="shared" si="69"/>
        <v>2.0121112357962545E-4</v>
      </c>
      <c r="AD283" s="17">
        <f t="shared" si="69"/>
        <v>4.0101780513746021E-4</v>
      </c>
      <c r="AE283" s="17">
        <f t="shared" si="69"/>
        <v>9.5120865654463316E-4</v>
      </c>
      <c r="AF283" s="17">
        <f t="shared" si="69"/>
        <v>1.583841197450031E-3</v>
      </c>
      <c r="AG283" s="17">
        <f t="shared" si="69"/>
        <v>2.8464059004804643E-3</v>
      </c>
      <c r="AH283" s="17">
        <f t="shared" si="69"/>
        <v>4.0998054790764016E-3</v>
      </c>
      <c r="AI283" s="17">
        <f t="shared" si="69"/>
        <v>5.025311635608487E-3</v>
      </c>
      <c r="AJ283" s="17">
        <f t="shared" si="69"/>
        <v>5.9377186805109616E-3</v>
      </c>
      <c r="AK283" s="17">
        <f t="shared" si="69"/>
        <v>6.5240039990948073E-3</v>
      </c>
    </row>
    <row r="284" spans="1:37" x14ac:dyDescent="0.25">
      <c r="A284" s="12" t="s">
        <v>473</v>
      </c>
      <c r="B284" s="12"/>
      <c r="C284" s="17">
        <f>C$19/B$19-1</f>
        <v>-3.717540011717535E-3</v>
      </c>
      <c r="D284" s="17">
        <f t="shared" ref="D284:AK284" si="70">D$19/C$19-1</f>
        <v>3.145963477370084E-2</v>
      </c>
      <c r="E284" s="17">
        <f t="shared" si="70"/>
        <v>-3.7754398641740572E-3</v>
      </c>
      <c r="F284" s="17">
        <f t="shared" si="70"/>
        <v>3.1664087577647493E-2</v>
      </c>
      <c r="G284" s="17">
        <f t="shared" si="70"/>
        <v>4.3848386909569603E-2</v>
      </c>
      <c r="H284" s="17">
        <f t="shared" si="70"/>
        <v>3.0760419156182106E-2</v>
      </c>
      <c r="I284" s="17">
        <f t="shared" si="70"/>
        <v>-1.6318129759495204E-2</v>
      </c>
      <c r="J284" s="17">
        <f t="shared" si="70"/>
        <v>3.3821124198327279E-2</v>
      </c>
      <c r="K284" s="17">
        <f t="shared" si="70"/>
        <v>-1.0260054400969332E-2</v>
      </c>
      <c r="L284" s="17">
        <f t="shared" si="70"/>
        <v>-7.4330485851431538E-3</v>
      </c>
      <c r="M284" s="17">
        <f t="shared" si="70"/>
        <v>-5.0242355025057472E-3</v>
      </c>
      <c r="N284" s="17">
        <f t="shared" si="70"/>
        <v>-2.9385038843958267E-2</v>
      </c>
      <c r="O284" s="17">
        <f t="shared" si="70"/>
        <v>5.3091370299427343E-3</v>
      </c>
      <c r="P284" s="17">
        <f t="shared" si="70"/>
        <v>2.674307147387367E-3</v>
      </c>
      <c r="Q284" s="17">
        <f t="shared" si="70"/>
        <v>-2.03818147970658E-4</v>
      </c>
      <c r="R284" s="17">
        <f t="shared" si="70"/>
        <v>-2.3533986177439292E-2</v>
      </c>
      <c r="S284" s="17">
        <f t="shared" si="70"/>
        <v>2.0824282938212813E-2</v>
      </c>
      <c r="T284" s="17">
        <f t="shared" si="70"/>
        <v>4.4156656723828291E-3</v>
      </c>
      <c r="U284" s="17">
        <f t="shared" si="70"/>
        <v>4.9579735812927961E-3</v>
      </c>
      <c r="V284" s="17">
        <f t="shared" si="70"/>
        <v>4.2053946409372767E-3</v>
      </c>
      <c r="W284" s="17">
        <f t="shared" si="70"/>
        <v>-8.6636910012345192E-2</v>
      </c>
      <c r="X284" s="17">
        <f t="shared" si="70"/>
        <v>1.6078289272166923E-2</v>
      </c>
      <c r="Y284" s="17">
        <f t="shared" si="70"/>
        <v>3.0198296058050689E-2</v>
      </c>
      <c r="Z284" s="17">
        <f t="shared" si="70"/>
        <v>1.3355598275194946E-2</v>
      </c>
      <c r="AA284" s="17">
        <f t="shared" si="70"/>
        <v>1.1894382281347537E-2</v>
      </c>
      <c r="AB284" s="17">
        <f t="shared" si="70"/>
        <v>6.1371484156635958E-4</v>
      </c>
      <c r="AC284" s="17">
        <f t="shared" si="70"/>
        <v>-1.1497363608314881E-4</v>
      </c>
      <c r="AD284" s="17">
        <f t="shared" si="70"/>
        <v>8.3070349331304527E-5</v>
      </c>
      <c r="AE284" s="17">
        <f t="shared" si="70"/>
        <v>3.1432958346733209E-4</v>
      </c>
      <c r="AF284" s="17">
        <f t="shared" si="70"/>
        <v>9.4269243428168892E-4</v>
      </c>
      <c r="AG284" s="17">
        <f t="shared" si="70"/>
        <v>1.8836092044174357E-3</v>
      </c>
      <c r="AH284" s="17">
        <f t="shared" si="70"/>
        <v>2.8201018368487762E-3</v>
      </c>
      <c r="AI284" s="17">
        <f t="shared" si="70"/>
        <v>4.0620251065395241E-3</v>
      </c>
      <c r="AJ284" s="17">
        <f t="shared" si="70"/>
        <v>4.9791899212705548E-3</v>
      </c>
      <c r="AK284" s="17">
        <f t="shared" si="70"/>
        <v>5.8834930024491694E-3</v>
      </c>
    </row>
    <row r="285" spans="1:37" x14ac:dyDescent="0.25">
      <c r="A285" s="12" t="s">
        <v>474</v>
      </c>
      <c r="B285" s="12"/>
      <c r="C285" s="17">
        <f>C$20/B$20-1</f>
        <v>-3.1123741096129809E-2</v>
      </c>
      <c r="D285" s="17">
        <f t="shared" ref="D285:AK285" si="71">D$20/C$20-1</f>
        <v>-9.5702235945260838E-4</v>
      </c>
      <c r="E285" s="17">
        <f t="shared" si="71"/>
        <v>2.9453809028350486E-2</v>
      </c>
      <c r="F285" s="17">
        <f t="shared" si="71"/>
        <v>-1.3613549250364176E-3</v>
      </c>
      <c r="G285" s="17">
        <f t="shared" si="71"/>
        <v>2.7571307163887004E-2</v>
      </c>
      <c r="H285" s="17">
        <f t="shared" si="71"/>
        <v>3.8181617972879556E-2</v>
      </c>
      <c r="I285" s="17">
        <f t="shared" si="71"/>
        <v>3.4970128680591017E-2</v>
      </c>
      <c r="J285" s="17">
        <f t="shared" si="71"/>
        <v>-8.6761573931145586E-3</v>
      </c>
      <c r="K285" s="17">
        <f t="shared" si="71"/>
        <v>3.6460862521264348E-2</v>
      </c>
      <c r="L285" s="17">
        <f t="shared" si="71"/>
        <v>-1.2355382714238416E-2</v>
      </c>
      <c r="M285" s="17">
        <f t="shared" si="71"/>
        <v>-8.5517552261396013E-3</v>
      </c>
      <c r="N285" s="17">
        <f t="shared" si="71"/>
        <v>1.5377568013679177E-3</v>
      </c>
      <c r="O285" s="17">
        <f t="shared" si="71"/>
        <v>-3.5618168015801421E-2</v>
      </c>
      <c r="P285" s="17">
        <f t="shared" si="71"/>
        <v>1.8456807639730899E-2</v>
      </c>
      <c r="Q285" s="17">
        <f t="shared" si="71"/>
        <v>-2.2440496517448505E-2</v>
      </c>
      <c r="R285" s="17">
        <f t="shared" si="71"/>
        <v>8.5999070925546484E-3</v>
      </c>
      <c r="S285" s="17">
        <f t="shared" si="71"/>
        <v>1.3866676752900542E-3</v>
      </c>
      <c r="T285" s="17">
        <f t="shared" si="71"/>
        <v>1.4160268933569142E-2</v>
      </c>
      <c r="U285" s="17">
        <f t="shared" si="71"/>
        <v>-1.1693579996364889E-2</v>
      </c>
      <c r="V285" s="17">
        <f t="shared" si="71"/>
        <v>-8.042169618595052E-4</v>
      </c>
      <c r="W285" s="17">
        <f t="shared" si="71"/>
        <v>8.6367278003594006E-3</v>
      </c>
      <c r="X285" s="17">
        <f t="shared" si="71"/>
        <v>-7.3454946496181894E-2</v>
      </c>
      <c r="Y285" s="17">
        <f t="shared" si="71"/>
        <v>1.702983487329468E-2</v>
      </c>
      <c r="Z285" s="17">
        <f t="shared" si="71"/>
        <v>3.0304808046352161E-2</v>
      </c>
      <c r="AA285" s="17">
        <f t="shared" si="71"/>
        <v>1.2897427285843754E-2</v>
      </c>
      <c r="AB285" s="17">
        <f t="shared" si="71"/>
        <v>1.3979698489152703E-3</v>
      </c>
      <c r="AC285" s="17">
        <f t="shared" si="71"/>
        <v>3.0807489151696288E-4</v>
      </c>
      <c r="AD285" s="17">
        <f t="shared" si="71"/>
        <v>1.2832500442017114E-4</v>
      </c>
      <c r="AE285" s="17">
        <f t="shared" si="71"/>
        <v>0</v>
      </c>
      <c r="AF285" s="17">
        <f t="shared" si="71"/>
        <v>6.2233233643493868E-4</v>
      </c>
      <c r="AG285" s="17">
        <f t="shared" si="71"/>
        <v>9.3291791966376714E-4</v>
      </c>
      <c r="AH285" s="17">
        <f t="shared" si="71"/>
        <v>1.8640967900280803E-3</v>
      </c>
      <c r="AI285" s="17">
        <f t="shared" si="71"/>
        <v>2.7909425979042446E-3</v>
      </c>
      <c r="AJ285" s="17">
        <f t="shared" si="71"/>
        <v>4.0201415460157097E-3</v>
      </c>
      <c r="AK285" s="17">
        <f t="shared" si="71"/>
        <v>4.9280550393682176E-3</v>
      </c>
    </row>
    <row r="286" spans="1:37" x14ac:dyDescent="0.25">
      <c r="A286" s="12" t="s">
        <v>475</v>
      </c>
      <c r="B286" s="12"/>
      <c r="C286" s="17">
        <f>C$21/B$21-1</f>
        <v>-1.5866417020031554E-2</v>
      </c>
      <c r="D286" s="17">
        <f t="shared" ref="D286:AK286" si="72">D$21/C$21-1</f>
        <v>-2.6077536087952158E-2</v>
      </c>
      <c r="E286" s="17">
        <f t="shared" si="72"/>
        <v>-2.7666236849197556E-3</v>
      </c>
      <c r="F286" s="17">
        <f t="shared" si="72"/>
        <v>2.9951052650061039E-2</v>
      </c>
      <c r="G286" s="17">
        <f t="shared" si="72"/>
        <v>-7.3733838208158708E-3</v>
      </c>
      <c r="H286" s="17">
        <f t="shared" si="72"/>
        <v>2.2891099043253815E-2</v>
      </c>
      <c r="I286" s="17">
        <f t="shared" si="72"/>
        <v>4.2578331342508102E-2</v>
      </c>
      <c r="J286" s="17">
        <f t="shared" si="72"/>
        <v>4.1668503367445986E-2</v>
      </c>
      <c r="K286" s="17">
        <f t="shared" si="72"/>
        <v>-6.8413649508923813E-3</v>
      </c>
      <c r="L286" s="17">
        <f t="shared" si="72"/>
        <v>3.3907872810714945E-2</v>
      </c>
      <c r="M286" s="17">
        <f t="shared" si="72"/>
        <v>-1.5676462661605717E-2</v>
      </c>
      <c r="N286" s="17">
        <f t="shared" si="72"/>
        <v>1.5088886255569811E-3</v>
      </c>
      <c r="O286" s="17">
        <f t="shared" si="72"/>
        <v>-6.005075905775259E-3</v>
      </c>
      <c r="P286" s="17">
        <f t="shared" si="72"/>
        <v>-2.0223526098925304E-2</v>
      </c>
      <c r="Q286" s="17">
        <f t="shared" si="72"/>
        <v>-6.0899868726971285E-3</v>
      </c>
      <c r="R286" s="17">
        <f t="shared" si="72"/>
        <v>-1.4413626957709536E-2</v>
      </c>
      <c r="S286" s="17">
        <f t="shared" si="72"/>
        <v>3.564639374197931E-2</v>
      </c>
      <c r="T286" s="17">
        <f t="shared" si="72"/>
        <v>-8.558496892269174E-3</v>
      </c>
      <c r="U286" s="17">
        <f t="shared" si="72"/>
        <v>1.4964561335650828E-5</v>
      </c>
      <c r="V286" s="17">
        <f t="shared" si="72"/>
        <v>-1.5931674779626093E-2</v>
      </c>
      <c r="W286" s="17">
        <f t="shared" si="72"/>
        <v>3.726569646751221E-3</v>
      </c>
      <c r="X286" s="17">
        <f t="shared" si="72"/>
        <v>2.1095978808610027E-2</v>
      </c>
      <c r="Y286" s="17">
        <f t="shared" si="72"/>
        <v>-7.2372876333697822E-2</v>
      </c>
      <c r="Z286" s="17">
        <f t="shared" si="72"/>
        <v>1.7187543927669191E-2</v>
      </c>
      <c r="AA286" s="17">
        <f t="shared" si="72"/>
        <v>2.972623249276829E-2</v>
      </c>
      <c r="AB286" s="17">
        <f t="shared" si="72"/>
        <v>2.3149289455186572E-3</v>
      </c>
      <c r="AC286" s="17">
        <f t="shared" si="72"/>
        <v>1.2311375125579893E-3</v>
      </c>
      <c r="AD286" s="17">
        <f t="shared" si="72"/>
        <v>4.3529203296999164E-4</v>
      </c>
      <c r="AE286" s="17">
        <f t="shared" si="72"/>
        <v>0</v>
      </c>
      <c r="AF286" s="17">
        <f t="shared" si="72"/>
        <v>3.0807056199755323E-4</v>
      </c>
      <c r="AG286" s="17">
        <f t="shared" si="72"/>
        <v>3.0797568375562356E-4</v>
      </c>
      <c r="AH286" s="17">
        <f t="shared" si="72"/>
        <v>9.2364259180821584E-4</v>
      </c>
      <c r="AI286" s="17">
        <f t="shared" si="72"/>
        <v>2.1531772813079275E-3</v>
      </c>
      <c r="AJ286" s="17">
        <f t="shared" si="72"/>
        <v>2.7624228042295584E-3</v>
      </c>
      <c r="AK286" s="17">
        <f t="shared" si="72"/>
        <v>3.9791741114685308E-3</v>
      </c>
    </row>
    <row r="287" spans="1:37" x14ac:dyDescent="0.25">
      <c r="A287" s="12" t="s">
        <v>476</v>
      </c>
      <c r="B287" s="12"/>
      <c r="C287" s="17">
        <f>C$22/B$22-1</f>
        <v>3.6029982152580464E-2</v>
      </c>
      <c r="D287" s="17">
        <f t="shared" ref="D287:AK287" si="73">D$22/C$22-1</f>
        <v>-1.3233805740437421E-2</v>
      </c>
      <c r="E287" s="17">
        <f t="shared" si="73"/>
        <v>-2.6320436927480428E-2</v>
      </c>
      <c r="F287" s="17">
        <f t="shared" si="73"/>
        <v>-3.1985661769776685E-3</v>
      </c>
      <c r="G287" s="17">
        <f t="shared" si="73"/>
        <v>2.8726470339944576E-2</v>
      </c>
      <c r="H287" s="17">
        <f t="shared" si="73"/>
        <v>-1.2703541011289676E-2</v>
      </c>
      <c r="I287" s="17">
        <f t="shared" si="73"/>
        <v>2.3657369638355075E-2</v>
      </c>
      <c r="J287" s="17">
        <f t="shared" si="73"/>
        <v>5.1340875393803387E-2</v>
      </c>
      <c r="K287" s="17">
        <f t="shared" si="73"/>
        <v>4.1726843807551095E-2</v>
      </c>
      <c r="L287" s="17">
        <f t="shared" si="73"/>
        <v>-9.6192868416110633E-3</v>
      </c>
      <c r="M287" s="17">
        <f t="shared" si="73"/>
        <v>2.9737042726031504E-2</v>
      </c>
      <c r="N287" s="17">
        <f t="shared" si="73"/>
        <v>-7.8188596976259683E-3</v>
      </c>
      <c r="O287" s="17">
        <f t="shared" si="73"/>
        <v>-3.5414708146439544E-3</v>
      </c>
      <c r="P287" s="17">
        <f t="shared" si="73"/>
        <v>1.0932686749193898E-2</v>
      </c>
      <c r="Q287" s="17">
        <f t="shared" si="73"/>
        <v>-4.1708682413894249E-2</v>
      </c>
      <c r="R287" s="17">
        <f t="shared" si="73"/>
        <v>1.4011855381108607E-3</v>
      </c>
      <c r="S287" s="17">
        <f t="shared" si="73"/>
        <v>7.6161125870559676E-3</v>
      </c>
      <c r="T287" s="17">
        <f t="shared" si="73"/>
        <v>2.6886424421910915E-2</v>
      </c>
      <c r="U287" s="17">
        <f t="shared" si="73"/>
        <v>-1.9871650860716406E-2</v>
      </c>
      <c r="V287" s="17">
        <f t="shared" si="73"/>
        <v>-4.411134874546363E-3</v>
      </c>
      <c r="W287" s="17">
        <f t="shared" si="73"/>
        <v>-1.1357779268124091E-2</v>
      </c>
      <c r="X287" s="17">
        <f t="shared" si="73"/>
        <v>1.6177145302403328E-2</v>
      </c>
      <c r="Y287" s="17">
        <f t="shared" si="73"/>
        <v>2.1342449436620559E-2</v>
      </c>
      <c r="Z287" s="17">
        <f t="shared" si="73"/>
        <v>-7.1071675790761568E-2</v>
      </c>
      <c r="AA287" s="17">
        <f t="shared" si="73"/>
        <v>1.6390493455873401E-2</v>
      </c>
      <c r="AB287" s="17">
        <f t="shared" si="73"/>
        <v>1.7614340770659265E-2</v>
      </c>
      <c r="AC287" s="17">
        <f t="shared" si="73"/>
        <v>2.1419467914751689E-3</v>
      </c>
      <c r="AD287" s="17">
        <f t="shared" si="73"/>
        <v>1.0434658911249173E-3</v>
      </c>
      <c r="AE287" s="17">
        <f t="shared" si="73"/>
        <v>3.0547248086176815E-4</v>
      </c>
      <c r="AF287" s="17">
        <f t="shared" si="73"/>
        <v>0</v>
      </c>
      <c r="AG287" s="17">
        <f t="shared" si="73"/>
        <v>3.0537919592132923E-4</v>
      </c>
      <c r="AH287" s="17">
        <f t="shared" si="73"/>
        <v>6.1057193587554792E-4</v>
      </c>
      <c r="AI287" s="17">
        <f t="shared" si="73"/>
        <v>9.1529904790177419E-4</v>
      </c>
      <c r="AJ287" s="17">
        <f t="shared" si="73"/>
        <v>2.1337447638869467E-3</v>
      </c>
      <c r="AK287" s="17">
        <f t="shared" si="73"/>
        <v>2.7375449028950172E-3</v>
      </c>
    </row>
    <row r="288" spans="1:37" x14ac:dyDescent="0.25">
      <c r="A288" s="12" t="s">
        <v>477</v>
      </c>
      <c r="B288" s="12"/>
      <c r="C288" s="17">
        <f>C$23/B$23-1</f>
        <v>-1.9440925742880477E-2</v>
      </c>
      <c r="D288" s="17">
        <f t="shared" ref="D288:AK288" si="74">D$23/C$23-1</f>
        <v>3.9829494252239916E-2</v>
      </c>
      <c r="E288" s="17">
        <f t="shared" si="74"/>
        <v>-1.2833301340572811E-2</v>
      </c>
      <c r="F288" s="17">
        <f t="shared" si="74"/>
        <v>-2.6909794486620231E-2</v>
      </c>
      <c r="G288" s="17">
        <f t="shared" si="74"/>
        <v>-5.7316810656854456E-3</v>
      </c>
      <c r="H288" s="17">
        <f t="shared" si="74"/>
        <v>2.2108775337174258E-2</v>
      </c>
      <c r="I288" s="17">
        <f t="shared" si="74"/>
        <v>-9.6386008682505242E-3</v>
      </c>
      <c r="J288" s="17">
        <f t="shared" si="74"/>
        <v>3.1387578728965249E-2</v>
      </c>
      <c r="K288" s="17">
        <f t="shared" si="74"/>
        <v>5.2056852849292845E-2</v>
      </c>
      <c r="L288" s="17">
        <f t="shared" si="74"/>
        <v>3.8513219853626879E-2</v>
      </c>
      <c r="M288" s="17">
        <f t="shared" si="74"/>
        <v>-1.3892355989635674E-2</v>
      </c>
      <c r="N288" s="17">
        <f t="shared" si="74"/>
        <v>3.4647281146931608E-2</v>
      </c>
      <c r="O288" s="17">
        <f t="shared" si="74"/>
        <v>-9.096321716461464E-3</v>
      </c>
      <c r="P288" s="17">
        <f t="shared" si="74"/>
        <v>1.1195635223777201E-2</v>
      </c>
      <c r="Q288" s="17">
        <f t="shared" si="74"/>
        <v>-1.0365777245975316E-2</v>
      </c>
      <c r="R288" s="17">
        <f t="shared" si="74"/>
        <v>-3.4312236529580376E-2</v>
      </c>
      <c r="S288" s="17">
        <f t="shared" si="74"/>
        <v>2.498032027460817E-2</v>
      </c>
      <c r="T288" s="17">
        <f t="shared" si="74"/>
        <v>-1.5944389537954073E-3</v>
      </c>
      <c r="U288" s="17">
        <f t="shared" si="74"/>
        <v>1.4300361632670455E-2</v>
      </c>
      <c r="V288" s="17">
        <f t="shared" si="74"/>
        <v>-2.4205186433157611E-2</v>
      </c>
      <c r="W288" s="17">
        <f t="shared" si="74"/>
        <v>5.9783496648257994E-5</v>
      </c>
      <c r="X288" s="17">
        <f t="shared" si="74"/>
        <v>1.0849345868528815E-3</v>
      </c>
      <c r="Y288" s="17">
        <f t="shared" si="74"/>
        <v>1.6470152080534373E-2</v>
      </c>
      <c r="Z288" s="17">
        <f t="shared" si="74"/>
        <v>2.1817665014379095E-2</v>
      </c>
      <c r="AA288" s="17">
        <f t="shared" si="74"/>
        <v>-7.0981166643732996E-2</v>
      </c>
      <c r="AB288" s="17">
        <f t="shared" si="74"/>
        <v>5.7367242109989114E-3</v>
      </c>
      <c r="AC288" s="17">
        <f t="shared" si="74"/>
        <v>1.6968910040345841E-2</v>
      </c>
      <c r="AD288" s="17">
        <f t="shared" si="74"/>
        <v>1.9457295897447047E-3</v>
      </c>
      <c r="AE288" s="17">
        <f t="shared" si="74"/>
        <v>1.2113823394592771E-3</v>
      </c>
      <c r="AF288" s="17">
        <f t="shared" si="74"/>
        <v>3.0247916694392529E-4</v>
      </c>
      <c r="AG288" s="17">
        <f t="shared" si="74"/>
        <v>3.0238770096402412E-4</v>
      </c>
      <c r="AH288" s="17">
        <f t="shared" si="74"/>
        <v>0</v>
      </c>
      <c r="AI288" s="17">
        <f t="shared" si="74"/>
        <v>6.0459258056755338E-4</v>
      </c>
      <c r="AJ288" s="17">
        <f t="shared" si="74"/>
        <v>1.2084545384871692E-3</v>
      </c>
      <c r="AK288" s="17">
        <f t="shared" si="74"/>
        <v>2.1122428928423975E-3</v>
      </c>
    </row>
    <row r="289" spans="1:37" x14ac:dyDescent="0.25">
      <c r="A289" s="12" t="s">
        <v>478</v>
      </c>
      <c r="B289" s="12"/>
      <c r="C289" s="17">
        <f>C$24/B$24-1</f>
        <v>-1.0569167876653962E-3</v>
      </c>
      <c r="D289" s="17">
        <f t="shared" ref="D289:AK289" si="75">D$24/C$24-1</f>
        <v>-1.7505333856300043E-2</v>
      </c>
      <c r="E289" s="17">
        <f t="shared" si="75"/>
        <v>4.1343787569788626E-2</v>
      </c>
      <c r="F289" s="17">
        <f t="shared" si="75"/>
        <v>-1.174862595619941E-2</v>
      </c>
      <c r="G289" s="17">
        <f t="shared" si="75"/>
        <v>-3.055403287448355E-2</v>
      </c>
      <c r="H289" s="17">
        <f t="shared" si="75"/>
        <v>-1.147736637189456E-2</v>
      </c>
      <c r="I289" s="17">
        <f t="shared" si="75"/>
        <v>2.3560979033688367E-2</v>
      </c>
      <c r="J289" s="17">
        <f t="shared" si="75"/>
        <v>-1.0264580775298793E-3</v>
      </c>
      <c r="K289" s="17">
        <f t="shared" si="75"/>
        <v>3.2562925465499326E-2</v>
      </c>
      <c r="L289" s="17">
        <f t="shared" si="75"/>
        <v>4.8074942794050557E-2</v>
      </c>
      <c r="M289" s="17">
        <f t="shared" si="75"/>
        <v>3.4235847448085055E-2</v>
      </c>
      <c r="N289" s="17">
        <f t="shared" si="75"/>
        <v>-9.1505083859731995E-3</v>
      </c>
      <c r="O289" s="17">
        <f t="shared" si="75"/>
        <v>2.9125614917217879E-2</v>
      </c>
      <c r="P289" s="17">
        <f t="shared" si="75"/>
        <v>8.374294344348554E-3</v>
      </c>
      <c r="Q289" s="17">
        <f t="shared" si="75"/>
        <v>-1.0936969799543284E-2</v>
      </c>
      <c r="R289" s="17">
        <f t="shared" si="75"/>
        <v>-3.11395886231014E-3</v>
      </c>
      <c r="S289" s="17">
        <f t="shared" si="75"/>
        <v>-9.4160660911009053E-3</v>
      </c>
      <c r="T289" s="17">
        <f t="shared" si="75"/>
        <v>1.5204887478376783E-2</v>
      </c>
      <c r="U289" s="17">
        <f t="shared" si="75"/>
        <v>-1.424811945361526E-2</v>
      </c>
      <c r="V289" s="17">
        <f t="shared" si="75"/>
        <v>9.8836353659852438E-3</v>
      </c>
      <c r="W289" s="17">
        <f t="shared" si="75"/>
        <v>-1.9988648435758871E-2</v>
      </c>
      <c r="X289" s="17">
        <f t="shared" si="75"/>
        <v>1.2545908100453751E-2</v>
      </c>
      <c r="Y289" s="17">
        <f t="shared" si="75"/>
        <v>1.2037705818626065E-3</v>
      </c>
      <c r="Z289" s="17">
        <f t="shared" si="75"/>
        <v>1.6990199256802674E-2</v>
      </c>
      <c r="AA289" s="17">
        <f t="shared" si="75"/>
        <v>2.1294410599715707E-2</v>
      </c>
      <c r="AB289" s="17">
        <f t="shared" si="75"/>
        <v>-7.2485898406971727E-2</v>
      </c>
      <c r="AC289" s="17">
        <f t="shared" si="75"/>
        <v>5.480770617052988E-3</v>
      </c>
      <c r="AD289" s="17">
        <f t="shared" si="75"/>
        <v>1.6790053760750379E-2</v>
      </c>
      <c r="AE289" s="17">
        <f t="shared" si="75"/>
        <v>1.7879917066019324E-3</v>
      </c>
      <c r="AF289" s="17">
        <f t="shared" si="75"/>
        <v>1.1898669987422394E-3</v>
      </c>
      <c r="AG289" s="17">
        <f t="shared" si="75"/>
        <v>2.9711322446490662E-4</v>
      </c>
      <c r="AH289" s="17">
        <f t="shared" si="75"/>
        <v>2.9702497441697062E-4</v>
      </c>
      <c r="AI289" s="17">
        <f t="shared" si="75"/>
        <v>2.9693677677844477E-4</v>
      </c>
      <c r="AJ289" s="17">
        <f t="shared" si="75"/>
        <v>5.9369726300517733E-4</v>
      </c>
      <c r="AK289" s="17">
        <f t="shared" si="75"/>
        <v>1.1866899914105833E-3</v>
      </c>
    </row>
    <row r="290" spans="1:37" x14ac:dyDescent="0.25">
      <c r="A290" s="12" t="s">
        <v>479</v>
      </c>
      <c r="B290" s="12"/>
      <c r="C290" s="17">
        <f>C$25/B$25-1</f>
        <v>-1.4730907660369885E-2</v>
      </c>
      <c r="D290" s="17">
        <f t="shared" ref="D290:AK290" si="76">D$25/C$25-1</f>
        <v>3.9414983559522554E-3</v>
      </c>
      <c r="E290" s="17">
        <f t="shared" si="76"/>
        <v>-1.8106400422534974E-2</v>
      </c>
      <c r="F290" s="17">
        <f t="shared" si="76"/>
        <v>4.4621776518149137E-2</v>
      </c>
      <c r="G290" s="17">
        <f t="shared" si="76"/>
        <v>-1.3729450552445233E-2</v>
      </c>
      <c r="H290" s="17">
        <f t="shared" si="76"/>
        <v>-3.6278002943776033E-2</v>
      </c>
      <c r="I290" s="17">
        <f t="shared" si="76"/>
        <v>-8.3391271610085971E-3</v>
      </c>
      <c r="J290" s="17">
        <f t="shared" si="76"/>
        <v>2.6946132569946268E-2</v>
      </c>
      <c r="K290" s="17">
        <f t="shared" si="76"/>
        <v>2.7805625313845894E-3</v>
      </c>
      <c r="L290" s="17">
        <f t="shared" si="76"/>
        <v>2.9183280166320991E-2</v>
      </c>
      <c r="M290" s="17">
        <f t="shared" si="76"/>
        <v>4.298670352994538E-2</v>
      </c>
      <c r="N290" s="17">
        <f t="shared" si="76"/>
        <v>3.7079312991389113E-2</v>
      </c>
      <c r="O290" s="17">
        <f t="shared" si="76"/>
        <v>-1.3433366971258298E-2</v>
      </c>
      <c r="P290" s="17">
        <f t="shared" si="76"/>
        <v>4.5271915401185137E-2</v>
      </c>
      <c r="Q290" s="17">
        <f t="shared" si="76"/>
        <v>-1.1793367188995485E-2</v>
      </c>
      <c r="R290" s="17">
        <f t="shared" si="76"/>
        <v>-3.974655641328928E-3</v>
      </c>
      <c r="S290" s="17">
        <f t="shared" si="76"/>
        <v>2.1087833728322236E-2</v>
      </c>
      <c r="T290" s="17">
        <f t="shared" si="76"/>
        <v>-1.6333170975584177E-2</v>
      </c>
      <c r="U290" s="17">
        <f t="shared" si="76"/>
        <v>1.8951976049148556E-3</v>
      </c>
      <c r="V290" s="17">
        <f t="shared" si="76"/>
        <v>-1.8445275616934098E-2</v>
      </c>
      <c r="W290" s="17">
        <f t="shared" si="76"/>
        <v>1.3795630368314438E-2</v>
      </c>
      <c r="X290" s="17">
        <f t="shared" si="76"/>
        <v>-7.5355301108473993E-3</v>
      </c>
      <c r="Y290" s="17">
        <f t="shared" si="76"/>
        <v>1.2876097102687556E-2</v>
      </c>
      <c r="Z290" s="17">
        <f t="shared" si="76"/>
        <v>1.8606179227025343E-3</v>
      </c>
      <c r="AA290" s="17">
        <f t="shared" si="76"/>
        <v>1.6195478273668407E-2</v>
      </c>
      <c r="AB290" s="17">
        <f t="shared" si="76"/>
        <v>9.739826176277111E-3</v>
      </c>
      <c r="AC290" s="17">
        <f t="shared" si="76"/>
        <v>-7.1698335632135679E-2</v>
      </c>
      <c r="AD290" s="17">
        <f t="shared" si="76"/>
        <v>5.2493647828344425E-3</v>
      </c>
      <c r="AE290" s="17">
        <f t="shared" si="76"/>
        <v>1.6504690032132396E-2</v>
      </c>
      <c r="AF290" s="17">
        <f t="shared" si="76"/>
        <v>1.7712772577684888E-3</v>
      </c>
      <c r="AG290" s="17">
        <f t="shared" si="76"/>
        <v>1.1787635880431413E-3</v>
      </c>
      <c r="AH290" s="17">
        <f t="shared" si="76"/>
        <v>5.8868787019550339E-4</v>
      </c>
      <c r="AI290" s="17">
        <f t="shared" si="76"/>
        <v>2.9417076033944056E-4</v>
      </c>
      <c r="AJ290" s="17">
        <f t="shared" si="76"/>
        <v>2.9408424935217781E-4</v>
      </c>
      <c r="AK290" s="17">
        <f t="shared" si="76"/>
        <v>5.8799557846600514E-4</v>
      </c>
    </row>
    <row r="291" spans="1:37" x14ac:dyDescent="0.25">
      <c r="A291" s="12" t="s">
        <v>480</v>
      </c>
      <c r="B291" s="12"/>
      <c r="C291" s="17">
        <f>C$26/B$26-1</f>
        <v>-2.3806225926981672E-2</v>
      </c>
      <c r="D291" s="17">
        <f t="shared" ref="D291:AK291" si="77">D$26/C$26-1</f>
        <v>-8.008556979827941E-3</v>
      </c>
      <c r="E291" s="17">
        <f t="shared" si="77"/>
        <v>3.5510568963297295E-3</v>
      </c>
      <c r="F291" s="17">
        <f t="shared" si="77"/>
        <v>-1.7696871376230883E-2</v>
      </c>
      <c r="G291" s="17">
        <f t="shared" si="77"/>
        <v>4.2936285793654605E-2</v>
      </c>
      <c r="H291" s="17">
        <f t="shared" si="77"/>
        <v>-1.5454701784056279E-2</v>
      </c>
      <c r="I291" s="17">
        <f t="shared" si="77"/>
        <v>-3.4861423858373874E-2</v>
      </c>
      <c r="J291" s="17">
        <f t="shared" si="77"/>
        <v>-4.60259918634498E-3</v>
      </c>
      <c r="K291" s="17">
        <f t="shared" si="77"/>
        <v>2.8174571475577004E-2</v>
      </c>
      <c r="L291" s="17">
        <f t="shared" si="77"/>
        <v>8.3413750623284599E-4</v>
      </c>
      <c r="M291" s="17">
        <f t="shared" si="77"/>
        <v>2.341247912011335E-2</v>
      </c>
      <c r="N291" s="17">
        <f t="shared" si="77"/>
        <v>5.0368462340200537E-2</v>
      </c>
      <c r="O291" s="17">
        <f t="shared" si="77"/>
        <v>3.2406034915487325E-2</v>
      </c>
      <c r="P291" s="17">
        <f t="shared" si="77"/>
        <v>9.8726986220376567E-4</v>
      </c>
      <c r="Q291" s="17">
        <f t="shared" si="77"/>
        <v>2.240781680866788E-2</v>
      </c>
      <c r="R291" s="17">
        <f t="shared" si="77"/>
        <v>-5.7142649914272425E-3</v>
      </c>
      <c r="S291" s="17">
        <f t="shared" si="77"/>
        <v>2.0371897280858642E-2</v>
      </c>
      <c r="T291" s="17">
        <f t="shared" si="77"/>
        <v>1.0548640604797432E-2</v>
      </c>
      <c r="U291" s="17">
        <f t="shared" si="77"/>
        <v>-2.5530300836288267E-2</v>
      </c>
      <c r="V291" s="17">
        <f t="shared" si="77"/>
        <v>-2.9456381415828847E-3</v>
      </c>
      <c r="W291" s="17">
        <f t="shared" si="77"/>
        <v>-1.4071411865495875E-2</v>
      </c>
      <c r="X291" s="17">
        <f t="shared" si="77"/>
        <v>2.6102683334690457E-2</v>
      </c>
      <c r="Y291" s="17">
        <f t="shared" si="77"/>
        <v>-6.6972106195989367E-3</v>
      </c>
      <c r="Z291" s="17">
        <f t="shared" si="77"/>
        <v>1.3123138631830011E-2</v>
      </c>
      <c r="AA291" s="17">
        <f t="shared" si="77"/>
        <v>1.5231852724695294E-3</v>
      </c>
      <c r="AB291" s="17">
        <f t="shared" si="77"/>
        <v>5.4746024820870876E-3</v>
      </c>
      <c r="AC291" s="17">
        <f t="shared" si="77"/>
        <v>9.2298821609284598E-3</v>
      </c>
      <c r="AD291" s="17">
        <f t="shared" si="77"/>
        <v>-7.1190726997012899E-2</v>
      </c>
      <c r="AE291" s="17">
        <f t="shared" si="77"/>
        <v>5.3766947874716031E-3</v>
      </c>
      <c r="AF291" s="17">
        <f t="shared" si="77"/>
        <v>1.6340929438252383E-2</v>
      </c>
      <c r="AG291" s="17">
        <f t="shared" si="77"/>
        <v>1.7539851010375251E-3</v>
      </c>
      <c r="AH291" s="17">
        <f t="shared" si="77"/>
        <v>1.1672760159509021E-3</v>
      </c>
      <c r="AI291" s="17">
        <f t="shared" si="77"/>
        <v>5.8295753562576103E-4</v>
      </c>
      <c r="AJ291" s="17">
        <f t="shared" si="77"/>
        <v>5.8261789413394105E-4</v>
      </c>
      <c r="AK291" s="17">
        <f t="shared" si="77"/>
        <v>2.9113932408719734E-4</v>
      </c>
    </row>
    <row r="292" spans="1:37" x14ac:dyDescent="0.25">
      <c r="A292" s="12" t="s">
        <v>481</v>
      </c>
      <c r="B292" s="12"/>
      <c r="C292" s="17">
        <f>C$27/B$27-1</f>
        <v>-2.5796233404586921E-3</v>
      </c>
      <c r="D292" s="17">
        <f t="shared" ref="D292:AK292" si="78">D$27/C$27-1</f>
        <v>-1.8794616789170049E-2</v>
      </c>
      <c r="E292" s="17">
        <f t="shared" si="78"/>
        <v>-4.2810446636839528E-3</v>
      </c>
      <c r="F292" s="17">
        <f t="shared" si="78"/>
        <v>6.9287929310160035E-3</v>
      </c>
      <c r="G292" s="17">
        <f t="shared" si="78"/>
        <v>-2.0308112096350084E-2</v>
      </c>
      <c r="H292" s="17">
        <f t="shared" si="78"/>
        <v>3.7371072485459012E-2</v>
      </c>
      <c r="I292" s="17">
        <f t="shared" si="78"/>
        <v>-1.1735654984321497E-2</v>
      </c>
      <c r="J292" s="17">
        <f t="shared" si="78"/>
        <v>-2.9455888385135909E-2</v>
      </c>
      <c r="K292" s="17">
        <f t="shared" si="78"/>
        <v>-2.8515492782442697E-3</v>
      </c>
      <c r="L292" s="17">
        <f t="shared" si="78"/>
        <v>2.4122857686873722E-2</v>
      </c>
      <c r="M292" s="17">
        <f t="shared" si="78"/>
        <v>-4.1433451937169519E-3</v>
      </c>
      <c r="N292" s="17">
        <f t="shared" si="78"/>
        <v>2.9098344579886914E-2</v>
      </c>
      <c r="O292" s="17">
        <f t="shared" si="78"/>
        <v>4.588683437620622E-2</v>
      </c>
      <c r="P292" s="17">
        <f t="shared" si="78"/>
        <v>4.7476558910629185E-2</v>
      </c>
      <c r="Q292" s="17">
        <f t="shared" si="78"/>
        <v>-2.2047295008507772E-2</v>
      </c>
      <c r="R292" s="17">
        <f t="shared" si="78"/>
        <v>2.953233933703614E-2</v>
      </c>
      <c r="S292" s="17">
        <f t="shared" si="78"/>
        <v>1.8433406935774554E-2</v>
      </c>
      <c r="T292" s="17">
        <f t="shared" si="78"/>
        <v>1.0740848622278421E-2</v>
      </c>
      <c r="U292" s="17">
        <f t="shared" si="78"/>
        <v>2.6908017334492662E-4</v>
      </c>
      <c r="V292" s="17">
        <f t="shared" si="78"/>
        <v>-3.0189966344994934E-2</v>
      </c>
      <c r="W292" s="17">
        <f t="shared" si="78"/>
        <v>1.304501992756002E-3</v>
      </c>
      <c r="X292" s="17">
        <f t="shared" si="78"/>
        <v>-1.8023826968842638E-3</v>
      </c>
      <c r="Y292" s="17">
        <f t="shared" si="78"/>
        <v>2.664777133072449E-2</v>
      </c>
      <c r="Z292" s="17">
        <f t="shared" si="78"/>
        <v>-6.2683182822377281E-3</v>
      </c>
      <c r="AA292" s="17">
        <f t="shared" si="78"/>
        <v>1.236390256705211E-2</v>
      </c>
      <c r="AB292" s="17">
        <f t="shared" si="78"/>
        <v>-7.8900164368896908E-3</v>
      </c>
      <c r="AC292" s="17">
        <f t="shared" si="78"/>
        <v>5.2816513200375503E-3</v>
      </c>
      <c r="AD292" s="17">
        <f t="shared" si="78"/>
        <v>9.2538936453960829E-3</v>
      </c>
      <c r="AE292" s="17">
        <f t="shared" si="78"/>
        <v>-7.0548925133099849E-2</v>
      </c>
      <c r="AF292" s="17">
        <f t="shared" si="78"/>
        <v>5.3162237231128007E-3</v>
      </c>
      <c r="AG292" s="17">
        <f t="shared" si="78"/>
        <v>1.6158116768050457E-2</v>
      </c>
      <c r="AH292" s="17">
        <f t="shared" si="78"/>
        <v>2.0237870019694792E-3</v>
      </c>
      <c r="AI292" s="17">
        <f t="shared" si="78"/>
        <v>1.1541140344295542E-3</v>
      </c>
      <c r="AJ292" s="17">
        <f t="shared" si="78"/>
        <v>5.7639179535429186E-4</v>
      </c>
      <c r="AK292" s="17">
        <f t="shared" si="78"/>
        <v>5.7605975923546993E-4</v>
      </c>
    </row>
    <row r="293" spans="1:37" x14ac:dyDescent="0.25">
      <c r="A293" s="12" t="s">
        <v>482</v>
      </c>
      <c r="B293" s="12"/>
      <c r="C293" s="17">
        <f>C$28/B$28-1</f>
        <v>-2.723131395058076E-2</v>
      </c>
      <c r="D293" s="17">
        <f t="shared" ref="D293:AK293" si="79">D$28/C$28-1</f>
        <v>1.4878394547677143E-3</v>
      </c>
      <c r="E293" s="17">
        <f t="shared" si="79"/>
        <v>-1.5810512798866805E-2</v>
      </c>
      <c r="F293" s="17">
        <f t="shared" si="79"/>
        <v>4.5985515769553231E-4</v>
      </c>
      <c r="G293" s="17">
        <f t="shared" si="79"/>
        <v>3.103550452224324E-3</v>
      </c>
      <c r="H293" s="17">
        <f t="shared" si="79"/>
        <v>-2.3030637915138374E-2</v>
      </c>
      <c r="I293" s="17">
        <f t="shared" si="79"/>
        <v>3.8055768127315259E-2</v>
      </c>
      <c r="J293" s="17">
        <f t="shared" si="79"/>
        <v>-6.1454442115398411E-3</v>
      </c>
      <c r="K293" s="17">
        <f t="shared" si="79"/>
        <v>-2.4967839794198921E-2</v>
      </c>
      <c r="L293" s="17">
        <f t="shared" si="79"/>
        <v>-7.8330467808773729E-3</v>
      </c>
      <c r="M293" s="17">
        <f t="shared" si="79"/>
        <v>1.8081855461206331E-2</v>
      </c>
      <c r="N293" s="17">
        <f t="shared" si="79"/>
        <v>5.4478131679132069E-3</v>
      </c>
      <c r="O293" s="17">
        <f t="shared" si="79"/>
        <v>2.3642067159460156E-2</v>
      </c>
      <c r="P293" s="17">
        <f t="shared" si="79"/>
        <v>6.1619152698737745E-2</v>
      </c>
      <c r="Q293" s="17">
        <f t="shared" si="79"/>
        <v>2.4100698007272658E-2</v>
      </c>
      <c r="R293" s="17">
        <f t="shared" si="79"/>
        <v>-1.781927950974882E-2</v>
      </c>
      <c r="S293" s="17">
        <f t="shared" si="79"/>
        <v>5.2769493636359188E-2</v>
      </c>
      <c r="T293" s="17">
        <f t="shared" si="79"/>
        <v>9.4645778073700892E-3</v>
      </c>
      <c r="U293" s="17">
        <f t="shared" si="79"/>
        <v>2.6357948709041512E-3</v>
      </c>
      <c r="V293" s="17">
        <f t="shared" si="79"/>
        <v>-5.0609392951496135E-3</v>
      </c>
      <c r="W293" s="17">
        <f t="shared" si="79"/>
        <v>-2.5837845554928296E-2</v>
      </c>
      <c r="X293" s="17">
        <f t="shared" si="79"/>
        <v>1.3625375482508861E-2</v>
      </c>
      <c r="Y293" s="17">
        <f t="shared" si="79"/>
        <v>-1.3040992403270391E-3</v>
      </c>
      <c r="Z293" s="17">
        <f t="shared" si="79"/>
        <v>2.7077443331186002E-2</v>
      </c>
      <c r="AA293" s="17">
        <f t="shared" si="79"/>
        <v>-6.8271888408528714E-3</v>
      </c>
      <c r="AB293" s="17">
        <f t="shared" si="79"/>
        <v>2.0399862066580177E-3</v>
      </c>
      <c r="AC293" s="17">
        <f t="shared" si="79"/>
        <v>-7.6658580246823371E-3</v>
      </c>
      <c r="AD293" s="17">
        <f t="shared" si="79"/>
        <v>4.7948077955761725E-3</v>
      </c>
      <c r="AE293" s="17">
        <f t="shared" si="79"/>
        <v>9.0493940018840924E-3</v>
      </c>
      <c r="AF293" s="17">
        <f t="shared" si="79"/>
        <v>-6.9571777107312549E-2</v>
      </c>
      <c r="AG293" s="17">
        <f t="shared" si="79"/>
        <v>5.2575421268385991E-3</v>
      </c>
      <c r="AH293" s="17">
        <f t="shared" si="79"/>
        <v>1.5980692888153625E-2</v>
      </c>
      <c r="AI293" s="17">
        <f t="shared" si="79"/>
        <v>2.0019143885514623E-3</v>
      </c>
      <c r="AJ293" s="17">
        <f t="shared" si="79"/>
        <v>1.1416655624558736E-3</v>
      </c>
      <c r="AK293" s="17">
        <f t="shared" si="79"/>
        <v>8.552727364121715E-4</v>
      </c>
    </row>
    <row r="294" spans="1:37" x14ac:dyDescent="0.25">
      <c r="A294" s="12" t="s">
        <v>483</v>
      </c>
      <c r="B294" s="12"/>
      <c r="C294" s="17">
        <f>C$29/B$29-1</f>
        <v>-1.1674097200770062E-2</v>
      </c>
      <c r="D294" s="17">
        <f t="shared" ref="D294:AK294" si="80">D$29/C$29-1</f>
        <v>-2.1287713262576502E-2</v>
      </c>
      <c r="E294" s="17">
        <f t="shared" si="80"/>
        <v>2.45893809010167E-3</v>
      </c>
      <c r="F294" s="17">
        <f t="shared" si="80"/>
        <v>-9.4776116445685066E-3</v>
      </c>
      <c r="G294" s="17">
        <f t="shared" si="80"/>
        <v>4.0609984227701901E-4</v>
      </c>
      <c r="H294" s="17">
        <f t="shared" si="80"/>
        <v>-1.7244134542383494E-3</v>
      </c>
      <c r="I294" s="17">
        <f t="shared" si="80"/>
        <v>-2.0952845708156254E-2</v>
      </c>
      <c r="J294" s="17">
        <f t="shared" si="80"/>
        <v>3.957357716212706E-2</v>
      </c>
      <c r="K294" s="17">
        <f t="shared" si="80"/>
        <v>-5.4243097829864695E-4</v>
      </c>
      <c r="L294" s="17">
        <f t="shared" si="80"/>
        <v>-2.6299273645978061E-2</v>
      </c>
      <c r="M294" s="17">
        <f t="shared" si="80"/>
        <v>-1.1632359162822348E-2</v>
      </c>
      <c r="N294" s="17">
        <f t="shared" si="80"/>
        <v>2.1305992652523198E-2</v>
      </c>
      <c r="O294" s="17">
        <f t="shared" si="80"/>
        <v>2.1293742821528738E-3</v>
      </c>
      <c r="P294" s="17">
        <f t="shared" si="80"/>
        <v>3.6758527311126832E-2</v>
      </c>
      <c r="Q294" s="17">
        <f t="shared" si="80"/>
        <v>4.0079707870579462E-2</v>
      </c>
      <c r="R294" s="17">
        <f t="shared" si="80"/>
        <v>2.9597751913202686E-2</v>
      </c>
      <c r="S294" s="17">
        <f t="shared" si="80"/>
        <v>6.062817556343969E-3</v>
      </c>
      <c r="T294" s="17">
        <f t="shared" si="80"/>
        <v>4.1212237669354224E-2</v>
      </c>
      <c r="U294" s="17">
        <f t="shared" si="80"/>
        <v>9.2204538893492227E-4</v>
      </c>
      <c r="V294" s="17">
        <f t="shared" si="80"/>
        <v>-2.4720841177291453E-3</v>
      </c>
      <c r="W294" s="17">
        <f t="shared" si="80"/>
        <v>-1.206385283927025E-3</v>
      </c>
      <c r="X294" s="17">
        <f t="shared" si="80"/>
        <v>-1.3222238628769145E-2</v>
      </c>
      <c r="Y294" s="17">
        <f t="shared" si="80"/>
        <v>1.4277888304023767E-2</v>
      </c>
      <c r="Z294" s="17">
        <f t="shared" si="80"/>
        <v>-9.0178069539970096E-4</v>
      </c>
      <c r="AA294" s="17">
        <f t="shared" si="80"/>
        <v>2.615671894050009E-2</v>
      </c>
      <c r="AB294" s="17">
        <f t="shared" si="80"/>
        <v>-1.5063846374225198E-2</v>
      </c>
      <c r="AC294" s="17">
        <f t="shared" si="80"/>
        <v>1.8832366014389645E-3</v>
      </c>
      <c r="AD294" s="17">
        <f t="shared" si="80"/>
        <v>-7.7194577721568791E-3</v>
      </c>
      <c r="AE294" s="17">
        <f t="shared" si="80"/>
        <v>4.896463601387957E-3</v>
      </c>
      <c r="AF294" s="17">
        <f t="shared" si="80"/>
        <v>8.9331092913853549E-3</v>
      </c>
      <c r="AG294" s="17">
        <f t="shared" si="80"/>
        <v>-6.868569525614765E-2</v>
      </c>
      <c r="AH294" s="17">
        <f t="shared" si="80"/>
        <v>4.8975511568654095E-3</v>
      </c>
      <c r="AI294" s="17">
        <f t="shared" si="80"/>
        <v>1.6054482046085949E-2</v>
      </c>
      <c r="AJ294" s="17">
        <f t="shared" si="80"/>
        <v>1.9751010317079487E-3</v>
      </c>
      <c r="AK294" s="17">
        <f t="shared" si="80"/>
        <v>1.4080054981080448E-3</v>
      </c>
    </row>
    <row r="295" spans="1:37" x14ac:dyDescent="0.25">
      <c r="A295" s="12" t="s">
        <v>484</v>
      </c>
      <c r="B295" s="12"/>
      <c r="C295" s="17">
        <f>C$30/B$30-1</f>
        <v>-2.5448982229401618E-2</v>
      </c>
      <c r="D295" s="17">
        <f t="shared" ref="D295:AK295" si="81">D$30/C$30-1</f>
        <v>-7.1280989713105036E-3</v>
      </c>
      <c r="E295" s="17">
        <f t="shared" si="81"/>
        <v>-2.2297379752893365E-2</v>
      </c>
      <c r="F295" s="17">
        <f t="shared" si="81"/>
        <v>6.1398504198089121E-3</v>
      </c>
      <c r="G295" s="17">
        <f t="shared" si="81"/>
        <v>-1.4086259173670235E-2</v>
      </c>
      <c r="H295" s="17">
        <f t="shared" si="81"/>
        <v>2.944040394082359E-3</v>
      </c>
      <c r="I295" s="17">
        <f t="shared" si="81"/>
        <v>-5.1880098737069336E-3</v>
      </c>
      <c r="J295" s="17">
        <f t="shared" si="81"/>
        <v>-2.5876665312333347E-2</v>
      </c>
      <c r="K295" s="17">
        <f t="shared" si="81"/>
        <v>3.518216867629187E-2</v>
      </c>
      <c r="L295" s="17">
        <f t="shared" si="81"/>
        <v>3.3313300054185202E-3</v>
      </c>
      <c r="M295" s="17">
        <f t="shared" si="81"/>
        <v>-1.7676503691611001E-2</v>
      </c>
      <c r="N295" s="17">
        <f t="shared" si="81"/>
        <v>-6.1450350704267409E-3</v>
      </c>
      <c r="O295" s="17">
        <f t="shared" si="81"/>
        <v>2.7414858651223506E-2</v>
      </c>
      <c r="P295" s="17">
        <f t="shared" si="81"/>
        <v>8.8660278103860346E-3</v>
      </c>
      <c r="Q295" s="17">
        <f t="shared" si="81"/>
        <v>2.6054829116199496E-2</v>
      </c>
      <c r="R295" s="17">
        <f t="shared" si="81"/>
        <v>4.6940379483083827E-2</v>
      </c>
      <c r="S295" s="17">
        <f t="shared" si="81"/>
        <v>3.0443278308630584E-2</v>
      </c>
      <c r="T295" s="17">
        <f t="shared" si="81"/>
        <v>7.3718125962254355E-3</v>
      </c>
      <c r="U295" s="17">
        <f t="shared" si="81"/>
        <v>2.5073696704939419E-2</v>
      </c>
      <c r="V295" s="17">
        <f t="shared" si="81"/>
        <v>-2.3830241575939493E-3</v>
      </c>
      <c r="W295" s="17">
        <f t="shared" si="81"/>
        <v>3.5126670181522268E-3</v>
      </c>
      <c r="X295" s="17">
        <f t="shared" si="81"/>
        <v>5.5507318392322702E-5</v>
      </c>
      <c r="Y295" s="17">
        <f t="shared" si="81"/>
        <v>-2.3459192045048871E-2</v>
      </c>
      <c r="Z295" s="17">
        <f t="shared" si="81"/>
        <v>2.9626154792885551E-3</v>
      </c>
      <c r="AA295" s="17">
        <f t="shared" si="81"/>
        <v>-1.1565138401190334E-2</v>
      </c>
      <c r="AB295" s="17">
        <f t="shared" si="81"/>
        <v>1.5922650442325104E-2</v>
      </c>
      <c r="AC295" s="17">
        <f t="shared" si="81"/>
        <v>-1.6760071348185246E-2</v>
      </c>
      <c r="AD295" s="17">
        <f t="shared" si="81"/>
        <v>1.9714039572518161E-3</v>
      </c>
      <c r="AE295" s="17">
        <f t="shared" si="81"/>
        <v>-8.7057206671579124E-3</v>
      </c>
      <c r="AF295" s="17">
        <f t="shared" si="81"/>
        <v>5.4510056918337657E-3</v>
      </c>
      <c r="AG295" s="17">
        <f t="shared" si="81"/>
        <v>1.0240522935764718E-2</v>
      </c>
      <c r="AH295" s="17">
        <f t="shared" si="81"/>
        <v>-7.662165985521574E-2</v>
      </c>
      <c r="AI295" s="17">
        <f t="shared" si="81"/>
        <v>6.1346861686406573E-3</v>
      </c>
      <c r="AJ295" s="17">
        <f t="shared" si="81"/>
        <v>1.7650024704685574E-2</v>
      </c>
      <c r="AK295" s="17">
        <f t="shared" si="81"/>
        <v>2.5227497256992137E-3</v>
      </c>
    </row>
    <row r="296" spans="1:37" x14ac:dyDescent="0.25">
      <c r="A296" s="12" t="s">
        <v>485</v>
      </c>
      <c r="B296" s="12"/>
      <c r="C296" s="17">
        <f>C$31/B$31-1</f>
        <v>9.3410811869616417E-3</v>
      </c>
      <c r="D296" s="17">
        <f t="shared" ref="D296:AK296" si="82">D$31/C$31-1</f>
        <v>-3.1445708682928841E-2</v>
      </c>
      <c r="E296" s="17">
        <f t="shared" si="82"/>
        <v>-3.8420149757840694E-3</v>
      </c>
      <c r="F296" s="17">
        <f t="shared" si="82"/>
        <v>-1.6871509184929856E-2</v>
      </c>
      <c r="G296" s="17">
        <f t="shared" si="82"/>
        <v>7.290850837065932E-3</v>
      </c>
      <c r="H296" s="17">
        <f t="shared" si="82"/>
        <v>-1.8282377088591484E-2</v>
      </c>
      <c r="I296" s="17">
        <f t="shared" si="82"/>
        <v>4.0893028560855527E-3</v>
      </c>
      <c r="J296" s="17">
        <f t="shared" si="82"/>
        <v>-9.2038805320704409E-3</v>
      </c>
      <c r="K296" s="17">
        <f t="shared" si="82"/>
        <v>-1.5807575676223595E-2</v>
      </c>
      <c r="L296" s="17">
        <f t="shared" si="82"/>
        <v>3.8297228420885343E-2</v>
      </c>
      <c r="M296" s="17">
        <f t="shared" si="82"/>
        <v>8.898143215533505E-3</v>
      </c>
      <c r="N296" s="17">
        <f t="shared" si="82"/>
        <v>-1.9998072440761128E-2</v>
      </c>
      <c r="O296" s="17">
        <f t="shared" si="82"/>
        <v>-6.5267381697725613E-3</v>
      </c>
      <c r="P296" s="17">
        <f t="shared" si="82"/>
        <v>2.4493388429592589E-2</v>
      </c>
      <c r="Q296" s="17">
        <f t="shared" si="82"/>
        <v>4.717351699770278E-3</v>
      </c>
      <c r="R296" s="17">
        <f t="shared" si="82"/>
        <v>1.6995019947452006E-2</v>
      </c>
      <c r="S296" s="17">
        <f t="shared" si="82"/>
        <v>5.5288277559191412E-2</v>
      </c>
      <c r="T296" s="17">
        <f t="shared" si="82"/>
        <v>5.3921712423369517E-2</v>
      </c>
      <c r="U296" s="17">
        <f t="shared" si="82"/>
        <v>-2.1273242935812675E-2</v>
      </c>
      <c r="V296" s="17">
        <f t="shared" si="82"/>
        <v>2.6140852639348955E-2</v>
      </c>
      <c r="W296" s="17">
        <f t="shared" si="82"/>
        <v>1.4711091407695331E-3</v>
      </c>
      <c r="X296" s="17">
        <f t="shared" si="82"/>
        <v>2.5828498337201466E-3</v>
      </c>
      <c r="Y296" s="17">
        <f t="shared" si="82"/>
        <v>6.8571420224783353E-4</v>
      </c>
      <c r="Z296" s="17">
        <f t="shared" si="82"/>
        <v>-2.3270664629820303E-2</v>
      </c>
      <c r="AA296" s="17">
        <f t="shared" si="82"/>
        <v>3.5050756932892835E-3</v>
      </c>
      <c r="AB296" s="17">
        <f t="shared" si="82"/>
        <v>-1.1447058720293057E-2</v>
      </c>
      <c r="AC296" s="17">
        <f t="shared" si="82"/>
        <v>1.5535344422083819E-2</v>
      </c>
      <c r="AD296" s="17">
        <f t="shared" si="82"/>
        <v>-1.679326979851492E-2</v>
      </c>
      <c r="AE296" s="17">
        <f t="shared" si="82"/>
        <v>2.0812750701282301E-3</v>
      </c>
      <c r="AF296" s="17">
        <f t="shared" si="82"/>
        <v>-8.6045169239673536E-3</v>
      </c>
      <c r="AG296" s="17">
        <f t="shared" si="82"/>
        <v>5.3870879317421405E-3</v>
      </c>
      <c r="AH296" s="17">
        <f t="shared" si="82"/>
        <v>1.0121087350214664E-2</v>
      </c>
      <c r="AI296" s="17">
        <f t="shared" si="82"/>
        <v>-7.5442276298010147E-2</v>
      </c>
      <c r="AJ296" s="17">
        <f t="shared" si="82"/>
        <v>5.7373757378438306E-3</v>
      </c>
      <c r="AK296" s="17">
        <f t="shared" si="82"/>
        <v>1.7747787680188365E-2</v>
      </c>
    </row>
    <row r="297" spans="1:37" x14ac:dyDescent="0.25">
      <c r="A297" s="12" t="s">
        <v>486</v>
      </c>
      <c r="B297" s="12"/>
      <c r="C297" s="17">
        <f>C$32/B$32-1</f>
        <v>4.2697175147535127E-2</v>
      </c>
      <c r="D297" s="17">
        <f t="shared" ref="D297:AK297" si="83">D$32/C$32-1</f>
        <v>8.0645085375414816E-3</v>
      </c>
      <c r="E297" s="17">
        <f t="shared" si="83"/>
        <v>-2.9391840769078859E-2</v>
      </c>
      <c r="F297" s="17">
        <f t="shared" si="83"/>
        <v>-1.3382358718083687E-4</v>
      </c>
      <c r="G297" s="17">
        <f t="shared" si="83"/>
        <v>-1.7413285781791132E-2</v>
      </c>
      <c r="H297" s="17">
        <f t="shared" si="83"/>
        <v>2.2179891195144297E-3</v>
      </c>
      <c r="I297" s="17">
        <f t="shared" si="83"/>
        <v>-1.6732415646306453E-2</v>
      </c>
      <c r="J297" s="17">
        <f t="shared" si="83"/>
        <v>2.5719560995234314E-3</v>
      </c>
      <c r="K297" s="17">
        <f t="shared" si="83"/>
        <v>-1.6061413655112933E-3</v>
      </c>
      <c r="L297" s="17">
        <f t="shared" si="83"/>
        <v>-1.1041948408123448E-2</v>
      </c>
      <c r="M297" s="17">
        <f t="shared" si="83"/>
        <v>4.0424960929509979E-2</v>
      </c>
      <c r="N297" s="17">
        <f t="shared" si="83"/>
        <v>3.8008182799558199E-3</v>
      </c>
      <c r="O297" s="17">
        <f t="shared" si="83"/>
        <v>-1.8906579684191516E-2</v>
      </c>
      <c r="P297" s="17">
        <f t="shared" si="83"/>
        <v>-1.3000544802807656E-2</v>
      </c>
      <c r="Q297" s="17">
        <f t="shared" si="83"/>
        <v>2.5819418306503916E-2</v>
      </c>
      <c r="R297" s="17">
        <f t="shared" si="83"/>
        <v>-1.9970810114233739E-4</v>
      </c>
      <c r="S297" s="17">
        <f t="shared" si="83"/>
        <v>1.9523961953395341E-2</v>
      </c>
      <c r="T297" s="17">
        <f t="shared" si="83"/>
        <v>7.8642878814300543E-2</v>
      </c>
      <c r="U297" s="17">
        <f t="shared" si="83"/>
        <v>2.6981626262645442E-2</v>
      </c>
      <c r="V297" s="17">
        <f t="shared" si="83"/>
        <v>-1.968064974015038E-2</v>
      </c>
      <c r="W297" s="17">
        <f t="shared" si="83"/>
        <v>2.9815019037987556E-2</v>
      </c>
      <c r="X297" s="17">
        <f t="shared" si="83"/>
        <v>5.9420797920428647E-4</v>
      </c>
      <c r="Y297" s="17">
        <f t="shared" si="83"/>
        <v>3.1961313909301126E-3</v>
      </c>
      <c r="Z297" s="17">
        <f t="shared" si="83"/>
        <v>8.9497644019798095E-4</v>
      </c>
      <c r="AA297" s="17">
        <f t="shared" si="83"/>
        <v>-2.2496315923789423E-2</v>
      </c>
      <c r="AB297" s="17">
        <f t="shared" si="83"/>
        <v>3.4961003028759485E-3</v>
      </c>
      <c r="AC297" s="17">
        <f t="shared" si="83"/>
        <v>-1.1231852889367566E-2</v>
      </c>
      <c r="AD297" s="17">
        <f t="shared" si="83"/>
        <v>1.5144134169038814E-2</v>
      </c>
      <c r="AE297" s="17">
        <f t="shared" si="83"/>
        <v>-1.6783458502312998E-2</v>
      </c>
      <c r="AF297" s="17">
        <f t="shared" si="83"/>
        <v>2.0601665388575441E-3</v>
      </c>
      <c r="AG297" s="17">
        <f t="shared" si="83"/>
        <v>-8.5174283401173723E-3</v>
      </c>
      <c r="AH297" s="17">
        <f t="shared" si="83"/>
        <v>5.3320953998541309E-3</v>
      </c>
      <c r="AI297" s="17">
        <f t="shared" si="83"/>
        <v>1.0018317132583165E-2</v>
      </c>
      <c r="AJ297" s="17">
        <f t="shared" si="83"/>
        <v>-7.4683828601025404E-2</v>
      </c>
      <c r="AK297" s="17">
        <f t="shared" si="83"/>
        <v>5.9903204713283031E-3</v>
      </c>
    </row>
    <row r="298" spans="1:37" x14ac:dyDescent="0.25">
      <c r="A298" s="12" t="s">
        <v>487</v>
      </c>
      <c r="B298" s="12"/>
      <c r="C298" s="17">
        <f>C$33/B$33-1</f>
        <v>1.6663735020006065E-2</v>
      </c>
      <c r="D298" s="17">
        <f t="shared" ref="D298:AK298" si="84">D$33/C$33-1</f>
        <v>3.8552518573020889E-2</v>
      </c>
      <c r="E298" s="17">
        <f t="shared" si="84"/>
        <v>1.2242059735440458E-2</v>
      </c>
      <c r="F298" s="17">
        <f t="shared" si="84"/>
        <v>-2.4369534102494983E-2</v>
      </c>
      <c r="G298" s="17">
        <f t="shared" si="84"/>
        <v>-3.0755449211883334E-3</v>
      </c>
      <c r="H298" s="17">
        <f t="shared" si="84"/>
        <v>-2.0854425180108938E-2</v>
      </c>
      <c r="I298" s="17">
        <f t="shared" si="84"/>
        <v>3.674756609603369E-3</v>
      </c>
      <c r="J298" s="17">
        <f t="shared" si="84"/>
        <v>-9.4734748897872256E-3</v>
      </c>
      <c r="K298" s="17">
        <f t="shared" si="84"/>
        <v>8.4951019822918639E-3</v>
      </c>
      <c r="L298" s="17">
        <f t="shared" si="84"/>
        <v>3.6375508064057094E-4</v>
      </c>
      <c r="M298" s="17">
        <f t="shared" si="84"/>
        <v>-4.7172307608047692E-3</v>
      </c>
      <c r="N298" s="17">
        <f t="shared" si="84"/>
        <v>3.2555458758579237E-2</v>
      </c>
      <c r="O298" s="17">
        <f t="shared" si="84"/>
        <v>4.962950667715571E-3</v>
      </c>
      <c r="P298" s="17">
        <f t="shared" si="84"/>
        <v>-2.2786786450381458E-2</v>
      </c>
      <c r="Q298" s="17">
        <f t="shared" si="84"/>
        <v>-1.4751793043802142E-2</v>
      </c>
      <c r="R298" s="17">
        <f t="shared" si="84"/>
        <v>1.8911025783389546E-2</v>
      </c>
      <c r="S298" s="17">
        <f t="shared" si="84"/>
        <v>1.9314580354357069E-4</v>
      </c>
      <c r="T298" s="17">
        <f t="shared" si="84"/>
        <v>4.1946328360239038E-2</v>
      </c>
      <c r="U298" s="17">
        <f t="shared" si="84"/>
        <v>6.0308583866048648E-2</v>
      </c>
      <c r="V298" s="17">
        <f t="shared" si="84"/>
        <v>2.8731203640312453E-2</v>
      </c>
      <c r="W298" s="17">
        <f t="shared" si="84"/>
        <v>-1.6012239813508189E-2</v>
      </c>
      <c r="X298" s="17">
        <f t="shared" si="84"/>
        <v>2.8662376207662321E-2</v>
      </c>
      <c r="Y298" s="17">
        <f t="shared" si="84"/>
        <v>1.2328015971367901E-3</v>
      </c>
      <c r="Z298" s="17">
        <f t="shared" si="84"/>
        <v>3.3920889201886073E-3</v>
      </c>
      <c r="AA298" s="17">
        <f t="shared" si="84"/>
        <v>1.1726552646309507E-3</v>
      </c>
      <c r="AB298" s="17">
        <f t="shared" si="84"/>
        <v>-2.2635363733884528E-2</v>
      </c>
      <c r="AC298" s="17">
        <f t="shared" si="84"/>
        <v>3.5691981210188573E-3</v>
      </c>
      <c r="AD298" s="17">
        <f t="shared" si="84"/>
        <v>-1.1666475453338987E-2</v>
      </c>
      <c r="AE298" s="17">
        <f t="shared" si="84"/>
        <v>1.5176270754011956E-2</v>
      </c>
      <c r="AF298" s="17">
        <f t="shared" si="84"/>
        <v>-1.6674324849381916E-2</v>
      </c>
      <c r="AG298" s="17">
        <f t="shared" si="84"/>
        <v>2.0465432431595598E-3</v>
      </c>
      <c r="AH298" s="17">
        <f t="shared" si="84"/>
        <v>-8.46122004038663E-3</v>
      </c>
      <c r="AI298" s="17">
        <f t="shared" si="84"/>
        <v>5.5908634836456805E-3</v>
      </c>
      <c r="AJ298" s="17">
        <f t="shared" si="84"/>
        <v>9.9490791327780936E-3</v>
      </c>
      <c r="AK298" s="17">
        <f t="shared" si="84"/>
        <v>-7.4172762783894952E-2</v>
      </c>
    </row>
    <row r="299" spans="1:37" x14ac:dyDescent="0.25">
      <c r="A299" s="12" t="s">
        <v>488</v>
      </c>
      <c r="B299" s="12"/>
      <c r="C299" s="17">
        <f>C$34/B$34-1</f>
        <v>3.7529786103094764E-2</v>
      </c>
      <c r="D299" s="17">
        <f t="shared" ref="D299:AK299" si="85">D$34/C$34-1</f>
        <v>1.3251257356348578E-2</v>
      </c>
      <c r="E299" s="17">
        <f t="shared" si="85"/>
        <v>4.3008225165861891E-2</v>
      </c>
      <c r="F299" s="17">
        <f t="shared" si="85"/>
        <v>2.1886516832244185E-2</v>
      </c>
      <c r="G299" s="17">
        <f t="shared" si="85"/>
        <v>-3.0047257809043826E-2</v>
      </c>
      <c r="H299" s="17">
        <f t="shared" si="85"/>
        <v>-3.8607342960222946E-3</v>
      </c>
      <c r="I299" s="17">
        <f t="shared" si="85"/>
        <v>-1.8115601687541005E-2</v>
      </c>
      <c r="J299" s="17">
        <f t="shared" si="85"/>
        <v>5.6956847932119192E-3</v>
      </c>
      <c r="K299" s="17">
        <f t="shared" si="85"/>
        <v>-1.2859380753781346E-3</v>
      </c>
      <c r="L299" s="17">
        <f t="shared" si="85"/>
        <v>1.094201297352515E-2</v>
      </c>
      <c r="M299" s="17">
        <f t="shared" si="85"/>
        <v>-1.0702073612818275E-3</v>
      </c>
      <c r="N299" s="17">
        <f t="shared" si="85"/>
        <v>-1.0871601184741508E-2</v>
      </c>
      <c r="O299" s="17">
        <f t="shared" si="85"/>
        <v>3.6072112120154598E-2</v>
      </c>
      <c r="P299" s="17">
        <f t="shared" si="85"/>
        <v>-3.9067488145241303E-3</v>
      </c>
      <c r="Q299" s="17">
        <f t="shared" si="85"/>
        <v>-2.7970578943823821E-2</v>
      </c>
      <c r="R299" s="17">
        <f t="shared" si="85"/>
        <v>-2.1642429568871746E-2</v>
      </c>
      <c r="S299" s="17">
        <f t="shared" si="85"/>
        <v>3.2961351541316297E-2</v>
      </c>
      <c r="T299" s="17">
        <f t="shared" si="85"/>
        <v>2.0005633308459503E-2</v>
      </c>
      <c r="U299" s="17">
        <f t="shared" si="85"/>
        <v>1.5369038282992298E-2</v>
      </c>
      <c r="V299" s="17">
        <f t="shared" si="85"/>
        <v>6.2047390710846972E-2</v>
      </c>
      <c r="W299" s="17">
        <f t="shared" si="85"/>
        <v>3.2223113968101069E-2</v>
      </c>
      <c r="X299" s="17">
        <f t="shared" si="85"/>
        <v>-1.6753469434918622E-2</v>
      </c>
      <c r="Y299" s="17">
        <f t="shared" si="85"/>
        <v>2.9150904172180692E-2</v>
      </c>
      <c r="Z299" s="17">
        <f t="shared" si="85"/>
        <v>1.4430034944903358E-3</v>
      </c>
      <c r="AA299" s="17">
        <f t="shared" si="85"/>
        <v>3.6575327813757053E-3</v>
      </c>
      <c r="AB299" s="17">
        <f t="shared" si="85"/>
        <v>1.4065302956614012E-3</v>
      </c>
      <c r="AC299" s="17">
        <f t="shared" si="85"/>
        <v>-2.2684775715563377E-2</v>
      </c>
      <c r="AD299" s="17">
        <f t="shared" si="85"/>
        <v>3.3244776141985177E-3</v>
      </c>
      <c r="AE299" s="17">
        <f t="shared" si="85"/>
        <v>-1.1471113823659174E-2</v>
      </c>
      <c r="AF299" s="17">
        <f t="shared" si="85"/>
        <v>1.5085495405641414E-2</v>
      </c>
      <c r="AG299" s="17">
        <f t="shared" si="85"/>
        <v>-1.6576071244308044E-2</v>
      </c>
      <c r="AH299" s="17">
        <f t="shared" si="85"/>
        <v>2.0342807044773092E-3</v>
      </c>
      <c r="AI299" s="17">
        <f t="shared" si="85"/>
        <v>-8.410624775426756E-3</v>
      </c>
      <c r="AJ299" s="17">
        <f t="shared" si="85"/>
        <v>5.5571484258556403E-3</v>
      </c>
      <c r="AK299" s="17">
        <f t="shared" si="85"/>
        <v>9.8894139262875047E-3</v>
      </c>
    </row>
    <row r="300" spans="1:37" x14ac:dyDescent="0.25">
      <c r="A300" s="12" t="s">
        <v>489</v>
      </c>
      <c r="B300" s="12"/>
      <c r="C300" s="17">
        <f>SUM(C$33:C$34)/SUM(B$33:B$34)-1</f>
        <v>2.6901306412164594E-2</v>
      </c>
      <c r="D300" s="17">
        <f t="shared" ref="D300:AK300" si="86">SUM(D$33:D$34)/SUM(C$33:C$34)-1</f>
        <v>2.6010405416290405E-2</v>
      </c>
      <c r="E300" s="17">
        <f t="shared" si="86"/>
        <v>2.7303527662459137E-2</v>
      </c>
      <c r="F300" s="17">
        <f t="shared" si="86"/>
        <v>-1.3788742130809162E-3</v>
      </c>
      <c r="G300" s="17">
        <f t="shared" si="86"/>
        <v>-1.6793624941952801E-2</v>
      </c>
      <c r="H300" s="17">
        <f t="shared" si="86"/>
        <v>-1.2327775752139947E-2</v>
      </c>
      <c r="I300" s="17">
        <f t="shared" si="86"/>
        <v>-7.3523680316450735E-3</v>
      </c>
      <c r="J300" s="17">
        <f t="shared" si="86"/>
        <v>-1.8802776064941185E-3</v>
      </c>
      <c r="K300" s="17">
        <f t="shared" si="86"/>
        <v>3.5618630790543726E-3</v>
      </c>
      <c r="L300" s="17">
        <f t="shared" si="86"/>
        <v>5.6733119470562254E-3</v>
      </c>
      <c r="M300" s="17">
        <f t="shared" si="86"/>
        <v>-2.8770859730474774E-3</v>
      </c>
      <c r="N300" s="17">
        <f t="shared" si="86"/>
        <v>1.0604163885457707E-2</v>
      </c>
      <c r="O300" s="17">
        <f t="shared" si="86"/>
        <v>2.0353694444057879E-2</v>
      </c>
      <c r="P300" s="17">
        <f t="shared" si="86"/>
        <v>-1.3302309145084235E-2</v>
      </c>
      <c r="Q300" s="17">
        <f t="shared" si="86"/>
        <v>-2.1455545981995283E-2</v>
      </c>
      <c r="R300" s="17">
        <f t="shared" si="86"/>
        <v>-1.5182582344327455E-3</v>
      </c>
      <c r="S300" s="17">
        <f t="shared" si="86"/>
        <v>1.6367815695738308E-2</v>
      </c>
      <c r="T300" s="17">
        <f t="shared" si="86"/>
        <v>3.0939395587717078E-2</v>
      </c>
      <c r="U300" s="17">
        <f t="shared" si="86"/>
        <v>3.8002976987967063E-2</v>
      </c>
      <c r="V300" s="17">
        <f t="shared" si="86"/>
        <v>4.490701137843045E-2</v>
      </c>
      <c r="W300" s="17">
        <f t="shared" si="86"/>
        <v>7.7913471325492534E-3</v>
      </c>
      <c r="X300" s="17">
        <f t="shared" si="86"/>
        <v>5.7068476469170903E-3</v>
      </c>
      <c r="Y300" s="17">
        <f t="shared" si="86"/>
        <v>1.5028916600233089E-2</v>
      </c>
      <c r="Z300" s="17">
        <f t="shared" si="86"/>
        <v>2.4155210612670786E-3</v>
      </c>
      <c r="AA300" s="17">
        <f t="shared" si="86"/>
        <v>2.4164679830565028E-3</v>
      </c>
      <c r="AB300" s="17">
        <f t="shared" si="86"/>
        <v>-1.0586223997692157E-2</v>
      </c>
      <c r="AC300" s="17">
        <f t="shared" si="86"/>
        <v>-9.748061817546616E-3</v>
      </c>
      <c r="AD300" s="17">
        <f t="shared" si="86"/>
        <v>-4.1616942329599782E-3</v>
      </c>
      <c r="AE300" s="17">
        <f t="shared" si="86"/>
        <v>1.7357541625191431E-3</v>
      </c>
      <c r="AF300" s="17">
        <f t="shared" si="86"/>
        <v>-8.663732702494098E-4</v>
      </c>
      <c r="AG300" s="17">
        <f t="shared" si="86"/>
        <v>-7.3705584519494494E-3</v>
      </c>
      <c r="AH300" s="17">
        <f t="shared" si="86"/>
        <v>-3.2030649646628273E-3</v>
      </c>
      <c r="AI300" s="17">
        <f t="shared" si="86"/>
        <v>-1.4606170716703337E-3</v>
      </c>
      <c r="AJ300" s="17">
        <f t="shared" si="86"/>
        <v>7.7525940510736469E-3</v>
      </c>
      <c r="AK300" s="17">
        <f t="shared" si="86"/>
        <v>-3.2223315514671946E-2</v>
      </c>
    </row>
    <row r="301" spans="1:37" x14ac:dyDescent="0.25">
      <c r="A301" s="12" t="s">
        <v>423</v>
      </c>
      <c r="B301" s="12"/>
      <c r="C301" s="17">
        <f>SUM(C$35:C$39)/SUM(B$35:B$39)-1</f>
        <v>-1.8997984469797391E-3</v>
      </c>
      <c r="D301" s="17">
        <f t="shared" ref="D301:AK301" si="87">SUM(D$35:D$39)/SUM(C$35:C$39)-1</f>
        <v>-9.7627378712339397E-4</v>
      </c>
      <c r="E301" s="17">
        <f t="shared" si="87"/>
        <v>7.8765783414751489E-3</v>
      </c>
      <c r="F301" s="17">
        <f t="shared" si="87"/>
        <v>2.4823543349302035E-2</v>
      </c>
      <c r="G301" s="17">
        <f t="shared" si="87"/>
        <v>2.4259295759812893E-2</v>
      </c>
      <c r="H301" s="17">
        <f t="shared" si="87"/>
        <v>1.0553672016346827E-2</v>
      </c>
      <c r="I301" s="17">
        <f t="shared" si="87"/>
        <v>7.1153756377564381E-3</v>
      </c>
      <c r="J301" s="17">
        <f t="shared" si="87"/>
        <v>1.3698879598035063E-2</v>
      </c>
      <c r="K301" s="17">
        <f t="shared" si="87"/>
        <v>1.4560906814758745E-2</v>
      </c>
      <c r="L301" s="17">
        <f t="shared" si="87"/>
        <v>1.206989886522214E-2</v>
      </c>
      <c r="M301" s="17">
        <f t="shared" si="87"/>
        <v>7.1349765660801978E-3</v>
      </c>
      <c r="N301" s="17">
        <f t="shared" si="87"/>
        <v>-1.7901446131111109E-3</v>
      </c>
      <c r="O301" s="17">
        <f t="shared" si="87"/>
        <v>-4.2348717095138655E-3</v>
      </c>
      <c r="P301" s="17">
        <f t="shared" si="87"/>
        <v>6.629567626493138E-3</v>
      </c>
      <c r="Q301" s="17">
        <f t="shared" si="87"/>
        <v>-1.4118464055586477E-2</v>
      </c>
      <c r="R301" s="17">
        <f t="shared" si="87"/>
        <v>-2.3844318721269686E-2</v>
      </c>
      <c r="S301" s="17">
        <f t="shared" si="87"/>
        <v>-4.8106781846969371E-3</v>
      </c>
      <c r="T301" s="17">
        <f t="shared" si="87"/>
        <v>2.2402303216456199E-2</v>
      </c>
      <c r="U301" s="17">
        <f t="shared" si="87"/>
        <v>-3.1779154705872115E-3</v>
      </c>
      <c r="V301" s="17">
        <f t="shared" si="87"/>
        <v>-4.8236855906602649E-5</v>
      </c>
      <c r="W301" s="17">
        <f t="shared" si="87"/>
        <v>1.8718208584408647E-2</v>
      </c>
      <c r="X301" s="17">
        <f t="shared" si="87"/>
        <v>2.8259995545752092E-2</v>
      </c>
      <c r="Y301" s="17">
        <f t="shared" si="87"/>
        <v>2.0578948527600005E-2</v>
      </c>
      <c r="Z301" s="17">
        <f t="shared" si="87"/>
        <v>2.6137359509444069E-2</v>
      </c>
      <c r="AA301" s="17">
        <f t="shared" si="87"/>
        <v>2.2223087282897236E-2</v>
      </c>
      <c r="AB301" s="17">
        <f t="shared" si="87"/>
        <v>1.002578387652231E-2</v>
      </c>
      <c r="AC301" s="17">
        <f t="shared" si="87"/>
        <v>3.9062672817542499E-3</v>
      </c>
      <c r="AD301" s="17">
        <f t="shared" si="87"/>
        <v>2.4558674638450739E-3</v>
      </c>
      <c r="AE301" s="17">
        <f t="shared" si="87"/>
        <v>-2.6940769831521605E-3</v>
      </c>
      <c r="AF301" s="17">
        <f t="shared" si="87"/>
        <v>-5.065039950960859E-3</v>
      </c>
      <c r="AG301" s="17">
        <f t="shared" si="87"/>
        <v>-3.0544951103403939E-3</v>
      </c>
      <c r="AH301" s="17">
        <f t="shared" si="87"/>
        <v>-6.4113974240909144E-3</v>
      </c>
      <c r="AI301" s="17">
        <f t="shared" si="87"/>
        <v>-1.3704995444898671E-3</v>
      </c>
      <c r="AJ301" s="17">
        <f t="shared" si="87"/>
        <v>-3.5453160105762827E-3</v>
      </c>
      <c r="AK301" s="17">
        <f t="shared" si="87"/>
        <v>-3.4431580613791812E-4</v>
      </c>
    </row>
    <row r="302" spans="1:37" x14ac:dyDescent="0.25">
      <c r="A302" s="12" t="s">
        <v>490</v>
      </c>
      <c r="B302" s="12"/>
      <c r="C302" s="17">
        <f>SUM(C$40:C$54)/SUM(B$40:B$54)-1</f>
        <v>2.6599858957785383E-3</v>
      </c>
      <c r="D302" s="17">
        <f t="shared" ref="D302:AK302" si="88">SUM(D$40:D$54)/SUM(C$40:C$54)-1</f>
        <v>-4.1015333660975317E-3</v>
      </c>
      <c r="E302" s="17">
        <f t="shared" si="88"/>
        <v>-5.4859575275083561E-3</v>
      </c>
      <c r="F302" s="17">
        <f t="shared" si="88"/>
        <v>-3.6575061491200822E-3</v>
      </c>
      <c r="G302" s="17">
        <f t="shared" si="88"/>
        <v>-1.0784009838669339E-2</v>
      </c>
      <c r="H302" s="17">
        <f t="shared" si="88"/>
        <v>-1.2406929023521363E-2</v>
      </c>
      <c r="I302" s="17">
        <f t="shared" si="88"/>
        <v>-5.4685370071840822E-3</v>
      </c>
      <c r="J302" s="17">
        <f t="shared" si="88"/>
        <v>1.2809649292340186E-2</v>
      </c>
      <c r="K302" s="17">
        <f t="shared" si="88"/>
        <v>3.0905664512977493E-2</v>
      </c>
      <c r="L302" s="17">
        <f t="shared" si="88"/>
        <v>4.6205239834419043E-2</v>
      </c>
      <c r="M302" s="17">
        <f t="shared" si="88"/>
        <v>4.6233994497261177E-2</v>
      </c>
      <c r="N302" s="17">
        <f t="shared" si="88"/>
        <v>3.9270563273938297E-2</v>
      </c>
      <c r="O302" s="17">
        <f t="shared" si="88"/>
        <v>2.9829773073814181E-2</v>
      </c>
      <c r="P302" s="17">
        <f t="shared" si="88"/>
        <v>3.235235189504948E-2</v>
      </c>
      <c r="Q302" s="17">
        <f t="shared" si="88"/>
        <v>8.320793596691356E-3</v>
      </c>
      <c r="R302" s="17">
        <f t="shared" si="88"/>
        <v>-9.0142779754778246E-3</v>
      </c>
      <c r="S302" s="17">
        <f t="shared" si="88"/>
        <v>2.3013770924686483E-2</v>
      </c>
      <c r="T302" s="17">
        <f t="shared" si="88"/>
        <v>3.073532580076388E-2</v>
      </c>
      <c r="U302" s="17">
        <f t="shared" si="88"/>
        <v>-7.1034099596667399E-4</v>
      </c>
      <c r="V302" s="17">
        <f t="shared" si="88"/>
        <v>2.0923046876424323E-3</v>
      </c>
      <c r="W302" s="17">
        <f t="shared" si="88"/>
        <v>3.4171473737685254E-3</v>
      </c>
      <c r="X302" s="17">
        <f t="shared" si="88"/>
        <v>-2.5670834387987451E-3</v>
      </c>
      <c r="Y302" s="17">
        <f t="shared" si="88"/>
        <v>-2.2969873826482745E-3</v>
      </c>
      <c r="Z302" s="17">
        <f t="shared" si="88"/>
        <v>-5.0544276646375952E-3</v>
      </c>
      <c r="AA302" s="17">
        <f t="shared" si="88"/>
        <v>-4.7865538538734986E-3</v>
      </c>
      <c r="AB302" s="17">
        <f t="shared" si="88"/>
        <v>3.9920212875754757E-4</v>
      </c>
      <c r="AC302" s="17">
        <f t="shared" si="88"/>
        <v>2.9449469328302058E-3</v>
      </c>
      <c r="AD302" s="17">
        <f t="shared" si="88"/>
        <v>3.968039441871074E-3</v>
      </c>
      <c r="AE302" s="17">
        <f t="shared" si="88"/>
        <v>6.2058295374245454E-3</v>
      </c>
      <c r="AF302" s="17">
        <f t="shared" si="88"/>
        <v>8.2174645577843819E-3</v>
      </c>
      <c r="AG302" s="17">
        <f t="shared" si="88"/>
        <v>8.7339287974774749E-3</v>
      </c>
      <c r="AH302" s="17">
        <f t="shared" si="88"/>
        <v>9.4119661213021288E-3</v>
      </c>
      <c r="AI302" s="17">
        <f t="shared" si="88"/>
        <v>9.8277489059781509E-3</v>
      </c>
      <c r="AJ302" s="17">
        <f t="shared" si="88"/>
        <v>7.3764535589464497E-3</v>
      </c>
      <c r="AK302" s="17">
        <f t="shared" si="88"/>
        <v>7.2370967983099721E-3</v>
      </c>
    </row>
    <row r="303" spans="1:37" x14ac:dyDescent="0.25">
      <c r="A303" s="12" t="s">
        <v>491</v>
      </c>
      <c r="B303" s="12"/>
      <c r="C303" s="17">
        <f>SUM(C$55:C$69)/SUM(B$55:B$69)-1</f>
        <v>1.8782376259049993E-2</v>
      </c>
      <c r="D303" s="17">
        <f t="shared" ref="D303:AK303" si="89">SUM(D$55:D$69)/SUM(C$55:C$69)-1</f>
        <v>1.355074400838352E-2</v>
      </c>
      <c r="E303" s="17">
        <f t="shared" si="89"/>
        <v>1.078241893798948E-2</v>
      </c>
      <c r="F303" s="17">
        <f t="shared" si="89"/>
        <v>1.2077576960960901E-2</v>
      </c>
      <c r="G303" s="17">
        <f t="shared" si="89"/>
        <v>1.1283783363913447E-2</v>
      </c>
      <c r="H303" s="17">
        <f t="shared" si="89"/>
        <v>6.1631304006291021E-3</v>
      </c>
      <c r="I303" s="17">
        <f t="shared" si="89"/>
        <v>1.6646055460542986E-3</v>
      </c>
      <c r="J303" s="17">
        <f t="shared" si="89"/>
        <v>-2.4102168186859174E-3</v>
      </c>
      <c r="K303" s="17">
        <f t="shared" si="89"/>
        <v>4.8522483487833945E-4</v>
      </c>
      <c r="L303" s="17">
        <f t="shared" si="89"/>
        <v>-1.7453641366058648E-3</v>
      </c>
      <c r="M303" s="17">
        <f t="shared" si="89"/>
        <v>1.1002599243503663E-3</v>
      </c>
      <c r="N303" s="17">
        <f t="shared" si="89"/>
        <v>-2.6728888150897578E-3</v>
      </c>
      <c r="O303" s="17">
        <f t="shared" si="89"/>
        <v>6.1389785037690991E-4</v>
      </c>
      <c r="P303" s="17">
        <f t="shared" si="89"/>
        <v>2.0421666309802244E-3</v>
      </c>
      <c r="Q303" s="17">
        <f t="shared" si="89"/>
        <v>7.7999066119756044E-3</v>
      </c>
      <c r="R303" s="17">
        <f t="shared" si="89"/>
        <v>-3.1141784956940644E-3</v>
      </c>
      <c r="S303" s="17">
        <f t="shared" si="89"/>
        <v>-1.3628131868689275E-3</v>
      </c>
      <c r="T303" s="17">
        <f t="shared" si="89"/>
        <v>2.3359052793822999E-2</v>
      </c>
      <c r="U303" s="17">
        <f t="shared" si="89"/>
        <v>8.48205496487342E-3</v>
      </c>
      <c r="V303" s="17">
        <f t="shared" si="89"/>
        <v>4.242284107880856E-3</v>
      </c>
      <c r="W303" s="17">
        <f t="shared" si="89"/>
        <v>9.8191094073691865E-3</v>
      </c>
      <c r="X303" s="17">
        <f t="shared" si="89"/>
        <v>1.678589007407183E-2</v>
      </c>
      <c r="Y303" s="17">
        <f t="shared" si="89"/>
        <v>2.1135930462176988E-2</v>
      </c>
      <c r="Z303" s="17">
        <f t="shared" si="89"/>
        <v>2.6190020760345822E-2</v>
      </c>
      <c r="AA303" s="17">
        <f t="shared" si="89"/>
        <v>2.9257400795506872E-2</v>
      </c>
      <c r="AB303" s="17">
        <f t="shared" si="89"/>
        <v>2.7384535180224434E-2</v>
      </c>
      <c r="AC303" s="17">
        <f t="shared" si="89"/>
        <v>2.5844779210037583E-2</v>
      </c>
      <c r="AD303" s="17">
        <f t="shared" si="89"/>
        <v>2.0924073604538851E-2</v>
      </c>
      <c r="AE303" s="17">
        <f t="shared" si="89"/>
        <v>1.8770631958306749E-2</v>
      </c>
      <c r="AF303" s="17">
        <f t="shared" si="89"/>
        <v>1.5483430920711694E-2</v>
      </c>
      <c r="AG303" s="17">
        <f t="shared" si="89"/>
        <v>1.2855289447557317E-2</v>
      </c>
      <c r="AH303" s="17">
        <f t="shared" si="89"/>
        <v>1.0410758536301801E-2</v>
      </c>
      <c r="AI303" s="17">
        <f t="shared" si="89"/>
        <v>7.4255099882150066E-3</v>
      </c>
      <c r="AJ303" s="17">
        <f t="shared" si="89"/>
        <v>7.718009722311292E-3</v>
      </c>
      <c r="AK303" s="17">
        <f t="shared" si="89"/>
        <v>6.0926614057597028E-3</v>
      </c>
    </row>
    <row r="304" spans="1:37" x14ac:dyDescent="0.25">
      <c r="A304" s="12" t="s">
        <v>492</v>
      </c>
      <c r="B304" s="12"/>
      <c r="C304" s="17">
        <f>C$115/B$115-1</f>
        <v>5.1806574045719866E-2</v>
      </c>
      <c r="D304" s="17">
        <f t="shared" ref="D304:AK304" si="90">D$115/C$115-1</f>
        <v>3.6558175238295076E-2</v>
      </c>
      <c r="E304" s="17">
        <f t="shared" si="90"/>
        <v>7.6803005061210072E-4</v>
      </c>
      <c r="F304" s="17">
        <f t="shared" si="90"/>
        <v>6.0017075961682487E-4</v>
      </c>
      <c r="G304" s="17">
        <f t="shared" si="90"/>
        <v>-2.5251135619412279E-2</v>
      </c>
      <c r="H304" s="17">
        <f t="shared" si="90"/>
        <v>-2.3942209803639924E-2</v>
      </c>
      <c r="I304" s="17">
        <f t="shared" si="90"/>
        <v>-1.108670464677286E-2</v>
      </c>
      <c r="J304" s="17">
        <f t="shared" si="90"/>
        <v>-2.0457603414898884E-2</v>
      </c>
      <c r="K304" s="17">
        <f t="shared" si="90"/>
        <v>1.0121352927485283E-2</v>
      </c>
      <c r="L304" s="17">
        <f t="shared" si="90"/>
        <v>6.2568873103774347E-3</v>
      </c>
      <c r="M304" s="17">
        <f t="shared" si="90"/>
        <v>-5.6439065452015269E-3</v>
      </c>
      <c r="N304" s="17">
        <f t="shared" si="90"/>
        <v>-6.2164240284848793E-3</v>
      </c>
      <c r="O304" s="17">
        <f t="shared" si="90"/>
        <v>-1.0509346289397925E-3</v>
      </c>
      <c r="P304" s="17">
        <f t="shared" si="90"/>
        <v>-1.0059541650873749E-2</v>
      </c>
      <c r="Q304" s="17">
        <f t="shared" si="90"/>
        <v>2.7727554658840026E-2</v>
      </c>
      <c r="R304" s="17">
        <f t="shared" si="90"/>
        <v>-2.2299900616615798E-2</v>
      </c>
      <c r="S304" s="17">
        <f t="shared" si="90"/>
        <v>-3.3942282645292643E-2</v>
      </c>
      <c r="T304" s="17">
        <f t="shared" si="90"/>
        <v>-3.1865238962079934E-3</v>
      </c>
      <c r="U304" s="17">
        <f t="shared" si="90"/>
        <v>2.1751727657393305E-2</v>
      </c>
      <c r="V304" s="17">
        <f t="shared" si="90"/>
        <v>-4.2233375821927321E-3</v>
      </c>
      <c r="W304" s="17">
        <f t="shared" si="90"/>
        <v>-1.2696915065992798E-3</v>
      </c>
      <c r="X304" s="17">
        <f t="shared" si="90"/>
        <v>1.0419003671784166E-2</v>
      </c>
      <c r="Y304" s="17">
        <f t="shared" si="90"/>
        <v>1.093591549600248E-2</v>
      </c>
      <c r="Z304" s="17">
        <f t="shared" si="90"/>
        <v>1.1253292645386326E-2</v>
      </c>
      <c r="AA304" s="17">
        <f t="shared" si="90"/>
        <v>1.0838860880707513E-2</v>
      </c>
      <c r="AB304" s="17">
        <f t="shared" si="90"/>
        <v>9.3949298082041111E-4</v>
      </c>
      <c r="AC304" s="17">
        <f t="shared" si="90"/>
        <v>2.0472590025693016E-3</v>
      </c>
      <c r="AD304" s="17">
        <f t="shared" si="90"/>
        <v>2.8272083738383191E-3</v>
      </c>
      <c r="AE304" s="17">
        <f t="shared" si="90"/>
        <v>3.6375802649091238E-3</v>
      </c>
      <c r="AF304" s="17">
        <f t="shared" si="90"/>
        <v>5.1345613296596149E-3</v>
      </c>
      <c r="AG304" s="17">
        <f t="shared" si="90"/>
        <v>5.7093125529894539E-3</v>
      </c>
      <c r="AH304" s="17">
        <f t="shared" si="90"/>
        <v>6.5732541934127031E-3</v>
      </c>
      <c r="AI304" s="17">
        <f t="shared" si="90"/>
        <v>6.8271618049677851E-3</v>
      </c>
      <c r="AJ304" s="17">
        <f t="shared" si="90"/>
        <v>7.0756880596580807E-3</v>
      </c>
      <c r="AK304" s="17">
        <f t="shared" si="90"/>
        <v>6.7332255204213265E-3</v>
      </c>
    </row>
    <row r="305" spans="1:37" x14ac:dyDescent="0.25">
      <c r="A305" s="12" t="s">
        <v>493</v>
      </c>
      <c r="B305" s="12"/>
      <c r="C305" s="17">
        <f>C$116/B$116-1</f>
        <v>2.0836131481788422E-2</v>
      </c>
      <c r="D305" s="17">
        <f t="shared" ref="D305:AK305" si="91">D$116/C$116-1</f>
        <v>5.3880777469708097E-2</v>
      </c>
      <c r="E305" s="17">
        <f t="shared" si="91"/>
        <v>3.8242484826334522E-2</v>
      </c>
      <c r="F305" s="17">
        <f t="shared" si="91"/>
        <v>6.368738527743556E-3</v>
      </c>
      <c r="G305" s="17">
        <f t="shared" si="91"/>
        <v>-3.672072743061694E-4</v>
      </c>
      <c r="H305" s="17">
        <f t="shared" si="91"/>
        <v>-2.928958609231691E-2</v>
      </c>
      <c r="I305" s="17">
        <f t="shared" si="91"/>
        <v>-1.7342974711590409E-2</v>
      </c>
      <c r="J305" s="17">
        <f t="shared" si="91"/>
        <v>-8.8674752965076653E-3</v>
      </c>
      <c r="K305" s="17">
        <f t="shared" si="91"/>
        <v>-1.8218072323946788E-2</v>
      </c>
      <c r="L305" s="17">
        <f t="shared" si="91"/>
        <v>7.5718260719721542E-3</v>
      </c>
      <c r="M305" s="17">
        <f t="shared" si="91"/>
        <v>8.242545847330085E-4</v>
      </c>
      <c r="N305" s="17">
        <f t="shared" si="91"/>
        <v>-1.9772100913995061E-3</v>
      </c>
      <c r="O305" s="17">
        <f t="shared" si="91"/>
        <v>-1.6223220379029901E-2</v>
      </c>
      <c r="P305" s="17">
        <f t="shared" si="91"/>
        <v>1.7122939216348332E-2</v>
      </c>
      <c r="Q305" s="17">
        <f t="shared" si="91"/>
        <v>-2.6601994390006101E-2</v>
      </c>
      <c r="R305" s="17">
        <f t="shared" si="91"/>
        <v>3.1740386574874435E-2</v>
      </c>
      <c r="S305" s="17">
        <f t="shared" si="91"/>
        <v>-8.8243460199950441E-3</v>
      </c>
      <c r="T305" s="17">
        <f t="shared" si="91"/>
        <v>-4.3704960395523518E-2</v>
      </c>
      <c r="U305" s="17">
        <f t="shared" si="91"/>
        <v>-6.322978471082763E-3</v>
      </c>
      <c r="V305" s="17">
        <f t="shared" si="91"/>
        <v>1.5930845524831705E-2</v>
      </c>
      <c r="W305" s="17">
        <f t="shared" si="91"/>
        <v>-5.9942289499170798E-4</v>
      </c>
      <c r="X305" s="17">
        <f t="shared" si="91"/>
        <v>1.1434317831422014E-2</v>
      </c>
      <c r="Y305" s="17">
        <f t="shared" si="91"/>
        <v>1.0936178257541229E-2</v>
      </c>
      <c r="Z305" s="17">
        <f t="shared" si="91"/>
        <v>1.1253882850412511E-2</v>
      </c>
      <c r="AA305" s="17">
        <f t="shared" si="91"/>
        <v>1.050047347134786E-2</v>
      </c>
      <c r="AB305" s="17">
        <f t="shared" si="91"/>
        <v>6.3395807461041898E-4</v>
      </c>
      <c r="AC305" s="17">
        <f t="shared" si="91"/>
        <v>1.1326326601783787E-3</v>
      </c>
      <c r="AD305" s="17">
        <f t="shared" si="91"/>
        <v>1.61159696043911E-3</v>
      </c>
      <c r="AE305" s="17">
        <f t="shared" si="91"/>
        <v>2.7320784409456955E-3</v>
      </c>
      <c r="AF305" s="17">
        <f t="shared" si="91"/>
        <v>3.935583203786841E-3</v>
      </c>
      <c r="AG305" s="17">
        <f t="shared" si="91"/>
        <v>4.8248062857731977E-3</v>
      </c>
      <c r="AH305" s="17">
        <f t="shared" si="91"/>
        <v>6.0020491328327541E-3</v>
      </c>
      <c r="AI305" s="17">
        <f t="shared" si="91"/>
        <v>6.5628634174326184E-3</v>
      </c>
      <c r="AJ305" s="17">
        <f t="shared" si="91"/>
        <v>7.1128069837231855E-3</v>
      </c>
      <c r="AK305" s="17">
        <f t="shared" si="91"/>
        <v>6.7682984257573242E-3</v>
      </c>
    </row>
    <row r="306" spans="1:37" x14ac:dyDescent="0.25">
      <c r="A306" s="12" t="s">
        <v>494</v>
      </c>
      <c r="B306" s="12"/>
      <c r="C306" s="17">
        <f>C$117/B$117-1</f>
        <v>-6.5681550608321926E-3</v>
      </c>
      <c r="D306" s="17">
        <f t="shared" ref="D306:AK306" si="92">D$117/C$117-1</f>
        <v>2.3560312182919541E-2</v>
      </c>
      <c r="E306" s="17">
        <f t="shared" si="92"/>
        <v>5.4517636501539624E-2</v>
      </c>
      <c r="F306" s="17">
        <f t="shared" si="92"/>
        <v>4.1821769168389089E-2</v>
      </c>
      <c r="G306" s="17">
        <f t="shared" si="92"/>
        <v>1.7493775862744698E-3</v>
      </c>
      <c r="H306" s="17">
        <f t="shared" si="92"/>
        <v>-2.9382864173249645E-3</v>
      </c>
      <c r="I306" s="17">
        <f t="shared" si="92"/>
        <v>-2.655153101721075E-2</v>
      </c>
      <c r="J306" s="17">
        <f t="shared" si="92"/>
        <v>-5.5033482074048345E-3</v>
      </c>
      <c r="K306" s="17">
        <f t="shared" si="92"/>
        <v>-5.4200749958406291E-3</v>
      </c>
      <c r="L306" s="17">
        <f t="shared" si="92"/>
        <v>-1.7541829193262637E-2</v>
      </c>
      <c r="M306" s="17">
        <f t="shared" si="92"/>
        <v>3.6319041584118583E-3</v>
      </c>
      <c r="N306" s="17">
        <f t="shared" si="92"/>
        <v>3.1422370978353431E-3</v>
      </c>
      <c r="O306" s="17">
        <f t="shared" si="92"/>
        <v>-1.1348629023733459E-2</v>
      </c>
      <c r="P306" s="17">
        <f t="shared" si="92"/>
        <v>-2.3948054673993413E-3</v>
      </c>
      <c r="Q306" s="17">
        <f t="shared" si="92"/>
        <v>-3.5315567829091732E-3</v>
      </c>
      <c r="R306" s="17">
        <f t="shared" si="92"/>
        <v>-2.0168501010345619E-2</v>
      </c>
      <c r="S306" s="17">
        <f t="shared" si="92"/>
        <v>4.7328190810569604E-2</v>
      </c>
      <c r="T306" s="17">
        <f t="shared" si="92"/>
        <v>-1.5129290945351537E-2</v>
      </c>
      <c r="U306" s="17">
        <f t="shared" si="92"/>
        <v>-5.1635251294738893E-2</v>
      </c>
      <c r="V306" s="17">
        <f t="shared" si="92"/>
        <v>-1.1973446681639244E-2</v>
      </c>
      <c r="W306" s="17">
        <f t="shared" si="92"/>
        <v>1.9515649669353374E-2</v>
      </c>
      <c r="X306" s="17">
        <f t="shared" si="92"/>
        <v>1.2441599501191947E-2</v>
      </c>
      <c r="Y306" s="17">
        <f t="shared" si="92"/>
        <v>1.1610446132249042E-2</v>
      </c>
      <c r="Z306" s="17">
        <f t="shared" si="92"/>
        <v>1.1593045931100887E-2</v>
      </c>
      <c r="AA306" s="17">
        <f t="shared" si="92"/>
        <v>1.0839308117611912E-2</v>
      </c>
      <c r="AB306" s="17">
        <f t="shared" si="92"/>
        <v>2.4619690938143535E-5</v>
      </c>
      <c r="AC306" s="17">
        <f t="shared" si="92"/>
        <v>5.2084141428476727E-4</v>
      </c>
      <c r="AD306" s="17">
        <f t="shared" si="92"/>
        <v>9.9836173896861169E-4</v>
      </c>
      <c r="AE306" s="17">
        <f t="shared" si="92"/>
        <v>1.5109897870608791E-3</v>
      </c>
      <c r="AF306" s="17">
        <f t="shared" si="92"/>
        <v>2.7156782546020608E-3</v>
      </c>
      <c r="AG306" s="17">
        <f t="shared" si="92"/>
        <v>4.2129473864425115E-3</v>
      </c>
      <c r="AH306" s="17">
        <f t="shared" si="92"/>
        <v>4.7945976255416856E-3</v>
      </c>
      <c r="AI306" s="17">
        <f t="shared" si="92"/>
        <v>5.9646489402807035E-3</v>
      </c>
      <c r="AJ306" s="17">
        <f t="shared" si="92"/>
        <v>6.5222111345766276E-3</v>
      </c>
      <c r="AK306" s="17">
        <f t="shared" si="92"/>
        <v>7.0690336892991201E-3</v>
      </c>
    </row>
    <row r="307" spans="1:37" x14ac:dyDescent="0.25">
      <c r="A307" s="12" t="s">
        <v>495</v>
      </c>
      <c r="B307" s="12"/>
      <c r="C307" s="17">
        <f>C$118/B$118-1</f>
        <v>2.4481034915927014E-2</v>
      </c>
      <c r="D307" s="17">
        <f t="shared" ref="D307:AK307" si="93">D$118/C$118-1</f>
        <v>-3.891860024321403E-3</v>
      </c>
      <c r="E307" s="17">
        <f t="shared" si="93"/>
        <v>2.5180704257419029E-2</v>
      </c>
      <c r="F307" s="17">
        <f t="shared" si="93"/>
        <v>5.4086505776161697E-2</v>
      </c>
      <c r="G307" s="17">
        <f t="shared" si="93"/>
        <v>3.602140588411018E-2</v>
      </c>
      <c r="H307" s="17">
        <f t="shared" si="93"/>
        <v>1.9084338313288818E-3</v>
      </c>
      <c r="I307" s="17">
        <f t="shared" si="93"/>
        <v>2.3752082898114146E-3</v>
      </c>
      <c r="J307" s="17">
        <f t="shared" si="93"/>
        <v>-1.8622195938418407E-2</v>
      </c>
      <c r="K307" s="17">
        <f t="shared" si="93"/>
        <v>-3.0947208871403564E-3</v>
      </c>
      <c r="L307" s="17">
        <f t="shared" si="93"/>
        <v>-3.8481624622245247E-3</v>
      </c>
      <c r="M307" s="17">
        <f t="shared" si="93"/>
        <v>-2.0644591095488773E-2</v>
      </c>
      <c r="N307" s="17">
        <f t="shared" si="93"/>
        <v>7.8519812715520665E-3</v>
      </c>
      <c r="O307" s="17">
        <f t="shared" si="93"/>
        <v>-7.5637459569223298E-3</v>
      </c>
      <c r="P307" s="17">
        <f t="shared" si="93"/>
        <v>7.2044303649414498E-3</v>
      </c>
      <c r="Q307" s="17">
        <f t="shared" si="93"/>
        <v>-2.7576386066270331E-2</v>
      </c>
      <c r="R307" s="17">
        <f t="shared" si="93"/>
        <v>7.823517004935443E-3</v>
      </c>
      <c r="S307" s="17">
        <f t="shared" si="93"/>
        <v>-2.6537996315679768E-3</v>
      </c>
      <c r="T307" s="17">
        <f t="shared" si="93"/>
        <v>3.2755223559133517E-2</v>
      </c>
      <c r="U307" s="17">
        <f t="shared" si="93"/>
        <v>-2.2208590277410178E-2</v>
      </c>
      <c r="V307" s="17">
        <f t="shared" si="93"/>
        <v>-5.6678925415522663E-2</v>
      </c>
      <c r="W307" s="17">
        <f t="shared" si="93"/>
        <v>-8.3093240744461783E-3</v>
      </c>
      <c r="X307" s="17">
        <f t="shared" si="93"/>
        <v>3.2640313136184318E-2</v>
      </c>
      <c r="Y307" s="17">
        <f t="shared" si="93"/>
        <v>1.2946753560038937E-2</v>
      </c>
      <c r="Z307" s="17">
        <f t="shared" si="93"/>
        <v>1.2262419281573012E-2</v>
      </c>
      <c r="AA307" s="17">
        <f t="shared" si="93"/>
        <v>1.0839768734103306E-2</v>
      </c>
      <c r="AB307" s="17">
        <f t="shared" si="93"/>
        <v>3.2479797026052637E-4</v>
      </c>
      <c r="AC307" s="17">
        <f t="shared" si="93"/>
        <v>-8.3806115440232531E-5</v>
      </c>
      <c r="AD307" s="17">
        <f t="shared" si="93"/>
        <v>3.9049287910186692E-4</v>
      </c>
      <c r="AE307" s="17">
        <f t="shared" si="93"/>
        <v>9.0052721759747989E-4</v>
      </c>
      <c r="AF307" s="17">
        <f t="shared" si="93"/>
        <v>1.7994339959053196E-3</v>
      </c>
      <c r="AG307" s="17">
        <f t="shared" si="93"/>
        <v>2.9936697487240593E-3</v>
      </c>
      <c r="AH307" s="17">
        <f t="shared" si="93"/>
        <v>3.8801547713818163E-3</v>
      </c>
      <c r="AI307" s="17">
        <f t="shared" si="93"/>
        <v>5.0544365510911682E-3</v>
      </c>
      <c r="AJ307" s="17">
        <f t="shared" si="93"/>
        <v>5.916491412013114E-3</v>
      </c>
      <c r="AK307" s="17">
        <f t="shared" si="93"/>
        <v>6.4698616721938773E-3</v>
      </c>
    </row>
    <row r="308" spans="1:37" x14ac:dyDescent="0.25">
      <c r="A308" s="12" t="s">
        <v>496</v>
      </c>
      <c r="B308" s="12"/>
      <c r="C308" s="17">
        <f>C$119/B$119-1</f>
        <v>1.5130026055881318E-2</v>
      </c>
      <c r="D308" s="17">
        <f t="shared" ref="D308:AK308" si="94">D$119/C$119-1</f>
        <v>2.7082594386724779E-2</v>
      </c>
      <c r="E308" s="17">
        <f t="shared" si="94"/>
        <v>-1.8895101817739679E-3</v>
      </c>
      <c r="F308" s="17">
        <f t="shared" si="94"/>
        <v>2.2746683778507526E-2</v>
      </c>
      <c r="G308" s="17">
        <f t="shared" si="94"/>
        <v>5.2018742192782907E-2</v>
      </c>
      <c r="H308" s="17">
        <f t="shared" si="94"/>
        <v>3.3092983185481817E-2</v>
      </c>
      <c r="I308" s="17">
        <f t="shared" si="94"/>
        <v>6.0399219227795786E-3</v>
      </c>
      <c r="J308" s="17">
        <f t="shared" si="94"/>
        <v>9.4047596854029969E-3</v>
      </c>
      <c r="K308" s="17">
        <f t="shared" si="94"/>
        <v>-1.413721665318346E-2</v>
      </c>
      <c r="L308" s="17">
        <f t="shared" si="94"/>
        <v>-4.7430967183166306E-3</v>
      </c>
      <c r="M308" s="17">
        <f t="shared" si="94"/>
        <v>-7.6248383395128849E-3</v>
      </c>
      <c r="N308" s="17">
        <f t="shared" si="94"/>
        <v>-1.20808245183881E-2</v>
      </c>
      <c r="O308" s="17">
        <f t="shared" si="94"/>
        <v>-4.6210869475382665E-4</v>
      </c>
      <c r="P308" s="17">
        <f t="shared" si="94"/>
        <v>5.3111889544810165E-3</v>
      </c>
      <c r="Q308" s="17">
        <f t="shared" si="94"/>
        <v>-1.6849128233663579E-2</v>
      </c>
      <c r="R308" s="17">
        <f t="shared" si="94"/>
        <v>-1.766656948647316E-2</v>
      </c>
      <c r="S308" s="17">
        <f t="shared" si="94"/>
        <v>3.2015807627113979E-2</v>
      </c>
      <c r="T308" s="17">
        <f t="shared" si="94"/>
        <v>-1.2153564152139085E-2</v>
      </c>
      <c r="U308" s="17">
        <f t="shared" si="94"/>
        <v>1.9470980337900512E-2</v>
      </c>
      <c r="V308" s="17">
        <f t="shared" si="94"/>
        <v>-2.7704856102161113E-2</v>
      </c>
      <c r="W308" s="17">
        <f t="shared" si="94"/>
        <v>-5.2554641810665381E-2</v>
      </c>
      <c r="X308" s="17">
        <f t="shared" si="94"/>
        <v>4.6945075973359174E-3</v>
      </c>
      <c r="Y308" s="17">
        <f t="shared" si="94"/>
        <v>3.2964417096920773E-2</v>
      </c>
      <c r="Z308" s="17">
        <f t="shared" si="94"/>
        <v>1.3254085455311149E-2</v>
      </c>
      <c r="AA308" s="17">
        <f t="shared" si="94"/>
        <v>1.1833715727091132E-2</v>
      </c>
      <c r="AB308" s="17">
        <f t="shared" si="94"/>
        <v>6.194344162469001E-4</v>
      </c>
      <c r="AC308" s="17">
        <f t="shared" si="94"/>
        <v>-8.3013682264154731E-5</v>
      </c>
      <c r="AD308" s="17">
        <f t="shared" si="94"/>
        <v>8.9346962439673661E-5</v>
      </c>
      <c r="AE308" s="17">
        <f t="shared" si="94"/>
        <v>2.9742670978993857E-4</v>
      </c>
      <c r="AF308" s="17">
        <f t="shared" si="94"/>
        <v>8.9201482033662849E-4</v>
      </c>
      <c r="AG308" s="17">
        <f t="shared" si="94"/>
        <v>1.7824396780639074E-3</v>
      </c>
      <c r="AH308" s="17">
        <f t="shared" si="94"/>
        <v>2.9654470662590082E-3</v>
      </c>
      <c r="AI308" s="17">
        <f t="shared" si="94"/>
        <v>3.8436829478156742E-3</v>
      </c>
      <c r="AJ308" s="17">
        <f t="shared" si="94"/>
        <v>5.3016447017937285E-3</v>
      </c>
      <c r="AK308" s="17">
        <f t="shared" si="94"/>
        <v>5.8596505500332352E-3</v>
      </c>
    </row>
    <row r="309" spans="1:37" x14ac:dyDescent="0.25">
      <c r="A309" s="12" t="s">
        <v>497</v>
      </c>
      <c r="B309" s="12"/>
      <c r="C309" s="17">
        <f>C$120/B$120-1</f>
        <v>-4.2080258970082718E-2</v>
      </c>
      <c r="D309" s="17">
        <f t="shared" ref="D309:AK309" si="95">D$120/C$120-1</f>
        <v>1.8337493555618201E-2</v>
      </c>
      <c r="E309" s="17">
        <f t="shared" si="95"/>
        <v>2.6938111019711775E-2</v>
      </c>
      <c r="F309" s="17">
        <f t="shared" si="95"/>
        <v>-1.8770138351259513E-3</v>
      </c>
      <c r="G309" s="17">
        <f t="shared" si="95"/>
        <v>1.7906625611859628E-2</v>
      </c>
      <c r="H309" s="17">
        <f t="shared" si="95"/>
        <v>4.8650530140122772E-2</v>
      </c>
      <c r="I309" s="17">
        <f t="shared" si="95"/>
        <v>3.6239165522870431E-2</v>
      </c>
      <c r="J309" s="17">
        <f t="shared" si="95"/>
        <v>1.3732468805296438E-2</v>
      </c>
      <c r="K309" s="17">
        <f t="shared" si="95"/>
        <v>1.2541150796471445E-2</v>
      </c>
      <c r="L309" s="17">
        <f t="shared" si="95"/>
        <v>-1.3355940676655242E-2</v>
      </c>
      <c r="M309" s="17">
        <f t="shared" si="95"/>
        <v>-9.4384094783671602E-3</v>
      </c>
      <c r="N309" s="17">
        <f t="shared" si="95"/>
        <v>-7.0507178559775507E-4</v>
      </c>
      <c r="O309" s="17">
        <f t="shared" si="95"/>
        <v>-1.630348937214543E-2</v>
      </c>
      <c r="P309" s="17">
        <f t="shared" si="95"/>
        <v>1.2386512499754421E-2</v>
      </c>
      <c r="Q309" s="17">
        <f t="shared" si="95"/>
        <v>-1.8788041129854549E-2</v>
      </c>
      <c r="R309" s="17">
        <f t="shared" si="95"/>
        <v>-1.0880257001930405E-2</v>
      </c>
      <c r="S309" s="17">
        <f t="shared" si="95"/>
        <v>9.1693081819530509E-3</v>
      </c>
      <c r="T309" s="17">
        <f t="shared" si="95"/>
        <v>2.1989751091527676E-2</v>
      </c>
      <c r="U309" s="17">
        <f t="shared" si="95"/>
        <v>-2.5949562565233175E-2</v>
      </c>
      <c r="V309" s="17">
        <f t="shared" si="95"/>
        <v>1.3713830514558989E-2</v>
      </c>
      <c r="W309" s="17">
        <f t="shared" si="95"/>
        <v>-2.2817547649566228E-2</v>
      </c>
      <c r="X309" s="17">
        <f t="shared" si="95"/>
        <v>-3.9377198330820873E-2</v>
      </c>
      <c r="Y309" s="17">
        <f t="shared" si="95"/>
        <v>5.332970211967325E-3</v>
      </c>
      <c r="Z309" s="17">
        <f t="shared" si="95"/>
        <v>3.3371504263579377E-2</v>
      </c>
      <c r="AA309" s="17">
        <f t="shared" si="95"/>
        <v>1.2455082498284753E-2</v>
      </c>
      <c r="AB309" s="17">
        <f t="shared" si="95"/>
        <v>1.3554307448022662E-3</v>
      </c>
      <c r="AC309" s="17">
        <f t="shared" si="95"/>
        <v>6.0776317108746092E-4</v>
      </c>
      <c r="AD309" s="17">
        <f t="shared" si="95"/>
        <v>1.303911625387677E-4</v>
      </c>
      <c r="AE309" s="17">
        <f t="shared" si="95"/>
        <v>0</v>
      </c>
      <c r="AF309" s="17">
        <f t="shared" si="95"/>
        <v>2.9441683992459389E-4</v>
      </c>
      <c r="AG309" s="17">
        <f t="shared" si="95"/>
        <v>1.1773207366478911E-3</v>
      </c>
      <c r="AH309" s="17">
        <f t="shared" si="95"/>
        <v>1.7639044237163226E-3</v>
      </c>
      <c r="AI309" s="17">
        <f t="shared" si="95"/>
        <v>2.9346642389607158E-3</v>
      </c>
      <c r="AJ309" s="17">
        <f t="shared" si="95"/>
        <v>3.8039003403513849E-3</v>
      </c>
      <c r="AK309" s="17">
        <f t="shared" si="95"/>
        <v>5.2469799439995857E-3</v>
      </c>
    </row>
    <row r="310" spans="1:37" x14ac:dyDescent="0.25">
      <c r="A310" s="12" t="s">
        <v>498</v>
      </c>
      <c r="B310" s="12"/>
      <c r="C310" s="17">
        <f>C$121/B$121-1</f>
        <v>-1.5743544203728699E-2</v>
      </c>
      <c r="D310" s="17">
        <f t="shared" ref="D310:AK310" si="96">D$121/C$121-1</f>
        <v>-4.0223408118450821E-2</v>
      </c>
      <c r="E310" s="17">
        <f t="shared" si="96"/>
        <v>1.6119329665891247E-2</v>
      </c>
      <c r="F310" s="17">
        <f t="shared" si="96"/>
        <v>2.7191986677979729E-2</v>
      </c>
      <c r="G310" s="17">
        <f t="shared" si="96"/>
        <v>-5.6090485596013151E-3</v>
      </c>
      <c r="H310" s="17">
        <f t="shared" si="96"/>
        <v>1.3088596553949783E-2</v>
      </c>
      <c r="I310" s="17">
        <f t="shared" si="96"/>
        <v>5.0679933060555404E-2</v>
      </c>
      <c r="J310" s="17">
        <f t="shared" si="96"/>
        <v>4.6914930414608813E-2</v>
      </c>
      <c r="K310" s="17">
        <f t="shared" si="96"/>
        <v>1.5644492552269851E-2</v>
      </c>
      <c r="L310" s="17">
        <f t="shared" si="96"/>
        <v>8.2025264921032903E-3</v>
      </c>
      <c r="M310" s="17">
        <f t="shared" si="96"/>
        <v>-1.3544189178880228E-2</v>
      </c>
      <c r="N310" s="17">
        <f t="shared" si="96"/>
        <v>-4.2934305706275877E-3</v>
      </c>
      <c r="O310" s="17">
        <f t="shared" si="96"/>
        <v>-8.1728230059294749E-3</v>
      </c>
      <c r="P310" s="17">
        <f t="shared" si="96"/>
        <v>7.8683616890740105E-4</v>
      </c>
      <c r="Q310" s="17">
        <f t="shared" si="96"/>
        <v>-1.2398766652370941E-2</v>
      </c>
      <c r="R310" s="17">
        <f t="shared" si="96"/>
        <v>-1.0678130185141299E-2</v>
      </c>
      <c r="S310" s="17">
        <f t="shared" si="96"/>
        <v>1.408967493949187E-2</v>
      </c>
      <c r="T310" s="17">
        <f t="shared" si="96"/>
        <v>1.7197577752781079E-3</v>
      </c>
      <c r="U310" s="17">
        <f t="shared" si="96"/>
        <v>7.9456960508490493E-3</v>
      </c>
      <c r="V310" s="17">
        <f t="shared" si="96"/>
        <v>-3.0027656296244265E-2</v>
      </c>
      <c r="W310" s="17">
        <f t="shared" si="96"/>
        <v>1.817782224056752E-2</v>
      </c>
      <c r="X310" s="17">
        <f t="shared" si="96"/>
        <v>-1.0506389589651888E-2</v>
      </c>
      <c r="Y310" s="17">
        <f t="shared" si="96"/>
        <v>-3.8612442337238373E-2</v>
      </c>
      <c r="Z310" s="17">
        <f t="shared" si="96"/>
        <v>5.9289830256061826E-3</v>
      </c>
      <c r="AA310" s="17">
        <f t="shared" si="96"/>
        <v>3.2401615835348396E-2</v>
      </c>
      <c r="AB310" s="17">
        <f t="shared" si="96"/>
        <v>2.2217894856111364E-3</v>
      </c>
      <c r="AC310" s="17">
        <f t="shared" si="96"/>
        <v>1.1859923560713082E-3</v>
      </c>
      <c r="AD310" s="17">
        <f t="shared" si="96"/>
        <v>4.2068529445282721E-4</v>
      </c>
      <c r="AE310" s="17">
        <f t="shared" si="96"/>
        <v>0</v>
      </c>
      <c r="AF310" s="17">
        <f t="shared" si="96"/>
        <v>0</v>
      </c>
      <c r="AG310" s="17">
        <f t="shared" si="96"/>
        <v>5.8289724280258248E-4</v>
      </c>
      <c r="AH310" s="17">
        <f t="shared" si="96"/>
        <v>8.7383650731309714E-4</v>
      </c>
      <c r="AI310" s="17">
        <f t="shared" si="96"/>
        <v>2.0371716953979657E-3</v>
      </c>
      <c r="AJ310" s="17">
        <f t="shared" si="96"/>
        <v>2.904328662993505E-3</v>
      </c>
      <c r="AK310" s="17">
        <f t="shared" si="96"/>
        <v>4.0542851516169875E-3</v>
      </c>
    </row>
    <row r="311" spans="1:37" x14ac:dyDescent="0.25">
      <c r="A311" s="12" t="s">
        <v>499</v>
      </c>
      <c r="B311" s="12"/>
      <c r="C311" s="17">
        <f>C$122/B$122-1</f>
        <v>3.016297550886371E-2</v>
      </c>
      <c r="D311" s="17">
        <f t="shared" ref="D311:AK311" si="97">D$122/C$122-1</f>
        <v>-1.227351947365507E-2</v>
      </c>
      <c r="E311" s="17">
        <f t="shared" si="97"/>
        <v>-4.2298110681785017E-2</v>
      </c>
      <c r="F311" s="17">
        <f t="shared" si="97"/>
        <v>1.7416837560169762E-2</v>
      </c>
      <c r="G311" s="17">
        <f t="shared" si="97"/>
        <v>2.1210766312388163E-2</v>
      </c>
      <c r="H311" s="17">
        <f t="shared" si="97"/>
        <v>-8.7424719682054342E-3</v>
      </c>
      <c r="I311" s="17">
        <f t="shared" si="97"/>
        <v>1.4531328482612071E-2</v>
      </c>
      <c r="J311" s="17">
        <f t="shared" si="97"/>
        <v>6.1216887777345352E-2</v>
      </c>
      <c r="K311" s="17">
        <f t="shared" si="97"/>
        <v>4.7159628045780444E-2</v>
      </c>
      <c r="L311" s="17">
        <f t="shared" si="97"/>
        <v>1.129022708451255E-2</v>
      </c>
      <c r="M311" s="17">
        <f t="shared" si="97"/>
        <v>5.3782824943024998E-3</v>
      </c>
      <c r="N311" s="17">
        <f t="shared" si="97"/>
        <v>-6.5957870237010052E-3</v>
      </c>
      <c r="O311" s="17">
        <f t="shared" si="97"/>
        <v>-8.7563505612078263E-3</v>
      </c>
      <c r="P311" s="17">
        <f t="shared" si="97"/>
        <v>5.0133189725687366E-3</v>
      </c>
      <c r="Q311" s="17">
        <f t="shared" si="97"/>
        <v>-1.7894566011591007E-2</v>
      </c>
      <c r="R311" s="17">
        <f t="shared" si="97"/>
        <v>-7.2180244212647349E-3</v>
      </c>
      <c r="S311" s="17">
        <f t="shared" si="97"/>
        <v>1.4291197354485474E-2</v>
      </c>
      <c r="T311" s="17">
        <f t="shared" si="97"/>
        <v>3.751745078389046E-3</v>
      </c>
      <c r="U311" s="17">
        <f t="shared" si="97"/>
        <v>-8.9186478328818763E-3</v>
      </c>
      <c r="V311" s="17">
        <f t="shared" si="97"/>
        <v>3.4402725162980818E-3</v>
      </c>
      <c r="W311" s="17">
        <f t="shared" si="97"/>
        <v>-2.5361966490648702E-2</v>
      </c>
      <c r="X311" s="17">
        <f t="shared" si="97"/>
        <v>3.0568731870781463E-2</v>
      </c>
      <c r="Y311" s="17">
        <f t="shared" si="97"/>
        <v>-9.9960808959365099E-3</v>
      </c>
      <c r="Z311" s="17">
        <f t="shared" si="97"/>
        <v>-3.7613576640073698E-2</v>
      </c>
      <c r="AA311" s="17">
        <f t="shared" si="97"/>
        <v>5.255964875175545E-3</v>
      </c>
      <c r="AB311" s="17">
        <f t="shared" si="97"/>
        <v>1.9987938552571638E-2</v>
      </c>
      <c r="AC311" s="17">
        <f t="shared" si="97"/>
        <v>2.0475711252563311E-3</v>
      </c>
      <c r="AD311" s="17">
        <f t="shared" si="97"/>
        <v>9.9607031444159944E-4</v>
      </c>
      <c r="AE311" s="17">
        <f t="shared" si="97"/>
        <v>2.8903011394976197E-4</v>
      </c>
      <c r="AF311" s="17">
        <f t="shared" si="97"/>
        <v>2.8894659968115022E-4</v>
      </c>
      <c r="AG311" s="17">
        <f t="shared" si="97"/>
        <v>0</v>
      </c>
      <c r="AH311" s="17">
        <f t="shared" si="97"/>
        <v>5.7772626732166543E-4</v>
      </c>
      <c r="AI311" s="17">
        <f t="shared" si="97"/>
        <v>1.1547853847932998E-3</v>
      </c>
      <c r="AJ311" s="17">
        <f t="shared" si="97"/>
        <v>1.7301800905082931E-3</v>
      </c>
      <c r="AK311" s="17">
        <f t="shared" si="97"/>
        <v>2.8786528962521096E-3</v>
      </c>
    </row>
    <row r="312" spans="1:37" x14ac:dyDescent="0.25">
      <c r="A312" s="12" t="s">
        <v>500</v>
      </c>
      <c r="B312" s="12"/>
      <c r="C312" s="17">
        <f>C$123/B$123-1</f>
        <v>-1.0871577709744007E-2</v>
      </c>
      <c r="D312" s="17">
        <f t="shared" ref="D312:AK312" si="98">D$123/C$123-1</f>
        <v>3.5730692451624524E-2</v>
      </c>
      <c r="E312" s="17">
        <f t="shared" si="98"/>
        <v>-1.5420230415666425E-2</v>
      </c>
      <c r="F312" s="17">
        <f t="shared" si="98"/>
        <v>-3.9421345589423784E-2</v>
      </c>
      <c r="G312" s="17">
        <f t="shared" si="98"/>
        <v>1.1725590481192816E-2</v>
      </c>
      <c r="H312" s="17">
        <f t="shared" si="98"/>
        <v>1.5940558183255682E-2</v>
      </c>
      <c r="I312" s="17">
        <f t="shared" si="98"/>
        <v>-7.0652107135501518E-3</v>
      </c>
      <c r="J312" s="17">
        <f t="shared" si="98"/>
        <v>2.2942372734087613E-2</v>
      </c>
      <c r="K312" s="17">
        <f t="shared" si="98"/>
        <v>6.2100617956272419E-2</v>
      </c>
      <c r="L312" s="17">
        <f t="shared" si="98"/>
        <v>4.4027554567439786E-2</v>
      </c>
      <c r="M312" s="17">
        <f t="shared" si="98"/>
        <v>6.6286629535625696E-3</v>
      </c>
      <c r="N312" s="17">
        <f t="shared" si="98"/>
        <v>9.0229665480143773E-3</v>
      </c>
      <c r="O312" s="17">
        <f t="shared" si="98"/>
        <v>-8.7455299677636766E-3</v>
      </c>
      <c r="P312" s="17">
        <f t="shared" si="98"/>
        <v>6.4880238259525935E-3</v>
      </c>
      <c r="Q312" s="17">
        <f t="shared" si="98"/>
        <v>-1.6284586032400128E-2</v>
      </c>
      <c r="R312" s="17">
        <f t="shared" si="98"/>
        <v>-1.2391454117231526E-2</v>
      </c>
      <c r="S312" s="17">
        <f t="shared" si="98"/>
        <v>1.8745658877405313E-2</v>
      </c>
      <c r="T312" s="17">
        <f t="shared" si="98"/>
        <v>6.3157932329063193E-3</v>
      </c>
      <c r="U312" s="17">
        <f t="shared" si="98"/>
        <v>-8.9728729663618445E-3</v>
      </c>
      <c r="V312" s="17">
        <f t="shared" si="98"/>
        <v>-1.3301739878706864E-2</v>
      </c>
      <c r="W312" s="17">
        <f t="shared" si="98"/>
        <v>7.8662956584727439E-3</v>
      </c>
      <c r="X312" s="17">
        <f t="shared" si="98"/>
        <v>-1.300925457726787E-2</v>
      </c>
      <c r="Y312" s="17">
        <f t="shared" si="98"/>
        <v>3.068901950472136E-2</v>
      </c>
      <c r="Z312" s="17">
        <f t="shared" si="98"/>
        <v>-9.259157947518637E-3</v>
      </c>
      <c r="AA312" s="17">
        <f t="shared" si="98"/>
        <v>-3.7826039796268418E-2</v>
      </c>
      <c r="AB312" s="17">
        <f t="shared" si="98"/>
        <v>-4.4827019267696944E-3</v>
      </c>
      <c r="AC312" s="17">
        <f t="shared" si="98"/>
        <v>1.9601401080044489E-2</v>
      </c>
      <c r="AD312" s="17">
        <f t="shared" si="98"/>
        <v>2.1335990294619744E-3</v>
      </c>
      <c r="AE312" s="17">
        <f t="shared" si="98"/>
        <v>8.5816504749192113E-4</v>
      </c>
      <c r="AF312" s="17">
        <f t="shared" si="98"/>
        <v>5.7161948779627103E-4</v>
      </c>
      <c r="AG312" s="17">
        <f t="shared" si="98"/>
        <v>0</v>
      </c>
      <c r="AH312" s="17">
        <f t="shared" si="98"/>
        <v>2.8564646281337147E-4</v>
      </c>
      <c r="AI312" s="17">
        <f t="shared" si="98"/>
        <v>5.7112978442419582E-4</v>
      </c>
      <c r="AJ312" s="17">
        <f t="shared" si="98"/>
        <v>1.1416075627670441E-3</v>
      </c>
      <c r="AK312" s="17">
        <f t="shared" si="98"/>
        <v>1.9955351168610136E-3</v>
      </c>
    </row>
    <row r="313" spans="1:37" x14ac:dyDescent="0.25">
      <c r="A313" s="12" t="s">
        <v>501</v>
      </c>
      <c r="B313" s="12"/>
      <c r="C313" s="17">
        <f>C$124/B$124-1</f>
        <v>9.1071797980910585E-3</v>
      </c>
      <c r="D313" s="17">
        <f t="shared" ref="D313:AK313" si="99">D$124/C$124-1</f>
        <v>-5.4590558656834043E-3</v>
      </c>
      <c r="E313" s="17">
        <f t="shared" si="99"/>
        <v>3.338192305500165E-2</v>
      </c>
      <c r="F313" s="17">
        <f t="shared" si="99"/>
        <v>-1.3337386137190599E-2</v>
      </c>
      <c r="G313" s="17">
        <f t="shared" si="99"/>
        <v>-4.3740058377296887E-2</v>
      </c>
      <c r="H313" s="17">
        <f t="shared" si="99"/>
        <v>5.0701053212993674E-3</v>
      </c>
      <c r="I313" s="17">
        <f t="shared" si="99"/>
        <v>1.9088671575959504E-2</v>
      </c>
      <c r="J313" s="17">
        <f t="shared" si="99"/>
        <v>2.1271584251580933E-4</v>
      </c>
      <c r="K313" s="17">
        <f t="shared" si="99"/>
        <v>2.4748358814162374E-2</v>
      </c>
      <c r="L313" s="17">
        <f t="shared" si="99"/>
        <v>6.0189963085259368E-2</v>
      </c>
      <c r="M313" s="17">
        <f t="shared" si="99"/>
        <v>3.4523153061174927E-2</v>
      </c>
      <c r="N313" s="17">
        <f t="shared" si="99"/>
        <v>1.4438538807971746E-2</v>
      </c>
      <c r="O313" s="17">
        <f t="shared" si="99"/>
        <v>5.4886608275450666E-3</v>
      </c>
      <c r="P313" s="17">
        <f t="shared" si="99"/>
        <v>4.7302521218000049E-3</v>
      </c>
      <c r="Q313" s="17">
        <f t="shared" si="99"/>
        <v>-1.4452614776391703E-2</v>
      </c>
      <c r="R313" s="17">
        <f t="shared" si="99"/>
        <v>-8.3935952585454388E-3</v>
      </c>
      <c r="S313" s="17">
        <f t="shared" si="99"/>
        <v>1.0235525439400428E-2</v>
      </c>
      <c r="T313" s="17">
        <f t="shared" si="99"/>
        <v>1.3856290992501741E-2</v>
      </c>
      <c r="U313" s="17">
        <f t="shared" si="99"/>
        <v>-7.5849975699775474E-3</v>
      </c>
      <c r="V313" s="17">
        <f t="shared" si="99"/>
        <v>-1.3741588029069662E-2</v>
      </c>
      <c r="W313" s="17">
        <f t="shared" si="99"/>
        <v>-8.8058012578374756E-3</v>
      </c>
      <c r="X313" s="17">
        <f t="shared" si="99"/>
        <v>2.0294567835247301E-2</v>
      </c>
      <c r="Y313" s="17">
        <f t="shared" si="99"/>
        <v>-1.2465701964880727E-2</v>
      </c>
      <c r="Z313" s="17">
        <f t="shared" si="99"/>
        <v>3.1050562344486776E-2</v>
      </c>
      <c r="AA313" s="17">
        <f t="shared" si="99"/>
        <v>-9.7827045164503579E-3</v>
      </c>
      <c r="AB313" s="17">
        <f t="shared" si="99"/>
        <v>-4.2614655198723872E-2</v>
      </c>
      <c r="AC313" s="17">
        <f t="shared" si="99"/>
        <v>-4.5647568322328969E-3</v>
      </c>
      <c r="AD313" s="17">
        <f t="shared" si="99"/>
        <v>1.9117888225679947E-2</v>
      </c>
      <c r="AE313" s="17">
        <f t="shared" si="99"/>
        <v>1.9763573159017334E-3</v>
      </c>
      <c r="AF313" s="17">
        <f t="shared" si="99"/>
        <v>1.1271194468933654E-3</v>
      </c>
      <c r="AG313" s="17">
        <f t="shared" si="99"/>
        <v>2.8146261973116538E-4</v>
      </c>
      <c r="AH313" s="17">
        <f t="shared" si="99"/>
        <v>2.8138342081618362E-4</v>
      </c>
      <c r="AI313" s="17">
        <f t="shared" si="99"/>
        <v>2.8130426645955886E-4</v>
      </c>
      <c r="AJ313" s="17">
        <f t="shared" si="99"/>
        <v>5.6245031324619887E-4</v>
      </c>
      <c r="AK313" s="17">
        <f t="shared" si="99"/>
        <v>1.1242682814454064E-3</v>
      </c>
    </row>
    <row r="314" spans="1:37" x14ac:dyDescent="0.25">
      <c r="A314" s="12" t="s">
        <v>502</v>
      </c>
      <c r="B314" s="12"/>
      <c r="C314" s="17">
        <f>C$125/B$125-1</f>
        <v>-3.4982390525280627E-2</v>
      </c>
      <c r="D314" s="17">
        <f t="shared" ref="D314:AK314" si="100">D$125/C$125-1</f>
        <v>1.0100881489644831E-2</v>
      </c>
      <c r="E314" s="17">
        <f t="shared" si="100"/>
        <v>-4.7864690451889791E-3</v>
      </c>
      <c r="F314" s="17">
        <f t="shared" si="100"/>
        <v>3.6175239198013021E-2</v>
      </c>
      <c r="G314" s="17">
        <f t="shared" si="100"/>
        <v>-1.8694487262424841E-2</v>
      </c>
      <c r="H314" s="17">
        <f t="shared" si="100"/>
        <v>-4.7590969907569058E-2</v>
      </c>
      <c r="I314" s="17">
        <f t="shared" si="100"/>
        <v>6.4539582604963286E-3</v>
      </c>
      <c r="J314" s="17">
        <f t="shared" si="100"/>
        <v>2.5481061479198486E-2</v>
      </c>
      <c r="K314" s="17">
        <f t="shared" si="100"/>
        <v>3.8016929387316711E-3</v>
      </c>
      <c r="L314" s="17">
        <f t="shared" si="100"/>
        <v>2.2003586004201381E-2</v>
      </c>
      <c r="M314" s="17">
        <f t="shared" si="100"/>
        <v>5.5384258096438987E-2</v>
      </c>
      <c r="N314" s="17">
        <f t="shared" si="100"/>
        <v>3.7202872595345937E-2</v>
      </c>
      <c r="O314" s="17">
        <f t="shared" si="100"/>
        <v>9.6689592357284138E-3</v>
      </c>
      <c r="P314" s="17">
        <f t="shared" si="100"/>
        <v>2.1906247677448309E-2</v>
      </c>
      <c r="Q314" s="17">
        <f t="shared" si="100"/>
        <v>-1.7732641547532624E-2</v>
      </c>
      <c r="R314" s="17">
        <f t="shared" si="100"/>
        <v>-6.8201998804606756E-3</v>
      </c>
      <c r="S314" s="17">
        <f t="shared" si="100"/>
        <v>1.6934194452461471E-2</v>
      </c>
      <c r="T314" s="17">
        <f t="shared" si="100"/>
        <v>8.8976975029408933E-4</v>
      </c>
      <c r="U314" s="17">
        <f t="shared" si="100"/>
        <v>1.6092236534370752E-3</v>
      </c>
      <c r="V314" s="17">
        <f t="shared" si="100"/>
        <v>-1.2197512094458185E-2</v>
      </c>
      <c r="W314" s="17">
        <f t="shared" si="100"/>
        <v>-9.1358044350577927E-3</v>
      </c>
      <c r="X314" s="17">
        <f t="shared" si="100"/>
        <v>3.2829936519729319E-3</v>
      </c>
      <c r="Y314" s="17">
        <f t="shared" si="100"/>
        <v>2.0521736094200715E-2</v>
      </c>
      <c r="Z314" s="17">
        <f t="shared" si="100"/>
        <v>-1.1411700908054101E-2</v>
      </c>
      <c r="AA314" s="17">
        <f t="shared" si="100"/>
        <v>3.0105126550787009E-2</v>
      </c>
      <c r="AB314" s="17">
        <f t="shared" si="100"/>
        <v>-1.7945642481906887E-2</v>
      </c>
      <c r="AC314" s="17">
        <f t="shared" si="100"/>
        <v>-4.2243661034722879E-2</v>
      </c>
      <c r="AD314" s="17">
        <f t="shared" si="100"/>
        <v>-4.4044486263055127E-3</v>
      </c>
      <c r="AE314" s="17">
        <f t="shared" si="100"/>
        <v>1.8745214929225984E-2</v>
      </c>
      <c r="AF314" s="17">
        <f t="shared" si="100"/>
        <v>1.9515466939084014E-3</v>
      </c>
      <c r="AG314" s="17">
        <f t="shared" si="100"/>
        <v>1.1129974728376624E-3</v>
      </c>
      <c r="AH314" s="17">
        <f t="shared" si="100"/>
        <v>5.5588004333539942E-4</v>
      </c>
      <c r="AI314" s="17">
        <f t="shared" si="100"/>
        <v>2.7778560619284853E-4</v>
      </c>
      <c r="AJ314" s="17">
        <f t="shared" si="100"/>
        <v>2.7770846277919148E-4</v>
      </c>
      <c r="AK314" s="17">
        <f t="shared" si="100"/>
        <v>5.5526272440076241E-4</v>
      </c>
    </row>
    <row r="315" spans="1:37" x14ac:dyDescent="0.25">
      <c r="A315" s="12" t="s">
        <v>503</v>
      </c>
      <c r="B315" s="12"/>
      <c r="C315" s="17">
        <f>C$126/B$126-1</f>
        <v>-1.408153590503447E-2</v>
      </c>
      <c r="D315" s="17">
        <f t="shared" ref="D315:AK315" si="101">D$126/C$126-1</f>
        <v>-2.7949019748451764E-2</v>
      </c>
      <c r="E315" s="17">
        <f t="shared" si="101"/>
        <v>9.3451870788903157E-3</v>
      </c>
      <c r="F315" s="17">
        <f t="shared" si="101"/>
        <v>-4.727220037639146E-4</v>
      </c>
      <c r="G315" s="17">
        <f t="shared" si="101"/>
        <v>3.0539039646232835E-2</v>
      </c>
      <c r="H315" s="17">
        <f t="shared" si="101"/>
        <v>-2.1268335014404616E-2</v>
      </c>
      <c r="I315" s="17">
        <f t="shared" si="101"/>
        <v>-4.7796572882645161E-2</v>
      </c>
      <c r="J315" s="17">
        <f t="shared" si="101"/>
        <v>1.6277337158930649E-2</v>
      </c>
      <c r="K315" s="17">
        <f t="shared" si="101"/>
        <v>2.2110219209882098E-2</v>
      </c>
      <c r="L315" s="17">
        <f t="shared" si="101"/>
        <v>2.3410642045209595E-3</v>
      </c>
      <c r="M315" s="17">
        <f t="shared" si="101"/>
        <v>1.9585858202261663E-2</v>
      </c>
      <c r="N315" s="17">
        <f t="shared" si="101"/>
        <v>5.8642615469285175E-2</v>
      </c>
      <c r="O315" s="17">
        <f t="shared" si="101"/>
        <v>3.2098275778137841E-2</v>
      </c>
      <c r="P315" s="17">
        <f t="shared" si="101"/>
        <v>2.0827057625007361E-2</v>
      </c>
      <c r="Q315" s="17">
        <f t="shared" si="101"/>
        <v>3.2783294377132233E-3</v>
      </c>
      <c r="R315" s="17">
        <f t="shared" si="101"/>
        <v>-9.8113581360786961E-3</v>
      </c>
      <c r="S315" s="17">
        <f t="shared" si="101"/>
        <v>1.5081378613817753E-2</v>
      </c>
      <c r="T315" s="17">
        <f t="shared" si="101"/>
        <v>9.1062229413763074E-3</v>
      </c>
      <c r="U315" s="17">
        <f t="shared" si="101"/>
        <v>-9.3822802789944593E-3</v>
      </c>
      <c r="V315" s="17">
        <f t="shared" si="101"/>
        <v>-3.3218696023261662E-3</v>
      </c>
      <c r="W315" s="17">
        <f t="shared" si="101"/>
        <v>-7.9109460990480773E-3</v>
      </c>
      <c r="X315" s="17">
        <f t="shared" si="101"/>
        <v>3.4042318904892177E-3</v>
      </c>
      <c r="Y315" s="17">
        <f t="shared" si="101"/>
        <v>3.7100937097682696E-3</v>
      </c>
      <c r="Z315" s="17">
        <f t="shared" si="101"/>
        <v>2.0992010019357688E-2</v>
      </c>
      <c r="AA315" s="17">
        <f t="shared" si="101"/>
        <v>-1.1914802005841385E-2</v>
      </c>
      <c r="AB315" s="17">
        <f t="shared" si="101"/>
        <v>1.7849917583143471E-2</v>
      </c>
      <c r="AC315" s="17">
        <f t="shared" si="101"/>
        <v>-1.7921053578841439E-2</v>
      </c>
      <c r="AD315" s="17">
        <f t="shared" si="101"/>
        <v>-4.2028419470293565E-2</v>
      </c>
      <c r="AE315" s="17">
        <f t="shared" si="101"/>
        <v>-4.483163803355894E-3</v>
      </c>
      <c r="AF315" s="17">
        <f t="shared" si="101"/>
        <v>1.885779099254159E-2</v>
      </c>
      <c r="AG315" s="17">
        <f t="shared" si="101"/>
        <v>1.9337507027852308E-3</v>
      </c>
      <c r="AH315" s="17">
        <f t="shared" si="101"/>
        <v>1.1028677303428491E-3</v>
      </c>
      <c r="AI315" s="17">
        <f t="shared" si="101"/>
        <v>5.5082637653569577E-4</v>
      </c>
      <c r="AJ315" s="17">
        <f t="shared" si="101"/>
        <v>2.7526156693635784E-4</v>
      </c>
      <c r="AK315" s="17">
        <f t="shared" si="101"/>
        <v>2.7518581885677129E-4</v>
      </c>
    </row>
    <row r="316" spans="1:37" x14ac:dyDescent="0.25">
      <c r="A316" s="12" t="s">
        <v>504</v>
      </c>
      <c r="B316" s="12"/>
      <c r="C316" s="17">
        <f>C$127/B$127-1</f>
        <v>-5.8944135586694868E-3</v>
      </c>
      <c r="D316" s="17">
        <f t="shared" ref="D316:AK316" si="102">D$127/C$127-1</f>
        <v>-5.5176598125510345E-3</v>
      </c>
      <c r="E316" s="17">
        <f t="shared" si="102"/>
        <v>-2.5938059818060633E-2</v>
      </c>
      <c r="F316" s="17">
        <f t="shared" si="102"/>
        <v>1.3590613463283718E-2</v>
      </c>
      <c r="G316" s="17">
        <f t="shared" si="102"/>
        <v>-6.3344618067714409E-3</v>
      </c>
      <c r="H316" s="17">
        <f t="shared" si="102"/>
        <v>3.0951936593390572E-2</v>
      </c>
      <c r="I316" s="17">
        <f t="shared" si="102"/>
        <v>-2.172216106436653E-2</v>
      </c>
      <c r="J316" s="17">
        <f t="shared" si="102"/>
        <v>-4.0961501596532779E-2</v>
      </c>
      <c r="K316" s="17">
        <f t="shared" si="102"/>
        <v>1.9799888790925868E-2</v>
      </c>
      <c r="L316" s="17">
        <f t="shared" si="102"/>
        <v>1.3350999473394021E-2</v>
      </c>
      <c r="M316" s="17">
        <f t="shared" si="102"/>
        <v>2.3235804648957803E-4</v>
      </c>
      <c r="N316" s="17">
        <f t="shared" si="102"/>
        <v>2.5991520940413348E-2</v>
      </c>
      <c r="O316" s="17">
        <f t="shared" si="102"/>
        <v>5.5666035973698458E-2</v>
      </c>
      <c r="P316" s="17">
        <f t="shared" si="102"/>
        <v>4.3654404742971664E-2</v>
      </c>
      <c r="Q316" s="17">
        <f t="shared" si="102"/>
        <v>-1.2763149908102678E-3</v>
      </c>
      <c r="R316" s="17">
        <f t="shared" si="102"/>
        <v>9.3085579407610197E-3</v>
      </c>
      <c r="S316" s="17">
        <f t="shared" si="102"/>
        <v>1.2684923941829851E-2</v>
      </c>
      <c r="T316" s="17">
        <f t="shared" si="102"/>
        <v>6.7204103499438617E-3</v>
      </c>
      <c r="U316" s="17">
        <f t="shared" si="102"/>
        <v>-5.4223224893223954E-4</v>
      </c>
      <c r="V316" s="17">
        <f t="shared" si="102"/>
        <v>-1.4259932957552346E-2</v>
      </c>
      <c r="W316" s="17">
        <f t="shared" si="102"/>
        <v>1.1643870258137845E-3</v>
      </c>
      <c r="X316" s="17">
        <f t="shared" si="102"/>
        <v>4.3715177129812766E-3</v>
      </c>
      <c r="Y316" s="17">
        <f t="shared" si="102"/>
        <v>3.8344917265689116E-3</v>
      </c>
      <c r="Z316" s="17">
        <f t="shared" si="102"/>
        <v>4.3343497121712815E-3</v>
      </c>
      <c r="AA316" s="17">
        <f t="shared" si="102"/>
        <v>2.0441337843410734E-2</v>
      </c>
      <c r="AB316" s="17">
        <f t="shared" si="102"/>
        <v>-2.0116921482362993E-2</v>
      </c>
      <c r="AC316" s="17">
        <f t="shared" si="102"/>
        <v>1.749384576113755E-2</v>
      </c>
      <c r="AD316" s="17">
        <f t="shared" si="102"/>
        <v>-1.7599128829323907E-2</v>
      </c>
      <c r="AE316" s="17">
        <f t="shared" si="102"/>
        <v>-4.1620584950118444E-2</v>
      </c>
      <c r="AF316" s="17">
        <f t="shared" si="102"/>
        <v>-4.1491803199530386E-3</v>
      </c>
      <c r="AG316" s="17">
        <f t="shared" si="102"/>
        <v>1.8332458082084058E-2</v>
      </c>
      <c r="AH316" s="17">
        <f t="shared" si="102"/>
        <v>1.9093485622843076E-3</v>
      </c>
      <c r="AI316" s="17">
        <f t="shared" si="102"/>
        <v>1.3612213555933561E-3</v>
      </c>
      <c r="AJ316" s="17">
        <f t="shared" si="102"/>
        <v>5.4374838032988926E-4</v>
      </c>
      <c r="AK316" s="17">
        <f t="shared" si="102"/>
        <v>2.7172643935369223E-4</v>
      </c>
    </row>
    <row r="317" spans="1:37" x14ac:dyDescent="0.25">
      <c r="A317" s="12" t="s">
        <v>505</v>
      </c>
      <c r="B317" s="12"/>
      <c r="C317" s="17">
        <f>C$128/B$128-1</f>
        <v>-2.9826585084108848E-2</v>
      </c>
      <c r="D317" s="17">
        <f t="shared" ref="D317:AK317" si="103">D$128/C$128-1</f>
        <v>4.9034160670524685E-4</v>
      </c>
      <c r="E317" s="17">
        <f t="shared" si="103"/>
        <v>1.4891470417022212E-4</v>
      </c>
      <c r="F317" s="17">
        <f t="shared" si="103"/>
        <v>-2.2591241241107562E-2</v>
      </c>
      <c r="G317" s="17">
        <f t="shared" si="103"/>
        <v>1.3118128628920367E-2</v>
      </c>
      <c r="H317" s="17">
        <f t="shared" si="103"/>
        <v>-1.0256509342433717E-2</v>
      </c>
      <c r="I317" s="17">
        <f t="shared" si="103"/>
        <v>3.3576030213322561E-2</v>
      </c>
      <c r="J317" s="17">
        <f t="shared" si="103"/>
        <v>-1.914319417142829E-2</v>
      </c>
      <c r="K317" s="17">
        <f t="shared" si="103"/>
        <v>-3.4667133143105988E-2</v>
      </c>
      <c r="L317" s="17">
        <f t="shared" si="103"/>
        <v>1.8411929500681046E-2</v>
      </c>
      <c r="M317" s="17">
        <f t="shared" si="103"/>
        <v>-1.0669291003095882E-4</v>
      </c>
      <c r="N317" s="17">
        <f t="shared" si="103"/>
        <v>8.413129627424798E-3</v>
      </c>
      <c r="O317" s="17">
        <f t="shared" si="103"/>
        <v>2.440716477783389E-2</v>
      </c>
      <c r="P317" s="17">
        <f t="shared" si="103"/>
        <v>6.9927134328778617E-2</v>
      </c>
      <c r="Q317" s="17">
        <f t="shared" si="103"/>
        <v>2.2136749002597655E-2</v>
      </c>
      <c r="R317" s="17">
        <f t="shared" si="103"/>
        <v>3.0075397016304795E-3</v>
      </c>
      <c r="S317" s="17">
        <f t="shared" si="103"/>
        <v>3.1649228228973314E-2</v>
      </c>
      <c r="T317" s="17">
        <f t="shared" si="103"/>
        <v>4.6430908995618303E-3</v>
      </c>
      <c r="U317" s="17">
        <f t="shared" si="103"/>
        <v>-2.9699266355891485E-3</v>
      </c>
      <c r="V317" s="17">
        <f t="shared" si="103"/>
        <v>-5.5844028458831296E-3</v>
      </c>
      <c r="W317" s="17">
        <f t="shared" si="103"/>
        <v>-1.0023927757334072E-2</v>
      </c>
      <c r="X317" s="17">
        <f t="shared" si="103"/>
        <v>1.347936479366374E-2</v>
      </c>
      <c r="Y317" s="17">
        <f t="shared" si="103"/>
        <v>5.0831065361276462E-3</v>
      </c>
      <c r="Z317" s="17">
        <f t="shared" si="103"/>
        <v>4.1782021654304113E-3</v>
      </c>
      <c r="AA317" s="17">
        <f t="shared" si="103"/>
        <v>3.9548874883159613E-3</v>
      </c>
      <c r="AB317" s="17">
        <f t="shared" si="103"/>
        <v>8.6952917406772912E-3</v>
      </c>
      <c r="AC317" s="17">
        <f t="shared" si="103"/>
        <v>-1.9794384997096626E-2</v>
      </c>
      <c r="AD317" s="17">
        <f t="shared" si="103"/>
        <v>1.7161925234153719E-2</v>
      </c>
      <c r="AE317" s="17">
        <f t="shared" si="103"/>
        <v>-1.7536753597394372E-2</v>
      </c>
      <c r="AF317" s="17">
        <f t="shared" si="103"/>
        <v>-4.0949497141207436E-2</v>
      </c>
      <c r="AG317" s="17">
        <f t="shared" si="103"/>
        <v>-4.3792776420217283E-3</v>
      </c>
      <c r="AH317" s="17">
        <f t="shared" si="103"/>
        <v>1.8418886543999147E-2</v>
      </c>
      <c r="AI317" s="17">
        <f t="shared" si="103"/>
        <v>1.8895577312461054E-3</v>
      </c>
      <c r="AJ317" s="17">
        <f t="shared" si="103"/>
        <v>1.3471385975951655E-3</v>
      </c>
      <c r="AK317" s="17">
        <f t="shared" si="103"/>
        <v>5.381305026672667E-4</v>
      </c>
    </row>
    <row r="318" spans="1:37" x14ac:dyDescent="0.25">
      <c r="A318" s="12" t="s">
        <v>506</v>
      </c>
      <c r="B318" s="12"/>
      <c r="C318" s="17">
        <f>C$129/B$129-1</f>
        <v>-2.2260786018374223E-2</v>
      </c>
      <c r="D318" s="17">
        <f t="shared" ref="D318:AK318" si="104">D$129/C$129-1</f>
        <v>-2.1529129643783063E-2</v>
      </c>
      <c r="E318" s="17">
        <f t="shared" si="104"/>
        <v>3.3192596661741902E-3</v>
      </c>
      <c r="F318" s="17">
        <f t="shared" si="104"/>
        <v>7.1949677831966152E-3</v>
      </c>
      <c r="G318" s="17">
        <f t="shared" si="104"/>
        <v>-2.1869359703562297E-2</v>
      </c>
      <c r="H318" s="17">
        <f t="shared" si="104"/>
        <v>1.2261456926449421E-2</v>
      </c>
      <c r="I318" s="17">
        <f t="shared" si="104"/>
        <v>-1.0732307328298774E-2</v>
      </c>
      <c r="J318" s="17">
        <f t="shared" si="104"/>
        <v>3.2109846841128054E-2</v>
      </c>
      <c r="K318" s="17">
        <f t="shared" si="104"/>
        <v>-1.2300755319730516E-2</v>
      </c>
      <c r="L318" s="17">
        <f t="shared" si="104"/>
        <v>-3.1877909167565277E-2</v>
      </c>
      <c r="M318" s="17">
        <f t="shared" si="104"/>
        <v>1.2948669635351351E-2</v>
      </c>
      <c r="N318" s="17">
        <f t="shared" si="104"/>
        <v>1.563151394213147E-3</v>
      </c>
      <c r="O318" s="17">
        <f t="shared" si="104"/>
        <v>5.1790279958146002E-3</v>
      </c>
      <c r="P318" s="17">
        <f t="shared" si="104"/>
        <v>3.6836626935632166E-2</v>
      </c>
      <c r="Q318" s="17">
        <f t="shared" si="104"/>
        <v>4.6077283327119023E-2</v>
      </c>
      <c r="R318" s="17">
        <f t="shared" si="104"/>
        <v>3.0511247033005118E-2</v>
      </c>
      <c r="S318" s="17">
        <f t="shared" si="104"/>
        <v>2.3552695028236759E-2</v>
      </c>
      <c r="T318" s="17">
        <f t="shared" si="104"/>
        <v>2.1665083060335766E-2</v>
      </c>
      <c r="U318" s="17">
        <f t="shared" si="104"/>
        <v>-2.0449368801798151E-3</v>
      </c>
      <c r="V318" s="17">
        <f t="shared" si="104"/>
        <v>-8.3093901975072049E-3</v>
      </c>
      <c r="W318" s="17">
        <f t="shared" si="104"/>
        <v>-1.4453101933084023E-3</v>
      </c>
      <c r="X318" s="17">
        <f t="shared" si="104"/>
        <v>2.3095249347124813E-3</v>
      </c>
      <c r="Y318" s="17">
        <f t="shared" si="104"/>
        <v>1.3820577096774977E-2</v>
      </c>
      <c r="Z318" s="17">
        <f t="shared" si="104"/>
        <v>5.7031482012770418E-3</v>
      </c>
      <c r="AA318" s="17">
        <f t="shared" si="104"/>
        <v>3.5201644609113014E-3</v>
      </c>
      <c r="AB318" s="17">
        <f t="shared" si="104"/>
        <v>-5.7245265380242438E-3</v>
      </c>
      <c r="AC318" s="17">
        <f t="shared" si="104"/>
        <v>8.7144840729800332E-3</v>
      </c>
      <c r="AD318" s="17">
        <f t="shared" si="104"/>
        <v>-1.9701766180361124E-2</v>
      </c>
      <c r="AE318" s="17">
        <f t="shared" si="104"/>
        <v>1.6839596259260903E-2</v>
      </c>
      <c r="AF318" s="17">
        <f t="shared" si="104"/>
        <v>-1.7325061355903282E-2</v>
      </c>
      <c r="AG318" s="17">
        <f t="shared" si="104"/>
        <v>-4.0446466506814716E-2</v>
      </c>
      <c r="AH318" s="17">
        <f t="shared" si="104"/>
        <v>-4.0530133882212827E-3</v>
      </c>
      <c r="AI318" s="17">
        <f t="shared" si="104"/>
        <v>1.8177131959914883E-2</v>
      </c>
      <c r="AJ318" s="17">
        <f t="shared" si="104"/>
        <v>1.8651993641223275E-3</v>
      </c>
      <c r="AK318" s="17">
        <f t="shared" si="104"/>
        <v>1.3298049088170671E-3</v>
      </c>
    </row>
    <row r="319" spans="1:37" x14ac:dyDescent="0.25">
      <c r="A319" s="12" t="s">
        <v>507</v>
      </c>
      <c r="B319" s="12"/>
      <c r="C319" s="17">
        <f>C$130/B$130-1</f>
        <v>-2.6187184458439372E-2</v>
      </c>
      <c r="D319" s="17">
        <f t="shared" ref="D319:AK319" si="105">D$130/C$130-1</f>
        <v>-1.4769945572514986E-2</v>
      </c>
      <c r="E319" s="17">
        <f t="shared" si="105"/>
        <v>-2.0882184824293715E-2</v>
      </c>
      <c r="F319" s="17">
        <f t="shared" si="105"/>
        <v>1.0033740583150763E-2</v>
      </c>
      <c r="G319" s="17">
        <f t="shared" si="105"/>
        <v>6.4307052082477334E-3</v>
      </c>
      <c r="H319" s="17">
        <f t="shared" si="105"/>
        <v>-1.976542871483955E-2</v>
      </c>
      <c r="I319" s="17">
        <f t="shared" si="105"/>
        <v>7.682647711430457E-3</v>
      </c>
      <c r="J319" s="17">
        <f t="shared" si="105"/>
        <v>-1.8483570460570031E-2</v>
      </c>
      <c r="K319" s="17">
        <f t="shared" si="105"/>
        <v>3.0393661795850679E-2</v>
      </c>
      <c r="L319" s="17">
        <f t="shared" si="105"/>
        <v>-7.1025072571360148E-3</v>
      </c>
      <c r="M319" s="17">
        <f t="shared" si="105"/>
        <v>-2.360623862719391E-2</v>
      </c>
      <c r="N319" s="17">
        <f t="shared" si="105"/>
        <v>2.1532889666709742E-2</v>
      </c>
      <c r="O319" s="17">
        <f t="shared" si="105"/>
        <v>4.643829488082396E-3</v>
      </c>
      <c r="P319" s="17">
        <f t="shared" si="105"/>
        <v>8.9571408050586054E-3</v>
      </c>
      <c r="Q319" s="17">
        <f t="shared" si="105"/>
        <v>2.7161546625306343E-2</v>
      </c>
      <c r="R319" s="17">
        <f t="shared" si="105"/>
        <v>5.4564768846805167E-2</v>
      </c>
      <c r="S319" s="17">
        <f t="shared" si="105"/>
        <v>3.2582217608003061E-2</v>
      </c>
      <c r="T319" s="17">
        <f t="shared" si="105"/>
        <v>2.1702802744148819E-2</v>
      </c>
      <c r="U319" s="17">
        <f t="shared" si="105"/>
        <v>8.1728885063994117E-3</v>
      </c>
      <c r="V319" s="17">
        <f t="shared" si="105"/>
        <v>-5.2276435568490154E-3</v>
      </c>
      <c r="W319" s="17">
        <f t="shared" si="105"/>
        <v>-1.6537611700889743E-3</v>
      </c>
      <c r="X319" s="17">
        <f t="shared" si="105"/>
        <v>-3.162905264865179E-4</v>
      </c>
      <c r="Y319" s="17">
        <f t="shared" si="105"/>
        <v>-7.9754030020677824E-3</v>
      </c>
      <c r="Z319" s="17">
        <f t="shared" si="105"/>
        <v>2.488248612406041E-3</v>
      </c>
      <c r="AA319" s="17">
        <f t="shared" si="105"/>
        <v>-5.412559789685023E-3</v>
      </c>
      <c r="AB319" s="17">
        <f t="shared" si="105"/>
        <v>-6.3275082694624896E-3</v>
      </c>
      <c r="AC319" s="17">
        <f t="shared" si="105"/>
        <v>-6.3179024138462214E-3</v>
      </c>
      <c r="AD319" s="17">
        <f t="shared" si="105"/>
        <v>9.581647551501149E-3</v>
      </c>
      <c r="AE319" s="17">
        <f t="shared" si="105"/>
        <v>-2.1975619960287851E-2</v>
      </c>
      <c r="AF319" s="17">
        <f t="shared" si="105"/>
        <v>1.9012568327036794E-2</v>
      </c>
      <c r="AG319" s="17">
        <f t="shared" si="105"/>
        <v>-1.9223223903262698E-2</v>
      </c>
      <c r="AH319" s="17">
        <f t="shared" si="105"/>
        <v>-4.4964703757920166E-2</v>
      </c>
      <c r="AI319" s="17">
        <f t="shared" si="105"/>
        <v>-4.5270883961092689E-3</v>
      </c>
      <c r="AJ319" s="17">
        <f t="shared" si="105"/>
        <v>2.0312953371453446E-2</v>
      </c>
      <c r="AK319" s="17">
        <f t="shared" si="105"/>
        <v>2.3771405236194809E-3</v>
      </c>
    </row>
    <row r="320" spans="1:37" x14ac:dyDescent="0.25">
      <c r="A320" s="12" t="s">
        <v>508</v>
      </c>
      <c r="B320" s="12"/>
      <c r="C320" s="17">
        <f>C$131/B$131-1</f>
        <v>2.523863302549012E-2</v>
      </c>
      <c r="D320" s="17">
        <f t="shared" ref="D320:AK320" si="106">D$131/C$131-1</f>
        <v>-3.0060001437012485E-2</v>
      </c>
      <c r="E320" s="17">
        <f t="shared" si="106"/>
        <v>-9.3259823507358952E-3</v>
      </c>
      <c r="F320" s="17">
        <f t="shared" si="106"/>
        <v>-1.1362188165703002E-2</v>
      </c>
      <c r="G320" s="17">
        <f t="shared" si="106"/>
        <v>1.0873542893602428E-2</v>
      </c>
      <c r="H320" s="17">
        <f t="shared" si="106"/>
        <v>6.526910185011392E-3</v>
      </c>
      <c r="I320" s="17">
        <f t="shared" si="106"/>
        <v>-1.8630273398790975E-2</v>
      </c>
      <c r="J320" s="17">
        <f t="shared" si="106"/>
        <v>3.2149918023796076E-3</v>
      </c>
      <c r="K320" s="17">
        <f t="shared" si="106"/>
        <v>-1.0989542292527132E-2</v>
      </c>
      <c r="L320" s="17">
        <f t="shared" si="106"/>
        <v>3.6411504695077923E-2</v>
      </c>
      <c r="M320" s="17">
        <f t="shared" si="106"/>
        <v>9.3551761028165537E-4</v>
      </c>
      <c r="N320" s="17">
        <f t="shared" si="106"/>
        <v>-2.5695984809216088E-2</v>
      </c>
      <c r="O320" s="17">
        <f t="shared" si="106"/>
        <v>1.6004323863582082E-2</v>
      </c>
      <c r="P320" s="17">
        <f t="shared" si="106"/>
        <v>1.9836801676982319E-3</v>
      </c>
      <c r="Q320" s="17">
        <f t="shared" si="106"/>
        <v>8.0182547888192346E-3</v>
      </c>
      <c r="R320" s="17">
        <f t="shared" si="106"/>
        <v>1.901794794076217E-2</v>
      </c>
      <c r="S320" s="17">
        <f t="shared" si="106"/>
        <v>5.7594067061000231E-2</v>
      </c>
      <c r="T320" s="17">
        <f t="shared" si="106"/>
        <v>5.8531009192601902E-2</v>
      </c>
      <c r="U320" s="17">
        <f t="shared" si="106"/>
        <v>-3.7955718652046277E-3</v>
      </c>
      <c r="V320" s="17">
        <f t="shared" si="106"/>
        <v>1.072295415726332E-2</v>
      </c>
      <c r="W320" s="17">
        <f t="shared" si="106"/>
        <v>-1.1392131562867336E-3</v>
      </c>
      <c r="X320" s="17">
        <f t="shared" si="106"/>
        <v>-2.7321357308393024E-3</v>
      </c>
      <c r="Y320" s="17">
        <f t="shared" si="106"/>
        <v>4.29442150796433E-4</v>
      </c>
      <c r="Z320" s="17">
        <f t="shared" si="106"/>
        <v>-7.989809059176789E-3</v>
      </c>
      <c r="AA320" s="17">
        <f t="shared" si="106"/>
        <v>3.0190141398294124E-3</v>
      </c>
      <c r="AB320" s="17">
        <f t="shared" si="106"/>
        <v>-5.0949916615725677E-3</v>
      </c>
      <c r="AC320" s="17">
        <f t="shared" si="106"/>
        <v>-6.4541556313318926E-3</v>
      </c>
      <c r="AD320" s="17">
        <f t="shared" si="106"/>
        <v>-6.2069824245913896E-3</v>
      </c>
      <c r="AE320" s="17">
        <f t="shared" si="106"/>
        <v>9.2368791804442463E-3</v>
      </c>
      <c r="AF320" s="17">
        <f t="shared" si="106"/>
        <v>-2.1632803921258881E-2</v>
      </c>
      <c r="AG320" s="17">
        <f t="shared" si="106"/>
        <v>1.8709417399141781E-2</v>
      </c>
      <c r="AH320" s="17">
        <f t="shared" si="106"/>
        <v>-1.8922343420319399E-2</v>
      </c>
      <c r="AI320" s="17">
        <f t="shared" si="106"/>
        <v>-4.4247345429924811E-2</v>
      </c>
      <c r="AJ320" s="17">
        <f t="shared" si="106"/>
        <v>-4.1547523792044849E-3</v>
      </c>
      <c r="AK320" s="17">
        <f t="shared" si="106"/>
        <v>1.9966413318001752E-2</v>
      </c>
    </row>
    <row r="321" spans="1:37" x14ac:dyDescent="0.25">
      <c r="A321" s="12" t="s">
        <v>509</v>
      </c>
      <c r="B321" s="12"/>
      <c r="C321" s="17">
        <f>C$132/B$132-1</f>
        <v>1.7572394902134914E-2</v>
      </c>
      <c r="D321" s="17">
        <f t="shared" ref="D321:AK321" si="107">D$132/C$132-1</f>
        <v>2.8175233385029808E-2</v>
      </c>
      <c r="E321" s="17">
        <f t="shared" si="107"/>
        <v>-3.1104855970962797E-2</v>
      </c>
      <c r="F321" s="17">
        <f t="shared" si="107"/>
        <v>1.1168304096411674E-3</v>
      </c>
      <c r="G321" s="17">
        <f t="shared" si="107"/>
        <v>-1.1355991397871579E-2</v>
      </c>
      <c r="H321" s="17">
        <f t="shared" si="107"/>
        <v>1.0336927969498921E-2</v>
      </c>
      <c r="I321" s="17">
        <f t="shared" si="107"/>
        <v>7.4335136600036655E-3</v>
      </c>
      <c r="J321" s="17">
        <f t="shared" si="107"/>
        <v>-1.9380482637044838E-2</v>
      </c>
      <c r="K321" s="17">
        <f t="shared" si="107"/>
        <v>9.9486202139307256E-3</v>
      </c>
      <c r="L321" s="17">
        <f t="shared" si="107"/>
        <v>-5.8346758951357547E-3</v>
      </c>
      <c r="M321" s="17">
        <f t="shared" si="107"/>
        <v>3.7403380507720518E-2</v>
      </c>
      <c r="N321" s="17">
        <f t="shared" si="107"/>
        <v>1.5722722197084593E-3</v>
      </c>
      <c r="O321" s="17">
        <f t="shared" si="107"/>
        <v>-3.2237658885210241E-2</v>
      </c>
      <c r="P321" s="17">
        <f t="shared" si="107"/>
        <v>8.2270309670002817E-3</v>
      </c>
      <c r="Q321" s="17">
        <f t="shared" si="107"/>
        <v>8.9539152975961489E-3</v>
      </c>
      <c r="R321" s="17">
        <f t="shared" si="107"/>
        <v>2.6061133827066651E-3</v>
      </c>
      <c r="S321" s="17">
        <f t="shared" si="107"/>
        <v>2.0675065413977567E-2</v>
      </c>
      <c r="T321" s="17">
        <f t="shared" si="107"/>
        <v>8.0497952705479436E-2</v>
      </c>
      <c r="U321" s="17">
        <f t="shared" si="107"/>
        <v>4.0238361743945683E-2</v>
      </c>
      <c r="V321" s="17">
        <f t="shared" si="107"/>
        <v>-9.3376841349412931E-4</v>
      </c>
      <c r="W321" s="17">
        <f t="shared" si="107"/>
        <v>1.5072515599096947E-2</v>
      </c>
      <c r="X321" s="17">
        <f t="shared" si="107"/>
        <v>-1.9187974078055392E-3</v>
      </c>
      <c r="Y321" s="17">
        <f t="shared" si="107"/>
        <v>-2.201593359405063E-3</v>
      </c>
      <c r="Z321" s="17">
        <f t="shared" si="107"/>
        <v>5.5858183232082581E-4</v>
      </c>
      <c r="AA321" s="17">
        <f t="shared" si="107"/>
        <v>-7.2912709183284852E-3</v>
      </c>
      <c r="AB321" s="17">
        <f t="shared" si="107"/>
        <v>3.375382994643461E-3</v>
      </c>
      <c r="AC321" s="17">
        <f t="shared" si="107"/>
        <v>-4.9509581787966495E-3</v>
      </c>
      <c r="AD321" s="17">
        <f t="shared" si="107"/>
        <v>-6.5915610256185309E-3</v>
      </c>
      <c r="AE321" s="17">
        <f t="shared" si="107"/>
        <v>-6.2767624045695358E-3</v>
      </c>
      <c r="AF321" s="17">
        <f t="shared" si="107"/>
        <v>9.0626737871029039E-3</v>
      </c>
      <c r="AG321" s="17">
        <f t="shared" si="107"/>
        <v>-2.0956318557706299E-2</v>
      </c>
      <c r="AH321" s="17">
        <f t="shared" si="107"/>
        <v>1.83470452894261E-2</v>
      </c>
      <c r="AI321" s="17">
        <f t="shared" si="107"/>
        <v>-1.8289473034039161E-2</v>
      </c>
      <c r="AJ321" s="17">
        <f t="shared" si="107"/>
        <v>-4.3377801812801486E-2</v>
      </c>
      <c r="AK321" s="17">
        <f t="shared" si="107"/>
        <v>-4.0694013344493296E-3</v>
      </c>
    </row>
    <row r="322" spans="1:37" x14ac:dyDescent="0.25">
      <c r="A322" s="12" t="s">
        <v>510</v>
      </c>
      <c r="B322" s="12"/>
      <c r="C322" s="17">
        <f>C$133/B$133-1</f>
        <v>1.1106819365360954E-2</v>
      </c>
      <c r="D322" s="17">
        <f t="shared" ref="D322:AK322" si="108">D$133/C$133-1</f>
        <v>1.3023862751943449E-2</v>
      </c>
      <c r="E322" s="17">
        <f t="shared" si="108"/>
        <v>3.014176664956314E-2</v>
      </c>
      <c r="F322" s="17">
        <f t="shared" si="108"/>
        <v>-1.964841823102248E-2</v>
      </c>
      <c r="G322" s="17">
        <f t="shared" si="108"/>
        <v>1.7023450710031973E-3</v>
      </c>
      <c r="H322" s="17">
        <f t="shared" si="108"/>
        <v>-1.155517611355239E-2</v>
      </c>
      <c r="I322" s="17">
        <f t="shared" si="108"/>
        <v>1.0370199594495366E-2</v>
      </c>
      <c r="J322" s="17">
        <f t="shared" si="108"/>
        <v>1.6689899991178869E-2</v>
      </c>
      <c r="K322" s="17">
        <f t="shared" si="108"/>
        <v>-1.0414605588328518E-2</v>
      </c>
      <c r="L322" s="17">
        <f t="shared" si="108"/>
        <v>9.8630160123023281E-3</v>
      </c>
      <c r="M322" s="17">
        <f t="shared" si="108"/>
        <v>-1.0644053117417007E-2</v>
      </c>
      <c r="N322" s="17">
        <f t="shared" si="108"/>
        <v>3.2446879871363965E-2</v>
      </c>
      <c r="O322" s="17">
        <f t="shared" si="108"/>
        <v>-1.1075091281762539E-3</v>
      </c>
      <c r="P322" s="17">
        <f t="shared" si="108"/>
        <v>-3.4428746730471915E-2</v>
      </c>
      <c r="Q322" s="17">
        <f t="shared" si="108"/>
        <v>4.8842904453252345E-3</v>
      </c>
      <c r="R322" s="17">
        <f t="shared" si="108"/>
        <v>5.4319677064664784E-3</v>
      </c>
      <c r="S322" s="17">
        <f t="shared" si="108"/>
        <v>7.1806342960540892E-3</v>
      </c>
      <c r="T322" s="17">
        <f t="shared" si="108"/>
        <v>4.0039608573965602E-2</v>
      </c>
      <c r="U322" s="17">
        <f t="shared" si="108"/>
        <v>7.2307301262807488E-2</v>
      </c>
      <c r="V322" s="17">
        <f t="shared" si="108"/>
        <v>4.2950399530782279E-2</v>
      </c>
      <c r="W322" s="17">
        <f t="shared" si="108"/>
        <v>3.5445687906030532E-3</v>
      </c>
      <c r="X322" s="17">
        <f t="shared" si="108"/>
        <v>1.3981859156615872E-2</v>
      </c>
      <c r="Y322" s="17">
        <f t="shared" si="108"/>
        <v>-1.1329503296532151E-3</v>
      </c>
      <c r="Z322" s="17">
        <f t="shared" si="108"/>
        <v>-1.7646185883095633E-3</v>
      </c>
      <c r="AA322" s="17">
        <f t="shared" si="108"/>
        <v>8.436880396052171E-4</v>
      </c>
      <c r="AB322" s="17">
        <f t="shared" si="108"/>
        <v>-6.9939291964835615E-3</v>
      </c>
      <c r="AC322" s="17">
        <f t="shared" si="108"/>
        <v>3.3575522635012067E-3</v>
      </c>
      <c r="AD322" s="17">
        <f t="shared" si="108"/>
        <v>-5.1103407032889736E-3</v>
      </c>
      <c r="AE322" s="17">
        <f t="shared" si="108"/>
        <v>-6.64886547539012E-3</v>
      </c>
      <c r="AF322" s="17">
        <f t="shared" si="108"/>
        <v>-6.1578992812911792E-3</v>
      </c>
      <c r="AG322" s="17">
        <f t="shared" si="108"/>
        <v>9.1593841110912955E-3</v>
      </c>
      <c r="AH322" s="17">
        <f t="shared" si="108"/>
        <v>-2.0555039572257461E-2</v>
      </c>
      <c r="AI322" s="17">
        <f t="shared" si="108"/>
        <v>1.8260907591695297E-2</v>
      </c>
      <c r="AJ322" s="17">
        <f t="shared" si="108"/>
        <v>-1.7933426939549801E-2</v>
      </c>
      <c r="AK322" s="17">
        <f t="shared" si="108"/>
        <v>-4.2245383234519207E-2</v>
      </c>
    </row>
    <row r="323" spans="1:37" x14ac:dyDescent="0.25">
      <c r="A323" s="12" t="s">
        <v>511</v>
      </c>
      <c r="B323" s="12"/>
      <c r="C323" s="17">
        <f>C$134/B$134-1</f>
        <v>2.0947115072303069E-2</v>
      </c>
      <c r="D323" s="17">
        <f t="shared" ref="D323:AK323" si="109">D$134/C$134-1</f>
        <v>1.3272568719672195E-2</v>
      </c>
      <c r="E323" s="17">
        <f t="shared" si="109"/>
        <v>1.8581019379173336E-2</v>
      </c>
      <c r="F323" s="17">
        <f t="shared" si="109"/>
        <v>3.9499827063886439E-2</v>
      </c>
      <c r="G323" s="17">
        <f t="shared" si="109"/>
        <v>-1.6485889148098232E-2</v>
      </c>
      <c r="H323" s="17">
        <f t="shared" si="109"/>
        <v>5.7945983062035467E-4</v>
      </c>
      <c r="I323" s="17">
        <f t="shared" si="109"/>
        <v>-7.7279956295071006E-3</v>
      </c>
      <c r="J323" s="17">
        <f t="shared" si="109"/>
        <v>2.6459439502451332E-2</v>
      </c>
      <c r="K323" s="17">
        <f t="shared" si="109"/>
        <v>2.2664537670921359E-2</v>
      </c>
      <c r="L323" s="17">
        <f t="shared" si="109"/>
        <v>-1.431681408120189E-2</v>
      </c>
      <c r="M323" s="17">
        <f t="shared" si="109"/>
        <v>2.4902243640934074E-3</v>
      </c>
      <c r="N323" s="17">
        <f t="shared" si="109"/>
        <v>-1.9883605078660826E-2</v>
      </c>
      <c r="O323" s="17">
        <f t="shared" si="109"/>
        <v>3.0244403371531225E-2</v>
      </c>
      <c r="P323" s="17">
        <f t="shared" si="109"/>
        <v>-3.5626914747400873E-3</v>
      </c>
      <c r="Q323" s="17">
        <f t="shared" si="109"/>
        <v>-4.876040173039331E-2</v>
      </c>
      <c r="R323" s="17">
        <f t="shared" si="109"/>
        <v>-1.7562214800992404E-3</v>
      </c>
      <c r="S323" s="17">
        <f t="shared" si="109"/>
        <v>2.4301989252550005E-2</v>
      </c>
      <c r="T323" s="17">
        <f t="shared" si="109"/>
        <v>3.2989590452834783E-2</v>
      </c>
      <c r="U323" s="17">
        <f t="shared" si="109"/>
        <v>1.6717844084370048E-2</v>
      </c>
      <c r="V323" s="17">
        <f t="shared" si="109"/>
        <v>7.5419535546642047E-2</v>
      </c>
      <c r="W323" s="17">
        <f t="shared" si="109"/>
        <v>4.6852257221864591E-2</v>
      </c>
      <c r="X323" s="17">
        <f t="shared" si="109"/>
        <v>2.7212521769044429E-3</v>
      </c>
      <c r="Y323" s="17">
        <f t="shared" si="109"/>
        <v>1.4510719482078605E-2</v>
      </c>
      <c r="Z323" s="17">
        <f t="shared" si="109"/>
        <v>-9.7121968151492322E-4</v>
      </c>
      <c r="AA323" s="17">
        <f t="shared" si="109"/>
        <v>-1.1891298212500789E-3</v>
      </c>
      <c r="AB323" s="17">
        <f t="shared" si="109"/>
        <v>1.4183797024898137E-3</v>
      </c>
      <c r="AC323" s="17">
        <f t="shared" si="109"/>
        <v>-7.0821700461857207E-3</v>
      </c>
      <c r="AD323" s="17">
        <f t="shared" si="109"/>
        <v>3.0473377073250152E-3</v>
      </c>
      <c r="AE323" s="17">
        <f t="shared" si="109"/>
        <v>-4.9394534705375914E-3</v>
      </c>
      <c r="AF323" s="17">
        <f t="shared" si="109"/>
        <v>-6.2702814102680859E-3</v>
      </c>
      <c r="AG323" s="17">
        <f t="shared" si="109"/>
        <v>-6.0469356731809309E-3</v>
      </c>
      <c r="AH323" s="17">
        <f t="shared" si="109"/>
        <v>8.993330477325312E-3</v>
      </c>
      <c r="AI323" s="17">
        <f t="shared" si="109"/>
        <v>-1.9923559558626014E-2</v>
      </c>
      <c r="AJ323" s="17">
        <f t="shared" si="109"/>
        <v>1.7921245668976127E-2</v>
      </c>
      <c r="AK323" s="17">
        <f t="shared" si="109"/>
        <v>-1.7605729073076226E-2</v>
      </c>
    </row>
    <row r="324" spans="1:37" x14ac:dyDescent="0.25">
      <c r="A324" s="12" t="s">
        <v>512</v>
      </c>
      <c r="B324" s="12"/>
      <c r="C324" s="17">
        <f>SUM(C$133:C$134)/SUM(B$133:B$134)-1</f>
        <v>1.5955637497548469E-2</v>
      </c>
      <c r="D324" s="17">
        <f t="shared" ref="D324:AK324" si="110">SUM(D$133:D$134)/SUM(C$133:C$134)-1</f>
        <v>1.3147015031103715E-2</v>
      </c>
      <c r="E324" s="17">
        <f t="shared" si="110"/>
        <v>2.4416496671519905E-2</v>
      </c>
      <c r="F324" s="17">
        <f t="shared" si="110"/>
        <v>9.4769177921751879E-3</v>
      </c>
      <c r="G324" s="17">
        <f t="shared" si="110"/>
        <v>-7.5201333110359592E-3</v>
      </c>
      <c r="H324" s="17">
        <f t="shared" si="110"/>
        <v>-5.4578033155980865E-3</v>
      </c>
      <c r="I324" s="17">
        <f t="shared" si="110"/>
        <v>1.2210730348916066E-3</v>
      </c>
      <c r="J324" s="17">
        <f t="shared" si="110"/>
        <v>2.1584522657105865E-2</v>
      </c>
      <c r="K324" s="17">
        <f t="shared" si="110"/>
        <v>6.2374121393977688E-3</v>
      </c>
      <c r="L324" s="17">
        <f t="shared" si="110"/>
        <v>-2.5078069691293337E-3</v>
      </c>
      <c r="M324" s="17">
        <f t="shared" si="110"/>
        <v>-4.0038803720304772E-3</v>
      </c>
      <c r="N324" s="17">
        <f t="shared" si="110"/>
        <v>5.8181501337357666E-3</v>
      </c>
      <c r="O324" s="17">
        <f t="shared" si="110"/>
        <v>1.4438464068196044E-2</v>
      </c>
      <c r="P324" s="17">
        <f t="shared" si="110"/>
        <v>-1.8885220098110556E-2</v>
      </c>
      <c r="Q324" s="17">
        <f t="shared" si="110"/>
        <v>-2.2551997473558183E-2</v>
      </c>
      <c r="R324" s="17">
        <f t="shared" si="110"/>
        <v>1.854181788383924E-3</v>
      </c>
      <c r="S324" s="17">
        <f t="shared" si="110"/>
        <v>1.5671756269791226E-2</v>
      </c>
      <c r="T324" s="17">
        <f t="shared" si="110"/>
        <v>3.6513531328836502E-2</v>
      </c>
      <c r="U324" s="17">
        <f t="shared" si="110"/>
        <v>4.4598675240394181E-2</v>
      </c>
      <c r="V324" s="17">
        <f t="shared" si="110"/>
        <v>5.8702710089636678E-2</v>
      </c>
      <c r="W324" s="17">
        <f t="shared" si="110"/>
        <v>2.4886928394457719E-2</v>
      </c>
      <c r="X324" s="17">
        <f t="shared" si="110"/>
        <v>8.3136134188805944E-3</v>
      </c>
      <c r="Y324" s="17">
        <f t="shared" si="110"/>
        <v>6.6979211974527164E-3</v>
      </c>
      <c r="Z324" s="17">
        <f t="shared" si="110"/>
        <v>-1.3643785565279343E-3</v>
      </c>
      <c r="AA324" s="17">
        <f t="shared" si="110"/>
        <v>-1.8219615974213177E-4</v>
      </c>
      <c r="AB324" s="17">
        <f t="shared" si="110"/>
        <v>-2.7528392939941693E-3</v>
      </c>
      <c r="AC324" s="17">
        <f t="shared" si="110"/>
        <v>-1.9276786138955337E-3</v>
      </c>
      <c r="AD324" s="17">
        <f t="shared" si="110"/>
        <v>-1.0017498498074984E-3</v>
      </c>
      <c r="AE324" s="17">
        <f t="shared" si="110"/>
        <v>-5.7844356042056067E-3</v>
      </c>
      <c r="AF324" s="17">
        <f t="shared" si="110"/>
        <v>-6.2147779235491862E-3</v>
      </c>
      <c r="AG324" s="17">
        <f t="shared" si="110"/>
        <v>1.4636185570424676E-3</v>
      </c>
      <c r="AH324" s="17">
        <f t="shared" si="110"/>
        <v>-5.7130562605506308E-3</v>
      </c>
      <c r="AI324" s="17">
        <f t="shared" si="110"/>
        <v>-1.2026266351375936E-3</v>
      </c>
      <c r="AJ324" s="17">
        <f t="shared" si="110"/>
        <v>0</v>
      </c>
      <c r="AK324" s="17">
        <f t="shared" si="110"/>
        <v>-2.9700508956542082E-2</v>
      </c>
    </row>
    <row r="325" spans="1:37" x14ac:dyDescent="0.25">
      <c r="A325" s="12" t="s">
        <v>434</v>
      </c>
      <c r="B325" s="12"/>
      <c r="C325" s="17">
        <f>SUM(C$135:C$139)/SUM(B$135:B$139)-1</f>
        <v>-4.5644800469669677E-3</v>
      </c>
      <c r="D325" s="17">
        <f t="shared" ref="D325:AK325" si="111">SUM(D$135:D$139)/SUM(C$135:C$139)-1</f>
        <v>-1.528534610712784E-3</v>
      </c>
      <c r="E325" s="17">
        <f t="shared" si="111"/>
        <v>1.3821180547233691E-2</v>
      </c>
      <c r="F325" s="17">
        <f t="shared" si="111"/>
        <v>2.631116728311711E-2</v>
      </c>
      <c r="G325" s="17">
        <f t="shared" si="111"/>
        <v>2.8214235473386307E-2</v>
      </c>
      <c r="H325" s="17">
        <f t="shared" si="111"/>
        <v>1.237971583278763E-2</v>
      </c>
      <c r="I325" s="17">
        <f t="shared" si="111"/>
        <v>1.5927881111849507E-2</v>
      </c>
      <c r="J325" s="17">
        <f t="shared" si="111"/>
        <v>3.9157345074809058E-2</v>
      </c>
      <c r="K325" s="17">
        <f t="shared" si="111"/>
        <v>4.9844462173259441E-2</v>
      </c>
      <c r="L325" s="17">
        <f t="shared" si="111"/>
        <v>2.7891031421258594E-2</v>
      </c>
      <c r="M325" s="17">
        <f t="shared" si="111"/>
        <v>8.1712318685922547E-4</v>
      </c>
      <c r="N325" s="17">
        <f t="shared" si="111"/>
        <v>-1.2282587413852797E-2</v>
      </c>
      <c r="O325" s="17">
        <f t="shared" si="111"/>
        <v>-1.0895049679099045E-2</v>
      </c>
      <c r="P325" s="17">
        <f t="shared" si="111"/>
        <v>3.4371442671525809E-3</v>
      </c>
      <c r="Q325" s="17">
        <f t="shared" si="111"/>
        <v>-2.5051888177788917E-2</v>
      </c>
      <c r="R325" s="17">
        <f t="shared" si="111"/>
        <v>-3.1438556388138639E-2</v>
      </c>
      <c r="S325" s="17">
        <f t="shared" si="111"/>
        <v>-1.657247633373049E-3</v>
      </c>
      <c r="T325" s="17">
        <f t="shared" si="111"/>
        <v>2.6076673213607959E-2</v>
      </c>
      <c r="U325" s="17">
        <f t="shared" si="111"/>
        <v>2.4115567372502422E-3</v>
      </c>
      <c r="V325" s="17">
        <f t="shared" si="111"/>
        <v>6.3161901872526016E-3</v>
      </c>
      <c r="W325" s="17">
        <f t="shared" si="111"/>
        <v>2.7797976116101575E-2</v>
      </c>
      <c r="X325" s="17">
        <f t="shared" si="111"/>
        <v>3.5853319216093915E-2</v>
      </c>
      <c r="Y325" s="17">
        <f t="shared" si="111"/>
        <v>3.1850035505837315E-2</v>
      </c>
      <c r="Z325" s="17">
        <f t="shared" si="111"/>
        <v>3.2836749794198594E-2</v>
      </c>
      <c r="AA325" s="17">
        <f t="shared" si="111"/>
        <v>2.7446712437964038E-2</v>
      </c>
      <c r="AB325" s="17">
        <f t="shared" si="111"/>
        <v>1.2347105059552943E-2</v>
      </c>
      <c r="AC325" s="17">
        <f t="shared" si="111"/>
        <v>3.4781125907901167E-3</v>
      </c>
      <c r="AD325" s="17">
        <f t="shared" si="111"/>
        <v>1.4357905781348101E-3</v>
      </c>
      <c r="AE325" s="17">
        <f t="shared" si="111"/>
        <v>-9.56220697232113E-4</v>
      </c>
      <c r="AF325" s="17">
        <f t="shared" si="111"/>
        <v>-1.7631451349819915E-3</v>
      </c>
      <c r="AG325" s="17">
        <f t="shared" si="111"/>
        <v>-2.6241566839211306E-3</v>
      </c>
      <c r="AH325" s="17">
        <f t="shared" si="111"/>
        <v>-3.8453968464909893E-3</v>
      </c>
      <c r="AI325" s="17">
        <f t="shared" si="111"/>
        <v>-7.6188967205503833E-4</v>
      </c>
      <c r="AJ325" s="17">
        <f t="shared" si="111"/>
        <v>-5.1848000155575447E-3</v>
      </c>
      <c r="AK325" s="17">
        <f t="shared" si="111"/>
        <v>-8.1754074851025926E-4</v>
      </c>
    </row>
    <row r="326" spans="1:37" x14ac:dyDescent="0.25">
      <c r="A326" s="12" t="s">
        <v>513</v>
      </c>
      <c r="B326" s="12"/>
      <c r="C326" s="17">
        <f>SUM(C$140:C$154)/SUM(B$140:B$154)-1</f>
        <v>3.2065939510763641E-3</v>
      </c>
      <c r="D326" s="17">
        <f t="shared" ref="D326:AK326" si="112">SUM(D$140:D$154)/SUM(C$140:C$154)-1</f>
        <v>-3.8332567543698515E-3</v>
      </c>
      <c r="E326" s="17">
        <f t="shared" si="112"/>
        <v>-4.7370488907370056E-3</v>
      </c>
      <c r="F326" s="17">
        <f t="shared" si="112"/>
        <v>-5.1214210416969941E-3</v>
      </c>
      <c r="G326" s="17">
        <f t="shared" si="112"/>
        <v>-1.1013189297339632E-2</v>
      </c>
      <c r="H326" s="17">
        <f t="shared" si="112"/>
        <v>-1.1826041350423422E-2</v>
      </c>
      <c r="I326" s="17">
        <f t="shared" si="112"/>
        <v>-3.8303182430933225E-3</v>
      </c>
      <c r="J326" s="17">
        <f t="shared" si="112"/>
        <v>2.8410498040612797E-2</v>
      </c>
      <c r="K326" s="17">
        <f t="shared" si="112"/>
        <v>5.0657496538895286E-2</v>
      </c>
      <c r="L326" s="17">
        <f t="shared" si="112"/>
        <v>6.2008326231465904E-2</v>
      </c>
      <c r="M326" s="17">
        <f t="shared" si="112"/>
        <v>6.2392221124139224E-2</v>
      </c>
      <c r="N326" s="17">
        <f t="shared" si="112"/>
        <v>5.2408995437393857E-2</v>
      </c>
      <c r="O326" s="17">
        <f t="shared" si="112"/>
        <v>3.5669199706835464E-2</v>
      </c>
      <c r="P326" s="17">
        <f t="shared" si="112"/>
        <v>3.7576676885864524E-2</v>
      </c>
      <c r="Q326" s="17">
        <f t="shared" si="112"/>
        <v>8.5666221737157322E-3</v>
      </c>
      <c r="R326" s="17">
        <f t="shared" si="112"/>
        <v>-7.3296361178776248E-3</v>
      </c>
      <c r="S326" s="17">
        <f t="shared" si="112"/>
        <v>3.7186019678255633E-2</v>
      </c>
      <c r="T326" s="17">
        <f t="shared" si="112"/>
        <v>2.6168536341279358E-2</v>
      </c>
      <c r="U326" s="17">
        <f t="shared" si="112"/>
        <v>-9.4342306572137158E-4</v>
      </c>
      <c r="V326" s="17">
        <f t="shared" si="112"/>
        <v>-1.0000977716777548E-3</v>
      </c>
      <c r="W326" s="17">
        <f t="shared" si="112"/>
        <v>-1.5098121525878305E-3</v>
      </c>
      <c r="X326" s="17">
        <f t="shared" si="112"/>
        <v>-3.5477672491527334E-3</v>
      </c>
      <c r="Y326" s="17">
        <f t="shared" si="112"/>
        <v>-2.4946807936918614E-3</v>
      </c>
      <c r="Z326" s="17">
        <f t="shared" si="112"/>
        <v>-4.7727104537071963E-3</v>
      </c>
      <c r="AA326" s="17">
        <f t="shared" si="112"/>
        <v>-4.2444383166693189E-3</v>
      </c>
      <c r="AB326" s="17">
        <f t="shared" si="112"/>
        <v>1.1408868985276488E-3</v>
      </c>
      <c r="AC326" s="17">
        <f t="shared" si="112"/>
        <v>5.7629122473092931E-3</v>
      </c>
      <c r="AD326" s="17">
        <f t="shared" si="112"/>
        <v>7.8611991594190744E-3</v>
      </c>
      <c r="AE326" s="17">
        <f t="shared" si="112"/>
        <v>9.3907629366738465E-3</v>
      </c>
      <c r="AF326" s="17">
        <f t="shared" si="112"/>
        <v>1.0226767798979131E-2</v>
      </c>
      <c r="AG326" s="17">
        <f t="shared" si="112"/>
        <v>1.267560687506486E-2</v>
      </c>
      <c r="AH326" s="17">
        <f t="shared" si="112"/>
        <v>1.3027842770857667E-2</v>
      </c>
      <c r="AI326" s="17">
        <f t="shared" si="112"/>
        <v>1.3549545673288144E-2</v>
      </c>
      <c r="AJ326" s="17">
        <f t="shared" si="112"/>
        <v>1.2008348251864254E-2</v>
      </c>
      <c r="AK326" s="17">
        <f t="shared" si="112"/>
        <v>1.2308370198101937E-2</v>
      </c>
    </row>
    <row r="327" spans="1:37" x14ac:dyDescent="0.25">
      <c r="A327" s="12" t="s">
        <v>514</v>
      </c>
      <c r="B327" s="12"/>
      <c r="C327" s="17">
        <f>SUM(C$155:C$169)/SUM(B$155:B$169)-1</f>
        <v>1.3776622398056437E-2</v>
      </c>
      <c r="D327" s="17">
        <f t="shared" ref="D327:AK327" si="113">SUM(D$155:D$169)/SUM(C$155:C$169)-1</f>
        <v>8.6017447889281673E-3</v>
      </c>
      <c r="E327" s="17">
        <f t="shared" si="113"/>
        <v>6.9426354940043122E-3</v>
      </c>
      <c r="F327" s="17">
        <f t="shared" si="113"/>
        <v>6.7430620770074778E-3</v>
      </c>
      <c r="G327" s="17">
        <f t="shared" si="113"/>
        <v>4.9308904804856724E-3</v>
      </c>
      <c r="H327" s="17">
        <f t="shared" si="113"/>
        <v>9.3617248500765804E-4</v>
      </c>
      <c r="I327" s="17">
        <f t="shared" si="113"/>
        <v>-1.5559000443937654E-3</v>
      </c>
      <c r="J327" s="17">
        <f t="shared" si="113"/>
        <v>1.9926786803976526E-3</v>
      </c>
      <c r="K327" s="17">
        <f t="shared" si="113"/>
        <v>5.3461871977891207E-3</v>
      </c>
      <c r="L327" s="17">
        <f t="shared" si="113"/>
        <v>6.2145385402272435E-3</v>
      </c>
      <c r="M327" s="17">
        <f t="shared" si="113"/>
        <v>8.9542030134874828E-3</v>
      </c>
      <c r="N327" s="17">
        <f t="shared" si="113"/>
        <v>6.9063318423447928E-3</v>
      </c>
      <c r="O327" s="17">
        <f t="shared" si="113"/>
        <v>5.7398766657403844E-3</v>
      </c>
      <c r="P327" s="17">
        <f t="shared" si="113"/>
        <v>5.9267611904161299E-3</v>
      </c>
      <c r="Q327" s="17">
        <f t="shared" si="113"/>
        <v>8.8682982654524345E-3</v>
      </c>
      <c r="R327" s="17">
        <f t="shared" si="113"/>
        <v>-2.462576733283095E-3</v>
      </c>
      <c r="S327" s="17">
        <f t="shared" si="113"/>
        <v>1.3436611857511993E-2</v>
      </c>
      <c r="T327" s="17">
        <f t="shared" si="113"/>
        <v>2.7633155331010739E-2</v>
      </c>
      <c r="U327" s="17">
        <f t="shared" si="113"/>
        <v>1.0468642111967519E-2</v>
      </c>
      <c r="V327" s="17">
        <f t="shared" si="113"/>
        <v>8.7292546412360839E-3</v>
      </c>
      <c r="W327" s="17">
        <f t="shared" si="113"/>
        <v>1.5295251326602699E-2</v>
      </c>
      <c r="X327" s="17">
        <f t="shared" si="113"/>
        <v>1.9803576485037722E-2</v>
      </c>
      <c r="Y327" s="17">
        <f t="shared" si="113"/>
        <v>2.3303166558469979E-2</v>
      </c>
      <c r="Z327" s="17">
        <f t="shared" si="113"/>
        <v>2.8164696296362424E-2</v>
      </c>
      <c r="AA327" s="17">
        <f t="shared" si="113"/>
        <v>2.938540695252212E-2</v>
      </c>
      <c r="AB327" s="17">
        <f t="shared" si="113"/>
        <v>2.8148286703650882E-2</v>
      </c>
      <c r="AC327" s="17">
        <f t="shared" si="113"/>
        <v>2.6178823085821978E-2</v>
      </c>
      <c r="AD327" s="17">
        <f t="shared" si="113"/>
        <v>2.114265239387092E-2</v>
      </c>
      <c r="AE327" s="17">
        <f t="shared" si="113"/>
        <v>1.8044938808818189E-2</v>
      </c>
      <c r="AF327" s="17">
        <f t="shared" si="113"/>
        <v>1.5268310628954396E-2</v>
      </c>
      <c r="AG327" s="17">
        <f t="shared" si="113"/>
        <v>1.1059774734151429E-2</v>
      </c>
      <c r="AH327" s="17">
        <f t="shared" si="113"/>
        <v>8.4169282332162698E-3</v>
      </c>
      <c r="AI327" s="17">
        <f t="shared" si="113"/>
        <v>5.6069266301288501E-3</v>
      </c>
      <c r="AJ327" s="17">
        <f t="shared" si="113"/>
        <v>6.2726223257358882E-3</v>
      </c>
      <c r="AK327" s="17">
        <f t="shared" si="113"/>
        <v>3.6677034820034038E-3</v>
      </c>
    </row>
    <row r="328" spans="1:37" x14ac:dyDescent="0.25">
      <c r="A328" s="12" t="s">
        <v>515</v>
      </c>
      <c r="B328" s="12"/>
      <c r="C328" s="17">
        <f>SUM(C$33:C$55,C$133:C$155)/SUM(B$33:B$55,B$133:B$155)-1</f>
        <v>3.4224202293364758E-3</v>
      </c>
      <c r="D328" s="17">
        <f t="shared" ref="D328:AK328" si="114">SUM(D$33:D$55,D$133:D$155)/SUM(C$33:C$55,C$133:C$155)-1</f>
        <v>-6.4651653020530997E-4</v>
      </c>
      <c r="E328" s="17">
        <f t="shared" si="114"/>
        <v>2.1892323633736499E-3</v>
      </c>
      <c r="F328" s="17">
        <f t="shared" si="114"/>
        <v>2.8341949742134442E-3</v>
      </c>
      <c r="G328" s="17">
        <f t="shared" si="114"/>
        <v>-8.8905044660436694E-4</v>
      </c>
      <c r="H328" s="17">
        <f t="shared" si="114"/>
        <v>-6.5683362212552998E-3</v>
      </c>
      <c r="I328" s="17">
        <f t="shared" si="114"/>
        <v>-2.4070454816671472E-3</v>
      </c>
      <c r="J328" s="17">
        <f t="shared" si="114"/>
        <v>1.854683091413678E-2</v>
      </c>
      <c r="K328" s="17">
        <f t="shared" si="114"/>
        <v>3.2149936633277809E-2</v>
      </c>
      <c r="L328" s="17">
        <f t="shared" si="114"/>
        <v>3.795677177551493E-2</v>
      </c>
      <c r="M328" s="17">
        <f t="shared" si="114"/>
        <v>3.6026858182742982E-2</v>
      </c>
      <c r="N328" s="17">
        <f t="shared" si="114"/>
        <v>2.9097533142761867E-2</v>
      </c>
      <c r="O328" s="17">
        <f t="shared" si="114"/>
        <v>2.3203164143935417E-2</v>
      </c>
      <c r="P328" s="17">
        <f t="shared" si="114"/>
        <v>2.4230096157332515E-2</v>
      </c>
      <c r="Q328" s="17">
        <f t="shared" si="114"/>
        <v>7.8359245354375773E-4</v>
      </c>
      <c r="R328" s="17">
        <f t="shared" si="114"/>
        <v>-1.0424006401436703E-2</v>
      </c>
      <c r="S328" s="17">
        <f t="shared" si="114"/>
        <v>2.3190190840594704E-2</v>
      </c>
      <c r="T328" s="17">
        <f t="shared" si="114"/>
        <v>2.8967643064540693E-2</v>
      </c>
      <c r="U328" s="17">
        <f t="shared" si="114"/>
        <v>3.6255363986701372E-3</v>
      </c>
      <c r="V328" s="17">
        <f t="shared" si="114"/>
        <v>6.1661080261241619E-3</v>
      </c>
      <c r="W328" s="17">
        <f t="shared" si="114"/>
        <v>8.7615263059832582E-3</v>
      </c>
      <c r="X328" s="17">
        <f t="shared" si="114"/>
        <v>6.8959220496553897E-3</v>
      </c>
      <c r="Y328" s="17">
        <f t="shared" si="114"/>
        <v>5.6910839220585263E-3</v>
      </c>
      <c r="Z328" s="17">
        <f t="shared" si="114"/>
        <v>4.9013928972398979E-3</v>
      </c>
      <c r="AA328" s="17">
        <f t="shared" si="114"/>
        <v>3.3426140842485186E-3</v>
      </c>
      <c r="AB328" s="17">
        <f t="shared" si="114"/>
        <v>2.1207280410537876E-3</v>
      </c>
      <c r="AC328" s="17">
        <f t="shared" si="114"/>
        <v>2.4026720756362696E-3</v>
      </c>
      <c r="AD328" s="17">
        <f t="shared" si="114"/>
        <v>2.6695259664095694E-3</v>
      </c>
      <c r="AE328" s="17">
        <f t="shared" si="114"/>
        <v>4.1204631697762117E-3</v>
      </c>
      <c r="AF328" s="17">
        <f t="shared" si="114"/>
        <v>4.1150491748502827E-3</v>
      </c>
      <c r="AG328" s="17">
        <f t="shared" si="114"/>
        <v>5.277271671489947E-3</v>
      </c>
      <c r="AH328" s="17">
        <f t="shared" si="114"/>
        <v>5.687981242167961E-3</v>
      </c>
      <c r="AI328" s="17">
        <f t="shared" si="114"/>
        <v>6.4540787267437505E-3</v>
      </c>
      <c r="AJ328" s="17">
        <f t="shared" si="114"/>
        <v>7.2958419812878539E-3</v>
      </c>
      <c r="AK328" s="17">
        <f t="shared" si="114"/>
        <v>3.5796159237995173E-3</v>
      </c>
    </row>
  </sheetData>
  <phoneticPr fontId="3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2E84-F96C-447E-BC82-CE37054A2DD0}">
  <dimension ref="A1:S146"/>
  <sheetViews>
    <sheetView workbookViewId="0">
      <pane xSplit="1" ySplit="8" topLeftCell="B9" activePane="bottomRight" state="frozen"/>
      <selection activeCell="J44" sqref="J44"/>
      <selection pane="topRight" activeCell="J44" sqref="J44"/>
      <selection pane="bottomLeft" activeCell="J44" sqref="J44"/>
      <selection pane="bottomRight"/>
    </sheetView>
  </sheetViews>
  <sheetFormatPr defaultRowHeight="15" x14ac:dyDescent="0.25"/>
  <cols>
    <col min="1" max="1" width="30.7109375" customWidth="1"/>
    <col min="2" max="16" width="10.140625" bestFit="1" customWidth="1"/>
    <col min="17" max="19" width="10.140625" customWidth="1"/>
  </cols>
  <sheetData>
    <row r="1" spans="1:19" x14ac:dyDescent="0.25">
      <c r="A1" s="11" t="s">
        <v>1463</v>
      </c>
      <c r="B1" s="12"/>
      <c r="C1" s="12"/>
      <c r="D1" s="12"/>
      <c r="E1" s="12"/>
      <c r="F1" s="12"/>
      <c r="G1" s="12"/>
      <c r="H1" s="12"/>
      <c r="I1" s="12"/>
      <c r="J1" s="12"/>
      <c r="K1" s="12"/>
      <c r="L1" s="12"/>
      <c r="M1" s="12"/>
      <c r="N1" s="12"/>
      <c r="O1" s="12"/>
      <c r="P1" s="12"/>
      <c r="Q1" s="12"/>
      <c r="R1" s="12"/>
      <c r="S1" s="12"/>
    </row>
    <row r="2" spans="1:19" x14ac:dyDescent="0.25">
      <c r="A2" s="11" t="s">
        <v>341</v>
      </c>
      <c r="B2" s="15" t="s">
        <v>360</v>
      </c>
      <c r="C2" s="15" t="s">
        <v>361</v>
      </c>
      <c r="D2" s="15" t="s">
        <v>362</v>
      </c>
      <c r="E2" s="15" t="s">
        <v>363</v>
      </c>
      <c r="F2" s="15" t="s">
        <v>364</v>
      </c>
      <c r="G2" s="15" t="s">
        <v>365</v>
      </c>
      <c r="H2" s="15" t="s">
        <v>366</v>
      </c>
      <c r="I2" s="15" t="s">
        <v>367</v>
      </c>
      <c r="J2" s="15" t="s">
        <v>368</v>
      </c>
      <c r="K2" s="15" t="s">
        <v>369</v>
      </c>
      <c r="L2" s="15" t="s">
        <v>370</v>
      </c>
      <c r="M2" s="15" t="s">
        <v>371</v>
      </c>
      <c r="N2" s="15" t="s">
        <v>372</v>
      </c>
      <c r="O2" s="15" t="s">
        <v>373</v>
      </c>
      <c r="P2" s="15" t="s">
        <v>374</v>
      </c>
      <c r="Q2" s="15" t="s">
        <v>375</v>
      </c>
      <c r="R2" s="15" t="s">
        <v>376</v>
      </c>
      <c r="S2" s="15" t="s">
        <v>1451</v>
      </c>
    </row>
    <row r="3" spans="1:19" x14ac:dyDescent="0.25">
      <c r="A3" s="12"/>
      <c r="B3" s="11">
        <v>2024</v>
      </c>
      <c r="C3" s="11">
        <v>2025</v>
      </c>
      <c r="D3" s="11">
        <v>2026</v>
      </c>
      <c r="E3" s="11">
        <v>2027</v>
      </c>
      <c r="F3" s="11">
        <v>2028</v>
      </c>
      <c r="G3" s="11">
        <v>2029</v>
      </c>
      <c r="H3" s="11">
        <v>2030</v>
      </c>
      <c r="I3" s="11">
        <v>2031</v>
      </c>
      <c r="J3" s="11">
        <v>2032</v>
      </c>
      <c r="K3" s="11">
        <v>2033</v>
      </c>
      <c r="L3" s="11">
        <v>2034</v>
      </c>
      <c r="M3" s="11">
        <v>2035</v>
      </c>
      <c r="N3" s="11">
        <v>2036</v>
      </c>
      <c r="O3" s="11">
        <v>2037</v>
      </c>
      <c r="P3" s="11">
        <v>2038</v>
      </c>
      <c r="Q3" s="11">
        <v>2039</v>
      </c>
      <c r="R3" s="11">
        <v>2040</v>
      </c>
      <c r="S3" s="11">
        <v>2041</v>
      </c>
    </row>
    <row r="4" spans="1:19" x14ac:dyDescent="0.25">
      <c r="A4" s="11" t="s">
        <v>516</v>
      </c>
      <c r="B4" s="16">
        <f t="shared" ref="B4:S4" si="0">SUM(B$10:B$75,B$80:B$145)/1000000</f>
        <v>3.0392999999999999</v>
      </c>
      <c r="C4" s="16">
        <f t="shared" si="0"/>
        <v>3.0342999999999991</v>
      </c>
      <c r="D4" s="16">
        <f t="shared" si="0"/>
        <v>3.0532999999999992</v>
      </c>
      <c r="E4" s="16">
        <f t="shared" si="0"/>
        <v>3.103599999999997</v>
      </c>
      <c r="F4" s="16">
        <f t="shared" si="0"/>
        <v>3.1567000000000003</v>
      </c>
      <c r="G4" s="16">
        <f t="shared" si="0"/>
        <v>3.2050000000000005</v>
      </c>
      <c r="H4" s="16">
        <f t="shared" si="0"/>
        <v>3.2505999999999999</v>
      </c>
      <c r="I4" s="16">
        <f t="shared" si="0"/>
        <v>3.2937999999999992</v>
      </c>
      <c r="J4" s="16">
        <f t="shared" si="0"/>
        <v>3.333532552927811</v>
      </c>
      <c r="K4" s="16">
        <f t="shared" si="0"/>
        <v>3.3721792638940293</v>
      </c>
      <c r="L4" s="16">
        <f t="shared" si="0"/>
        <v>3.4096753280890413</v>
      </c>
      <c r="M4" s="16">
        <f t="shared" si="0"/>
        <v>3.4459739368614781</v>
      </c>
      <c r="N4" s="16">
        <f t="shared" si="0"/>
        <v>3.4818262054725517</v>
      </c>
      <c r="O4" s="16">
        <f t="shared" si="0"/>
        <v>3.5171391610897751</v>
      </c>
      <c r="P4" s="16">
        <f t="shared" si="0"/>
        <v>3.5511082239239236</v>
      </c>
      <c r="Q4" s="16">
        <f t="shared" si="0"/>
        <v>3.5838946659712128</v>
      </c>
      <c r="R4" s="16">
        <f t="shared" si="0"/>
        <v>3.6161211593463918</v>
      </c>
      <c r="S4" s="16">
        <f t="shared" si="0"/>
        <v>3.6476973352582749</v>
      </c>
    </row>
    <row r="5" spans="1:19" x14ac:dyDescent="0.25">
      <c r="A5" s="14" t="s">
        <v>378</v>
      </c>
      <c r="B5" s="17"/>
      <c r="C5" s="17">
        <f t="shared" ref="C5:S5" si="1">C$4/B$4-1</f>
        <v>-1.6451156516306131E-3</v>
      </c>
      <c r="D5" s="17">
        <f t="shared" si="1"/>
        <v>6.2617407639324885E-3</v>
      </c>
      <c r="E5" s="17">
        <f t="shared" si="1"/>
        <v>1.6473978973568837E-2</v>
      </c>
      <c r="F5" s="17">
        <f t="shared" si="1"/>
        <v>1.7109163552005091E-2</v>
      </c>
      <c r="G5" s="17">
        <f t="shared" si="1"/>
        <v>1.5300788798428888E-2</v>
      </c>
      <c r="H5" s="17">
        <f t="shared" si="1"/>
        <v>1.4227769110764177E-2</v>
      </c>
      <c r="I5" s="17">
        <f t="shared" si="1"/>
        <v>1.3289854180766447E-2</v>
      </c>
      <c r="J5" s="17">
        <f t="shared" si="1"/>
        <v>1.2062831054651779E-2</v>
      </c>
      <c r="K5" s="17">
        <f t="shared" si="1"/>
        <v>1.1593320404888585E-2</v>
      </c>
      <c r="L5" s="17">
        <f t="shared" si="1"/>
        <v>1.111923811301585E-2</v>
      </c>
      <c r="M5" s="17">
        <f t="shared" si="1"/>
        <v>1.0645766907308563E-2</v>
      </c>
      <c r="N5" s="17">
        <f t="shared" si="1"/>
        <v>1.0404103242790841E-2</v>
      </c>
      <c r="O5" s="17">
        <f t="shared" si="1"/>
        <v>1.0142078763644369E-2</v>
      </c>
      <c r="P5" s="17">
        <f t="shared" si="1"/>
        <v>9.6581514914022559E-3</v>
      </c>
      <c r="Q5" s="17">
        <f t="shared" si="1"/>
        <v>9.2327352420311648E-3</v>
      </c>
      <c r="R5" s="17">
        <f t="shared" si="1"/>
        <v>8.9920314012481573E-3</v>
      </c>
      <c r="S5" s="17">
        <f t="shared" si="1"/>
        <v>8.7320569528677172E-3</v>
      </c>
    </row>
    <row r="6" spans="1:19" x14ac:dyDescent="0.25">
      <c r="A6" s="11" t="s">
        <v>517</v>
      </c>
      <c r="B6" s="33">
        <f>100*1000000*B$4/SUM('Population Treasury'!T$30:T$110,'Population Treasury'!T$130:T$210)</f>
        <v>71.728971962616853</v>
      </c>
      <c r="C6" s="33">
        <f>100*1000000*C$4/SUM('Population Treasury'!U$30:U$110,'Population Treasury'!U$130:U$210)</f>
        <v>70.780750658984317</v>
      </c>
      <c r="D6" s="33">
        <f>100*1000000*D$4/SUM('Population Treasury'!V$30:V$110,'Population Treasury'!V$130:V$210)</f>
        <v>70.482456140350834</v>
      </c>
      <c r="E6" s="33">
        <f>100*1000000*E$4/SUM('Population Treasury'!W$30:W$110,'Population Treasury'!W$130:W$210)</f>
        <v>70.750222262748693</v>
      </c>
      <c r="F6" s="33">
        <f>100*1000000*F$4/SUM('Population Treasury'!X$30:X$110,'Population Treasury'!X$130:X$210)</f>
        <v>71.060036467595609</v>
      </c>
      <c r="G6" s="33">
        <f>100*1000000*G$4/SUM('Population Treasury'!Y$30:Y$110,'Population Treasury'!Y$130:Y$210)</f>
        <v>71.217474390596195</v>
      </c>
      <c r="H6" s="33">
        <f>100*1000000*H$4/SUM('Population Treasury'!Z$30:Z$110,'Population Treasury'!Z$130:Z$210)</f>
        <v>71.300723842948017</v>
      </c>
      <c r="I6" s="33">
        <f>100*1000000*I$4/SUM('Population Treasury'!AA$30:AA$110,'Population Treasury'!AA$130:AA$210)</f>
        <v>71.328338169691179</v>
      </c>
      <c r="J6" s="33">
        <f>100*1000000*J$4/SUM('Population Treasury'!AB$30:AB$110,'Population Treasury'!AB$130:AB$210)</f>
        <v>71.272946474973779</v>
      </c>
      <c r="K6" s="33">
        <f>100*1000000*K$4/SUM('Population Treasury'!AC$30:AC$110,'Population Treasury'!AC$130:AC$210)</f>
        <v>71.224668332646374</v>
      </c>
      <c r="L6" s="33">
        <f>100*1000000*L$4/SUM('Population Treasury'!AD$30:AD$110,'Population Treasury'!AD$130:AD$210)</f>
        <v>71.166498230003896</v>
      </c>
      <c r="M6" s="33">
        <f>100*1000000*M$4/SUM('Population Treasury'!AE$30:AE$110,'Population Treasury'!AE$130:AE$210)</f>
        <v>71.118840063349879</v>
      </c>
      <c r="N6" s="33">
        <f>100*1000000*N$4/SUM('Population Treasury'!AF$30:AF$110,'Population Treasury'!AF$130:AF$210)</f>
        <v>71.06008191843317</v>
      </c>
      <c r="O6" s="33">
        <f>100*1000000*O$4/SUM('Population Treasury'!AG$30:AG$110,'Population Treasury'!AG$130:AG$210)</f>
        <v>71.008212359560602</v>
      </c>
      <c r="P6" s="33">
        <f>100*1000000*P$4/SUM('Population Treasury'!AH$30:AH$110,'Population Treasury'!AH$130:AH$210)</f>
        <v>70.999668761879491</v>
      </c>
      <c r="Q6" s="33">
        <f>100*1000000*Q$4/SUM('Population Treasury'!AI$30:AI$110,'Population Treasury'!AI$130:AI$210)</f>
        <v>70.979115106364603</v>
      </c>
      <c r="R6" s="33">
        <f>100*1000000*R$4/SUM('Population Treasury'!AJ$30:AJ$110,'Population Treasury'!AJ$130:AJ$210)</f>
        <v>70.940443574722593</v>
      </c>
      <c r="S6" s="33">
        <f>100*1000000*S$4/SUM('Population Treasury'!AK$30:AK$110,'Population Treasury'!AK$130:AK$210)</f>
        <v>70.899089555151576</v>
      </c>
    </row>
    <row r="7" spans="1:19" x14ac:dyDescent="0.25">
      <c r="A7" s="11" t="s">
        <v>518</v>
      </c>
      <c r="B7" s="16">
        <f>SUM(SUMPRODUCT('Population Treasury'!T$30:T$94,'Statistics NZ'!T$355:'Statistics NZ'!T$419),SUM('Population Treasury'!T$95:T$110)*'Statistics NZ'!T$420,SUMPRODUCT('Population Treasury'!T$130:T$194,'Statistics NZ'!T$425:'Statistics NZ'!T$489),SUM('Population Treasury'!T$195:T$210)*'Statistics NZ'!T$490)/1000000</f>
        <v>3.016951236306729</v>
      </c>
      <c r="C7" s="16">
        <f>SUM(SUMPRODUCT('Population Treasury'!U$30:U$94,'Statistics NZ'!U$355:'Statistics NZ'!U$419),SUM('Population Treasury'!U$95:U$110)*'Statistics NZ'!U$420,SUMPRODUCT('Population Treasury'!U$130:U$194,'Statistics NZ'!U$425:'Statistics NZ'!U$489),SUM('Population Treasury'!U$195:U$210)*'Statistics NZ'!U$490)/1000000</f>
        <v>3.0475353220366128</v>
      </c>
      <c r="D7" s="16">
        <f>SUM(SUMPRODUCT('Population Treasury'!V$30:V$94,'Statistics NZ'!V$355:'Statistics NZ'!V$419),SUM('Population Treasury'!V$95:V$110)*'Statistics NZ'!V$420,SUMPRODUCT('Population Treasury'!V$130:V$194,'Statistics NZ'!V$425:'Statistics NZ'!V$489),SUM('Population Treasury'!V$195:V$210)*'Statistics NZ'!V$490)/1000000</f>
        <v>3.0765815269387868</v>
      </c>
      <c r="E7" s="16">
        <f>SUM(SUMPRODUCT('Population Treasury'!W$30:W$94,'Statistics NZ'!W$355:'Statistics NZ'!W$419),SUM('Population Treasury'!W$95:W$110)*'Statistics NZ'!W$420,SUMPRODUCT('Population Treasury'!W$130:W$194,'Statistics NZ'!W$425:'Statistics NZ'!W$489),SUM('Population Treasury'!W$195:W$210)*'Statistics NZ'!W$490)/1000000</f>
        <v>3.1131729914281907</v>
      </c>
      <c r="F7" s="16">
        <f>SUM(SUMPRODUCT('Population Treasury'!X$30:X$94,'Statistics NZ'!X$355:'Statistics NZ'!X$419),SUM('Population Treasury'!X$95:X$110)*'Statistics NZ'!X$420,SUMPRODUCT('Population Treasury'!X$130:X$194,'Statistics NZ'!X$425:'Statistics NZ'!X$489),SUM('Population Treasury'!X$195:X$210)*'Statistics NZ'!X$490)/1000000</f>
        <v>3.1500277879282881</v>
      </c>
      <c r="G7" s="16">
        <f>SUM(SUMPRODUCT('Population Treasury'!Y$30:Y$94,'Statistics NZ'!Y$355:'Statistics NZ'!Y$419),SUM('Population Treasury'!Y$95:Y$110)*'Statistics NZ'!Y$420,SUMPRODUCT('Population Treasury'!Y$130:Y$194,'Statistics NZ'!Y$425:'Statistics NZ'!Y$489),SUM('Population Treasury'!Y$195:Y$210)*'Statistics NZ'!Y$490)/1000000</f>
        <v>3.1888561219066318</v>
      </c>
      <c r="H7" s="16">
        <f>SUM(SUMPRODUCT('Population Treasury'!Z$30:Z$94,'Statistics NZ'!Z$355:'Statistics NZ'!Z$419),SUM('Population Treasury'!Z$95:Z$110)*'Statistics NZ'!Z$420,SUMPRODUCT('Population Treasury'!Z$130:Z$194,'Statistics NZ'!Z$425:'Statistics NZ'!Z$489),SUM('Population Treasury'!Z$195:Z$210)*'Statistics NZ'!Z$490)/1000000</f>
        <v>3.2278290914244527</v>
      </c>
      <c r="I7" s="16">
        <f>SUM(SUMPRODUCT('Population Treasury'!AA$30:AA$94,'Statistics NZ'!AA$355:'Statistics NZ'!AA$419),SUM('Population Treasury'!AA$95:AA$110)*'Statistics NZ'!AA$420,SUMPRODUCT('Population Treasury'!AA$130:AA$194,'Statistics NZ'!AA$425:'Statistics NZ'!AA$489),SUM('Population Treasury'!AA$195:AA$210)*'Statistics NZ'!AA$490)/1000000</f>
        <v>3.2670548044802636</v>
      </c>
      <c r="J7" s="16"/>
      <c r="K7" s="16"/>
      <c r="L7" s="16"/>
      <c r="M7" s="16"/>
      <c r="N7" s="16"/>
      <c r="O7" s="16"/>
      <c r="P7" s="16"/>
      <c r="Q7" s="16"/>
      <c r="R7" s="16"/>
      <c r="S7" s="16"/>
    </row>
    <row r="8" spans="1:19" x14ac:dyDescent="0.25">
      <c r="A8" s="11" t="s">
        <v>519</v>
      </c>
      <c r="B8" s="12"/>
      <c r="C8" s="12"/>
      <c r="D8" s="12"/>
      <c r="E8" s="12"/>
      <c r="F8" s="12"/>
      <c r="G8" s="12"/>
      <c r="H8" s="12"/>
      <c r="I8" s="12"/>
      <c r="J8" s="12"/>
      <c r="K8" s="12"/>
      <c r="L8" s="12"/>
      <c r="M8" s="12"/>
      <c r="N8" s="12"/>
      <c r="O8" s="12"/>
      <c r="P8" s="12"/>
      <c r="Q8" s="12"/>
      <c r="R8" s="12"/>
      <c r="S8" s="12"/>
    </row>
    <row r="9" spans="1:19" x14ac:dyDescent="0.25">
      <c r="A9" s="11" t="s">
        <v>388</v>
      </c>
    </row>
    <row r="10" spans="1:19" x14ac:dyDescent="0.25">
      <c r="A10" s="12">
        <v>15</v>
      </c>
      <c r="B10" s="28">
        <f>'Population Treasury'!T$30*'Statistics NZ'!T$355*'Economic Forecasts'!V$8/B$7</f>
        <v>8649.5008303213835</v>
      </c>
      <c r="C10" s="28">
        <f>'Population Treasury'!U$30*'Statistics NZ'!U$355*'Economic Forecasts'!W$8/C$7</f>
        <v>8766.8050764000236</v>
      </c>
      <c r="D10" s="28">
        <f>'Population Treasury'!V$30*'Statistics NZ'!V$355*'Economic Forecasts'!X$8/D$7</f>
        <v>8717.5904402223623</v>
      </c>
      <c r="E10" s="28">
        <f>'Population Treasury'!W$30*'Statistics NZ'!W$355*'Economic Forecasts'!Y$8/E$7</f>
        <v>8784.8113890626355</v>
      </c>
      <c r="F10" s="28">
        <f>'Population Treasury'!X$30*'Statistics NZ'!X$355*'Economic Forecasts'!Z$8/F$7</f>
        <v>8838.3499476622001</v>
      </c>
      <c r="G10" s="28">
        <f>'Population Treasury'!Y$30*'Statistics NZ'!Y$355*'Economic Forecasts'!AA$8/G$7</f>
        <v>8649.4196961647522</v>
      </c>
      <c r="H10" s="28">
        <f>'Population Treasury'!Z$30*'Statistics NZ'!Z$355*'Economic Forecasts'!AB$8/H$7</f>
        <v>8696.538399411289</v>
      </c>
      <c r="I10" s="28">
        <f>'Population Treasury'!AA$30*'Statistics NZ'!AA$355*'Economic Forecasts'!AC$8/I$7</f>
        <v>8600.8381238200054</v>
      </c>
      <c r="J10" s="18">
        <f>I$10*'Population Treasury'!AB$30*'Statistics NZ'!AB$355/('Population Treasury'!AA$30*'Statistics NZ'!AA$355)</f>
        <v>8737.0723856598379</v>
      </c>
      <c r="K10" s="18">
        <f>J$10*'Population Treasury'!AC$30*'Statistics NZ'!AC$355/('Population Treasury'!AB$30*'Statistics NZ'!AB$355)</f>
        <v>8599.1816765249841</v>
      </c>
      <c r="L10" s="18">
        <f>K$10*'Population Treasury'!AD$30*'Statistics NZ'!AD$355/('Population Treasury'!AC$30*'Statistics NZ'!AC$355)</f>
        <v>8610.8084457706973</v>
      </c>
      <c r="M10" s="18">
        <f>L$10*'Population Treasury'!AE$30*'Statistics NZ'!AE$355/('Population Treasury'!AD$30*'Statistics NZ'!AD$355)</f>
        <v>8540.1444505944328</v>
      </c>
      <c r="N10" s="18">
        <f>M$10*'Population Treasury'!AF$30*'Statistics NZ'!AF$355/('Population Treasury'!AE$30*'Statistics NZ'!AE$355)</f>
        <v>8580.6001796164819</v>
      </c>
      <c r="O10" s="18">
        <f>N$10*'Population Treasury'!AG$30*'Statistics NZ'!AG$355/('Population Treasury'!AF$30*'Statistics NZ'!AF$355)</f>
        <v>8671.2784577487564</v>
      </c>
      <c r="P10" s="18">
        <f>O$10*'Population Treasury'!AH$30*'Statistics NZ'!AH$355/('Population Treasury'!AG$30*'Statistics NZ'!AG$355)</f>
        <v>8005.8974311817674</v>
      </c>
      <c r="Q10" s="18">
        <f>P$10*'Population Treasury'!AI$30*'Statistics NZ'!AI$355/('Population Treasury'!AH$30*'Statistics NZ'!AH$355)</f>
        <v>8056.2783390670111</v>
      </c>
      <c r="R10" s="18">
        <f>Q$10*'Population Treasury'!AJ$30*'Statistics NZ'!AJ$355/('Population Treasury'!AI$30*'Statistics NZ'!AI$355)</f>
        <v>8197.4470019341861</v>
      </c>
      <c r="S10" s="18">
        <f>R$10*'Population Treasury'!AK$30*'Statistics NZ'!AK$355/('Population Treasury'!AJ$30*'Statistics NZ'!AJ$355)</f>
        <v>8217.621831321745</v>
      </c>
    </row>
    <row r="11" spans="1:19" x14ac:dyDescent="0.25">
      <c r="A11" s="12">
        <v>16</v>
      </c>
      <c r="B11" s="28">
        <f>'Population Treasury'!T$31*'Statistics NZ'!T$356*'Economic Forecasts'!V$8/B$7</f>
        <v>15240.539220474751</v>
      </c>
      <c r="C11" s="28">
        <f>'Population Treasury'!U$31*'Statistics NZ'!U$356*'Economic Forecasts'!W$8/C$7</f>
        <v>14743.347352386474</v>
      </c>
      <c r="D11" s="28">
        <f>'Population Treasury'!V$31*'Statistics NZ'!V$356*'Economic Forecasts'!X$8/D$7</f>
        <v>15079.399749307584</v>
      </c>
      <c r="E11" s="28">
        <f>'Population Treasury'!W$31*'Statistics NZ'!W$356*'Economic Forecasts'!Y$8/E$7</f>
        <v>15171.128701942049</v>
      </c>
      <c r="F11" s="28">
        <f>'Population Treasury'!X$31*'Statistics NZ'!X$356*'Economic Forecasts'!Z$8/F$7</f>
        <v>15285.70770369063</v>
      </c>
      <c r="G11" s="28">
        <f>'Population Treasury'!Y$31*'Statistics NZ'!Y$356*'Economic Forecasts'!AA$8/G$7</f>
        <v>15342.330763526956</v>
      </c>
      <c r="H11" s="28">
        <f>'Population Treasury'!Z$31*'Statistics NZ'!Z$356*'Economic Forecasts'!AB$8/H$7</f>
        <v>15019.389937401855</v>
      </c>
      <c r="I11" s="28">
        <f>'Population Treasury'!AA$31*'Statistics NZ'!AA$356*'Economic Forecasts'!AC$8/I$7</f>
        <v>15080.771365559071</v>
      </c>
      <c r="J11" s="18">
        <f>I$11*'Population Treasury'!AB$31*'Statistics NZ'!AB$356/('Population Treasury'!AA$31*'Statistics NZ'!AA$356)</f>
        <v>14908.12672654167</v>
      </c>
      <c r="K11" s="18">
        <f>J$11*'Population Treasury'!AC$31*'Statistics NZ'!AC$356/('Population Treasury'!AB$31*'Statistics NZ'!AB$356)</f>
        <v>15145.767805411591</v>
      </c>
      <c r="L11" s="18">
        <f>K$11*'Population Treasury'!AD$31*'Statistics NZ'!AD$356/('Population Treasury'!AC$31*'Statistics NZ'!AC$356)</f>
        <v>14886.203901659377</v>
      </c>
      <c r="M11" s="18">
        <f>L$11*'Population Treasury'!AE$31*'Statistics NZ'!AE$356/('Population Treasury'!AD$31*'Statistics NZ'!AD$356)</f>
        <v>14916.464832762053</v>
      </c>
      <c r="N11" s="18">
        <f>M$11*'Population Treasury'!AF$31*'Statistics NZ'!AF$356/('Population Treasury'!AE$31*'Statistics NZ'!AE$356)</f>
        <v>14785.45763312521</v>
      </c>
      <c r="O11" s="18">
        <f>N$11*'Population Treasury'!AG$31*'Statistics NZ'!AG$356/('Population Treasury'!AF$31*'Statistics NZ'!AF$356)</f>
        <v>14866.091557856815</v>
      </c>
      <c r="P11" s="18">
        <f>O$11*'Population Treasury'!AH$31*'Statistics NZ'!AH$356/('Population Treasury'!AG$31*'Statistics NZ'!AG$356)</f>
        <v>15017.303642739998</v>
      </c>
      <c r="Q11" s="18">
        <f>P$11*'Population Treasury'!AI$31*'Statistics NZ'!AI$356/('Population Treasury'!AH$31*'Statistics NZ'!AH$356)</f>
        <v>13888.05072338567</v>
      </c>
      <c r="R11" s="18">
        <f>Q$11*'Population Treasury'!AJ$31*'Statistics NZ'!AJ$356/('Population Treasury'!AI$31*'Statistics NZ'!AI$356)</f>
        <v>13968.683997061005</v>
      </c>
      <c r="S11" s="18">
        <f>R$11*'Population Treasury'!AK$31*'Statistics NZ'!AK$356/('Population Treasury'!AJ$31*'Statistics NZ'!AJ$356)</f>
        <v>14210.778589685664</v>
      </c>
    </row>
    <row r="12" spans="1:19" x14ac:dyDescent="0.25">
      <c r="A12" s="12">
        <v>17</v>
      </c>
      <c r="B12" s="28">
        <f>'Population Treasury'!T$32*'Statistics NZ'!T$357*'Economic Forecasts'!V$8/B$7</f>
        <v>19951.251343166947</v>
      </c>
      <c r="C12" s="28">
        <f>'Population Treasury'!U$32*'Statistics NZ'!U$357*'Economic Forecasts'!W$8/C$7</f>
        <v>20255.070288928375</v>
      </c>
      <c r="D12" s="28">
        <f>'Population Treasury'!V$32*'Statistics NZ'!V$357*'Economic Forecasts'!X$8/D$7</f>
        <v>19790.785847567458</v>
      </c>
      <c r="E12" s="28">
        <f>'Population Treasury'!W$32*'Statistics NZ'!W$357*'Economic Forecasts'!Y$8/E$7</f>
        <v>20465.454803673281</v>
      </c>
      <c r="F12" s="28">
        <f>'Population Treasury'!X$32*'Statistics NZ'!X$357*'Economic Forecasts'!Z$8/F$7</f>
        <v>20586.610091207611</v>
      </c>
      <c r="G12" s="28">
        <f>'Population Treasury'!Y$32*'Statistics NZ'!Y$357*'Economic Forecasts'!AA$8/G$7</f>
        <v>20718.351012118241</v>
      </c>
      <c r="H12" s="28">
        <f>'Population Treasury'!Z$32*'Statistics NZ'!Z$357*'Economic Forecasts'!AB$8/H$7</f>
        <v>20770.473000212005</v>
      </c>
      <c r="I12" s="28">
        <f>'Population Treasury'!AA$32*'Statistics NZ'!AA$357*'Economic Forecasts'!AC$8/I$7</f>
        <v>20327.861820696347</v>
      </c>
      <c r="J12" s="18">
        <f>I$12*'Population Treasury'!AB$32*'Statistics NZ'!AB$357/('Population Treasury'!AA$32*'Statistics NZ'!AA$357)</f>
        <v>20400.145804759784</v>
      </c>
      <c r="K12" s="18">
        <f>J$12*'Population Treasury'!AC$32*'Statistics NZ'!AC$357/('Population Treasury'!AB$32*'Statistics NZ'!AB$357)</f>
        <v>20176.035399266202</v>
      </c>
      <c r="L12" s="18">
        <f>K$12*'Population Treasury'!AD$32*'Statistics NZ'!AD$357/('Population Treasury'!AC$32*'Statistics NZ'!AC$357)</f>
        <v>20481.771441774719</v>
      </c>
      <c r="M12" s="18">
        <f>L$12*'Population Treasury'!AE$32*'Statistics NZ'!AE$357/('Population Treasury'!AD$32*'Statistics NZ'!AD$357)</f>
        <v>20138.967868098778</v>
      </c>
      <c r="N12" s="18">
        <f>M$12*'Population Treasury'!AF$32*'Statistics NZ'!AF$357/('Population Treasury'!AE$32*'Statistics NZ'!AE$357)</f>
        <v>20179.319459460155</v>
      </c>
      <c r="O12" s="18">
        <f>N$12*'Population Treasury'!AG$32*'Statistics NZ'!AG$357/('Population Treasury'!AF$32*'Statistics NZ'!AF$357)</f>
        <v>20007.917641059936</v>
      </c>
      <c r="P12" s="18">
        <f>O$12*'Population Treasury'!AH$32*'Statistics NZ'!AH$357/('Population Treasury'!AG$32*'Statistics NZ'!AG$357)</f>
        <v>20118.730286667218</v>
      </c>
      <c r="Q12" s="18">
        <f>P$12*'Population Treasury'!AI$32*'Statistics NZ'!AI$357/('Population Treasury'!AH$32*'Statistics NZ'!AH$357)</f>
        <v>20310.492031050155</v>
      </c>
      <c r="R12" s="18">
        <f>Q$12*'Population Treasury'!AJ$32*'Statistics NZ'!AJ$357/('Population Treasury'!AI$32*'Statistics NZ'!AI$357)</f>
        <v>18798.110445803693</v>
      </c>
      <c r="S12" s="18">
        <f>R$12*'Population Treasury'!AK$32*'Statistics NZ'!AK$357/('Population Treasury'!AJ$32*'Statistics NZ'!AJ$357)</f>
        <v>18909.048704010373</v>
      </c>
    </row>
    <row r="13" spans="1:19" x14ac:dyDescent="0.25">
      <c r="A13" s="12">
        <v>18</v>
      </c>
      <c r="B13" s="28">
        <f>'Population Treasury'!T$33*'Statistics NZ'!T$358*'Economic Forecasts'!V$8/B$7</f>
        <v>21801.888248510309</v>
      </c>
      <c r="C13" s="28">
        <f>'Population Treasury'!U$33*'Statistics NZ'!U$358*'Economic Forecasts'!W$8/C$7</f>
        <v>22856.183995078463</v>
      </c>
      <c r="D13" s="28">
        <f>'Population Treasury'!V$33*'Statistics NZ'!V$358*'Economic Forecasts'!X$8/D$7</f>
        <v>23429.137729599708</v>
      </c>
      <c r="E13" s="28">
        <f>'Population Treasury'!W$33*'Statistics NZ'!W$358*'Economic Forecasts'!Y$8/E$7</f>
        <v>23156.384224297784</v>
      </c>
      <c r="F13" s="28">
        <f>'Population Treasury'!X$33*'Statistics NZ'!X$358*'Economic Forecasts'!Z$8/F$7</f>
        <v>23947.38736611003</v>
      </c>
      <c r="G13" s="28">
        <f>'Population Treasury'!Y$33*'Statistics NZ'!Y$358*'Economic Forecasts'!AA$8/G$7</f>
        <v>24050.110371317616</v>
      </c>
      <c r="H13" s="28">
        <f>'Population Treasury'!Z$33*'Statistics NZ'!Z$358*'Economic Forecasts'!AB$8/H$7</f>
        <v>24177.930288120166</v>
      </c>
      <c r="I13" s="28">
        <f>'Population Treasury'!AA$33*'Statistics NZ'!AA$358*'Economic Forecasts'!AC$8/I$7</f>
        <v>24233.090633202042</v>
      </c>
      <c r="J13" s="18">
        <f>I$13*'Population Treasury'!AB$33*'Statistics NZ'!AB$358/('Population Treasury'!AA$33*'Statistics NZ'!AA$358)</f>
        <v>23682.234392825121</v>
      </c>
      <c r="K13" s="18">
        <f>J$13*'Population Treasury'!AC$33*'Statistics NZ'!AC$358/('Population Treasury'!AB$33*'Statistics NZ'!AB$358)</f>
        <v>23762.026821981777</v>
      </c>
      <c r="L13" s="18">
        <f>K$13*'Population Treasury'!AD$33*'Statistics NZ'!AD$358/('Population Treasury'!AC$33*'Statistics NZ'!AC$358)</f>
        <v>23493.426755939025</v>
      </c>
      <c r="M13" s="18">
        <f>L$13*'Population Treasury'!AE$33*'Statistics NZ'!AE$358/('Population Treasury'!AD$33*'Statistics NZ'!AD$358)</f>
        <v>23846.369182115188</v>
      </c>
      <c r="N13" s="18">
        <f>M$13*'Population Treasury'!AF$33*'Statistics NZ'!AF$358/('Population Treasury'!AE$33*'Statistics NZ'!AE$358)</f>
        <v>23453.081969425453</v>
      </c>
      <c r="O13" s="18">
        <f>N$13*'Population Treasury'!AG$33*'Statistics NZ'!AG$358/('Population Treasury'!AF$33*'Statistics NZ'!AF$358)</f>
        <v>23503.439915663228</v>
      </c>
      <c r="P13" s="18">
        <f>O$13*'Population Treasury'!AH$33*'Statistics NZ'!AH$358/('Population Treasury'!AG$33*'Statistics NZ'!AG$358)</f>
        <v>23301.862136493277</v>
      </c>
      <c r="Q13" s="18">
        <f>P$13*'Population Treasury'!AI$33*'Statistics NZ'!AI$358/('Population Treasury'!AH$33*'Statistics NZ'!AH$358)</f>
        <v>23432.909553832029</v>
      </c>
      <c r="R13" s="18">
        <f>Q$13*'Population Treasury'!AJ$33*'Statistics NZ'!AJ$358/('Population Treasury'!AI$33*'Statistics NZ'!AI$358)</f>
        <v>23664.818919790607</v>
      </c>
      <c r="S13" s="18">
        <f>R$13*'Population Treasury'!AK$33*'Statistics NZ'!AK$358/('Population Treasury'!AJ$33*'Statistics NZ'!AJ$358)</f>
        <v>21910.550958692143</v>
      </c>
    </row>
    <row r="14" spans="1:19" x14ac:dyDescent="0.25">
      <c r="A14" s="12">
        <v>19</v>
      </c>
      <c r="B14" s="28">
        <f>'Population Treasury'!T$34*'Statistics NZ'!T$359*'Economic Forecasts'!V$8/B$7</f>
        <v>23098.323727654588</v>
      </c>
      <c r="C14" s="28">
        <f>'Population Treasury'!U$34*'Statistics NZ'!U$359*'Economic Forecasts'!W$8/C$7</f>
        <v>23181.136464078652</v>
      </c>
      <c r="D14" s="28">
        <f>'Population Treasury'!V$34*'Statistics NZ'!V$359*'Economic Forecasts'!X$8/D$7</f>
        <v>24532.147716550993</v>
      </c>
      <c r="E14" s="28">
        <f>'Population Treasury'!W$34*'Statistics NZ'!W$359*'Economic Forecasts'!Y$8/E$7</f>
        <v>25447.752008639683</v>
      </c>
      <c r="F14" s="28">
        <f>'Population Treasury'!X$34*'Statistics NZ'!X$359*'Economic Forecasts'!Z$8/F$7</f>
        <v>25153.071809252669</v>
      </c>
      <c r="G14" s="28">
        <f>'Population Treasury'!Y$34*'Statistics NZ'!Y$359*'Economic Forecasts'!AA$8/G$7</f>
        <v>25956.71178235484</v>
      </c>
      <c r="H14" s="28">
        <f>'Population Treasury'!Z$34*'Statistics NZ'!Z$359*'Economic Forecasts'!AB$8/H$7</f>
        <v>26049.085201763784</v>
      </c>
      <c r="I14" s="28">
        <f>'Population Treasury'!AA$34*'Statistics NZ'!AA$359*'Economic Forecasts'!AC$8/I$7</f>
        <v>26166.120776458403</v>
      </c>
      <c r="J14" s="18">
        <f>I$14*'Population Treasury'!AB$34*'Statistics NZ'!AB$359/('Population Treasury'!AA$34*'Statistics NZ'!AA$359)</f>
        <v>26210.892467683549</v>
      </c>
      <c r="K14" s="18">
        <f>J$14*'Population Treasury'!AC$34*'Statistics NZ'!AC$359/('Population Treasury'!AB$34*'Statistics NZ'!AB$359)</f>
        <v>25615.793633385634</v>
      </c>
      <c r="L14" s="18">
        <f>K$14*'Population Treasury'!AD$34*'Statistics NZ'!AD$359/('Population Treasury'!AC$34*'Statistics NZ'!AC$359)</f>
        <v>25700.541415099859</v>
      </c>
      <c r="M14" s="18">
        <f>L$14*'Population Treasury'!AE$34*'Statistics NZ'!AE$359/('Population Treasury'!AD$34*'Statistics NZ'!AD$359)</f>
        <v>25408.115437606699</v>
      </c>
      <c r="N14" s="18">
        <f>M$14*'Population Treasury'!AF$34*'Statistics NZ'!AF$359/('Population Treasury'!AE$34*'Statistics NZ'!AE$359)</f>
        <v>25781.359735148522</v>
      </c>
      <c r="O14" s="18">
        <f>N$14*'Population Treasury'!AG$34*'Statistics NZ'!AG$359/('Population Treasury'!AF$34*'Statistics NZ'!AF$359)</f>
        <v>25357.837978083131</v>
      </c>
      <c r="P14" s="18">
        <f>O$14*'Population Treasury'!AH$34*'Statistics NZ'!AH$359/('Population Treasury'!AG$34*'Statistics NZ'!AG$359)</f>
        <v>25418.139606229346</v>
      </c>
      <c r="Q14" s="18">
        <f>P$14*'Population Treasury'!AI$34*'Statistics NZ'!AI$359/('Population Treasury'!AH$34*'Statistics NZ'!AH$359)</f>
        <v>25206.376198530823</v>
      </c>
      <c r="R14" s="18">
        <f>Q$14*'Population Treasury'!AJ$34*'Statistics NZ'!AJ$359/('Population Treasury'!AI$34*'Statistics NZ'!AI$359)</f>
        <v>25337.632756935767</v>
      </c>
      <c r="S14" s="18">
        <f>R$14*'Population Treasury'!AK$34*'Statistics NZ'!AK$359/('Population Treasury'!AJ$34*'Statistics NZ'!AJ$359)</f>
        <v>25589.648218064358</v>
      </c>
    </row>
    <row r="15" spans="1:19" x14ac:dyDescent="0.25">
      <c r="A15" s="12">
        <v>20</v>
      </c>
      <c r="B15" s="28">
        <f>'Population Treasury'!T$35*'Statistics NZ'!T$360*'Economic Forecasts'!V$8/B$7</f>
        <v>23682.214515971478</v>
      </c>
      <c r="C15" s="28">
        <f>'Population Treasury'!U$35*'Statistics NZ'!U$360*'Economic Forecasts'!W$8/C$7</f>
        <v>23460.800894474771</v>
      </c>
      <c r="D15" s="28">
        <f>'Population Treasury'!V$35*'Statistics NZ'!V$360*'Economic Forecasts'!X$8/D$7</f>
        <v>23785.904490610807</v>
      </c>
      <c r="E15" s="28">
        <f>'Population Treasury'!W$35*'Statistics NZ'!W$360*'Economic Forecasts'!Y$8/E$7</f>
        <v>25365.340566999221</v>
      </c>
      <c r="F15" s="28">
        <f>'Population Treasury'!X$35*'Statistics NZ'!X$360*'Economic Forecasts'!Z$8/F$7</f>
        <v>26275.267984324302</v>
      </c>
      <c r="G15" s="28">
        <f>'Population Treasury'!Y$35*'Statistics NZ'!Y$360*'Economic Forecasts'!AA$8/G$7</f>
        <v>25946.691305688244</v>
      </c>
      <c r="H15" s="28">
        <f>'Population Treasury'!Z$35*'Statistics NZ'!Z$360*'Economic Forecasts'!AB$8/H$7</f>
        <v>26771.70046544513</v>
      </c>
      <c r="I15" s="28">
        <f>'Population Treasury'!AA$35*'Statistics NZ'!AA$360*'Economic Forecasts'!AC$8/I$7</f>
        <v>26863.008264981254</v>
      </c>
      <c r="J15" s="18">
        <f>I$15*'Population Treasury'!AB$35*'Statistics NZ'!AB$360/('Population Treasury'!AA$35*'Statistics NZ'!AA$360)</f>
        <v>26971.541007617205</v>
      </c>
      <c r="K15" s="18">
        <f>J$15*'Population Treasury'!AC$35*'Statistics NZ'!AC$360/('Population Treasury'!AB$35*'Statistics NZ'!AB$360)</f>
        <v>27000.34055033384</v>
      </c>
      <c r="L15" s="18">
        <f>K$15*'Population Treasury'!AD$35*'Statistics NZ'!AD$360/('Population Treasury'!AC$35*'Statistics NZ'!AC$360)</f>
        <v>26394.542264958738</v>
      </c>
      <c r="M15" s="18">
        <f>L$15*'Population Treasury'!AE$35*'Statistics NZ'!AE$360/('Population Treasury'!AD$35*'Statistics NZ'!AD$360)</f>
        <v>26485.106497333458</v>
      </c>
      <c r="N15" s="18">
        <f>M$15*'Population Treasury'!AF$35*'Statistics NZ'!AF$360/('Population Treasury'!AE$35*'Statistics NZ'!AE$360)</f>
        <v>26192.665394136515</v>
      </c>
      <c r="O15" s="18">
        <f>N$15*'Population Treasury'!AG$35*'Statistics NZ'!AG$360/('Population Treasury'!AF$35*'Statistics NZ'!AF$360)</f>
        <v>26595.546194785293</v>
      </c>
      <c r="P15" s="18">
        <f>O$15*'Population Treasury'!AH$35*'Statistics NZ'!AH$360/('Population Treasury'!AG$35*'Statistics NZ'!AG$360)</f>
        <v>26171.911783417549</v>
      </c>
      <c r="Q15" s="18">
        <f>P$15*'Population Treasury'!AI$35*'Statistics NZ'!AI$360/('Population Treasury'!AH$35*'Statistics NZ'!AH$360)</f>
        <v>26232.229556075381</v>
      </c>
      <c r="R15" s="18">
        <f>Q$15*'Population Treasury'!AJ$35*'Statistics NZ'!AJ$360/('Population Treasury'!AI$35*'Statistics NZ'!AI$360)</f>
        <v>26020.497794241863</v>
      </c>
      <c r="S15" s="18">
        <f>R$15*'Population Treasury'!AK$35*'Statistics NZ'!AK$360/('Population Treasury'!AJ$35*'Statistics NZ'!AJ$360)</f>
        <v>26171.557691214377</v>
      </c>
    </row>
    <row r="16" spans="1:19" x14ac:dyDescent="0.25">
      <c r="A16" s="12">
        <v>21</v>
      </c>
      <c r="B16" s="28">
        <f>'Population Treasury'!T$36*'Statistics NZ'!T$361*'Economic Forecasts'!V$8/B$7</f>
        <v>23880.143596756872</v>
      </c>
      <c r="C16" s="28">
        <f>'Population Treasury'!U$36*'Statistics NZ'!U$361*'Economic Forecasts'!W$8/C$7</f>
        <v>24254.933868497963</v>
      </c>
      <c r="D16" s="28">
        <f>'Population Treasury'!V$36*'Statistics NZ'!V$361*'Economic Forecasts'!X$8/D$7</f>
        <v>24136.822125826384</v>
      </c>
      <c r="E16" s="28">
        <f>'Population Treasury'!W$36*'Statistics NZ'!W$361*'Economic Forecasts'!Y$8/E$7</f>
        <v>24682.728975688762</v>
      </c>
      <c r="F16" s="28">
        <f>'Population Treasury'!X$36*'Statistics NZ'!X$361*'Economic Forecasts'!Z$8/F$7</f>
        <v>26422.02827132419</v>
      </c>
      <c r="G16" s="28">
        <f>'Population Treasury'!Y$36*'Statistics NZ'!Y$361*'Economic Forecasts'!AA$8/G$7</f>
        <v>27360.419054977214</v>
      </c>
      <c r="H16" s="28">
        <f>'Population Treasury'!Z$36*'Statistics NZ'!Z$361*'Economic Forecasts'!AB$8/H$7</f>
        <v>27017.59137880844</v>
      </c>
      <c r="I16" s="28">
        <f>'Population Treasury'!AA$36*'Statistics NZ'!AA$361*'Economic Forecasts'!AC$8/I$7</f>
        <v>27868.152360662556</v>
      </c>
      <c r="J16" s="18">
        <f>I$16*'Population Treasury'!AB$36*'Statistics NZ'!AB$361/('Population Treasury'!AA$36*'Statistics NZ'!AA$361)</f>
        <v>27936.209948401949</v>
      </c>
      <c r="K16" s="18">
        <f>J$16*'Population Treasury'!AC$36*'Statistics NZ'!AC$361/('Population Treasury'!AB$36*'Statistics NZ'!AB$361)</f>
        <v>28045.409681819718</v>
      </c>
      <c r="L16" s="18">
        <f>K$16*'Population Treasury'!AD$36*'Statistics NZ'!AD$361/('Population Treasury'!AC$36*'Statistics NZ'!AC$361)</f>
        <v>28094.838566494815</v>
      </c>
      <c r="M16" s="18">
        <f>L$16*'Population Treasury'!AE$36*'Statistics NZ'!AE$361/('Population Treasury'!AD$36*'Statistics NZ'!AD$361)</f>
        <v>27469.314565223802</v>
      </c>
      <c r="N16" s="18">
        <f>M$16*'Population Treasury'!AF$36*'Statistics NZ'!AF$361/('Population Treasury'!AE$36*'Statistics NZ'!AE$361)</f>
        <v>27579.835098560492</v>
      </c>
      <c r="O16" s="18">
        <f>N$16*'Population Treasury'!AG$36*'Statistics NZ'!AG$361/('Population Treasury'!AF$36*'Statistics NZ'!AF$361)</f>
        <v>27277.092156785682</v>
      </c>
      <c r="P16" s="18">
        <f>O$16*'Population Treasury'!AH$36*'Statistics NZ'!AH$361/('Population Treasury'!AG$36*'Statistics NZ'!AG$361)</f>
        <v>27700.208880084425</v>
      </c>
      <c r="Q16" s="18">
        <f>P$16*'Population Treasury'!AI$36*'Statistics NZ'!AI$361/('Population Treasury'!AH$36*'Statistics NZ'!AH$361)</f>
        <v>27266.328068387098</v>
      </c>
      <c r="R16" s="18">
        <f>Q$16*'Population Treasury'!AJ$36*'Statistics NZ'!AJ$361/('Population Treasury'!AI$36*'Statistics NZ'!AI$361)</f>
        <v>27336.72631638126</v>
      </c>
      <c r="S16" s="18">
        <f>R$16*'Population Treasury'!AK$36*'Statistics NZ'!AK$361/('Population Treasury'!AJ$36*'Statistics NZ'!AJ$361)</f>
        <v>27124.61091940002</v>
      </c>
    </row>
    <row r="17" spans="1:19" x14ac:dyDescent="0.25">
      <c r="A17" s="12">
        <v>22</v>
      </c>
      <c r="B17" s="28">
        <f>'Population Treasury'!T$37*'Statistics NZ'!T$362*'Economic Forecasts'!V$8/B$7</f>
        <v>24849.996092605263</v>
      </c>
      <c r="C17" s="28">
        <f>'Population Treasury'!U$37*'Statistics NZ'!U$362*'Economic Forecasts'!W$8/C$7</f>
        <v>24480.858545472856</v>
      </c>
      <c r="D17" s="28">
        <f>'Population Treasury'!V$37*'Statistics NZ'!V$362*'Economic Forecasts'!X$8/D$7</f>
        <v>24984.262101226112</v>
      </c>
      <c r="E17" s="28">
        <f>'Population Treasury'!W$37*'Statistics NZ'!W$362*'Economic Forecasts'!Y$8/E$7</f>
        <v>25072.82892474877</v>
      </c>
      <c r="F17" s="28">
        <f>'Population Treasury'!X$37*'Statistics NZ'!X$362*'Economic Forecasts'!Z$8/F$7</f>
        <v>25736.58427104849</v>
      </c>
      <c r="G17" s="28">
        <f>'Population Treasury'!Y$37*'Statistics NZ'!Y$362*'Economic Forecasts'!AA$8/G$7</f>
        <v>27527.200364449312</v>
      </c>
      <c r="H17" s="28">
        <f>'Population Treasury'!Z$37*'Statistics NZ'!Z$362*'Economic Forecasts'!AB$8/H$7</f>
        <v>28503.317657039112</v>
      </c>
      <c r="I17" s="28">
        <f>'Population Treasury'!AA$37*'Statistics NZ'!AA$362*'Economic Forecasts'!AC$8/I$7</f>
        <v>28124.290600192224</v>
      </c>
      <c r="J17" s="18">
        <f>I$17*'Population Treasury'!AB$37*'Statistics NZ'!AB$362/('Population Treasury'!AA$37*'Statistics NZ'!AA$362)</f>
        <v>28988.632121465507</v>
      </c>
      <c r="K17" s="18">
        <f>J$17*'Population Treasury'!AC$37*'Statistics NZ'!AC$362/('Population Treasury'!AB$37*'Statistics NZ'!AB$362)</f>
        <v>29057.353981666362</v>
      </c>
      <c r="L17" s="18">
        <f>K$17*'Population Treasury'!AD$37*'Statistics NZ'!AD$362/('Population Treasury'!AC$37*'Statistics NZ'!AC$362)</f>
        <v>29177.254482946646</v>
      </c>
      <c r="M17" s="18">
        <f>L$17*'Population Treasury'!AE$37*'Statistics NZ'!AE$362/('Population Treasury'!AD$37*'Statistics NZ'!AD$362)</f>
        <v>29227.273684157182</v>
      </c>
      <c r="N17" s="18">
        <f>M$17*'Population Treasury'!AF$37*'Statistics NZ'!AF$362/('Population Treasury'!AE$37*'Statistics NZ'!AE$362)</f>
        <v>28581.681495822126</v>
      </c>
      <c r="O17" s="18">
        <f>N$17*'Population Treasury'!AG$37*'Statistics NZ'!AG$362/('Population Treasury'!AF$37*'Statistics NZ'!AF$362)</f>
        <v>28702.149583543596</v>
      </c>
      <c r="P17" s="18">
        <f>O$17*'Population Treasury'!AH$37*'Statistics NZ'!AH$362/('Population Treasury'!AG$37*'Statistics NZ'!AG$362)</f>
        <v>28389.28853350176</v>
      </c>
      <c r="Q17" s="18">
        <f>P$17*'Population Treasury'!AI$37*'Statistics NZ'!AI$362/('Population Treasury'!AH$37*'Statistics NZ'!AH$362)</f>
        <v>28832.660541083071</v>
      </c>
      <c r="R17" s="18">
        <f>Q$17*'Population Treasury'!AJ$37*'Statistics NZ'!AJ$362/('Population Treasury'!AI$37*'Statistics NZ'!AI$362)</f>
        <v>28388.548539482683</v>
      </c>
      <c r="S17" s="18">
        <f>R$17*'Population Treasury'!AK$37*'Statistics NZ'!AK$362/('Population Treasury'!AJ$37*'Statistics NZ'!AJ$362)</f>
        <v>28459.006449479941</v>
      </c>
    </row>
    <row r="18" spans="1:19" x14ac:dyDescent="0.25">
      <c r="A18" s="12">
        <v>23</v>
      </c>
      <c r="B18" s="28">
        <f>'Population Treasury'!T$38*'Statistics NZ'!T$363*'Economic Forecasts'!V$8/B$7</f>
        <v>25968.295399042694</v>
      </c>
      <c r="C18" s="28">
        <f>'Population Treasury'!U$38*'Statistics NZ'!U$363*'Economic Forecasts'!W$8/C$7</f>
        <v>25088.622337291683</v>
      </c>
      <c r="D18" s="28">
        <f>'Population Treasury'!V$38*'Statistics NZ'!V$363*'Economic Forecasts'!X$8/D$7</f>
        <v>24857.979763924406</v>
      </c>
      <c r="E18" s="28">
        <f>'Population Treasury'!W$38*'Statistics NZ'!W$363*'Economic Forecasts'!Y$8/E$7</f>
        <v>25609.198060700401</v>
      </c>
      <c r="F18" s="28">
        <f>'Population Treasury'!X$38*'Statistics NZ'!X$363*'Economic Forecasts'!Z$8/F$7</f>
        <v>25805.055820653641</v>
      </c>
      <c r="G18" s="28">
        <f>'Population Treasury'!Y$38*'Statistics NZ'!Y$363*'Economic Forecasts'!AA$8/G$7</f>
        <v>26476.547915415071</v>
      </c>
      <c r="H18" s="28">
        <f>'Population Treasury'!Z$38*'Statistics NZ'!Z$363*'Economic Forecasts'!AB$8/H$7</f>
        <v>28326.126653801748</v>
      </c>
      <c r="I18" s="28">
        <f>'Population Treasury'!AA$38*'Statistics NZ'!AA$363*'Economic Forecasts'!AC$8/I$7</f>
        <v>29326.574422646489</v>
      </c>
      <c r="J18" s="18">
        <f>I$18*'Population Treasury'!AB$38*'Statistics NZ'!AB$363/('Population Treasury'!AA$38*'Statistics NZ'!AA$363)</f>
        <v>28900.046857457281</v>
      </c>
      <c r="K18" s="18">
        <f>J$18*'Population Treasury'!AC$38*'Statistics NZ'!AC$363/('Population Treasury'!AB$38*'Statistics NZ'!AB$363)</f>
        <v>29805.106346509168</v>
      </c>
      <c r="L18" s="18">
        <f>K$18*'Population Treasury'!AD$38*'Statistics NZ'!AD$363/('Population Treasury'!AC$38*'Statistics NZ'!AC$363)</f>
        <v>29894.347337586252</v>
      </c>
      <c r="M18" s="18">
        <f>L$18*'Population Treasury'!AE$38*'Statistics NZ'!AE$363/('Population Treasury'!AD$38*'Statistics NZ'!AD$363)</f>
        <v>30034.769622208532</v>
      </c>
      <c r="N18" s="18">
        <f>M$18*'Population Treasury'!AF$38*'Statistics NZ'!AF$363/('Population Treasury'!AE$38*'Statistics NZ'!AE$363)</f>
        <v>30094.659272540124</v>
      </c>
      <c r="O18" s="18">
        <f>N$18*'Population Treasury'!AG$38*'Statistics NZ'!AG$363/('Population Treasury'!AF$38*'Statistics NZ'!AF$363)</f>
        <v>29448.664770345858</v>
      </c>
      <c r="P18" s="18">
        <f>O$18*'Population Treasury'!AH$38*'Statistics NZ'!AH$363/('Population Treasury'!AG$38*'Statistics NZ'!AG$363)</f>
        <v>29579.038152792986</v>
      </c>
      <c r="Q18" s="18">
        <f>P$18*'Population Treasury'!AI$38*'Statistics NZ'!AI$363/('Population Treasury'!AH$38*'Statistics NZ'!AH$363)</f>
        <v>29276.011622020167</v>
      </c>
      <c r="R18" s="18">
        <f>Q$18*'Population Treasury'!AJ$38*'Statistics NZ'!AJ$363/('Population Treasury'!AI$38*'Statistics NZ'!AI$363)</f>
        <v>29739.357883896224</v>
      </c>
      <c r="S18" s="18">
        <f>R$18*'Population Treasury'!AK$38*'Statistics NZ'!AK$363/('Population Treasury'!AJ$38*'Statistics NZ'!AJ$363)</f>
        <v>29285.090390527184</v>
      </c>
    </row>
    <row r="19" spans="1:19" x14ac:dyDescent="0.25">
      <c r="A19" s="12">
        <v>24</v>
      </c>
      <c r="B19" s="28">
        <f>'Population Treasury'!T$39*'Statistics NZ'!T$364*'Economic Forecasts'!V$8/B$7</f>
        <v>26611.564911595193</v>
      </c>
      <c r="C19" s="28">
        <f>'Population Treasury'!U$39*'Statistics NZ'!U$364*'Economic Forecasts'!W$8/C$7</f>
        <v>26029.288871808014</v>
      </c>
      <c r="D19" s="28">
        <f>'Population Treasury'!V$39*'Statistics NZ'!V$364*'Economic Forecasts'!X$8/D$7</f>
        <v>25305.898567109471</v>
      </c>
      <c r="E19" s="28">
        <f>'Population Treasury'!W$39*'Statistics NZ'!W$364*'Economic Forecasts'!Y$8/E$7</f>
        <v>25326.398536948294</v>
      </c>
      <c r="F19" s="28">
        <f>'Population Treasury'!X$39*'Statistics NZ'!X$364*'Economic Forecasts'!Z$8/F$7</f>
        <v>26196.651487809246</v>
      </c>
      <c r="G19" s="28">
        <f>'Population Treasury'!Y$39*'Statistics NZ'!Y$364*'Economic Forecasts'!AA$8/G$7</f>
        <v>26417.595947084708</v>
      </c>
      <c r="H19" s="28">
        <f>'Population Treasury'!Z$39*'Statistics NZ'!Z$364*'Economic Forecasts'!AB$8/H$7</f>
        <v>27125.610595996146</v>
      </c>
      <c r="I19" s="28">
        <f>'Population Treasury'!AA$39*'Statistics NZ'!AA$364*'Economic Forecasts'!AC$8/I$7</f>
        <v>29011.167414862139</v>
      </c>
      <c r="J19" s="18">
        <f>I$19*'Population Treasury'!AB$39*'Statistics NZ'!AB$364/('Population Treasury'!AA$39*'Statistics NZ'!AA$364)</f>
        <v>30025.681690339603</v>
      </c>
      <c r="K19" s="18">
        <f>J$19*'Population Treasury'!AC$39*'Statistics NZ'!AC$364/('Population Treasury'!AB$39*'Statistics NZ'!AB$364)</f>
        <v>29619.60619300291</v>
      </c>
      <c r="L19" s="18">
        <f>K$19*'Population Treasury'!AD$39*'Statistics NZ'!AD$364/('Population Treasury'!AC$39*'Statistics NZ'!AC$364)</f>
        <v>30555.391648194305</v>
      </c>
      <c r="M19" s="18">
        <f>L$19*'Population Treasury'!AE$39*'Statistics NZ'!AE$364/('Population Treasury'!AD$39*'Statistics NZ'!AD$364)</f>
        <v>30664.991615145431</v>
      </c>
      <c r="N19" s="18">
        <f>M$19*'Population Treasury'!AF$39*'Statistics NZ'!AF$364/('Population Treasury'!AE$39*'Statistics NZ'!AE$364)</f>
        <v>30835.252193762095</v>
      </c>
      <c r="O19" s="18">
        <f>N$19*'Population Treasury'!AG$39*'Statistics NZ'!AG$364/('Population Treasury'!AF$39*'Statistics NZ'!AF$364)</f>
        <v>30914.901915381997</v>
      </c>
      <c r="P19" s="18">
        <f>O$19*'Population Treasury'!AH$39*'Statistics NZ'!AH$364/('Population Treasury'!AG$39*'Statistics NZ'!AG$364)</f>
        <v>30278.706206784773</v>
      </c>
      <c r="Q19" s="18">
        <f>P$19*'Population Treasury'!AI$39*'Statistics NZ'!AI$364/('Population Treasury'!AH$39*'Statistics NZ'!AH$364)</f>
        <v>30419.002806580625</v>
      </c>
      <c r="R19" s="18">
        <f>Q$19*'Population Treasury'!AJ$39*'Statistics NZ'!AJ$364/('Population Treasury'!AI$39*'Statistics NZ'!AI$364)</f>
        <v>30125.904956319126</v>
      </c>
      <c r="S19" s="18">
        <f>R$19*'Population Treasury'!AK$39*'Statistics NZ'!AK$364/('Population Treasury'!AJ$39*'Statistics NZ'!AJ$364)</f>
        <v>30619.034413640751</v>
      </c>
    </row>
    <row r="20" spans="1:19" x14ac:dyDescent="0.25">
      <c r="A20" s="12">
        <v>25</v>
      </c>
      <c r="B20" s="28">
        <f>'Population Treasury'!T$40*'Statistics NZ'!T$365*'Economic Forecasts'!V$8/B$7</f>
        <v>25908.916674807078</v>
      </c>
      <c r="C20" s="28">
        <f>'Population Treasury'!U$40*'Statistics NZ'!U$365*'Economic Forecasts'!W$8/C$7</f>
        <v>26634.932332145454</v>
      </c>
      <c r="D20" s="28">
        <f>'Population Treasury'!V$40*'Statistics NZ'!V$365*'Economic Forecasts'!X$8/D$7</f>
        <v>26240.206135916469</v>
      </c>
      <c r="E20" s="28">
        <f>'Population Treasury'!W$40*'Statistics NZ'!W$365*'Economic Forecasts'!Y$8/E$7</f>
        <v>25949.842730080109</v>
      </c>
      <c r="F20" s="28">
        <f>'Population Treasury'!X$40*'Statistics NZ'!X$365*'Economic Forecasts'!Z$8/F$7</f>
        <v>26124.700732512894</v>
      </c>
      <c r="G20" s="28">
        <f>'Population Treasury'!Y$40*'Statistics NZ'!Y$365*'Economic Forecasts'!AA$8/G$7</f>
        <v>27035.403637600346</v>
      </c>
      <c r="H20" s="28">
        <f>'Population Treasury'!Z$40*'Statistics NZ'!Z$365*'Economic Forecasts'!AB$8/H$7</f>
        <v>27253.936670714425</v>
      </c>
      <c r="I20" s="28">
        <f>'Population Treasury'!AA$40*'Statistics NZ'!AA$365*'Economic Forecasts'!AC$8/I$7</f>
        <v>27961.700419358636</v>
      </c>
      <c r="J20" s="18">
        <f>I$20*'Population Treasury'!AB$40*'Statistics NZ'!AB$365/('Population Treasury'!AA$40*'Statistics NZ'!AA$365)</f>
        <v>29916.386024719959</v>
      </c>
      <c r="K20" s="18">
        <f>J$20*'Population Treasury'!AC$40*'Statistics NZ'!AC$365/('Population Treasury'!AB$40*'Statistics NZ'!AB$365)</f>
        <v>30983.929228562873</v>
      </c>
      <c r="L20" s="18">
        <f>K$20*'Population Treasury'!AD$40*'Statistics NZ'!AD$365/('Population Treasury'!AC$40*'Statistics NZ'!AC$365)</f>
        <v>30597.919605104693</v>
      </c>
      <c r="M20" s="18">
        <f>L$20*'Population Treasury'!AE$40*'Statistics NZ'!AE$365/('Population Treasury'!AD$40*'Statistics NZ'!AD$365)</f>
        <v>31564.663911830427</v>
      </c>
      <c r="N20" s="18">
        <f>M$20*'Population Treasury'!AF$40*'Statistics NZ'!AF$365/('Population Treasury'!AE$40*'Statistics NZ'!AE$365)</f>
        <v>31684.469389391925</v>
      </c>
      <c r="O20" s="18">
        <f>N$20*'Population Treasury'!AG$40*'Statistics NZ'!AG$365/('Population Treasury'!AF$40*'Statistics NZ'!AF$365)</f>
        <v>31864.916881461839</v>
      </c>
      <c r="P20" s="18">
        <f>O$20*'Population Treasury'!AH$40*'Statistics NZ'!AH$365/('Population Treasury'!AG$40*'Statistics NZ'!AG$365)</f>
        <v>31954.851122985343</v>
      </c>
      <c r="Q20" s="18">
        <f>P$20*'Population Treasury'!AI$40*'Statistics NZ'!AI$365/('Population Treasury'!AH$40*'Statistics NZ'!AH$365)</f>
        <v>31318.700898123192</v>
      </c>
      <c r="R20" s="18">
        <f>Q$20*'Population Treasury'!AJ$40*'Statistics NZ'!AJ$365/('Population Treasury'!AI$40*'Statistics NZ'!AI$365)</f>
        <v>31479.175739151418</v>
      </c>
      <c r="S20" s="18">
        <f>R$20*'Population Treasury'!AK$40*'Statistics NZ'!AK$365/('Population Treasury'!AJ$40*'Statistics NZ'!AJ$365)</f>
        <v>31185.994576379402</v>
      </c>
    </row>
    <row r="21" spans="1:19" x14ac:dyDescent="0.25">
      <c r="A21" s="12">
        <v>26</v>
      </c>
      <c r="B21" s="28">
        <f>'Population Treasury'!T$41*'Statistics NZ'!T$366*'Economic Forecasts'!V$8/B$7</f>
        <v>27136.076975676468</v>
      </c>
      <c r="C21" s="28">
        <f>'Population Treasury'!U$41*'Statistics NZ'!U$366*'Economic Forecasts'!W$8/C$7</f>
        <v>25734.676803440834</v>
      </c>
      <c r="D21" s="28">
        <f>'Population Treasury'!V$41*'Statistics NZ'!V$366*'Economic Forecasts'!X$8/D$7</f>
        <v>26893.265461954223</v>
      </c>
      <c r="E21" s="28">
        <f>'Population Treasury'!W$41*'Statistics NZ'!W$366*'Economic Forecasts'!Y$8/E$7</f>
        <v>26905.561463547438</v>
      </c>
      <c r="F21" s="28">
        <f>'Population Treasury'!X$41*'Statistics NZ'!X$366*'Economic Forecasts'!Z$8/F$7</f>
        <v>26565.155199811881</v>
      </c>
      <c r="G21" s="28">
        <f>'Population Treasury'!Y$41*'Statistics NZ'!Y$366*'Economic Forecasts'!AA$8/G$7</f>
        <v>26701.435438336724</v>
      </c>
      <c r="H21" s="28">
        <f>'Population Treasury'!Z$41*'Statistics NZ'!Z$366*'Economic Forecasts'!AB$8/H$7</f>
        <v>27598.231552367353</v>
      </c>
      <c r="I21" s="28">
        <f>'Population Treasury'!AA$41*'Statistics NZ'!AA$366*'Economic Forecasts'!AC$8/I$7</f>
        <v>27813.811586918866</v>
      </c>
      <c r="J21" s="18">
        <f>I$21*'Population Treasury'!AB$41*'Statistics NZ'!AB$366/('Population Treasury'!AA$41*'Statistics NZ'!AA$366)</f>
        <v>28548.313158027864</v>
      </c>
      <c r="K21" s="18">
        <f>J$21*'Population Treasury'!AC$41*'Statistics NZ'!AC$366/('Population Treasury'!AB$41*'Statistics NZ'!AB$366)</f>
        <v>30503.027519975203</v>
      </c>
      <c r="L21" s="18">
        <f>K$21*'Population Treasury'!AD$41*'Statistics NZ'!AD$366/('Population Treasury'!AC$41*'Statistics NZ'!AC$366)</f>
        <v>31568.633078813673</v>
      </c>
      <c r="M21" s="18">
        <f>L$21*'Population Treasury'!AE$41*'Statistics NZ'!AE$366/('Population Treasury'!AD$41*'Statistics NZ'!AD$366)</f>
        <v>31184.14086728781</v>
      </c>
      <c r="N21" s="18">
        <f>M$21*'Population Treasury'!AF$41*'Statistics NZ'!AF$366/('Population Treasury'!AE$41*'Statistics NZ'!AE$366)</f>
        <v>32160.850845925215</v>
      </c>
      <c r="O21" s="18">
        <f>N$21*'Population Treasury'!AG$41*'Statistics NZ'!AG$366/('Population Treasury'!AF$41*'Statistics NZ'!AF$366)</f>
        <v>32290.740421263774</v>
      </c>
      <c r="P21" s="18">
        <f>O$21*'Population Treasury'!AH$41*'Statistics NZ'!AH$366/('Population Treasury'!AG$41*'Statistics NZ'!AG$366)</f>
        <v>32481.128396910633</v>
      </c>
      <c r="Q21" s="18">
        <f>P$21*'Population Treasury'!AI$41*'Statistics NZ'!AI$366/('Population Treasury'!AH$41*'Statistics NZ'!AH$366)</f>
        <v>32580.996120746877</v>
      </c>
      <c r="R21" s="18">
        <f>Q$21*'Population Treasury'!AJ$41*'Statistics NZ'!AJ$366/('Population Treasury'!AI$41*'Statistics NZ'!AI$366)</f>
        <v>31944.835610806327</v>
      </c>
      <c r="S21" s="18">
        <f>R$21*'Population Treasury'!AK$41*'Statistics NZ'!AK$366/('Population Treasury'!AJ$41*'Statistics NZ'!AJ$366)</f>
        <v>32115.245269229163</v>
      </c>
    </row>
    <row r="22" spans="1:19" x14ac:dyDescent="0.25">
      <c r="A22" s="12">
        <v>27</v>
      </c>
      <c r="B22" s="28">
        <f>'Population Treasury'!T$42*'Statistics NZ'!T$367*'Economic Forecasts'!V$8/B$7</f>
        <v>27858.518120543136</v>
      </c>
      <c r="C22" s="28">
        <f>'Population Treasury'!U$42*'Statistics NZ'!U$367*'Economic Forecasts'!W$8/C$7</f>
        <v>27087.493012248167</v>
      </c>
      <c r="D22" s="28">
        <f>'Population Treasury'!V$42*'Statistics NZ'!V$367*'Economic Forecasts'!X$8/D$7</f>
        <v>26124.818762899289</v>
      </c>
      <c r="E22" s="28">
        <f>'Population Treasury'!W$42*'Statistics NZ'!W$367*'Economic Forecasts'!Y$8/E$7</f>
        <v>27675.991232353586</v>
      </c>
      <c r="F22" s="28">
        <f>'Population Treasury'!X$42*'Statistics NZ'!X$367*'Economic Forecasts'!Z$8/F$7</f>
        <v>27642.015296041132</v>
      </c>
      <c r="G22" s="28">
        <f>'Population Treasury'!Y$42*'Statistics NZ'!Y$367*'Economic Forecasts'!AA$8/G$7</f>
        <v>27251.148898888681</v>
      </c>
      <c r="H22" s="28">
        <f>'Population Treasury'!Z$42*'Statistics NZ'!Z$367*'Economic Forecasts'!AB$8/H$7</f>
        <v>27361.980645488464</v>
      </c>
      <c r="I22" s="28">
        <f>'Population Treasury'!AA$42*'Statistics NZ'!AA$367*'Economic Forecasts'!AC$8/I$7</f>
        <v>28257.231171127565</v>
      </c>
      <c r="J22" s="18">
        <f>I$22*'Population Treasury'!AB$42*'Statistics NZ'!AB$367/('Population Treasury'!AA$42*'Statistics NZ'!AA$367)</f>
        <v>28477.363058555355</v>
      </c>
      <c r="K22" s="18">
        <f>J$22*'Population Treasury'!AC$42*'Statistics NZ'!AC$367/('Population Treasury'!AB$42*'Statistics NZ'!AB$367)</f>
        <v>29201.951116321779</v>
      </c>
      <c r="L22" s="18">
        <f>K$22*'Population Treasury'!AD$42*'Statistics NZ'!AD$367/('Population Treasury'!AC$42*'Statistics NZ'!AC$367)</f>
        <v>31154.56559840939</v>
      </c>
      <c r="M22" s="18">
        <f>L$22*'Population Treasury'!AE$42*'Statistics NZ'!AE$367/('Population Treasury'!AD$42*'Statistics NZ'!AD$367)</f>
        <v>32221.709072535563</v>
      </c>
      <c r="N22" s="18">
        <f>M$22*'Population Treasury'!AF$42*'Statistics NZ'!AF$367/('Population Treasury'!AE$42*'Statistics NZ'!AE$367)</f>
        <v>31837.200974877902</v>
      </c>
      <c r="O22" s="18">
        <f>N$22*'Population Treasury'!AG$42*'Statistics NZ'!AG$367/('Population Treasury'!AF$42*'Statistics NZ'!AF$367)</f>
        <v>32813.933455678751</v>
      </c>
      <c r="P22" s="18">
        <f>O$22*'Population Treasury'!AH$42*'Statistics NZ'!AH$367/('Population Treasury'!AG$42*'Statistics NZ'!AG$367)</f>
        <v>32953.88016753902</v>
      </c>
      <c r="Q22" s="18">
        <f>P$22*'Population Treasury'!AI$42*'Statistics NZ'!AI$367/('Population Treasury'!AH$42*'Statistics NZ'!AH$367)</f>
        <v>33144.268898159142</v>
      </c>
      <c r="R22" s="18">
        <f>Q$22*'Population Treasury'!AJ$42*'Statistics NZ'!AJ$367/('Population Treasury'!AI$42*'Statistics NZ'!AI$367)</f>
        <v>33254.194601801326</v>
      </c>
      <c r="S22" s="18">
        <f>R$22*'Population Treasury'!AK$42*'Statistics NZ'!AK$367/('Population Treasury'!AJ$42*'Statistics NZ'!AJ$367)</f>
        <v>32618.01461947873</v>
      </c>
    </row>
    <row r="23" spans="1:19" x14ac:dyDescent="0.25">
      <c r="A23" s="12">
        <v>28</v>
      </c>
      <c r="B23" s="28">
        <f>'Population Treasury'!T$43*'Statistics NZ'!T$368*'Economic Forecasts'!V$8/B$7</f>
        <v>28511.684087134912</v>
      </c>
      <c r="C23" s="28">
        <f>'Population Treasury'!U$43*'Statistics NZ'!U$368*'Economic Forecasts'!W$8/C$7</f>
        <v>27881.537067914418</v>
      </c>
      <c r="D23" s="28">
        <f>'Population Treasury'!V$43*'Statistics NZ'!V$368*'Economic Forecasts'!X$8/D$7</f>
        <v>27536.788225439552</v>
      </c>
      <c r="E23" s="28">
        <f>'Population Treasury'!W$43*'Statistics NZ'!W$368*'Economic Forecasts'!Y$8/E$7</f>
        <v>26973.867317426706</v>
      </c>
      <c r="F23" s="28">
        <f>'Population Treasury'!X$43*'Statistics NZ'!X$368*'Economic Forecasts'!Z$8/F$7</f>
        <v>28474.154540739641</v>
      </c>
      <c r="G23" s="28">
        <f>'Population Treasury'!Y$43*'Statistics NZ'!Y$368*'Economic Forecasts'!AA$8/G$7</f>
        <v>28380.196154978708</v>
      </c>
      <c r="H23" s="28">
        <f>'Population Treasury'!Z$43*'Statistics NZ'!Z$368*'Economic Forecasts'!AB$8/H$7</f>
        <v>27962.160048102931</v>
      </c>
      <c r="I23" s="28">
        <f>'Population Treasury'!AA$43*'Statistics NZ'!AA$368*'Economic Forecasts'!AC$8/I$7</f>
        <v>28069.924410311174</v>
      </c>
      <c r="J23" s="18">
        <f>I$23*'Population Treasury'!AB$43*'Statistics NZ'!AB$368/('Population Treasury'!AA$43*'Statistics NZ'!AA$368)</f>
        <v>28975.499174541485</v>
      </c>
      <c r="K23" s="18">
        <f>J$23*'Population Treasury'!AC$43*'Statistics NZ'!AC$368/('Population Treasury'!AB$43*'Statistics NZ'!AB$368)</f>
        <v>29185.623328381949</v>
      </c>
      <c r="L23" s="18">
        <f>K$23*'Population Treasury'!AD$43*'Statistics NZ'!AD$368/('Population Treasury'!AC$43*'Statistics NZ'!AC$368)</f>
        <v>29908.305733884637</v>
      </c>
      <c r="M23" s="18">
        <f>L$23*'Population Treasury'!AE$43*'Statistics NZ'!AE$368/('Population Treasury'!AD$43*'Statistics NZ'!AD$368)</f>
        <v>31852.65094420196</v>
      </c>
      <c r="N23" s="18">
        <f>M$23*'Population Treasury'!AF$43*'Statistics NZ'!AF$368/('Population Treasury'!AE$43*'Statistics NZ'!AE$368)</f>
        <v>32919.863411651095</v>
      </c>
      <c r="O23" s="18">
        <f>N$23*'Population Treasury'!AG$43*'Statistics NZ'!AG$368/('Population Treasury'!AF$43*'Statistics NZ'!AF$368)</f>
        <v>32535.521608936477</v>
      </c>
      <c r="P23" s="18">
        <f>O$23*'Population Treasury'!AH$43*'Statistics NZ'!AH$368/('Population Treasury'!AG$43*'Statistics NZ'!AG$368)</f>
        <v>33522.224142449297</v>
      </c>
      <c r="Q23" s="18">
        <f>P$23*'Population Treasury'!AI$43*'Statistics NZ'!AI$368/('Population Treasury'!AH$43*'Statistics NZ'!AH$368)</f>
        <v>33652.284792982151</v>
      </c>
      <c r="R23" s="18">
        <f>Q$23*'Population Treasury'!AJ$43*'Statistics NZ'!AJ$368/('Population Treasury'!AI$43*'Statistics NZ'!AI$368)</f>
        <v>33842.7054572329</v>
      </c>
      <c r="S23" s="18">
        <f>R$23*'Population Treasury'!AK$43*'Statistics NZ'!AK$368/('Population Treasury'!AJ$43*'Statistics NZ'!AJ$368)</f>
        <v>33952.656699981002</v>
      </c>
    </row>
    <row r="24" spans="1:19" x14ac:dyDescent="0.25">
      <c r="A24" s="12">
        <v>29</v>
      </c>
      <c r="B24" s="28">
        <f>'Population Treasury'!T$44*'Statistics NZ'!T$369*'Economic Forecasts'!V$8/B$7</f>
        <v>29907.084106671875</v>
      </c>
      <c r="C24" s="28">
        <f>'Population Treasury'!U$44*'Statistics NZ'!U$369*'Economic Forecasts'!W$8/C$7</f>
        <v>28577.328945321951</v>
      </c>
      <c r="D24" s="28">
        <f>'Population Treasury'!V$44*'Statistics NZ'!V$369*'Economic Forecasts'!X$8/D$7</f>
        <v>28364.382525104571</v>
      </c>
      <c r="E24" s="28">
        <f>'Population Treasury'!W$44*'Statistics NZ'!W$369*'Economic Forecasts'!Y$8/E$7</f>
        <v>28417.157036915072</v>
      </c>
      <c r="F24" s="28">
        <f>'Population Treasury'!X$44*'Statistics NZ'!X$369*'Economic Forecasts'!Z$8/F$7</f>
        <v>27798.59261301074</v>
      </c>
      <c r="G24" s="28">
        <f>'Population Treasury'!Y$44*'Statistics NZ'!Y$369*'Economic Forecasts'!AA$8/G$7</f>
        <v>29244.191811807581</v>
      </c>
      <c r="H24" s="28">
        <f>'Population Treasury'!Z$44*'Statistics NZ'!Z$369*'Economic Forecasts'!AB$8/H$7</f>
        <v>29123.274062883855</v>
      </c>
      <c r="I24" s="28">
        <f>'Population Treasury'!AA$44*'Statistics NZ'!AA$369*'Economic Forecasts'!AC$8/I$7</f>
        <v>28690.807549935478</v>
      </c>
      <c r="J24" s="18">
        <f>I$24*'Population Treasury'!AB$44*'Statistics NZ'!AB$369/('Population Treasury'!AA$44*'Statistics NZ'!AA$369)</f>
        <v>28789.94305780068</v>
      </c>
      <c r="K24" s="18">
        <f>J$24*'Population Treasury'!AC$44*'Statistics NZ'!AC$369/('Population Treasury'!AB$44*'Statistics NZ'!AB$369)</f>
        <v>29695.422032942763</v>
      </c>
      <c r="L24" s="18">
        <f>K$24*'Population Treasury'!AD$44*'Statistics NZ'!AD$369/('Population Treasury'!AC$44*'Statistics NZ'!AC$369)</f>
        <v>29883.963730456519</v>
      </c>
      <c r="M24" s="18">
        <f>L$24*'Population Treasury'!AE$44*'Statistics NZ'!AE$369/('Population Treasury'!AD$44*'Statistics NZ'!AD$369)</f>
        <v>30598.140170665934</v>
      </c>
      <c r="N24" s="18">
        <f>M$24*'Population Treasury'!AF$44*'Statistics NZ'!AF$369/('Population Treasury'!AE$44*'Statistics NZ'!AE$369)</f>
        <v>32552.466729346488</v>
      </c>
      <c r="O24" s="18">
        <f>N$24*'Population Treasury'!AG$44*'Statistics NZ'!AG$369/('Population Treasury'!AF$44*'Statistics NZ'!AF$369)</f>
        <v>33619.855410524069</v>
      </c>
      <c r="P24" s="18">
        <f>O$24*'Population Treasury'!AH$44*'Statistics NZ'!AH$369/('Population Treasury'!AG$44*'Statistics NZ'!AG$369)</f>
        <v>33235.341807372053</v>
      </c>
      <c r="Q24" s="18">
        <f>P$24*'Population Treasury'!AI$44*'Statistics NZ'!AI$369/('Population Treasury'!AH$44*'Statistics NZ'!AH$369)</f>
        <v>34222.214144207486</v>
      </c>
      <c r="R24" s="18">
        <f>Q$24*'Population Treasury'!AJ$44*'Statistics NZ'!AJ$369/('Population Treasury'!AI$44*'Statistics NZ'!AI$369)</f>
        <v>34352.269808036726</v>
      </c>
      <c r="S24" s="18">
        <f>R$24*'Population Treasury'!AK$44*'Statistics NZ'!AK$369/('Population Treasury'!AJ$44*'Statistics NZ'!AJ$369)</f>
        <v>34542.828128742323</v>
      </c>
    </row>
    <row r="25" spans="1:19" x14ac:dyDescent="0.25">
      <c r="A25" s="12">
        <v>30</v>
      </c>
      <c r="B25" s="28">
        <f>'Population Treasury'!T$45*'Statistics NZ'!T$370*'Economic Forecasts'!V$8/B$7</f>
        <v>30728.489791931239</v>
      </c>
      <c r="C25" s="28">
        <f>'Population Treasury'!U$45*'Statistics NZ'!U$370*'Economic Forecasts'!W$8/C$7</f>
        <v>30001.052109429824</v>
      </c>
      <c r="D25" s="28">
        <f>'Population Treasury'!V$45*'Statistics NZ'!V$370*'Economic Forecasts'!X$8/D$7</f>
        <v>29079.166367678197</v>
      </c>
      <c r="E25" s="28">
        <f>'Population Treasury'!W$45*'Statistics NZ'!W$370*'Economic Forecasts'!Y$8/E$7</f>
        <v>29275.053186795129</v>
      </c>
      <c r="F25" s="28">
        <f>'Population Treasury'!X$45*'Statistics NZ'!X$370*'Economic Forecasts'!Z$8/F$7</f>
        <v>29278.164523613457</v>
      </c>
      <c r="G25" s="28">
        <f>'Population Treasury'!Y$45*'Statistics NZ'!Y$370*'Economic Forecasts'!AA$8/G$7</f>
        <v>28578.066626801949</v>
      </c>
      <c r="H25" s="28">
        <f>'Population Treasury'!Z$45*'Statistics NZ'!Z$370*'Economic Forecasts'!AB$8/H$7</f>
        <v>30010.17137240637</v>
      </c>
      <c r="I25" s="28">
        <f>'Population Treasury'!AA$45*'Statistics NZ'!AA$370*'Economic Forecasts'!AC$8/I$7</f>
        <v>29874.614745427647</v>
      </c>
      <c r="J25" s="18">
        <f>I$25*'Population Treasury'!AB$45*'Statistics NZ'!AB$370/('Population Treasury'!AA$45*'Statistics NZ'!AA$370)</f>
        <v>29419.767310407467</v>
      </c>
      <c r="K25" s="18">
        <f>J$25*'Population Treasury'!AC$45*'Statistics NZ'!AC$370/('Population Treasury'!AB$45*'Statistics NZ'!AB$370)</f>
        <v>29499.532854930298</v>
      </c>
      <c r="L25" s="18">
        <f>K$25*'Population Treasury'!AD$45*'Statistics NZ'!AD$370/('Population Treasury'!AC$45*'Statistics NZ'!AC$370)</f>
        <v>30393.595911772951</v>
      </c>
      <c r="M25" s="18">
        <f>L$25*'Population Treasury'!AE$45*'Statistics NZ'!AE$370/('Population Treasury'!AD$45*'Statistics NZ'!AD$370)</f>
        <v>30573.584300822607</v>
      </c>
      <c r="N25" s="18">
        <f>M$25*'Population Treasury'!AF$45*'Statistics NZ'!AF$370/('Population Treasury'!AE$45*'Statistics NZ'!AE$370)</f>
        <v>31287.766664619856</v>
      </c>
      <c r="O25" s="18">
        <f>N$25*'Population Treasury'!AG$45*'Statistics NZ'!AG$370/('Population Treasury'!AF$45*'Statistics NZ'!AF$370)</f>
        <v>33242.173410503965</v>
      </c>
      <c r="P25" s="18">
        <f>O$25*'Population Treasury'!AH$45*'Statistics NZ'!AH$370/('Population Treasury'!AG$45*'Statistics NZ'!AG$370)</f>
        <v>34309.58680926614</v>
      </c>
      <c r="Q25" s="18">
        <f>P$25*'Population Treasury'!AI$45*'Statistics NZ'!AI$370/('Population Treasury'!AH$45*'Statistics NZ'!AH$370)</f>
        <v>33925.163255226682</v>
      </c>
      <c r="R25" s="18">
        <f>Q$25*'Population Treasury'!AJ$45*'Statistics NZ'!AJ$370/('Population Treasury'!AI$45*'Statistics NZ'!AI$370)</f>
        <v>34912.052688201933</v>
      </c>
      <c r="S25" s="18">
        <f>R$25*'Population Treasury'!AK$45*'Statistics NZ'!AK$370/('Population Treasury'!AJ$45*'Statistics NZ'!AJ$370)</f>
        <v>35042.086917950801</v>
      </c>
    </row>
    <row r="26" spans="1:19" x14ac:dyDescent="0.25">
      <c r="A26" s="12">
        <v>31</v>
      </c>
      <c r="B26" s="28">
        <f>'Population Treasury'!T$46*'Statistics NZ'!T$371*'Economic Forecasts'!V$8/B$7</f>
        <v>32381.197616489211</v>
      </c>
      <c r="C26" s="28">
        <f>'Population Treasury'!U$46*'Statistics NZ'!U$371*'Economic Forecasts'!W$8/C$7</f>
        <v>30852.745968930241</v>
      </c>
      <c r="D26" s="28">
        <f>'Population Treasury'!V$46*'Statistics NZ'!V$371*'Economic Forecasts'!X$8/D$7</f>
        <v>30548.636984985646</v>
      </c>
      <c r="E26" s="28">
        <f>'Population Treasury'!W$46*'Statistics NZ'!W$371*'Economic Forecasts'!Y$8/E$7</f>
        <v>30045.423973927307</v>
      </c>
      <c r="F26" s="28">
        <f>'Population Treasury'!X$46*'Statistics NZ'!X$371*'Economic Forecasts'!Z$8/F$7</f>
        <v>30179.010359197575</v>
      </c>
      <c r="G26" s="28">
        <f>'Population Treasury'!Y$46*'Statistics NZ'!Y$371*'Economic Forecasts'!AA$8/G$7</f>
        <v>30109.901792271361</v>
      </c>
      <c r="H26" s="28">
        <f>'Population Treasury'!Z$46*'Statistics NZ'!Z$371*'Economic Forecasts'!AB$8/H$7</f>
        <v>29380.556480300216</v>
      </c>
      <c r="I26" s="28">
        <f>'Population Treasury'!AA$46*'Statistics NZ'!AA$371*'Economic Forecasts'!AC$8/I$7</f>
        <v>30801.136397505637</v>
      </c>
      <c r="J26" s="18">
        <f>I$26*'Population Treasury'!AB$46*'Statistics NZ'!AB$371/('Population Treasury'!AA$46*'Statistics NZ'!AA$371)</f>
        <v>30638.8520391405</v>
      </c>
      <c r="K26" s="18">
        <f>J$26*'Population Treasury'!AC$46*'Statistics NZ'!AC$371/('Population Treasury'!AB$46*'Statistics NZ'!AB$371)</f>
        <v>30173.831290239388</v>
      </c>
      <c r="L26" s="18">
        <f>K$26*'Population Treasury'!AD$46*'Statistics NZ'!AD$371/('Population Treasury'!AC$46*'Statistics NZ'!AC$371)</f>
        <v>30241.412672990038</v>
      </c>
      <c r="M26" s="18">
        <f>L$26*'Population Treasury'!AE$46*'Statistics NZ'!AE$371/('Population Treasury'!AD$46*'Statistics NZ'!AD$371)</f>
        <v>31126.774010389334</v>
      </c>
      <c r="N26" s="18">
        <f>M$26*'Population Treasury'!AF$46*'Statistics NZ'!AF$371/('Population Treasury'!AE$46*'Statistics NZ'!AE$371)</f>
        <v>31306.752423817972</v>
      </c>
      <c r="O26" s="18">
        <f>N$26*'Population Treasury'!AG$46*'Statistics NZ'!AG$371/('Population Treasury'!AF$46*'Statistics NZ'!AF$371)</f>
        <v>32021.140858809489</v>
      </c>
      <c r="P26" s="18">
        <f>O$26*'Population Treasury'!AH$46*'Statistics NZ'!AH$371/('Population Treasury'!AG$46*'Statistics NZ'!AG$371)</f>
        <v>33985.755802335785</v>
      </c>
      <c r="Q26" s="18">
        <f>P$26*'Population Treasury'!AI$46*'Statistics NZ'!AI$371/('Population Treasury'!AH$46*'Statistics NZ'!AH$371)</f>
        <v>35063.14161297823</v>
      </c>
      <c r="R26" s="18">
        <f>Q$26*'Population Treasury'!AJ$46*'Statistics NZ'!AJ$371/('Population Treasury'!AI$46*'Statistics NZ'!AI$371)</f>
        <v>34668.751962248592</v>
      </c>
      <c r="S26" s="18">
        <f>R$26*'Population Treasury'!AK$46*'Statistics NZ'!AK$371/('Population Treasury'!AJ$46*'Statistics NZ'!AJ$371)</f>
        <v>35655.698011006512</v>
      </c>
    </row>
    <row r="27" spans="1:19" x14ac:dyDescent="0.25">
      <c r="A27" s="12">
        <v>32</v>
      </c>
      <c r="B27" s="28">
        <f>'Population Treasury'!T$47*'Statistics NZ'!T$372*'Economic Forecasts'!V$8/B$7</f>
        <v>33370.843020416156</v>
      </c>
      <c r="C27" s="28">
        <f>'Population Treasury'!U$47*'Statistics NZ'!U$372*'Economic Forecasts'!W$8/C$7</f>
        <v>32527.30208310331</v>
      </c>
      <c r="D27" s="28">
        <f>'Population Treasury'!V$47*'Statistics NZ'!V$372*'Economic Forecasts'!X$8/D$7</f>
        <v>31423.973020094669</v>
      </c>
      <c r="E27" s="28">
        <f>'Population Treasury'!W$47*'Statistics NZ'!W$372*'Economic Forecasts'!Y$8/E$7</f>
        <v>31547.181970514495</v>
      </c>
      <c r="F27" s="28">
        <f>'Population Treasury'!X$47*'Statistics NZ'!X$372*'Economic Forecasts'!Z$8/F$7</f>
        <v>30972.210058864646</v>
      </c>
      <c r="G27" s="28">
        <f>'Population Treasury'!Y$47*'Statistics NZ'!Y$372*'Economic Forecasts'!AA$8/G$7</f>
        <v>31042.864476137824</v>
      </c>
      <c r="H27" s="28">
        <f>'Population Treasury'!Z$47*'Statistics NZ'!Z$372*'Economic Forecasts'!AB$8/H$7</f>
        <v>30935.435942991349</v>
      </c>
      <c r="I27" s="28">
        <f>'Population Treasury'!AA$47*'Statistics NZ'!AA$372*'Economic Forecasts'!AC$8/I$7</f>
        <v>30180.410494039192</v>
      </c>
      <c r="J27" s="18">
        <f>I$27*'Population Treasury'!AB$47*'Statistics NZ'!AB$372/('Population Treasury'!AA$47*'Statistics NZ'!AA$372)</f>
        <v>31631.496990158339</v>
      </c>
      <c r="K27" s="18">
        <f>J$27*'Population Treasury'!AC$47*'Statistics NZ'!AC$372/('Population Treasury'!AB$47*'Statistics NZ'!AB$372)</f>
        <v>31459.006604654172</v>
      </c>
      <c r="L27" s="18">
        <f>K$27*'Population Treasury'!AD$47*'Statistics NZ'!AD$372/('Population Treasury'!AC$47*'Statistics NZ'!AC$372)</f>
        <v>30971.935516856378</v>
      </c>
      <c r="M27" s="18">
        <f>L$27*'Population Treasury'!AE$47*'Statistics NZ'!AE$372/('Population Treasury'!AD$47*'Statistics NZ'!AD$372)</f>
        <v>31030.798478467615</v>
      </c>
      <c r="N27" s="18">
        <f>M$27*'Population Treasury'!AF$47*'Statistics NZ'!AF$372/('Population Treasury'!AE$47*'Statistics NZ'!AE$372)</f>
        <v>31916.498997968112</v>
      </c>
      <c r="O27" s="18">
        <f>N$27*'Population Treasury'!AG$47*'Statistics NZ'!AG$372/('Population Treasury'!AF$47*'Statistics NZ'!AF$372)</f>
        <v>32106.453899761917</v>
      </c>
      <c r="P27" s="18">
        <f>O$27*'Population Treasury'!AH$47*'Statistics NZ'!AH$372/('Population Treasury'!AG$47*'Statistics NZ'!AG$372)</f>
        <v>32820.979490696271</v>
      </c>
      <c r="Q27" s="18">
        <f>P$27*'Population Treasury'!AI$47*'Statistics NZ'!AI$372/('Population Treasury'!AH$47*'Statistics NZ'!AH$372)</f>
        <v>34795.763022166626</v>
      </c>
      <c r="R27" s="18">
        <f>Q$27*'Population Treasury'!AJ$47*'Statistics NZ'!AJ$372/('Population Treasury'!AI$47*'Statistics NZ'!AI$372)</f>
        <v>35873.309268573736</v>
      </c>
      <c r="S27" s="18">
        <f>R$27*'Population Treasury'!AK$47*'Statistics NZ'!AK$372/('Population Treasury'!AJ$47*'Statistics NZ'!AJ$372)</f>
        <v>35469.160407434523</v>
      </c>
    </row>
    <row r="28" spans="1:19" x14ac:dyDescent="0.25">
      <c r="A28" s="12">
        <v>33</v>
      </c>
      <c r="B28" s="28">
        <f>'Population Treasury'!T$48*'Statistics NZ'!T$373*'Economic Forecasts'!V$8/B$7</f>
        <v>34439.660056657223</v>
      </c>
      <c r="C28" s="28">
        <f>'Population Treasury'!U$48*'Statistics NZ'!U$373*'Economic Forecasts'!W$8/C$7</f>
        <v>33583.977535584774</v>
      </c>
      <c r="D28" s="28">
        <f>'Population Treasury'!V$48*'Statistics NZ'!V$373*'Economic Forecasts'!X$8/D$7</f>
        <v>33165.435879987177</v>
      </c>
      <c r="E28" s="28">
        <f>'Population Treasury'!W$48*'Statistics NZ'!W$373*'Economic Forecasts'!Y$8/E$7</f>
        <v>32483.31004624673</v>
      </c>
      <c r="F28" s="28">
        <f>'Population Treasury'!X$48*'Statistics NZ'!X$373*'Economic Forecasts'!Z$8/F$7</f>
        <v>32548.740418630852</v>
      </c>
      <c r="G28" s="28">
        <f>'Population Treasury'!Y$48*'Statistics NZ'!Y$373*'Economic Forecasts'!AA$8/G$7</f>
        <v>31897.364461446214</v>
      </c>
      <c r="H28" s="28">
        <f>'Population Treasury'!Z$48*'Statistics NZ'!Z$373*'Economic Forecasts'!AB$8/H$7</f>
        <v>31929.544025509742</v>
      </c>
      <c r="I28" s="28">
        <f>'Population Treasury'!AA$48*'Statistics NZ'!AA$373*'Economic Forecasts'!AC$8/I$7</f>
        <v>31796.902243987392</v>
      </c>
      <c r="J28" s="18">
        <f>I$28*'Population Treasury'!AB$48*'Statistics NZ'!AB$373/('Population Treasury'!AA$48*'Statistics NZ'!AA$373)</f>
        <v>30999.615824504217</v>
      </c>
      <c r="K28" s="18">
        <f>J$28*'Population Treasury'!AC$48*'Statistics NZ'!AC$373/('Population Treasury'!AB$48*'Statistics NZ'!AB$373)</f>
        <v>32450.299957291722</v>
      </c>
      <c r="L28" s="18">
        <f>K$28*'Population Treasury'!AD$48*'Statistics NZ'!AD$373/('Population Treasury'!AC$48*'Statistics NZ'!AC$373)</f>
        <v>32255.755144198494</v>
      </c>
      <c r="M28" s="18">
        <f>L$28*'Population Treasury'!AE$48*'Statistics NZ'!AE$373/('Population Treasury'!AD$48*'Statistics NZ'!AD$373)</f>
        <v>31749.978647235865</v>
      </c>
      <c r="N28" s="18">
        <f>M$28*'Population Treasury'!AF$48*'Statistics NZ'!AF$373/('Population Treasury'!AE$48*'Statistics NZ'!AE$373)</f>
        <v>31808.77576383694</v>
      </c>
      <c r="O28" s="18">
        <f>N$28*'Population Treasury'!AG$48*'Statistics NZ'!AG$373/('Population Treasury'!AF$48*'Statistics NZ'!AF$373)</f>
        <v>32694.535373404604</v>
      </c>
      <c r="P28" s="18">
        <f>O$28*'Population Treasury'!AH$48*'Statistics NZ'!AH$373/('Population Treasury'!AG$48*'Statistics NZ'!AG$373)</f>
        <v>32874.719811892232</v>
      </c>
      <c r="Q28" s="18">
        <f>P$28*'Population Treasury'!AI$48*'Statistics NZ'!AI$373/('Population Treasury'!AH$48*'Statistics NZ'!AH$373)</f>
        <v>33589.276303780294</v>
      </c>
      <c r="R28" s="18">
        <f>Q$28*'Population Treasury'!AJ$48*'Statistics NZ'!AJ$373/('Population Treasury'!AI$48*'Statistics NZ'!AI$373)</f>
        <v>35574.133009066056</v>
      </c>
      <c r="S28" s="18">
        <f>R$28*'Population Treasury'!AK$48*'Statistics NZ'!AK$373/('Population Treasury'!AJ$48*'Statistics NZ'!AJ$373)</f>
        <v>36651.741536906549</v>
      </c>
    </row>
    <row r="29" spans="1:19" x14ac:dyDescent="0.25">
      <c r="A29" s="12">
        <v>34</v>
      </c>
      <c r="B29" s="28">
        <f>'Population Treasury'!T$49*'Statistics NZ'!T$374*'Economic Forecasts'!V$8/B$7</f>
        <v>34518.83168897139</v>
      </c>
      <c r="C29" s="28">
        <f>'Population Treasury'!U$49*'Statistics NZ'!U$374*'Economic Forecasts'!W$8/C$7</f>
        <v>34640.550690046519</v>
      </c>
      <c r="D29" s="28">
        <f>'Population Treasury'!V$49*'Statistics NZ'!V$374*'Economic Forecasts'!X$8/D$7</f>
        <v>34225.214790467675</v>
      </c>
      <c r="E29" s="28">
        <f>'Population Treasury'!W$49*'Statistics NZ'!W$374*'Economic Forecasts'!Y$8/E$7</f>
        <v>34248.344094535219</v>
      </c>
      <c r="F29" s="28">
        <f>'Population Treasury'!X$49*'Statistics NZ'!X$374*'Economic Forecasts'!Z$8/F$7</f>
        <v>33498.690562094227</v>
      </c>
      <c r="G29" s="28">
        <f>'Population Treasury'!Y$49*'Statistics NZ'!Y$374*'Economic Forecasts'!AA$8/G$7</f>
        <v>33488.292843717769</v>
      </c>
      <c r="H29" s="28">
        <f>'Population Treasury'!Z$49*'Statistics NZ'!Z$374*'Economic Forecasts'!AB$8/H$7</f>
        <v>32785.898768417363</v>
      </c>
      <c r="I29" s="28">
        <f>'Population Treasury'!AA$49*'Statistics NZ'!AA$374*'Economic Forecasts'!AC$8/I$7</f>
        <v>32802.40754573248</v>
      </c>
      <c r="J29" s="18">
        <f>I$29*'Population Treasury'!AB$49*'Statistics NZ'!AB$374/('Population Treasury'!AA$49*'Statistics NZ'!AA$374)</f>
        <v>32650.546234741014</v>
      </c>
      <c r="K29" s="18">
        <f>J$29*'Population Treasury'!AC$49*'Statistics NZ'!AC$374/('Population Treasury'!AB$49*'Statistics NZ'!AB$374)</f>
        <v>31823.001143827074</v>
      </c>
      <c r="L29" s="18">
        <f>K$29*'Population Treasury'!AD$49*'Statistics NZ'!AD$374/('Population Treasury'!AC$49*'Statistics NZ'!AC$374)</f>
        <v>33261.789224190645</v>
      </c>
      <c r="M29" s="18">
        <f>L$29*'Population Treasury'!AE$49*'Statistics NZ'!AE$374/('Population Treasury'!AD$49*'Statistics NZ'!AD$374)</f>
        <v>33058.303054566735</v>
      </c>
      <c r="N29" s="18">
        <f>M$29*'Population Treasury'!AF$49*'Statistics NZ'!AF$374/('Population Treasury'!AE$49*'Statistics NZ'!AE$374)</f>
        <v>32542.525366374382</v>
      </c>
      <c r="O29" s="18">
        <f>N$29*'Population Treasury'!AG$49*'Statistics NZ'!AG$374/('Population Treasury'!AF$49*'Statistics NZ'!AF$374)</f>
        <v>32601.471274428761</v>
      </c>
      <c r="P29" s="18">
        <f>O$29*'Population Treasury'!AH$49*'Statistics NZ'!AH$374/('Population Treasury'!AG$49*'Statistics NZ'!AG$374)</f>
        <v>33487.335296620615</v>
      </c>
      <c r="Q29" s="18">
        <f>P$29*'Population Treasury'!AI$49*'Statistics NZ'!AI$374/('Population Treasury'!AH$49*'Statistics NZ'!AH$374)</f>
        <v>33667.519951021459</v>
      </c>
      <c r="R29" s="18">
        <f>Q$29*'Population Treasury'!AJ$49*'Statistics NZ'!AJ$374/('Population Treasury'!AI$49*'Statistics NZ'!AI$374)</f>
        <v>34392.043393092368</v>
      </c>
      <c r="S29" s="18">
        <f>R$29*'Population Treasury'!AK$49*'Statistics NZ'!AK$374/('Population Treasury'!AJ$49*'Statistics NZ'!AJ$374)</f>
        <v>36387.044657513368</v>
      </c>
    </row>
    <row r="30" spans="1:19" x14ac:dyDescent="0.25">
      <c r="A30" s="12">
        <v>35</v>
      </c>
      <c r="B30" s="28">
        <f>'Population Treasury'!T$50*'Statistics NZ'!T$375*'Economic Forecasts'!V$8/B$7</f>
        <v>33737.011819869105</v>
      </c>
      <c r="C30" s="28">
        <f>'Population Treasury'!U$50*'Statistics NZ'!U$375*'Economic Forecasts'!W$8/C$7</f>
        <v>34721.109756124417</v>
      </c>
      <c r="D30" s="28">
        <f>'Population Treasury'!V$50*'Statistics NZ'!V$375*'Economic Forecasts'!X$8/D$7</f>
        <v>35284.066193411301</v>
      </c>
      <c r="E30" s="28">
        <f>'Population Treasury'!W$50*'Statistics NZ'!W$375*'Economic Forecasts'!Y$8/E$7</f>
        <v>35246.720111911622</v>
      </c>
      <c r="F30" s="28">
        <f>'Population Treasury'!X$50*'Statistics NZ'!X$375*'Economic Forecasts'!Z$8/F$7</f>
        <v>35195.959989471601</v>
      </c>
      <c r="G30" s="28">
        <f>'Population Treasury'!Y$50*'Statistics NZ'!Y$375*'Economic Forecasts'!AA$8/G$7</f>
        <v>34361.211817100171</v>
      </c>
      <c r="H30" s="28">
        <f>'Population Treasury'!Z$50*'Statistics NZ'!Z$375*'Economic Forecasts'!AB$8/H$7</f>
        <v>34313.230387093245</v>
      </c>
      <c r="I30" s="28">
        <f>'Population Treasury'!AA$50*'Statistics NZ'!AA$375*'Economic Forecasts'!AC$8/I$7</f>
        <v>33594.790099161582</v>
      </c>
      <c r="J30" s="18">
        <f>I$30*'Population Treasury'!AB$50*'Statistics NZ'!AB$375/('Population Treasury'!AA$50*'Statistics NZ'!AA$375)</f>
        <v>33572.311606867028</v>
      </c>
      <c r="K30" s="18">
        <f>J$30*'Population Treasury'!AC$50*'Statistics NZ'!AC$375/('Population Treasury'!AB$50*'Statistics NZ'!AB$375)</f>
        <v>33392.142987960251</v>
      </c>
      <c r="L30" s="18">
        <f>K$30*'Population Treasury'!AD$50*'Statistics NZ'!AD$375/('Population Treasury'!AC$50*'Statistics NZ'!AC$375)</f>
        <v>32548.861212053136</v>
      </c>
      <c r="M30" s="18">
        <f>L$30*'Population Treasury'!AE$50*'Statistics NZ'!AE$375/('Population Treasury'!AD$50*'Statistics NZ'!AD$375)</f>
        <v>33988.691331100272</v>
      </c>
      <c r="N30" s="18">
        <f>M$30*'Population Treasury'!AF$50*'Statistics NZ'!AF$375/('Population Treasury'!AE$50*'Statistics NZ'!AE$375)</f>
        <v>33775.164631340602</v>
      </c>
      <c r="O30" s="18">
        <f>N$30*'Population Treasury'!AG$50*'Statistics NZ'!AG$375/('Population Treasury'!AF$50*'Statistics NZ'!AF$375)</f>
        <v>33259.378906117956</v>
      </c>
      <c r="P30" s="18">
        <f>O$30*'Population Treasury'!AH$50*'Statistics NZ'!AH$375/('Population Treasury'!AG$50*'Statistics NZ'!AG$375)</f>
        <v>33308.351823509292</v>
      </c>
      <c r="Q30" s="18">
        <f>P$30*'Population Treasury'!AI$50*'Statistics NZ'!AI$375/('Population Treasury'!AH$50*'Statistics NZ'!AH$375)</f>
        <v>34204.111755286627</v>
      </c>
      <c r="R30" s="18">
        <f>Q$30*'Population Treasury'!AJ$50*'Statistics NZ'!AJ$375/('Population Treasury'!AI$50*'Statistics NZ'!AI$375)</f>
        <v>34384.226903380943</v>
      </c>
      <c r="S30" s="18">
        <f>R$30*'Population Treasury'!AK$50*'Statistics NZ'!AK$375/('Population Treasury'!AJ$50*'Statistics NZ'!AJ$375)</f>
        <v>35108.925269918313</v>
      </c>
    </row>
    <row r="31" spans="1:19" x14ac:dyDescent="0.25">
      <c r="A31" s="12">
        <v>36</v>
      </c>
      <c r="B31" s="28">
        <f>'Population Treasury'!T$51*'Statistics NZ'!T$376*'Economic Forecasts'!V$8/B$7</f>
        <v>33499.496922926643</v>
      </c>
      <c r="C31" s="28">
        <f>'Population Treasury'!U$51*'Statistics NZ'!U$376*'Economic Forecasts'!W$8/C$7</f>
        <v>33897.499074953201</v>
      </c>
      <c r="D31" s="28">
        <f>'Population Treasury'!V$51*'Statistics NZ'!V$376*'Economic Forecasts'!X$8/D$7</f>
        <v>35225.164259324367</v>
      </c>
      <c r="E31" s="28">
        <f>'Population Treasury'!W$51*'Statistics NZ'!W$376*'Economic Forecasts'!Y$8/E$7</f>
        <v>36192.631478050789</v>
      </c>
      <c r="F31" s="28">
        <f>'Population Treasury'!X$51*'Statistics NZ'!X$376*'Economic Forecasts'!Z$8/F$7</f>
        <v>36155.549156326233</v>
      </c>
      <c r="G31" s="28">
        <f>'Population Treasury'!Y$51*'Statistics NZ'!Y$376*'Economic Forecasts'!AA$8/G$7</f>
        <v>36040.288370534669</v>
      </c>
      <c r="H31" s="28">
        <f>'Population Treasury'!Z$51*'Statistics NZ'!Z$376*'Economic Forecasts'!AB$8/H$7</f>
        <v>35169.422840964515</v>
      </c>
      <c r="I31" s="28">
        <f>'Population Treasury'!AA$51*'Statistics NZ'!AA$376*'Economic Forecasts'!AC$8/I$7</f>
        <v>35092.895354549648</v>
      </c>
      <c r="J31" s="18">
        <f>I$31*'Population Treasury'!AB$51*'Statistics NZ'!AB$376/('Population Treasury'!AA$51*'Statistics NZ'!AA$376)</f>
        <v>34314.228036394561</v>
      </c>
      <c r="K31" s="18">
        <f>J$31*'Population Treasury'!AC$51*'Statistics NZ'!AC$376/('Population Treasury'!AB$51*'Statistics NZ'!AB$376)</f>
        <v>34275.347448765438</v>
      </c>
      <c r="L31" s="18">
        <f>K$31*'Population Treasury'!AD$51*'Statistics NZ'!AD$376/('Population Treasury'!AC$51*'Statistics NZ'!AC$376)</f>
        <v>34087.204033371519</v>
      </c>
      <c r="M31" s="18">
        <f>L$31*'Population Treasury'!AE$51*'Statistics NZ'!AE$376/('Population Treasury'!AD$51*'Statistics NZ'!AD$376)</f>
        <v>33228.193158443755</v>
      </c>
      <c r="N31" s="18">
        <f>M$31*'Population Treasury'!AF$51*'Statistics NZ'!AF$376/('Population Treasury'!AE$51*'Statistics NZ'!AE$376)</f>
        <v>34668.329885485633</v>
      </c>
      <c r="O31" s="18">
        <f>N$31*'Population Treasury'!AG$51*'Statistics NZ'!AG$376/('Population Treasury'!AF$51*'Statistics NZ'!AF$376)</f>
        <v>34454.714423964208</v>
      </c>
      <c r="P31" s="18">
        <f>O$31*'Population Treasury'!AH$51*'Statistics NZ'!AH$376/('Population Treasury'!AG$51*'Statistics NZ'!AG$376)</f>
        <v>33928.947102780068</v>
      </c>
      <c r="Q31" s="18">
        <f>P$31*'Population Treasury'!AI$51*'Statistics NZ'!AI$376/('Population Treasury'!AH$51*'Statistics NZ'!AH$376)</f>
        <v>33977.876188081704</v>
      </c>
      <c r="R31" s="18">
        <f>Q$31*'Population Treasury'!AJ$51*'Statistics NZ'!AJ$376/('Population Treasury'!AI$51*'Statistics NZ'!AI$376)</f>
        <v>34873.872939056069</v>
      </c>
      <c r="S31" s="18">
        <f>R$31*'Population Treasury'!AK$51*'Statistics NZ'!AK$376/('Population Treasury'!AJ$51*'Statistics NZ'!AJ$376)</f>
        <v>35053.960282839282</v>
      </c>
    </row>
    <row r="32" spans="1:19" x14ac:dyDescent="0.25">
      <c r="A32" s="12">
        <v>37</v>
      </c>
      <c r="B32" s="28">
        <f>'Population Treasury'!T$52*'Statistics NZ'!T$377*'Economic Forecasts'!V$8/B$7</f>
        <v>32143.682719546745</v>
      </c>
      <c r="C32" s="28">
        <f>'Population Treasury'!U$52*'Statistics NZ'!U$377*'Economic Forecasts'!W$8/C$7</f>
        <v>33622.550804148865</v>
      </c>
      <c r="D32" s="28">
        <f>'Population Treasury'!V$52*'Statistics NZ'!V$377*'Economic Forecasts'!X$8/D$7</f>
        <v>34358.290023713853</v>
      </c>
      <c r="E32" s="28">
        <f>'Population Treasury'!W$52*'Statistics NZ'!W$377*'Economic Forecasts'!Y$8/E$7</f>
        <v>36085.339415108167</v>
      </c>
      <c r="F32" s="28">
        <f>'Population Treasury'!X$52*'Statistics NZ'!X$377*'Economic Forecasts'!Z$8/F$7</f>
        <v>37056.364163585145</v>
      </c>
      <c r="G32" s="28">
        <f>'Population Treasury'!Y$52*'Statistics NZ'!Y$377*'Economic Forecasts'!AA$8/G$7</f>
        <v>36953.512407686889</v>
      </c>
      <c r="H32" s="28">
        <f>'Population Treasury'!Z$52*'Statistics NZ'!Z$377*'Economic Forecasts'!AB$8/H$7</f>
        <v>36793.095224367047</v>
      </c>
      <c r="I32" s="28">
        <f>'Population Treasury'!AA$52*'Statistics NZ'!AA$377*'Economic Forecasts'!AC$8/I$7</f>
        <v>35881.390360198551</v>
      </c>
      <c r="J32" s="18">
        <f>I$32*'Population Treasury'!AB$52*'Statistics NZ'!AB$377/('Population Treasury'!AA$52*'Statistics NZ'!AA$377)</f>
        <v>35768.33382678499</v>
      </c>
      <c r="K32" s="18">
        <f>J$32*'Population Treasury'!AC$52*'Statistics NZ'!AC$377/('Population Treasury'!AB$52*'Statistics NZ'!AB$377)</f>
        <v>34963.135112855438</v>
      </c>
      <c r="L32" s="18">
        <f>K$32*'Population Treasury'!AD$52*'Statistics NZ'!AD$377/('Population Treasury'!AC$52*'Statistics NZ'!AC$377)</f>
        <v>34916.315192523944</v>
      </c>
      <c r="M32" s="18">
        <f>L$32*'Population Treasury'!AE$52*'Statistics NZ'!AE$377/('Population Treasury'!AD$52*'Statistics NZ'!AD$377)</f>
        <v>34712.751525849322</v>
      </c>
      <c r="N32" s="18">
        <f>M$32*'Population Treasury'!AF$52*'Statistics NZ'!AF$377/('Population Treasury'!AE$52*'Statistics NZ'!AE$377)</f>
        <v>33843.967346295176</v>
      </c>
      <c r="O32" s="18">
        <f>N$32*'Population Treasury'!AG$52*'Statistics NZ'!AG$377/('Population Treasury'!AF$52*'Statistics NZ'!AF$377)</f>
        <v>35293.889024587304</v>
      </c>
      <c r="P32" s="18">
        <f>O$32*'Population Treasury'!AH$52*'Statistics NZ'!AH$377/('Population Treasury'!AG$52*'Statistics NZ'!AG$377)</f>
        <v>35070.556420104724</v>
      </c>
      <c r="Q32" s="18">
        <f>P$32*'Population Treasury'!AI$52*'Statistics NZ'!AI$377/('Population Treasury'!AH$52*'Statistics NZ'!AH$377)</f>
        <v>34534.866137760539</v>
      </c>
      <c r="R32" s="18">
        <f>Q$32*'Population Treasury'!AJ$52*'Statistics NZ'!AJ$377/('Population Treasury'!AI$52*'Statistics NZ'!AI$377)</f>
        <v>34583.978303071097</v>
      </c>
      <c r="S32" s="18">
        <f>R$32*'Population Treasury'!AK$52*'Statistics NZ'!AK$377/('Population Treasury'!AJ$52*'Statistics NZ'!AJ$377)</f>
        <v>35479.834235664421</v>
      </c>
    </row>
    <row r="33" spans="1:19" x14ac:dyDescent="0.25">
      <c r="A33" s="12">
        <v>38</v>
      </c>
      <c r="B33" s="28">
        <f>'Population Treasury'!T$53*'Statistics NZ'!T$378*'Economic Forecasts'!V$8/B$7</f>
        <v>31213.416039855427</v>
      </c>
      <c r="C33" s="28">
        <f>'Population Treasury'!U$53*'Statistics NZ'!U$378*'Economic Forecasts'!W$8/C$7</f>
        <v>32182.00574757607</v>
      </c>
      <c r="D33" s="28">
        <f>'Population Treasury'!V$53*'Statistics NZ'!V$378*'Economic Forecasts'!X$8/D$7</f>
        <v>33988.052463777451</v>
      </c>
      <c r="E33" s="28">
        <f>'Population Treasury'!W$53*'Statistics NZ'!W$378*'Economic Forecasts'!Y$8/E$7</f>
        <v>35119.886011996707</v>
      </c>
      <c r="F33" s="28">
        <f>'Population Treasury'!X$53*'Statistics NZ'!X$378*'Economic Forecasts'!Z$8/F$7</f>
        <v>36860.615039751945</v>
      </c>
      <c r="G33" s="28">
        <f>'Population Treasury'!Y$53*'Statistics NZ'!Y$378*'Economic Forecasts'!AA$8/G$7</f>
        <v>37778.329844802225</v>
      </c>
      <c r="H33" s="28">
        <f>'Population Treasury'!Z$53*'Statistics NZ'!Z$378*'Economic Forecasts'!AB$8/H$7</f>
        <v>37639.407957436197</v>
      </c>
      <c r="I33" s="28">
        <f>'Population Treasury'!AA$53*'Statistics NZ'!AA$378*'Economic Forecasts'!AC$8/I$7</f>
        <v>37458.296079296568</v>
      </c>
      <c r="J33" s="18">
        <f>I$33*'Population Treasury'!AB$53*'Statistics NZ'!AB$378/('Population Treasury'!AA$53*'Statistics NZ'!AA$378)</f>
        <v>36478.170792005316</v>
      </c>
      <c r="K33" s="18">
        <f>J$33*'Population Treasury'!AC$53*'Statistics NZ'!AC$378/('Population Treasury'!AB$53*'Statistics NZ'!AB$378)</f>
        <v>36358.310433212486</v>
      </c>
      <c r="L33" s="18">
        <f>K$33*'Population Treasury'!AD$53*'Statistics NZ'!AD$378/('Population Treasury'!AC$53*'Statistics NZ'!AC$378)</f>
        <v>35535.152863317206</v>
      </c>
      <c r="M33" s="18">
        <f>L$33*'Population Treasury'!AE$53*'Statistics NZ'!AE$378/('Population Treasury'!AD$53*'Statistics NZ'!AD$378)</f>
        <v>35472.67904323418</v>
      </c>
      <c r="N33" s="18">
        <f>M$33*'Population Treasury'!AF$53*'Statistics NZ'!AF$378/('Population Treasury'!AE$53*'Statistics NZ'!AE$378)</f>
        <v>35269.220257293498</v>
      </c>
      <c r="O33" s="18">
        <f>N$33*'Population Treasury'!AG$53*'Statistics NZ'!AG$378/('Population Treasury'!AF$53*'Statistics NZ'!AF$378)</f>
        <v>34390.232607151804</v>
      </c>
      <c r="P33" s="18">
        <f>O$33*'Population Treasury'!AH$53*'Statistics NZ'!AH$378/('Population Treasury'!AG$53*'Statistics NZ'!AG$378)</f>
        <v>35840.417903698806</v>
      </c>
      <c r="Q33" s="18">
        <f>P$33*'Population Treasury'!AI$53*'Statistics NZ'!AI$378/('Population Treasury'!AH$53*'Statistics NZ'!AH$378)</f>
        <v>35617.00989980351</v>
      </c>
      <c r="R33" s="18">
        <f>Q$33*'Population Treasury'!AJ$53*'Statistics NZ'!AJ$378/('Population Treasury'!AI$53*'Statistics NZ'!AI$378)</f>
        <v>35081.425585636614</v>
      </c>
      <c r="S33" s="18">
        <f>R$33*'Population Treasury'!AK$53*'Statistics NZ'!AK$378/('Population Treasury'!AJ$53*'Statistics NZ'!AJ$378)</f>
        <v>35120.640744243166</v>
      </c>
    </row>
    <row r="34" spans="1:19" x14ac:dyDescent="0.25">
      <c r="A34" s="12">
        <v>39</v>
      </c>
      <c r="B34" s="28">
        <f>'Population Treasury'!T$54*'Statistics NZ'!T$379*'Economic Forecasts'!V$8/B$7</f>
        <v>31045.176321187853</v>
      </c>
      <c r="C34" s="28">
        <f>'Population Treasury'!U$54*'Statistics NZ'!U$379*'Economic Forecasts'!W$8/C$7</f>
        <v>31211.737077050275</v>
      </c>
      <c r="D34" s="28">
        <f>'Population Treasury'!V$54*'Statistics NZ'!V$379*'Economic Forecasts'!X$8/D$7</f>
        <v>32508.08351599038</v>
      </c>
      <c r="E34" s="28">
        <f>'Population Treasury'!W$54*'Statistics NZ'!W$379*'Economic Forecasts'!Y$8/E$7</f>
        <v>34700.543156342959</v>
      </c>
      <c r="F34" s="28">
        <f>'Population Treasury'!X$54*'Statistics NZ'!X$379*'Economic Forecasts'!Z$8/F$7</f>
        <v>35842.440399328996</v>
      </c>
      <c r="G34" s="28">
        <f>'Population Treasury'!Y$54*'Statistics NZ'!Y$379*'Economic Forecasts'!AA$8/G$7</f>
        <v>37532.926826628631</v>
      </c>
      <c r="H34" s="28">
        <f>'Population Treasury'!Z$54*'Statistics NZ'!Z$379*'Economic Forecasts'!AB$8/H$7</f>
        <v>38416.80980358841</v>
      </c>
      <c r="I34" s="28">
        <f>'Population Treasury'!AA$54*'Statistics NZ'!AA$379*'Economic Forecasts'!AC$8/I$7</f>
        <v>38256.628543232706</v>
      </c>
      <c r="J34" s="18">
        <f>I$34*'Population Treasury'!AB$54*'Statistics NZ'!AB$379/('Population Treasury'!AA$54*'Statistics NZ'!AA$379)</f>
        <v>38022.78141709476</v>
      </c>
      <c r="K34" s="18">
        <f>J$34*'Population Treasury'!AC$54*'Statistics NZ'!AC$379/('Population Treasury'!AB$54*'Statistics NZ'!AB$379)</f>
        <v>37035.8010175452</v>
      </c>
      <c r="L34" s="18">
        <f>K$34*'Population Treasury'!AD$54*'Statistics NZ'!AD$379/('Population Treasury'!AC$54*'Statistics NZ'!AC$379)</f>
        <v>36898.086722018408</v>
      </c>
      <c r="M34" s="18">
        <f>L$34*'Population Treasury'!AE$54*'Statistics NZ'!AE$379/('Population Treasury'!AD$54*'Statistics NZ'!AD$379)</f>
        <v>36059.434414849995</v>
      </c>
      <c r="N34" s="18">
        <f>M$34*'Population Treasury'!AF$54*'Statistics NZ'!AF$379/('Population Treasury'!AE$54*'Statistics NZ'!AE$379)</f>
        <v>35997.125827932847</v>
      </c>
      <c r="O34" s="18">
        <f>N$34*'Population Treasury'!AG$54*'Statistics NZ'!AG$379/('Population Treasury'!AF$54*'Statistics NZ'!AF$379)</f>
        <v>35793.425155775985</v>
      </c>
      <c r="P34" s="18">
        <f>O$34*'Population Treasury'!AH$54*'Statistics NZ'!AH$379/('Population Treasury'!AG$54*'Statistics NZ'!AG$379)</f>
        <v>34904.688928594995</v>
      </c>
      <c r="Q34" s="18">
        <f>P$34*'Population Treasury'!AI$54*'Statistics NZ'!AI$379/('Population Treasury'!AH$54*'Statistics NZ'!AH$379)</f>
        <v>36354.966270263794</v>
      </c>
      <c r="R34" s="18">
        <f>Q$34*'Population Treasury'!AJ$54*'Statistics NZ'!AJ$379/('Population Treasury'!AI$54*'Statistics NZ'!AI$379)</f>
        <v>36131.721424547744</v>
      </c>
      <c r="S34" s="18">
        <f>R$34*'Population Treasury'!AK$54*'Statistics NZ'!AK$379/('Population Treasury'!AJ$54*'Statistics NZ'!AJ$379)</f>
        <v>35596.083826226961</v>
      </c>
    </row>
    <row r="35" spans="1:19" x14ac:dyDescent="0.25">
      <c r="A35" s="12">
        <v>40</v>
      </c>
      <c r="B35" s="28">
        <f>'Population Treasury'!T$55*'Statistics NZ'!T$380*'Economic Forecasts'!V$8/B$7</f>
        <v>30293.045814203379</v>
      </c>
      <c r="C35" s="28">
        <f>'Population Treasury'!U$55*'Statistics NZ'!U$380*'Economic Forecasts'!W$8/C$7</f>
        <v>31114.578024959585</v>
      </c>
      <c r="D35" s="28">
        <f>'Population Treasury'!V$55*'Statistics NZ'!V$380*'Economic Forecasts'!X$8/D$7</f>
        <v>31582.877834973817</v>
      </c>
      <c r="E35" s="28">
        <f>'Population Treasury'!W$55*'Statistics NZ'!W$380*'Economic Forecasts'!Y$8/E$7</f>
        <v>33201.573438986197</v>
      </c>
      <c r="F35" s="28">
        <f>'Population Treasury'!X$55*'Statistics NZ'!X$380*'Economic Forecasts'!Z$8/F$7</f>
        <v>35399.313910557961</v>
      </c>
      <c r="G35" s="28">
        <f>'Population Treasury'!Y$55*'Statistics NZ'!Y$380*'Economic Forecasts'!AA$8/G$7</f>
        <v>36476.405244489913</v>
      </c>
      <c r="H35" s="28">
        <f>'Population Treasury'!Z$55*'Statistics NZ'!Z$380*'Economic Forecasts'!AB$8/H$7</f>
        <v>38137.670769744458</v>
      </c>
      <c r="I35" s="28">
        <f>'Population Treasury'!AA$55*'Statistics NZ'!AA$380*'Economic Forecasts'!AC$8/I$7</f>
        <v>39003.404614363135</v>
      </c>
      <c r="J35" s="18">
        <f>I$35*'Population Treasury'!AB$55*'Statistics NZ'!AB$380/('Population Treasury'!AA$55*'Statistics NZ'!AA$380)</f>
        <v>38780.303599913663</v>
      </c>
      <c r="K35" s="18">
        <f>J$35*'Population Treasury'!AC$55*'Statistics NZ'!AC$380/('Population Treasury'!AB$55*'Statistics NZ'!AB$380)</f>
        <v>38533.61241097303</v>
      </c>
      <c r="L35" s="18">
        <f>K$35*'Population Treasury'!AD$55*'Statistics NZ'!AD$380/('Population Treasury'!AC$55*'Statistics NZ'!AC$380)</f>
        <v>37516.42742253789</v>
      </c>
      <c r="M35" s="18">
        <f>L$35*'Population Treasury'!AE$55*'Statistics NZ'!AE$380/('Population Treasury'!AD$55*'Statistics NZ'!AD$380)</f>
        <v>37362.999335885099</v>
      </c>
      <c r="N35" s="18">
        <f>M$35*'Population Treasury'!AF$55*'Statistics NZ'!AF$380/('Population Treasury'!AE$55*'Statistics NZ'!AE$380)</f>
        <v>36524.17207063808</v>
      </c>
      <c r="O35" s="18">
        <f>N$35*'Population Treasury'!AG$55*'Statistics NZ'!AG$380/('Population Treasury'!AF$55*'Statistics NZ'!AF$380)</f>
        <v>36461.76630310731</v>
      </c>
      <c r="P35" s="18">
        <f>O$35*'Population Treasury'!AH$55*'Statistics NZ'!AH$380/('Population Treasury'!AG$55*'Statistics NZ'!AG$380)</f>
        <v>36248.307879410961</v>
      </c>
      <c r="Q35" s="18">
        <f>P$35*'Population Treasury'!AI$55*'Statistics NZ'!AI$380/('Population Treasury'!AH$55*'Statistics NZ'!AH$380)</f>
        <v>35349.794057311068</v>
      </c>
      <c r="R35" s="18">
        <f>Q$35*'Population Treasury'!AJ$55*'Statistics NZ'!AJ$380/('Population Treasury'!AI$55*'Statistics NZ'!AI$380)</f>
        <v>36809.956646758947</v>
      </c>
      <c r="S35" s="18">
        <f>R$35*'Population Treasury'!AK$55*'Statistics NZ'!AK$380/('Population Treasury'!AJ$55*'Statistics NZ'!AJ$380)</f>
        <v>36576.778017309727</v>
      </c>
    </row>
    <row r="36" spans="1:19" x14ac:dyDescent="0.25">
      <c r="A36" s="12">
        <v>41</v>
      </c>
      <c r="B36" s="28">
        <f>'Population Treasury'!T$56*'Statistics NZ'!T$381*'Economic Forecasts'!V$8/B$7</f>
        <v>30075.323825339459</v>
      </c>
      <c r="C36" s="28">
        <f>'Population Treasury'!U$56*'Statistics NZ'!U$381*'Economic Forecasts'!W$8/C$7</f>
        <v>30359.799753795352</v>
      </c>
      <c r="D36" s="28">
        <f>'Population Treasury'!V$56*'Statistics NZ'!V$381*'Economic Forecasts'!X$8/D$7</f>
        <v>31407.363851313792</v>
      </c>
      <c r="E36" s="28">
        <f>'Population Treasury'!W$56*'Statistics NZ'!W$381*'Economic Forecasts'!Y$8/E$7</f>
        <v>32206.865463835125</v>
      </c>
      <c r="F36" s="28">
        <f>'Population Treasury'!X$56*'Statistics NZ'!X$381*'Economic Forecasts'!Z$8/F$7</f>
        <v>33862.240038820935</v>
      </c>
      <c r="G36" s="28">
        <f>'Population Treasury'!Y$56*'Statistics NZ'!Y$381*'Economic Forecasts'!AA$8/G$7</f>
        <v>36024.825375314787</v>
      </c>
      <c r="H36" s="28">
        <f>'Population Treasury'!Z$56*'Statistics NZ'!Z$381*'Economic Forecasts'!AB$8/H$7</f>
        <v>37075.008054375226</v>
      </c>
      <c r="I36" s="28">
        <f>'Population Treasury'!AA$56*'Statistics NZ'!AA$381*'Economic Forecasts'!AC$8/I$7</f>
        <v>38727.504332196608</v>
      </c>
      <c r="J36" s="18">
        <f>I$36*'Population Treasury'!AB$56*'Statistics NZ'!AB$381/('Population Treasury'!AA$56*'Statistics NZ'!AA$381)</f>
        <v>39553.394444411882</v>
      </c>
      <c r="K36" s="18">
        <f>J$36*'Population Treasury'!AC$56*'Statistics NZ'!AC$381/('Population Treasury'!AB$56*'Statistics NZ'!AB$381)</f>
        <v>39316.634297343924</v>
      </c>
      <c r="L36" s="18">
        <f>K$36*'Population Treasury'!AD$56*'Statistics NZ'!AD$381/('Population Treasury'!AC$56*'Statistics NZ'!AC$381)</f>
        <v>39055.576925179303</v>
      </c>
      <c r="M36" s="18">
        <f>L$36*'Population Treasury'!AE$56*'Statistics NZ'!AE$381/('Population Treasury'!AD$56*'Statistics NZ'!AD$381)</f>
        <v>38015.338029566985</v>
      </c>
      <c r="N36" s="18">
        <f>M$36*'Population Treasury'!AF$56*'Statistics NZ'!AF$381/('Population Treasury'!AE$56*'Statistics NZ'!AE$381)</f>
        <v>37862.121655540934</v>
      </c>
      <c r="O36" s="18">
        <f>N$36*'Population Treasury'!AG$56*'Statistics NZ'!AG$381/('Population Treasury'!AF$56*'Statistics NZ'!AF$381)</f>
        <v>37013.584695876358</v>
      </c>
      <c r="P36" s="18">
        <f>O$36*'Population Treasury'!AH$56*'Statistics NZ'!AH$381/('Population Treasury'!AG$56*'Statistics NZ'!AG$381)</f>
        <v>36941.350217954154</v>
      </c>
      <c r="Q36" s="18">
        <f>P$36*'Population Treasury'!AI$56*'Statistics NZ'!AI$381/('Population Treasury'!AH$56*'Statistics NZ'!AH$381)</f>
        <v>36718.049062749931</v>
      </c>
      <c r="R36" s="18">
        <f>Q$36*'Population Treasury'!AJ$56*'Statistics NZ'!AJ$381/('Population Treasury'!AI$56*'Statistics NZ'!AI$381)</f>
        <v>35819.474000667557</v>
      </c>
      <c r="S36" s="18">
        <f>R$36*'Population Treasury'!AK$56*'Statistics NZ'!AK$381/('Population Treasury'!AJ$56*'Statistics NZ'!AJ$381)</f>
        <v>37269.939491210898</v>
      </c>
    </row>
    <row r="37" spans="1:19" x14ac:dyDescent="0.25">
      <c r="A37" s="12">
        <v>42</v>
      </c>
      <c r="B37" s="28">
        <f>'Population Treasury'!T$57*'Statistics NZ'!T$382*'Economic Forecasts'!V$8/B$7</f>
        <v>29481.536582983299</v>
      </c>
      <c r="C37" s="28">
        <f>'Population Treasury'!U$57*'Statistics NZ'!U$382*'Economic Forecasts'!W$8/C$7</f>
        <v>30104.692150908035</v>
      </c>
      <c r="D37" s="28">
        <f>'Population Treasury'!V$57*'Statistics NZ'!V$382*'Economic Forecasts'!X$8/D$7</f>
        <v>30637.953436652457</v>
      </c>
      <c r="E37" s="28">
        <f>'Population Treasury'!W$57*'Statistics NZ'!W$382*'Economic Forecasts'!Y$8/E$7</f>
        <v>32002.060974388944</v>
      </c>
      <c r="F37" s="28">
        <f>'Population Treasury'!X$57*'Statistics NZ'!X$382*'Economic Forecasts'!Z$8/F$7</f>
        <v>32834.293922321624</v>
      </c>
      <c r="G37" s="28">
        <f>'Population Treasury'!Y$57*'Statistics NZ'!Y$382*'Economic Forecasts'!AA$8/G$7</f>
        <v>34453.953504126293</v>
      </c>
      <c r="H37" s="28">
        <f>'Population Treasury'!Z$57*'Statistics NZ'!Z$382*'Economic Forecasts'!AB$8/H$7</f>
        <v>36592.910077979934</v>
      </c>
      <c r="I37" s="28">
        <f>'Population Treasury'!AA$57*'Statistics NZ'!AA$382*'Economic Forecasts'!AC$8/I$7</f>
        <v>37623.762660773391</v>
      </c>
      <c r="J37" s="18">
        <f>I$37*'Population Treasury'!AB$57*'Statistics NZ'!AB$382/('Population Treasury'!AA$57*'Statistics NZ'!AA$382)</f>
        <v>39256.497579309049</v>
      </c>
      <c r="K37" s="18">
        <f>J$37*'Population Treasury'!AC$57*'Statistics NZ'!AC$382/('Population Treasury'!AB$57*'Statistics NZ'!AB$382)</f>
        <v>40078.753562853912</v>
      </c>
      <c r="L37" s="18">
        <f>K$37*'Population Treasury'!AD$57*'Statistics NZ'!AD$382/('Population Treasury'!AC$57*'Statistics NZ'!AC$382)</f>
        <v>39827.847266238612</v>
      </c>
      <c r="M37" s="18">
        <f>L$37*'Population Treasury'!AE$57*'Statistics NZ'!AE$382/('Population Treasury'!AD$57*'Statistics NZ'!AD$382)</f>
        <v>39553.894438172167</v>
      </c>
      <c r="N37" s="18">
        <f>M$37*'Population Treasury'!AF$57*'Statistics NZ'!AF$382/('Population Treasury'!AE$57*'Statistics NZ'!AE$382)</f>
        <v>38503.742905944513</v>
      </c>
      <c r="O37" s="18">
        <f>N$37*'Population Treasury'!AG$57*'Statistics NZ'!AG$382/('Population Treasury'!AF$57*'Statistics NZ'!AF$382)</f>
        <v>38340.715327305188</v>
      </c>
      <c r="P37" s="18">
        <f>O$37*'Population Treasury'!AH$57*'Statistics NZ'!AH$382/('Population Treasury'!AG$57*'Statistics NZ'!AG$382)</f>
        <v>37482.292805724122</v>
      </c>
      <c r="Q37" s="18">
        <f>P$37*'Population Treasury'!AI$57*'Statistics NZ'!AI$382/('Population Treasury'!AH$57*'Statistics NZ'!AH$382)</f>
        <v>37400.251283537073</v>
      </c>
      <c r="R37" s="18">
        <f>Q$37*'Population Treasury'!AJ$57*'Statistics NZ'!AJ$382/('Population Treasury'!AI$57*'Statistics NZ'!AI$382)</f>
        <v>37177.184302768102</v>
      </c>
      <c r="S37" s="18">
        <f>R$37*'Population Treasury'!AK$57*'Statistics NZ'!AK$382/('Population Treasury'!AJ$57*'Statistics NZ'!AJ$382)</f>
        <v>36278.578415422133</v>
      </c>
    </row>
    <row r="38" spans="1:19" x14ac:dyDescent="0.25">
      <c r="A38" s="12">
        <v>43</v>
      </c>
      <c r="B38" s="28">
        <f>'Population Treasury'!T$58*'Statistics NZ'!T$383*'Economic Forecasts'!V$8/B$7</f>
        <v>28719.509621959569</v>
      </c>
      <c r="C38" s="28">
        <f>'Population Treasury'!U$58*'Statistics NZ'!U$383*'Economic Forecasts'!W$8/C$7</f>
        <v>29506.570275326019</v>
      </c>
      <c r="D38" s="28">
        <f>'Population Treasury'!V$58*'Statistics NZ'!V$383*'Economic Forecasts'!X$8/D$7</f>
        <v>30365.018694619848</v>
      </c>
      <c r="E38" s="28">
        <f>'Population Treasury'!W$58*'Statistics NZ'!W$383*'Economic Forecasts'!Y$8/E$7</f>
        <v>31202.386625122545</v>
      </c>
      <c r="F38" s="28">
        <f>'Population Treasury'!X$58*'Statistics NZ'!X$383*'Economic Forecasts'!Z$8/F$7</f>
        <v>32609.180761103962</v>
      </c>
      <c r="G38" s="28">
        <f>'Population Treasury'!Y$58*'Statistics NZ'!Y$383*'Economic Forecasts'!AA$8/G$7</f>
        <v>33393.65517483127</v>
      </c>
      <c r="H38" s="28">
        <f>'Population Treasury'!Z$58*'Statistics NZ'!Z$383*'Economic Forecasts'!AB$8/H$7</f>
        <v>34989.065200824254</v>
      </c>
      <c r="I38" s="28">
        <f>'Population Treasury'!AA$58*'Statistics NZ'!AA$383*'Economic Forecasts'!AC$8/I$7</f>
        <v>37121.203943100867</v>
      </c>
      <c r="J38" s="18">
        <f>I$38*'Population Treasury'!AB$58*'Statistics NZ'!AB$383/('Population Treasury'!AA$58*'Statistics NZ'!AA$383)</f>
        <v>38128.888662196696</v>
      </c>
      <c r="K38" s="18">
        <f>J$38*'Population Treasury'!AC$58*'Statistics NZ'!AC$383/('Population Treasury'!AB$58*'Statistics NZ'!AB$383)</f>
        <v>39757.871706460202</v>
      </c>
      <c r="L38" s="18">
        <f>K$38*'Population Treasury'!AD$58*'Statistics NZ'!AD$383/('Population Treasury'!AC$58*'Statistics NZ'!AC$383)</f>
        <v>40575.922539778025</v>
      </c>
      <c r="M38" s="18">
        <f>L$38*'Population Treasury'!AE$58*'Statistics NZ'!AE$383/('Population Treasury'!AD$58*'Statistics NZ'!AD$383)</f>
        <v>40302.000282223868</v>
      </c>
      <c r="N38" s="18">
        <f>M$38*'Population Treasury'!AF$58*'Statistics NZ'!AF$383/('Population Treasury'!AE$58*'Statistics NZ'!AE$383)</f>
        <v>40018.169314325343</v>
      </c>
      <c r="O38" s="18">
        <f>N$38*'Population Treasury'!AG$58*'Statistics NZ'!AG$383/('Population Treasury'!AF$58*'Statistics NZ'!AF$383)</f>
        <v>38968.116179454533</v>
      </c>
      <c r="P38" s="18">
        <f>O$38*'Population Treasury'!AH$58*'Statistics NZ'!AH$383/('Population Treasury'!AG$58*'Statistics NZ'!AG$383)</f>
        <v>38795.231407593463</v>
      </c>
      <c r="Q38" s="18">
        <f>P$38*'Population Treasury'!AI$58*'Statistics NZ'!AI$383/('Population Treasury'!AH$58*'Statistics NZ'!AH$383)</f>
        <v>37926.877012219709</v>
      </c>
      <c r="R38" s="18">
        <f>Q$38*'Population Treasury'!AJ$58*'Statistics NZ'!AJ$383/('Population Treasury'!AI$58*'Statistics NZ'!AI$383)</f>
        <v>37845.047725348239</v>
      </c>
      <c r="S38" s="18">
        <f>R$38*'Population Treasury'!AK$58*'Statistics NZ'!AK$383/('Population Treasury'!AJ$58*'Statistics NZ'!AJ$383)</f>
        <v>37612.119206321753</v>
      </c>
    </row>
    <row r="39" spans="1:19" x14ac:dyDescent="0.25">
      <c r="A39" s="12">
        <v>44</v>
      </c>
      <c r="B39" s="28">
        <f>'Population Treasury'!T$59*'Statistics NZ'!T$384*'Economic Forecasts'!V$8/B$7</f>
        <v>28383.030184624407</v>
      </c>
      <c r="C39" s="28">
        <f>'Population Treasury'!U$59*'Statistics NZ'!U$384*'Economic Forecasts'!W$8/C$7</f>
        <v>28722.185011248188</v>
      </c>
      <c r="D39" s="28">
        <f>'Population Treasury'!V$59*'Statistics NZ'!V$384*'Economic Forecasts'!X$8/D$7</f>
        <v>29741.528599934234</v>
      </c>
      <c r="E39" s="28">
        <f>'Population Treasury'!W$59*'Statistics NZ'!W$384*'Economic Forecasts'!Y$8/E$7</f>
        <v>30919.558815401273</v>
      </c>
      <c r="F39" s="28">
        <f>'Population Treasury'!X$59*'Statistics NZ'!X$384*'Economic Forecasts'!Z$8/F$7</f>
        <v>31777.067193709856</v>
      </c>
      <c r="G39" s="28">
        <f>'Population Treasury'!Y$59*'Statistics NZ'!Y$384*'Economic Forecasts'!AA$8/G$7</f>
        <v>33148.300266344697</v>
      </c>
      <c r="H39" s="28">
        <f>'Population Treasury'!Z$59*'Statistics NZ'!Z$384*'Economic Forecasts'!AB$8/H$7</f>
        <v>33906.761297120298</v>
      </c>
      <c r="I39" s="28">
        <f>'Population Treasury'!AA$59*'Statistics NZ'!AA$384*'Economic Forecasts'!AC$8/I$7</f>
        <v>35495.157104128506</v>
      </c>
      <c r="J39" s="18">
        <f>I$39*'Population Treasury'!AB$59*'Statistics NZ'!AB$384/('Population Treasury'!AA$59*'Statistics NZ'!AA$384)</f>
        <v>37632.325699699446</v>
      </c>
      <c r="K39" s="18">
        <f>J$39*'Population Treasury'!AC$59*'Statistics NZ'!AC$384/('Population Treasury'!AB$59*'Statistics NZ'!AB$384)</f>
        <v>38626.549749334939</v>
      </c>
      <c r="L39" s="18">
        <f>K$39*'Population Treasury'!AD$59*'Statistics NZ'!AD$384/('Population Treasury'!AC$59*'Statistics NZ'!AC$384)</f>
        <v>40261.36839114433</v>
      </c>
      <c r="M39" s="18">
        <f>L$39*'Population Treasury'!AE$59*'Statistics NZ'!AE$384/('Population Treasury'!AD$59*'Statistics NZ'!AD$384)</f>
        <v>41066.277442860148</v>
      </c>
      <c r="N39" s="18">
        <f>M$39*'Population Treasury'!AF$59*'Statistics NZ'!AF$384/('Population Treasury'!AE$59*'Statistics NZ'!AE$384)</f>
        <v>40792.575251597649</v>
      </c>
      <c r="O39" s="18">
        <f>N$39*'Population Treasury'!AG$59*'Statistics NZ'!AG$384/('Population Treasury'!AF$59*'Statistics NZ'!AF$384)</f>
        <v>40498.895724951341</v>
      </c>
      <c r="P39" s="18">
        <f>O$39*'Population Treasury'!AH$59*'Statistics NZ'!AH$384/('Population Treasury'!AG$59*'Statistics NZ'!AG$384)</f>
        <v>39429.022466172624</v>
      </c>
      <c r="Q39" s="18">
        <f>P$39*'Population Treasury'!AI$59*'Statistics NZ'!AI$384/('Population Treasury'!AH$59*'Statistics NZ'!AH$384)</f>
        <v>39256.371101500088</v>
      </c>
      <c r="R39" s="18">
        <f>Q$39*'Population Treasury'!AJ$59*'Statistics NZ'!AJ$384/('Population Treasury'!AI$59*'Statistics NZ'!AI$384)</f>
        <v>38378.105663762239</v>
      </c>
      <c r="S39" s="18">
        <f>R$39*'Population Treasury'!AK$59*'Statistics NZ'!AK$384/('Population Treasury'!AJ$59*'Statistics NZ'!AJ$384)</f>
        <v>38286.449017955318</v>
      </c>
    </row>
    <row r="40" spans="1:19" x14ac:dyDescent="0.25">
      <c r="A40" s="12">
        <v>45</v>
      </c>
      <c r="B40" s="28">
        <f>'Population Treasury'!T$60*'Statistics NZ'!T$385*'Economic Forecasts'!V$8/B$7</f>
        <v>28086.136563446325</v>
      </c>
      <c r="C40" s="28">
        <f>'Population Treasury'!U$60*'Statistics NZ'!U$385*'Economic Forecasts'!W$8/C$7</f>
        <v>28427.708777631535</v>
      </c>
      <c r="D40" s="28">
        <f>'Population Treasury'!V$60*'Statistics NZ'!V$385*'Economic Forecasts'!X$8/D$7</f>
        <v>28990.327792454813</v>
      </c>
      <c r="E40" s="28">
        <f>'Population Treasury'!W$60*'Statistics NZ'!W$385*'Economic Forecasts'!Y$8/E$7</f>
        <v>30268.945434787482</v>
      </c>
      <c r="F40" s="28">
        <f>'Population Treasury'!X$60*'Statistics NZ'!X$385*'Economic Forecasts'!Z$8/F$7</f>
        <v>31451.706627849497</v>
      </c>
      <c r="G40" s="28">
        <f>'Population Treasury'!Y$60*'Statistics NZ'!Y$385*'Economic Forecasts'!AA$8/G$7</f>
        <v>32268.876212674375</v>
      </c>
      <c r="H40" s="28">
        <f>'Population Treasury'!Z$60*'Statistics NZ'!Z$385*'Economic Forecasts'!AB$8/H$7</f>
        <v>33627.944966544244</v>
      </c>
      <c r="I40" s="28">
        <f>'Population Treasury'!AA$60*'Statistics NZ'!AA$385*'Economic Forecasts'!AC$8/I$7</f>
        <v>34359.871668504267</v>
      </c>
      <c r="J40" s="18">
        <f>I$40*'Population Treasury'!AB$60*'Statistics NZ'!AB$385/('Population Treasury'!AA$60*'Statistics NZ'!AA$385)</f>
        <v>35933.998731679305</v>
      </c>
      <c r="K40" s="18">
        <f>J$40*'Population Treasury'!AC$60*'Statistics NZ'!AC$385/('Population Treasury'!AB$60*'Statistics NZ'!AB$385)</f>
        <v>38071.708957129209</v>
      </c>
      <c r="L40" s="18">
        <f>K$40*'Population Treasury'!AD$60*'Statistics NZ'!AD$385/('Population Treasury'!AC$60*'Statistics NZ'!AC$385)</f>
        <v>39068.965864103055</v>
      </c>
      <c r="M40" s="18">
        <f>L$40*'Population Treasury'!AE$60*'Statistics NZ'!AE$385/('Population Treasury'!AD$60*'Statistics NZ'!AD$385)</f>
        <v>40700.739701828781</v>
      </c>
      <c r="N40" s="18">
        <f>M$40*'Population Treasury'!AF$60*'Statistics NZ'!AF$385/('Population Treasury'!AE$60*'Statistics NZ'!AE$385)</f>
        <v>41505.929731105542</v>
      </c>
      <c r="O40" s="18">
        <f>N$40*'Population Treasury'!AG$60*'Statistics NZ'!AG$385/('Population Treasury'!AF$60*'Statistics NZ'!AF$385)</f>
        <v>41222.294766757121</v>
      </c>
      <c r="P40" s="18">
        <f>O$40*'Population Treasury'!AH$60*'Statistics NZ'!AH$385/('Population Treasury'!AG$60*'Statistics NZ'!AG$385)</f>
        <v>40918.682720847719</v>
      </c>
      <c r="Q40" s="18">
        <f>P$40*'Population Treasury'!AI$60*'Statistics NZ'!AI$385/('Population Treasury'!AH$60*'Statistics NZ'!AH$385)</f>
        <v>39838.955203120327</v>
      </c>
      <c r="R40" s="18">
        <f>Q$40*'Population Treasury'!AJ$60*'Statistics NZ'!AJ$385/('Population Treasury'!AI$60*'Statistics NZ'!AI$385)</f>
        <v>39656.396154222697</v>
      </c>
      <c r="S40" s="18">
        <f>R$40*'Population Treasury'!AK$60*'Statistics NZ'!AK$385/('Population Treasury'!AJ$60*'Statistics NZ'!AJ$385)</f>
        <v>38768.137525103244</v>
      </c>
    </row>
    <row r="41" spans="1:19" x14ac:dyDescent="0.25">
      <c r="A41" s="12">
        <v>46</v>
      </c>
      <c r="B41" s="28">
        <f>'Population Treasury'!T$61*'Statistics NZ'!T$386*'Economic Forecasts'!V$8/B$7</f>
        <v>27155.869883755007</v>
      </c>
      <c r="C41" s="28">
        <f>'Population Treasury'!U$61*'Statistics NZ'!U$386*'Economic Forecasts'!W$8/C$7</f>
        <v>27976.950294139449</v>
      </c>
      <c r="D41" s="28">
        <f>'Population Treasury'!V$61*'Statistics NZ'!V$386*'Economic Forecasts'!X$8/D$7</f>
        <v>28464.571882713775</v>
      </c>
      <c r="E41" s="28">
        <f>'Population Treasury'!W$61*'Statistics NZ'!W$386*'Economic Forecasts'!Y$8/E$7</f>
        <v>29283.999508693203</v>
      </c>
      <c r="F41" s="28">
        <f>'Population Treasury'!X$61*'Statistics NZ'!X$386*'Economic Forecasts'!Z$8/F$7</f>
        <v>30629.309156772219</v>
      </c>
      <c r="G41" s="28">
        <f>'Population Treasury'!Y$61*'Statistics NZ'!Y$386*'Economic Forecasts'!AA$8/G$7</f>
        <v>31777.967868087002</v>
      </c>
      <c r="H41" s="28">
        <f>'Population Treasury'!Z$61*'Statistics NZ'!Z$386*'Economic Forecasts'!AB$8/H$7</f>
        <v>32584.917459398013</v>
      </c>
      <c r="I41" s="28">
        <f>'Population Treasury'!AA$61*'Statistics NZ'!AA$386*'Economic Forecasts'!AC$8/I$7</f>
        <v>33916.392634551412</v>
      </c>
      <c r="J41" s="18">
        <f>I$41*'Population Treasury'!AB$61*'Statistics NZ'!AB$386/('Population Treasury'!AA$61*'Statistics NZ'!AA$386)</f>
        <v>34623.39178240802</v>
      </c>
      <c r="K41" s="18">
        <f>J$41*'Population Treasury'!AC$61*'Statistics NZ'!AC$386/('Population Treasury'!AB$61*'Statistics NZ'!AB$386)</f>
        <v>36196.678924372412</v>
      </c>
      <c r="L41" s="18">
        <f>K$41*'Population Treasury'!AD$61*'Statistics NZ'!AD$386/('Population Treasury'!AC$61*'Statistics NZ'!AC$386)</f>
        <v>38343.283664701012</v>
      </c>
      <c r="M41" s="18">
        <f>L$41*'Population Treasury'!AE$61*'Statistics NZ'!AE$386/('Population Treasury'!AD$61*'Statistics NZ'!AD$386)</f>
        <v>39329.897509169838</v>
      </c>
      <c r="N41" s="18">
        <f>M$41*'Population Treasury'!AF$61*'Statistics NZ'!AF$386/('Population Treasury'!AE$61*'Statistics NZ'!AE$386)</f>
        <v>40961.821054574502</v>
      </c>
      <c r="O41" s="18">
        <f>N$41*'Population Treasury'!AG$61*'Statistics NZ'!AG$386/('Population Treasury'!AF$61*'Statistics NZ'!AF$386)</f>
        <v>41767.089829467906</v>
      </c>
      <c r="P41" s="18">
        <f>O$41*'Population Treasury'!AH$61*'Statistics NZ'!AH$386/('Population Treasury'!AG$61*'Statistics NZ'!AG$386)</f>
        <v>41473.556179675696</v>
      </c>
      <c r="Q41" s="18">
        <f>P$41*'Population Treasury'!AI$61*'Statistics NZ'!AI$386/('Population Treasury'!AH$61*'Statistics NZ'!AH$386)</f>
        <v>41169.938579731439</v>
      </c>
      <c r="R41" s="18">
        <f>Q$41*'Population Treasury'!AJ$61*'Statistics NZ'!AJ$386/('Population Treasury'!AI$61*'Statistics NZ'!AI$386)</f>
        <v>40090.145352355168</v>
      </c>
      <c r="S41" s="18">
        <f>R$41*'Population Treasury'!AK$61*'Statistics NZ'!AK$386/('Population Treasury'!AJ$61*'Statistics NZ'!AJ$386)</f>
        <v>39907.587421072574</v>
      </c>
    </row>
    <row r="42" spans="1:19" x14ac:dyDescent="0.25">
      <c r="A42" s="12">
        <v>47</v>
      </c>
      <c r="B42" s="28">
        <f>'Population Treasury'!T$62*'Statistics NZ'!T$387*'Economic Forecasts'!V$8/B$7</f>
        <v>27195.455699912087</v>
      </c>
      <c r="C42" s="28">
        <f>'Population Treasury'!U$62*'Statistics NZ'!U$387*'Economic Forecasts'!W$8/C$7</f>
        <v>26967.77319777555</v>
      </c>
      <c r="D42" s="28">
        <f>'Population Treasury'!V$62*'Statistics NZ'!V$387*'Economic Forecasts'!X$8/D$7</f>
        <v>27919.382616146206</v>
      </c>
      <c r="E42" s="28">
        <f>'Population Treasury'!W$62*'Statistics NZ'!W$387*'Economic Forecasts'!Y$8/E$7</f>
        <v>28669.62789781742</v>
      </c>
      <c r="F42" s="28">
        <f>'Population Treasury'!X$62*'Statistics NZ'!X$387*'Economic Forecasts'!Z$8/F$7</f>
        <v>29542.558303969468</v>
      </c>
      <c r="G42" s="28">
        <f>'Population Treasury'!Y$62*'Statistics NZ'!Y$387*'Economic Forecasts'!AA$8/G$7</f>
        <v>30864.86402860704</v>
      </c>
      <c r="H42" s="28">
        <f>'Population Treasury'!Z$62*'Statistics NZ'!Z$387*'Economic Forecasts'!AB$8/H$7</f>
        <v>32004.365727108645</v>
      </c>
      <c r="I42" s="28">
        <f>'Population Treasury'!AA$62*'Statistics NZ'!AA$387*'Economic Forecasts'!AC$8/I$7</f>
        <v>32783.036700016979</v>
      </c>
      <c r="J42" s="18">
        <f>I$42*'Population Treasury'!AB$62*'Statistics NZ'!AB$387/('Population Treasury'!AA$62*'Statistics NZ'!AA$387)</f>
        <v>34105.043153769235</v>
      </c>
      <c r="K42" s="18">
        <f>J$42*'Population Treasury'!AC$62*'Statistics NZ'!AC$387/('Population Treasury'!AB$62*'Statistics NZ'!AB$387)</f>
        <v>34801.262502728983</v>
      </c>
      <c r="L42" s="18">
        <f>K$42*'Population Treasury'!AD$62*'Statistics NZ'!AD$387/('Population Treasury'!AC$62*'Statistics NZ'!AC$387)</f>
        <v>36383.37929469275</v>
      </c>
      <c r="M42" s="18">
        <f>L$42*'Population Treasury'!AE$62*'Statistics NZ'!AE$387/('Population Treasury'!AD$62*'Statistics NZ'!AD$387)</f>
        <v>38519.42808774337</v>
      </c>
      <c r="N42" s="18">
        <f>M$42*'Population Treasury'!AF$62*'Statistics NZ'!AF$387/('Population Treasury'!AE$62*'Statistics NZ'!AE$387)</f>
        <v>39506.14657448994</v>
      </c>
      <c r="O42" s="18">
        <f>N$42*'Population Treasury'!AG$62*'Statistics NZ'!AG$387/('Population Treasury'!AF$62*'Statistics NZ'!AF$387)</f>
        <v>41148.105602373507</v>
      </c>
      <c r="P42" s="18">
        <f>O$42*'Population Treasury'!AH$62*'Statistics NZ'!AH$387/('Population Treasury'!AG$62*'Statistics NZ'!AG$387)</f>
        <v>41943.557946116445</v>
      </c>
      <c r="Q42" s="18">
        <f>P$42*'Population Treasury'!AI$62*'Statistics NZ'!AI$387/('Population Treasury'!AH$62*'Statistics NZ'!AH$387)</f>
        <v>41650.047489363766</v>
      </c>
      <c r="R42" s="18">
        <f>Q$42*'Population Treasury'!AJ$62*'Statistics NZ'!AJ$387/('Population Treasury'!AI$62*'Statistics NZ'!AI$387)</f>
        <v>41346.61673634722</v>
      </c>
      <c r="S42" s="18">
        <f>R$42*'Population Treasury'!AK$62*'Statistics NZ'!AK$387/('Population Treasury'!AJ$62*'Statistics NZ'!AJ$387)</f>
        <v>40266.803783864161</v>
      </c>
    </row>
    <row r="43" spans="1:19" x14ac:dyDescent="0.25">
      <c r="A43" s="12">
        <v>48</v>
      </c>
      <c r="B43" s="28">
        <f>'Population Treasury'!T$63*'Statistics NZ'!T$388*'Economic Forecasts'!V$8/B$7</f>
        <v>26760.011722184241</v>
      </c>
      <c r="C43" s="28">
        <f>'Population Treasury'!U$63*'Statistics NZ'!U$388*'Economic Forecasts'!W$8/C$7</f>
        <v>26889.432664713506</v>
      </c>
      <c r="D43" s="28">
        <f>'Population Treasury'!V$63*'Statistics NZ'!V$388*'Economic Forecasts'!X$8/D$7</f>
        <v>26809.604877710091</v>
      </c>
      <c r="E43" s="28">
        <f>'Population Treasury'!W$63*'Statistics NZ'!W$388*'Economic Forecasts'!Y$8/E$7</f>
        <v>28006.499322763746</v>
      </c>
      <c r="F43" s="28">
        <f>'Population Treasury'!X$63*'Statistics NZ'!X$388*'Economic Forecasts'!Z$8/F$7</f>
        <v>28808.258017971322</v>
      </c>
      <c r="G43" s="28">
        <f>'Population Treasury'!Y$63*'Statistics NZ'!Y$388*'Economic Forecasts'!AA$8/G$7</f>
        <v>29647.3703320444</v>
      </c>
      <c r="H43" s="28">
        <f>'Population Treasury'!Z$63*'Statistics NZ'!Z$388*'Economic Forecasts'!AB$8/H$7</f>
        <v>30941.639078140932</v>
      </c>
      <c r="I43" s="28">
        <f>'Population Treasury'!AA$63*'Statistics NZ'!AA$388*'Economic Forecasts'!AC$8/I$7</f>
        <v>32063.591734701859</v>
      </c>
      <c r="J43" s="18">
        <f>I$43*'Population Treasury'!AB$63*'Statistics NZ'!AB$388/('Population Treasury'!AA$63*'Statistics NZ'!AA$388)</f>
        <v>32811.023014915459</v>
      </c>
      <c r="K43" s="18">
        <f>J$43*'Population Treasury'!AC$63*'Statistics NZ'!AC$388/('Population Treasury'!AB$63*'Statistics NZ'!AB$388)</f>
        <v>34122.183457145693</v>
      </c>
      <c r="L43" s="18">
        <f>K$43*'Population Treasury'!AD$63*'Statistics NZ'!AD$388/('Population Treasury'!AC$63*'Statistics NZ'!AC$388)</f>
        <v>34817.224563091127</v>
      </c>
      <c r="M43" s="18">
        <f>L$43*'Population Treasury'!AE$63*'Statistics NZ'!AE$388/('Population Treasury'!AD$63*'Statistics NZ'!AD$388)</f>
        <v>36388.634571205395</v>
      </c>
      <c r="N43" s="18">
        <f>M$43*'Population Treasury'!AF$63*'Statistics NZ'!AF$388/('Population Treasury'!AE$63*'Statistics NZ'!AE$388)</f>
        <v>38524.718236522</v>
      </c>
      <c r="O43" s="18">
        <f>N$43*'Population Treasury'!AG$63*'Statistics NZ'!AG$388/('Population Treasury'!AF$63*'Statistics NZ'!AF$388)</f>
        <v>39511.466619142586</v>
      </c>
      <c r="P43" s="18">
        <f>O$43*'Population Treasury'!AH$63*'Statistics NZ'!AH$388/('Population Treasury'!AG$63*'Statistics NZ'!AG$388)</f>
        <v>41143.554740206644</v>
      </c>
      <c r="Q43" s="18">
        <f>P$43*'Population Treasury'!AI$63*'Statistics NZ'!AI$388/('Population Treasury'!AH$63*'Statistics NZ'!AH$388)</f>
        <v>41939.027095010548</v>
      </c>
      <c r="R43" s="18">
        <f>Q$43*'Population Treasury'!AJ$63*'Statistics NZ'!AJ$388/('Population Treasury'!AI$63*'Statistics NZ'!AI$388)</f>
        <v>41645.699362809501</v>
      </c>
      <c r="S43" s="18">
        <f>R$43*'Population Treasury'!AK$63*'Statistics NZ'!AK$388/('Population Treasury'!AJ$63*'Statistics NZ'!AJ$388)</f>
        <v>41342.290223676951</v>
      </c>
    </row>
    <row r="44" spans="1:19" x14ac:dyDescent="0.25">
      <c r="A44" s="12">
        <v>49</v>
      </c>
      <c r="B44" s="28">
        <f>'Population Treasury'!T$64*'Statistics NZ'!T$389*'Economic Forecasts'!V$8/B$7</f>
        <v>27611.1067695614</v>
      </c>
      <c r="C44" s="28">
        <f>'Population Treasury'!U$64*'Statistics NZ'!U$389*'Economic Forecasts'!W$8/C$7</f>
        <v>26419.203094582906</v>
      </c>
      <c r="D44" s="28">
        <f>'Population Treasury'!V$64*'Statistics NZ'!V$389*'Economic Forecasts'!X$8/D$7</f>
        <v>26683.098885879383</v>
      </c>
      <c r="E44" s="28">
        <f>'Population Treasury'!W$64*'Statistics NZ'!W$389*'Economic Forecasts'!Y$8/E$7</f>
        <v>26836.272295696956</v>
      </c>
      <c r="F44" s="28">
        <f>'Population Treasury'!X$64*'Statistics NZ'!X$389*'Economic Forecasts'!Z$8/F$7</f>
        <v>28083.742863407548</v>
      </c>
      <c r="G44" s="28">
        <f>'Population Treasury'!Y$64*'Statistics NZ'!Y$389*'Economic Forecasts'!AA$8/G$7</f>
        <v>28852.064081907614</v>
      </c>
      <c r="H44" s="28">
        <f>'Population Treasury'!Z$64*'Statistics NZ'!Z$389*'Economic Forecasts'!AB$8/H$7</f>
        <v>29672.269910781357</v>
      </c>
      <c r="I44" s="28">
        <f>'Population Treasury'!AA$64*'Statistics NZ'!AA$389*'Economic Forecasts'!AC$8/I$7</f>
        <v>30949.930217965262</v>
      </c>
      <c r="J44" s="18">
        <f>I$44*'Population Treasury'!AB$64*'Statistics NZ'!AB$389/('Population Treasury'!AA$64*'Statistics NZ'!AA$389)</f>
        <v>32040.281479721889</v>
      </c>
      <c r="K44" s="18">
        <f>J$44*'Population Treasury'!AC$64*'Statistics NZ'!AC$389/('Population Treasury'!AB$64*'Statistics NZ'!AB$389)</f>
        <v>32786.730299454226</v>
      </c>
      <c r="L44" s="18">
        <f>K$44*'Population Treasury'!AD$64*'Statistics NZ'!AD$389/('Population Treasury'!AC$64*'Statistics NZ'!AC$389)</f>
        <v>34086.844756497005</v>
      </c>
      <c r="M44" s="18">
        <f>L$44*'Population Treasury'!AE$64*'Statistics NZ'!AE$389/('Population Treasury'!AD$64*'Statistics NZ'!AD$389)</f>
        <v>34781.056841973121</v>
      </c>
      <c r="N44" s="18">
        <f>M$44*'Population Treasury'!AF$64*'Statistics NZ'!AF$389/('Population Treasury'!AE$64*'Statistics NZ'!AE$389)</f>
        <v>36342.608476947105</v>
      </c>
      <c r="O44" s="18">
        <f>N$44*'Population Treasury'!AG$64*'Statistics NZ'!AG$389/('Population Treasury'!AF$64*'Statistics NZ'!AF$389)</f>
        <v>38468.643182111664</v>
      </c>
      <c r="P44" s="18">
        <f>O$44*'Population Treasury'!AH$64*'Statistics NZ'!AH$389/('Population Treasury'!AG$64*'Statistics NZ'!AG$389)</f>
        <v>39455.581932493267</v>
      </c>
      <c r="Q44" s="18">
        <f>P$44*'Population Treasury'!AI$64*'Statistics NZ'!AI$389/('Population Treasury'!AH$64*'Statistics NZ'!AH$389)</f>
        <v>41077.773864188486</v>
      </c>
      <c r="R44" s="18">
        <f>Q$44*'Population Treasury'!AJ$64*'Statistics NZ'!AJ$389/('Population Treasury'!AI$64*'Statistics NZ'!AI$389)</f>
        <v>41873.264524334561</v>
      </c>
      <c r="S44" s="18">
        <f>R$44*'Population Treasury'!AK$64*'Statistics NZ'!AK$389/('Population Treasury'!AJ$64*'Statistics NZ'!AJ$389)</f>
        <v>41579.973305716398</v>
      </c>
    </row>
    <row r="45" spans="1:19" x14ac:dyDescent="0.25">
      <c r="A45" s="12">
        <v>50</v>
      </c>
      <c r="B45" s="28">
        <f>'Population Treasury'!T$65*'Statistics NZ'!T$390*'Economic Forecasts'!V$8/B$7</f>
        <v>28343.444368467328</v>
      </c>
      <c r="C45" s="28">
        <f>'Population Treasury'!U$65*'Statistics NZ'!U$390*'Economic Forecasts'!W$8/C$7</f>
        <v>27230.754828374083</v>
      </c>
      <c r="D45" s="28">
        <f>'Population Treasury'!V$65*'Statistics NZ'!V$390*'Economic Forecasts'!X$8/D$7</f>
        <v>26182.126972485858</v>
      </c>
      <c r="E45" s="28">
        <f>'Population Treasury'!W$65*'Statistics NZ'!W$390*'Economic Forecasts'!Y$8/E$7</f>
        <v>26661.466845986724</v>
      </c>
      <c r="F45" s="28">
        <f>'Population Treasury'!X$65*'Statistics NZ'!X$390*'Economic Forecasts'!Z$8/F$7</f>
        <v>26856.738043001591</v>
      </c>
      <c r="G45" s="28">
        <f>'Population Treasury'!Y$65*'Statistics NZ'!Y$390*'Economic Forecasts'!AA$8/G$7</f>
        <v>28072.346883739003</v>
      </c>
      <c r="H45" s="28">
        <f>'Population Treasury'!Z$65*'Statistics NZ'!Z$390*'Economic Forecasts'!AB$8/H$7</f>
        <v>28812.728174434447</v>
      </c>
      <c r="I45" s="28">
        <f>'Population Treasury'!AA$65*'Statistics NZ'!AA$390*'Economic Forecasts'!AC$8/I$7</f>
        <v>29616.357775807599</v>
      </c>
      <c r="J45" s="18">
        <f>I$45*'Population Treasury'!AB$65*'Statistics NZ'!AB$390/('Population Treasury'!AA$65*'Statistics NZ'!AA$390)</f>
        <v>30865.843680339149</v>
      </c>
      <c r="K45" s="18">
        <f>J$45*'Population Treasury'!AC$65*'Statistics NZ'!AC$390/('Population Treasury'!AB$65*'Statistics NZ'!AB$390)</f>
        <v>31943.787076963767</v>
      </c>
      <c r="L45" s="18">
        <f>K$45*'Population Treasury'!AD$65*'Statistics NZ'!AD$390/('Population Treasury'!AC$65*'Statistics NZ'!AC$390)</f>
        <v>32688.599207584732</v>
      </c>
      <c r="M45" s="18">
        <f>L$45*'Population Treasury'!AE$65*'Statistics NZ'!AE$390/('Population Treasury'!AD$65*'Statistics NZ'!AD$390)</f>
        <v>33977.778762578331</v>
      </c>
      <c r="N45" s="18">
        <f>M$45*'Population Treasury'!AF$65*'Statistics NZ'!AF$390/('Population Treasury'!AE$65*'Statistics NZ'!AE$390)</f>
        <v>34662.123451525134</v>
      </c>
      <c r="O45" s="18">
        <f>N$45*'Population Treasury'!AG$65*'Statistics NZ'!AG$390/('Population Treasury'!AF$65*'Statistics NZ'!AF$390)</f>
        <v>36223.652301886534</v>
      </c>
      <c r="P45" s="18">
        <f>O$45*'Population Treasury'!AH$65*'Statistics NZ'!AH$390/('Population Treasury'!AG$65*'Statistics NZ'!AG$390)</f>
        <v>38339.909371746136</v>
      </c>
      <c r="Q45" s="18">
        <f>P$45*'Population Treasury'!AI$65*'Statistics NZ'!AI$390/('Population Treasury'!AH$65*'Statistics NZ'!AH$390)</f>
        <v>39316.77812857434</v>
      </c>
      <c r="R45" s="18">
        <f>Q$45*'Population Treasury'!AJ$65*'Statistics NZ'!AJ$390/('Population Treasury'!AI$65*'Statistics NZ'!AI$390)</f>
        <v>40929.02539005164</v>
      </c>
      <c r="S45" s="18">
        <f>R$45*'Population Treasury'!AK$65*'Statistics NZ'!AK$390/('Population Treasury'!AJ$65*'Statistics NZ'!AJ$390)</f>
        <v>41714.597037754065</v>
      </c>
    </row>
    <row r="46" spans="1:19" x14ac:dyDescent="0.25">
      <c r="A46" s="12">
        <v>51</v>
      </c>
      <c r="B46" s="28">
        <f>'Population Treasury'!T$66*'Statistics NZ'!T$391*'Economic Forecasts'!V$8/B$7</f>
        <v>28867.956432548606</v>
      </c>
      <c r="C46" s="28">
        <f>'Population Treasury'!U$66*'Statistics NZ'!U$391*'Economic Forecasts'!W$8/C$7</f>
        <v>27916.615267572161</v>
      </c>
      <c r="D46" s="28">
        <f>'Population Treasury'!V$66*'Statistics NZ'!V$391*'Economic Forecasts'!X$8/D$7</f>
        <v>26931.7584910814</v>
      </c>
      <c r="E46" s="28">
        <f>'Population Treasury'!W$66*'Statistics NZ'!W$391*'Economic Forecasts'!Y$8/E$7</f>
        <v>26105.609093298433</v>
      </c>
      <c r="F46" s="28">
        <f>'Population Treasury'!X$66*'Statistics NZ'!X$391*'Economic Forecasts'!Z$8/F$7</f>
        <v>26641.339507342571</v>
      </c>
      <c r="G46" s="28">
        <f>'Population Treasury'!Y$66*'Statistics NZ'!Y$391*'Economic Forecasts'!AA$8/G$7</f>
        <v>26805.76225796236</v>
      </c>
      <c r="H46" s="28">
        <f>'Population Treasury'!Z$66*'Statistics NZ'!Z$391*'Economic Forecasts'!AB$8/H$7</f>
        <v>27996.00323165689</v>
      </c>
      <c r="I46" s="28">
        <f>'Population Treasury'!AA$66*'Statistics NZ'!AA$391*'Economic Forecasts'!AC$8/I$7</f>
        <v>28719.518003185345</v>
      </c>
      <c r="J46" s="18">
        <f>I$46*'Population Treasury'!AB$66*'Statistics NZ'!AB$391/('Population Treasury'!AA$66*'Statistics NZ'!AA$391)</f>
        <v>29484.988371975152</v>
      </c>
      <c r="K46" s="18">
        <f>J$46*'Population Treasury'!AC$66*'Statistics NZ'!AC$391/('Population Treasury'!AB$66*'Statistics NZ'!AB$391)</f>
        <v>30724.29856133927</v>
      </c>
      <c r="L46" s="18">
        <f>K$46*'Population Treasury'!AD$66*'Statistics NZ'!AD$391/('Population Treasury'!AC$66*'Statistics NZ'!AC$391)</f>
        <v>31801.893431260476</v>
      </c>
      <c r="M46" s="18">
        <f>L$46*'Population Treasury'!AE$66*'Statistics NZ'!AE$391/('Population Treasury'!AD$66*'Statistics NZ'!AD$391)</f>
        <v>32526.532696331229</v>
      </c>
      <c r="N46" s="18">
        <f>M$46*'Population Treasury'!AF$66*'Statistics NZ'!AF$391/('Population Treasury'!AE$66*'Statistics NZ'!AE$391)</f>
        <v>33815.844488631832</v>
      </c>
      <c r="O46" s="18">
        <f>N$46*'Population Treasury'!AG$66*'Statistics NZ'!AG$391/('Population Treasury'!AF$66*'Statistics NZ'!AF$391)</f>
        <v>34490.289573999078</v>
      </c>
      <c r="P46" s="18">
        <f>O$46*'Population Treasury'!AH$66*'Statistics NZ'!AH$391/('Population Treasury'!AG$66*'Statistics NZ'!AG$391)</f>
        <v>36041.854842207649</v>
      </c>
      <c r="Q46" s="18">
        <f>P$46*'Population Treasury'!AI$66*'Statistics NZ'!AI$391/('Population Treasury'!AH$66*'Statistics NZ'!AH$391)</f>
        <v>38147.945736207992</v>
      </c>
      <c r="R46" s="18">
        <f>Q$46*'Population Treasury'!AJ$66*'Statistics NZ'!AJ$391/('Population Treasury'!AI$66*'Statistics NZ'!AI$391)</f>
        <v>39115.02769347791</v>
      </c>
      <c r="S46" s="18">
        <f>R$46*'Population Treasury'!AK$66*'Statistics NZ'!AK$391/('Population Treasury'!AJ$66*'Statistics NZ'!AJ$391)</f>
        <v>40717.281986500879</v>
      </c>
    </row>
    <row r="47" spans="1:19" x14ac:dyDescent="0.25">
      <c r="A47" s="12">
        <v>52</v>
      </c>
      <c r="B47" s="28">
        <f>'Population Treasury'!T$67*'Statistics NZ'!T$392*'Economic Forecasts'!V$8/B$7</f>
        <v>29323.193318354995</v>
      </c>
      <c r="C47" s="28">
        <f>'Population Treasury'!U$67*'Statistics NZ'!U$392*'Economic Forecasts'!W$8/C$7</f>
        <v>28386.939885388423</v>
      </c>
      <c r="D47" s="28">
        <f>'Population Treasury'!V$67*'Statistics NZ'!V$392*'Economic Forecasts'!X$8/D$7</f>
        <v>27564.577892725221</v>
      </c>
      <c r="E47" s="28">
        <f>'Population Treasury'!W$67*'Statistics NZ'!W$392*'Economic Forecasts'!Y$8/E$7</f>
        <v>26817.500420999964</v>
      </c>
      <c r="F47" s="28">
        <f>'Population Treasury'!X$67*'Statistics NZ'!X$392*'Economic Forecasts'!Z$8/F$7</f>
        <v>26053.897152484868</v>
      </c>
      <c r="G47" s="28">
        <f>'Population Treasury'!Y$67*'Statistics NZ'!Y$392*'Economic Forecasts'!AA$8/G$7</f>
        <v>26560.292906329418</v>
      </c>
      <c r="H47" s="28">
        <f>'Population Treasury'!Z$67*'Statistics NZ'!Z$392*'Economic Forecasts'!AB$8/H$7</f>
        <v>26697.117106282072</v>
      </c>
      <c r="I47" s="28">
        <f>'Population Treasury'!AA$67*'Statistics NZ'!AA$392*'Economic Forecasts'!AC$8/I$7</f>
        <v>27871.953738736102</v>
      </c>
      <c r="J47" s="18">
        <f>I$47*'Population Treasury'!AB$67*'Statistics NZ'!AB$392/('Population Treasury'!AA$67*'Statistics NZ'!AA$392)</f>
        <v>28556.886053519615</v>
      </c>
      <c r="K47" s="18">
        <f>J$47*'Population Treasury'!AC$67*'Statistics NZ'!AC$392/('Population Treasury'!AB$67*'Statistics NZ'!AB$392)</f>
        <v>29312.193725197401</v>
      </c>
      <c r="L47" s="18">
        <f>K$47*'Population Treasury'!AD$67*'Statistics NZ'!AD$392/('Population Treasury'!AC$67*'Statistics NZ'!AC$392)</f>
        <v>30551.11474663045</v>
      </c>
      <c r="M47" s="18">
        <f>L$47*'Population Treasury'!AE$67*'Statistics NZ'!AE$392/('Population Treasury'!AD$67*'Statistics NZ'!AD$392)</f>
        <v>31618.552679388256</v>
      </c>
      <c r="N47" s="18">
        <f>M$47*'Population Treasury'!AF$67*'Statistics NZ'!AF$392/('Population Treasury'!AE$67*'Statistics NZ'!AE$392)</f>
        <v>32343.341794972246</v>
      </c>
      <c r="O47" s="18">
        <f>N$47*'Population Treasury'!AG$67*'Statistics NZ'!AG$392/('Population Treasury'!AF$67*'Statistics NZ'!AF$392)</f>
        <v>33622.521450958171</v>
      </c>
      <c r="P47" s="18">
        <f>O$47*'Population Treasury'!AH$67*'Statistics NZ'!AH$392/('Population Treasury'!AG$67*'Statistics NZ'!AG$392)</f>
        <v>34297.108486116071</v>
      </c>
      <c r="Q47" s="18">
        <f>P$47*'Population Treasury'!AI$67*'Statistics NZ'!AI$392/('Population Treasury'!AH$67*'Statistics NZ'!AH$392)</f>
        <v>35828.619030184309</v>
      </c>
      <c r="R47" s="18">
        <f>Q$47*'Population Treasury'!AJ$67*'Statistics NZ'!AJ$392/('Population Treasury'!AI$67*'Statistics NZ'!AI$392)</f>
        <v>37924.669788177511</v>
      </c>
      <c r="S47" s="18">
        <f>R$47*'Population Treasury'!AK$67*'Statistics NZ'!AK$392/('Population Treasury'!AJ$67*'Statistics NZ'!AJ$392)</f>
        <v>38881.786222703937</v>
      </c>
    </row>
    <row r="48" spans="1:19" x14ac:dyDescent="0.25">
      <c r="A48" s="12">
        <v>53</v>
      </c>
      <c r="B48" s="28">
        <f>'Population Treasury'!T$68*'Statistics NZ'!T$393*'Economic Forecasts'!V$8/B$7</f>
        <v>29402.364950669144</v>
      </c>
      <c r="C48" s="28">
        <f>'Population Treasury'!U$68*'Statistics NZ'!U$393*'Economic Forecasts'!W$8/C$7</f>
        <v>28847.467238432844</v>
      </c>
      <c r="D48" s="28">
        <f>'Population Treasury'!V$68*'Statistics NZ'!V$393*'Economic Forecasts'!X$8/D$7</f>
        <v>28041.63397460285</v>
      </c>
      <c r="E48" s="28">
        <f>'Population Treasury'!W$68*'Statistics NZ'!W$393*'Economic Forecasts'!Y$8/E$7</f>
        <v>27451.376439323649</v>
      </c>
      <c r="F48" s="28">
        <f>'Population Treasury'!X$68*'Statistics NZ'!X$393*'Economic Forecasts'!Z$8/F$7</f>
        <v>26758.812030519442</v>
      </c>
      <c r="G48" s="28">
        <f>'Population Treasury'!Y$68*'Statistics NZ'!Y$393*'Economic Forecasts'!AA$8/G$7</f>
        <v>25971.177938843284</v>
      </c>
      <c r="H48" s="28">
        <f>'Population Treasury'!Z$68*'Statistics NZ'!Z$393*'Economic Forecasts'!AB$8/H$7</f>
        <v>26451.109637529164</v>
      </c>
      <c r="I48" s="28">
        <f>'Population Treasury'!AA$68*'Statistics NZ'!AA$393*'Economic Forecasts'!AC$8/I$7</f>
        <v>26580.899508906306</v>
      </c>
      <c r="J48" s="18">
        <f>I$48*'Population Treasury'!AB$68*'Statistics NZ'!AB$393/('Population Treasury'!AA$68*'Statistics NZ'!AA$393)</f>
        <v>27729.386817540493</v>
      </c>
      <c r="K48" s="18">
        <f>J$48*'Population Treasury'!AC$68*'Statistics NZ'!AC$393/('Population Treasury'!AB$68*'Statistics NZ'!AB$393)</f>
        <v>28404.181999533743</v>
      </c>
      <c r="L48" s="18">
        <f>K$48*'Population Treasury'!AD$68*'Statistics NZ'!AD$393/('Population Treasury'!AC$68*'Statistics NZ'!AC$393)</f>
        <v>29159.16554750349</v>
      </c>
      <c r="M48" s="18">
        <f>L$48*'Population Treasury'!AE$68*'Statistics NZ'!AE$393/('Population Treasury'!AD$68*'Statistics NZ'!AD$393)</f>
        <v>30387.936709301026</v>
      </c>
      <c r="N48" s="18">
        <f>M$48*'Population Treasury'!AF$68*'Statistics NZ'!AF$393/('Population Treasury'!AE$68*'Statistics NZ'!AE$393)</f>
        <v>31445.453548144676</v>
      </c>
      <c r="O48" s="18">
        <f>N$48*'Population Treasury'!AG$68*'Statistics NZ'!AG$393/('Population Treasury'!AF$68*'Statistics NZ'!AF$393)</f>
        <v>32160.338281514785</v>
      </c>
      <c r="P48" s="18">
        <f>O$48*'Population Treasury'!AH$68*'Statistics NZ'!AH$393/('Population Treasury'!AG$68*'Statistics NZ'!AG$393)</f>
        <v>33439.464941740931</v>
      </c>
      <c r="Q48" s="18">
        <f>P$48*'Population Treasury'!AI$68*'Statistics NZ'!AI$393/('Population Treasury'!AH$68*'Statistics NZ'!AH$393)</f>
        <v>34104.135444027437</v>
      </c>
      <c r="R48" s="18">
        <f>Q$48*'Population Treasury'!AJ$68*'Statistics NZ'!AJ$393/('Population Treasury'!AI$68*'Statistics NZ'!AI$393)</f>
        <v>35625.657005916</v>
      </c>
      <c r="S48" s="18">
        <f>R$48*'Population Treasury'!AK$68*'Statistics NZ'!AK$393/('Population Treasury'!AJ$68*'Statistics NZ'!AJ$393)</f>
        <v>37701.754732925132</v>
      </c>
    </row>
    <row r="49" spans="1:19" x14ac:dyDescent="0.25">
      <c r="A49" s="12">
        <v>54</v>
      </c>
      <c r="B49" s="28">
        <f>'Population Treasury'!T$69*'Statistics NZ'!T$394*'Economic Forecasts'!V$8/B$7</f>
        <v>27878.311028621672</v>
      </c>
      <c r="C49" s="28">
        <f>'Population Treasury'!U$69*'Statistics NZ'!U$394*'Economic Forecasts'!W$8/C$7</f>
        <v>28925.892903841206</v>
      </c>
      <c r="D49" s="28">
        <f>'Population Treasury'!V$69*'Statistics NZ'!V$394*'Economic Forecasts'!X$8/D$7</f>
        <v>28489.488484812427</v>
      </c>
      <c r="E49" s="28">
        <f>'Population Treasury'!W$69*'Statistics NZ'!W$394*'Economic Forecasts'!Y$8/E$7</f>
        <v>27929.221883761184</v>
      </c>
      <c r="F49" s="28">
        <f>'Population Treasury'!X$69*'Statistics NZ'!X$394*'Economic Forecasts'!Z$8/F$7</f>
        <v>27404.98351431176</v>
      </c>
      <c r="G49" s="28">
        <f>'Population Treasury'!Y$69*'Statistics NZ'!Y$394*'Economic Forecasts'!AA$8/G$7</f>
        <v>26687.913567162959</v>
      </c>
      <c r="H49" s="28">
        <f>'Population Treasury'!Z$69*'Statistics NZ'!Z$394*'Economic Forecasts'!AB$8/H$7</f>
        <v>25880.382906257368</v>
      </c>
      <c r="I49" s="28">
        <f>'Population Treasury'!AA$69*'Statistics NZ'!AA$394*'Economic Forecasts'!AC$8/I$7</f>
        <v>26354.220584452207</v>
      </c>
      <c r="J49" s="18">
        <f>I$49*'Population Treasury'!AB$69*'Statistics NZ'!AB$394/('Population Treasury'!AA$69*'Statistics NZ'!AA$394)</f>
        <v>26444.122989094332</v>
      </c>
      <c r="K49" s="18">
        <f>J$49*'Population Treasury'!AC$69*'Statistics NZ'!AC$394/('Population Treasury'!AB$69*'Statistics NZ'!AB$394)</f>
        <v>27582.589905194334</v>
      </c>
      <c r="L49" s="18">
        <f>K$49*'Population Treasury'!AD$69*'Statistics NZ'!AD$394/('Population Treasury'!AC$69*'Statistics NZ'!AC$394)</f>
        <v>28257.02083440686</v>
      </c>
      <c r="M49" s="18">
        <f>L$49*'Population Treasury'!AE$69*'Statistics NZ'!AE$394/('Population Treasury'!AD$69*'Statistics NZ'!AD$394)</f>
        <v>29001.852761613387</v>
      </c>
      <c r="N49" s="18">
        <f>M$49*'Population Treasury'!AF$69*'Statistics NZ'!AF$394/('Population Treasury'!AE$69*'Statistics NZ'!AE$394)</f>
        <v>30220.477123792909</v>
      </c>
      <c r="O49" s="18">
        <f>N$49*'Population Treasury'!AG$69*'Statistics NZ'!AG$394/('Population Treasury'!AF$69*'Statistics NZ'!AF$394)</f>
        <v>31277.921640837187</v>
      </c>
      <c r="P49" s="18">
        <f>O$49*'Population Treasury'!AH$69*'Statistics NZ'!AH$394/('Population Treasury'!AG$69*'Statistics NZ'!AG$394)</f>
        <v>31992.761127618312</v>
      </c>
      <c r="Q49" s="18">
        <f>P$49*'Population Treasury'!AI$69*'Statistics NZ'!AI$394/('Population Treasury'!AH$69*'Statistics NZ'!AH$394)</f>
        <v>33252.172057804462</v>
      </c>
      <c r="R49" s="18">
        <f>Q$49*'Population Treasury'!AJ$69*'Statistics NZ'!AJ$394/('Population Treasury'!AI$69*'Statistics NZ'!AI$394)</f>
        <v>33916.637573379368</v>
      </c>
      <c r="S49" s="18">
        <f>R$49*'Population Treasury'!AK$69*'Statistics NZ'!AK$394/('Population Treasury'!AJ$69*'Statistics NZ'!AJ$394)</f>
        <v>35438.211917742839</v>
      </c>
    </row>
    <row r="50" spans="1:19" x14ac:dyDescent="0.25">
      <c r="A50" s="12">
        <v>55</v>
      </c>
      <c r="B50" s="28">
        <f>'Population Treasury'!T$70*'Statistics NZ'!T$395*'Economic Forecasts'!V$8/B$7</f>
        <v>27522.038683207975</v>
      </c>
      <c r="C50" s="28">
        <f>'Population Treasury'!U$70*'Statistics NZ'!U$395*'Economic Forecasts'!W$8/C$7</f>
        <v>27348.72022587906</v>
      </c>
      <c r="D50" s="28">
        <f>'Population Treasury'!V$70*'Statistics NZ'!V$395*'Economic Forecasts'!X$8/D$7</f>
        <v>28492.778483831065</v>
      </c>
      <c r="E50" s="28">
        <f>'Population Treasury'!W$70*'Statistics NZ'!W$395*'Economic Forecasts'!Y$8/E$7</f>
        <v>28318.511289659386</v>
      </c>
      <c r="F50" s="28">
        <f>'Population Treasury'!X$70*'Statistics NZ'!X$395*'Economic Forecasts'!Z$8/F$7</f>
        <v>27829.416005148363</v>
      </c>
      <c r="G50" s="28">
        <f>'Population Treasury'!Y$70*'Statistics NZ'!Y$395*'Economic Forecasts'!AA$8/G$7</f>
        <v>27281.407163392007</v>
      </c>
      <c r="H50" s="28">
        <f>'Population Treasury'!Z$70*'Statistics NZ'!Z$395*'Economic Forecasts'!AB$8/H$7</f>
        <v>26553.245949976557</v>
      </c>
      <c r="I50" s="28">
        <f>'Population Treasury'!AA$70*'Statistics NZ'!AA$395*'Economic Forecasts'!AC$8/I$7</f>
        <v>25736.692656813455</v>
      </c>
      <c r="J50" s="18">
        <f>I$50*'Population Treasury'!AB$70*'Statistics NZ'!AB$395/('Population Treasury'!AA$70*'Statistics NZ'!AA$395)</f>
        <v>26171.966124213068</v>
      </c>
      <c r="K50" s="18">
        <f>J$50*'Population Treasury'!AC$70*'Statistics NZ'!AC$395/('Population Treasury'!AB$70*'Statistics NZ'!AB$395)</f>
        <v>26263.485947776484</v>
      </c>
      <c r="L50" s="18">
        <f>K$50*'Population Treasury'!AD$70*'Statistics NZ'!AD$395/('Population Treasury'!AC$70*'Statistics NZ'!AC$395)</f>
        <v>27392.167063996767</v>
      </c>
      <c r="M50" s="18">
        <f>L$50*'Population Treasury'!AE$70*'Statistics NZ'!AE$395/('Population Treasury'!AD$70*'Statistics NZ'!AD$395)</f>
        <v>28066.329375707253</v>
      </c>
      <c r="N50" s="18">
        <f>M$50*'Population Treasury'!AF$70*'Statistics NZ'!AF$395/('Population Treasury'!AE$70*'Statistics NZ'!AE$395)</f>
        <v>28801.2306794898</v>
      </c>
      <c r="O50" s="18">
        <f>N$50*'Population Treasury'!AG$70*'Statistics NZ'!AG$395/('Population Treasury'!AF$70*'Statistics NZ'!AF$395)</f>
        <v>30010.031121792254</v>
      </c>
      <c r="P50" s="18">
        <f>O$50*'Population Treasury'!AH$70*'Statistics NZ'!AH$395/('Population Treasury'!AG$70*'Statistics NZ'!AG$395)</f>
        <v>31057.489640663334</v>
      </c>
      <c r="Q50" s="18">
        <f>P$50*'Population Treasury'!AI$70*'Statistics NZ'!AI$395/('Population Treasury'!AH$70*'Statistics NZ'!AH$395)</f>
        <v>31772.113575094441</v>
      </c>
      <c r="R50" s="18">
        <f>Q$50*'Population Treasury'!AJ$70*'Statistics NZ'!AJ$395/('Population Treasury'!AI$70*'Statistics NZ'!AI$395)</f>
        <v>33021.507245431094</v>
      </c>
      <c r="S50" s="18">
        <f>R$50*'Population Treasury'!AK$70*'Statistics NZ'!AK$395/('Population Treasury'!AJ$70*'Statistics NZ'!AJ$395)</f>
        <v>33676.023305979877</v>
      </c>
    </row>
    <row r="51" spans="1:19" x14ac:dyDescent="0.25">
      <c r="A51" s="12">
        <v>56</v>
      </c>
      <c r="B51" s="28">
        <f>'Population Treasury'!T$71*'Statistics NZ'!T$396*'Economic Forecasts'!V$8/B$7</f>
        <v>26542.289733320311</v>
      </c>
      <c r="C51" s="28">
        <f>'Population Treasury'!U$71*'Statistics NZ'!U$396*'Economic Forecasts'!W$8/C$7</f>
        <v>26986.489113762702</v>
      </c>
      <c r="D51" s="28">
        <f>'Population Treasury'!V$71*'Statistics NZ'!V$396*'Economic Forecasts'!X$8/D$7</f>
        <v>26954.845558443605</v>
      </c>
      <c r="E51" s="28">
        <f>'Population Treasury'!W$71*'Statistics NZ'!W$396*'Economic Forecasts'!Y$8/E$7</f>
        <v>28328.273709893496</v>
      </c>
      <c r="F51" s="28">
        <f>'Population Treasury'!X$71*'Statistics NZ'!X$396*'Economic Forecasts'!Z$8/F$7</f>
        <v>28211.203455464245</v>
      </c>
      <c r="G51" s="28">
        <f>'Population Treasury'!Y$71*'Statistics NZ'!Y$396*'Economic Forecasts'!AA$8/G$7</f>
        <v>27693.725557213878</v>
      </c>
      <c r="H51" s="28">
        <f>'Population Treasury'!Z$71*'Statistics NZ'!Z$396*'Economic Forecasts'!AB$8/H$7</f>
        <v>27123.915790303112</v>
      </c>
      <c r="I51" s="28">
        <f>'Population Treasury'!AA$71*'Statistics NZ'!AA$396*'Economic Forecasts'!AC$8/I$7</f>
        <v>26387.101105888036</v>
      </c>
      <c r="J51" s="18">
        <f>I$51*'Population Treasury'!AB$71*'Statistics NZ'!AB$396/('Population Treasury'!AA$71*'Statistics NZ'!AA$396)</f>
        <v>25521.545863414547</v>
      </c>
      <c r="K51" s="18">
        <f>J$51*'Population Treasury'!AC$71*'Statistics NZ'!AC$396/('Population Treasury'!AB$71*'Statistics NZ'!AB$396)</f>
        <v>25955.801685356084</v>
      </c>
      <c r="L51" s="18">
        <f>K$51*'Population Treasury'!AD$71*'Statistics NZ'!AD$396/('Population Treasury'!AC$71*'Statistics NZ'!AC$396)</f>
        <v>26045.788888105832</v>
      </c>
      <c r="M51" s="18">
        <f>L$51*'Population Treasury'!AE$71*'Statistics NZ'!AE$396/('Population Treasury'!AD$71*'Statistics NZ'!AD$396)</f>
        <v>27163.489122274335</v>
      </c>
      <c r="N51" s="18">
        <f>M$51*'Population Treasury'!AF$71*'Statistics NZ'!AF$396/('Population Treasury'!AE$71*'Statistics NZ'!AE$396)</f>
        <v>27837.701021149056</v>
      </c>
      <c r="O51" s="18">
        <f>N$51*'Population Treasury'!AG$71*'Statistics NZ'!AG$396/('Population Treasury'!AF$71*'Statistics NZ'!AF$396)</f>
        <v>28572.467254439034</v>
      </c>
      <c r="P51" s="18">
        <f>O$51*'Population Treasury'!AH$71*'Statistics NZ'!AH$396/('Population Treasury'!AG$71*'Statistics NZ'!AG$396)</f>
        <v>29771.023222332176</v>
      </c>
      <c r="Q51" s="18">
        <f>P$51*'Population Treasury'!AI$71*'Statistics NZ'!AI$396/('Population Treasury'!AH$71*'Statistics NZ'!AH$396)</f>
        <v>30808.433345425849</v>
      </c>
      <c r="R51" s="18">
        <f>Q$51*'Population Treasury'!AJ$71*'Statistics NZ'!AJ$396/('Population Treasury'!AI$71*'Statistics NZ'!AI$396)</f>
        <v>31513.20809647768</v>
      </c>
      <c r="S51" s="18">
        <f>R$51*'Population Treasury'!AK$71*'Statistics NZ'!AK$396/('Population Treasury'!AJ$71*'Statistics NZ'!AJ$396)</f>
        <v>32752.363700786827</v>
      </c>
    </row>
    <row r="52" spans="1:19" x14ac:dyDescent="0.25">
      <c r="A52" s="12">
        <v>57</v>
      </c>
      <c r="B52" s="28">
        <f>'Population Treasury'!T$72*'Statistics NZ'!T$397*'Economic Forecasts'!V$8/B$7</f>
        <v>25859.434404610729</v>
      </c>
      <c r="C52" s="28">
        <f>'Population Treasury'!U$72*'Statistics NZ'!U$397*'Economic Forecasts'!W$8/C$7</f>
        <v>26036.396459275213</v>
      </c>
      <c r="D52" s="28">
        <f>'Population Treasury'!V$72*'Statistics NZ'!V$397*'Economic Forecasts'!X$8/D$7</f>
        <v>26614.33936731227</v>
      </c>
      <c r="E52" s="28">
        <f>'Population Treasury'!W$72*'Statistics NZ'!W$397*'Economic Forecasts'!Y$8/E$7</f>
        <v>26816.737693504605</v>
      </c>
      <c r="F52" s="28">
        <f>'Population Treasury'!X$72*'Statistics NZ'!X$397*'Economic Forecasts'!Z$8/F$7</f>
        <v>28240.531561040771</v>
      </c>
      <c r="G52" s="28">
        <f>'Population Treasury'!Y$72*'Statistics NZ'!Y$397*'Economic Forecasts'!AA$8/G$7</f>
        <v>28096.226163420419</v>
      </c>
      <c r="H52" s="28">
        <f>'Population Treasury'!Z$72*'Statistics NZ'!Z$397*'Economic Forecasts'!AB$8/H$7</f>
        <v>27556.830728582445</v>
      </c>
      <c r="I52" s="28">
        <f>'Population Treasury'!AA$72*'Statistics NZ'!AA$397*'Economic Forecasts'!AC$8/I$7</f>
        <v>26988.237202256671</v>
      </c>
      <c r="J52" s="18">
        <f>I$52*'Population Treasury'!AB$72*'Statistics NZ'!AB$397/('Population Treasury'!AA$72*'Statistics NZ'!AA$397)</f>
        <v>26203.213666429107</v>
      </c>
      <c r="K52" s="18">
        <f>J$52*'Population Treasury'!AC$72*'Statistics NZ'!AC$397/('Population Treasury'!AB$72*'Statistics NZ'!AB$397)</f>
        <v>25346.685591562586</v>
      </c>
      <c r="L52" s="18">
        <f>K$52*'Population Treasury'!AD$72*'Statistics NZ'!AD$397/('Population Treasury'!AC$72*'Statistics NZ'!AC$397)</f>
        <v>25779.374858288447</v>
      </c>
      <c r="M52" s="18">
        <f>L$52*'Population Treasury'!AE$72*'Statistics NZ'!AE$397/('Population Treasury'!AD$72*'Statistics NZ'!AD$397)</f>
        <v>25868.59864358847</v>
      </c>
      <c r="N52" s="18">
        <f>M$52*'Population Treasury'!AF$72*'Statistics NZ'!AF$397/('Population Treasury'!AE$72*'Statistics NZ'!AE$397)</f>
        <v>26976.262035730448</v>
      </c>
      <c r="O52" s="18">
        <f>N$52*'Population Treasury'!AG$72*'Statistics NZ'!AG$397/('Population Treasury'!AF$72*'Statistics NZ'!AF$397)</f>
        <v>27640.492273535758</v>
      </c>
      <c r="P52" s="18">
        <f>O$52*'Population Treasury'!AH$72*'Statistics NZ'!AH$397/('Population Treasury'!AG$72*'Statistics NZ'!AG$397)</f>
        <v>28375.130895199698</v>
      </c>
      <c r="Q52" s="18">
        <f>P$52*'Population Treasury'!AI$72*'Statistics NZ'!AI$397/('Population Treasury'!AH$72*'Statistics NZ'!AH$397)</f>
        <v>29563.634793405916</v>
      </c>
      <c r="R52" s="18">
        <f>Q$52*'Population Treasury'!AJ$72*'Statistics NZ'!AJ$397/('Population Treasury'!AI$72*'Statistics NZ'!AI$397)</f>
        <v>30591.012420791903</v>
      </c>
      <c r="S52" s="18">
        <f>R$52*'Population Treasury'!AK$72*'Statistics NZ'!AK$397/('Population Treasury'!AJ$72*'Statistics NZ'!AJ$397)</f>
        <v>31295.677367638295</v>
      </c>
    </row>
    <row r="53" spans="1:19" x14ac:dyDescent="0.25">
      <c r="A53" s="12">
        <v>58</v>
      </c>
      <c r="B53" s="28">
        <f>'Population Treasury'!T$73*'Statistics NZ'!T$398*'Economic Forecasts'!V$8/B$7</f>
        <v>24800.513822408913</v>
      </c>
      <c r="C53" s="28">
        <f>'Population Treasury'!U$73*'Statistics NZ'!U$398*'Economic Forecasts'!W$8/C$7</f>
        <v>25282.350825623169</v>
      </c>
      <c r="D53" s="28">
        <f>'Population Treasury'!V$73*'Statistics NZ'!V$398*'Economic Forecasts'!X$8/D$7</f>
        <v>25582.720801058935</v>
      </c>
      <c r="E53" s="28">
        <f>'Population Treasury'!W$73*'Statistics NZ'!W$398*'Economic Forecasts'!Y$8/E$7</f>
        <v>26387.667756264658</v>
      </c>
      <c r="F53" s="28">
        <f>'Population Treasury'!X$73*'Statistics NZ'!X$398*'Economic Forecasts'!Z$8/F$7</f>
        <v>26644.604067872533</v>
      </c>
      <c r="G53" s="28">
        <f>'Population Treasury'!Y$73*'Statistics NZ'!Y$398*'Economic Forecasts'!AA$8/G$7</f>
        <v>28017.601785683397</v>
      </c>
      <c r="H53" s="28">
        <f>'Population Treasury'!Z$73*'Statistics NZ'!Z$398*'Economic Forecasts'!AB$8/H$7</f>
        <v>27861.8073258978</v>
      </c>
      <c r="I53" s="28">
        <f>'Population Treasury'!AA$73*'Statistics NZ'!AA$398*'Economic Forecasts'!AC$8/I$7</f>
        <v>27323.262058019303</v>
      </c>
      <c r="J53" s="18">
        <f>I$53*'Population Treasury'!AB$73*'Statistics NZ'!AB$398/('Population Treasury'!AA$73*'Statistics NZ'!AA$398)</f>
        <v>26709.391553886289</v>
      </c>
      <c r="K53" s="18">
        <f>J$53*'Population Treasury'!AC$73*'Statistics NZ'!AC$398/('Population Treasury'!AB$73*'Statistics NZ'!AB$398)</f>
        <v>25933.272329327137</v>
      </c>
      <c r="L53" s="18">
        <f>K$53*'Population Treasury'!AD$73*'Statistics NZ'!AD$398/('Population Treasury'!AC$73*'Statistics NZ'!AC$398)</f>
        <v>25095.531059588979</v>
      </c>
      <c r="M53" s="18">
        <f>L$53*'Population Treasury'!AE$73*'Statistics NZ'!AE$398/('Population Treasury'!AD$73*'Statistics NZ'!AD$398)</f>
        <v>25517.558153046291</v>
      </c>
      <c r="N53" s="18">
        <f>M$53*'Population Treasury'!AF$73*'Statistics NZ'!AF$398/('Population Treasury'!AE$73*'Statistics NZ'!AE$398)</f>
        <v>25616.578191382465</v>
      </c>
      <c r="O53" s="18">
        <f>N$53*'Population Treasury'!AG$73*'Statistics NZ'!AG$398/('Population Treasury'!AF$73*'Statistics NZ'!AF$398)</f>
        <v>26714.128925826346</v>
      </c>
      <c r="P53" s="18">
        <f>O$53*'Population Treasury'!AH$73*'Statistics NZ'!AH$398/('Population Treasury'!AG$73*'Statistics NZ'!AG$398)</f>
        <v>27368.151671913576</v>
      </c>
      <c r="Q53" s="18">
        <f>P$53*'Population Treasury'!AI$73*'Statistics NZ'!AI$398/('Population Treasury'!AH$73*'Statistics NZ'!AH$398)</f>
        <v>28102.618382159326</v>
      </c>
      <c r="R53" s="18">
        <f>Q$53*'Population Treasury'!AJ$73*'Statistics NZ'!AJ$398/('Population Treasury'!AI$73*'Statistics NZ'!AI$398)</f>
        <v>29281.006848101559</v>
      </c>
      <c r="S53" s="18">
        <f>R$53*'Population Treasury'!AK$73*'Statistics NZ'!AK$398/('Population Treasury'!AJ$73*'Statistics NZ'!AJ$398)</f>
        <v>30298.302846371658</v>
      </c>
    </row>
    <row r="54" spans="1:19" x14ac:dyDescent="0.25">
      <c r="A54" s="12">
        <v>59</v>
      </c>
      <c r="B54" s="28">
        <f>'Population Treasury'!T$74*'Statistics NZ'!T$399*'Economic Forecasts'!V$8/B$7</f>
        <v>24464.034385073752</v>
      </c>
      <c r="C54" s="28">
        <f>'Population Treasury'!U$74*'Statistics NZ'!U$399*'Economic Forecasts'!W$8/C$7</f>
        <v>24038.646760122341</v>
      </c>
      <c r="D54" s="28">
        <f>'Population Treasury'!V$74*'Statistics NZ'!V$399*'Economic Forecasts'!X$8/D$7</f>
        <v>24629.153410595434</v>
      </c>
      <c r="E54" s="28">
        <f>'Population Treasury'!W$74*'Statistics NZ'!W$399*'Economic Forecasts'!Y$8/E$7</f>
        <v>25158.949809585774</v>
      </c>
      <c r="F54" s="28">
        <f>'Population Treasury'!X$74*'Statistics NZ'!X$399*'Economic Forecasts'!Z$8/F$7</f>
        <v>25998.326012010966</v>
      </c>
      <c r="G54" s="28">
        <f>'Population Treasury'!Y$74*'Statistics NZ'!Y$399*'Economic Forecasts'!AA$8/G$7</f>
        <v>26220.706255039728</v>
      </c>
      <c r="H54" s="28">
        <f>'Population Treasury'!Z$74*'Statistics NZ'!Z$399*'Economic Forecasts'!AB$8/H$7</f>
        <v>27556.662758628241</v>
      </c>
      <c r="I54" s="28">
        <f>'Population Treasury'!AA$74*'Statistics NZ'!AA$399*'Economic Forecasts'!AC$8/I$7</f>
        <v>27392.156229934262</v>
      </c>
      <c r="J54" s="18">
        <f>I$54*'Population Treasury'!AB$74*'Statistics NZ'!AB$399/('Population Treasury'!AA$74*'Statistics NZ'!AA$399)</f>
        <v>26808.308884326023</v>
      </c>
      <c r="K54" s="18">
        <f>J$54*'Population Treasury'!AC$74*'Statistics NZ'!AC$399/('Population Treasury'!AB$74*'Statistics NZ'!AB$399)</f>
        <v>26213.480127288534</v>
      </c>
      <c r="L54" s="18">
        <f>K$54*'Population Treasury'!AD$74*'Statistics NZ'!AD$399/('Population Treasury'!AC$74*'Statistics NZ'!AC$399)</f>
        <v>25456.310932243025</v>
      </c>
      <c r="M54" s="18">
        <f>L$54*'Population Treasury'!AE$74*'Statistics NZ'!AE$399/('Population Treasury'!AD$74*'Statistics NZ'!AD$399)</f>
        <v>24637.710452571395</v>
      </c>
      <c r="N54" s="18">
        <f>M$54*'Population Treasury'!AF$74*'Statistics NZ'!AF$399/('Population Treasury'!AE$74*'Statistics NZ'!AE$399)</f>
        <v>25059.5423781442</v>
      </c>
      <c r="O54" s="18">
        <f>N$54*'Population Treasury'!AG$74*'Statistics NZ'!AG$399/('Population Treasury'!AF$74*'Statistics NZ'!AF$399)</f>
        <v>25148.671716962766</v>
      </c>
      <c r="P54" s="18">
        <f>O$54*'Population Treasury'!AH$74*'Statistics NZ'!AH$399/('Population Treasury'!AG$74*'Statistics NZ'!AG$399)</f>
        <v>26235.903959717773</v>
      </c>
      <c r="Q54" s="18">
        <f>P$54*'Population Treasury'!AI$74*'Statistics NZ'!AI$399/('Population Treasury'!AH$74*'Statistics NZ'!AH$399)</f>
        <v>26879.802197334535</v>
      </c>
      <c r="R54" s="18">
        <f>Q$54*'Population Treasury'!AJ$74*'Statistics NZ'!AJ$399/('Population Treasury'!AI$74*'Statistics NZ'!AI$399)</f>
        <v>27594.25746663853</v>
      </c>
      <c r="S54" s="18">
        <f>R$54*'Population Treasury'!AK$74*'Statistics NZ'!AK$399/('Population Treasury'!AJ$74*'Statistics NZ'!AJ$399)</f>
        <v>28752.455529982959</v>
      </c>
    </row>
    <row r="55" spans="1:19" x14ac:dyDescent="0.25">
      <c r="A55" s="12">
        <v>60</v>
      </c>
      <c r="B55" s="28">
        <f>'Population Treasury'!T$75*'Statistics NZ'!T$400*'Economic Forecasts'!V$8/B$7</f>
        <v>24285.898212366905</v>
      </c>
      <c r="C55" s="28">
        <f>'Population Treasury'!U$75*'Statistics NZ'!U$400*'Economic Forecasts'!W$8/C$7</f>
        <v>23479.918700963524</v>
      </c>
      <c r="D55" s="28">
        <f>'Population Treasury'!V$75*'Statistics NZ'!V$400*'Economic Forecasts'!X$8/D$7</f>
        <v>23199.387236051243</v>
      </c>
      <c r="E55" s="28">
        <f>'Population Treasury'!W$75*'Statistics NZ'!W$400*'Economic Forecasts'!Y$8/E$7</f>
        <v>23998.060700813949</v>
      </c>
      <c r="F55" s="28">
        <f>'Population Treasury'!X$75*'Statistics NZ'!X$400*'Economic Forecasts'!Z$8/F$7</f>
        <v>24560.910364034979</v>
      </c>
      <c r="G55" s="28">
        <f>'Population Treasury'!Y$75*'Statistics NZ'!Y$400*'Economic Forecasts'!AA$8/G$7</f>
        <v>25349.171570748531</v>
      </c>
      <c r="H55" s="28">
        <f>'Population Treasury'!Z$75*'Statistics NZ'!Z$400*'Economic Forecasts'!AB$8/H$7</f>
        <v>25551.275622934048</v>
      </c>
      <c r="I55" s="28">
        <f>'Population Treasury'!AA$75*'Statistics NZ'!AA$400*'Economic Forecasts'!AC$8/I$7</f>
        <v>26842.028869357491</v>
      </c>
      <c r="J55" s="18">
        <f>I$55*'Population Treasury'!AB$75*'Statistics NZ'!AB$400/('Population Treasury'!AA$75*'Statistics NZ'!AA$400)</f>
        <v>26642.371668503292</v>
      </c>
      <c r="K55" s="18">
        <f>J$55*'Population Treasury'!AC$75*'Statistics NZ'!AC$400/('Population Treasury'!AB$75*'Statistics NZ'!AB$400)</f>
        <v>26088.52177862063</v>
      </c>
      <c r="L55" s="18">
        <f>K$55*'Population Treasury'!AD$75*'Statistics NZ'!AD$400/('Population Treasury'!AC$75*'Statistics NZ'!AC$400)</f>
        <v>25512.960778574135</v>
      </c>
      <c r="M55" s="18">
        <f>L$55*'Population Treasury'!AE$75*'Statistics NZ'!AE$400/('Population Treasury'!AD$75*'Statistics NZ'!AD$400)</f>
        <v>24785.157394732596</v>
      </c>
      <c r="N55" s="18">
        <f>M$55*'Population Treasury'!AF$75*'Statistics NZ'!AF$400/('Population Treasury'!AE$75*'Statistics NZ'!AE$400)</f>
        <v>23987.000287129198</v>
      </c>
      <c r="O55" s="18">
        <f>N$55*'Population Treasury'!AG$75*'Statistics NZ'!AG$400/('Population Treasury'!AF$75*'Statistics NZ'!AF$400)</f>
        <v>24398.559329396125</v>
      </c>
      <c r="P55" s="18">
        <f>O$55*'Population Treasury'!AH$75*'Statistics NZ'!AH$400/('Population Treasury'!AG$75*'Statistics NZ'!AG$400)</f>
        <v>24487.867024043146</v>
      </c>
      <c r="Q55" s="18">
        <f>P$55*'Population Treasury'!AI$75*'Statistics NZ'!AI$400/('Population Treasury'!AH$75*'Statistics NZ'!AH$400)</f>
        <v>25544.923985716585</v>
      </c>
      <c r="R55" s="18">
        <f>Q$55*'Population Treasury'!AJ$75*'Statistics NZ'!AJ$400/('Population Treasury'!AI$75*'Statistics NZ'!AI$400)</f>
        <v>26178.608917066176</v>
      </c>
      <c r="S55" s="18">
        <f>R$55*'Population Treasury'!AK$75*'Statistics NZ'!AK$400/('Population Treasury'!AJ$75*'Statistics NZ'!AJ$400)</f>
        <v>26873.147056216523</v>
      </c>
    </row>
    <row r="56" spans="1:19" x14ac:dyDescent="0.25">
      <c r="A56" s="12">
        <v>61</v>
      </c>
      <c r="B56" s="28">
        <f>'Population Treasury'!T$76*'Statistics NZ'!T$401*'Economic Forecasts'!V$8/B$7</f>
        <v>23741.593240207094</v>
      </c>
      <c r="C56" s="28">
        <f>'Population Treasury'!U$76*'Statistics NZ'!U$401*'Economic Forecasts'!W$8/C$7</f>
        <v>23148.168609771452</v>
      </c>
      <c r="D56" s="28">
        <f>'Population Treasury'!V$76*'Statistics NZ'!V$401*'Economic Forecasts'!X$8/D$7</f>
        <v>22519.052985216655</v>
      </c>
      <c r="E56" s="28">
        <f>'Population Treasury'!W$76*'Statistics NZ'!W$401*'Economic Forecasts'!Y$8/E$7</f>
        <v>22457.313046325628</v>
      </c>
      <c r="F56" s="28">
        <f>'Population Treasury'!X$76*'Statistics NZ'!X$401*'Economic Forecasts'!Z$8/F$7</f>
        <v>23278.109711316843</v>
      </c>
      <c r="G56" s="28">
        <f>'Population Treasury'!Y$76*'Statistics NZ'!Y$401*'Economic Forecasts'!AA$8/G$7</f>
        <v>23787.742825837875</v>
      </c>
      <c r="H56" s="28">
        <f>'Population Treasury'!Z$76*'Statistics NZ'!Z$401*'Economic Forecasts'!AB$8/H$7</f>
        <v>24547.348522179615</v>
      </c>
      <c r="I56" s="28">
        <f>'Population Treasury'!AA$76*'Statistics NZ'!AA$401*'Economic Forecasts'!AC$8/I$7</f>
        <v>24732.76877103838</v>
      </c>
      <c r="J56" s="18">
        <f>I$56*'Population Treasury'!AB$76*'Statistics NZ'!AB$401/('Population Treasury'!AA$76*'Statistics NZ'!AA$401)</f>
        <v>25964.832317828164</v>
      </c>
      <c r="K56" s="18">
        <f>J$56*'Population Treasury'!AC$76*'Statistics NZ'!AC$401/('Population Treasury'!AB$76*'Statistics NZ'!AB$401)</f>
        <v>25783.842498355472</v>
      </c>
      <c r="L56" s="18">
        <f>K$56*'Population Treasury'!AD$76*'Statistics NZ'!AD$401/('Population Treasury'!AC$76*'Statistics NZ'!AC$401)</f>
        <v>25248.530438118069</v>
      </c>
      <c r="M56" s="18">
        <f>L$56*'Population Treasury'!AE$76*'Statistics NZ'!AE$401/('Population Treasury'!AD$76*'Statistics NZ'!AD$401)</f>
        <v>24692.204581979939</v>
      </c>
      <c r="N56" s="18">
        <f>M$56*'Population Treasury'!AF$76*'Statistics NZ'!AF$401/('Population Treasury'!AE$76*'Statistics NZ'!AE$401)</f>
        <v>23994.650386445333</v>
      </c>
      <c r="O56" s="18">
        <f>N$56*'Population Treasury'!AG$76*'Statistics NZ'!AG$401/('Population Treasury'!AF$76*'Statistics NZ'!AF$401)</f>
        <v>23226.958046194493</v>
      </c>
      <c r="P56" s="18">
        <f>O$56*'Population Treasury'!AH$76*'Statistics NZ'!AH$401/('Population Treasury'!AG$76*'Statistics NZ'!AG$401)</f>
        <v>23628.671970070249</v>
      </c>
      <c r="Q56" s="18">
        <f>P$56*'Population Treasury'!AI$76*'Statistics NZ'!AI$401/('Population Treasury'!AH$76*'Statistics NZ'!AH$401)</f>
        <v>23718.018458190883</v>
      </c>
      <c r="R56" s="18">
        <f>Q$56*'Population Treasury'!AJ$76*'Statistics NZ'!AJ$401/('Population Treasury'!AI$76*'Statistics NZ'!AI$401)</f>
        <v>24734.805613608551</v>
      </c>
      <c r="S56" s="18">
        <f>R$56*'Population Treasury'!AK$76*'Statistics NZ'!AK$401/('Population Treasury'!AJ$76*'Statistics NZ'!AJ$401)</f>
        <v>25348.595112483712</v>
      </c>
    </row>
    <row r="57" spans="1:19" x14ac:dyDescent="0.25">
      <c r="A57" s="12">
        <v>62</v>
      </c>
      <c r="B57" s="28">
        <f>'Population Treasury'!T$77*'Statistics NZ'!T$402*'Economic Forecasts'!V$8/B$7</f>
        <v>22326.400312591584</v>
      </c>
      <c r="C57" s="28">
        <f>'Population Treasury'!U$77*'Statistics NZ'!U$402*'Economic Forecasts'!W$8/C$7</f>
        <v>22434.534747071295</v>
      </c>
      <c r="D57" s="28">
        <f>'Population Treasury'!V$77*'Statistics NZ'!V$402*'Economic Forecasts'!X$8/D$7</f>
        <v>22004.408408350082</v>
      </c>
      <c r="E57" s="28">
        <f>'Population Treasury'!W$77*'Statistics NZ'!W$402*'Economic Forecasts'!Y$8/E$7</f>
        <v>21618.711495384454</v>
      </c>
      <c r="F57" s="28">
        <f>'Population Treasury'!X$77*'Statistics NZ'!X$402*'Economic Forecasts'!Z$8/F$7</f>
        <v>21603.64438909592</v>
      </c>
      <c r="G57" s="28">
        <f>'Population Treasury'!Y$77*'Statistics NZ'!Y$402*'Economic Forecasts'!AA$8/G$7</f>
        <v>22363.728171278181</v>
      </c>
      <c r="H57" s="28">
        <f>'Population Treasury'!Z$77*'Statistics NZ'!Z$402*'Economic Forecasts'!AB$8/H$7</f>
        <v>22844.736070994863</v>
      </c>
      <c r="I57" s="28">
        <f>'Population Treasury'!AA$77*'Statistics NZ'!AA$402*'Economic Forecasts'!AC$8/I$7</f>
        <v>23559.725342329417</v>
      </c>
      <c r="J57" s="18">
        <f>I$57*'Population Treasury'!AB$77*'Statistics NZ'!AB$402/('Population Treasury'!AA$77*'Statistics NZ'!AA$402)</f>
        <v>23712.647193889461</v>
      </c>
      <c r="K57" s="18">
        <f>J$57*'Population Treasury'!AC$77*'Statistics NZ'!AC$402/('Population Treasury'!AB$77*'Statistics NZ'!AB$402)</f>
        <v>24902.590614767338</v>
      </c>
      <c r="L57" s="18">
        <f>K$57*'Population Treasury'!AD$77*'Statistics NZ'!AD$402/('Population Treasury'!AC$77*'Statistics NZ'!AC$402)</f>
        <v>24730.177411296911</v>
      </c>
      <c r="M57" s="18">
        <f>L$57*'Population Treasury'!AE$77*'Statistics NZ'!AE$402/('Population Treasury'!AD$77*'Statistics NZ'!AD$402)</f>
        <v>24223.985691164205</v>
      </c>
      <c r="N57" s="18">
        <f>M$57*'Population Treasury'!AF$77*'Statistics NZ'!AF$402/('Population Treasury'!AE$77*'Statistics NZ'!AE$402)</f>
        <v>23697.973720360871</v>
      </c>
      <c r="O57" s="18">
        <f>N$57*'Population Treasury'!AG$77*'Statistics NZ'!AG$402/('Population Treasury'!AF$77*'Statistics NZ'!AF$402)</f>
        <v>23030.696087749911</v>
      </c>
      <c r="P57" s="18">
        <f>O$57*'Population Treasury'!AH$77*'Statistics NZ'!AH$402/('Population Treasury'!AG$77*'Statistics NZ'!AG$402)</f>
        <v>22313.189361897119</v>
      </c>
      <c r="Q57" s="18">
        <f>P$57*'Population Treasury'!AI$77*'Statistics NZ'!AI$402/('Population Treasury'!AH$77*'Statistics NZ'!AH$402)</f>
        <v>22694.902744772939</v>
      </c>
      <c r="R57" s="18">
        <f>Q$57*'Population Treasury'!AJ$77*'Statistics NZ'!AJ$402/('Population Treasury'!AI$77*'Statistics NZ'!AI$402)</f>
        <v>22784.223850588984</v>
      </c>
      <c r="S57" s="18">
        <f>R$57*'Population Treasury'!AK$77*'Statistics NZ'!AK$402/('Population Treasury'!AJ$77*'Statistics NZ'!AJ$402)</f>
        <v>23760.743128638002</v>
      </c>
    </row>
    <row r="58" spans="1:19" x14ac:dyDescent="0.25">
      <c r="A58" s="12">
        <v>63</v>
      </c>
      <c r="B58" s="28">
        <f>'Population Treasury'!T$78*'Statistics NZ'!T$403*'Economic Forecasts'!V$8/B$7</f>
        <v>19931.458435088407</v>
      </c>
      <c r="C58" s="28">
        <f>'Population Treasury'!U$78*'Statistics NZ'!U$403*'Economic Forecasts'!W$8/C$7</f>
        <v>20506.77505079344</v>
      </c>
      <c r="D58" s="28">
        <f>'Population Treasury'!V$78*'Statistics NZ'!V$403*'Economic Forecasts'!X$8/D$7</f>
        <v>20731.053762839132</v>
      </c>
      <c r="E58" s="28">
        <f>'Population Treasury'!W$78*'Statistics NZ'!W$403*'Economic Forecasts'!Y$8/E$7</f>
        <v>20536.343584638817</v>
      </c>
      <c r="F58" s="28">
        <f>'Population Treasury'!X$78*'Statistics NZ'!X$403*'Economic Forecasts'!Z$8/F$7</f>
        <v>20212.969514940123</v>
      </c>
      <c r="G58" s="28">
        <f>'Population Treasury'!Y$78*'Statistics NZ'!Y$403*'Economic Forecasts'!AA$8/G$7</f>
        <v>20183.516762068935</v>
      </c>
      <c r="H58" s="28">
        <f>'Population Treasury'!Z$78*'Statistics NZ'!Z$403*'Economic Forecasts'!AB$8/H$7</f>
        <v>20886.14017186244</v>
      </c>
      <c r="I58" s="28">
        <f>'Population Treasury'!AA$78*'Statistics NZ'!AA$403*'Economic Forecasts'!AC$8/I$7</f>
        <v>21332.029413439224</v>
      </c>
      <c r="J58" s="18">
        <f>I$58*'Population Treasury'!AB$78*'Statistics NZ'!AB$403/('Population Treasury'!AA$78*'Statistics NZ'!AA$403)</f>
        <v>21988.425830729768</v>
      </c>
      <c r="K58" s="18">
        <f>J$58*'Population Treasury'!AC$78*'Statistics NZ'!AC$403/('Population Treasury'!AB$78*'Statistics NZ'!AB$403)</f>
        <v>22139.822819047662</v>
      </c>
      <c r="L58" s="18">
        <f>K$58*'Population Treasury'!AD$78*'Statistics NZ'!AD$403/('Population Treasury'!AC$78*'Statistics NZ'!AC$403)</f>
        <v>23257.59622132597</v>
      </c>
      <c r="M58" s="18">
        <f>L$58*'Population Treasury'!AE$78*'Statistics NZ'!AE$403/('Population Treasury'!AD$78*'Statistics NZ'!AD$403)</f>
        <v>23094.341755047575</v>
      </c>
      <c r="N58" s="18">
        <f>M$58*'Population Treasury'!AF$78*'Statistics NZ'!AF$403/('Population Treasury'!AE$78*'Statistics NZ'!AE$403)</f>
        <v>22628.803046317287</v>
      </c>
      <c r="O58" s="18">
        <f>N$58*'Population Treasury'!AG$78*'Statistics NZ'!AG$403/('Population Treasury'!AF$78*'Statistics NZ'!AF$403)</f>
        <v>22153.011908547065</v>
      </c>
      <c r="P58" s="18">
        <f>O$58*'Population Treasury'!AH$78*'Statistics NZ'!AH$403/('Population Treasury'!AG$78*'Statistics NZ'!AG$403)</f>
        <v>21536.308265066771</v>
      </c>
      <c r="Q58" s="18">
        <f>P$58*'Population Treasury'!AI$78*'Statistics NZ'!AI$403/('Population Treasury'!AH$78*'Statistics NZ'!AH$403)</f>
        <v>20869.27378006624</v>
      </c>
      <c r="R58" s="18">
        <f>Q$58*'Population Treasury'!AJ$78*'Statistics NZ'!AJ$403/('Population Treasury'!AI$78*'Statistics NZ'!AI$403)</f>
        <v>21230.839324259116</v>
      </c>
      <c r="S58" s="18">
        <f>R$58*'Population Treasury'!AK$78*'Statistics NZ'!AK$403/('Population Treasury'!AJ$78*'Statistics NZ'!AJ$403)</f>
        <v>21320.312698533555</v>
      </c>
    </row>
    <row r="59" spans="1:19" x14ac:dyDescent="0.25">
      <c r="A59" s="12">
        <v>64</v>
      </c>
      <c r="B59" s="28">
        <f>'Population Treasury'!T$79*'Statistics NZ'!T$404*'Economic Forecasts'!V$8/B$7</f>
        <v>17388.069746996192</v>
      </c>
      <c r="C59" s="28">
        <f>'Population Treasury'!U$79*'Statistics NZ'!U$404*'Economic Forecasts'!W$8/C$7</f>
        <v>18108.85351168225</v>
      </c>
      <c r="D59" s="28">
        <f>'Population Treasury'!V$79*'Statistics NZ'!V$404*'Economic Forecasts'!X$8/D$7</f>
        <v>18737.417997282599</v>
      </c>
      <c r="E59" s="28">
        <f>'Population Treasury'!W$79*'Statistics NZ'!W$404*'Economic Forecasts'!Y$8/E$7</f>
        <v>19132.167460202858</v>
      </c>
      <c r="F59" s="28">
        <f>'Population Treasury'!X$79*'Statistics NZ'!X$404*'Economic Forecasts'!Z$8/F$7</f>
        <v>18988.713795619071</v>
      </c>
      <c r="G59" s="28">
        <f>'Population Treasury'!Y$79*'Statistics NZ'!Y$404*'Economic Forecasts'!AA$8/G$7</f>
        <v>18680.750902946918</v>
      </c>
      <c r="H59" s="28">
        <f>'Population Treasury'!Z$79*'Statistics NZ'!Z$404*'Economic Forecasts'!AB$8/H$7</f>
        <v>18652.000039562594</v>
      </c>
      <c r="I59" s="28">
        <f>'Population Treasury'!AA$79*'Statistics NZ'!AA$404*'Economic Forecasts'!AC$8/I$7</f>
        <v>19291.56491323005</v>
      </c>
      <c r="J59" s="18">
        <f>I$59*'Population Treasury'!AB$79*'Statistics NZ'!AB$404/('Population Treasury'!AA$79*'Statistics NZ'!AA$404)</f>
        <v>19695.649371959313</v>
      </c>
      <c r="K59" s="18">
        <f>J$59*'Population Treasury'!AC$79*'Statistics NZ'!AC$404/('Population Treasury'!AB$79*'Statistics NZ'!AB$404)</f>
        <v>20310.469880991688</v>
      </c>
      <c r="L59" s="18">
        <f>K$59*'Population Treasury'!AD$79*'Statistics NZ'!AD$404/('Population Treasury'!AC$79*'Statistics NZ'!AC$404)</f>
        <v>20460.289628667007</v>
      </c>
      <c r="M59" s="18">
        <f>L$59*'Population Treasury'!AE$79*'Statistics NZ'!AE$404/('Population Treasury'!AD$79*'Statistics NZ'!AD$404)</f>
        <v>21486.625821567381</v>
      </c>
      <c r="N59" s="18">
        <f>M$59*'Population Treasury'!AF$79*'Statistics NZ'!AF$404/('Population Treasury'!AE$79*'Statistics NZ'!AE$404)</f>
        <v>21353.549913283052</v>
      </c>
      <c r="O59" s="18">
        <f>N$59*'Population Treasury'!AG$79*'Statistics NZ'!AG$404/('Population Treasury'!AF$79*'Statistics NZ'!AF$404)</f>
        <v>20928.373138587096</v>
      </c>
      <c r="P59" s="18">
        <f>O$59*'Population Treasury'!AH$79*'Statistics NZ'!AH$404/('Population Treasury'!AG$79*'Statistics NZ'!AG$404)</f>
        <v>20493.106823961123</v>
      </c>
      <c r="Q59" s="18">
        <f>P$59*'Population Treasury'!AI$79*'Statistics NZ'!AI$404/('Population Treasury'!AH$79*'Statistics NZ'!AH$404)</f>
        <v>19936.859897420924</v>
      </c>
      <c r="R59" s="18">
        <f>Q$59*'Population Treasury'!AJ$79*'Statistics NZ'!AJ$404/('Population Treasury'!AI$79*'Statistics NZ'!AI$404)</f>
        <v>19320.495994144232</v>
      </c>
      <c r="S59" s="18">
        <f>R$59*'Population Treasury'!AK$79*'Statistics NZ'!AK$404/('Population Treasury'!AJ$79*'Statistics NZ'!AJ$404)</f>
        <v>19661.870555738024</v>
      </c>
    </row>
    <row r="60" spans="1:19" x14ac:dyDescent="0.25">
      <c r="A60" s="12">
        <v>65</v>
      </c>
      <c r="B60" s="28">
        <f>'Population Treasury'!T$80*'Statistics NZ'!T$405*'Economic Forecasts'!V$8/B$7</f>
        <v>15379.089577024519</v>
      </c>
      <c r="C60" s="28">
        <f>'Population Treasury'!U$80*'Statistics NZ'!U$405*'Economic Forecasts'!W$8/C$7</f>
        <v>15595.41982437568</v>
      </c>
      <c r="D60" s="28">
        <f>'Population Treasury'!V$80*'Statistics NZ'!V$405*'Economic Forecasts'!X$8/D$7</f>
        <v>16335.131604206357</v>
      </c>
      <c r="E60" s="28">
        <f>'Population Treasury'!W$80*'Statistics NZ'!W$405*'Economic Forecasts'!Y$8/E$7</f>
        <v>17065.34957342696</v>
      </c>
      <c r="F60" s="28">
        <f>'Population Treasury'!X$80*'Statistics NZ'!X$405*'Economic Forecasts'!Z$8/F$7</f>
        <v>17449.018453469889</v>
      </c>
      <c r="G60" s="28">
        <f>'Population Treasury'!Y$80*'Statistics NZ'!Y$405*'Economic Forecasts'!AA$8/G$7</f>
        <v>17312.691331341532</v>
      </c>
      <c r="H60" s="28">
        <f>'Population Treasury'!Z$80*'Statistics NZ'!Z$405*'Economic Forecasts'!AB$8/H$7</f>
        <v>17025.579307745702</v>
      </c>
      <c r="I60" s="28">
        <f>'Population Treasury'!AA$80*'Statistics NZ'!AA$405*'Economic Forecasts'!AC$8/I$7</f>
        <v>17002.593145264498</v>
      </c>
      <c r="J60" s="18">
        <f>I$60*'Population Treasury'!AB$80*'Statistics NZ'!AB$405/('Population Treasury'!AA$80*'Statistics NZ'!AA$405)</f>
        <v>17576.349790182332</v>
      </c>
      <c r="K60" s="18">
        <f>J$60*'Population Treasury'!AC$80*'Statistics NZ'!AC$405/('Population Treasury'!AB$80*'Statistics NZ'!AB$405)</f>
        <v>17947.969831789942</v>
      </c>
      <c r="L60" s="18">
        <f>K$60*'Population Treasury'!AD$80*'Statistics NZ'!AD$405/('Population Treasury'!AC$80*'Statistics NZ'!AC$405)</f>
        <v>18510.696608410304</v>
      </c>
      <c r="M60" s="18">
        <f>L$60*'Population Treasury'!AE$80*'Statistics NZ'!AE$405/('Population Treasury'!AD$80*'Statistics NZ'!AD$405)</f>
        <v>18649.633926867547</v>
      </c>
      <c r="N60" s="18">
        <f>M$60*'Population Treasury'!AF$80*'Statistics NZ'!AF$405/('Population Treasury'!AE$80*'Statistics NZ'!AE$405)</f>
        <v>19595.348989769253</v>
      </c>
      <c r="O60" s="18">
        <f>N$60*'Population Treasury'!AG$80*'Statistics NZ'!AG$405/('Population Treasury'!AF$80*'Statistics NZ'!AF$405)</f>
        <v>19472.577460455472</v>
      </c>
      <c r="P60" s="18">
        <f>O$60*'Population Treasury'!AH$80*'Statistics NZ'!AH$405/('Population Treasury'!AG$80*'Statistics NZ'!AG$405)</f>
        <v>19097.816474319086</v>
      </c>
      <c r="Q60" s="18">
        <f>P$60*'Population Treasury'!AI$80*'Statistics NZ'!AI$405/('Population Treasury'!AH$80*'Statistics NZ'!AH$405)</f>
        <v>18703.108003904119</v>
      </c>
      <c r="R60" s="18">
        <f>Q$60*'Population Treasury'!AJ$80*'Statistics NZ'!AJ$405/('Population Treasury'!AI$80*'Statistics NZ'!AI$405)</f>
        <v>18197.511521293385</v>
      </c>
      <c r="S60" s="18">
        <f>R$60*'Population Treasury'!AK$80*'Statistics NZ'!AK$405/('Population Treasury'!AJ$80*'Statistics NZ'!AJ$405)</f>
        <v>17641.605188418824</v>
      </c>
    </row>
    <row r="61" spans="1:19" x14ac:dyDescent="0.25">
      <c r="A61" s="12">
        <v>66</v>
      </c>
      <c r="B61" s="28">
        <f>'Population Treasury'!T$81*'Statistics NZ'!T$406*'Economic Forecasts'!V$8/B$7</f>
        <v>13063.319331835501</v>
      </c>
      <c r="C61" s="28">
        <f>'Population Treasury'!U$81*'Statistics NZ'!U$406*'Economic Forecasts'!W$8/C$7</f>
        <v>13509.956055843391</v>
      </c>
      <c r="D61" s="28">
        <f>'Population Treasury'!V$81*'Statistics NZ'!V$406*'Economic Forecasts'!X$8/D$7</f>
        <v>13766.237780315021</v>
      </c>
      <c r="E61" s="28">
        <f>'Population Treasury'!W$81*'Statistics NZ'!W$406*'Economic Forecasts'!Y$8/E$7</f>
        <v>14559.165469411624</v>
      </c>
      <c r="F61" s="28">
        <f>'Population Treasury'!X$81*'Statistics NZ'!X$406*'Economic Forecasts'!Z$8/F$7</f>
        <v>15245.885817019527</v>
      </c>
      <c r="G61" s="28">
        <f>'Population Treasury'!Y$81*'Statistics NZ'!Y$406*'Economic Forecasts'!AA$8/G$7</f>
        <v>15574.510695781602</v>
      </c>
      <c r="H61" s="28">
        <f>'Population Treasury'!Z$81*'Statistics NZ'!Z$406*'Economic Forecasts'!AB$8/H$7</f>
        <v>15450.910420037824</v>
      </c>
      <c r="I61" s="28">
        <f>'Population Treasury'!AA$81*'Statistics NZ'!AA$406*'Economic Forecasts'!AC$8/I$7</f>
        <v>15188.97005909477</v>
      </c>
      <c r="J61" s="18">
        <f>I$61*'Population Treasury'!AB$81*'Statistics NZ'!AB$406/('Population Treasury'!AA$81*'Statistics NZ'!AA$406)</f>
        <v>15147.345206151882</v>
      </c>
      <c r="K61" s="18">
        <f>J$61*'Population Treasury'!AC$81*'Statistics NZ'!AC$406/('Population Treasury'!AB$81*'Statistics NZ'!AB$406)</f>
        <v>15670.069386003088</v>
      </c>
      <c r="L61" s="18">
        <f>K$61*'Population Treasury'!AD$81*'Statistics NZ'!AD$406/('Population Treasury'!AC$81*'Statistics NZ'!AC$406)</f>
        <v>16001.065029770392</v>
      </c>
      <c r="M61" s="18">
        <f>L$61*'Population Treasury'!AE$81*'Statistics NZ'!AE$406/('Population Treasury'!AD$81*'Statistics NZ'!AD$406)</f>
        <v>16503.093979552672</v>
      </c>
      <c r="N61" s="18">
        <f>M$61*'Population Treasury'!AF$81*'Statistics NZ'!AF$406/('Population Treasury'!AE$81*'Statistics NZ'!AE$406)</f>
        <v>16632.061896913925</v>
      </c>
      <c r="O61" s="18">
        <f>N$61*'Population Treasury'!AG$81*'Statistics NZ'!AG$406/('Population Treasury'!AF$81*'Statistics NZ'!AF$406)</f>
        <v>17477.170491527282</v>
      </c>
      <c r="P61" s="18">
        <f>O$61*'Population Treasury'!AH$81*'Statistics NZ'!AH$406/('Population Treasury'!AG$81*'Statistics NZ'!AG$406)</f>
        <v>17374.691100981858</v>
      </c>
      <c r="Q61" s="18">
        <f>P$61*'Population Treasury'!AI$81*'Statistics NZ'!AI$406/('Population Treasury'!AH$81*'Statistics NZ'!AH$406)</f>
        <v>17040.402115390061</v>
      </c>
      <c r="R61" s="18">
        <f>Q$61*'Population Treasury'!AJ$81*'Statistics NZ'!AJ$406/('Population Treasury'!AI$81*'Statistics NZ'!AI$406)</f>
        <v>16696.168603534636</v>
      </c>
      <c r="S61" s="18">
        <f>R$61*'Population Treasury'!AK$81*'Statistics NZ'!AK$406/('Population Treasury'!AJ$81*'Statistics NZ'!AJ$406)</f>
        <v>16251.041602095649</v>
      </c>
    </row>
    <row r="62" spans="1:19" x14ac:dyDescent="0.25">
      <c r="A62" s="12">
        <v>67</v>
      </c>
      <c r="B62" s="28">
        <f>'Population Treasury'!T$82*'Statistics NZ'!T$407*'Economic Forecasts'!V$8/B$7</f>
        <v>11242.371788609946</v>
      </c>
      <c r="C62" s="28">
        <f>'Population Treasury'!U$82*'Statistics NZ'!U$407*'Economic Forecasts'!W$8/C$7</f>
        <v>11571.213893457187</v>
      </c>
      <c r="D62" s="28">
        <f>'Population Treasury'!V$82*'Statistics NZ'!V$407*'Economic Forecasts'!X$8/D$7</f>
        <v>12034.356637304552</v>
      </c>
      <c r="E62" s="28">
        <f>'Population Treasury'!W$82*'Statistics NZ'!W$407*'Economic Forecasts'!Y$8/E$7</f>
        <v>12374.784563836241</v>
      </c>
      <c r="F62" s="28">
        <f>'Population Treasury'!X$82*'Statistics NZ'!X$407*'Economic Forecasts'!Z$8/F$7</f>
        <v>13111.328590569103</v>
      </c>
      <c r="G62" s="28">
        <f>'Population Treasury'!Y$82*'Statistics NZ'!Y$407*'Economic Forecasts'!AA$8/G$7</f>
        <v>13708.744111540092</v>
      </c>
      <c r="H62" s="28">
        <f>'Population Treasury'!Z$82*'Statistics NZ'!Z$407*'Economic Forecasts'!AB$8/H$7</f>
        <v>14004.205777736011</v>
      </c>
      <c r="I62" s="28">
        <f>'Population Treasury'!AA$82*'Statistics NZ'!AA$407*'Economic Forecasts'!AC$8/I$7</f>
        <v>13887.865895108536</v>
      </c>
      <c r="J62" s="18">
        <f>I$62*'Population Treasury'!AB$82*'Statistics NZ'!AB$407/('Population Treasury'!AA$82*'Statistics NZ'!AA$407)</f>
        <v>13634.514596506448</v>
      </c>
      <c r="K62" s="18">
        <f>J$62*'Population Treasury'!AC$82*'Statistics NZ'!AC$407/('Population Treasury'!AB$82*'Statistics NZ'!AB$407)</f>
        <v>13592.728703467199</v>
      </c>
      <c r="L62" s="18">
        <f>K$62*'Population Treasury'!AD$82*'Statistics NZ'!AD$407/('Population Treasury'!AC$82*'Statistics NZ'!AC$407)</f>
        <v>14064.612668686279</v>
      </c>
      <c r="M62" s="18">
        <f>L$62*'Population Treasury'!AE$82*'Statistics NZ'!AE$407/('Population Treasury'!AD$82*'Statistics NZ'!AD$407)</f>
        <v>14365.067122920849</v>
      </c>
      <c r="N62" s="18">
        <f>M$62*'Population Treasury'!AF$82*'Statistics NZ'!AF$407/('Population Treasury'!AE$82*'Statistics NZ'!AE$407)</f>
        <v>14816.861834538335</v>
      </c>
      <c r="O62" s="18">
        <f>N$62*'Population Treasury'!AG$82*'Statistics NZ'!AG$407/('Population Treasury'!AF$82*'Statistics NZ'!AF$407)</f>
        <v>14935.945345460983</v>
      </c>
      <c r="P62" s="18">
        <f>O$62*'Population Treasury'!AH$82*'Statistics NZ'!AH$407/('Population Treasury'!AG$82*'Statistics NZ'!AG$407)</f>
        <v>15700.383770189817</v>
      </c>
      <c r="Q62" s="18">
        <f>P$62*'Population Treasury'!AI$82*'Statistics NZ'!AI$407/('Population Treasury'!AH$82*'Statistics NZ'!AH$407)</f>
        <v>15608.203395454033</v>
      </c>
      <c r="R62" s="18">
        <f>Q$62*'Population Treasury'!AJ$82*'Statistics NZ'!AJ$407/('Population Treasury'!AI$82*'Statistics NZ'!AI$407)</f>
        <v>15314.297404311521</v>
      </c>
      <c r="S62" s="18">
        <f>R$62*'Population Treasury'!AK$82*'Statistics NZ'!AK$407/('Population Treasury'!AJ$82*'Statistics NZ'!AJ$407)</f>
        <v>15000.48943485438</v>
      </c>
    </row>
    <row r="63" spans="1:19" x14ac:dyDescent="0.25">
      <c r="A63" s="12">
        <v>68</v>
      </c>
      <c r="B63" s="28">
        <f>'Population Treasury'!T$83*'Statistics NZ'!T$408*'Economic Forecasts'!V$8/B$7</f>
        <v>9619.3533261697776</v>
      </c>
      <c r="C63" s="28">
        <f>'Population Treasury'!U$83*'Statistics NZ'!U$408*'Economic Forecasts'!W$8/C$7</f>
        <v>9887.1390250691602</v>
      </c>
      <c r="D63" s="28">
        <f>'Population Treasury'!V$83*'Statistics NZ'!V$408*'Economic Forecasts'!X$8/D$7</f>
        <v>10224.552832590465</v>
      </c>
      <c r="E63" s="28">
        <f>'Population Treasury'!W$83*'Statistics NZ'!W$408*'Economic Forecasts'!Y$8/E$7</f>
        <v>10726.756428176346</v>
      </c>
      <c r="F63" s="28">
        <f>'Population Treasury'!X$83*'Statistics NZ'!X$408*'Economic Forecasts'!Z$8/F$7</f>
        <v>11055.107018353547</v>
      </c>
      <c r="G63" s="28">
        <f>'Population Treasury'!Y$83*'Statistics NZ'!Y$408*'Economic Forecasts'!AA$8/G$7</f>
        <v>11695.714123677386</v>
      </c>
      <c r="H63" s="28">
        <f>'Population Treasury'!Z$83*'Statistics NZ'!Z$408*'Economic Forecasts'!AB$8/H$7</f>
        <v>12222.952180945042</v>
      </c>
      <c r="I63" s="28">
        <f>'Population Treasury'!AA$83*'Statistics NZ'!AA$408*'Economic Forecasts'!AC$8/I$7</f>
        <v>12478.360757645176</v>
      </c>
      <c r="J63" s="18">
        <f>I$63*'Population Treasury'!AB$83*'Statistics NZ'!AB$408/('Population Treasury'!AA$83*'Statistics NZ'!AA$408)</f>
        <v>12355.994475471069</v>
      </c>
      <c r="K63" s="18">
        <f>J$63*'Population Treasury'!AC$83*'Statistics NZ'!AC$408/('Population Treasury'!AB$83*'Statistics NZ'!AB$408)</f>
        <v>12132.618908393906</v>
      </c>
      <c r="L63" s="18">
        <f>K$63*'Population Treasury'!AD$83*'Statistics NZ'!AD$408/('Population Treasury'!AC$83*'Statistics NZ'!AC$408)</f>
        <v>12100.547081079456</v>
      </c>
      <c r="M63" s="18">
        <f>L$63*'Population Treasury'!AE$83*'Statistics NZ'!AE$408/('Population Treasury'!AD$83*'Statistics NZ'!AD$408)</f>
        <v>12512.03356734839</v>
      </c>
      <c r="N63" s="18">
        <f>M$63*'Population Treasury'!AF$83*'Statistics NZ'!AF$408/('Population Treasury'!AE$83*'Statistics NZ'!AE$408)</f>
        <v>12782.382933643286</v>
      </c>
      <c r="O63" s="18">
        <f>N$63*'Population Treasury'!AG$83*'Statistics NZ'!AG$408/('Population Treasury'!AF$83*'Statistics NZ'!AF$408)</f>
        <v>13183.992576975095</v>
      </c>
      <c r="P63" s="18">
        <f>O$63*'Population Treasury'!AH$83*'Statistics NZ'!AH$408/('Population Treasury'!AG$83*'Statistics NZ'!AG$408)</f>
        <v>13293.105415668759</v>
      </c>
      <c r="Q63" s="18">
        <f>P$63*'Population Treasury'!AI$83*'Statistics NZ'!AI$408/('Population Treasury'!AH$83*'Statistics NZ'!AH$408)</f>
        <v>13967.173973492734</v>
      </c>
      <c r="R63" s="18">
        <f>Q$63*'Population Treasury'!AJ$83*'Statistics NZ'!AJ$408/('Population Treasury'!AI$83*'Statistics NZ'!AI$408)</f>
        <v>13895.064904449564</v>
      </c>
      <c r="S63" s="18">
        <f>R$63*'Population Treasury'!AK$83*'Statistics NZ'!AK$408/('Population Treasury'!AJ$83*'Statistics NZ'!AJ$408)</f>
        <v>13631.646272023811</v>
      </c>
    </row>
    <row r="64" spans="1:19" x14ac:dyDescent="0.25">
      <c r="A64" s="12">
        <v>69</v>
      </c>
      <c r="B64" s="28">
        <f>'Population Treasury'!T$84*'Statistics NZ'!T$409*'Economic Forecasts'!V$8/B$7</f>
        <v>8075.5064960437649</v>
      </c>
      <c r="C64" s="28">
        <f>'Population Treasury'!U$84*'Statistics NZ'!U$409*'Economic Forecasts'!W$8/C$7</f>
        <v>8369.576835994445</v>
      </c>
      <c r="D64" s="28">
        <f>'Population Treasury'!V$84*'Statistics NZ'!V$409*'Economic Forecasts'!X$8/D$7</f>
        <v>8638.6104876117188</v>
      </c>
      <c r="E64" s="28">
        <f>'Population Treasury'!W$84*'Statistics NZ'!W$409*'Economic Forecasts'!Y$8/E$7</f>
        <v>9020.2150003430761</v>
      </c>
      <c r="F64" s="28">
        <f>'Population Treasury'!X$84*'Statistics NZ'!X$409*'Economic Forecasts'!Z$8/F$7</f>
        <v>9468.8409722273391</v>
      </c>
      <c r="G64" s="28">
        <f>'Population Treasury'!Y$84*'Statistics NZ'!Y$409*'Economic Forecasts'!AA$8/G$7</f>
        <v>9751.4223179778855</v>
      </c>
      <c r="H64" s="28">
        <f>'Population Treasury'!Z$84*'Statistics NZ'!Z$409*'Economic Forecasts'!AB$8/H$7</f>
        <v>10313.787635470935</v>
      </c>
      <c r="I64" s="28">
        <f>'Population Treasury'!AA$84*'Statistics NZ'!AA$409*'Economic Forecasts'!AC$8/I$7</f>
        <v>10773.20368799354</v>
      </c>
      <c r="J64" s="18">
        <f>I$64*'Population Treasury'!AB$84*'Statistics NZ'!AB$409/('Population Treasury'!AA$84*'Statistics NZ'!AA$409)</f>
        <v>10983.71399978621</v>
      </c>
      <c r="K64" s="18">
        <f>J$64*'Population Treasury'!AC$84*'Statistics NZ'!AC$409/('Population Treasury'!AB$84*'Statistics NZ'!AB$409)</f>
        <v>10871.449109053861</v>
      </c>
      <c r="L64" s="18">
        <f>K$64*'Population Treasury'!AD$84*'Statistics NZ'!AD$409/('Population Treasury'!AC$84*'Statistics NZ'!AC$409)</f>
        <v>10668.257247052683</v>
      </c>
      <c r="M64" s="18">
        <f>L$64*'Population Treasury'!AE$84*'Statistics NZ'!AE$409/('Population Treasury'!AD$84*'Statistics NZ'!AD$409)</f>
        <v>10646.065688801433</v>
      </c>
      <c r="N64" s="18">
        <f>M$64*'Population Treasury'!AF$84*'Statistics NZ'!AF$409/('Population Treasury'!AE$84*'Statistics NZ'!AE$409)</f>
        <v>11007.439268094116</v>
      </c>
      <c r="O64" s="18">
        <f>N$64*'Population Treasury'!AG$84*'Statistics NZ'!AG$409/('Population Treasury'!AF$84*'Statistics NZ'!AF$409)</f>
        <v>11247.831336011761</v>
      </c>
      <c r="P64" s="18">
        <f>O$64*'Population Treasury'!AH$84*'Statistics NZ'!AH$409/('Population Treasury'!AG$84*'Statistics NZ'!AG$409)</f>
        <v>11599.24363394138</v>
      </c>
      <c r="Q64" s="18">
        <f>P$64*'Population Treasury'!AI$84*'Statistics NZ'!AI$409/('Population Treasury'!AH$84*'Statistics NZ'!AH$409)</f>
        <v>11688.735907432118</v>
      </c>
      <c r="R64" s="18">
        <f>Q$64*'Population Treasury'!AJ$84*'Statistics NZ'!AJ$409/('Population Treasury'!AI$84*'Statistics NZ'!AI$409)</f>
        <v>12282.292154868197</v>
      </c>
      <c r="S64" s="18">
        <f>R$64*'Population Treasury'!AK$84*'Statistics NZ'!AK$409/('Population Treasury'!AJ$84*'Statistics NZ'!AJ$409)</f>
        <v>12220.498502894632</v>
      </c>
    </row>
    <row r="65" spans="1:19" x14ac:dyDescent="0.25">
      <c r="A65" s="12">
        <v>70</v>
      </c>
      <c r="B65" s="28">
        <f>'Population Treasury'!T$85*'Statistics NZ'!T$410*'Economic Forecasts'!V$8/B$7</f>
        <v>6729.5887467031362</v>
      </c>
      <c r="C65" s="28">
        <f>'Population Treasury'!U$85*'Statistics NZ'!U$410*'Economic Forecasts'!W$8/C$7</f>
        <v>6943.9090925034589</v>
      </c>
      <c r="D65" s="28">
        <f>'Population Treasury'!V$85*'Statistics NZ'!V$410*'Economic Forecasts'!X$8/D$7</f>
        <v>7231.0463244083485</v>
      </c>
      <c r="E65" s="28">
        <f>'Population Treasury'!W$85*'Statistics NZ'!W$410*'Economic Forecasts'!Y$8/E$7</f>
        <v>7518.6185430293153</v>
      </c>
      <c r="F65" s="28">
        <f>'Population Treasury'!X$85*'Statistics NZ'!X$410*'Economic Forecasts'!Z$8/F$7</f>
        <v>7862.3129174024461</v>
      </c>
      <c r="G65" s="28">
        <f>'Population Treasury'!Y$85*'Statistics NZ'!Y$410*'Economic Forecasts'!AA$8/G$7</f>
        <v>8248.0816648570872</v>
      </c>
      <c r="H65" s="28">
        <f>'Population Treasury'!Z$85*'Statistics NZ'!Z$410*'Economic Forecasts'!AB$8/H$7</f>
        <v>8482.5866195053313</v>
      </c>
      <c r="I65" s="28">
        <f>'Population Treasury'!AA$85*'Statistics NZ'!AA$410*'Economic Forecasts'!AC$8/I$7</f>
        <v>8958.9544806421545</v>
      </c>
      <c r="J65" s="18">
        <f>I$65*'Population Treasury'!AB$85*'Statistics NZ'!AB$410/('Population Treasury'!AA$85*'Statistics NZ'!AA$410)</f>
        <v>9350.5413649591083</v>
      </c>
      <c r="K65" s="18">
        <f>J$65*'Population Treasury'!AC$85*'Statistics NZ'!AC$410/('Population Treasury'!AB$85*'Statistics NZ'!AB$410)</f>
        <v>9540.3233427456744</v>
      </c>
      <c r="L65" s="18">
        <f>K$65*'Population Treasury'!AD$85*'Statistics NZ'!AD$410/('Population Treasury'!AC$85*'Statistics NZ'!AC$410)</f>
        <v>9438.0279815411614</v>
      </c>
      <c r="M65" s="18">
        <f>L$65*'Population Treasury'!AE$85*'Statistics NZ'!AE$410/('Population Treasury'!AD$85*'Statistics NZ'!AD$410)</f>
        <v>9265.0385886871572</v>
      </c>
      <c r="N65" s="18">
        <f>M$65*'Population Treasury'!AF$85*'Statistics NZ'!AF$410/('Population Treasury'!AE$85*'Statistics NZ'!AE$410)</f>
        <v>9233.4219028816806</v>
      </c>
      <c r="O65" s="18">
        <f>N$65*'Population Treasury'!AG$85*'Statistics NZ'!AG$410/('Population Treasury'!AF$85*'Statistics NZ'!AF$410)</f>
        <v>9554.5714150071308</v>
      </c>
      <c r="P65" s="18">
        <f>O$65*'Population Treasury'!AH$85*'Statistics NZ'!AH$410/('Population Treasury'!AG$85*'Statistics NZ'!AG$410)</f>
        <v>9755.0780412917829</v>
      </c>
      <c r="Q65" s="18">
        <f>P$65*'Population Treasury'!AI$85*'Statistics NZ'!AI$410/('Population Treasury'!AH$85*'Statistics NZ'!AH$410)</f>
        <v>10066.279468429764</v>
      </c>
      <c r="R65" s="18">
        <f>Q$65*'Population Treasury'!AJ$85*'Statistics NZ'!AJ$410/('Population Treasury'!AI$85*'Statistics NZ'!AI$410)</f>
        <v>10145.845062024684</v>
      </c>
      <c r="S65" s="18">
        <f>R$65*'Population Treasury'!AK$85*'Statistics NZ'!AK$410/('Population Treasury'!AJ$85*'Statistics NZ'!AJ$410)</f>
        <v>10659.03621948555</v>
      </c>
    </row>
    <row r="66" spans="1:19" x14ac:dyDescent="0.25">
      <c r="A66" s="12">
        <v>71</v>
      </c>
      <c r="B66" s="28">
        <f>'Population Treasury'!T$86*'Statistics NZ'!T$411*'Economic Forecasts'!V$8/B$7</f>
        <v>5472.7390837159346</v>
      </c>
      <c r="C66" s="28">
        <f>'Population Treasury'!U$86*'Statistics NZ'!U$411*'Economic Forecasts'!W$8/C$7</f>
        <v>5719.5878285157769</v>
      </c>
      <c r="D66" s="28">
        <f>'Population Treasury'!V$86*'Statistics NZ'!V$411*'Economic Forecasts'!X$8/D$7</f>
        <v>5926.8505111758213</v>
      </c>
      <c r="E66" s="28">
        <f>'Population Treasury'!W$86*'Statistics NZ'!W$411*'Economic Forecasts'!Y$8/E$7</f>
        <v>6221.6294457984022</v>
      </c>
      <c r="F66" s="28">
        <f>'Population Treasury'!X$86*'Statistics NZ'!X$411*'Economic Forecasts'!Z$8/F$7</f>
        <v>6481.7717362065141</v>
      </c>
      <c r="G66" s="28">
        <f>'Population Treasury'!Y$86*'Statistics NZ'!Y$411*'Economic Forecasts'!AA$8/G$7</f>
        <v>6765.4121595123734</v>
      </c>
      <c r="H66" s="28">
        <f>'Population Treasury'!Z$86*'Statistics NZ'!Z$411*'Economic Forecasts'!AB$8/H$7</f>
        <v>7095.0741881593722</v>
      </c>
      <c r="I66" s="28">
        <f>'Population Treasury'!AA$86*'Statistics NZ'!AA$411*'Economic Forecasts'!AC$8/I$7</f>
        <v>7293.3385981438814</v>
      </c>
      <c r="J66" s="18">
        <f>I$66*'Population Treasury'!AB$86*'Statistics NZ'!AB$411/('Population Treasury'!AA$86*'Statistics NZ'!AA$411)</f>
        <v>7695.3978038258956</v>
      </c>
      <c r="K66" s="18">
        <f>J$66*'Population Treasury'!AC$86*'Statistics NZ'!AC$411/('Population Treasury'!AB$86*'Statistics NZ'!AB$411)</f>
        <v>8036.7136905036177</v>
      </c>
      <c r="L66" s="18">
        <f>K$66*'Population Treasury'!AD$86*'Statistics NZ'!AD$411/('Population Treasury'!AC$86*'Statistics NZ'!AC$411)</f>
        <v>8186.718679204695</v>
      </c>
      <c r="M66" s="18">
        <f>L$66*'Population Treasury'!AE$86*'Statistics NZ'!AE$411/('Population Treasury'!AD$86*'Statistics NZ'!AD$411)</f>
        <v>8104.6286349228412</v>
      </c>
      <c r="N66" s="18">
        <f>M$66*'Population Treasury'!AF$86*'Statistics NZ'!AF$411/('Population Treasury'!AE$86*'Statistics NZ'!AE$411)</f>
        <v>7952.2602042968238</v>
      </c>
      <c r="O66" s="18">
        <f>N$66*'Population Treasury'!AG$86*'Statistics NZ'!AG$411/('Population Treasury'!AF$86*'Statistics NZ'!AF$411)</f>
        <v>7930.8943828626207</v>
      </c>
      <c r="P66" s="18">
        <f>O$66*'Population Treasury'!AH$86*'Statistics NZ'!AH$411/('Population Treasury'!AG$86*'Statistics NZ'!AG$411)</f>
        <v>8202.0287632673098</v>
      </c>
      <c r="Q66" s="18">
        <f>P$66*'Population Treasury'!AI$86*'Statistics NZ'!AI$411/('Population Treasury'!AH$86*'Statistics NZ'!AH$411)</f>
        <v>8372.4867200860663</v>
      </c>
      <c r="R66" s="18">
        <f>Q$66*'Population Treasury'!AJ$86*'Statistics NZ'!AJ$411/('Population Treasury'!AI$86*'Statistics NZ'!AI$411)</f>
        <v>8633.7248830626577</v>
      </c>
      <c r="S66" s="18">
        <f>R$66*'Population Treasury'!AK$86*'Statistics NZ'!AK$411/('Population Treasury'!AJ$86*'Statistics NZ'!AJ$411)</f>
        <v>8703.3800592899152</v>
      </c>
    </row>
    <row r="67" spans="1:19" x14ac:dyDescent="0.25">
      <c r="A67" s="12">
        <v>72</v>
      </c>
      <c r="B67" s="28">
        <f>'Population Treasury'!T$87*'Statistics NZ'!T$412*'Economic Forecasts'!V$8/B$7</f>
        <v>4463.3007717104629</v>
      </c>
      <c r="C67" s="28">
        <f>'Population Treasury'!U$87*'Statistics NZ'!U$412*'Economic Forecasts'!W$8/C$7</f>
        <v>4583.4170871279493</v>
      </c>
      <c r="D67" s="28">
        <f>'Population Treasury'!V$87*'Statistics NZ'!V$412*'Economic Forecasts'!X$8/D$7</f>
        <v>4807.6021786934107</v>
      </c>
      <c r="E67" s="28">
        <f>'Population Treasury'!W$87*'Statistics NZ'!W$412*'Economic Forecasts'!Y$8/E$7</f>
        <v>5012.4066824973997</v>
      </c>
      <c r="F67" s="28">
        <f>'Population Treasury'!X$87*'Statistics NZ'!X$412*'Economic Forecasts'!Z$8/F$7</f>
        <v>5277.466327137734</v>
      </c>
      <c r="G67" s="28">
        <f>'Population Treasury'!Y$87*'Statistics NZ'!Y$412*'Economic Forecasts'!AA$8/G$7</f>
        <v>5498.7547408064938</v>
      </c>
      <c r="H67" s="28">
        <f>'Population Treasury'!Z$87*'Statistics NZ'!Z$412*'Economic Forecasts'!AB$8/H$7</f>
        <v>5727.2463838014055</v>
      </c>
      <c r="I67" s="28">
        <f>'Population Treasury'!AA$87*'Statistics NZ'!AA$412*'Economic Forecasts'!AC$8/I$7</f>
        <v>6002.2289299318609</v>
      </c>
      <c r="J67" s="18">
        <f>I$67*'Population Treasury'!AB$87*'Statistics NZ'!AB$412/('Population Treasury'!AA$87*'Statistics NZ'!AA$412)</f>
        <v>6162.3610185071002</v>
      </c>
      <c r="K67" s="18">
        <f>J$67*'Population Treasury'!AC$87*'Statistics NZ'!AC$412/('Population Treasury'!AB$87*'Statistics NZ'!AB$412)</f>
        <v>6504.0684555057869</v>
      </c>
      <c r="L67" s="18">
        <f>K$67*'Population Treasury'!AD$87*'Statistics NZ'!AD$412/('Population Treasury'!AC$87*'Statistics NZ'!AC$412)</f>
        <v>6785.19105901274</v>
      </c>
      <c r="M67" s="18">
        <f>L$67*'Population Treasury'!AE$87*'Statistics NZ'!AE$412/('Population Treasury'!AD$87*'Statistics NZ'!AD$412)</f>
        <v>6915.1146550475687</v>
      </c>
      <c r="N67" s="18">
        <f>M$67*'Population Treasury'!AF$87*'Statistics NZ'!AF$412/('Population Treasury'!AE$87*'Statistics NZ'!AE$412)</f>
        <v>6843.4704092093525</v>
      </c>
      <c r="O67" s="18">
        <f>N$67*'Population Treasury'!AG$87*'Statistics NZ'!AG$412/('Population Treasury'!AF$87*'Statistics NZ'!AF$412)</f>
        <v>6721.4184839606023</v>
      </c>
      <c r="P67" s="18">
        <f>O$67*'Population Treasury'!AH$87*'Statistics NZ'!AH$412/('Population Treasury'!AG$87*'Statistics NZ'!AG$412)</f>
        <v>6700.3601835740092</v>
      </c>
      <c r="Q67" s="18">
        <f>P$67*'Population Treasury'!AI$87*'Statistics NZ'!AI$412/('Population Treasury'!AH$87*'Statistics NZ'!AH$412)</f>
        <v>6921.4664880842829</v>
      </c>
      <c r="R67" s="18">
        <f>Q$67*'Population Treasury'!AJ$87*'Statistics NZ'!AJ$412/('Population Treasury'!AI$87*'Statistics NZ'!AI$412)</f>
        <v>7071.8023457704912</v>
      </c>
      <c r="S67" s="18">
        <f>R$67*'Population Treasury'!AK$87*'Statistics NZ'!AK$412/('Population Treasury'!AJ$87*'Statistics NZ'!AJ$412)</f>
        <v>7292.8838300202688</v>
      </c>
    </row>
    <row r="68" spans="1:19" x14ac:dyDescent="0.25">
      <c r="A68" s="12">
        <v>73</v>
      </c>
      <c r="B68" s="28">
        <f>'Population Treasury'!T$88*'Statistics NZ'!T$413*'Economic Forecasts'!V$8/B$7</f>
        <v>3523.1376379798762</v>
      </c>
      <c r="C68" s="28">
        <f>'Population Treasury'!U$88*'Statistics NZ'!U$413*'Economic Forecasts'!W$8/C$7</f>
        <v>3662.7671693191073</v>
      </c>
      <c r="D68" s="28">
        <f>'Population Treasury'!V$88*'Statistics NZ'!V$413*'Economic Forecasts'!X$8/D$7</f>
        <v>3775.9480645445947</v>
      </c>
      <c r="E68" s="28">
        <f>'Population Treasury'!W$88*'Statistics NZ'!W$413*'Economic Forecasts'!Y$8/E$7</f>
        <v>3998.2208268039058</v>
      </c>
      <c r="F68" s="28">
        <f>'Population Treasury'!X$88*'Statistics NZ'!X$413*'Economic Forecasts'!Z$8/F$7</f>
        <v>4180.8621651026024</v>
      </c>
      <c r="G68" s="28">
        <f>'Population Treasury'!Y$88*'Statistics NZ'!Y$413*'Economic Forecasts'!AA$8/G$7</f>
        <v>4389.1974773654802</v>
      </c>
      <c r="H68" s="28">
        <f>'Population Treasury'!Z$88*'Statistics NZ'!Z$413*'Economic Forecasts'!AB$8/H$7</f>
        <v>4566.064033051598</v>
      </c>
      <c r="I68" s="28">
        <f>'Population Treasury'!AA$88*'Statistics NZ'!AA$413*'Economic Forecasts'!AC$8/I$7</f>
        <v>4760.4007066050171</v>
      </c>
      <c r="J68" s="18">
        <f>I$68*'Population Treasury'!AB$88*'Statistics NZ'!AB$413/('Population Treasury'!AA$88*'Statistics NZ'!AA$413)</f>
        <v>4981.27077785439</v>
      </c>
      <c r="K68" s="18">
        <f>J$68*'Population Treasury'!AC$88*'Statistics NZ'!AC$413/('Population Treasury'!AB$88*'Statistics NZ'!AB$413)</f>
        <v>5111.4076247784024</v>
      </c>
      <c r="L68" s="18">
        <f>K$68*'Population Treasury'!AD$88*'Statistics NZ'!AD$413/('Population Treasury'!AC$88*'Statistics NZ'!AC$413)</f>
        <v>5402.6882677503199</v>
      </c>
      <c r="M68" s="18">
        <f>L$68*'Population Treasury'!AE$88*'Statistics NZ'!AE$413/('Population Treasury'!AD$88*'Statistics NZ'!AD$413)</f>
        <v>5633.6617938275103</v>
      </c>
      <c r="N68" s="18">
        <f>M$68*'Population Treasury'!AF$88*'Statistics NZ'!AF$413/('Population Treasury'!AE$88*'Statistics NZ'!AE$413)</f>
        <v>5743.6555432153264</v>
      </c>
      <c r="O68" s="18">
        <f>N$68*'Population Treasury'!AG$88*'Statistics NZ'!AG$413/('Population Treasury'!AF$88*'Statistics NZ'!AF$413)</f>
        <v>5682.3629518787611</v>
      </c>
      <c r="P68" s="18">
        <f>O$68*'Population Treasury'!AH$88*'Statistics NZ'!AH$413/('Population Treasury'!AG$88*'Statistics NZ'!AG$413)</f>
        <v>5580.7089799391979</v>
      </c>
      <c r="Q68" s="18">
        <f>P$68*'Population Treasury'!AI$88*'Statistics NZ'!AI$413/('Population Treasury'!AH$88*'Statistics NZ'!AH$413)</f>
        <v>5559.8896553606301</v>
      </c>
      <c r="R68" s="18">
        <f>Q$68*'Population Treasury'!AJ$88*'Statistics NZ'!AJ$413/('Population Treasury'!AI$88*'Statistics NZ'!AI$413)</f>
        <v>5750.7657695392818</v>
      </c>
      <c r="S68" s="18">
        <f>R$68*'Population Treasury'!AK$88*'Statistics NZ'!AK$413/('Population Treasury'!AJ$88*'Statistics NZ'!AJ$413)</f>
        <v>5871.1776828561369</v>
      </c>
    </row>
    <row r="69" spans="1:19" x14ac:dyDescent="0.25">
      <c r="A69" s="12">
        <v>74</v>
      </c>
      <c r="B69" s="28">
        <f>'Population Treasury'!T$89*'Statistics NZ'!T$414*'Economic Forecasts'!V$8/B$7</f>
        <v>2899.6610335059104</v>
      </c>
      <c r="C69" s="28">
        <f>'Population Treasury'!U$89*'Statistics NZ'!U$414*'Economic Forecasts'!W$8/C$7</f>
        <v>2889.0252756645541</v>
      </c>
      <c r="D69" s="28">
        <f>'Population Treasury'!V$89*'Statistics NZ'!V$414*'Economic Forecasts'!X$8/D$7</f>
        <v>3016.8295954268692</v>
      </c>
      <c r="E69" s="28">
        <f>'Population Treasury'!W$89*'Statistics NZ'!W$414*'Economic Forecasts'!Y$8/E$7</f>
        <v>3140.0634537900296</v>
      </c>
      <c r="F69" s="28">
        <f>'Population Treasury'!X$89*'Statistics NZ'!X$414*'Economic Forecasts'!Z$8/F$7</f>
        <v>3319.2416372770222</v>
      </c>
      <c r="G69" s="28">
        <f>'Population Treasury'!Y$89*'Statistics NZ'!Y$414*'Economic Forecasts'!AA$8/G$7</f>
        <v>3476.0221829657003</v>
      </c>
      <c r="H69" s="28">
        <f>'Population Treasury'!Z$89*'Statistics NZ'!Z$414*'Economic Forecasts'!AB$8/H$7</f>
        <v>3650.8926058045163</v>
      </c>
      <c r="I69" s="28">
        <f>'Population Treasury'!AA$89*'Statistics NZ'!AA$414*'Economic Forecasts'!AC$8/I$7</f>
        <v>3794.5316255405901</v>
      </c>
      <c r="J69" s="18">
        <f>I$69*'Population Treasury'!AB$89*'Statistics NZ'!AB$414/('Population Treasury'!AA$89*'Statistics NZ'!AA$414)</f>
        <v>3954.9693345365095</v>
      </c>
      <c r="K69" s="18">
        <f>J$69*'Population Treasury'!AC$89*'Statistics NZ'!AC$414/('Population Treasury'!AB$89*'Statistics NZ'!AB$414)</f>
        <v>4135.7019427917894</v>
      </c>
      <c r="L69" s="18">
        <f>K$69*'Population Treasury'!AD$89*'Statistics NZ'!AD$414/('Population Treasury'!AC$89*'Statistics NZ'!AC$414)</f>
        <v>4245.7642934645237</v>
      </c>
      <c r="M69" s="18">
        <f>L$69*'Population Treasury'!AE$89*'Statistics NZ'!AE$414/('Population Treasury'!AD$89*'Statistics NZ'!AD$414)</f>
        <v>4476.9781823988988</v>
      </c>
      <c r="N69" s="18">
        <f>M$69*'Population Treasury'!AF$89*'Statistics NZ'!AF$414/('Population Treasury'!AE$89*'Statistics NZ'!AE$414)</f>
        <v>4677.7348105730998</v>
      </c>
      <c r="O69" s="18">
        <f>N$69*'Population Treasury'!AG$89*'Statistics NZ'!AG$414/('Population Treasury'!AF$89*'Statistics NZ'!AF$414)</f>
        <v>4767.7769697396243</v>
      </c>
      <c r="P69" s="18">
        <f>O$69*'Population Treasury'!AH$89*'Statistics NZ'!AH$414/('Population Treasury'!AG$89*'Statistics NZ'!AG$414)</f>
        <v>4716.7402597017708</v>
      </c>
      <c r="Q69" s="18">
        <f>P$69*'Population Treasury'!AI$89*'Statistics NZ'!AI$414/('Population Treasury'!AH$89*'Statistics NZ'!AH$414)</f>
        <v>4625.5097079763509</v>
      </c>
      <c r="R69" s="18">
        <f>Q$69*'Population Treasury'!AJ$89*'Statistics NZ'!AJ$414/('Population Treasury'!AI$89*'Statistics NZ'!AI$414)</f>
        <v>4614.7933125542249</v>
      </c>
      <c r="S69" s="18">
        <f>R$69*'Population Treasury'!AK$89*'Statistics NZ'!AK$414/('Population Treasury'!AJ$89*'Statistics NZ'!AJ$414)</f>
        <v>4775.5356743855627</v>
      </c>
    </row>
    <row r="70" spans="1:19" x14ac:dyDescent="0.25">
      <c r="A70" s="12">
        <v>75</v>
      </c>
      <c r="B70" s="28">
        <f>'Population Treasury'!T$90*'Statistics NZ'!T$415*'Economic Forecasts'!V$8/B$7</f>
        <v>2276.1844290319436</v>
      </c>
      <c r="C70" s="28">
        <f>'Population Treasury'!U$90*'Statistics NZ'!U$415*'Economic Forecasts'!W$8/C$7</f>
        <v>2399.8259661216498</v>
      </c>
      <c r="D70" s="28">
        <f>'Population Treasury'!V$90*'Statistics NZ'!V$415*'Economic Forecasts'!X$8/D$7</f>
        <v>2404.0899224829632</v>
      </c>
      <c r="E70" s="28">
        <f>'Population Treasury'!W$90*'Statistics NZ'!W$415*'Economic Forecasts'!Y$8/E$7</f>
        <v>2525.7212988399087</v>
      </c>
      <c r="F70" s="28">
        <f>'Population Treasury'!X$90*'Statistics NZ'!X$415*'Economic Forecasts'!Z$8/F$7</f>
        <v>2633.7756968738372</v>
      </c>
      <c r="G70" s="28">
        <f>'Population Treasury'!Y$90*'Statistics NZ'!Y$415*'Economic Forecasts'!AA$8/G$7</f>
        <v>2788.5711654760848</v>
      </c>
      <c r="H70" s="28">
        <f>'Population Treasury'!Z$90*'Statistics NZ'!Z$415*'Economic Forecasts'!AB$8/H$7</f>
        <v>2912.7548569147539</v>
      </c>
      <c r="I70" s="28">
        <f>'Population Treasury'!AA$90*'Statistics NZ'!AA$415*'Economic Forecasts'!AC$8/I$7</f>
        <v>3055.2570242502002</v>
      </c>
      <c r="J70" s="18">
        <f>I$70*'Population Treasury'!AB$90*'Statistics NZ'!AB$415/('Population Treasury'!AA$90*'Statistics NZ'!AA$415)</f>
        <v>3175.4441755846328</v>
      </c>
      <c r="K70" s="18">
        <f>J$70*'Population Treasury'!AC$90*'Statistics NZ'!AC$415/('Population Treasury'!AB$90*'Statistics NZ'!AB$415)</f>
        <v>3305.8195190465281</v>
      </c>
      <c r="L70" s="18">
        <f>K$70*'Population Treasury'!AD$90*'Statistics NZ'!AD$415/('Population Treasury'!AC$90*'Statistics NZ'!AC$415)</f>
        <v>3466.286722198975</v>
      </c>
      <c r="M70" s="18">
        <f>L$70*'Population Treasury'!AE$90*'Statistics NZ'!AE$415/('Population Treasury'!AD$90*'Statistics NZ'!AD$415)</f>
        <v>3556.3564795437619</v>
      </c>
      <c r="N70" s="18">
        <f>M$70*'Population Treasury'!AF$90*'Statistics NZ'!AF$415/('Population Treasury'!AE$90*'Statistics NZ'!AE$415)</f>
        <v>3757.3177044263903</v>
      </c>
      <c r="O70" s="18">
        <f>N$70*'Population Treasury'!AG$90*'Statistics NZ'!AG$415/('Population Treasury'!AF$90*'Statistics NZ'!AF$415)</f>
        <v>3918.0579077808384</v>
      </c>
      <c r="P70" s="18">
        <f>O$70*'Population Treasury'!AH$90*'Statistics NZ'!AH$415/('Population Treasury'!AG$90*'Statistics NZ'!AG$415)</f>
        <v>3988.1979062915243</v>
      </c>
      <c r="Q70" s="18">
        <f>P$70*'Population Treasury'!AI$90*'Statistics NZ'!AI$415/('Population Treasury'!AH$90*'Statistics NZ'!AH$415)</f>
        <v>3957.2529757760835</v>
      </c>
      <c r="R70" s="18">
        <f>Q$70*'Population Treasury'!AJ$90*'Statistics NZ'!AJ$415/('Population Treasury'!AI$90*'Statistics NZ'!AI$415)</f>
        <v>3876.2865716394913</v>
      </c>
      <c r="S70" s="18">
        <f>R$70*'Population Treasury'!AK$90*'Statistics NZ'!AK$415/('Population Treasury'!AJ$90*'Statistics NZ'!AJ$415)</f>
        <v>3865.7369236046497</v>
      </c>
    </row>
    <row r="71" spans="1:19" x14ac:dyDescent="0.25">
      <c r="A71" s="12">
        <v>76</v>
      </c>
      <c r="B71" s="28">
        <f>'Population Treasury'!T$91*'Statistics NZ'!T$416*'Economic Forecasts'!V$8/B$7</f>
        <v>1919.9120836182478</v>
      </c>
      <c r="C71" s="28">
        <f>'Population Treasury'!U$91*'Statistics NZ'!U$416*'Economic Forecasts'!W$8/C$7</f>
        <v>1910.0373603465957</v>
      </c>
      <c r="D71" s="28">
        <f>'Population Treasury'!V$91*'Statistics NZ'!V$416*'Economic Forecasts'!X$8/D$7</f>
        <v>2014.7612772294469</v>
      </c>
      <c r="E71" s="28">
        <f>'Population Treasury'!W$91*'Statistics NZ'!W$416*'Economic Forecasts'!Y$8/E$7</f>
        <v>2038.1293320680497</v>
      </c>
      <c r="F71" s="28">
        <f>'Population Treasury'!X$91*'Statistics NZ'!X$416*'Economic Forecasts'!Z$8/F$7</f>
        <v>2144.2297074255498</v>
      </c>
      <c r="G71" s="28">
        <f>'Population Treasury'!Y$91*'Statistics NZ'!Y$416*'Economic Forecasts'!AA$8/G$7</f>
        <v>2238.7184163304555</v>
      </c>
      <c r="H71" s="28">
        <f>'Population Treasury'!Z$91*'Statistics NZ'!Z$416*'Economic Forecasts'!AB$8/H$7</f>
        <v>2361.6974316239962</v>
      </c>
      <c r="I71" s="28">
        <f>'Population Treasury'!AA$91*'Statistics NZ'!AA$416*'Economic Forecasts'!AC$8/I$7</f>
        <v>2473.7770732619292</v>
      </c>
      <c r="J71" s="18">
        <f>I$71*'Population Treasury'!AB$91*'Statistics NZ'!AB$416/('Population Treasury'!AA$91*'Statistics NZ'!AA$416)</f>
        <v>2594.1184709111317</v>
      </c>
      <c r="K71" s="18">
        <f>J$71*'Population Treasury'!AC$91*'Statistics NZ'!AC$416/('Population Treasury'!AB$91*'Statistics NZ'!AB$416)</f>
        <v>2694.3276885140472</v>
      </c>
      <c r="L71" s="18">
        <f>K$71*'Population Treasury'!AD$91*'Statistics NZ'!AD$416/('Population Treasury'!AC$91*'Statistics NZ'!AC$416)</f>
        <v>2804.6698094320614</v>
      </c>
      <c r="M71" s="18">
        <f>L$71*'Population Treasury'!AE$91*'Statistics NZ'!AE$416/('Population Treasury'!AD$91*'Statistics NZ'!AD$416)</f>
        <v>2935.1459864434064</v>
      </c>
      <c r="N71" s="18">
        <f>M$71*'Population Treasury'!AF$91*'Statistics NZ'!AF$416/('Population Treasury'!AE$91*'Statistics NZ'!AE$416)</f>
        <v>3015.2168520257669</v>
      </c>
      <c r="O71" s="18">
        <f>N$71*'Population Treasury'!AG$91*'Statistics NZ'!AG$416/('Population Treasury'!AF$91*'Statistics NZ'!AF$416)</f>
        <v>3186.040178470887</v>
      </c>
      <c r="P71" s="18">
        <f>O$71*'Population Treasury'!AH$91*'Statistics NZ'!AH$416/('Population Treasury'!AG$91*'Statistics NZ'!AG$416)</f>
        <v>3316.7681052365365</v>
      </c>
      <c r="Q71" s="18">
        <f>P$71*'Population Treasury'!AI$91*'Statistics NZ'!AI$416/('Population Treasury'!AH$91*'Statistics NZ'!AH$416)</f>
        <v>3386.8046768076883</v>
      </c>
      <c r="R71" s="18">
        <f>Q$71*'Population Treasury'!AJ$91*'Statistics NZ'!AJ$416/('Population Treasury'!AI$91*'Statistics NZ'!AI$416)</f>
        <v>3346.1766823973899</v>
      </c>
      <c r="S71" s="18">
        <f>R$71*'Population Treasury'!AK$91*'Statistics NZ'!AK$416/('Population Treasury'!AJ$91*'Statistics NZ'!AJ$416)</f>
        <v>3285.3132026401877</v>
      </c>
    </row>
    <row r="72" spans="1:19" x14ac:dyDescent="0.25">
      <c r="A72" s="12">
        <v>77</v>
      </c>
      <c r="B72" s="28">
        <f>'Population Treasury'!T$92*'Statistics NZ'!T$417*'Economic Forecasts'!V$8/B$7</f>
        <v>1623.0184624401684</v>
      </c>
      <c r="C72" s="28">
        <f>'Population Treasury'!U$92*'Statistics NZ'!U$417*'Economic Forecasts'!W$8/C$7</f>
        <v>1645.5691879119156</v>
      </c>
      <c r="D72" s="28">
        <f>'Population Treasury'!V$92*'Statistics NZ'!V$417*'Economic Forecasts'!X$8/D$7</f>
        <v>1644.8802429350678</v>
      </c>
      <c r="E72" s="28">
        <f>'Population Treasury'!W$92*'Statistics NZ'!W$417*'Economic Forecasts'!Y$8/E$7</f>
        <v>1755.3265523905384</v>
      </c>
      <c r="F72" s="28">
        <f>'Population Treasury'!X$92*'Statistics NZ'!X$417*'Economic Forecasts'!Z$8/F$7</f>
        <v>1772.1755333309848</v>
      </c>
      <c r="G72" s="28">
        <f>'Population Treasury'!Y$92*'Statistics NZ'!Y$417*'Economic Forecasts'!AA$8/G$7</f>
        <v>1865.6027053598693</v>
      </c>
      <c r="H72" s="28">
        <f>'Population Treasury'!Z$92*'Statistics NZ'!Z$417*'Economic Forecasts'!AB$8/H$7</f>
        <v>1938.5648814898268</v>
      </c>
      <c r="I72" s="28">
        <f>'Population Treasury'!AA$92*'Statistics NZ'!AA$417*'Economic Forecasts'!AC$8/I$7</f>
        <v>2049.9861802413884</v>
      </c>
      <c r="J72" s="18">
        <f>I$72*'Population Treasury'!AB$92*'Statistics NZ'!AB$417/('Population Treasury'!AA$92*'Statistics NZ'!AA$417)</f>
        <v>2140.127846154488</v>
      </c>
      <c r="K72" s="18">
        <f>J$72*'Population Treasury'!AC$92*'Statistics NZ'!AC$417/('Population Treasury'!AB$92*'Statistics NZ'!AB$417)</f>
        <v>2250.3695680226665</v>
      </c>
      <c r="L72" s="18">
        <f>K$72*'Population Treasury'!AD$92*'Statistics NZ'!AD$417/('Population Treasury'!AC$92*'Statistics NZ'!AC$417)</f>
        <v>2340.5250791959115</v>
      </c>
      <c r="M72" s="18">
        <f>L$72*'Population Treasury'!AE$92*'Statistics NZ'!AE$417/('Population Treasury'!AD$92*'Statistics NZ'!AD$417)</f>
        <v>2430.8896567805673</v>
      </c>
      <c r="N72" s="18">
        <f>M$72*'Population Treasury'!AF$92*'Statistics NZ'!AF$417/('Population Treasury'!AE$92*'Statistics NZ'!AE$417)</f>
        <v>2551.2439143523452</v>
      </c>
      <c r="O72" s="18">
        <f>N$72*'Population Treasury'!AG$92*'Statistics NZ'!AG$417/('Population Treasury'!AF$92*'Statistics NZ'!AF$417)</f>
        <v>2621.3287585561602</v>
      </c>
      <c r="P72" s="18">
        <f>O$72*'Population Treasury'!AH$92*'Statistics NZ'!AH$417/('Population Treasury'!AG$92*'Statistics NZ'!AG$417)</f>
        <v>2762.1715993497573</v>
      </c>
      <c r="Q72" s="18">
        <f>P$72*'Population Treasury'!AI$92*'Statistics NZ'!AI$417/('Population Treasury'!AH$92*'Statistics NZ'!AH$417)</f>
        <v>2882.7509131608617</v>
      </c>
      <c r="R72" s="18">
        <f>Q$72*'Population Treasury'!AJ$92*'Statistics NZ'!AJ$417/('Population Treasury'!AI$92*'Statistics NZ'!AI$417)</f>
        <v>2942.8136403542503</v>
      </c>
      <c r="S72" s="18">
        <f>R$72*'Population Treasury'!AK$92*'Statistics NZ'!AK$417/('Population Treasury'!AJ$92*'Statistics NZ'!AJ$417)</f>
        <v>2912.2545549839092</v>
      </c>
    </row>
    <row r="73" spans="1:19" x14ac:dyDescent="0.25">
      <c r="A73" s="12">
        <v>78</v>
      </c>
      <c r="B73" s="28">
        <f>'Population Treasury'!T$93*'Statistics NZ'!T$418*'Economic Forecasts'!V$8/B$7</f>
        <v>1167.7815766337794</v>
      </c>
      <c r="C73" s="28">
        <f>'Population Treasury'!U$93*'Statistics NZ'!U$418*'Economic Forecasts'!W$8/C$7</f>
        <v>1400.6842414933408</v>
      </c>
      <c r="D73" s="28">
        <f>'Population Treasury'!V$93*'Statistics NZ'!V$418*'Economic Forecasts'!X$8/D$7</f>
        <v>1430.7519169347743</v>
      </c>
      <c r="E73" s="28">
        <f>'Population Treasury'!W$93*'Statistics NZ'!W$418*'Economic Forecasts'!Y$8/E$7</f>
        <v>1443.2675251547587</v>
      </c>
      <c r="F73" s="28">
        <f>'Population Treasury'!X$93*'Statistics NZ'!X$418*'Economic Forecasts'!Z$8/F$7</f>
        <v>1537.1916407232357</v>
      </c>
      <c r="G73" s="28">
        <f>'Population Treasury'!Y$93*'Statistics NZ'!Y$418*'Economic Forecasts'!AA$8/G$7</f>
        <v>1551.400627459519</v>
      </c>
      <c r="H73" s="28">
        <f>'Population Treasury'!Z$93*'Statistics NZ'!Z$418*'Economic Forecasts'!AB$8/H$7</f>
        <v>1633.5147751442973</v>
      </c>
      <c r="I73" s="28">
        <f>'Population Treasury'!AA$93*'Statistics NZ'!AA$418*'Economic Forecasts'!AC$8/I$7</f>
        <v>1705.0406814888227</v>
      </c>
      <c r="J73" s="18">
        <f>I$73*'Population Treasury'!AB$93*'Statistics NZ'!AB$418/('Population Treasury'!AA$93*'Statistics NZ'!AA$418)</f>
        <v>1795.4213274050865</v>
      </c>
      <c r="K73" s="18">
        <f>J$73*'Population Treasury'!AC$93*'Statistics NZ'!AC$418/('Population Treasury'!AB$93*'Statistics NZ'!AB$418)</f>
        <v>1875.5408222815906</v>
      </c>
      <c r="L73" s="18">
        <f>K$73*'Population Treasury'!AD$93*'Statistics NZ'!AD$418/('Population Treasury'!AC$93*'Statistics NZ'!AC$418)</f>
        <v>1965.844097638759</v>
      </c>
      <c r="M73" s="18">
        <f>L$73*'Population Treasury'!AE$93*'Statistics NZ'!AE$418/('Population Treasury'!AD$93*'Statistics NZ'!AD$418)</f>
        <v>2045.9902894405188</v>
      </c>
      <c r="N73" s="18">
        <f>M$73*'Population Treasury'!AF$93*'Statistics NZ'!AF$418/('Population Treasury'!AE$93*'Statistics NZ'!AE$418)</f>
        <v>2136.2028265348235</v>
      </c>
      <c r="O73" s="18">
        <f>N$73*'Population Treasury'!AG$93*'Statistics NZ'!AG$418/('Population Treasury'!AF$93*'Statistics NZ'!AF$418)</f>
        <v>2236.6191780029008</v>
      </c>
      <c r="P73" s="18">
        <f>O$73*'Population Treasury'!AH$93*'Statistics NZ'!AH$418/('Population Treasury'!AG$93*'Statistics NZ'!AG$418)</f>
        <v>2296.7374561979482</v>
      </c>
      <c r="Q73" s="18">
        <f>P$73*'Population Treasury'!AI$93*'Statistics NZ'!AI$418/('Population Treasury'!AH$93*'Statistics NZ'!AH$418)</f>
        <v>2417.5284469221265</v>
      </c>
      <c r="R73" s="18">
        <f>Q$73*'Population Treasury'!AJ$93*'Statistics NZ'!AJ$418/('Population Treasury'!AI$93*'Statistics NZ'!AI$418)</f>
        <v>2528.0164556426248</v>
      </c>
      <c r="S73" s="18">
        <f>R$73*'Population Treasury'!AK$93*'Statistics NZ'!AK$418/('Population Treasury'!AJ$93*'Statistics NZ'!AJ$418)</f>
        <v>2578.1329748707781</v>
      </c>
    </row>
    <row r="74" spans="1:19" x14ac:dyDescent="0.25">
      <c r="A74" s="12">
        <v>79</v>
      </c>
      <c r="B74" s="28">
        <f>'Population Treasury'!T$94*'Statistics NZ'!T$419*'Economic Forecasts'!V$8/B$7</f>
        <v>910.47377161277723</v>
      </c>
      <c r="C74" s="28">
        <f>'Population Treasury'!U$94*'Statistics NZ'!U$419*'Economic Forecasts'!W$8/C$7</f>
        <v>979.4424574395764</v>
      </c>
      <c r="D74" s="28">
        <f>'Population Treasury'!V$94*'Statistics NZ'!V$419*'Economic Forecasts'!X$8/D$7</f>
        <v>1197.1524926170603</v>
      </c>
      <c r="E74" s="28">
        <f>'Population Treasury'!W$94*'Statistics NZ'!W$419*'Economic Forecasts'!Y$8/E$7</f>
        <v>1218.9758267821405</v>
      </c>
      <c r="F74" s="28">
        <f>'Population Treasury'!X$94*'Statistics NZ'!X$419*'Economic Forecasts'!Z$8/F$7</f>
        <v>1233.6736192898597</v>
      </c>
      <c r="G74" s="28">
        <f>'Population Treasury'!Y$94*'Statistics NZ'!Y$419*'Economic Forecasts'!AA$8/G$7</f>
        <v>1315.7458719556553</v>
      </c>
      <c r="H74" s="28">
        <f>'Population Treasury'!Z$94*'Statistics NZ'!Z$419*'Economic Forecasts'!AB$8/H$7</f>
        <v>1328.4645044799429</v>
      </c>
      <c r="I74" s="28">
        <f>'Population Treasury'!AA$94*'Statistics NZ'!AA$419*'Economic Forecasts'!AC$8/I$7</f>
        <v>1399.5158734686349</v>
      </c>
      <c r="J74" s="18">
        <f>I$74*'Population Treasury'!AB$94*'Statistics NZ'!AB$419/('Population Treasury'!AA$94*'Statistics NZ'!AA$419)</f>
        <v>1459.4569512308983</v>
      </c>
      <c r="K74" s="18">
        <f>J$74*'Population Treasury'!AC$94*'Statistics NZ'!AC$419/('Population Treasury'!AB$94*'Statistics NZ'!AB$419)</f>
        <v>1539.7527565856583</v>
      </c>
      <c r="L74" s="18">
        <f>K$74*'Population Treasury'!AD$94*'Statistics NZ'!AD$419/('Population Treasury'!AC$94*'Statistics NZ'!AC$419)</f>
        <v>1609.8535195026732</v>
      </c>
      <c r="M74" s="18">
        <f>L$74*'Population Treasury'!AE$94*'Statistics NZ'!AE$419/('Population Treasury'!AD$94*'Statistics NZ'!AD$419)</f>
        <v>1680.2053517356687</v>
      </c>
      <c r="N74" s="18">
        <f>M$74*'Population Treasury'!AF$94*'Statistics NZ'!AF$419/('Population Treasury'!AE$94*'Statistics NZ'!AE$419)</f>
        <v>1750.3276541498378</v>
      </c>
      <c r="O74" s="18">
        <f>N$74*'Population Treasury'!AG$94*'Statistics NZ'!AG$419/('Population Treasury'!AF$94*'Statistics NZ'!AF$419)</f>
        <v>1820.6156318473604</v>
      </c>
      <c r="P74" s="18">
        <f>O$74*'Population Treasury'!AH$94*'Statistics NZ'!AH$419/('Population Treasury'!AG$94*'Statistics NZ'!AG$419)</f>
        <v>1910.9430725509173</v>
      </c>
      <c r="Q74" s="18">
        <f>P$74*'Population Treasury'!AI$94*'Statistics NZ'!AI$419/('Population Treasury'!AH$94*'Statistics NZ'!AH$419)</f>
        <v>1961.0764861148436</v>
      </c>
      <c r="R74" s="18">
        <f>Q$74*'Population Treasury'!AJ$94*'Statistics NZ'!AJ$419/('Population Treasury'!AI$94*'Statistics NZ'!AI$419)</f>
        <v>2071.6951443441981</v>
      </c>
      <c r="S74" s="18">
        <f>R$74*'Population Treasury'!AK$94*'Statistics NZ'!AK$419/('Population Treasury'!AJ$94*'Statistics NZ'!AJ$419)</f>
        <v>2162.1811238727569</v>
      </c>
    </row>
    <row r="75" spans="1:19" x14ac:dyDescent="0.25">
      <c r="A75" s="12" t="s">
        <v>389</v>
      </c>
      <c r="B75" s="28">
        <f>SUM('Population Treasury'!T$95:T$110)*'Statistics NZ'!T$420*'Economic Forecasts'!V$8/B$7</f>
        <v>3176.7617466054508</v>
      </c>
      <c r="C75" s="28">
        <f>SUM('Population Treasury'!U$95:U$110)*'Statistics NZ'!U$420*'Economic Forecasts'!W$8/C$7</f>
        <v>3379.519887931684</v>
      </c>
      <c r="D75" s="28">
        <f>SUM('Population Treasury'!V$95:V$110)*'Statistics NZ'!V$420*'Economic Forecasts'!X$8/D$7</f>
        <v>3611.1880892357908</v>
      </c>
      <c r="E75" s="28">
        <f>SUM('Population Treasury'!W$95:W$110)*'Statistics NZ'!W$420*'Economic Forecasts'!Y$8/E$7</f>
        <v>3998.2565049252048</v>
      </c>
      <c r="F75" s="28">
        <f>SUM('Population Treasury'!X$95:X$110)*'Statistics NZ'!X$420*'Economic Forecasts'!Z$8/F$7</f>
        <v>4366.7281218444623</v>
      </c>
      <c r="G75" s="28">
        <f>SUM('Population Treasury'!Y$95:Y$110)*'Statistics NZ'!Y$420*'Economic Forecasts'!AA$8/G$7</f>
        <v>4673.7328678740969</v>
      </c>
      <c r="H75" s="28">
        <f>SUM('Population Treasury'!Z$95:Z$110)*'Statistics NZ'!Z$420*'Economic Forecasts'!AB$8/H$7</f>
        <v>4989.0128410545904</v>
      </c>
      <c r="I75" s="28">
        <f>SUM('Population Treasury'!AA$95:AA$110)*'Statistics NZ'!AA$420*'Economic Forecasts'!AC$8/I$7</f>
        <v>5253.0120890593334</v>
      </c>
      <c r="J75" s="18">
        <f>I$75*SUM('Population Treasury'!AB$95:AB$110)*'Statistics NZ'!AB$420/(SUM('Population Treasury'!AA$95:AA$110)*'Statistics NZ'!AA$420)</f>
        <v>5534.0394728654182</v>
      </c>
      <c r="K75" s="18">
        <f>J$75*SUM('Population Treasury'!AC$95:AC$110)*'Statistics NZ'!AC$420/(SUM('Population Treasury'!AB$95:AB$110)*'Statistics NZ'!AB$420)</f>
        <v>5815.1535309503461</v>
      </c>
      <c r="L75" s="18">
        <f>K$75*SUM('Population Treasury'!AD$95:AD$110)*'Statistics NZ'!AD$420/(SUM('Population Treasury'!AC$95:AC$110)*'Statistics NZ'!AC$420)</f>
        <v>6116.3129024301561</v>
      </c>
      <c r="M75" s="18">
        <f>L$75*SUM('Population Treasury'!AE$95:AE$110)*'Statistics NZ'!AE$420/(SUM('Population Treasury'!AD$95:AD$110)*'Statistics NZ'!AD$420)</f>
        <v>6427.4907745272749</v>
      </c>
      <c r="N75" s="18">
        <f>M$75*SUM('Population Treasury'!AF$95:AF$110)*'Statistics NZ'!AF$420/(SUM('Population Treasury'!AE$95:AE$110)*'Statistics NZ'!AE$420)</f>
        <v>6748.834384247416</v>
      </c>
      <c r="O75" s="18">
        <f>N$75*SUM('Population Treasury'!AG$95:AG$110)*'Statistics NZ'!AG$420/(SUM('Population Treasury'!AF$95:AF$110)*'Statistics NZ'!AF$420)</f>
        <v>7060.4292997851499</v>
      </c>
      <c r="P75" s="18">
        <f>O$75*SUM('Population Treasury'!AH$95:AH$110)*'Statistics NZ'!AH$420/(SUM('Population Treasury'!AG$95:AG$110)*'Statistics NZ'!AG$420)</f>
        <v>7382.0714301836424</v>
      </c>
      <c r="Q75" s="18">
        <f>P$75*SUM('Population Treasury'!AI$95:AI$110)*'Statistics NZ'!AI$420/(SUM('Population Treasury'!AH$95:AH$110)*'Statistics NZ'!AH$420)</f>
        <v>7723.8155455647675</v>
      </c>
      <c r="R75" s="18">
        <f>Q$75*SUM('Population Treasury'!AJ$95:AJ$110)*'Statistics NZ'!AJ$420/(SUM('Population Treasury'!AI$95:AI$110)*'Statistics NZ'!AI$420)</f>
        <v>8045.7048945530105</v>
      </c>
      <c r="S75" s="18">
        <f>R$75*SUM('Population Treasury'!AK$95:AK$110)*'Statistics NZ'!AK$420/(SUM('Population Treasury'!AJ$95:AJ$110)*'Statistics NZ'!AJ$420)</f>
        <v>8407.6898202919401</v>
      </c>
    </row>
    <row r="76" spans="1:19" x14ac:dyDescent="0.25">
      <c r="A76" s="11" t="s">
        <v>385</v>
      </c>
      <c r="B76" s="30">
        <f t="shared" ref="B76:S76" si="2">SUM(B$10:B$75)</f>
        <v>1436114.0314545278</v>
      </c>
      <c r="C76" s="30">
        <f t="shared" si="2"/>
        <v>1435888.0552651843</v>
      </c>
      <c r="D76" s="30">
        <f t="shared" si="2"/>
        <v>1446921.9353994904</v>
      </c>
      <c r="E76" s="30">
        <f t="shared" si="2"/>
        <v>1472881.4674528632</v>
      </c>
      <c r="F76" s="30">
        <f t="shared" si="2"/>
        <v>1499860.5576810061</v>
      </c>
      <c r="G76" s="30">
        <f t="shared" si="2"/>
        <v>1524375.1888822126</v>
      </c>
      <c r="H76" s="30">
        <f t="shared" si="2"/>
        <v>1547338.0843826951</v>
      </c>
      <c r="I76" s="30">
        <f t="shared" si="2"/>
        <v>1568984.2313753001</v>
      </c>
      <c r="J76" s="19">
        <f t="shared" si="2"/>
        <v>1588869.9871021004</v>
      </c>
      <c r="K76" s="19">
        <f t="shared" si="2"/>
        <v>1608048.0094569204</v>
      </c>
      <c r="L76" s="19">
        <f t="shared" si="2"/>
        <v>1626593.0452823115</v>
      </c>
      <c r="M76" s="19">
        <f t="shared" si="2"/>
        <v>1644370.3262070937</v>
      </c>
      <c r="N76" s="19">
        <f t="shared" si="2"/>
        <v>1661861.2094148109</v>
      </c>
      <c r="O76" s="19">
        <f t="shared" si="2"/>
        <v>1679143.7265347219</v>
      </c>
      <c r="P76" s="19">
        <f t="shared" si="2"/>
        <v>1695545.9777798227</v>
      </c>
      <c r="Q76" s="19">
        <f t="shared" si="2"/>
        <v>1711318.2994756757</v>
      </c>
      <c r="R76" s="19">
        <f t="shared" si="2"/>
        <v>1726742.258353574</v>
      </c>
      <c r="S76" s="19">
        <f t="shared" si="2"/>
        <v>1741817.2460237895</v>
      </c>
    </row>
    <row r="77" spans="1:19" x14ac:dyDescent="0.25">
      <c r="A77" s="11"/>
      <c r="B77" s="12"/>
      <c r="C77" s="12"/>
      <c r="D77" s="12"/>
      <c r="E77" s="12"/>
      <c r="F77" s="12"/>
      <c r="G77" s="12"/>
      <c r="H77" s="12"/>
      <c r="I77" s="12"/>
      <c r="J77" s="12"/>
      <c r="K77" s="12"/>
      <c r="L77" s="12"/>
      <c r="M77" s="12"/>
      <c r="N77" s="12"/>
      <c r="O77" s="12"/>
      <c r="P77" s="12"/>
      <c r="Q77" s="12"/>
      <c r="R77" s="12"/>
      <c r="S77" s="12"/>
    </row>
    <row r="78" spans="1:19" x14ac:dyDescent="0.25">
      <c r="A78" s="11"/>
      <c r="B78" s="12"/>
      <c r="C78" s="12"/>
      <c r="D78" s="12"/>
      <c r="E78" s="12"/>
      <c r="F78" s="12"/>
      <c r="G78" s="12"/>
      <c r="H78" s="12"/>
      <c r="I78" s="12"/>
      <c r="J78" s="12"/>
      <c r="K78" s="12"/>
      <c r="L78" s="12"/>
      <c r="M78" s="12"/>
      <c r="N78" s="12"/>
      <c r="O78" s="12"/>
      <c r="P78" s="12"/>
      <c r="Q78" s="12"/>
      <c r="R78" s="12"/>
      <c r="S78" s="12"/>
    </row>
    <row r="79" spans="1:19" x14ac:dyDescent="0.25">
      <c r="A79" s="11" t="s">
        <v>390</v>
      </c>
      <c r="B79" s="12"/>
      <c r="C79" s="12"/>
      <c r="D79" s="12"/>
      <c r="E79" s="12"/>
      <c r="F79" s="12"/>
      <c r="G79" s="12"/>
      <c r="H79" s="12"/>
      <c r="I79" s="12"/>
      <c r="J79" s="12"/>
      <c r="K79" s="12"/>
      <c r="L79" s="12"/>
      <c r="M79" s="12"/>
      <c r="N79" s="12"/>
      <c r="O79" s="12"/>
      <c r="P79" s="12"/>
      <c r="Q79" s="12"/>
      <c r="R79" s="12"/>
      <c r="S79" s="12"/>
    </row>
    <row r="80" spans="1:19" x14ac:dyDescent="0.25">
      <c r="A80" s="12">
        <f>$A$10</f>
        <v>15</v>
      </c>
      <c r="B80" s="28">
        <f>'Population Treasury'!T$130*'Statistics NZ'!T$425*'Economic Forecasts'!V$8/B$7</f>
        <v>7729.1306046693389</v>
      </c>
      <c r="C80" s="28">
        <f>'Population Treasury'!U$130*'Statistics NZ'!U$425*'Economic Forecasts'!W$8/C$7</f>
        <v>7697.6422621014581</v>
      </c>
      <c r="D80" s="28">
        <f>'Population Treasury'!V$130*'Statistics NZ'!V$425*'Economic Forecasts'!X$8/D$7</f>
        <v>7635.9514797345373</v>
      </c>
      <c r="E80" s="28">
        <f>'Population Treasury'!W$130*'Statistics NZ'!W$425*'Economic Forecasts'!Y$8/E$7</f>
        <v>7653.5395701295802</v>
      </c>
      <c r="F80" s="28">
        <f>'Population Treasury'!X$130*'Statistics NZ'!X$425*'Economic Forecasts'!Z$8/F$7</f>
        <v>7693.0640784662073</v>
      </c>
      <c r="G80" s="28">
        <f>'Population Treasury'!Y$130*'Statistics NZ'!Y$425*'Economic Forecasts'!AA$8/G$7</f>
        <v>7648.2116705281023</v>
      </c>
      <c r="H80" s="28">
        <f>'Population Treasury'!Z$130*'Statistics NZ'!Z$425*'Economic Forecasts'!AB$8/H$7</f>
        <v>7693.0979896271792</v>
      </c>
      <c r="I80" s="28">
        <f>'Population Treasury'!AA$130*'Statistics NZ'!AA$425*'Economic Forecasts'!AC$8/I$7</f>
        <v>7654.9394157332263</v>
      </c>
      <c r="J80" s="18">
        <f>I$80*'Population Treasury'!AB$130*'Statistics NZ'!AB$425/('Population Treasury'!AA$130*'Statistics NZ'!AA$425)</f>
        <v>7609.7710254496023</v>
      </c>
      <c r="K80" s="18">
        <f>J$80*'Population Treasury'!AC$130*'Statistics NZ'!AC$425/('Population Treasury'!AB$130*'Statistics NZ'!AB$425)</f>
        <v>7562.8788941433768</v>
      </c>
      <c r="L80" s="18">
        <f>K$80*'Population Treasury'!AD$130*'Statistics NZ'!AD$425/('Population Treasury'!AC$130*'Statistics NZ'!AC$425)</f>
        <v>7634.9365478372274</v>
      </c>
      <c r="M80" s="18">
        <f>L$80*'Population Treasury'!AE$130*'Statistics NZ'!AE$425/('Population Treasury'!AD$130*'Statistics NZ'!AD$425)</f>
        <v>7463.6198168408091</v>
      </c>
      <c r="N80" s="18">
        <f>M$80*'Population Treasury'!AF$130*'Statistics NZ'!AF$425/('Population Treasury'!AE$130*'Statistics NZ'!AE$425)</f>
        <v>7604.7813248728789</v>
      </c>
      <c r="O80" s="18">
        <f>N$80*'Population Treasury'!AG$130*'Statistics NZ'!AG$425/('Population Treasury'!AF$130*'Statistics NZ'!AF$425)</f>
        <v>7453.6580803143497</v>
      </c>
      <c r="P80" s="18">
        <f>O$80*'Population Treasury'!AH$130*'Statistics NZ'!AH$425/('Population Treasury'!AG$130*'Statistics NZ'!AG$425)</f>
        <v>7120.9033423140945</v>
      </c>
      <c r="Q80" s="18">
        <f>P$80*'Population Treasury'!AI$130*'Statistics NZ'!AI$425/('Population Treasury'!AH$130*'Statistics NZ'!AH$425)</f>
        <v>7090.6142799881673</v>
      </c>
      <c r="R80" s="18">
        <f>Q$80*'Population Treasury'!AJ$130*'Statistics NZ'!AJ$425/('Population Treasury'!AI$130*'Statistics NZ'!AI$425)</f>
        <v>7231.8221250821716</v>
      </c>
      <c r="S80" s="18">
        <f>R$80*'Population Treasury'!AK$130*'Statistics NZ'!AK$425/('Population Treasury'!AJ$130*'Statistics NZ'!AJ$425)</f>
        <v>7251.9223691687412</v>
      </c>
    </row>
    <row r="81" spans="1:19" x14ac:dyDescent="0.25">
      <c r="A81" s="12">
        <f>$A$11</f>
        <v>16</v>
      </c>
      <c r="B81" s="28">
        <f>'Population Treasury'!T$131*'Statistics NZ'!T$426*'Economic Forecasts'!V$8/B$7</f>
        <v>14092.550551919512</v>
      </c>
      <c r="C81" s="28">
        <f>'Population Treasury'!U$131*'Statistics NZ'!U$426*'Economic Forecasts'!W$8/C$7</f>
        <v>13875.305656961169</v>
      </c>
      <c r="D81" s="28">
        <f>'Population Treasury'!V$131*'Statistics NZ'!V$426*'Economic Forecasts'!X$8/D$7</f>
        <v>13974.471146771062</v>
      </c>
      <c r="E81" s="28">
        <f>'Population Treasury'!W$131*'Statistics NZ'!W$426*'Economic Forecasts'!Y$8/E$7</f>
        <v>14029.917875770569</v>
      </c>
      <c r="F81" s="28">
        <f>'Population Treasury'!X$131*'Statistics NZ'!X$426*'Economic Forecasts'!Z$8/F$7</f>
        <v>14062.916637188373</v>
      </c>
      <c r="G81" s="28">
        <f>'Population Treasury'!Y$131*'Statistics NZ'!Y$426*'Economic Forecasts'!AA$8/G$7</f>
        <v>14106.517765811726</v>
      </c>
      <c r="H81" s="28">
        <f>'Population Treasury'!Z$131*'Statistics NZ'!Z$426*'Economic Forecasts'!AB$8/H$7</f>
        <v>14026.665631217345</v>
      </c>
      <c r="I81" s="28">
        <f>'Population Treasury'!AA$131*'Statistics NZ'!AA$426*'Economic Forecasts'!AC$8/I$7</f>
        <v>14086.388411884971</v>
      </c>
      <c r="J81" s="18">
        <f>I$81*'Population Treasury'!AB$131*'Statistics NZ'!AB$426/('Population Treasury'!AA$131*'Statistics NZ'!AA$426)</f>
        <v>14005.417606763169</v>
      </c>
      <c r="K81" s="18">
        <f>J$81*'Population Treasury'!AC$131*'Statistics NZ'!AC$426/('Population Treasury'!AB$131*'Statistics NZ'!AB$426)</f>
        <v>13920.930631758212</v>
      </c>
      <c r="L81" s="18">
        <f>K$81*'Population Treasury'!AD$131*'Statistics NZ'!AD$426/('Population Treasury'!AC$131*'Statistics NZ'!AC$426)</f>
        <v>13832.885683892369</v>
      </c>
      <c r="M81" s="18">
        <f>L$81*'Population Treasury'!AE$131*'Statistics NZ'!AE$426/('Population Treasury'!AD$131*'Statistics NZ'!AD$426)</f>
        <v>13954.00706898844</v>
      </c>
      <c r="N81" s="18">
        <f>M$81*'Population Treasury'!AF$131*'Statistics NZ'!AF$426/('Population Treasury'!AE$131*'Statistics NZ'!AE$426)</f>
        <v>13661.434522716472</v>
      </c>
      <c r="O81" s="18">
        <f>N$81*'Population Treasury'!AG$131*'Statistics NZ'!AG$426/('Population Treasury'!AF$131*'Statistics NZ'!AF$426)</f>
        <v>13913.554044567914</v>
      </c>
      <c r="P81" s="18">
        <f>O$81*'Population Treasury'!AH$131*'Statistics NZ'!AH$426/('Population Treasury'!AG$131*'Statistics NZ'!AG$426)</f>
        <v>13651.401559328327</v>
      </c>
      <c r="Q81" s="18">
        <f>P$81*'Population Treasury'!AI$131*'Statistics NZ'!AI$426/('Population Treasury'!AH$131*'Statistics NZ'!AH$426)</f>
        <v>13046.508869678435</v>
      </c>
      <c r="R81" s="18">
        <f>Q$81*'Population Treasury'!AJ$131*'Statistics NZ'!AJ$426/('Population Treasury'!AI$131*'Statistics NZ'!AI$426)</f>
        <v>12996.016177431242</v>
      </c>
      <c r="S81" s="18">
        <f>R$81*'Population Treasury'!AK$131*'Statistics NZ'!AK$426/('Population Treasury'!AJ$131*'Statistics NZ'!AJ$426)</f>
        <v>13248.22299670513</v>
      </c>
    </row>
    <row r="82" spans="1:19" x14ac:dyDescent="0.25">
      <c r="A82" s="12">
        <f>$A$12</f>
        <v>17</v>
      </c>
      <c r="B82" s="28">
        <f>'Population Treasury'!T$132*'Statistics NZ'!T$427*'Economic Forecasts'!V$8/B$7</f>
        <v>20168.973332030873</v>
      </c>
      <c r="C82" s="28">
        <f>'Population Treasury'!U$132*'Statistics NZ'!U$427*'Economic Forecasts'!W$8/C$7</f>
        <v>20726.931934977321</v>
      </c>
      <c r="D82" s="28">
        <f>'Population Treasury'!V$132*'Statistics NZ'!V$427*'Economic Forecasts'!X$8/D$7</f>
        <v>20642.201806998539</v>
      </c>
      <c r="E82" s="28">
        <f>'Population Treasury'!W$132*'Statistics NZ'!W$427*'Economic Forecasts'!Y$8/E$7</f>
        <v>21049.840166844064</v>
      </c>
      <c r="F82" s="28">
        <f>'Population Treasury'!X$132*'Statistics NZ'!X$427*'Economic Forecasts'!Z$8/F$7</f>
        <v>21118.473044423092</v>
      </c>
      <c r="G82" s="28">
        <f>'Population Treasury'!Y$132*'Statistics NZ'!Y$427*'Economic Forecasts'!AA$8/G$7</f>
        <v>21134.756838079858</v>
      </c>
      <c r="H82" s="28">
        <f>'Population Treasury'!Z$132*'Statistics NZ'!Z$427*'Economic Forecasts'!AB$8/H$7</f>
        <v>21187.186136561799</v>
      </c>
      <c r="I82" s="28">
        <f>'Population Treasury'!AA$132*'Statistics NZ'!AA$427*'Economic Forecasts'!AC$8/I$7</f>
        <v>21060.228217038672</v>
      </c>
      <c r="J82" s="18">
        <f>I$82*'Population Treasury'!AB$132*'Statistics NZ'!AB$427/('Population Treasury'!AA$132*'Statistics NZ'!AA$427)</f>
        <v>21124.857342208416</v>
      </c>
      <c r="K82" s="18">
        <f>J$82*'Population Treasury'!AC$132*'Statistics NZ'!AC$427/('Population Treasury'!AB$132*'Statistics NZ'!AB$427)</f>
        <v>21023.278942582634</v>
      </c>
      <c r="L82" s="18">
        <f>K$82*'Population Treasury'!AD$132*'Statistics NZ'!AD$427/('Population Treasury'!AC$132*'Statistics NZ'!AC$427)</f>
        <v>20886.016435996873</v>
      </c>
      <c r="M82" s="18">
        <f>L$82*'Population Treasury'!AE$132*'Statistics NZ'!AE$427/('Population Treasury'!AD$132*'Statistics NZ'!AD$427)</f>
        <v>20754.951545765143</v>
      </c>
      <c r="N82" s="18">
        <f>M$82*'Population Treasury'!AF$132*'Statistics NZ'!AF$427/('Population Treasury'!AE$132*'Statistics NZ'!AE$427)</f>
        <v>20946.43620696212</v>
      </c>
      <c r="O82" s="18">
        <f>N$82*'Population Treasury'!AG$132*'Statistics NZ'!AG$427/('Population Treasury'!AF$132*'Statistics NZ'!AF$427)</f>
        <v>20502.931113001625</v>
      </c>
      <c r="P82" s="18">
        <f>O$82*'Population Treasury'!AH$132*'Statistics NZ'!AH$427/('Population Treasury'!AG$132*'Statistics NZ'!AG$427)</f>
        <v>20876.024427977147</v>
      </c>
      <c r="Q82" s="18">
        <f>P$82*'Population Treasury'!AI$132*'Statistics NZ'!AI$427/('Population Treasury'!AH$132*'Statistics NZ'!AH$427)</f>
        <v>20492.940750990176</v>
      </c>
      <c r="R82" s="18">
        <f>Q$82*'Population Treasury'!AJ$132*'Statistics NZ'!AJ$427/('Population Treasury'!AI$132*'Statistics NZ'!AI$427)</f>
        <v>19605.698951389459</v>
      </c>
      <c r="S82" s="18">
        <f>R$82*'Population Treasury'!AK$132*'Statistics NZ'!AK$427/('Population Treasury'!AJ$132*'Statistics NZ'!AJ$427)</f>
        <v>19525.063123294178</v>
      </c>
    </row>
    <row r="83" spans="1:19" x14ac:dyDescent="0.25">
      <c r="A83" s="12">
        <f>$A$13</f>
        <v>18</v>
      </c>
      <c r="B83" s="28">
        <f>'Population Treasury'!T$133*'Statistics NZ'!T$428*'Economic Forecasts'!V$8/B$7</f>
        <v>23929.625866953214</v>
      </c>
      <c r="C83" s="28">
        <f>'Population Treasury'!U$133*'Statistics NZ'!U$428*'Economic Forecasts'!W$8/C$7</f>
        <v>25361.525016311018</v>
      </c>
      <c r="D83" s="28">
        <f>'Population Treasury'!V$133*'Statistics NZ'!V$428*'Economic Forecasts'!X$8/D$7</f>
        <v>26371.468821396269</v>
      </c>
      <c r="E83" s="28">
        <f>'Population Treasury'!W$133*'Statistics NZ'!W$428*'Economic Forecasts'!Y$8/E$7</f>
        <v>26587.753289797813</v>
      </c>
      <c r="F83" s="28">
        <f>'Population Treasury'!X$133*'Statistics NZ'!X$428*'Economic Forecasts'!Z$8/F$7</f>
        <v>27086.035358028083</v>
      </c>
      <c r="G83" s="28">
        <f>'Population Treasury'!Y$133*'Statistics NZ'!Y$428*'Economic Forecasts'!AA$8/G$7</f>
        <v>27140.302839862354</v>
      </c>
      <c r="H83" s="28">
        <f>'Population Treasury'!Z$133*'Statistics NZ'!Z$428*'Economic Forecasts'!AB$8/H$7</f>
        <v>27145.895288971311</v>
      </c>
      <c r="I83" s="28">
        <f>'Population Treasury'!AA$133*'Statistics NZ'!AA$428*'Economic Forecasts'!AC$8/I$7</f>
        <v>27205.028449560974</v>
      </c>
      <c r="J83" s="18">
        <f>I$83*'Population Treasury'!AB$133*'Statistics NZ'!AB$428/('Population Treasury'!AA$133*'Statistics NZ'!AA$428)</f>
        <v>27011.105625555068</v>
      </c>
      <c r="K83" s="18">
        <f>J$83*'Population Treasury'!AC$133*'Statistics NZ'!AC$428/('Population Treasury'!AB$133*'Statistics NZ'!AB$428)</f>
        <v>27103.533973816593</v>
      </c>
      <c r="L83" s="18">
        <f>K$83*'Population Treasury'!AD$133*'Statistics NZ'!AD$428/('Population Treasury'!AC$133*'Statistics NZ'!AC$428)</f>
        <v>26957.38759197752</v>
      </c>
      <c r="M83" s="18">
        <f>L$83*'Population Treasury'!AE$133*'Statistics NZ'!AE$428/('Population Treasury'!AD$133*'Statistics NZ'!AD$428)</f>
        <v>26785.833516101698</v>
      </c>
      <c r="N83" s="18">
        <f>M$83*'Population Treasury'!AF$133*'Statistics NZ'!AF$428/('Population Treasury'!AE$133*'Statistics NZ'!AE$428)</f>
        <v>26624.447999413187</v>
      </c>
      <c r="O83" s="18">
        <f>N$83*'Population Treasury'!AG$133*'Statistics NZ'!AG$428/('Population Treasury'!AF$133*'Statistics NZ'!AF$428)</f>
        <v>26866.451916851984</v>
      </c>
      <c r="P83" s="18">
        <f>O$83*'Population Treasury'!AH$133*'Statistics NZ'!AH$428/('Population Treasury'!AG$133*'Statistics NZ'!AG$428)</f>
        <v>26311.997077787146</v>
      </c>
      <c r="Q83" s="18">
        <f>P$83*'Population Treasury'!AI$133*'Statistics NZ'!AI$428/('Population Treasury'!AH$133*'Statistics NZ'!AH$428)</f>
        <v>26785.981946422267</v>
      </c>
      <c r="R83" s="18">
        <f>Q$83*'Population Treasury'!AJ$133*'Statistics NZ'!AJ$428/('Population Treasury'!AI$133*'Statistics NZ'!AI$428)</f>
        <v>26311.997077787146</v>
      </c>
      <c r="S83" s="18">
        <f>R$83*'Population Treasury'!AK$133*'Statistics NZ'!AK$428/('Population Treasury'!AJ$133*'Statistics NZ'!AJ$428)</f>
        <v>25193.075650510502</v>
      </c>
    </row>
    <row r="84" spans="1:19" x14ac:dyDescent="0.25">
      <c r="A84" s="12">
        <f>$A$14</f>
        <v>19</v>
      </c>
      <c r="B84" s="28">
        <f>'Population Treasury'!T$134*'Statistics NZ'!T$429*'Economic Forecasts'!V$8/B$7</f>
        <v>25216.164892058219</v>
      </c>
      <c r="C84" s="28">
        <f>'Population Treasury'!U$134*'Statistics NZ'!U$429*'Economic Forecasts'!W$8/C$7</f>
        <v>25333.430099825015</v>
      </c>
      <c r="D84" s="28">
        <f>'Population Treasury'!V$134*'Statistics NZ'!V$429*'Economic Forecasts'!X$8/D$7</f>
        <v>27152.980711961922</v>
      </c>
      <c r="E84" s="28">
        <f>'Population Treasury'!W$134*'Statistics NZ'!W$429*'Economic Forecasts'!Y$8/E$7</f>
        <v>28557.298630625381</v>
      </c>
      <c r="F84" s="28">
        <f>'Population Treasury'!X$134*'Statistics NZ'!X$429*'Economic Forecasts'!Z$8/F$7</f>
        <v>28791.101040755526</v>
      </c>
      <c r="G84" s="28">
        <f>'Population Treasury'!Y$134*'Statistics NZ'!Y$429*'Economic Forecasts'!AA$8/G$7</f>
        <v>29282.612584059014</v>
      </c>
      <c r="H84" s="28">
        <f>'Population Treasury'!Z$134*'Statistics NZ'!Z$429*'Economic Forecasts'!AB$8/H$7</f>
        <v>29322.151629438595</v>
      </c>
      <c r="I84" s="28">
        <f>'Population Treasury'!AA$134*'Statistics NZ'!AA$429*'Economic Forecasts'!AC$8/I$7</f>
        <v>29315.506069472875</v>
      </c>
      <c r="J84" s="18">
        <f>I$84*'Population Treasury'!AB$134*'Statistics NZ'!AB$429/('Population Treasury'!AA$134*'Statistics NZ'!AA$429)</f>
        <v>29354.502562492173</v>
      </c>
      <c r="K84" s="18">
        <f>J$84*'Population Treasury'!AC$134*'Statistics NZ'!AC$429/('Population Treasury'!AB$134*'Statistics NZ'!AB$429)</f>
        <v>29155.120580067211</v>
      </c>
      <c r="L84" s="18">
        <f>K$84*'Population Treasury'!AD$134*'Statistics NZ'!AD$429/('Population Treasury'!AC$134*'Statistics NZ'!AC$429)</f>
        <v>29241.053390768782</v>
      </c>
      <c r="M84" s="18">
        <f>L$84*'Population Treasury'!AE$134*'Statistics NZ'!AE$429/('Population Treasury'!AD$134*'Statistics NZ'!AD$429)</f>
        <v>29089.965233004506</v>
      </c>
      <c r="N84" s="18">
        <f>M$84*'Population Treasury'!AF$134*'Statistics NZ'!AF$429/('Population Treasury'!AE$134*'Statistics NZ'!AE$429)</f>
        <v>28908.472463341812</v>
      </c>
      <c r="O84" s="18">
        <f>N$84*'Population Treasury'!AG$134*'Statistics NZ'!AG$429/('Population Treasury'!AF$134*'Statistics NZ'!AF$429)</f>
        <v>28737.009635245031</v>
      </c>
      <c r="P84" s="18">
        <f>O$84*'Population Treasury'!AH$134*'Statistics NZ'!AH$429/('Population Treasury'!AG$134*'Statistics NZ'!AG$429)</f>
        <v>28999.061955144825</v>
      </c>
      <c r="Q84" s="18">
        <f>P$84*'Population Treasury'!AI$134*'Statistics NZ'!AI$429/('Population Treasury'!AH$134*'Statistics NZ'!AH$429)</f>
        <v>28414.460941982798</v>
      </c>
      <c r="R84" s="18">
        <f>Q$84*'Population Treasury'!AJ$134*'Statistics NZ'!AJ$429/('Population Treasury'!AI$134*'Statistics NZ'!AI$429)</f>
        <v>28918.660260077148</v>
      </c>
      <c r="S84" s="18">
        <f>R$84*'Population Treasury'!AK$134*'Statistics NZ'!AK$429/('Population Treasury'!AJ$134*'Statistics NZ'!AJ$429)</f>
        <v>28414.460941982801</v>
      </c>
    </row>
    <row r="85" spans="1:19" x14ac:dyDescent="0.25">
      <c r="A85" s="12">
        <f>$A$15</f>
        <v>20</v>
      </c>
      <c r="B85" s="28">
        <f>'Population Treasury'!T$135*'Statistics NZ'!T$430*'Economic Forecasts'!V$8/B$7</f>
        <v>26819.390446419853</v>
      </c>
      <c r="C85" s="28">
        <f>'Population Treasury'!U$135*'Statistics NZ'!U$430*'Economic Forecasts'!W$8/C$7</f>
        <v>26712.206791157012</v>
      </c>
      <c r="D85" s="28">
        <f>'Population Treasury'!V$135*'Statistics NZ'!V$430*'Economic Forecasts'!X$8/D$7</f>
        <v>27151.526595961634</v>
      </c>
      <c r="E85" s="28">
        <f>'Population Treasury'!W$135*'Statistics NZ'!W$430*'Economic Forecasts'!Y$8/E$7</f>
        <v>29276.196528160606</v>
      </c>
      <c r="F85" s="28">
        <f>'Population Treasury'!X$135*'Statistics NZ'!X$430*'Economic Forecasts'!Z$8/F$7</f>
        <v>30728.513832391694</v>
      </c>
      <c r="G85" s="28">
        <f>'Population Treasury'!Y$135*'Statistics NZ'!Y$430*'Economic Forecasts'!AA$8/G$7</f>
        <v>30912.943097467869</v>
      </c>
      <c r="H85" s="28">
        <f>'Population Treasury'!Z$135*'Statistics NZ'!Z$430*'Economic Forecasts'!AB$8/H$7</f>
        <v>31434.262790370129</v>
      </c>
      <c r="I85" s="28">
        <f>'Population Treasury'!AA$135*'Statistics NZ'!AA$430*'Economic Forecasts'!AC$8/I$7</f>
        <v>31464.02108908513</v>
      </c>
      <c r="J85" s="18">
        <f>I$85*'Population Treasury'!AB$135*'Statistics NZ'!AB$430/('Population Treasury'!AA$135*'Statistics NZ'!AA$430)</f>
        <v>31410.703933025707</v>
      </c>
      <c r="K85" s="18">
        <f>J$85*'Population Treasury'!AC$135*'Statistics NZ'!AC$430/('Population Treasury'!AB$135*'Statistics NZ'!AB$430)</f>
        <v>31428.984460408617</v>
      </c>
      <c r="L85" s="18">
        <f>K$85*'Population Treasury'!AD$135*'Statistics NZ'!AD$430/('Population Treasury'!AC$135*'Statistics NZ'!AC$430)</f>
        <v>31206.294404548506</v>
      </c>
      <c r="M85" s="18">
        <f>L$85*'Population Treasury'!AE$135*'Statistics NZ'!AE$430/('Population Treasury'!AD$135*'Statistics NZ'!AD$430)</f>
        <v>31296.975327288725</v>
      </c>
      <c r="N85" s="18">
        <f>M$85*'Population Treasury'!AF$135*'Statistics NZ'!AF$430/('Population Treasury'!AE$135*'Statistics NZ'!AE$430)</f>
        <v>31145.717567194184</v>
      </c>
      <c r="O85" s="18">
        <f>N$85*'Population Treasury'!AG$135*'Statistics NZ'!AG$430/('Population Treasury'!AF$135*'Statistics NZ'!AF$430)</f>
        <v>30954.136376019131</v>
      </c>
      <c r="P85" s="18">
        <f>O$85*'Population Treasury'!AH$135*'Statistics NZ'!AH$430/('Population Treasury'!AG$135*'Statistics NZ'!AG$430)</f>
        <v>30782.623043832144</v>
      </c>
      <c r="Q85" s="18">
        <f>P$85*'Population Treasury'!AI$135*'Statistics NZ'!AI$430/('Population Treasury'!AH$135*'Statistics NZ'!AH$430)</f>
        <v>31055.036829601111</v>
      </c>
      <c r="R85" s="18">
        <f>Q$85*'Population Treasury'!AJ$135*'Statistics NZ'!AJ$430/('Population Treasury'!AI$135*'Statistics NZ'!AI$430)</f>
        <v>30450.003631368636</v>
      </c>
      <c r="S85" s="18">
        <f>R$85*'Population Treasury'!AK$135*'Statistics NZ'!AK$430/('Population Treasury'!AJ$135*'Statistics NZ'!AJ$430)</f>
        <v>30984.425124323319</v>
      </c>
    </row>
    <row r="86" spans="1:19" x14ac:dyDescent="0.25">
      <c r="A86" s="12">
        <f>$A$16</f>
        <v>21</v>
      </c>
      <c r="B86" s="28">
        <f>'Population Treasury'!T$136*'Statistics NZ'!T$431*'Economic Forecasts'!V$8/B$7</f>
        <v>27155.869883755007</v>
      </c>
      <c r="C86" s="28">
        <f>'Population Treasury'!U$136*'Statistics NZ'!U$431*'Economic Forecasts'!W$8/C$7</f>
        <v>27545.730348612437</v>
      </c>
      <c r="D86" s="28">
        <f>'Population Treasury'!V$136*'Statistics NZ'!V$431*'Economic Forecasts'!X$8/D$7</f>
        <v>27570.748731429336</v>
      </c>
      <c r="E86" s="28">
        <f>'Population Treasury'!W$136*'Statistics NZ'!W$431*'Economic Forecasts'!Y$8/E$7</f>
        <v>28252.275178301192</v>
      </c>
      <c r="F86" s="28">
        <f>'Population Treasury'!X$136*'Statistics NZ'!X$431*'Economic Forecasts'!Z$8/F$7</f>
        <v>30561.945387030904</v>
      </c>
      <c r="G86" s="28">
        <f>'Population Treasury'!Y$136*'Statistics NZ'!Y$431*'Economic Forecasts'!AA$8/G$7</f>
        <v>32041.898169341173</v>
      </c>
      <c r="H86" s="28">
        <f>'Population Treasury'!Z$136*'Statistics NZ'!Z$431*'Economic Forecasts'!AB$8/H$7</f>
        <v>32241.002095726551</v>
      </c>
      <c r="I86" s="28">
        <f>'Population Treasury'!AA$136*'Statistics NZ'!AA$431*'Economic Forecasts'!AC$8/I$7</f>
        <v>32754.943537324893</v>
      </c>
      <c r="J86" s="18">
        <f>I$86*'Population Treasury'!AB$136*'Statistics NZ'!AB$431/('Population Treasury'!AA$136*'Statistics NZ'!AA$431)</f>
        <v>32731.811236395541</v>
      </c>
      <c r="K86" s="18">
        <f>J$86*'Population Treasury'!AC$136*'Statistics NZ'!AC$431/('Population Treasury'!AB$136*'Statistics NZ'!AB$431)</f>
        <v>32689.237754673475</v>
      </c>
      <c r="L86" s="18">
        <f>K$86*'Population Treasury'!AD$136*'Statistics NZ'!AD$431/('Population Treasury'!AC$136*'Statistics NZ'!AC$431)</f>
        <v>32718.701174078415</v>
      </c>
      <c r="M86" s="18">
        <f>L$86*'Population Treasury'!AE$136*'Statistics NZ'!AE$431/('Population Treasury'!AD$136*'Statistics NZ'!AD$431)</f>
        <v>32486.821006429211</v>
      </c>
      <c r="N86" s="18">
        <f>M$86*'Population Treasury'!AF$136*'Statistics NZ'!AF$431/('Population Treasury'!AE$136*'Statistics NZ'!AE$431)</f>
        <v>32587.605523759968</v>
      </c>
      <c r="O86" s="18">
        <f>N$86*'Population Treasury'!AG$136*'Statistics NZ'!AG$431/('Population Treasury'!AF$136*'Statistics NZ'!AF$431)</f>
        <v>32426.388456072167</v>
      </c>
      <c r="P86" s="18">
        <f>O$86*'Population Treasury'!AH$136*'Statistics NZ'!AH$431/('Population Treasury'!AG$136*'Statistics NZ'!AG$431)</f>
        <v>32234.860611564076</v>
      </c>
      <c r="Q86" s="18">
        <f>P$86*'Population Treasury'!AI$136*'Statistics NZ'!AI$431/('Population Treasury'!AH$136*'Statistics NZ'!AH$431)</f>
        <v>32053.565368222145</v>
      </c>
      <c r="R86" s="18">
        <f>Q$86*'Population Treasury'!AJ$136*'Statistics NZ'!AJ$431/('Population Treasury'!AI$136*'Statistics NZ'!AI$431)</f>
        <v>32345.684870231038</v>
      </c>
      <c r="S86" s="18">
        <f>R$86*'Population Treasury'!AK$136*'Statistics NZ'!AK$431/('Population Treasury'!AJ$136*'Statistics NZ'!AJ$431)</f>
        <v>31720.709995430978</v>
      </c>
    </row>
    <row r="87" spans="1:19" x14ac:dyDescent="0.25">
      <c r="A87" s="12">
        <f>$A$17</f>
        <v>22</v>
      </c>
      <c r="B87" s="28">
        <f>'Population Treasury'!T$137*'Statistics NZ'!T$432*'Economic Forecasts'!V$8/B$7</f>
        <v>27551.728045325777</v>
      </c>
      <c r="C87" s="28">
        <f>'Population Treasury'!U$137*'Statistics NZ'!U$432*'Economic Forecasts'!W$8/C$7</f>
        <v>27722.762387216146</v>
      </c>
      <c r="D87" s="28">
        <f>'Population Treasury'!V$137*'Statistics NZ'!V$432*'Economic Forecasts'!X$8/D$7</f>
        <v>28262.507485273043</v>
      </c>
      <c r="E87" s="28">
        <f>'Population Treasury'!W$137*'Statistics NZ'!W$432*'Economic Forecasts'!Y$8/E$7</f>
        <v>28525.356003512043</v>
      </c>
      <c r="F87" s="28">
        <f>'Population Treasury'!X$137*'Statistics NZ'!X$432*'Economic Forecasts'!Z$8/F$7</f>
        <v>29338.002602976096</v>
      </c>
      <c r="G87" s="28">
        <f>'Population Treasury'!Y$137*'Statistics NZ'!Y$432*'Economic Forecasts'!AA$8/G$7</f>
        <v>31707.920020235546</v>
      </c>
      <c r="H87" s="28">
        <f>'Population Treasury'!Z$137*'Statistics NZ'!Z$432*'Economic Forecasts'!AB$8/H$7</f>
        <v>33234.712233031685</v>
      </c>
      <c r="I87" s="28">
        <f>'Population Treasury'!AA$137*'Statistics NZ'!AA$432*'Economic Forecasts'!AC$8/I$7</f>
        <v>33415.134988297788</v>
      </c>
      <c r="J87" s="18">
        <f>I$87*'Population Treasury'!AB$137*'Statistics NZ'!AB$432/('Population Treasury'!AA$137*'Statistics NZ'!AA$432)</f>
        <v>33905.99686266989</v>
      </c>
      <c r="K87" s="18">
        <f>J$87*'Population Treasury'!AC$137*'Statistics NZ'!AC$432/('Population Treasury'!AB$137*'Statistics NZ'!AB$432)</f>
        <v>33893.66929718601</v>
      </c>
      <c r="L87" s="18">
        <f>K$87*'Population Treasury'!AD$137*'Statistics NZ'!AD$432/('Population Treasury'!AC$137*'Statistics NZ'!AC$432)</f>
        <v>33842.565816153889</v>
      </c>
      <c r="M87" s="18">
        <f>L$87*'Population Treasury'!AE$137*'Statistics NZ'!AE$432/('Population Treasury'!AD$137*'Statistics NZ'!AD$432)</f>
        <v>33882.75169531448</v>
      </c>
      <c r="N87" s="18">
        <f>M$87*'Population Treasury'!AF$137*'Statistics NZ'!AF$432/('Population Treasury'!AE$137*'Statistics NZ'!AE$432)</f>
        <v>33650.917865572934</v>
      </c>
      <c r="O87" s="18">
        <f>N$87*'Population Treasury'!AG$137*'Statistics NZ'!AG$432/('Population Treasury'!AF$137*'Statistics NZ'!AF$432)</f>
        <v>33751.765147163627</v>
      </c>
      <c r="P87" s="18">
        <f>O$87*'Population Treasury'!AH$137*'Statistics NZ'!AH$432/('Population Treasury'!AG$137*'Statistics NZ'!AG$432)</f>
        <v>33590.640643623468</v>
      </c>
      <c r="Q87" s="18">
        <f>P$87*'Population Treasury'!AI$137*'Statistics NZ'!AI$432/('Population Treasury'!AH$137*'Statistics NZ'!AH$432)</f>
        <v>33398.992720061935</v>
      </c>
      <c r="R87" s="18">
        <f>Q$87*'Population Treasury'!AJ$137*'Statistics NZ'!AJ$432/('Population Treasury'!AI$137*'Statistics NZ'!AI$432)</f>
        <v>33217.58433580384</v>
      </c>
      <c r="S87" s="18">
        <f>R$87*'Population Treasury'!AK$137*'Statistics NZ'!AK$432/('Population Treasury'!AJ$137*'Statistics NZ'!AJ$432)</f>
        <v>33519.932019958032</v>
      </c>
    </row>
    <row r="88" spans="1:19" x14ac:dyDescent="0.25">
      <c r="A88" s="12">
        <f>$A$18</f>
        <v>23</v>
      </c>
      <c r="B88" s="28">
        <f>'Population Treasury'!T$138*'Statistics NZ'!T$433*'Economic Forecasts'!V$8/B$7</f>
        <v>29105.471329491062</v>
      </c>
      <c r="C88" s="28">
        <f>'Population Treasury'!U$138*'Statistics NZ'!U$433*'Economic Forecasts'!W$8/C$7</f>
        <v>28027.114003102979</v>
      </c>
      <c r="D88" s="28">
        <f>'Population Treasury'!V$138*'Statistics NZ'!V$433*'Economic Forecasts'!X$8/D$7</f>
        <v>28340.906218483487</v>
      </c>
      <c r="E88" s="28">
        <f>'Population Treasury'!W$138*'Statistics NZ'!W$433*'Economic Forecasts'!Y$8/E$7</f>
        <v>29139.751573165486</v>
      </c>
      <c r="F88" s="28">
        <f>'Population Treasury'!X$138*'Statistics NZ'!X$433*'Economic Forecasts'!Z$8/F$7</f>
        <v>29523.914739579264</v>
      </c>
      <c r="G88" s="28">
        <f>'Population Treasury'!Y$138*'Statistics NZ'!Y$433*'Economic Forecasts'!AA$8/G$7</f>
        <v>30352.83707595864</v>
      </c>
      <c r="H88" s="28">
        <f>'Population Treasury'!Z$138*'Statistics NZ'!Z$433*'Economic Forecasts'!AB$8/H$7</f>
        <v>32781.954888203298</v>
      </c>
      <c r="I88" s="28">
        <f>'Population Treasury'!AA$138*'Statistics NZ'!AA$433*'Economic Forecasts'!AC$8/I$7</f>
        <v>34321.718752765097</v>
      </c>
      <c r="J88" s="18">
        <f>I$88*'Population Treasury'!AB$138*'Statistics NZ'!AB$433/('Population Treasury'!AA$138*'Statistics NZ'!AA$433)</f>
        <v>34469.665241179966</v>
      </c>
      <c r="K88" s="18">
        <f>J$88*'Population Treasury'!AC$138*'Statistics NZ'!AC$433/('Population Treasury'!AB$138*'Statistics NZ'!AB$433)</f>
        <v>34971.651444239331</v>
      </c>
      <c r="L88" s="18">
        <f>K$88*'Population Treasury'!AD$138*'Statistics NZ'!AD$433/('Population Treasury'!AC$138*'Statistics NZ'!AC$433)</f>
        <v>34960.707511402528</v>
      </c>
      <c r="M88" s="18">
        <f>L$88*'Population Treasury'!AE$138*'Statistics NZ'!AE$433/('Population Treasury'!AD$138*'Statistics NZ'!AD$433)</f>
        <v>34920.307036735852</v>
      </c>
      <c r="N88" s="18">
        <f>M$88*'Population Treasury'!AF$138*'Statistics NZ'!AF$433/('Population Treasury'!AE$138*'Statistics NZ'!AE$433)</f>
        <v>34960.512519525633</v>
      </c>
      <c r="O88" s="18">
        <f>N$88*'Population Treasury'!AG$138*'Statistics NZ'!AG$433/('Population Treasury'!AF$138*'Statistics NZ'!AF$433)</f>
        <v>34728.745928264834</v>
      </c>
      <c r="P88" s="18">
        <f>O$88*'Population Treasury'!AH$138*'Statistics NZ'!AH$433/('Population Treasury'!AG$138*'Statistics NZ'!AG$433)</f>
        <v>34839.701217077098</v>
      </c>
      <c r="Q88" s="18">
        <f>P$88*'Population Treasury'!AI$138*'Statistics NZ'!AI$433/('Population Treasury'!AH$138*'Statistics NZ'!AH$433)</f>
        <v>34678.293722081355</v>
      </c>
      <c r="R88" s="18">
        <f>Q$88*'Population Treasury'!AJ$138*'Statistics NZ'!AJ$433/('Population Treasury'!AI$138*'Statistics NZ'!AI$433)</f>
        <v>34486.732309968225</v>
      </c>
      <c r="S88" s="18">
        <f>R$88*'Population Treasury'!AK$138*'Statistics NZ'!AK$433/('Population Treasury'!AJ$138*'Statistics NZ'!AJ$433)</f>
        <v>34305.221649891188</v>
      </c>
    </row>
    <row r="89" spans="1:19" x14ac:dyDescent="0.25">
      <c r="A89" s="12">
        <f>$A$19</f>
        <v>24</v>
      </c>
      <c r="B89" s="28">
        <f>'Population Treasury'!T$139*'Statistics NZ'!T$434*'Economic Forecasts'!V$8/B$7</f>
        <v>30302.942268242659</v>
      </c>
      <c r="C89" s="28">
        <f>'Population Treasury'!U$139*'Statistics NZ'!U$434*'Economic Forecasts'!W$8/C$7</f>
        <v>29536.527703665513</v>
      </c>
      <c r="D89" s="28">
        <f>'Population Treasury'!V$139*'Statistics NZ'!V$434*'Economic Forecasts'!X$8/D$7</f>
        <v>28594.509965268207</v>
      </c>
      <c r="E89" s="28">
        <f>'Population Treasury'!W$139*'Statistics NZ'!W$434*'Economic Forecasts'!Y$8/E$7</f>
        <v>29169.031352858809</v>
      </c>
      <c r="F89" s="28">
        <f>'Population Treasury'!X$139*'Statistics NZ'!X$434*'Economic Forecasts'!Z$8/F$7</f>
        <v>30091.665145898198</v>
      </c>
      <c r="G89" s="28">
        <f>'Population Treasury'!Y$139*'Statistics NZ'!Y$434*'Economic Forecasts'!AA$8/G$7</f>
        <v>30480.345789620627</v>
      </c>
      <c r="H89" s="28">
        <f>'Population Treasury'!Z$139*'Statistics NZ'!Z$434*'Economic Forecasts'!AB$8/H$7</f>
        <v>31325.524628307143</v>
      </c>
      <c r="I89" s="28">
        <f>'Population Treasury'!AA$139*'Statistics NZ'!AA$434*'Economic Forecasts'!AC$8/I$7</f>
        <v>33799.285831813286</v>
      </c>
      <c r="J89" s="18">
        <f>I$89*'Population Treasury'!AB$139*'Statistics NZ'!AB$434/('Population Treasury'!AA$139*'Statistics NZ'!AA$434)</f>
        <v>35358.842163134192</v>
      </c>
      <c r="K89" s="18">
        <f>J$89*'Population Treasury'!AC$139*'Statistics NZ'!AC$434/('Population Treasury'!AB$139*'Statistics NZ'!AB$434)</f>
        <v>35507.887003973534</v>
      </c>
      <c r="L89" s="18">
        <f>K$89*'Population Treasury'!AD$139*'Statistics NZ'!AD$434/('Population Treasury'!AC$139*'Statistics NZ'!AC$434)</f>
        <v>36031.271182881181</v>
      </c>
      <c r="M89" s="18">
        <f>L$89*'Population Treasury'!AE$139*'Statistics NZ'!AE$434/('Population Treasury'!AD$139*'Statistics NZ'!AD$434)</f>
        <v>36021.214242844915</v>
      </c>
      <c r="N89" s="18">
        <f>M$89*'Population Treasury'!AF$139*'Statistics NZ'!AF$434/('Population Treasury'!AE$139*'Statistics NZ'!AE$434)</f>
        <v>35990.661446295933</v>
      </c>
      <c r="O89" s="18">
        <f>N$89*'Population Treasury'!AG$139*'Statistics NZ'!AG$434/('Population Treasury'!AF$139*'Statistics NZ'!AF$434)</f>
        <v>36031.080365617541</v>
      </c>
      <c r="P89" s="18">
        <f>O$89*'Population Treasury'!AH$139*'Statistics NZ'!AH$434/('Population Treasury'!AG$139*'Statistics NZ'!AG$434)</f>
        <v>35799.197088489564</v>
      </c>
      <c r="Q89" s="18">
        <f>P$89*'Population Treasury'!AI$139*'Statistics NZ'!AI$434/('Population Treasury'!AH$139*'Statistics NZ'!AH$434)</f>
        <v>35910.206007112793</v>
      </c>
      <c r="R89" s="18">
        <f>Q$89*'Population Treasury'!AJ$139*'Statistics NZ'!AJ$434/('Population Treasury'!AI$139*'Statistics NZ'!AI$434)</f>
        <v>35758.969871497771</v>
      </c>
      <c r="S89" s="18">
        <f>R$89*'Population Treasury'!AK$139*'Statistics NZ'!AK$434/('Population Treasury'!AJ$139*'Statistics NZ'!AJ$434)</f>
        <v>35557.450435553976</v>
      </c>
    </row>
    <row r="90" spans="1:19" x14ac:dyDescent="0.25">
      <c r="A90" s="12">
        <f>$A$20</f>
        <v>25</v>
      </c>
      <c r="B90" s="28">
        <f>'Population Treasury'!T$140*'Statistics NZ'!T$435*'Economic Forecasts'!V$8/B$7</f>
        <v>30302.942268242659</v>
      </c>
      <c r="C90" s="28">
        <f>'Population Treasury'!U$140*'Statistics NZ'!U$435*'Economic Forecasts'!W$8/C$7</f>
        <v>30594.999679532928</v>
      </c>
      <c r="D90" s="28">
        <f>'Population Treasury'!V$140*'Statistics NZ'!V$435*'Economic Forecasts'!X$8/D$7</f>
        <v>29991.114070871656</v>
      </c>
      <c r="E90" s="28">
        <f>'Population Treasury'!W$140*'Statistics NZ'!W$435*'Economic Forecasts'!Y$8/E$7</f>
        <v>29397.160001798922</v>
      </c>
      <c r="F90" s="28">
        <f>'Population Treasury'!X$140*'Statistics NZ'!X$435*'Economic Forecasts'!Z$8/F$7</f>
        <v>30127.200703478287</v>
      </c>
      <c r="G90" s="28">
        <f>'Population Treasury'!Y$140*'Statistics NZ'!Y$435*'Economic Forecasts'!AA$8/G$7</f>
        <v>31072.758977149155</v>
      </c>
      <c r="H90" s="28">
        <f>'Population Treasury'!Z$140*'Statistics NZ'!Z$435*'Economic Forecasts'!AB$8/H$7</f>
        <v>31461.627881735207</v>
      </c>
      <c r="I90" s="28">
        <f>'Population Treasury'!AA$140*'Statistics NZ'!AA$435*'Economic Forecasts'!AC$8/I$7</f>
        <v>32316.342353123095</v>
      </c>
      <c r="J90" s="18">
        <f>I$90*'Population Treasury'!AB$140*'Statistics NZ'!AB$435/('Population Treasury'!AA$140*'Statistics NZ'!AA$435)</f>
        <v>34862.06204572726</v>
      </c>
      <c r="K90" s="18">
        <f>J$90*'Population Treasury'!AC$140*'Statistics NZ'!AC$435/('Population Treasury'!AB$140*'Statistics NZ'!AB$435)</f>
        <v>36485.05505870936</v>
      </c>
      <c r="L90" s="18">
        <f>K$90*'Population Treasury'!AD$140*'Statistics NZ'!AD$435/('Population Treasury'!AC$140*'Statistics NZ'!AC$435)</f>
        <v>36640.540186026294</v>
      </c>
      <c r="M90" s="18">
        <f>L$90*'Population Treasury'!AE$140*'Statistics NZ'!AE$435/('Population Treasury'!AD$140*'Statistics NZ'!AD$435)</f>
        <v>37185.012957853301</v>
      </c>
      <c r="N90" s="18">
        <f>M$90*'Population Treasury'!AF$140*'Statistics NZ'!AF$435/('Population Treasury'!AE$140*'Statistics NZ'!AE$435)</f>
        <v>37174.948675640364</v>
      </c>
      <c r="O90" s="18">
        <f>N$90*'Population Treasury'!AG$140*'Statistics NZ'!AG$435/('Population Treasury'!AF$140*'Statistics NZ'!AF$435)</f>
        <v>37144.588937429617</v>
      </c>
      <c r="P90" s="18">
        <f>O$90*'Population Treasury'!AH$140*'Statistics NZ'!AH$435/('Population Treasury'!AG$140*'Statistics NZ'!AG$435)</f>
        <v>37195.077248530906</v>
      </c>
      <c r="Q90" s="18">
        <f>P$90*'Population Treasury'!AI$140*'Statistics NZ'!AI$435/('Population Treasury'!AH$140*'Statistics NZ'!AH$435)</f>
        <v>36953.201281319809</v>
      </c>
      <c r="R90" s="18">
        <f>Q$90*'Population Treasury'!AJ$140*'Statistics NZ'!AJ$435/('Population Treasury'!AI$140*'Statistics NZ'!AI$435)</f>
        <v>37084.036119506971</v>
      </c>
      <c r="S90" s="18">
        <f>R$90*'Population Treasury'!AK$140*'Statistics NZ'!AK$435/('Population Treasury'!AJ$140*'Statistics NZ'!AJ$435)</f>
        <v>36922.840930799895</v>
      </c>
    </row>
    <row r="91" spans="1:19" x14ac:dyDescent="0.25">
      <c r="A91" s="12">
        <f>$A$21</f>
        <v>26</v>
      </c>
      <c r="B91" s="28">
        <f>'Population Treasury'!T$141*'Statistics NZ'!T$436*'Economic Forecasts'!V$8/B$7</f>
        <v>31658.756471622553</v>
      </c>
      <c r="C91" s="28">
        <f>'Population Treasury'!U$141*'Statistics NZ'!U$436*'Economic Forecasts'!W$8/C$7</f>
        <v>30436.240482452107</v>
      </c>
      <c r="D91" s="28">
        <f>'Population Treasury'!V$141*'Statistics NZ'!V$436*'Economic Forecasts'!X$8/D$7</f>
        <v>31050.559687676505</v>
      </c>
      <c r="E91" s="28">
        <f>'Population Treasury'!W$141*'Statistics NZ'!W$436*'Economic Forecasts'!Y$8/E$7</f>
        <v>30781.851015481756</v>
      </c>
      <c r="F91" s="28">
        <f>'Population Treasury'!X$141*'Statistics NZ'!X$436*'Economic Forecasts'!Z$8/F$7</f>
        <v>30205.871107502458</v>
      </c>
      <c r="G91" s="28">
        <f>'Population Treasury'!Y$141*'Statistics NZ'!Y$436*'Economic Forecasts'!AA$8/G$7</f>
        <v>30916.114689170481</v>
      </c>
      <c r="H91" s="28">
        <f>'Population Treasury'!Z$141*'Statistics NZ'!Z$436*'Economic Forecasts'!AB$8/H$7</f>
        <v>31865.446401812937</v>
      </c>
      <c r="I91" s="28">
        <f>'Population Treasury'!AA$141*'Statistics NZ'!AA$436*'Economic Forecasts'!AC$8/I$7</f>
        <v>32247.69029044596</v>
      </c>
      <c r="J91" s="18">
        <f>I$91*'Population Treasury'!AB$141*'Statistics NZ'!AB$436/('Population Treasury'!AA$141*'Statistics NZ'!AA$436)</f>
        <v>33099.749499784215</v>
      </c>
      <c r="K91" s="18">
        <f>J$91*'Population Treasury'!AC$141*'Statistics NZ'!AC$436/('Population Treasury'!AB$141*'Statistics NZ'!AB$436)</f>
        <v>35690.851458420562</v>
      </c>
      <c r="L91" s="18">
        <f>K$91*'Population Treasury'!AD$141*'Statistics NZ'!AD$436/('Population Treasury'!AC$141*'Statistics NZ'!AC$436)</f>
        <v>37328.51292330843</v>
      </c>
      <c r="M91" s="18">
        <f>L$91*'Population Treasury'!AE$141*'Statistics NZ'!AE$436/('Population Treasury'!AD$141*'Statistics NZ'!AD$436)</f>
        <v>37499.822884273934</v>
      </c>
      <c r="N91" s="18">
        <f>M$91*'Population Treasury'!AF$141*'Statistics NZ'!AF$436/('Population Treasury'!AE$141*'Statistics NZ'!AE$436)</f>
        <v>38044.289998048524</v>
      </c>
      <c r="O91" s="18">
        <f>N$91*'Population Treasury'!AG$141*'Statistics NZ'!AG$436/('Population Treasury'!AF$141*'Statistics NZ'!AF$436)</f>
        <v>38044.289998048524</v>
      </c>
      <c r="P91" s="18">
        <f>O$91*'Population Treasury'!AH$141*'Statistics NZ'!AH$436/('Population Treasury'!AG$141*'Statistics NZ'!AG$436)</f>
        <v>38014.087783119467</v>
      </c>
      <c r="Q91" s="18">
        <f>P$91*'Population Treasury'!AI$141*'Statistics NZ'!AI$436/('Population Treasury'!AH$141*'Statistics NZ'!AH$436)</f>
        <v>38064.424842590575</v>
      </c>
      <c r="R91" s="18">
        <f>Q$91*'Population Treasury'!AJ$141*'Statistics NZ'!AJ$436/('Population Treasury'!AI$141*'Statistics NZ'!AI$436)</f>
        <v>37832.543714903579</v>
      </c>
      <c r="S91" s="18">
        <f>R$91*'Population Treasury'!AK$141*'Statistics NZ'!AK$436/('Population Treasury'!AJ$141*'Statistics NZ'!AJ$436)</f>
        <v>37963.585362488229</v>
      </c>
    </row>
    <row r="92" spans="1:19" x14ac:dyDescent="0.25">
      <c r="A92" s="12">
        <f>$A$22</f>
        <v>27</v>
      </c>
      <c r="B92" s="28">
        <f>'Population Treasury'!T$142*'Statistics NZ'!T$437*'Economic Forecasts'!V$8/B$7</f>
        <v>32440.576340724831</v>
      </c>
      <c r="C92" s="28">
        <f>'Population Treasury'!U$142*'Statistics NZ'!U$437*'Economic Forecasts'!W$8/C$7</f>
        <v>31679.160090674537</v>
      </c>
      <c r="D92" s="28">
        <f>'Population Treasury'!V$142*'Statistics NZ'!V$437*'Economic Forecasts'!X$8/D$7</f>
        <v>30776.853666000261</v>
      </c>
      <c r="E92" s="28">
        <f>'Population Treasury'!W$142*'Statistics NZ'!W$437*'Economic Forecasts'!Y$8/E$7</f>
        <v>31747.235886490285</v>
      </c>
      <c r="F92" s="28">
        <f>'Population Treasury'!X$142*'Statistics NZ'!X$437*'Economic Forecasts'!Z$8/F$7</f>
        <v>31508.259673495413</v>
      </c>
      <c r="G92" s="28">
        <f>'Population Treasury'!Y$142*'Statistics NZ'!Y$437*'Economic Forecasts'!AA$8/G$7</f>
        <v>30886.964711108933</v>
      </c>
      <c r="H92" s="28">
        <f>'Population Treasury'!Z$142*'Statistics NZ'!Z$437*'Economic Forecasts'!AB$8/H$7</f>
        <v>31580.339295226415</v>
      </c>
      <c r="I92" s="28">
        <f>'Population Treasury'!AA$142*'Statistics NZ'!AA$437*'Economic Forecasts'!AC$8/I$7</f>
        <v>32533.726279467104</v>
      </c>
      <c r="J92" s="18">
        <f>I$92*'Population Treasury'!AB$142*'Statistics NZ'!AB$437/('Population Treasury'!AA$142*'Statistics NZ'!AA$437)</f>
        <v>32901.949585212809</v>
      </c>
      <c r="K92" s="18">
        <f>J$92*'Population Treasury'!AC$142*'Statistics NZ'!AC$437/('Population Treasury'!AB$142*'Statistics NZ'!AB$437)</f>
        <v>33759.280366546001</v>
      </c>
      <c r="L92" s="18">
        <f>K$92*'Population Treasury'!AD$142*'Statistics NZ'!AD$437/('Population Treasury'!AC$142*'Statistics NZ'!AC$437)</f>
        <v>36374.863637896204</v>
      </c>
      <c r="M92" s="18">
        <f>L$92*'Population Treasury'!AE$142*'Statistics NZ'!AE$437/('Population Treasury'!AD$142*'Statistics NZ'!AD$437)</f>
        <v>38028.221943621866</v>
      </c>
      <c r="N92" s="18">
        <f>M$92*'Population Treasury'!AF$142*'Statistics NZ'!AF$437/('Population Treasury'!AE$142*'Statistics NZ'!AE$437)</f>
        <v>38199.566044552164</v>
      </c>
      <c r="O92" s="18">
        <f>N$92*'Population Treasury'!AG$142*'Statistics NZ'!AG$437/('Population Treasury'!AF$142*'Statistics NZ'!AF$437)</f>
        <v>38764.113344138685</v>
      </c>
      <c r="P92" s="18">
        <f>O$92*'Population Treasury'!AH$142*'Statistics NZ'!AH$437/('Population Treasury'!AG$142*'Statistics NZ'!AG$437)</f>
        <v>38764.27873598977</v>
      </c>
      <c r="Q92" s="18">
        <f>P$92*'Population Treasury'!AI$142*'Statistics NZ'!AI$437/('Population Treasury'!AH$142*'Statistics NZ'!AH$437)</f>
        <v>38733.905186724121</v>
      </c>
      <c r="R92" s="18">
        <f>Q$92*'Population Treasury'!AJ$142*'Statistics NZ'!AJ$437/('Population Treasury'!AI$142*'Statistics NZ'!AI$437)</f>
        <v>38794.321554875962</v>
      </c>
      <c r="S92" s="18">
        <f>R$92*'Population Treasury'!AK$142*'Statistics NZ'!AK$437/('Population Treasury'!AJ$142*'Statistics NZ'!AJ$437)</f>
        <v>38562.560439935762</v>
      </c>
    </row>
    <row r="93" spans="1:19" x14ac:dyDescent="0.25">
      <c r="A93" s="12">
        <f>$A$23</f>
        <v>28</v>
      </c>
      <c r="B93" s="28">
        <f>'Population Treasury'!T$143*'Statistics NZ'!T$438*'Economic Forecasts'!V$8/B$7</f>
        <v>34330.799062225262</v>
      </c>
      <c r="C93" s="28">
        <f>'Population Treasury'!U$143*'Statistics NZ'!U$438*'Economic Forecasts'!W$8/C$7</f>
        <v>32374.076952099938</v>
      </c>
      <c r="D93" s="28">
        <f>'Population Treasury'!V$143*'Statistics NZ'!V$438*'Economic Forecasts'!X$8/D$7</f>
        <v>31934.72173432725</v>
      </c>
      <c r="E93" s="28">
        <f>'Population Treasury'!W$143*'Statistics NZ'!W$438*'Economic Forecasts'!Y$8/E$7</f>
        <v>31386.385803439854</v>
      </c>
      <c r="F93" s="28">
        <f>'Population Treasury'!X$143*'Statistics NZ'!X$438*'Economic Forecasts'!Z$8/F$7</f>
        <v>32389.540643123961</v>
      </c>
      <c r="G93" s="28">
        <f>'Population Treasury'!Y$143*'Statistics NZ'!Y$438*'Economic Forecasts'!AA$8/G$7</f>
        <v>32114.429679354431</v>
      </c>
      <c r="H93" s="28">
        <f>'Population Treasury'!Z$143*'Statistics NZ'!Z$438*'Economic Forecasts'!AB$8/H$7</f>
        <v>31472.245042962179</v>
      </c>
      <c r="I93" s="28">
        <f>'Population Treasury'!AA$143*'Statistics NZ'!AA$438*'Economic Forecasts'!AC$8/I$7</f>
        <v>32159.345483263798</v>
      </c>
      <c r="J93" s="18">
        <f>I$93*'Population Treasury'!AB$143*'Statistics NZ'!AB$438/('Population Treasury'!AA$143*'Statistics NZ'!AA$438)</f>
        <v>33112.446337159665</v>
      </c>
      <c r="K93" s="18">
        <f>J$93*'Population Treasury'!AC$143*'Statistics NZ'!AC$438/('Population Treasury'!AB$143*'Statistics NZ'!AB$438)</f>
        <v>33475.806518867576</v>
      </c>
      <c r="L93" s="18">
        <f>K$93*'Population Treasury'!AD$143*'Statistics NZ'!AD$438/('Population Treasury'!AC$143*'Statistics NZ'!AC$438)</f>
        <v>34337.110660186707</v>
      </c>
      <c r="M93" s="18">
        <f>L$93*'Population Treasury'!AE$143*'Statistics NZ'!AE$438/('Population Treasury'!AD$143*'Statistics NZ'!AD$438)</f>
        <v>36968.28658267486</v>
      </c>
      <c r="N93" s="18">
        <f>M$93*'Population Treasury'!AF$143*'Statistics NZ'!AF$438/('Population Treasury'!AE$143*'Statistics NZ'!AE$438)</f>
        <v>38631.893344813863</v>
      </c>
      <c r="O93" s="18">
        <f>N$93*'Population Treasury'!AG$143*'Statistics NZ'!AG$438/('Population Treasury'!AF$143*'Statistics NZ'!AF$438)</f>
        <v>38803.420080075128</v>
      </c>
      <c r="P93" s="18">
        <f>O$93*'Population Treasury'!AH$143*'Statistics NZ'!AH$438/('Population Treasury'!AG$143*'Statistics NZ'!AG$438)</f>
        <v>39377.931320018717</v>
      </c>
      <c r="Q93" s="18">
        <f>P$93*'Population Treasury'!AI$143*'Statistics NZ'!AI$438/('Population Treasury'!AH$143*'Statistics NZ'!AH$438)</f>
        <v>39378.093059669642</v>
      </c>
      <c r="R93" s="18">
        <f>Q$93*'Population Treasury'!AJ$143*'Statistics NZ'!AJ$438/('Population Treasury'!AI$143*'Statistics NZ'!AI$438)</f>
        <v>39357.789993892016</v>
      </c>
      <c r="S93" s="18">
        <f>R$93*'Population Treasury'!AK$143*'Statistics NZ'!AK$438/('Population Treasury'!AJ$143*'Statistics NZ'!AJ$438)</f>
        <v>39418.214035476005</v>
      </c>
    </row>
    <row r="94" spans="1:19" x14ac:dyDescent="0.25">
      <c r="A94" s="12">
        <f>$A$24</f>
        <v>29</v>
      </c>
      <c r="B94" s="28">
        <f>'Population Treasury'!T$144*'Statistics NZ'!T$439*'Economic Forecasts'!V$8/B$7</f>
        <v>35251.16928787731</v>
      </c>
      <c r="C94" s="28">
        <f>'Population Treasury'!U$144*'Statistics NZ'!U$439*'Economic Forecasts'!W$8/C$7</f>
        <v>34176.637061578636</v>
      </c>
      <c r="D94" s="28">
        <f>'Population Treasury'!V$144*'Statistics NZ'!V$439*'Economic Forecasts'!X$8/D$7</f>
        <v>32547.938964433022</v>
      </c>
      <c r="E94" s="28">
        <f>'Population Treasury'!W$144*'Statistics NZ'!W$439*'Economic Forecasts'!Y$8/E$7</f>
        <v>32478.591914794557</v>
      </c>
      <c r="F94" s="28">
        <f>'Population Treasury'!X$144*'Statistics NZ'!X$439*'Economic Forecasts'!Z$8/F$7</f>
        <v>31958.791996910579</v>
      </c>
      <c r="G94" s="28">
        <f>'Population Treasury'!Y$144*'Statistics NZ'!Y$439*'Economic Forecasts'!AA$8/G$7</f>
        <v>32929.395932744977</v>
      </c>
      <c r="H94" s="28">
        <f>'Population Treasury'!Z$144*'Statistics NZ'!Z$439*'Economic Forecasts'!AB$8/H$7</f>
        <v>32623.550755997101</v>
      </c>
      <c r="I94" s="28">
        <f>'Population Treasury'!AA$144*'Statistics NZ'!AA$439*'Economic Forecasts'!AC$8/I$7</f>
        <v>31972.129117315104</v>
      </c>
      <c r="J94" s="18">
        <f>I$94*'Population Treasury'!AB$144*'Statistics NZ'!AB$439/('Population Treasury'!AA$144*'Statistics NZ'!AA$439)</f>
        <v>32653.239395684643</v>
      </c>
      <c r="K94" s="18">
        <f>J$94*'Population Treasury'!AC$144*'Statistics NZ'!AC$439/('Population Treasury'!AB$144*'Statistics NZ'!AB$439)</f>
        <v>33601.195001617118</v>
      </c>
      <c r="L94" s="18">
        <f>K$94*'Population Treasury'!AD$144*'Statistics NZ'!AD$439/('Population Treasury'!AC$144*'Statistics NZ'!AC$439)</f>
        <v>33958.511153218038</v>
      </c>
      <c r="M94" s="18">
        <f>L$94*'Population Treasury'!AE$144*'Statistics NZ'!AE$439/('Population Treasury'!AD$144*'Statistics NZ'!AD$439)</f>
        <v>34825.400357249782</v>
      </c>
      <c r="N94" s="18">
        <f>M$94*'Population Treasury'!AF$144*'Statistics NZ'!AF$439/('Population Treasury'!AE$144*'Statistics NZ'!AE$439)</f>
        <v>37456.82803739181</v>
      </c>
      <c r="O94" s="18">
        <f>N$94*'Population Treasury'!AG$144*'Statistics NZ'!AG$439/('Population Treasury'!AF$144*'Statistics NZ'!AF$439)</f>
        <v>39130.379543038638</v>
      </c>
      <c r="P94" s="18">
        <f>O$94*'Population Treasury'!AH$144*'Statistics NZ'!AH$439/('Population Treasury'!AG$144*'Statistics NZ'!AG$439)</f>
        <v>39301.90837894463</v>
      </c>
      <c r="Q94" s="18">
        <f>P$94*'Population Treasury'!AI$144*'Statistics NZ'!AI$439/('Population Treasury'!AH$144*'Statistics NZ'!AH$439)</f>
        <v>39876.595866998068</v>
      </c>
      <c r="R94" s="18">
        <f>Q$94*'Population Treasury'!AJ$144*'Statistics NZ'!AJ$439/('Population Treasury'!AI$144*'Statistics NZ'!AI$439)</f>
        <v>39886.666948233003</v>
      </c>
      <c r="S94" s="18">
        <f>R$94*'Population Treasury'!AK$144*'Statistics NZ'!AK$439/('Population Treasury'!AJ$144*'Statistics NZ'!AJ$439)</f>
        <v>39866.365794629935</v>
      </c>
    </row>
    <row r="95" spans="1:19" x14ac:dyDescent="0.25">
      <c r="A95" s="12">
        <f>$A$25</f>
        <v>30</v>
      </c>
      <c r="B95" s="28">
        <f>'Population Treasury'!T$145*'Statistics NZ'!T$440*'Economic Forecasts'!V$8/B$7</f>
        <v>36072.574973136667</v>
      </c>
      <c r="C95" s="28">
        <f>'Population Treasury'!U$145*'Statistics NZ'!U$440*'Economic Forecasts'!W$8/C$7</f>
        <v>34967.389320645612</v>
      </c>
      <c r="D95" s="28">
        <f>'Population Treasury'!V$145*'Statistics NZ'!V$440*'Economic Forecasts'!X$8/D$7</f>
        <v>34230.818535144652</v>
      </c>
      <c r="E95" s="28">
        <f>'Population Treasury'!W$145*'Statistics NZ'!W$440*'Economic Forecasts'!Y$8/E$7</f>
        <v>33097.461965619543</v>
      </c>
      <c r="F95" s="28">
        <f>'Population Treasury'!X$145*'Statistics NZ'!X$440*'Economic Forecasts'!Z$8/F$7</f>
        <v>33078.193759287431</v>
      </c>
      <c r="G95" s="28">
        <f>'Population Treasury'!Y$145*'Statistics NZ'!Y$440*'Economic Forecasts'!AA$8/G$7</f>
        <v>32516.656404403773</v>
      </c>
      <c r="H95" s="28">
        <f>'Population Treasury'!Z$145*'Statistics NZ'!Z$440*'Economic Forecasts'!AB$8/H$7</f>
        <v>33474.851983847824</v>
      </c>
      <c r="I95" s="28">
        <f>'Population Treasury'!AA$145*'Statistics NZ'!AA$440*'Economic Forecasts'!AC$8/I$7</f>
        <v>33157.181549319794</v>
      </c>
      <c r="J95" s="18">
        <f>I$95*'Population Treasury'!AB$145*'Statistics NZ'!AB$440/('Population Treasury'!AA$145*'Statistics NZ'!AA$440)</f>
        <v>32463.35246515564</v>
      </c>
      <c r="K95" s="18">
        <f>J$95*'Population Treasury'!AC$145*'Statistics NZ'!AC$440/('Population Treasury'!AB$145*'Statistics NZ'!AB$440)</f>
        <v>33159.995268230603</v>
      </c>
      <c r="L95" s="18">
        <f>K$95*'Population Treasury'!AD$145*'Statistics NZ'!AD$440/('Population Treasury'!AC$145*'Statistics NZ'!AC$440)</f>
        <v>34106.41568672203</v>
      </c>
      <c r="M95" s="18">
        <f>L$95*'Population Treasury'!AE$145*'Statistics NZ'!AE$440/('Population Treasury'!AD$145*'Statistics NZ'!AD$440)</f>
        <v>34469.462780669157</v>
      </c>
      <c r="N95" s="18">
        <f>M$95*'Population Treasury'!AF$145*'Statistics NZ'!AF$440/('Population Treasury'!AE$145*'Statistics NZ'!AE$440)</f>
        <v>35326.462846316164</v>
      </c>
      <c r="O95" s="18">
        <f>N$95*'Population Treasury'!AG$145*'Statistics NZ'!AG$440/('Population Treasury'!AF$145*'Statistics NZ'!AF$440)</f>
        <v>37967.788359693324</v>
      </c>
      <c r="P95" s="18">
        <f>O$95*'Population Treasury'!AH$145*'Statistics NZ'!AH$440/('Population Treasury'!AG$145*'Statistics NZ'!AG$440)</f>
        <v>39641.497119078202</v>
      </c>
      <c r="Q95" s="18">
        <f>P$95*'Population Treasury'!AI$145*'Statistics NZ'!AI$440/('Population Treasury'!AH$145*'Statistics NZ'!AH$440)</f>
        <v>39822.936945612986</v>
      </c>
      <c r="R95" s="18">
        <f>Q$95*'Population Treasury'!AJ$145*'Statistics NZ'!AJ$440/('Population Treasury'!AI$145*'Statistics NZ'!AI$440)</f>
        <v>40397.6240398804</v>
      </c>
      <c r="S95" s="18">
        <f>R$95*'Population Treasury'!AK$145*'Statistics NZ'!AK$440/('Population Treasury'!AJ$145*'Statistics NZ'!AJ$440)</f>
        <v>40407.695683631908</v>
      </c>
    </row>
    <row r="96" spans="1:19" x14ac:dyDescent="0.25">
      <c r="A96" s="12">
        <f>$A$26</f>
        <v>31</v>
      </c>
      <c r="B96" s="28">
        <f>'Population Treasury'!T$146*'Statistics NZ'!T$441*'Economic Forecasts'!V$8/B$7</f>
        <v>37636.214711341221</v>
      </c>
      <c r="C96" s="28">
        <f>'Population Treasury'!U$146*'Statistics NZ'!U$441*'Economic Forecasts'!W$8/C$7</f>
        <v>35819.525561807204</v>
      </c>
      <c r="D96" s="28">
        <f>'Population Treasury'!V$146*'Statistics NZ'!V$441*'Economic Forecasts'!X$8/D$7</f>
        <v>35194.285078348257</v>
      </c>
      <c r="E96" s="28">
        <f>'Population Treasury'!W$146*'Statistics NZ'!W$441*'Economic Forecasts'!Y$8/E$7</f>
        <v>34930.808844138184</v>
      </c>
      <c r="F96" s="28">
        <f>'Population Treasury'!X$146*'Statistics NZ'!X$441*'Economic Forecasts'!Z$8/F$7</f>
        <v>33744.009949162028</v>
      </c>
      <c r="G96" s="28">
        <f>'Population Treasury'!Y$146*'Statistics NZ'!Y$441*'Economic Forecasts'!AA$8/G$7</f>
        <v>33655.669722493563</v>
      </c>
      <c r="H96" s="28">
        <f>'Population Treasury'!Z$146*'Statistics NZ'!Z$441*'Economic Forecasts'!AB$8/H$7</f>
        <v>33061.628814001444</v>
      </c>
      <c r="I96" s="28">
        <f>'Population Treasury'!AA$146*'Statistics NZ'!AA$441*'Economic Forecasts'!AC$8/I$7</f>
        <v>34004.784004764566</v>
      </c>
      <c r="J96" s="18">
        <f>I$96*'Population Treasury'!AB$146*'Statistics NZ'!AB$441/('Population Treasury'!AA$146*'Statistics NZ'!AA$441)</f>
        <v>33673.648317136773</v>
      </c>
      <c r="K96" s="18">
        <f>J$96*'Population Treasury'!AC$146*'Statistics NZ'!AC$441/('Population Treasury'!AB$146*'Statistics NZ'!AB$441)</f>
        <v>32979.069176888755</v>
      </c>
      <c r="L96" s="18">
        <f>K$96*'Population Treasury'!AD$146*'Statistics NZ'!AD$441/('Population Treasury'!AC$146*'Statistics NZ'!AC$441)</f>
        <v>33653.461104636517</v>
      </c>
      <c r="M96" s="18">
        <f>L$96*'Population Treasury'!AE$146*'Statistics NZ'!AE$441/('Population Treasury'!AD$146*'Statistics NZ'!AD$441)</f>
        <v>34601.112988646812</v>
      </c>
      <c r="N96" s="18">
        <f>M$96*'Population Treasury'!AF$146*'Statistics NZ'!AF$441/('Population Treasury'!AE$146*'Statistics NZ'!AE$441)</f>
        <v>34963.990731590573</v>
      </c>
      <c r="O96" s="18">
        <f>N$96*'Population Treasury'!AG$146*'Statistics NZ'!AG$441/('Population Treasury'!AF$146*'Statistics NZ'!AF$441)</f>
        <v>35831.084717355778</v>
      </c>
      <c r="P96" s="18">
        <f>O$96*'Population Treasury'!AH$146*'Statistics NZ'!AH$441/('Population Treasury'!AG$146*'Statistics NZ'!AG$441)</f>
        <v>38472.636407358383</v>
      </c>
      <c r="Q96" s="18">
        <f>P$96*'Population Treasury'!AI$146*'Statistics NZ'!AI$441/('Population Treasury'!AH$146*'Statistics NZ'!AH$441)</f>
        <v>40156.136182623151</v>
      </c>
      <c r="R96" s="18">
        <f>Q$96*'Population Treasury'!AJ$146*'Statistics NZ'!AJ$441/('Population Treasury'!AI$146*'Statistics NZ'!AI$441)</f>
        <v>40337.579960254508</v>
      </c>
      <c r="S96" s="18">
        <f>R$96*'Population Treasury'!AK$146*'Statistics NZ'!AK$441/('Population Treasury'!AJ$146*'Statistics NZ'!AJ$441)</f>
        <v>40912.435155467567</v>
      </c>
    </row>
    <row r="97" spans="1:19" x14ac:dyDescent="0.25">
      <c r="A97" s="12">
        <f>$A$27</f>
        <v>32</v>
      </c>
      <c r="B97" s="28">
        <f>'Population Treasury'!T$147*'Statistics NZ'!T$442*'Economic Forecasts'!V$8/B$7</f>
        <v>39001.925368760392</v>
      </c>
      <c r="C97" s="28">
        <f>'Population Treasury'!U$147*'Statistics NZ'!U$442*'Economic Forecasts'!W$8/C$7</f>
        <v>37406.058454603874</v>
      </c>
      <c r="D97" s="28">
        <f>'Population Treasury'!V$147*'Statistics NZ'!V$442*'Economic Forecasts'!X$8/D$7</f>
        <v>36079.699437907293</v>
      </c>
      <c r="E97" s="28">
        <f>'Population Treasury'!W$147*'Statistics NZ'!W$442*'Economic Forecasts'!Y$8/E$7</f>
        <v>35925.47828650241</v>
      </c>
      <c r="F97" s="28">
        <f>'Population Treasury'!X$147*'Statistics NZ'!X$442*'Economic Forecasts'!Z$8/F$7</f>
        <v>35614.124680611341</v>
      </c>
      <c r="G97" s="28">
        <f>'Population Treasury'!Y$147*'Statistics NZ'!Y$442*'Economic Forecasts'!AA$8/G$7</f>
        <v>34352.927029233731</v>
      </c>
      <c r="H97" s="28">
        <f>'Population Treasury'!Z$147*'Statistics NZ'!Z$442*'Economic Forecasts'!AB$8/H$7</f>
        <v>34232.717164385496</v>
      </c>
      <c r="I97" s="28">
        <f>'Population Treasury'!AA$147*'Statistics NZ'!AA$442*'Economic Forecasts'!AC$8/I$7</f>
        <v>33630.395132113292</v>
      </c>
      <c r="J97" s="18">
        <f>I$97*'Population Treasury'!AB$147*'Statistics NZ'!AB$442/('Population Treasury'!AA$147*'Statistics NZ'!AA$442)</f>
        <v>34579.895923340344</v>
      </c>
      <c r="K97" s="18">
        <f>J$97*'Population Treasury'!AC$147*'Statistics NZ'!AC$442/('Population Treasury'!AB$147*'Statistics NZ'!AB$442)</f>
        <v>34238.34343852922</v>
      </c>
      <c r="L97" s="18">
        <f>K$97*'Population Treasury'!AD$147*'Statistics NZ'!AD$442/('Population Treasury'!AC$147*'Statistics NZ'!AC$442)</f>
        <v>33531.335768374462</v>
      </c>
      <c r="M97" s="18">
        <f>L$97*'Population Treasury'!AE$147*'Statistics NZ'!AE$442/('Population Treasury'!AD$147*'Statistics NZ'!AD$442)</f>
        <v>34206.772340372976</v>
      </c>
      <c r="N97" s="18">
        <f>M$97*'Population Treasury'!AF$147*'Statistics NZ'!AF$442/('Population Treasury'!AE$147*'Statistics NZ'!AE$442)</f>
        <v>35154.471265065236</v>
      </c>
      <c r="O97" s="18">
        <f>N$97*'Population Treasury'!AG$147*'Statistics NZ'!AG$442/('Population Treasury'!AF$147*'Statistics NZ'!AF$442)</f>
        <v>35527.43850775528</v>
      </c>
      <c r="P97" s="18">
        <f>O$97*'Population Treasury'!AH$147*'Statistics NZ'!AH$442/('Population Treasury'!AG$147*'Statistics NZ'!AG$442)</f>
        <v>36394.57048177762</v>
      </c>
      <c r="Q97" s="18">
        <f>P$97*'Population Treasury'!AI$147*'Statistics NZ'!AI$442/('Population Treasury'!AH$147*'Statistics NZ'!AH$442)</f>
        <v>39046.141635176202</v>
      </c>
      <c r="R97" s="18">
        <f>Q$97*'Population Treasury'!AJ$147*'Statistics NZ'!AJ$442/('Population Treasury'!AI$147*'Statistics NZ'!AI$442)</f>
        <v>40729.714924403765</v>
      </c>
      <c r="S97" s="18">
        <f>R$97*'Population Treasury'!AK$147*'Statistics NZ'!AK$442/('Population Treasury'!AJ$147*'Statistics NZ'!AJ$442)</f>
        <v>40911.318469311977</v>
      </c>
    </row>
    <row r="98" spans="1:19" x14ac:dyDescent="0.25">
      <c r="A98" s="12">
        <f>$A$28</f>
        <v>33</v>
      </c>
      <c r="B98" s="28">
        <f>'Population Treasury'!T$148*'Statistics NZ'!T$443*'Economic Forecasts'!V$8/B$7</f>
        <v>39595.712611116534</v>
      </c>
      <c r="C98" s="28">
        <f>'Population Treasury'!U$148*'Statistics NZ'!U$443*'Economic Forecasts'!W$8/C$7</f>
        <v>38777.056489912487</v>
      </c>
      <c r="D98" s="28">
        <f>'Population Treasury'!V$148*'Statistics NZ'!V$443*'Economic Forecasts'!X$8/D$7</f>
        <v>37675.671468021043</v>
      </c>
      <c r="E98" s="28">
        <f>'Population Treasury'!W$148*'Statistics NZ'!W$443*'Economic Forecasts'!Y$8/E$7</f>
        <v>36842.129794241271</v>
      </c>
      <c r="F98" s="28">
        <f>'Population Treasury'!X$148*'Statistics NZ'!X$443*'Economic Forecasts'!Z$8/F$7</f>
        <v>36632.466351012547</v>
      </c>
      <c r="G98" s="28">
        <f>'Population Treasury'!Y$148*'Statistics NZ'!Y$443*'Economic Forecasts'!AA$8/G$7</f>
        <v>36257.852775572159</v>
      </c>
      <c r="H98" s="28">
        <f>'Population Treasury'!Z$148*'Statistics NZ'!Z$443*'Economic Forecasts'!AB$8/H$7</f>
        <v>34951.160715590217</v>
      </c>
      <c r="I98" s="28">
        <f>'Population Treasury'!AA$148*'Statistics NZ'!AA$443*'Economic Forecasts'!AC$8/I$7</f>
        <v>34823.001563192964</v>
      </c>
      <c r="J98" s="18">
        <f>I$98*'Population Treasury'!AB$148*'Statistics NZ'!AB$443/('Population Treasury'!AA$148*'Statistics NZ'!AA$443)</f>
        <v>34189.501367748118</v>
      </c>
      <c r="K98" s="18">
        <f>J$98*'Population Treasury'!AC$148*'Statistics NZ'!AC$443/('Population Treasury'!AB$148*'Statistics NZ'!AB$443)</f>
        <v>35138.514079272616</v>
      </c>
      <c r="L98" s="18">
        <f>K$98*'Population Treasury'!AD$148*'Statistics NZ'!AD$443/('Population Treasury'!AC$148*'Statistics NZ'!AC$443)</f>
        <v>34784.51866387335</v>
      </c>
      <c r="M98" s="18">
        <f>L$98*'Population Treasury'!AE$148*'Statistics NZ'!AE$443/('Population Treasury'!AD$148*'Statistics NZ'!AD$443)</f>
        <v>34068.766604897559</v>
      </c>
      <c r="N98" s="18">
        <f>M$98*'Population Treasury'!AF$148*'Statistics NZ'!AF$443/('Population Treasury'!AE$148*'Statistics NZ'!AE$443)</f>
        <v>34744.23645293757</v>
      </c>
      <c r="O98" s="18">
        <f>N$98*'Population Treasury'!AG$148*'Statistics NZ'!AG$443/('Population Treasury'!AF$148*'Statistics NZ'!AF$443)</f>
        <v>35701.871508535318</v>
      </c>
      <c r="P98" s="18">
        <f>O$98*'Population Treasury'!AH$148*'Statistics NZ'!AH$443/('Population Treasury'!AG$148*'Statistics NZ'!AG$443)</f>
        <v>36074.856587161368</v>
      </c>
      <c r="Q98" s="18">
        <f>P$98*'Population Treasury'!AI$148*'Statistics NZ'!AI$443/('Population Treasury'!AH$148*'Statistics NZ'!AH$443)</f>
        <v>36952.106191590363</v>
      </c>
      <c r="R98" s="18">
        <f>Q$98*'Population Treasury'!AJ$148*'Statistics NZ'!AJ$443/('Population Treasury'!AI$148*'Statistics NZ'!AI$443)</f>
        <v>39603.638128667582</v>
      </c>
      <c r="S98" s="18">
        <f>R$98*'Population Treasury'!AK$148*'Statistics NZ'!AK$443/('Population Treasury'!AJ$148*'Statistics NZ'!AJ$443)</f>
        <v>41297.357624615681</v>
      </c>
    </row>
    <row r="99" spans="1:19" x14ac:dyDescent="0.25">
      <c r="A99" s="12">
        <f>$A$29</f>
        <v>34</v>
      </c>
      <c r="B99" s="28">
        <f>'Population Treasury'!T$149*'Statistics NZ'!T$444*'Economic Forecasts'!V$8/B$7</f>
        <v>39368.094168213342</v>
      </c>
      <c r="C99" s="28">
        <f>'Population Treasury'!U$149*'Statistics NZ'!U$444*'Economic Forecasts'!W$8/C$7</f>
        <v>39325.275668192728</v>
      </c>
      <c r="D99" s="28">
        <f>'Population Treasury'!V$149*'Statistics NZ'!V$444*'Economic Forecasts'!X$8/D$7</f>
        <v>39008.968559525521</v>
      </c>
      <c r="E99" s="28">
        <f>'Population Treasury'!W$149*'Statistics NZ'!W$444*'Economic Forecasts'!Y$8/E$7</f>
        <v>38402.416657819122</v>
      </c>
      <c r="F99" s="28">
        <f>'Population Treasury'!X$149*'Statistics NZ'!X$444*'Economic Forecasts'!Z$8/F$7</f>
        <v>37523.493741802173</v>
      </c>
      <c r="G99" s="28">
        <f>'Population Treasury'!Y$149*'Statistics NZ'!Y$444*'Economic Forecasts'!AA$8/G$7</f>
        <v>37249.615835148848</v>
      </c>
      <c r="H99" s="28">
        <f>'Population Treasury'!Z$149*'Statistics NZ'!Z$444*'Economic Forecasts'!AB$8/H$7</f>
        <v>36830.679677864428</v>
      </c>
      <c r="I99" s="28">
        <f>'Population Treasury'!AA$149*'Statistics NZ'!AA$444*'Economic Forecasts'!AC$8/I$7</f>
        <v>35512.957060019464</v>
      </c>
      <c r="J99" s="18">
        <f>I$99*'Population Treasury'!AB$149*'Statistics NZ'!AB$444/('Population Treasury'!AA$149*'Statistics NZ'!AA$444)</f>
        <v>35363.652171565285</v>
      </c>
      <c r="K99" s="18">
        <f>J$99*'Population Treasury'!AC$149*'Statistics NZ'!AC$444/('Population Treasury'!AB$149*'Statistics NZ'!AB$444)</f>
        <v>34719.665338042862</v>
      </c>
      <c r="L99" s="18">
        <f>K$99*'Population Treasury'!AD$149*'Statistics NZ'!AD$444/('Population Treasury'!AC$149*'Statistics NZ'!AC$444)</f>
        <v>35666.122705228947</v>
      </c>
      <c r="M99" s="18">
        <f>L$99*'Population Treasury'!AE$149*'Statistics NZ'!AE$444/('Population Treasury'!AD$149*'Statistics NZ'!AD$444)</f>
        <v>35303.197247819779</v>
      </c>
      <c r="N99" s="18">
        <f>M$99*'Population Treasury'!AF$149*'Statistics NZ'!AF$444/('Population Treasury'!AE$149*'Statistics NZ'!AE$444)</f>
        <v>34587.418266789944</v>
      </c>
      <c r="O99" s="18">
        <f>N$99*'Population Treasury'!AG$149*'Statistics NZ'!AG$444/('Population Treasury'!AF$149*'Statistics NZ'!AF$444)</f>
        <v>35272.984758184633</v>
      </c>
      <c r="P99" s="18">
        <f>O$99*'Population Treasury'!AH$149*'Statistics NZ'!AH$444/('Population Treasury'!AG$149*'Statistics NZ'!AG$444)</f>
        <v>36230.83674971015</v>
      </c>
      <c r="Q99" s="18">
        <f>P$99*'Population Treasury'!AI$149*'Statistics NZ'!AI$444/('Population Treasury'!AH$149*'Statistics NZ'!AH$444)</f>
        <v>36603.832901834219</v>
      </c>
      <c r="R99" s="18">
        <f>Q$99*'Population Treasury'!AJ$149*'Statistics NZ'!AJ$444/('Population Treasury'!AI$149*'Statistics NZ'!AI$444)</f>
        <v>37480.932988410816</v>
      </c>
      <c r="S99" s="18">
        <f>R$99*'Population Treasury'!AK$149*'Statistics NZ'!AK$444/('Population Treasury'!AJ$149*'Statistics NZ'!AJ$444)</f>
        <v>40142.620645667041</v>
      </c>
    </row>
    <row r="100" spans="1:19" x14ac:dyDescent="0.25">
      <c r="A100" s="12">
        <f>$A$30</f>
        <v>35</v>
      </c>
      <c r="B100" s="28">
        <f>'Population Treasury'!T$150*'Statistics NZ'!T$445*'Economic Forecasts'!V$8/B$7</f>
        <v>38131.037413304686</v>
      </c>
      <c r="C100" s="28">
        <f>'Population Treasury'!U$150*'Statistics NZ'!U$445*'Economic Forecasts'!W$8/C$7</f>
        <v>39084.09436920494</v>
      </c>
      <c r="D100" s="28">
        <f>'Population Treasury'!V$150*'Statistics NZ'!V$445*'Economic Forecasts'!X$8/D$7</f>
        <v>39518.655345570049</v>
      </c>
      <c r="E100" s="28">
        <f>'Population Treasury'!W$150*'Statistics NZ'!W$445*'Economic Forecasts'!Y$8/E$7</f>
        <v>39653.188762856917</v>
      </c>
      <c r="F100" s="28">
        <f>'Population Treasury'!X$150*'Statistics NZ'!X$445*'Economic Forecasts'!Z$8/F$7</f>
        <v>39000.670004997912</v>
      </c>
      <c r="G100" s="28">
        <f>'Population Treasury'!Y$150*'Statistics NZ'!Y$445*'Economic Forecasts'!AA$8/G$7</f>
        <v>38040.733019713749</v>
      </c>
      <c r="H100" s="28">
        <f>'Population Treasury'!Z$150*'Statistics NZ'!Z$445*'Economic Forecasts'!AB$8/H$7</f>
        <v>37733.907437450034</v>
      </c>
      <c r="I100" s="28">
        <f>'Population Treasury'!AA$150*'Statistics NZ'!AA$445*'Economic Forecasts'!AC$8/I$7</f>
        <v>37305.83886952966</v>
      </c>
      <c r="J100" s="18">
        <f>I$100*'Population Treasury'!AB$150*'Statistics NZ'!AB$445/('Population Treasury'!AA$150*'Statistics NZ'!AA$445)</f>
        <v>35938.704344426078</v>
      </c>
      <c r="K100" s="18">
        <f>J$100*'Population Treasury'!AC$150*'Statistics NZ'!AC$445/('Population Treasury'!AB$150*'Statistics NZ'!AB$445)</f>
        <v>35773.461059558686</v>
      </c>
      <c r="L100" s="18">
        <f>K$100*'Population Treasury'!AD$150*'Statistics NZ'!AD$445/('Population Treasury'!AC$150*'Statistics NZ'!AC$445)</f>
        <v>35115.006209492123</v>
      </c>
      <c r="M100" s="18">
        <f>L$100*'Population Treasury'!AE$150*'Statistics NZ'!AE$445/('Population Treasury'!AD$150*'Statistics NZ'!AD$445)</f>
        <v>36052.50630845892</v>
      </c>
      <c r="N100" s="18">
        <f>M$100*'Population Treasury'!AF$150*'Statistics NZ'!AF$445/('Population Treasury'!AE$150*'Statistics NZ'!AE$445)</f>
        <v>35689.589287936142</v>
      </c>
      <c r="O100" s="18">
        <f>N$100*'Population Treasury'!AG$150*'Statistics NZ'!AG$445/('Population Treasury'!AF$150*'Statistics NZ'!AF$445)</f>
        <v>34983.896092429088</v>
      </c>
      <c r="P100" s="18">
        <f>O$100*'Population Treasury'!AH$150*'Statistics NZ'!AH$445/('Population Treasury'!AG$150*'Statistics NZ'!AG$445)</f>
        <v>35669.449769931321</v>
      </c>
      <c r="Q100" s="18">
        <f>P$100*'Population Treasury'!AI$150*'Statistics NZ'!AI$445/('Population Treasury'!AH$150*'Statistics NZ'!AH$445)</f>
        <v>36627.290699656303</v>
      </c>
      <c r="R100" s="18">
        <f>Q$100*'Population Treasury'!AJ$150*'Statistics NZ'!AJ$445/('Population Treasury'!AI$150*'Statistics NZ'!AI$445)</f>
        <v>37010.152437875513</v>
      </c>
      <c r="S100" s="18">
        <f>R$100*'Population Treasury'!AK$150*'Statistics NZ'!AK$445/('Population Treasury'!AJ$150*'Statistics NZ'!AJ$445)</f>
        <v>37887.431952528234</v>
      </c>
    </row>
    <row r="101" spans="1:19" x14ac:dyDescent="0.25">
      <c r="A101" s="12">
        <f>$A$31</f>
        <v>36</v>
      </c>
      <c r="B101" s="28">
        <f>'Population Treasury'!T$151*'Statistics NZ'!T$446*'Economic Forecasts'!V$8/B$7</f>
        <v>37745.075705773175</v>
      </c>
      <c r="C101" s="28">
        <f>'Population Treasury'!U$151*'Statistics NZ'!U$446*'Economic Forecasts'!W$8/C$7</f>
        <v>37801.029209378474</v>
      </c>
      <c r="D101" s="28">
        <f>'Population Treasury'!V$151*'Statistics NZ'!V$446*'Economic Forecasts'!X$8/D$7</f>
        <v>39149.069494042684</v>
      </c>
      <c r="E101" s="28">
        <f>'Population Treasury'!W$151*'Statistics NZ'!W$446*'Economic Forecasts'!Y$8/E$7</f>
        <v>40053.034354836564</v>
      </c>
      <c r="F101" s="28">
        <f>'Population Treasury'!X$151*'Statistics NZ'!X$446*'Economic Forecasts'!Z$8/F$7</f>
        <v>40185.254750015934</v>
      </c>
      <c r="G101" s="28">
        <f>'Population Treasury'!Y$151*'Statistics NZ'!Y$446*'Economic Forecasts'!AA$8/G$7</f>
        <v>39474.128774931029</v>
      </c>
      <c r="H101" s="28">
        <f>'Population Treasury'!Z$151*'Statistics NZ'!Z$446*'Economic Forecasts'!AB$8/H$7</f>
        <v>38481.662243747058</v>
      </c>
      <c r="I101" s="28">
        <f>'Population Treasury'!AA$151*'Statistics NZ'!AA$446*'Economic Forecasts'!AC$8/I$7</f>
        <v>38163.181028619714</v>
      </c>
      <c r="J101" s="18">
        <f>I$101*'Population Treasury'!AB$151*'Statistics NZ'!AB$446/('Population Treasury'!AA$151*'Statistics NZ'!AA$446)</f>
        <v>37703.311662348053</v>
      </c>
      <c r="K101" s="18">
        <f>J$101*'Population Treasury'!AC$151*'Statistics NZ'!AC$446/('Population Treasury'!AB$151*'Statistics NZ'!AB$446)</f>
        <v>36328.303815271298</v>
      </c>
      <c r="L101" s="18">
        <f>K$101*'Population Treasury'!AD$151*'Statistics NZ'!AD$446/('Population Treasury'!AC$151*'Statistics NZ'!AC$446)</f>
        <v>36153.799755385749</v>
      </c>
      <c r="M101" s="18">
        <f>L$101*'Population Treasury'!AE$151*'Statistics NZ'!AE$446/('Population Treasury'!AD$151*'Statistics NZ'!AD$446)</f>
        <v>35498.487729590604</v>
      </c>
      <c r="N101" s="18">
        <f>M$101*'Population Treasury'!AF$151*'Statistics NZ'!AF$446/('Population Treasury'!AE$151*'Statistics NZ'!AE$446)</f>
        <v>36435.941314205869</v>
      </c>
      <c r="O101" s="18">
        <f>N$101*'Population Treasury'!AG$151*'Statistics NZ'!AG$446/('Population Treasury'!AF$151*'Statistics NZ'!AF$446)</f>
        <v>36083.111012062895</v>
      </c>
      <c r="P101" s="18">
        <f>O$101*'Population Treasury'!AH$151*'Statistics NZ'!AH$446/('Population Treasury'!AG$151*'Statistics NZ'!AG$446)</f>
        <v>35377.452441606933</v>
      </c>
      <c r="Q101" s="18">
        <f>P$101*'Population Treasury'!AI$151*'Statistics NZ'!AI$446/('Population Treasury'!AH$151*'Statistics NZ'!AH$446)</f>
        <v>36062.972738834666</v>
      </c>
      <c r="R101" s="18">
        <f>Q$101*'Population Treasury'!AJ$151*'Statistics NZ'!AJ$446/('Population Treasury'!AI$151*'Statistics NZ'!AI$446)</f>
        <v>37020.770037468486</v>
      </c>
      <c r="S101" s="18">
        <f>R$101*'Population Treasury'!AK$151*'Statistics NZ'!AK$446/('Population Treasury'!AJ$151*'Statistics NZ'!AJ$446)</f>
        <v>37403.809517637208</v>
      </c>
    </row>
    <row r="102" spans="1:19" x14ac:dyDescent="0.25">
      <c r="A102" s="12">
        <f>$A$32</f>
        <v>37</v>
      </c>
      <c r="B102" s="28">
        <f>'Population Treasury'!T$152*'Statistics NZ'!T$447*'Economic Forecasts'!V$8/B$7</f>
        <v>36933.566474553103</v>
      </c>
      <c r="C102" s="28">
        <f>'Population Treasury'!U$152*'Statistics NZ'!U$447*'Economic Forecasts'!W$8/C$7</f>
        <v>37428.975952459085</v>
      </c>
      <c r="D102" s="28">
        <f>'Population Treasury'!V$152*'Statistics NZ'!V$447*'Economic Forecasts'!X$8/D$7</f>
        <v>37893.429724942333</v>
      </c>
      <c r="E102" s="28">
        <f>'Population Treasury'!W$152*'Statistics NZ'!W$447*'Economic Forecasts'!Y$8/E$7</f>
        <v>39701.973143966534</v>
      </c>
      <c r="F102" s="28">
        <f>'Population Treasury'!X$152*'Statistics NZ'!X$447*'Economic Forecasts'!Z$8/F$7</f>
        <v>40596.410123385533</v>
      </c>
      <c r="G102" s="28">
        <f>'Population Treasury'!Y$152*'Statistics NZ'!Y$447*'Economic Forecasts'!AA$8/G$7</f>
        <v>40671.923297589783</v>
      </c>
      <c r="H102" s="28">
        <f>'Population Treasury'!Z$152*'Statistics NZ'!Z$447*'Economic Forecasts'!AB$8/H$7</f>
        <v>39928.098693204323</v>
      </c>
      <c r="I102" s="28">
        <f>'Population Treasury'!AA$152*'Statistics NZ'!AA$447*'Economic Forecasts'!AC$8/I$7</f>
        <v>38921.999688476164</v>
      </c>
      <c r="J102" s="18">
        <f>I$102*'Population Treasury'!AB$152*'Statistics NZ'!AB$447/('Population Treasury'!AA$152*'Statistics NZ'!AA$447)</f>
        <v>38573.075039143892</v>
      </c>
      <c r="K102" s="18">
        <f>J$102*'Population Treasury'!AC$152*'Statistics NZ'!AC$447/('Population Treasury'!AB$152*'Statistics NZ'!AB$447)</f>
        <v>38105.312312876769</v>
      </c>
      <c r="L102" s="18">
        <f>K$102*'Population Treasury'!AD$152*'Statistics NZ'!AD$447/('Population Treasury'!AC$152*'Statistics NZ'!AC$447)</f>
        <v>36720.896761539669</v>
      </c>
      <c r="M102" s="18">
        <f>L$102*'Population Treasury'!AE$152*'Statistics NZ'!AE$447/('Population Treasury'!AD$152*'Statistics NZ'!AD$447)</f>
        <v>36549.521116026437</v>
      </c>
      <c r="N102" s="18">
        <f>M$102*'Population Treasury'!AF$152*'Statistics NZ'!AF$447/('Population Treasury'!AE$152*'Statistics NZ'!AE$447)</f>
        <v>35904.083922078375</v>
      </c>
      <c r="O102" s="18">
        <f>N$102*'Population Treasury'!AG$152*'Statistics NZ'!AG$447/('Population Treasury'!AF$152*'Statistics NZ'!AF$447)</f>
        <v>36831.859300893542</v>
      </c>
      <c r="P102" s="18">
        <f>O$102*'Population Treasury'!AH$152*'Statistics NZ'!AH$447/('Population Treasury'!AG$152*'Statistics NZ'!AG$447)</f>
        <v>36488.90176676496</v>
      </c>
      <c r="Q102" s="18">
        <f>P$102*'Population Treasury'!AI$152*'Statistics NZ'!AI$447/('Population Treasury'!AH$152*'Statistics NZ'!AH$447)</f>
        <v>35783.261385302045</v>
      </c>
      <c r="R102" s="18">
        <f>Q$102*'Population Treasury'!AJ$152*'Statistics NZ'!AJ$447/('Population Treasury'!AI$152*'Statistics NZ'!AI$447)</f>
        <v>36478.832992568823</v>
      </c>
      <c r="S102" s="18">
        <f>R$102*'Population Treasury'!AK$152*'Statistics NZ'!AK$447/('Population Treasury'!AJ$152*'Statistics NZ'!AJ$447)</f>
        <v>37436.608044242144</v>
      </c>
    </row>
    <row r="103" spans="1:19" x14ac:dyDescent="0.25">
      <c r="A103" s="12">
        <f>$A$33</f>
        <v>38</v>
      </c>
      <c r="B103" s="28">
        <f>'Population Treasury'!T$153*'Statistics NZ'!T$448*'Economic Forecasts'!V$8/B$7</f>
        <v>35280.858649995127</v>
      </c>
      <c r="C103" s="28">
        <f>'Population Treasury'!U$153*'Statistics NZ'!U$448*'Economic Forecasts'!W$8/C$7</f>
        <v>36615.984061100025</v>
      </c>
      <c r="D103" s="28">
        <f>'Population Treasury'!V$153*'Statistics NZ'!V$448*'Economic Forecasts'!X$8/D$7</f>
        <v>37513.972997618584</v>
      </c>
      <c r="E103" s="28">
        <f>'Population Treasury'!W$153*'Statistics NZ'!W$448*'Economic Forecasts'!Y$8/E$7</f>
        <v>38424.484230501803</v>
      </c>
      <c r="F103" s="28">
        <f>'Population Treasury'!X$153*'Statistics NZ'!X$448*'Economic Forecasts'!Z$8/F$7</f>
        <v>40224.325584478094</v>
      </c>
      <c r="G103" s="28">
        <f>'Population Treasury'!Y$153*'Statistics NZ'!Y$448*'Economic Forecasts'!AA$8/G$7</f>
        <v>41074.426226147567</v>
      </c>
      <c r="H103" s="28">
        <f>'Population Treasury'!Z$153*'Statistics NZ'!Z$448*'Economic Forecasts'!AB$8/H$7</f>
        <v>41108.852372149267</v>
      </c>
      <c r="I103" s="28">
        <f>'Population Treasury'!AA$153*'Statistics NZ'!AA$448*'Economic Forecasts'!AC$8/I$7</f>
        <v>40350.98478385192</v>
      </c>
      <c r="J103" s="18">
        <f>I$103*'Population Treasury'!AB$153*'Statistics NZ'!AB$448/('Population Treasury'!AA$153*'Statistics NZ'!AA$448)</f>
        <v>39296.415468599567</v>
      </c>
      <c r="K103" s="18">
        <f>J$103*'Population Treasury'!AC$153*'Statistics NZ'!AC$448/('Population Treasury'!AB$153*'Statistics NZ'!AB$448)</f>
        <v>38939.605167433576</v>
      </c>
      <c r="L103" s="18">
        <f>K$103*'Population Treasury'!AD$153*'Statistics NZ'!AD$448/('Population Treasury'!AC$153*'Statistics NZ'!AC$448)</f>
        <v>38462.420759236724</v>
      </c>
      <c r="M103" s="18">
        <f>L$103*'Population Treasury'!AE$153*'Statistics NZ'!AE$448/('Population Treasury'!AD$153*'Statistics NZ'!AD$448)</f>
        <v>37081.174738213689</v>
      </c>
      <c r="N103" s="18">
        <f>M$103*'Population Treasury'!AF$153*'Statistics NZ'!AF$448/('Population Treasury'!AE$153*'Statistics NZ'!AE$448)</f>
        <v>36919.872036807072</v>
      </c>
      <c r="O103" s="18">
        <f>N$103*'Population Treasury'!AG$153*'Statistics NZ'!AG$448/('Population Treasury'!AF$153*'Statistics NZ'!AF$448)</f>
        <v>36264.593950874565</v>
      </c>
      <c r="P103" s="18">
        <f>O$103*'Population Treasury'!AH$153*'Statistics NZ'!AH$448/('Population Treasury'!AG$153*'Statistics NZ'!AG$448)</f>
        <v>37202.204491690842</v>
      </c>
      <c r="Q103" s="18">
        <f>P$103*'Population Treasury'!AI$153*'Statistics NZ'!AI$448/('Population Treasury'!AH$153*'Statistics NZ'!AH$448)</f>
        <v>36859.250597763246</v>
      </c>
      <c r="R103" s="18">
        <f>Q$103*'Population Treasury'!AJ$153*'Statistics NZ'!AJ$448/('Population Treasury'!AI$153*'Statistics NZ'!AI$448)</f>
        <v>36163.698738695894</v>
      </c>
      <c r="S103" s="18">
        <f>R$103*'Population Treasury'!AK$153*'Statistics NZ'!AK$448/('Population Treasury'!AJ$153*'Statistics NZ'!AJ$448)</f>
        <v>36849.395183164925</v>
      </c>
    </row>
    <row r="104" spans="1:19" x14ac:dyDescent="0.25">
      <c r="A104" s="12">
        <f>$A$34</f>
        <v>39</v>
      </c>
      <c r="B104" s="28">
        <f>'Population Treasury'!T$154*'Statistics NZ'!T$449*'Economic Forecasts'!V$8/B$7</f>
        <v>34459.452964735763</v>
      </c>
      <c r="C104" s="28">
        <f>'Population Treasury'!U$154*'Statistics NZ'!U$449*'Economic Forecasts'!W$8/C$7</f>
        <v>34950.699176602327</v>
      </c>
      <c r="D104" s="28">
        <f>'Population Treasury'!V$154*'Statistics NZ'!V$449*'Economic Forecasts'!X$8/D$7</f>
        <v>36667.239942590582</v>
      </c>
      <c r="E104" s="28">
        <f>'Population Treasury'!W$154*'Statistics NZ'!W$449*'Economic Forecasts'!Y$8/E$7</f>
        <v>38005.162834518524</v>
      </c>
      <c r="F104" s="28">
        <f>'Population Treasury'!X$154*'Statistics NZ'!X$449*'Economic Forecasts'!Z$8/F$7</f>
        <v>38922.139982811597</v>
      </c>
      <c r="G104" s="28">
        <f>'Population Treasury'!Y$154*'Statistics NZ'!Y$449*'Economic Forecasts'!AA$8/G$7</f>
        <v>40661.996310259528</v>
      </c>
      <c r="H104" s="28">
        <f>'Population Treasury'!Z$154*'Statistics NZ'!Z$449*'Economic Forecasts'!AB$8/H$7</f>
        <v>41472.885956794213</v>
      </c>
      <c r="I104" s="28">
        <f>'Population Treasury'!AA$154*'Statistics NZ'!AA$449*'Economic Forecasts'!AC$8/I$7</f>
        <v>41494.154214858267</v>
      </c>
      <c r="J104" s="18">
        <f>I$104*'Population Treasury'!AB$154*'Statistics NZ'!AB$449/('Population Treasury'!AA$154*'Statistics NZ'!AA$449)</f>
        <v>40691.497332012717</v>
      </c>
      <c r="K104" s="18">
        <f>J$104*'Population Treasury'!AC$154*'Statistics NZ'!AC$449/('Population Treasury'!AB$154*'Statistics NZ'!AB$449)</f>
        <v>39628.867759087538</v>
      </c>
      <c r="L104" s="18">
        <f>K$104*'Population Treasury'!AD$154*'Statistics NZ'!AD$449/('Population Treasury'!AC$154*'Statistics NZ'!AC$449)</f>
        <v>39262.645326988997</v>
      </c>
      <c r="M104" s="18">
        <f>L$104*'Population Treasury'!AE$154*'Statistics NZ'!AE$449/('Population Treasury'!AD$154*'Statistics NZ'!AD$449)</f>
        <v>38788.611354032946</v>
      </c>
      <c r="N104" s="18">
        <f>M$104*'Population Treasury'!AF$154*'Statistics NZ'!AF$449/('Population Treasury'!AE$154*'Statistics NZ'!AE$449)</f>
        <v>37417.683679820315</v>
      </c>
      <c r="O104" s="18">
        <f>N$104*'Population Treasury'!AG$154*'Statistics NZ'!AG$449/('Population Treasury'!AF$154*'Statistics NZ'!AF$449)</f>
        <v>37246.318754079439</v>
      </c>
      <c r="P104" s="18">
        <f>O$104*'Population Treasury'!AH$154*'Statistics NZ'!AH$449/('Population Treasury'!AG$154*'Statistics NZ'!AG$449)</f>
        <v>36610.977505595663</v>
      </c>
      <c r="Q104" s="18">
        <f>P$104*'Population Treasury'!AI$154*'Statistics NZ'!AI$449/('Population Treasury'!AH$154*'Statistics NZ'!AH$449)</f>
        <v>37538.710529208314</v>
      </c>
      <c r="R104" s="18">
        <f>Q$104*'Population Treasury'!AJ$154*'Statistics NZ'!AJ$449/('Population Treasury'!AI$154*'Statistics NZ'!AI$449)</f>
        <v>37195.981141991462</v>
      </c>
      <c r="S104" s="18">
        <f>R$104*'Population Treasury'!AK$154*'Statistics NZ'!AK$449/('Population Treasury'!AJ$154*'Statistics NZ'!AJ$449)</f>
        <v>36510.304464639157</v>
      </c>
    </row>
    <row r="105" spans="1:19" x14ac:dyDescent="0.25">
      <c r="A105" s="12">
        <f>$A$35</f>
        <v>40</v>
      </c>
      <c r="B105" s="28">
        <f>'Population Treasury'!T$155*'Statistics NZ'!T$450*'Economic Forecasts'!V$8/B$7</f>
        <v>34142.766435479149</v>
      </c>
      <c r="C105" s="28">
        <f>'Population Treasury'!U$155*'Statistics NZ'!U$450*'Economic Forecasts'!W$8/C$7</f>
        <v>34154.484233290677</v>
      </c>
      <c r="D105" s="28">
        <f>'Population Treasury'!V$155*'Statistics NZ'!V$450*'Economic Forecasts'!X$8/D$7</f>
        <v>35028.231258610009</v>
      </c>
      <c r="E105" s="28">
        <f>'Population Treasury'!W$155*'Statistics NZ'!W$450*'Economic Forecasts'!Y$8/E$7</f>
        <v>37110.648287651755</v>
      </c>
      <c r="F105" s="28">
        <f>'Population Treasury'!X$155*'Statistics NZ'!X$450*'Economic Forecasts'!Z$8/F$7</f>
        <v>38440.611115155771</v>
      </c>
      <c r="G105" s="28">
        <f>'Population Treasury'!Y$155*'Statistics NZ'!Y$450*'Economic Forecasts'!AA$8/G$7</f>
        <v>39282.495998794242</v>
      </c>
      <c r="H105" s="28">
        <f>'Population Treasury'!Z$155*'Statistics NZ'!Z$450*'Economic Forecasts'!AB$8/H$7</f>
        <v>40997.875424573489</v>
      </c>
      <c r="I105" s="28">
        <f>'Population Treasury'!AA$155*'Statistics NZ'!AA$450*'Economic Forecasts'!AC$8/I$7</f>
        <v>41788.460278719111</v>
      </c>
      <c r="J105" s="18">
        <f>I$105*'Population Treasury'!AB$155*'Statistics NZ'!AB$450/('Population Treasury'!AA$155*'Statistics NZ'!AA$450)</f>
        <v>41773.970582407281</v>
      </c>
      <c r="K105" s="18">
        <f>J$105*'Population Treasury'!AC$155*'Statistics NZ'!AC$450/('Population Treasury'!AB$155*'Statistics NZ'!AB$450)</f>
        <v>40957.776864131818</v>
      </c>
      <c r="L105" s="18">
        <f>K$105*'Population Treasury'!AD$155*'Statistics NZ'!AD$450/('Population Treasury'!AC$155*'Statistics NZ'!AC$450)</f>
        <v>39893.553211685365</v>
      </c>
      <c r="M105" s="18">
        <f>L$105*'Population Treasury'!AE$155*'Statistics NZ'!AE$450/('Population Treasury'!AD$155*'Statistics NZ'!AD$450)</f>
        <v>39520.629424823033</v>
      </c>
      <c r="N105" s="18">
        <f>M$105*'Population Treasury'!AF$155*'Statistics NZ'!AF$450/('Population Treasury'!AE$155*'Statistics NZ'!AE$450)</f>
        <v>39046.819670954421</v>
      </c>
      <c r="O105" s="18">
        <f>N$105*'Population Treasury'!AG$155*'Statistics NZ'!AG$450/('Population Treasury'!AF$155*'Statistics NZ'!AF$450)</f>
        <v>37685.574750752457</v>
      </c>
      <c r="P105" s="18">
        <f>O$105*'Population Treasury'!AH$155*'Statistics NZ'!AH$450/('Population Treasury'!AG$155*'Statistics NZ'!AG$450)</f>
        <v>37514.438696312995</v>
      </c>
      <c r="Q105" s="18">
        <f>P$105*'Population Treasury'!AI$155*'Statistics NZ'!AI$450/('Population Treasury'!AH$155*'Statistics NZ'!AH$450)</f>
        <v>36879.114592928527</v>
      </c>
      <c r="R105" s="18">
        <f>Q$105*'Population Treasury'!AJ$155*'Statistics NZ'!AJ$450/('Population Treasury'!AI$155*'Statistics NZ'!AI$450)</f>
        <v>37816.887743888685</v>
      </c>
      <c r="S105" s="18">
        <f>R$105*'Population Treasury'!AK$155*'Statistics NZ'!AK$450/('Population Treasury'!AJ$155*'Statistics NZ'!AJ$450)</f>
        <v>37474.171700105238</v>
      </c>
    </row>
    <row r="106" spans="1:19" x14ac:dyDescent="0.25">
      <c r="A106" s="12">
        <f>$A$36</f>
        <v>41</v>
      </c>
      <c r="B106" s="28">
        <f>'Population Treasury'!T$156*'Statistics NZ'!T$451*'Economic Forecasts'!V$8/B$7</f>
        <v>33410.428836573214</v>
      </c>
      <c r="C106" s="28">
        <f>'Population Treasury'!U$156*'Statistics NZ'!U$451*'Economic Forecasts'!W$8/C$7</f>
        <v>33821.549099913886</v>
      </c>
      <c r="D106" s="28">
        <f>'Population Treasury'!V$156*'Statistics NZ'!V$451*'Economic Forecasts'!X$8/D$7</f>
        <v>34152.211507360262</v>
      </c>
      <c r="E106" s="28">
        <f>'Population Treasury'!W$156*'Statistics NZ'!W$451*'Economic Forecasts'!Y$8/E$7</f>
        <v>35394.318138487324</v>
      </c>
      <c r="F106" s="28">
        <f>'Population Treasury'!X$156*'Statistics NZ'!X$451*'Economic Forecasts'!Z$8/F$7</f>
        <v>37510.469996123276</v>
      </c>
      <c r="G106" s="28">
        <f>'Population Treasury'!Y$156*'Statistics NZ'!Y$451*'Economic Forecasts'!AA$8/G$7</f>
        <v>38781.712831587058</v>
      </c>
      <c r="H106" s="28">
        <f>'Population Treasury'!Z$156*'Statistics NZ'!Z$451*'Economic Forecasts'!AB$8/H$7</f>
        <v>39600.560396229368</v>
      </c>
      <c r="I106" s="28">
        <f>'Population Treasury'!AA$156*'Statistics NZ'!AA$451*'Economic Forecasts'!AC$8/I$7</f>
        <v>41295.663435411603</v>
      </c>
      <c r="J106" s="18">
        <f>I$106*'Population Treasury'!AB$156*'Statistics NZ'!AB$451/('Population Treasury'!AA$156*'Statistics NZ'!AA$451)</f>
        <v>42067.460328509536</v>
      </c>
      <c r="K106" s="18">
        <f>J$106*'Population Treasury'!AC$156*'Statistics NZ'!AC$451/('Population Treasury'!AB$156*'Statistics NZ'!AB$451)</f>
        <v>42047.855641514754</v>
      </c>
      <c r="L106" s="18">
        <f>K$106*'Population Treasury'!AD$156*'Statistics NZ'!AD$451/('Population Treasury'!AC$156*'Statistics NZ'!AC$451)</f>
        <v>41225.691587077708</v>
      </c>
      <c r="M106" s="18">
        <f>L$106*'Population Treasury'!AE$156*'Statistics NZ'!AE$451/('Population Treasury'!AD$156*'Statistics NZ'!AD$451)</f>
        <v>40157.082466590087</v>
      </c>
      <c r="N106" s="18">
        <f>M$106*'Population Treasury'!AF$156*'Statistics NZ'!AF$451/('Population Treasury'!AE$156*'Statistics NZ'!AE$451)</f>
        <v>39794.030104215322</v>
      </c>
      <c r="O106" s="18">
        <f>N$106*'Population Treasury'!AG$156*'Statistics NZ'!AG$451/('Population Treasury'!AF$156*'Statistics NZ'!AF$451)</f>
        <v>39320.234862067402</v>
      </c>
      <c r="P106" s="18">
        <f>O$106*'Population Treasury'!AH$156*'Statistics NZ'!AH$451/('Population Treasury'!AG$156*'Statistics NZ'!AG$451)</f>
        <v>37969.106727532788</v>
      </c>
      <c r="Q106" s="18">
        <f>P$106*'Population Treasury'!AI$156*'Statistics NZ'!AI$451/('Population Treasury'!AH$156*'Statistics NZ'!AH$451)</f>
        <v>37807.819636659617</v>
      </c>
      <c r="R106" s="18">
        <f>Q$106*'Population Treasury'!AJ$156*'Statistics NZ'!AJ$451/('Population Treasury'!AI$156*'Statistics NZ'!AI$451)</f>
        <v>37172.7396992629</v>
      </c>
      <c r="S106" s="18">
        <f>R$106*'Population Treasury'!AK$156*'Statistics NZ'!AK$451/('Population Treasury'!AJ$156*'Statistics NZ'!AJ$451)</f>
        <v>38110.260179573401</v>
      </c>
    </row>
    <row r="107" spans="1:19" x14ac:dyDescent="0.25">
      <c r="A107" s="12">
        <f>$A$37</f>
        <v>42</v>
      </c>
      <c r="B107" s="28">
        <f>'Population Treasury'!T$157*'Statistics NZ'!T$452*'Economic Forecasts'!V$8/B$7</f>
        <v>32242.647259939444</v>
      </c>
      <c r="C107" s="28">
        <f>'Population Treasury'!U$157*'Statistics NZ'!U$452*'Economic Forecasts'!W$8/C$7</f>
        <v>33057.528278813705</v>
      </c>
      <c r="D107" s="28">
        <f>'Population Treasury'!V$157*'Statistics NZ'!V$452*'Economic Forecasts'!X$8/D$7</f>
        <v>33772.702513117569</v>
      </c>
      <c r="E107" s="28">
        <f>'Population Treasury'!W$157*'Statistics NZ'!W$452*'Economic Forecasts'!Y$8/E$7</f>
        <v>34467.895306789353</v>
      </c>
      <c r="F107" s="28">
        <f>'Population Treasury'!X$157*'Statistics NZ'!X$452*'Economic Forecasts'!Z$8/F$7</f>
        <v>35738.335820729437</v>
      </c>
      <c r="G107" s="28">
        <f>'Population Treasury'!Y$157*'Statistics NZ'!Y$452*'Economic Forecasts'!AA$8/G$7</f>
        <v>37809.648311239609</v>
      </c>
      <c r="H107" s="28">
        <f>'Population Treasury'!Z$157*'Statistics NZ'!Z$452*'Economic Forecasts'!AB$8/H$7</f>
        <v>39049.48212861811</v>
      </c>
      <c r="I107" s="28">
        <f>'Population Treasury'!AA$157*'Statistics NZ'!AA$452*'Economic Forecasts'!AC$8/I$7</f>
        <v>39856.756183746387</v>
      </c>
      <c r="J107" s="18">
        <f>I$107*'Population Treasury'!AB$157*'Statistics NZ'!AB$452/('Population Treasury'!AA$157*'Statistics NZ'!AA$452)</f>
        <v>41536.200363790274</v>
      </c>
      <c r="K107" s="18">
        <f>J$107*'Population Treasury'!AC$157*'Statistics NZ'!AC$452/('Population Treasury'!AB$157*'Statistics NZ'!AB$452)</f>
        <v>42302.862438022799</v>
      </c>
      <c r="L107" s="18">
        <f>K$107*'Population Treasury'!AD$157*'Statistics NZ'!AD$452/('Population Treasury'!AC$157*'Statistics NZ'!AC$452)</f>
        <v>42277.06609105027</v>
      </c>
      <c r="M107" s="18">
        <f>L$107*'Population Treasury'!AE$157*'Statistics NZ'!AE$452/('Population Treasury'!AD$157*'Statistics NZ'!AD$452)</f>
        <v>41460.384402768686</v>
      </c>
      <c r="N107" s="18">
        <f>M$107*'Population Treasury'!AF$157*'Statistics NZ'!AF$452/('Population Treasury'!AE$157*'Statistics NZ'!AE$452)</f>
        <v>40401.873159030438</v>
      </c>
      <c r="O107" s="18">
        <f>N$107*'Population Treasury'!AG$157*'Statistics NZ'!AG$452/('Population Treasury'!AF$157*'Statistics NZ'!AF$452)</f>
        <v>40038.836798641663</v>
      </c>
      <c r="P107" s="18">
        <f>O$107*'Population Treasury'!AH$157*'Statistics NZ'!AH$452/('Population Treasury'!AG$157*'Statistics NZ'!AG$452)</f>
        <v>39575.122165023357</v>
      </c>
      <c r="Q107" s="18">
        <f>P$107*'Population Treasury'!AI$157*'Statistics NZ'!AI$452/('Population Treasury'!AH$157*'Statistics NZ'!AH$452)</f>
        <v>38224.045986726269</v>
      </c>
      <c r="R107" s="18">
        <f>Q$107*'Population Treasury'!AJ$157*'Statistics NZ'!AJ$452/('Population Treasury'!AI$157*'Statistics NZ'!AI$452)</f>
        <v>38062.972264981021</v>
      </c>
      <c r="S107" s="18">
        <f>R$107*'Population Treasury'!AK$157*'Statistics NZ'!AK$452/('Population Treasury'!AJ$157*'Statistics NZ'!AJ$452)</f>
        <v>37437.769415934708</v>
      </c>
    </row>
    <row r="108" spans="1:19" x14ac:dyDescent="0.25">
      <c r="A108" s="12">
        <f>$A$38</f>
        <v>43</v>
      </c>
      <c r="B108" s="28">
        <f>'Population Treasury'!T$158*'Statistics NZ'!T$453*'Economic Forecasts'!V$8/B$7</f>
        <v>31480.620298915703</v>
      </c>
      <c r="C108" s="28">
        <f>'Population Treasury'!U$158*'Statistics NZ'!U$453*'Economic Forecasts'!W$8/C$7</f>
        <v>31872.224804761052</v>
      </c>
      <c r="D108" s="28">
        <f>'Population Treasury'!V$158*'Statistics NZ'!V$453*'Economic Forecasts'!X$8/D$7</f>
        <v>32974.588742845706</v>
      </c>
      <c r="E108" s="28">
        <f>'Population Treasury'!W$158*'Statistics NZ'!W$453*'Economic Forecasts'!Y$8/E$7</f>
        <v>34048.571320563242</v>
      </c>
      <c r="F108" s="28">
        <f>'Population Treasury'!X$158*'Statistics NZ'!X$453*'Economic Forecasts'!Z$8/F$7</f>
        <v>34769.032084179642</v>
      </c>
      <c r="G108" s="28">
        <f>'Population Treasury'!Y$158*'Statistics NZ'!Y$453*'Economic Forecasts'!AA$8/G$7</f>
        <v>35993.188333202976</v>
      </c>
      <c r="H108" s="28">
        <f>'Population Treasury'!Z$158*'Statistics NZ'!Z$453*'Economic Forecasts'!AB$8/H$7</f>
        <v>38026.080717831908</v>
      </c>
      <c r="I108" s="28">
        <f>'Population Treasury'!AA$158*'Statistics NZ'!AA$453*'Economic Forecasts'!AC$8/I$7</f>
        <v>39255.544711319963</v>
      </c>
      <c r="J108" s="18">
        <f>I$108*'Population Treasury'!AB$158*'Statistics NZ'!AB$453/('Population Treasury'!AA$158*'Statistics NZ'!AA$453)</f>
        <v>40027.640969650143</v>
      </c>
      <c r="K108" s="18">
        <f>J$108*'Population Treasury'!AC$158*'Statistics NZ'!AC$453/('Population Treasury'!AB$158*'Statistics NZ'!AB$453)</f>
        <v>41711.779186720494</v>
      </c>
      <c r="L108" s="18">
        <f>K$108*'Population Treasury'!AD$158*'Statistics NZ'!AD$453/('Population Treasury'!AC$158*'Statistics NZ'!AC$453)</f>
        <v>42472.236561040474</v>
      </c>
      <c r="M108" s="18">
        <f>L$108*'Population Treasury'!AE$158*'Statistics NZ'!AE$453/('Population Treasury'!AD$158*'Statistics NZ'!AD$453)</f>
        <v>42442.031146953632</v>
      </c>
      <c r="N108" s="18">
        <f>M$108*'Population Treasury'!AF$158*'Statistics NZ'!AF$453/('Population Treasury'!AE$158*'Statistics NZ'!AE$453)</f>
        <v>41625.378679302863</v>
      </c>
      <c r="O108" s="18">
        <f>N$108*'Population Treasury'!AG$158*'Statistics NZ'!AG$453/('Population Treasury'!AF$158*'Statistics NZ'!AF$453)</f>
        <v>40576.778875305223</v>
      </c>
      <c r="P108" s="18">
        <f>O$108*'Population Treasury'!AH$158*'Statistics NZ'!AH$453/('Population Treasury'!AG$158*'Statistics NZ'!AG$453)</f>
        <v>40213.95058271959</v>
      </c>
      <c r="Q108" s="18">
        <f>P$108*'Population Treasury'!AI$158*'Statistics NZ'!AI$453/('Population Treasury'!AH$158*'Statistics NZ'!AH$453)</f>
        <v>39760.123249394514</v>
      </c>
      <c r="R108" s="18">
        <f>Q$108*'Population Treasury'!AJ$158*'Statistics NZ'!AJ$453/('Population Treasury'!AI$158*'Statistics NZ'!AI$453)</f>
        <v>38409.298795913128</v>
      </c>
      <c r="S108" s="18">
        <f>R$108*'Population Treasury'!AK$158*'Statistics NZ'!AK$453/('Population Treasury'!AJ$158*'Statistics NZ'!AJ$453)</f>
        <v>38257.885051331985</v>
      </c>
    </row>
    <row r="109" spans="1:19" x14ac:dyDescent="0.25">
      <c r="A109" s="12">
        <f>$A$39</f>
        <v>44</v>
      </c>
      <c r="B109" s="28">
        <f>'Population Treasury'!T$159*'Statistics NZ'!T$454*'Economic Forecasts'!V$8/B$7</f>
        <v>30649.31815961708</v>
      </c>
      <c r="C109" s="28">
        <f>'Population Treasury'!U$159*'Statistics NZ'!U$454*'Economic Forecasts'!W$8/C$7</f>
        <v>31088.560508683386</v>
      </c>
      <c r="D109" s="28">
        <f>'Population Treasury'!V$159*'Statistics NZ'!V$454*'Economic Forecasts'!X$8/D$7</f>
        <v>31767.550271820954</v>
      </c>
      <c r="E109" s="28">
        <f>'Population Treasury'!W$159*'Statistics NZ'!W$454*'Economic Forecasts'!Y$8/E$7</f>
        <v>33219.663169296866</v>
      </c>
      <c r="F109" s="28">
        <f>'Population Treasury'!X$159*'Statistics NZ'!X$454*'Economic Forecasts'!Z$8/F$7</f>
        <v>34318.645148153286</v>
      </c>
      <c r="G109" s="28">
        <f>'Population Treasury'!Y$159*'Statistics NZ'!Y$454*'Economic Forecasts'!AA$8/G$7</f>
        <v>34981.85723882325</v>
      </c>
      <c r="H109" s="28">
        <f>'Population Treasury'!Z$159*'Statistics NZ'!Z$454*'Economic Forecasts'!AB$8/H$7</f>
        <v>36185.987430730049</v>
      </c>
      <c r="I109" s="28">
        <f>'Population Treasury'!AA$159*'Statistics NZ'!AA$454*'Economic Forecasts'!AC$8/I$7</f>
        <v>38201.000766999539</v>
      </c>
      <c r="J109" s="18">
        <f>I$109*'Population Treasury'!AB$159*'Statistics NZ'!AB$454/('Population Treasury'!AA$159*'Statistics NZ'!AA$454)</f>
        <v>39416.416583105223</v>
      </c>
      <c r="K109" s="18">
        <f>J$109*'Population Treasury'!AC$159*'Statistics NZ'!AC$454/('Population Treasury'!AB$159*'Statistics NZ'!AB$454)</f>
        <v>40183.201051059601</v>
      </c>
      <c r="L109" s="18">
        <f>K$109*'Population Treasury'!AD$159*'Statistics NZ'!AD$454/('Population Treasury'!AC$159*'Statistics NZ'!AC$454)</f>
        <v>41861.143432707322</v>
      </c>
      <c r="M109" s="18">
        <f>L$109*'Population Treasury'!AE$159*'Statistics NZ'!AE$454/('Population Treasury'!AD$159*'Statistics NZ'!AD$454)</f>
        <v>42607.298925490271</v>
      </c>
      <c r="N109" s="18">
        <f>M$109*'Population Treasury'!AF$159*'Statistics NZ'!AF$454/('Population Treasury'!AE$159*'Statistics NZ'!AE$454)</f>
        <v>42587.16155071403</v>
      </c>
      <c r="O109" s="18">
        <f>N$109*'Population Treasury'!AG$159*'Statistics NZ'!AG$454/('Population Treasury'!AF$159*'Statistics NZ'!AF$454)</f>
        <v>41780.413841851318</v>
      </c>
      <c r="P109" s="18">
        <f>O$109*'Population Treasury'!AH$159*'Statistics NZ'!AH$454/('Population Treasury'!AG$159*'Statistics NZ'!AG$454)</f>
        <v>40732.021961404484</v>
      </c>
      <c r="Q109" s="18">
        <f>P$109*'Population Treasury'!AI$159*'Statistics NZ'!AI$454/('Population Treasury'!AH$159*'Statistics NZ'!AH$454)</f>
        <v>40369.198096817352</v>
      </c>
      <c r="R109" s="18">
        <f>Q$109*'Population Treasury'!AJ$159*'Statistics NZ'!AJ$454/('Population Treasury'!AI$159*'Statistics NZ'!AI$454)</f>
        <v>39915.38604817132</v>
      </c>
      <c r="S109" s="18">
        <f>R$109*'Population Treasury'!AK$159*'Statistics NZ'!AK$454/('Population Treasury'!AJ$159*'Statistics NZ'!AJ$454)</f>
        <v>38574.46045066465</v>
      </c>
    </row>
    <row r="110" spans="1:19" x14ac:dyDescent="0.25">
      <c r="A110" s="12">
        <f>$A$40</f>
        <v>45</v>
      </c>
      <c r="B110" s="28">
        <f>'Population Treasury'!T$160*'Statistics NZ'!T$455*'Economic Forecasts'!V$8/B$7</f>
        <v>29669.56920972942</v>
      </c>
      <c r="C110" s="28">
        <f>'Population Treasury'!U$160*'Statistics NZ'!U$455*'Economic Forecasts'!W$8/C$7</f>
        <v>30332.843984805659</v>
      </c>
      <c r="D110" s="28">
        <f>'Population Treasury'!V$160*'Statistics NZ'!V$455*'Economic Forecasts'!X$8/D$7</f>
        <v>31043.186974916604</v>
      </c>
      <c r="E110" s="28">
        <f>'Population Treasury'!W$160*'Statistics NZ'!W$455*'Economic Forecasts'!Y$8/E$7</f>
        <v>32003.784431130422</v>
      </c>
      <c r="F110" s="28">
        <f>'Population Treasury'!X$160*'Statistics NZ'!X$455*'Economic Forecasts'!Z$8/F$7</f>
        <v>33463.122064569048</v>
      </c>
      <c r="G110" s="28">
        <f>'Population Treasury'!Y$160*'Statistics NZ'!Y$455*'Economic Forecasts'!AA$8/G$7</f>
        <v>34503.172932108588</v>
      </c>
      <c r="H110" s="28">
        <f>'Population Treasury'!Z$160*'Statistics NZ'!Z$455*'Economic Forecasts'!AB$8/H$7</f>
        <v>35147.976487789514</v>
      </c>
      <c r="I110" s="28">
        <f>'Population Treasury'!AA$160*'Statistics NZ'!AA$455*'Economic Forecasts'!AC$8/I$7</f>
        <v>36335.105836732488</v>
      </c>
      <c r="J110" s="18">
        <f>I$110*'Population Treasury'!AB$160*'Statistics NZ'!AB$455/('Population Treasury'!AA$160*'Statistics NZ'!AA$455)</f>
        <v>38347.641732818847</v>
      </c>
      <c r="K110" s="18">
        <f>J$110*'Population Treasury'!AC$160*'Statistics NZ'!AC$455/('Population Treasury'!AB$160*'Statistics NZ'!AB$455)</f>
        <v>39551.355032754785</v>
      </c>
      <c r="L110" s="18">
        <f>K$110*'Population Treasury'!AD$160*'Statistics NZ'!AD$455/('Population Treasury'!AC$160*'Statistics NZ'!AC$455)</f>
        <v>40309.486657709509</v>
      </c>
      <c r="M110" s="18">
        <f>L$110*'Population Treasury'!AE$160*'Statistics NZ'!AE$455/('Population Treasury'!AD$160*'Statistics NZ'!AD$455)</f>
        <v>41982.84542105766</v>
      </c>
      <c r="N110" s="18">
        <f>M$110*'Population Treasury'!AF$160*'Statistics NZ'!AF$455/('Population Treasury'!AE$160*'Statistics NZ'!AE$455)</f>
        <v>42739.067701575776</v>
      </c>
      <c r="O110" s="18">
        <f>N$110*'Population Treasury'!AG$160*'Statistics NZ'!AG$455/('Population Treasury'!AF$160*'Statistics NZ'!AF$455)</f>
        <v>42718.929918792572</v>
      </c>
      <c r="P110" s="18">
        <f>O$110*'Population Treasury'!AH$160*'Statistics NZ'!AH$455/('Population Treasury'!AG$160*'Statistics NZ'!AG$455)</f>
        <v>41902.296129092094</v>
      </c>
      <c r="Q110" s="18">
        <f>P$110*'Population Treasury'!AI$160*'Statistics NZ'!AI$455/('Population Treasury'!AH$160*'Statistics NZ'!AH$455)</f>
        <v>40863.792443939143</v>
      </c>
      <c r="R110" s="18">
        <f>Q$110*'Population Treasury'!AJ$160*'Statistics NZ'!AJ$455/('Population Treasury'!AI$160*'Statistics NZ'!AI$455)</f>
        <v>40511.034977461597</v>
      </c>
      <c r="S110" s="18">
        <f>R$110*'Population Treasury'!AK$160*'Statistics NZ'!AK$455/('Population Treasury'!AJ$160*'Statistics NZ'!AJ$455)</f>
        <v>40057.22508958041</v>
      </c>
    </row>
    <row r="111" spans="1:19" x14ac:dyDescent="0.25">
      <c r="A111" s="12">
        <f>$A$41</f>
        <v>46</v>
      </c>
      <c r="B111" s="28">
        <f>'Population Treasury'!T$161*'Statistics NZ'!T$456*'Economic Forecasts'!V$8/B$7</f>
        <v>28452.305362899293</v>
      </c>
      <c r="C111" s="28">
        <f>'Population Treasury'!U$161*'Statistics NZ'!U$456*'Economic Forecasts'!W$8/C$7</f>
        <v>29343.266347690791</v>
      </c>
      <c r="D111" s="28">
        <f>'Population Treasury'!V$161*'Statistics NZ'!V$456*'Economic Forecasts'!X$8/D$7</f>
        <v>30186.475916876323</v>
      </c>
      <c r="E111" s="28">
        <f>'Population Treasury'!W$161*'Statistics NZ'!W$456*'Economic Forecasts'!Y$8/E$7</f>
        <v>31194.374569145624</v>
      </c>
      <c r="F111" s="28">
        <f>'Population Treasury'!X$161*'Statistics NZ'!X$456*'Economic Forecasts'!Z$8/F$7</f>
        <v>32209.93028188141</v>
      </c>
      <c r="G111" s="28">
        <f>'Population Treasury'!Y$161*'Statistics NZ'!Y$456*'Economic Forecasts'!AA$8/G$7</f>
        <v>33629.337282757799</v>
      </c>
      <c r="H111" s="28">
        <f>'Population Treasury'!Z$161*'Statistics NZ'!Z$456*'Economic Forecasts'!AB$8/H$7</f>
        <v>34655.98290554608</v>
      </c>
      <c r="I111" s="28">
        <f>'Population Treasury'!AA$161*'Statistics NZ'!AA$456*'Economic Forecasts'!AC$8/I$7</f>
        <v>35280.588961552778</v>
      </c>
      <c r="J111" s="18">
        <f>I$111*'Population Treasury'!AB$161*'Statistics NZ'!AB$456/('Population Treasury'!AA$161*'Statistics NZ'!AA$456)</f>
        <v>36446.097617380343</v>
      </c>
      <c r="K111" s="18">
        <f>J$111*'Population Treasury'!AC$161*'Statistics NZ'!AC$456/('Population Treasury'!AB$161*'Statistics NZ'!AB$456)</f>
        <v>38456.588137215447</v>
      </c>
      <c r="L111" s="18">
        <f>K$111*'Population Treasury'!AD$161*'Statistics NZ'!AD$456/('Population Treasury'!AC$161*'Statistics NZ'!AC$456)</f>
        <v>39657.911660492187</v>
      </c>
      <c r="M111" s="18">
        <f>L$111*'Population Treasury'!AE$161*'Statistics NZ'!AE$456/('Population Treasury'!AD$161*'Statistics NZ'!AD$456)</f>
        <v>40424.210867419839</v>
      </c>
      <c r="N111" s="18">
        <f>M$111*'Population Treasury'!AF$161*'Statistics NZ'!AF$456/('Population Treasury'!AE$161*'Statistics NZ'!AE$456)</f>
        <v>42087.872628860387</v>
      </c>
      <c r="O111" s="18">
        <f>N$111*'Population Treasury'!AG$161*'Statistics NZ'!AG$456/('Population Treasury'!AF$161*'Statistics NZ'!AF$456)</f>
        <v>42843.923987469461</v>
      </c>
      <c r="P111" s="18">
        <f>O$111*'Population Treasury'!AH$161*'Statistics NZ'!AH$456/('Population Treasury'!AG$161*'Statistics NZ'!AG$456)</f>
        <v>42833.684435254851</v>
      </c>
      <c r="Q111" s="18">
        <f>P$111*'Population Treasury'!AI$161*'Statistics NZ'!AI$456/('Population Treasury'!AH$161*'Statistics NZ'!AH$456)</f>
        <v>42027.111239555205</v>
      </c>
      <c r="R111" s="18">
        <f>Q$111*'Population Treasury'!AJ$161*'Statistics NZ'!AJ$456/('Population Treasury'!AI$161*'Statistics NZ'!AI$456)</f>
        <v>40988.77573849995</v>
      </c>
      <c r="S111" s="18">
        <f>R$111*'Population Treasury'!AK$161*'Statistics NZ'!AK$456/('Population Treasury'!AJ$161*'Statistics NZ'!AJ$456)</f>
        <v>40635.833011374008</v>
      </c>
    </row>
    <row r="112" spans="1:19" x14ac:dyDescent="0.25">
      <c r="A112" s="12">
        <f>$A$42</f>
        <v>47</v>
      </c>
      <c r="B112" s="28">
        <f>'Population Treasury'!T$162*'Statistics NZ'!T$457*'Economic Forecasts'!V$8/B$7</f>
        <v>28699.716713881022</v>
      </c>
      <c r="C112" s="28">
        <f>'Population Treasury'!U$162*'Statistics NZ'!U$457*'Economic Forecasts'!W$8/C$7</f>
        <v>28108.745038016554</v>
      </c>
      <c r="D112" s="28">
        <f>'Population Treasury'!V$162*'Statistics NZ'!V$457*'Economic Forecasts'!X$8/D$7</f>
        <v>29174.003604171376</v>
      </c>
      <c r="E112" s="28">
        <f>'Population Treasury'!W$162*'Statistics NZ'!W$457*'Economic Forecasts'!Y$8/E$7</f>
        <v>30306.949691912207</v>
      </c>
      <c r="F112" s="28">
        <f>'Population Treasury'!X$162*'Statistics NZ'!X$457*'Economic Forecasts'!Z$8/F$7</f>
        <v>31358.152991856827</v>
      </c>
      <c r="G112" s="28">
        <f>'Population Treasury'!Y$162*'Statistics NZ'!Y$457*'Economic Forecasts'!AA$8/G$7</f>
        <v>32343.12776059152</v>
      </c>
      <c r="H112" s="28">
        <f>'Population Treasury'!Z$162*'Statistics NZ'!Z$457*'Economic Forecasts'!AB$8/H$7</f>
        <v>33750.709954373538</v>
      </c>
      <c r="I112" s="28">
        <f>'Population Treasury'!AA$162*'Statistics NZ'!AA$457*'Economic Forecasts'!AC$8/I$7</f>
        <v>34758.263872590163</v>
      </c>
      <c r="J112" s="18">
        <f>I$112*'Population Treasury'!AB$162*'Statistics NZ'!AB$457/('Population Treasury'!AA$162*'Statistics NZ'!AA$457)</f>
        <v>35349.362817262212</v>
      </c>
      <c r="K112" s="18">
        <f>J$112*'Population Treasury'!AC$162*'Statistics NZ'!AC$457/('Population Treasury'!AB$162*'Statistics NZ'!AB$457)</f>
        <v>36512.829237419799</v>
      </c>
      <c r="L112" s="18">
        <f>K$112*'Population Treasury'!AD$162*'Statistics NZ'!AD$457/('Population Treasury'!AC$162*'Statistics NZ'!AC$457)</f>
        <v>38520.937586281463</v>
      </c>
      <c r="M112" s="18">
        <f>L$112*'Population Treasury'!AE$162*'Statistics NZ'!AE$457/('Population Treasury'!AD$162*'Statistics NZ'!AD$457)</f>
        <v>39720.738886824016</v>
      </c>
      <c r="N112" s="18">
        <f>M$112*'Population Treasury'!AF$162*'Statistics NZ'!AF$457/('Population Treasury'!AE$162*'Statistics NZ'!AE$457)</f>
        <v>40486.864198978794</v>
      </c>
      <c r="O112" s="18">
        <f>N$112*'Population Treasury'!AG$162*'Statistics NZ'!AG$457/('Population Treasury'!AF$162*'Statistics NZ'!AF$457)</f>
        <v>42160.438862417708</v>
      </c>
      <c r="P112" s="18">
        <f>O$112*'Population Treasury'!AH$162*'Statistics NZ'!AH$457/('Population Treasury'!AG$162*'Statistics NZ'!AG$457)</f>
        <v>42916.669147741894</v>
      </c>
      <c r="Q112" s="18">
        <f>P$112*'Population Treasury'!AI$162*'Statistics NZ'!AI$457/('Population Treasury'!AH$162*'Statistics NZ'!AH$457)</f>
        <v>42906.432079637394</v>
      </c>
      <c r="R112" s="18">
        <f>Q$112*'Population Treasury'!AJ$162*'Statistics NZ'!AJ$457/('Population Treasury'!AI$162*'Statistics NZ'!AI$457)</f>
        <v>42100.022165219067</v>
      </c>
      <c r="S112" s="18">
        <f>R$112*'Population Treasury'!AK$162*'Statistics NZ'!AK$457/('Population Treasury'!AJ$162*'Statistics NZ'!AJ$457)</f>
        <v>41061.504186366757</v>
      </c>
    </row>
    <row r="113" spans="1:19" x14ac:dyDescent="0.25">
      <c r="A113" s="12">
        <f>$A$43</f>
        <v>48</v>
      </c>
      <c r="B113" s="28">
        <f>'Population Treasury'!T$163*'Statistics NZ'!T$458*'Economic Forecasts'!V$8/B$7</f>
        <v>28293.962098270978</v>
      </c>
      <c r="C113" s="28">
        <f>'Population Treasury'!U$163*'Statistics NZ'!U$458*'Economic Forecasts'!W$8/C$7</f>
        <v>28314.469555736487</v>
      </c>
      <c r="D113" s="28">
        <f>'Population Treasury'!V$163*'Statistics NZ'!V$458*'Economic Forecasts'!X$8/D$7</f>
        <v>27908.414759120689</v>
      </c>
      <c r="E113" s="28">
        <f>'Population Treasury'!W$163*'Statistics NZ'!W$458*'Economic Forecasts'!Y$8/E$7</f>
        <v>29243.991140539623</v>
      </c>
      <c r="F113" s="28">
        <f>'Population Treasury'!X$163*'Statistics NZ'!X$458*'Economic Forecasts'!Z$8/F$7</f>
        <v>30428.049703043438</v>
      </c>
      <c r="G113" s="28">
        <f>'Population Treasury'!Y$163*'Statistics NZ'!Y$458*'Economic Forecasts'!AA$8/G$7</f>
        <v>31449.65533764063</v>
      </c>
      <c r="H113" s="28">
        <f>'Population Treasury'!Z$163*'Statistics NZ'!Z$458*'Economic Forecasts'!AB$8/H$7</f>
        <v>32412.472178658933</v>
      </c>
      <c r="I113" s="28">
        <f>'Population Treasury'!AA$163*'Statistics NZ'!AA$458*'Economic Forecasts'!AC$8/I$7</f>
        <v>33802.299977598472</v>
      </c>
      <c r="J113" s="18">
        <f>I$113*'Population Treasury'!AB$163*'Statistics NZ'!AB$458/('Population Treasury'!AA$163*'Statistics NZ'!AA$458)</f>
        <v>34786.630709330966</v>
      </c>
      <c r="K113" s="18">
        <f>J$113*'Population Treasury'!AC$163*'Statistics NZ'!AC$458/('Population Treasury'!AB$163*'Statistics NZ'!AB$458)</f>
        <v>35385.531379420863</v>
      </c>
      <c r="L113" s="18">
        <f>K$113*'Population Treasury'!AD$163*'Statistics NZ'!AD$458/('Population Treasury'!AC$163*'Statistics NZ'!AC$458)</f>
        <v>36546.600363626298</v>
      </c>
      <c r="M113" s="18">
        <f>L$113*'Population Treasury'!AE$163*'Statistics NZ'!AE$458/('Population Treasury'!AD$163*'Statistics NZ'!AD$458)</f>
        <v>38552.816266917151</v>
      </c>
      <c r="N113" s="18">
        <f>M$113*'Population Treasury'!AF$163*'Statistics NZ'!AF$458/('Population Treasury'!AE$163*'Statistics NZ'!AE$458)</f>
        <v>39752.627017485611</v>
      </c>
      <c r="O113" s="18">
        <f>N$113*'Population Treasury'!AG$163*'Statistics NZ'!AG$458/('Population Treasury'!AF$163*'Statistics NZ'!AF$458)</f>
        <v>40518.934020436624</v>
      </c>
      <c r="P113" s="18">
        <f>O$113*'Population Treasury'!AH$163*'Statistics NZ'!AH$458/('Population Treasury'!AG$163*'Statistics NZ'!AG$458)</f>
        <v>42192.350749699937</v>
      </c>
      <c r="Q113" s="18">
        <f>P$113*'Population Treasury'!AI$163*'Statistics NZ'!AI$458/('Population Treasury'!AH$163*'Statistics NZ'!AH$458)</f>
        <v>42948.584451614661</v>
      </c>
      <c r="R113" s="18">
        <f>Q$113*'Population Treasury'!AJ$163*'Statistics NZ'!AJ$458/('Population Treasury'!AI$163*'Statistics NZ'!AI$458)</f>
        <v>42938.514374242288</v>
      </c>
      <c r="S113" s="18">
        <f>R$113*'Population Treasury'!AK$163*'Statistics NZ'!AK$458/('Population Treasury'!AJ$163*'Statistics NZ'!AJ$458)</f>
        <v>42132.097244508652</v>
      </c>
    </row>
    <row r="114" spans="1:19" x14ac:dyDescent="0.25">
      <c r="A114" s="12">
        <f>$A$44</f>
        <v>49</v>
      </c>
      <c r="B114" s="28">
        <f>'Population Treasury'!T$164*'Statistics NZ'!T$459*'Economic Forecasts'!V$8/B$7</f>
        <v>28343.444368467324</v>
      </c>
      <c r="C114" s="28">
        <f>'Population Treasury'!U$164*'Statistics NZ'!U$459*'Economic Forecasts'!W$8/C$7</f>
        <v>27863.819165723689</v>
      </c>
      <c r="D114" s="28">
        <f>'Population Treasury'!V$164*'Statistics NZ'!V$459*'Economic Forecasts'!X$8/D$7</f>
        <v>28064.188230955911</v>
      </c>
      <c r="E114" s="28">
        <f>'Population Treasury'!W$164*'Statistics NZ'!W$459*'Economic Forecasts'!Y$8/E$7</f>
        <v>27927.483427967967</v>
      </c>
      <c r="F114" s="28">
        <f>'Population Treasury'!X$164*'Statistics NZ'!X$459*'Economic Forecasts'!Z$8/F$7</f>
        <v>29311.918961806994</v>
      </c>
      <c r="G114" s="28">
        <f>'Population Treasury'!Y$164*'Statistics NZ'!Y$459*'Economic Forecasts'!AA$8/G$7</f>
        <v>30457.989869100726</v>
      </c>
      <c r="H114" s="28">
        <f>'Population Treasury'!Z$164*'Statistics NZ'!Z$459*'Economic Forecasts'!AB$8/H$7</f>
        <v>31467.830864488831</v>
      </c>
      <c r="I114" s="28">
        <f>'Population Treasury'!AA$164*'Statistics NZ'!AA$459*'Economic Forecasts'!AC$8/I$7</f>
        <v>32412.696940006535</v>
      </c>
      <c r="J114" s="18">
        <f>I$114*'Population Treasury'!AB$164*'Statistics NZ'!AB$459/('Population Treasury'!AA$164*'Statistics NZ'!AA$459)</f>
        <v>33780.173964801346</v>
      </c>
      <c r="K114" s="18">
        <f>J$114*'Population Treasury'!AC$164*'Statistics NZ'!AC$459/('Population Treasury'!AB$164*'Statistics NZ'!AB$459)</f>
        <v>34762.223455801788</v>
      </c>
      <c r="L114" s="18">
        <f>K$114*'Population Treasury'!AD$164*'Statistics NZ'!AD$459/('Population Treasury'!AC$164*'Statistics NZ'!AC$459)</f>
        <v>35358.71414394553</v>
      </c>
      <c r="M114" s="18">
        <f>L$114*'Population Treasury'!AE$164*'Statistics NZ'!AE$459/('Population Treasury'!AD$164*'Statistics NZ'!AD$459)</f>
        <v>36518.057803874544</v>
      </c>
      <c r="N114" s="18">
        <f>M$114*'Population Treasury'!AF$164*'Statistics NZ'!AF$459/('Population Treasury'!AE$164*'Statistics NZ'!AE$459)</f>
        <v>38524.436813320404</v>
      </c>
      <c r="O114" s="18">
        <f>N$114*'Population Treasury'!AG$164*'Statistics NZ'!AG$459/('Population Treasury'!AF$164*'Statistics NZ'!AF$459)</f>
        <v>39724.232178382568</v>
      </c>
      <c r="P114" s="18">
        <f>O$114*'Population Treasury'!AH$164*'Statistics NZ'!AH$459/('Population Treasury'!AG$164*'Statistics NZ'!AG$459)</f>
        <v>40490.362918749604</v>
      </c>
      <c r="Q114" s="18">
        <f>P$114*'Population Treasury'!AI$164*'Statistics NZ'!AI$459/('Population Treasury'!AH$164*'Statistics NZ'!AH$459)</f>
        <v>42163.936236033704</v>
      </c>
      <c r="R114" s="18">
        <f>Q$114*'Population Treasury'!AJ$164*'Statistics NZ'!AJ$459/('Population Treasury'!AI$164*'Statistics NZ'!AI$459)</f>
        <v>42920.159340139762</v>
      </c>
      <c r="S114" s="18">
        <f>R$114*'Population Treasury'!AK$164*'Statistics NZ'!AK$459/('Population Treasury'!AJ$164*'Statistics NZ'!AJ$459)</f>
        <v>42910.088860480813</v>
      </c>
    </row>
    <row r="115" spans="1:19" x14ac:dyDescent="0.25">
      <c r="A115" s="12">
        <f>$A$45</f>
        <v>50</v>
      </c>
      <c r="B115" s="28">
        <f>'Population Treasury'!T$165*'Statistics NZ'!T$460*'Economic Forecasts'!V$8/B$7</f>
        <v>29125.264237569605</v>
      </c>
      <c r="C115" s="28">
        <f>'Population Treasury'!U$165*'Statistics NZ'!U$460*'Economic Forecasts'!W$8/C$7</f>
        <v>27902.09491610117</v>
      </c>
      <c r="D115" s="28">
        <f>'Population Treasury'!V$165*'Statistics NZ'!V$460*'Economic Forecasts'!X$8/D$7</f>
        <v>27599.570677388532</v>
      </c>
      <c r="E115" s="28">
        <f>'Population Treasury'!W$165*'Statistics NZ'!W$460*'Economic Forecasts'!Y$8/E$7</f>
        <v>28026.547128483795</v>
      </c>
      <c r="F115" s="28">
        <f>'Population Treasury'!X$165*'Statistics NZ'!X$460*'Economic Forecasts'!Z$8/F$7</f>
        <v>27934.515727614347</v>
      </c>
      <c r="G115" s="28">
        <f>'Population Treasury'!Y$165*'Statistics NZ'!Y$460*'Economic Forecasts'!AA$8/G$7</f>
        <v>29281.043066962251</v>
      </c>
      <c r="H115" s="28">
        <f>'Population Treasury'!Z$165*'Statistics NZ'!Z$460*'Economic Forecasts'!AB$8/H$7</f>
        <v>30407.678485532666</v>
      </c>
      <c r="I115" s="28">
        <f>'Population Treasury'!AA$165*'Statistics NZ'!AA$460*'Economic Forecasts'!AC$8/I$7</f>
        <v>31391.092266674474</v>
      </c>
      <c r="J115" s="18">
        <f>I$115*'Population Treasury'!AB$165*'Statistics NZ'!AB$460/('Population Treasury'!AA$165*'Statistics NZ'!AA$460)</f>
        <v>32309.775565741857</v>
      </c>
      <c r="K115" s="18">
        <f>J$115*'Population Treasury'!AC$165*'Statistics NZ'!AC$460/('Population Treasury'!AB$165*'Statistics NZ'!AB$460)</f>
        <v>33681.815175202391</v>
      </c>
      <c r="L115" s="18">
        <f>K$115*'Population Treasury'!AD$165*'Statistics NZ'!AD$460/('Population Treasury'!AC$165*'Statistics NZ'!AC$460)</f>
        <v>34660.102032836025</v>
      </c>
      <c r="M115" s="18">
        <f>L$115*'Population Treasury'!AE$165*'Statistics NZ'!AE$460/('Population Treasury'!AD$165*'Statistics NZ'!AD$460)</f>
        <v>35255.046364034359</v>
      </c>
      <c r="N115" s="18">
        <f>M$115*'Population Treasury'!AF$165*'Statistics NZ'!AF$460/('Population Treasury'!AE$165*'Statistics NZ'!AE$460)</f>
        <v>36404.469589983586</v>
      </c>
      <c r="O115" s="18">
        <f>N$115*'Population Treasury'!AG$165*'Statistics NZ'!AG$460/('Population Treasury'!AF$165*'Statistics NZ'!AF$460)</f>
        <v>38410.612041009204</v>
      </c>
      <c r="P115" s="18">
        <f>O$115*'Population Treasury'!AH$165*'Statistics NZ'!AH$460/('Population Treasury'!AG$165*'Statistics NZ'!AG$460)</f>
        <v>39610.376904894772</v>
      </c>
      <c r="Q115" s="18">
        <f>P$115*'Population Treasury'!AI$165*'Statistics NZ'!AI$460/('Population Treasury'!AH$165*'Statistics NZ'!AH$460)</f>
        <v>40376.65385329882</v>
      </c>
      <c r="R115" s="18">
        <f>Q$115*'Population Treasury'!AJ$165*'Statistics NZ'!AJ$460/('Population Treasury'!AI$165*'Statistics NZ'!AI$460)</f>
        <v>42040.113124931799</v>
      </c>
      <c r="S115" s="18">
        <f>R$115*'Population Treasury'!AK$165*'Statistics NZ'!AK$460/('Population Treasury'!AJ$165*'Statistics NZ'!AJ$460)</f>
        <v>42796.31652514117</v>
      </c>
    </row>
    <row r="116" spans="1:19" x14ac:dyDescent="0.25">
      <c r="A116" s="12">
        <f>$A$46</f>
        <v>51</v>
      </c>
      <c r="B116" s="28">
        <f>'Population Treasury'!T$166*'Statistics NZ'!T$461*'Economic Forecasts'!V$8/B$7</f>
        <v>29629.983393572344</v>
      </c>
      <c r="C116" s="28">
        <f>'Population Treasury'!U$166*'Statistics NZ'!U$461*'Economic Forecasts'!W$8/C$7</f>
        <v>28607.553741191226</v>
      </c>
      <c r="D116" s="28">
        <f>'Population Treasury'!V$166*'Statistics NZ'!V$461*'Economic Forecasts'!X$8/D$7</f>
        <v>27541.185568612294</v>
      </c>
      <c r="E116" s="28">
        <f>'Population Treasury'!W$166*'Statistics NZ'!W$461*'Economic Forecasts'!Y$8/E$7</f>
        <v>27480.441218772157</v>
      </c>
      <c r="F116" s="28">
        <f>'Population Treasury'!X$166*'Statistics NZ'!X$461*'Economic Forecasts'!Z$8/F$7</f>
        <v>27973.672547997739</v>
      </c>
      <c r="G116" s="28">
        <f>'Population Treasury'!Y$166*'Statistics NZ'!Y$461*'Economic Forecasts'!AA$8/G$7</f>
        <v>27857.36484160801</v>
      </c>
      <c r="H116" s="28">
        <f>'Population Treasury'!Z$166*'Statistics NZ'!Z$461*'Economic Forecasts'!AB$8/H$7</f>
        <v>29187.514747517122</v>
      </c>
      <c r="I116" s="28">
        <f>'Population Treasury'!AA$166*'Statistics NZ'!AA$461*'Economic Forecasts'!AC$8/I$7</f>
        <v>30297.147518587193</v>
      </c>
      <c r="J116" s="18">
        <f>I$116*'Population Treasury'!AB$166*'Statistics NZ'!AB$461/('Population Treasury'!AA$166*'Statistics NZ'!AA$461)</f>
        <v>31266.318796022788</v>
      </c>
      <c r="K116" s="18">
        <f>J$116*'Population Treasury'!AC$166*'Statistics NZ'!AC$461/('Population Treasury'!AB$166*'Statistics NZ'!AB$461)</f>
        <v>32184.499692737718</v>
      </c>
      <c r="L116" s="18">
        <f>K$116*'Population Treasury'!AD$166*'Statistics NZ'!AD$461/('Population Treasury'!AC$166*'Statistics NZ'!AC$461)</f>
        <v>33546.061678537197</v>
      </c>
      <c r="M116" s="18">
        <f>L$116*'Population Treasury'!AE$166*'Statistics NZ'!AE$461/('Population Treasury'!AD$166*'Statistics NZ'!AD$461)</f>
        <v>34523.918719813599</v>
      </c>
      <c r="N116" s="18">
        <f>M$116*'Population Treasury'!AF$166*'Statistics NZ'!AF$461/('Population Treasury'!AE$166*'Statistics NZ'!AE$461)</f>
        <v>35118.834274244073</v>
      </c>
      <c r="O116" s="18">
        <f>N$116*'Population Treasury'!AG$166*'Statistics NZ'!AG$461/('Population Treasury'!AF$166*'Statistics NZ'!AF$461)</f>
        <v>36278.101564868266</v>
      </c>
      <c r="P116" s="18">
        <f>O$116*'Population Treasury'!AH$166*'Statistics NZ'!AH$461/('Population Treasury'!AG$166*'Statistics NZ'!AG$461)</f>
        <v>38274.281790697954</v>
      </c>
      <c r="Q116" s="18">
        <f>P$116*'Population Treasury'!AI$166*'Statistics NZ'!AI$461/('Population Treasury'!AH$166*'Statistics NZ'!AH$461)</f>
        <v>39473.84378395135</v>
      </c>
      <c r="R116" s="18">
        <f>Q$116*'Population Treasury'!AJ$166*'Statistics NZ'!AJ$461/('Population Treasury'!AI$166*'Statistics NZ'!AI$461)</f>
        <v>40240.09720776631</v>
      </c>
      <c r="S116" s="18">
        <f>R$116*'Population Treasury'!AK$166*'Statistics NZ'!AK$461/('Population Treasury'!AJ$166*'Statistics NZ'!AJ$461)</f>
        <v>41903.665766104903</v>
      </c>
    </row>
    <row r="117" spans="1:19" x14ac:dyDescent="0.25">
      <c r="A117" s="12">
        <f>$A$47</f>
        <v>52</v>
      </c>
      <c r="B117" s="28">
        <f>'Population Treasury'!T$167*'Statistics NZ'!T$462*'Economic Forecasts'!V$8/B$7</f>
        <v>30134.702549575075</v>
      </c>
      <c r="C117" s="28">
        <f>'Population Treasury'!U$167*'Statistics NZ'!U$462*'Economic Forecasts'!W$8/C$7</f>
        <v>29048.494408132228</v>
      </c>
      <c r="D117" s="28">
        <f>'Population Treasury'!V$167*'Statistics NZ'!V$462*'Economic Forecasts'!X$8/D$7</f>
        <v>28193.481012651377</v>
      </c>
      <c r="E117" s="28">
        <f>'Population Treasury'!W$167*'Statistics NZ'!W$462*'Economic Forecasts'!Y$8/E$7</f>
        <v>27382.923831706619</v>
      </c>
      <c r="F117" s="28">
        <f>'Population Treasury'!X$167*'Statistics NZ'!X$462*'Economic Forecasts'!Z$8/F$7</f>
        <v>27396.020867273008</v>
      </c>
      <c r="G117" s="28">
        <f>'Population Treasury'!Y$167*'Statistics NZ'!Y$462*'Economic Forecasts'!AA$8/G$7</f>
        <v>27867.174408658222</v>
      </c>
      <c r="H117" s="28">
        <f>'Population Treasury'!Z$167*'Statistics NZ'!Z$462*'Economic Forecasts'!AB$8/H$7</f>
        <v>27741.030299256596</v>
      </c>
      <c r="I117" s="28">
        <f>'Population Treasury'!AA$167*'Statistics NZ'!AA$462*'Economic Forecasts'!AC$8/I$7</f>
        <v>29055.371370225337</v>
      </c>
      <c r="J117" s="18">
        <f>I$117*'Population Treasury'!AB$167*'Statistics NZ'!AB$462/('Population Treasury'!AA$167*'Statistics NZ'!AA$462)</f>
        <v>30145.464850946668</v>
      </c>
      <c r="K117" s="18">
        <f>J$117*'Population Treasury'!AC$167*'Statistics NZ'!AC$462/('Population Treasury'!AB$167*'Statistics NZ'!AB$462)</f>
        <v>31113.919467552481</v>
      </c>
      <c r="L117" s="18">
        <f>K$117*'Population Treasury'!AD$167*'Statistics NZ'!AD$462/('Population Treasury'!AC$167*'Statistics NZ'!AC$462)</f>
        <v>32031.708580655381</v>
      </c>
      <c r="M117" s="18">
        <f>L$117*'Population Treasury'!AE$167*'Statistics NZ'!AE$462/('Population Treasury'!AD$167*'Statistics NZ'!AD$462)</f>
        <v>33402.692818450072</v>
      </c>
      <c r="N117" s="18">
        <f>M$117*'Population Treasury'!AF$167*'Statistics NZ'!AF$462/('Population Treasury'!AE$167*'Statistics NZ'!AE$462)</f>
        <v>34380.510829360624</v>
      </c>
      <c r="O117" s="18">
        <f>N$117*'Population Treasury'!AG$167*'Statistics NZ'!AG$462/('Population Treasury'!AF$167*'Statistics NZ'!AF$462)</f>
        <v>34985.118491419293</v>
      </c>
      <c r="P117" s="18">
        <f>O$117*'Population Treasury'!AH$167*'Statistics NZ'!AH$462/('Population Treasury'!AG$167*'Statistics NZ'!AG$462)</f>
        <v>36134.457209294029</v>
      </c>
      <c r="Q117" s="18">
        <f>P$117*'Population Treasury'!AI$167*'Statistics NZ'!AI$462/('Population Treasury'!AH$167*'Statistics NZ'!AH$462)</f>
        <v>38130.575096918692</v>
      </c>
      <c r="R117" s="18">
        <f>Q$117*'Population Treasury'!AJ$167*'Statistics NZ'!AJ$462/('Population Treasury'!AI$167*'Statistics NZ'!AI$462)</f>
        <v>39330.264118829808</v>
      </c>
      <c r="S117" s="18">
        <f>R$117*'Population Treasury'!AK$167*'Statistics NZ'!AK$462/('Population Treasury'!AJ$167*'Statistics NZ'!AJ$462)</f>
        <v>40106.40961843892</v>
      </c>
    </row>
    <row r="118" spans="1:19" x14ac:dyDescent="0.25">
      <c r="A118" s="12">
        <f>$A$48</f>
        <v>53</v>
      </c>
      <c r="B118" s="28">
        <f>'Population Treasury'!T$168*'Statistics NZ'!T$463*'Economic Forecasts'!V$8/B$7</f>
        <v>30065.427371300189</v>
      </c>
      <c r="C118" s="28">
        <f>'Population Treasury'!U$168*'Statistics NZ'!U$463*'Economic Forecasts'!W$8/C$7</f>
        <v>29548.223487047737</v>
      </c>
      <c r="D118" s="28">
        <f>'Population Treasury'!V$168*'Statistics NZ'!V$463*'Economic Forecasts'!X$8/D$7</f>
        <v>28631.600859119095</v>
      </c>
      <c r="E118" s="28">
        <f>'Population Treasury'!W$168*'Statistics NZ'!W$463*'Economic Forecasts'!Y$8/E$7</f>
        <v>28026.552034954151</v>
      </c>
      <c r="F118" s="28">
        <f>'Population Treasury'!X$168*'Statistics NZ'!X$463*'Economic Forecasts'!Z$8/F$7</f>
        <v>27288.316069691085</v>
      </c>
      <c r="G118" s="28">
        <f>'Population Treasury'!Y$168*'Statistics NZ'!Y$463*'Economic Forecasts'!AA$8/G$7</f>
        <v>27278.059873974453</v>
      </c>
      <c r="H118" s="28">
        <f>'Population Treasury'!Z$168*'Statistics NZ'!Z$463*'Economic Forecasts'!AB$8/H$7</f>
        <v>27741.022708456341</v>
      </c>
      <c r="I118" s="28">
        <f>'Population Treasury'!AA$168*'Statistics NZ'!AA$463*'Economic Forecasts'!AC$8/I$7</f>
        <v>27606.633163377082</v>
      </c>
      <c r="J118" s="18">
        <f>I$118*'Population Treasury'!AB$168*'Statistics NZ'!AB$463/('Population Treasury'!AA$168*'Statistics NZ'!AA$463)</f>
        <v>28908.216120324523</v>
      </c>
      <c r="K118" s="18">
        <f>J$118*'Population Treasury'!AC$168*'Statistics NZ'!AC$463/('Population Treasury'!AB$168*'Statistics NZ'!AB$463)</f>
        <v>30007.856754641831</v>
      </c>
      <c r="L118" s="18">
        <f>K$118*'Population Treasury'!AD$168*'Statistics NZ'!AD$463/('Population Treasury'!AC$168*'Statistics NZ'!AC$463)</f>
        <v>30975.736411218208</v>
      </c>
      <c r="M118" s="18">
        <f>L$118*'Population Treasury'!AE$168*'Statistics NZ'!AE$463/('Population Treasury'!AD$168*'Statistics NZ'!AD$463)</f>
        <v>31902.983867644645</v>
      </c>
      <c r="N118" s="18">
        <f>M$118*'Population Treasury'!AF$168*'Statistics NZ'!AF$463/('Population Treasury'!AE$168*'Statistics NZ'!AE$463)</f>
        <v>33263.854128994259</v>
      </c>
      <c r="O118" s="18">
        <f>N$118*'Population Treasury'!AG$168*'Statistics NZ'!AG$463/('Population Treasury'!AF$168*'Statistics NZ'!AF$463)</f>
        <v>34241.642023185406</v>
      </c>
      <c r="P118" s="18">
        <f>O$118*'Population Treasury'!AH$168*'Statistics NZ'!AH$463/('Population Treasury'!AG$168*'Statistics NZ'!AG$463)</f>
        <v>34846.40868479685</v>
      </c>
      <c r="Q118" s="18">
        <f>P$118*'Population Treasury'!AI$168*'Statistics NZ'!AI$463/('Population Treasury'!AH$168*'Statistics NZ'!AH$463)</f>
        <v>36005.611650455954</v>
      </c>
      <c r="R118" s="18">
        <f>Q$118*'Population Treasury'!AJ$168*'Statistics NZ'!AJ$463/('Population Treasury'!AI$168*'Statistics NZ'!AI$463)</f>
        <v>38001.673420015446</v>
      </c>
      <c r="S118" s="18">
        <f>R$118*'Population Treasury'!AK$168*'Statistics NZ'!AK$463/('Population Treasury'!AJ$168*'Statistics NZ'!AJ$463)</f>
        <v>39201.183389569815</v>
      </c>
    </row>
    <row r="119" spans="1:19" x14ac:dyDescent="0.25">
      <c r="A119" s="12">
        <f>$A$49</f>
        <v>54</v>
      </c>
      <c r="B119" s="28">
        <f>'Population Treasury'!T$169*'Statistics NZ'!T$464*'Economic Forecasts'!V$8/B$7</f>
        <v>28768.991892155904</v>
      </c>
      <c r="C119" s="28">
        <f>'Population Treasury'!U$169*'Statistics NZ'!U$464*'Economic Forecasts'!W$8/C$7</f>
        <v>29518.871888114878</v>
      </c>
      <c r="D119" s="28">
        <f>'Population Treasury'!V$169*'Statistics NZ'!V$464*'Economic Forecasts'!X$8/D$7</f>
        <v>29147.601150559345</v>
      </c>
      <c r="E119" s="28">
        <f>'Population Treasury'!W$169*'Statistics NZ'!W$464*'Economic Forecasts'!Y$8/E$7</f>
        <v>28484.893612148215</v>
      </c>
      <c r="F119" s="28">
        <f>'Population Treasury'!X$169*'Statistics NZ'!X$464*'Economic Forecasts'!Z$8/F$7</f>
        <v>27954.069277297262</v>
      </c>
      <c r="G119" s="28">
        <f>'Population Treasury'!Y$169*'Statistics NZ'!Y$464*'Economic Forecasts'!AA$8/G$7</f>
        <v>27199.504528795023</v>
      </c>
      <c r="H119" s="28">
        <f>'Population Treasury'!Z$169*'Statistics NZ'!Z$464*'Economic Forecasts'!AB$8/H$7</f>
        <v>27180.137335970499</v>
      </c>
      <c r="I119" s="28">
        <f>'Population Treasury'!AA$169*'Statistics NZ'!AA$464*'Economic Forecasts'!AC$8/I$7</f>
        <v>27626.33835308038</v>
      </c>
      <c r="J119" s="18">
        <f>I$119*'Population Treasury'!AB$169*'Statistics NZ'!AB$464/('Population Treasury'!AA$169*'Statistics NZ'!AA$464)</f>
        <v>27445.946757357455</v>
      </c>
      <c r="K119" s="18">
        <f>J$119*'Population Treasury'!AC$169*'Statistics NZ'!AC$464/('Population Treasury'!AB$169*'Statistics NZ'!AB$464)</f>
        <v>28747.19640649643</v>
      </c>
      <c r="L119" s="18">
        <f>K$119*'Population Treasury'!AD$169*'Statistics NZ'!AD$464/('Population Treasury'!AC$169*'Statistics NZ'!AC$464)</f>
        <v>29846.044087475253</v>
      </c>
      <c r="M119" s="18">
        <f>L$119*'Population Treasury'!AE$169*'Statistics NZ'!AE$464/('Population Treasury'!AD$169*'Statistics NZ'!AD$464)</f>
        <v>30813.493613502618</v>
      </c>
      <c r="N119" s="18">
        <f>M$119*'Population Treasury'!AF$169*'Statistics NZ'!AF$464/('Population Treasury'!AE$169*'Statistics NZ'!AE$464)</f>
        <v>31730.815670227203</v>
      </c>
      <c r="O119" s="18">
        <f>N$119*'Population Treasury'!AG$169*'Statistics NZ'!AG$464/('Population Treasury'!AF$169*'Statistics NZ'!AF$464)</f>
        <v>33101.516567113482</v>
      </c>
      <c r="P119" s="18">
        <f>O$119*'Population Treasury'!AH$169*'Statistics NZ'!AH$464/('Population Treasury'!AG$169*'Statistics NZ'!AG$464)</f>
        <v>34079.437451681442</v>
      </c>
      <c r="Q119" s="18">
        <f>P$119*'Population Treasury'!AI$169*'Statistics NZ'!AI$464/('Population Treasury'!AH$169*'Statistics NZ'!AH$464)</f>
        <v>34684.012726076529</v>
      </c>
      <c r="R119" s="18">
        <f>Q$119*'Population Treasury'!AJ$169*'Statistics NZ'!AJ$464/('Population Treasury'!AI$169*'Statistics NZ'!AI$464)</f>
        <v>35843.176096639741</v>
      </c>
      <c r="S119" s="18">
        <f>R$119*'Population Treasury'!AK$169*'Statistics NZ'!AK$464/('Population Treasury'!AJ$169*'Statistics NZ'!AJ$464)</f>
        <v>37829.260172165203</v>
      </c>
    </row>
    <row r="120" spans="1:19" x14ac:dyDescent="0.25">
      <c r="A120" s="12">
        <f>$A$50</f>
        <v>55</v>
      </c>
      <c r="B120" s="28">
        <f>'Population Treasury'!T$170*'Statistics NZ'!T$465*'Economic Forecasts'!V$8/B$7</f>
        <v>28551.269903291985</v>
      </c>
      <c r="C120" s="28">
        <f>'Population Treasury'!U$170*'Statistics NZ'!U$465*'Economic Forecasts'!W$8/C$7</f>
        <v>28273.436461226614</v>
      </c>
      <c r="D120" s="28">
        <f>'Population Treasury'!V$170*'Statistics NZ'!V$465*'Economic Forecasts'!X$8/D$7</f>
        <v>29146.644194344441</v>
      </c>
      <c r="E120" s="28">
        <f>'Population Treasury'!W$170*'Statistics NZ'!W$465*'Economic Forecasts'!Y$8/E$7</f>
        <v>29021.202569995665</v>
      </c>
      <c r="F120" s="28">
        <f>'Population Treasury'!X$170*'Statistics NZ'!X$465*'Economic Forecasts'!Z$8/F$7</f>
        <v>28434.010345524763</v>
      </c>
      <c r="G120" s="28">
        <f>'Population Treasury'!Y$170*'Statistics NZ'!Y$465*'Economic Forecasts'!AA$8/G$7</f>
        <v>27877.233069833077</v>
      </c>
      <c r="H120" s="28">
        <f>'Population Treasury'!Z$170*'Statistics NZ'!Z$465*'Economic Forecasts'!AB$8/H$7</f>
        <v>27101.635388740429</v>
      </c>
      <c r="I120" s="28">
        <f>'Population Treasury'!AA$170*'Statistics NZ'!AA$465*'Economic Forecasts'!AC$8/I$7</f>
        <v>27064.780568770238</v>
      </c>
      <c r="J120" s="18">
        <f>I$120*'Population Treasury'!AB$170*'Statistics NZ'!AB$465/('Population Treasury'!AA$170*'Statistics NZ'!AA$465)</f>
        <v>27479.5160037551</v>
      </c>
      <c r="K120" s="18">
        <f>J$120*'Population Treasury'!AC$170*'Statistics NZ'!AC$465/('Population Treasury'!AB$170*'Statistics NZ'!AB$465)</f>
        <v>27308.637299026635</v>
      </c>
      <c r="L120" s="18">
        <f>K$120*'Population Treasury'!AD$170*'Statistics NZ'!AD$465/('Population Treasury'!AC$170*'Statistics NZ'!AC$465)</f>
        <v>28599.254153244299</v>
      </c>
      <c r="M120" s="18">
        <f>L$120*'Population Treasury'!AE$170*'Statistics NZ'!AE$465/('Population Treasury'!AD$170*'Statistics NZ'!AD$465)</f>
        <v>29697.855529940665</v>
      </c>
      <c r="N120" s="18">
        <f>M$120*'Population Treasury'!AF$170*'Statistics NZ'!AF$465/('Population Treasury'!AE$170*'Statistics NZ'!AE$465)</f>
        <v>30655.375379943322</v>
      </c>
      <c r="O120" s="18">
        <f>N$120*'Population Treasury'!AG$170*'Statistics NZ'!AG$465/('Population Treasury'!AF$170*'Statistics NZ'!AF$465)</f>
        <v>31572.645285154264</v>
      </c>
      <c r="P120" s="18">
        <f>O$120*'Population Treasury'!AH$170*'Statistics NZ'!AH$465/('Population Treasury'!AG$170*'Statistics NZ'!AG$465)</f>
        <v>32933.382433960724</v>
      </c>
      <c r="Q120" s="18">
        <f>P$120*'Population Treasury'!AI$170*'Statistics NZ'!AI$465/('Population Treasury'!AH$170*'Statistics NZ'!AH$465)</f>
        <v>33911.081586160028</v>
      </c>
      <c r="R120" s="18">
        <f>Q$120*'Population Treasury'!AJ$170*'Statistics NZ'!AJ$465/('Population Treasury'!AI$170*'Statistics NZ'!AI$465)</f>
        <v>34515.796616114887</v>
      </c>
      <c r="S120" s="18">
        <f>R$120*'Population Treasury'!AK$170*'Statistics NZ'!AK$465/('Population Treasury'!AJ$170*'Statistics NZ'!AJ$465)</f>
        <v>35664.836374945342</v>
      </c>
    </row>
    <row r="121" spans="1:19" x14ac:dyDescent="0.25">
      <c r="A121" s="12">
        <f>$A$51</f>
        <v>56</v>
      </c>
      <c r="B121" s="28">
        <f>'Population Treasury'!T$171*'Statistics NZ'!T$466*'Economic Forecasts'!V$8/B$7</f>
        <v>27729.864218032628</v>
      </c>
      <c r="C121" s="28">
        <f>'Population Treasury'!U$171*'Statistics NZ'!U$466*'Economic Forecasts'!W$8/C$7</f>
        <v>28087.309000941412</v>
      </c>
      <c r="D121" s="28">
        <f>'Population Treasury'!V$171*'Statistics NZ'!V$466*'Economic Forecasts'!X$8/D$7</f>
        <v>27939.511203726266</v>
      </c>
      <c r="E121" s="28">
        <f>'Population Treasury'!W$171*'Statistics NZ'!W$466*'Economic Forecasts'!Y$8/E$7</f>
        <v>29050.459316963006</v>
      </c>
      <c r="F121" s="28">
        <f>'Population Treasury'!X$171*'Statistics NZ'!X$466*'Economic Forecasts'!Z$8/F$7</f>
        <v>28992.068294516233</v>
      </c>
      <c r="G121" s="28">
        <f>'Population Treasury'!Y$171*'Statistics NZ'!Y$466*'Economic Forecasts'!AA$8/G$7</f>
        <v>28368.146318189356</v>
      </c>
      <c r="H121" s="28">
        <f>'Population Treasury'!Z$171*'Statistics NZ'!Z$466*'Economic Forecasts'!AB$8/H$7</f>
        <v>27790.42798049689</v>
      </c>
      <c r="I121" s="28">
        <f>'Population Treasury'!AA$171*'Statistics NZ'!AA$466*'Economic Forecasts'!AC$8/I$7</f>
        <v>26995.786669016801</v>
      </c>
      <c r="J121" s="18">
        <f>I$121*'Population Treasury'!AB$171*'Statistics NZ'!AB$466/('Population Treasury'!AA$171*'Statistics NZ'!AA$466)</f>
        <v>26926.25042047193</v>
      </c>
      <c r="K121" s="18">
        <f>J$121*'Population Treasury'!AC$171*'Statistics NZ'!AC$466/('Population Treasury'!AB$171*'Statistics NZ'!AB$466)</f>
        <v>27340.452935504476</v>
      </c>
      <c r="L121" s="18">
        <f>K$121*'Population Treasury'!AD$171*'Statistics NZ'!AD$466/('Population Treasury'!AC$171*'Statistics NZ'!AC$466)</f>
        <v>27159.130846124146</v>
      </c>
      <c r="M121" s="18">
        <f>L$121*'Population Treasury'!AE$171*'Statistics NZ'!AE$466/('Population Treasury'!AD$171*'Statistics NZ'!AD$466)</f>
        <v>28449.247586696973</v>
      </c>
      <c r="N121" s="18">
        <f>M$121*'Population Treasury'!AF$171*'Statistics NZ'!AF$466/('Population Treasury'!AE$171*'Statistics NZ'!AE$466)</f>
        <v>29528.038085269916</v>
      </c>
      <c r="O121" s="18">
        <f>N$121*'Population Treasury'!AG$171*'Statistics NZ'!AG$466/('Population Treasury'!AF$171*'Statistics NZ'!AF$466)</f>
        <v>30485.496850594373</v>
      </c>
      <c r="P121" s="18">
        <f>O$121*'Population Treasury'!AH$171*'Statistics NZ'!AH$466/('Population Treasury'!AG$171*'Statistics NZ'!AG$466)</f>
        <v>31402.711645711533</v>
      </c>
      <c r="Q121" s="18">
        <f>P$121*'Population Treasury'!AI$171*'Statistics NZ'!AI$466/('Population Treasury'!AH$171*'Statistics NZ'!AH$466)</f>
        <v>32743.410923959458</v>
      </c>
      <c r="R121" s="18">
        <f>Q$121*'Population Treasury'!AJ$171*'Statistics NZ'!AJ$466/('Population Treasury'!AI$171*'Statistics NZ'!AI$466)</f>
        <v>33721.053289595795</v>
      </c>
      <c r="S121" s="18">
        <f>R$121*'Population Treasury'!AK$171*'Statistics NZ'!AK$466/('Population Treasury'!AJ$171*'Statistics NZ'!AJ$466)</f>
        <v>34315.831218028856</v>
      </c>
    </row>
    <row r="122" spans="1:19" x14ac:dyDescent="0.25">
      <c r="A122" s="12">
        <f>$A$52</f>
        <v>57</v>
      </c>
      <c r="B122" s="28">
        <f>'Population Treasury'!T$172*'Statistics NZ'!T$467*'Economic Forecasts'!V$8/B$7</f>
        <v>26918.354986812548</v>
      </c>
      <c r="C122" s="28">
        <f>'Population Treasury'!U$172*'Statistics NZ'!U$467*'Economic Forecasts'!W$8/C$7</f>
        <v>27215.383901846166</v>
      </c>
      <c r="D122" s="28">
        <f>'Population Treasury'!V$172*'Statistics NZ'!V$467*'Economic Forecasts'!X$8/D$7</f>
        <v>27696.179011966648</v>
      </c>
      <c r="E122" s="28">
        <f>'Population Treasury'!W$172*'Statistics NZ'!W$467*'Economic Forecasts'!Y$8/E$7</f>
        <v>27782.713060095342</v>
      </c>
      <c r="F122" s="28">
        <f>'Population Treasury'!X$172*'Statistics NZ'!X$467*'Economic Forecasts'!Z$8/F$7</f>
        <v>28943.105215641601</v>
      </c>
      <c r="G122" s="28">
        <f>'Population Treasury'!Y$172*'Statistics NZ'!Y$467*'Economic Forecasts'!AA$8/G$7</f>
        <v>28849.235525385924</v>
      </c>
      <c r="H122" s="28">
        <f>'Population Treasury'!Z$172*'Statistics NZ'!Z$467*'Economic Forecasts'!AB$8/H$7</f>
        <v>28213.535724894991</v>
      </c>
      <c r="I122" s="28">
        <f>'Population Treasury'!AA$172*'Statistics NZ'!AA$467*'Economic Forecasts'!AC$8/I$7</f>
        <v>27626.516485192569</v>
      </c>
      <c r="J122" s="18">
        <f>I$122*'Population Treasury'!AB$172*'Statistics NZ'!AB$467/('Population Treasury'!AA$172*'Statistics NZ'!AA$467)</f>
        <v>26780.812402561955</v>
      </c>
      <c r="K122" s="18">
        <f>J$122*'Population Treasury'!AC$172*'Statistics NZ'!AC$467/('Population Treasury'!AB$172*'Statistics NZ'!AB$467)</f>
        <v>26701.122748704445</v>
      </c>
      <c r="L122" s="18">
        <f>K$122*'Population Treasury'!AD$172*'Statistics NZ'!AD$467/('Population Treasury'!AC$172*'Statistics NZ'!AC$467)</f>
        <v>27114.468202679236</v>
      </c>
      <c r="M122" s="18">
        <f>L$122*'Population Treasury'!AE$172*'Statistics NZ'!AE$467/('Population Treasury'!AD$172*'Statistics NZ'!AD$467)</f>
        <v>26942.79799408554</v>
      </c>
      <c r="N122" s="18">
        <f>M$122*'Population Treasury'!AF$172*'Statistics NZ'!AF$467/('Population Treasury'!AE$172*'Statistics NZ'!AE$467)</f>
        <v>28213.04312908736</v>
      </c>
      <c r="O122" s="18">
        <f>N$122*'Population Treasury'!AG$172*'Statistics NZ'!AG$467/('Population Treasury'!AF$172*'Statistics NZ'!AF$467)</f>
        <v>29281.648165281418</v>
      </c>
      <c r="P122" s="18">
        <f>O$122*'Population Treasury'!AH$172*'Statistics NZ'!AH$467/('Population Treasury'!AG$172*'Statistics NZ'!AG$467)</f>
        <v>30229.120112862278</v>
      </c>
      <c r="Q122" s="18">
        <f>P$122*'Population Treasury'!AI$172*'Statistics NZ'!AI$467/('Population Treasury'!AH$172*'Statistics NZ'!AH$467)</f>
        <v>31136.348651828474</v>
      </c>
      <c r="R122" s="18">
        <f>Q$122*'Population Treasury'!AJ$172*'Statistics NZ'!AJ$467/('Population Treasury'!AI$172*'Statistics NZ'!AI$467)</f>
        <v>32477.075872507801</v>
      </c>
      <c r="S122" s="18">
        <f>R$122*'Population Treasury'!AK$172*'Statistics NZ'!AK$467/('Population Treasury'!AJ$172*'Statistics NZ'!AJ$467)</f>
        <v>33434.818939241981</v>
      </c>
    </row>
    <row r="123" spans="1:19" x14ac:dyDescent="0.25">
      <c r="A123" s="12">
        <f>$A$53</f>
        <v>58</v>
      </c>
      <c r="B123" s="28">
        <f>'Population Treasury'!T$173*'Statistics NZ'!T$468*'Economic Forecasts'!V$8/B$7</f>
        <v>26532.393279281041</v>
      </c>
      <c r="C123" s="28">
        <f>'Population Treasury'!U$173*'Statistics NZ'!U$468*'Economic Forecasts'!W$8/C$7</f>
        <v>26265.141156588776</v>
      </c>
      <c r="D123" s="28">
        <f>'Population Treasury'!V$173*'Statistics NZ'!V$468*'Economic Forecasts'!X$8/D$7</f>
        <v>26683.82809976516</v>
      </c>
      <c r="E123" s="28">
        <f>'Population Treasury'!W$173*'Statistics NZ'!W$468*'Economic Forecasts'!Y$8/E$7</f>
        <v>27382.889641420246</v>
      </c>
      <c r="F123" s="28">
        <f>'Population Treasury'!X$173*'Statistics NZ'!X$468*'Economic Forecasts'!Z$8/F$7</f>
        <v>27533.238094139244</v>
      </c>
      <c r="G123" s="28">
        <f>'Population Treasury'!Y$173*'Statistics NZ'!Y$468*'Economic Forecasts'!AA$8/G$7</f>
        <v>28652.839542203568</v>
      </c>
      <c r="H123" s="28">
        <f>'Population Treasury'!Z$173*'Statistics NZ'!Z$468*'Economic Forecasts'!AB$8/H$7</f>
        <v>28548.071336562356</v>
      </c>
      <c r="I123" s="28">
        <f>'Population Treasury'!AA$173*'Statistics NZ'!AA$468*'Economic Forecasts'!AC$8/I$7</f>
        <v>27902.444440034917</v>
      </c>
      <c r="J123" s="18">
        <f>I$123*'Population Treasury'!AB$173*'Statistics NZ'!AB$468/('Population Treasury'!AA$173*'Statistics NZ'!AA$468)</f>
        <v>27268.578542359224</v>
      </c>
      <c r="K123" s="18">
        <f>J$123*'Population Treasury'!AC$173*'Statistics NZ'!AC$468/('Population Treasury'!AB$173*'Statistics NZ'!AB$468)</f>
        <v>26442.456953419809</v>
      </c>
      <c r="L123" s="18">
        <f>K$123*'Population Treasury'!AD$173*'Statistics NZ'!AD$468/('Population Treasury'!AC$173*'Statistics NZ'!AC$468)</f>
        <v>26372.036858827767</v>
      </c>
      <c r="M123" s="18">
        <f>L$123*'Population Treasury'!AE$173*'Statistics NZ'!AE$468/('Population Treasury'!AD$173*'Statistics NZ'!AD$468)</f>
        <v>26775.017751225532</v>
      </c>
      <c r="N123" s="18">
        <f>M$123*'Population Treasury'!AF$173*'Statistics NZ'!AF$468/('Population Treasury'!AE$173*'Statistics NZ'!AE$468)</f>
        <v>26603.595639263702</v>
      </c>
      <c r="O123" s="18">
        <f>N$123*'Population Treasury'!AG$173*'Statistics NZ'!AG$468/('Population Treasury'!AF$173*'Statistics NZ'!AF$468)</f>
        <v>27863.696906254725</v>
      </c>
      <c r="P123" s="18">
        <f>O$123*'Population Treasury'!AH$173*'Statistics NZ'!AH$468/('Population Treasury'!AG$173*'Statistics NZ'!AG$468)</f>
        <v>28932.070630465802</v>
      </c>
      <c r="Q123" s="18">
        <f>P$123*'Population Treasury'!AI$173*'Statistics NZ'!AI$468/('Population Treasury'!AH$173*'Statistics NZ'!AH$468)</f>
        <v>29859.606856954022</v>
      </c>
      <c r="R123" s="18">
        <f>Q$123*'Population Treasury'!AJ$173*'Statistics NZ'!AJ$468/('Population Treasury'!AI$173*'Statistics NZ'!AI$468)</f>
        <v>30756.587502010752</v>
      </c>
      <c r="S123" s="18">
        <f>R$123*'Population Treasury'!AK$173*'Statistics NZ'!AK$468/('Population Treasury'!AJ$173*'Statistics NZ'!AJ$468)</f>
        <v>32077.287648409401</v>
      </c>
    </row>
    <row r="124" spans="1:19" x14ac:dyDescent="0.25">
      <c r="A124" s="12">
        <f>$A$54</f>
        <v>59</v>
      </c>
      <c r="B124" s="28">
        <f>'Population Treasury'!T$174*'Statistics NZ'!T$469*'Economic Forecasts'!V$8/B$7</f>
        <v>26186.017387906621</v>
      </c>
      <c r="C124" s="28">
        <f>'Population Treasury'!U$174*'Statistics NZ'!U$469*'Economic Forecasts'!W$8/C$7</f>
        <v>25638.338635125485</v>
      </c>
      <c r="D124" s="28">
        <f>'Population Treasury'!V$174*'Statistics NZ'!V$469*'Economic Forecasts'!X$8/D$7</f>
        <v>25515.803249074983</v>
      </c>
      <c r="E124" s="28">
        <f>'Population Treasury'!W$174*'Statistics NZ'!W$469*'Economic Forecasts'!Y$8/E$7</f>
        <v>26154.157838862211</v>
      </c>
      <c r="F124" s="28">
        <f>'Population Treasury'!X$174*'Statistics NZ'!X$469*'Economic Forecasts'!Z$8/F$7</f>
        <v>26916.392450179545</v>
      </c>
      <c r="G124" s="28">
        <f>'Population Treasury'!Y$174*'Statistics NZ'!Y$469*'Economic Forecasts'!AA$8/G$7</f>
        <v>27052.387838684135</v>
      </c>
      <c r="H124" s="28">
        <f>'Population Treasury'!Z$174*'Statistics NZ'!Z$469*'Economic Forecasts'!AB$8/H$7</f>
        <v>28144.592187890295</v>
      </c>
      <c r="I124" s="28">
        <f>'Population Treasury'!AA$174*'Statistics NZ'!AA$469*'Economic Forecasts'!AC$8/I$7</f>
        <v>28050.240545802026</v>
      </c>
      <c r="J124" s="18">
        <f>I$124*'Population Treasury'!AB$174*'Statistics NZ'!AB$469/('Population Treasury'!AA$174*'Statistics NZ'!AA$469)</f>
        <v>27375.759860065398</v>
      </c>
      <c r="K124" s="18">
        <f>J$124*'Population Treasury'!AC$174*'Statistics NZ'!AC$469/('Population Treasury'!AB$174*'Statistics NZ'!AB$469)</f>
        <v>26761.305397986114</v>
      </c>
      <c r="L124" s="18">
        <f>K$124*'Population Treasury'!AD$174*'Statistics NZ'!AD$469/('Population Treasury'!AC$174*'Statistics NZ'!AC$469)</f>
        <v>25964.848012609866</v>
      </c>
      <c r="M124" s="18">
        <f>L$124*'Population Treasury'!AE$174*'Statistics NZ'!AE$469/('Population Treasury'!AD$174*'Statistics NZ'!AD$469)</f>
        <v>25903.874092855905</v>
      </c>
      <c r="N124" s="18">
        <f>M$124*'Population Treasury'!AF$174*'Statistics NZ'!AF$469/('Population Treasury'!AE$174*'Statistics NZ'!AE$469)</f>
        <v>26306.919733533046</v>
      </c>
      <c r="O124" s="18">
        <f>N$124*'Population Treasury'!AG$174*'Statistics NZ'!AG$469/('Population Treasury'!AF$174*'Statistics NZ'!AF$469)</f>
        <v>26155.240553382511</v>
      </c>
      <c r="P124" s="18">
        <f>O$124*'Population Treasury'!AH$174*'Statistics NZ'!AH$469/('Population Treasury'!AG$174*'Statistics NZ'!AG$469)</f>
        <v>27404.86162041752</v>
      </c>
      <c r="Q124" s="18">
        <f>P$124*'Population Treasury'!AI$174*'Statistics NZ'!AI$469/('Population Treasury'!AH$174*'Statistics NZ'!AH$469)</f>
        <v>28453.182845706968</v>
      </c>
      <c r="R124" s="18">
        <f>Q$124*'Population Treasury'!AJ$174*'Statistics NZ'!AJ$469/('Population Treasury'!AI$174*'Statistics NZ'!AI$469)</f>
        <v>29380.436787756087</v>
      </c>
      <c r="S124" s="18">
        <f>R$124*'Population Treasury'!AK$174*'Statistics NZ'!AK$469/('Population Treasury'!AJ$174*'Statistics NZ'!AJ$469)</f>
        <v>30267.471945412653</v>
      </c>
    </row>
    <row r="125" spans="1:19" x14ac:dyDescent="0.25">
      <c r="A125" s="12">
        <f>$A$55</f>
        <v>60</v>
      </c>
      <c r="B125" s="28">
        <f>'Population Treasury'!T$175*'Statistics NZ'!T$470*'Economic Forecasts'!V$8/B$7</f>
        <v>25968.295399042694</v>
      </c>
      <c r="C125" s="28">
        <f>'Population Treasury'!U$175*'Statistics NZ'!U$470*'Economic Forecasts'!W$8/C$7</f>
        <v>25128.471838915018</v>
      </c>
      <c r="D125" s="28">
        <f>'Population Treasury'!V$175*'Statistics NZ'!V$470*'Economic Forecasts'!X$8/D$7</f>
        <v>24739.783438740371</v>
      </c>
      <c r="E125" s="28">
        <f>'Population Treasury'!W$175*'Statistics NZ'!W$470*'Economic Forecasts'!Y$8/E$7</f>
        <v>24866.095093268614</v>
      </c>
      <c r="F125" s="28">
        <f>'Population Treasury'!X$175*'Statistics NZ'!X$470*'Economic Forecasts'!Z$8/F$7</f>
        <v>25578.615167273361</v>
      </c>
      <c r="G125" s="28">
        <f>'Population Treasury'!Y$175*'Statistics NZ'!Y$470*'Economic Forecasts'!AA$8/G$7</f>
        <v>26310.693883839205</v>
      </c>
      <c r="H125" s="28">
        <f>'Population Treasury'!Z$175*'Statistics NZ'!Z$470*'Economic Forecasts'!AB$8/H$7</f>
        <v>26446.114942593991</v>
      </c>
      <c r="I125" s="28">
        <f>'Population Treasury'!AA$175*'Statistics NZ'!AA$470*'Economic Forecasts'!AC$8/I$7</f>
        <v>27521.494254408652</v>
      </c>
      <c r="J125" s="18">
        <f>I$125*'Population Treasury'!AB$175*'Statistics NZ'!AB$470/('Population Treasury'!AA$175*'Statistics NZ'!AA$470)</f>
        <v>27403.521983936374</v>
      </c>
      <c r="K125" s="18">
        <f>J$125*'Population Treasury'!AC$175*'Statistics NZ'!AC$470/('Population Treasury'!AB$175*'Statistics NZ'!AB$470)</f>
        <v>26760.134778604504</v>
      </c>
      <c r="L125" s="18">
        <f>K$125*'Population Treasury'!AD$175*'Statistics NZ'!AD$470/('Population Treasury'!AC$175*'Statistics NZ'!AC$470)</f>
        <v>26185.709642310412</v>
      </c>
      <c r="M125" s="18">
        <f>L$125*'Population Treasury'!AE$175*'Statistics NZ'!AE$470/('Population Treasury'!AD$175*'Statistics NZ'!AD$470)</f>
        <v>25418.74675241865</v>
      </c>
      <c r="N125" s="18">
        <f>M$125*'Population Treasury'!AF$175*'Statistics NZ'!AF$470/('Population Treasury'!AE$175*'Statistics NZ'!AE$470)</f>
        <v>25377.703797834576</v>
      </c>
      <c r="O125" s="18">
        <f>N$125*'Population Treasury'!AG$175*'Statistics NZ'!AG$470/('Population Treasury'!AF$175*'Statistics NZ'!AF$470)</f>
        <v>25780.579013594357</v>
      </c>
      <c r="P125" s="18">
        <f>O$125*'Population Treasury'!AH$175*'Statistics NZ'!AH$470/('Population Treasury'!AG$175*'Statistics NZ'!AG$470)</f>
        <v>25648.661580106473</v>
      </c>
      <c r="Q125" s="18">
        <f>P$125*'Population Treasury'!AI$175*'Statistics NZ'!AI$470/('Population Treasury'!AH$175*'Statistics NZ'!AH$470)</f>
        <v>26878.291034074256</v>
      </c>
      <c r="R125" s="18">
        <f>Q$125*'Population Treasury'!AJ$175*'Statistics NZ'!AJ$470/('Population Treasury'!AI$175*'Statistics NZ'!AI$470)</f>
        <v>27916.153381291275</v>
      </c>
      <c r="S125" s="18">
        <f>R$125*'Population Treasury'!AK$175*'Statistics NZ'!AK$470/('Population Treasury'!AJ$175*'Statistics NZ'!AJ$470)</f>
        <v>28843.074574748563</v>
      </c>
    </row>
    <row r="126" spans="1:19" x14ac:dyDescent="0.25">
      <c r="A126" s="12">
        <f>$A$56</f>
        <v>61</v>
      </c>
      <c r="B126" s="28">
        <f>'Population Treasury'!T$176*'Statistics NZ'!T$471*'Economic Forecasts'!V$8/B$7</f>
        <v>25483.369151118495</v>
      </c>
      <c r="C126" s="28">
        <f>'Population Treasury'!U$176*'Statistics NZ'!U$471*'Economic Forecasts'!W$8/C$7</f>
        <v>24972.515235688272</v>
      </c>
      <c r="D126" s="28">
        <f>'Population Treasury'!V$176*'Statistics NZ'!V$471*'Economic Forecasts'!X$8/D$7</f>
        <v>24312.085269197021</v>
      </c>
      <c r="E126" s="28">
        <f>'Population Treasury'!W$176*'Statistics NZ'!W$471*'Economic Forecasts'!Y$8/E$7</f>
        <v>24173.739932062399</v>
      </c>
      <c r="F126" s="28">
        <f>'Population Treasury'!X$176*'Statistics NZ'!X$471*'Economic Forecasts'!Z$8/F$7</f>
        <v>24354.660509179594</v>
      </c>
      <c r="G126" s="28">
        <f>'Population Treasury'!Y$176*'Statistics NZ'!Y$471*'Economic Forecasts'!AA$8/G$7</f>
        <v>25024.317498770364</v>
      </c>
      <c r="H126" s="28">
        <f>'Population Treasury'!Z$176*'Statistics NZ'!Z$471*'Economic Forecasts'!AB$8/H$7</f>
        <v>25747.342202950564</v>
      </c>
      <c r="I126" s="28">
        <f>'Population Treasury'!AA$176*'Statistics NZ'!AA$471*'Economic Forecasts'!AC$8/I$7</f>
        <v>25875.536463930413</v>
      </c>
      <c r="J126" s="18">
        <f>I$126*'Population Treasury'!AB$176*'Statistics NZ'!AB$471/('Population Treasury'!AA$176*'Statistics NZ'!AA$471)</f>
        <v>26916.84705991151</v>
      </c>
      <c r="K126" s="18">
        <f>J$126*'Population Treasury'!AC$176*'Statistics NZ'!AC$471/('Population Treasury'!AB$176*'Statistics NZ'!AB$471)</f>
        <v>26807.464153264653</v>
      </c>
      <c r="L126" s="18">
        <f>K$126*'Population Treasury'!AD$176*'Statistics NZ'!AD$471/('Population Treasury'!AC$176*'Statistics NZ'!AC$471)</f>
        <v>26192.781795659968</v>
      </c>
      <c r="M126" s="18">
        <f>L$126*'Population Treasury'!AE$176*'Statistics NZ'!AE$471/('Population Treasury'!AD$176*'Statistics NZ'!AD$471)</f>
        <v>25637.450499490169</v>
      </c>
      <c r="N126" s="18">
        <f>M$126*'Population Treasury'!AF$176*'Statistics NZ'!AF$471/('Population Treasury'!AE$176*'Statistics NZ'!AE$471)</f>
        <v>24900.627859067434</v>
      </c>
      <c r="O126" s="18">
        <f>N$126*'Population Treasury'!AG$176*'Statistics NZ'!AG$471/('Population Treasury'!AF$176*'Statistics NZ'!AF$471)</f>
        <v>24869.493146375895</v>
      </c>
      <c r="P126" s="18">
        <f>O$126*'Population Treasury'!AH$176*'Statistics NZ'!AH$471/('Population Treasury'!AG$176*'Statistics NZ'!AG$471)</f>
        <v>25282.066903618805</v>
      </c>
      <c r="Q126" s="18">
        <f>P$126*'Population Treasury'!AI$176*'Statistics NZ'!AI$471/('Population Treasury'!AH$176*'Statistics NZ'!AH$471)</f>
        <v>25150.450327153027</v>
      </c>
      <c r="R126" s="18">
        <f>Q$126*'Population Treasury'!AJ$176*'Statistics NZ'!AJ$471/('Population Treasury'!AI$176*'Statistics NZ'!AI$471)</f>
        <v>26359.487841569677</v>
      </c>
      <c r="S126" s="18">
        <f>R$126*'Population Treasury'!AK$176*'Statistics NZ'!AK$471/('Population Treasury'!AJ$176*'Statistics NZ'!AJ$471)</f>
        <v>27387.294686255198</v>
      </c>
    </row>
    <row r="127" spans="1:19" x14ac:dyDescent="0.25">
      <c r="A127" s="12">
        <f>$A$57</f>
        <v>62</v>
      </c>
      <c r="B127" s="28">
        <f>'Population Treasury'!T$177*'Statistics NZ'!T$472*'Economic Forecasts'!V$8/B$7</f>
        <v>24602.584741623526</v>
      </c>
      <c r="C127" s="28">
        <f>'Population Treasury'!U$177*'Statistics NZ'!U$472*'Economic Forecasts'!W$8/C$7</f>
        <v>24561.732569403935</v>
      </c>
      <c r="D127" s="28">
        <f>'Population Treasury'!V$177*'Statistics NZ'!V$472*'Economic Forecasts'!X$8/D$7</f>
        <v>24205.600682920885</v>
      </c>
      <c r="E127" s="28">
        <f>'Population Treasury'!W$177*'Statistics NZ'!W$472*'Economic Forecasts'!Y$8/E$7</f>
        <v>23783.692310255105</v>
      </c>
      <c r="F127" s="28">
        <f>'Population Treasury'!X$177*'Statistics NZ'!X$472*'Economic Forecasts'!Z$8/F$7</f>
        <v>23698.567258848478</v>
      </c>
      <c r="G127" s="28">
        <f>'Population Treasury'!Y$177*'Statistics NZ'!Y$472*'Economic Forecasts'!AA$8/G$7</f>
        <v>23845.949350945164</v>
      </c>
      <c r="H127" s="28">
        <f>'Population Treasury'!Z$177*'Statistics NZ'!Z$472*'Economic Forecasts'!AB$8/H$7</f>
        <v>24497.529340170538</v>
      </c>
      <c r="I127" s="28">
        <f>'Population Treasury'!AA$177*'Statistics NZ'!AA$472*'Economic Forecasts'!AC$8/I$7</f>
        <v>25185.545635506154</v>
      </c>
      <c r="J127" s="18">
        <f>I$127*'Population Treasury'!AB$177*'Statistics NZ'!AB$472/('Population Treasury'!AA$177*'Statistics NZ'!AA$472)</f>
        <v>25279.031128173989</v>
      </c>
      <c r="K127" s="18">
        <f>J$127*'Population Treasury'!AC$177*'Statistics NZ'!AC$472/('Population Treasury'!AB$177*'Statistics NZ'!AB$472)</f>
        <v>26308.692786613556</v>
      </c>
      <c r="L127" s="18">
        <f>K$127*'Population Treasury'!AD$177*'Statistics NZ'!AD$472/('Population Treasury'!AC$177*'Statistics NZ'!AC$472)</f>
        <v>26198.013016596393</v>
      </c>
      <c r="M127" s="18">
        <f>L$127*'Population Treasury'!AE$177*'Statistics NZ'!AE$472/('Population Treasury'!AD$177*'Statistics NZ'!AD$472)</f>
        <v>25612.115168366072</v>
      </c>
      <c r="N127" s="18">
        <f>M$127*'Population Treasury'!AF$177*'Statistics NZ'!AF$472/('Population Treasury'!AE$177*'Statistics NZ'!AE$472)</f>
        <v>25076.947259565844</v>
      </c>
      <c r="O127" s="18">
        <f>N$127*'Population Treasury'!AG$177*'Statistics NZ'!AG$472/('Population Treasury'!AF$177*'Statistics NZ'!AF$472)</f>
        <v>24360.369761443941</v>
      </c>
      <c r="P127" s="18">
        <f>O$127*'Population Treasury'!AH$177*'Statistics NZ'!AH$472/('Population Treasury'!AG$177*'Statistics NZ'!AG$472)</f>
        <v>24329.268643851741</v>
      </c>
      <c r="Q127" s="18">
        <f>P$127*'Population Treasury'!AI$177*'Statistics NZ'!AI$472/('Population Treasury'!AH$177*'Statistics NZ'!AH$472)</f>
        <v>24731.821119525262</v>
      </c>
      <c r="R127" s="18">
        <f>Q$127*'Population Treasury'!AJ$177*'Statistics NZ'!AJ$472/('Population Treasury'!AI$177*'Statistics NZ'!AI$472)</f>
        <v>24610.321167632213</v>
      </c>
      <c r="S127" s="18">
        <f>R$127*'Population Treasury'!AK$177*'Statistics NZ'!AK$472/('Population Treasury'!AJ$177*'Statistics NZ'!AJ$472)</f>
        <v>25789.26558453797</v>
      </c>
    </row>
    <row r="128" spans="1:19" x14ac:dyDescent="0.25">
      <c r="A128" s="12">
        <f>$A$58</f>
        <v>63</v>
      </c>
      <c r="B128" s="28">
        <f>'Population Treasury'!T$178*'Statistics NZ'!T$473*'Economic Forecasts'!V$8/B$7</f>
        <v>23197.288268047283</v>
      </c>
      <c r="C128" s="28">
        <f>'Population Treasury'!U$178*'Statistics NZ'!U$473*'Economic Forecasts'!W$8/C$7</f>
        <v>23494.775987042045</v>
      </c>
      <c r="D128" s="28">
        <f>'Population Treasury'!V$178*'Statistics NZ'!V$473*'Economic Forecasts'!X$8/D$7</f>
        <v>23583.358707741085</v>
      </c>
      <c r="E128" s="28">
        <f>'Population Treasury'!W$178*'Statistics NZ'!W$473*'Economic Forecasts'!Y$8/E$7</f>
        <v>23471.669435720018</v>
      </c>
      <c r="F128" s="28">
        <f>'Population Treasury'!X$178*'Statistics NZ'!X$473*'Economic Forecasts'!Z$8/F$7</f>
        <v>23110.964363906325</v>
      </c>
      <c r="G128" s="28">
        <f>'Population Treasury'!Y$178*'Statistics NZ'!Y$473*'Economic Forecasts'!AA$8/G$7</f>
        <v>23001.3548093807</v>
      </c>
      <c r="H128" s="28">
        <f>'Population Treasury'!Z$178*'Statistics NZ'!Z$473*'Economic Forecasts'!AB$8/H$7</f>
        <v>23149.275523404125</v>
      </c>
      <c r="I128" s="28">
        <f>'Population Treasury'!AA$178*'Statistics NZ'!AA$473*'Economic Forecasts'!AC$8/I$7</f>
        <v>23766.22189384087</v>
      </c>
      <c r="J128" s="18">
        <f>I$128*'Population Treasury'!AB$178*'Statistics NZ'!AB$473/('Population Treasury'!AA$178*'Statistics NZ'!AA$473)</f>
        <v>24423.859084634001</v>
      </c>
      <c r="K128" s="18">
        <f>J$128*'Population Treasury'!AC$178*'Statistics NZ'!AC$473/('Population Treasury'!AB$178*'Statistics NZ'!AB$473)</f>
        <v>24516.176921114791</v>
      </c>
      <c r="L128" s="18">
        <f>K$128*'Population Treasury'!AD$178*'Statistics NZ'!AD$473/('Population Treasury'!AC$178*'Statistics NZ'!AC$473)</f>
        <v>25513.999772738152</v>
      </c>
      <c r="M128" s="18">
        <f>L$128*'Population Treasury'!AE$178*'Statistics NZ'!AE$473/('Population Treasury'!AD$178*'Statistics NZ'!AD$473)</f>
        <v>25422.27341600928</v>
      </c>
      <c r="N128" s="18">
        <f>M$128*'Population Treasury'!AF$178*'Statistics NZ'!AF$473/('Population Treasury'!AE$178*'Statistics NZ'!AE$473)</f>
        <v>24846.816233264199</v>
      </c>
      <c r="O128" s="18">
        <f>N$128*'Population Treasury'!AG$178*'Statistics NZ'!AG$473/('Population Treasury'!AF$178*'Statistics NZ'!AF$473)</f>
        <v>24341.604291749318</v>
      </c>
      <c r="P128" s="18">
        <f>O$128*'Population Treasury'!AH$178*'Statistics NZ'!AH$473/('Population Treasury'!AG$178*'Statistics NZ'!AG$473)</f>
        <v>23655.256067091621</v>
      </c>
      <c r="Q128" s="18">
        <f>P$128*'Population Treasury'!AI$178*'Statistics NZ'!AI$473/('Population Treasury'!AH$178*'Statistics NZ'!AH$473)</f>
        <v>23624.401747116812</v>
      </c>
      <c r="R128" s="18">
        <f>Q$128*'Population Treasury'!AJ$178*'Statistics NZ'!AJ$473/('Population Treasury'!AI$178*'Statistics NZ'!AI$473)</f>
        <v>24026.746387606105</v>
      </c>
      <c r="S128" s="18">
        <f>R$128*'Population Treasury'!AK$178*'Statistics NZ'!AK$473/('Population Treasury'!AJ$178*'Statistics NZ'!AJ$473)</f>
        <v>23915.204135327898</v>
      </c>
    </row>
    <row r="129" spans="1:19" x14ac:dyDescent="0.25">
      <c r="A129" s="12">
        <f>$A$59</f>
        <v>64</v>
      </c>
      <c r="B129" s="28">
        <f>'Population Treasury'!T$179*'Statistics NZ'!T$474*'Economic Forecasts'!V$8/B$7</f>
        <v>21079.447103643648</v>
      </c>
      <c r="C129" s="28">
        <f>'Population Treasury'!U$179*'Statistics NZ'!U$474*'Economic Forecasts'!W$8/C$7</f>
        <v>21781.608296098471</v>
      </c>
      <c r="D129" s="28">
        <f>'Population Treasury'!V$179*'Statistics NZ'!V$474*'Economic Forecasts'!X$8/D$7</f>
        <v>22182.657234351489</v>
      </c>
      <c r="E129" s="28">
        <f>'Population Treasury'!W$179*'Statistics NZ'!W$474*'Economic Forecasts'!Y$8/E$7</f>
        <v>22486.782280196829</v>
      </c>
      <c r="F129" s="28">
        <f>'Population Treasury'!X$179*'Statistics NZ'!X$474*'Economic Forecasts'!Z$8/F$7</f>
        <v>22425.381555979631</v>
      </c>
      <c r="G129" s="28">
        <f>'Population Treasury'!Y$179*'Statistics NZ'!Y$474*'Economic Forecasts'!AA$8/G$7</f>
        <v>22068.297964840189</v>
      </c>
      <c r="H129" s="28">
        <f>'Population Treasury'!Z$179*'Statistics NZ'!Z$474*'Economic Forecasts'!AB$8/H$7</f>
        <v>21958.376891726555</v>
      </c>
      <c r="I129" s="28">
        <f>'Population Treasury'!AA$179*'Statistics NZ'!AA$474*'Economic Forecasts'!AC$8/I$7</f>
        <v>22080.730864195972</v>
      </c>
      <c r="J129" s="18">
        <f>I$129*'Population Treasury'!AB$179*'Statistics NZ'!AB$474/('Population Treasury'!AA$179*'Statistics NZ'!AA$474)</f>
        <v>22667.562810381765</v>
      </c>
      <c r="K129" s="18">
        <f>J$129*'Population Treasury'!AC$179*'Statistics NZ'!AC$474/('Population Treasury'!AB$179*'Statistics NZ'!AB$474)</f>
        <v>23293.912017584073</v>
      </c>
      <c r="L129" s="18">
        <f>K$129*'Population Treasury'!AD$179*'Statistics NZ'!AD$474/('Population Treasury'!AC$179*'Statistics NZ'!AC$474)</f>
        <v>23394.423490435314</v>
      </c>
      <c r="M129" s="18">
        <f>L$129*'Population Treasury'!AE$179*'Statistics NZ'!AE$474/('Population Treasury'!AD$179*'Statistics NZ'!AD$474)</f>
        <v>24341.202978084515</v>
      </c>
      <c r="N129" s="18">
        <f>M$129*'Population Treasury'!AF$179*'Statistics NZ'!AF$474/('Population Treasury'!AE$179*'Statistics NZ'!AE$474)</f>
        <v>24259.498543036425</v>
      </c>
      <c r="O129" s="18">
        <f>N$129*'Population Treasury'!AG$179*'Statistics NZ'!AG$474/('Population Treasury'!AF$179*'Statistics NZ'!AF$474)</f>
        <v>23724.257656801103</v>
      </c>
      <c r="P129" s="18">
        <f>O$129*'Population Treasury'!AH$179*'Statistics NZ'!AH$474/('Population Treasury'!AG$179*'Statistics NZ'!AG$474)</f>
        <v>23239.642357428875</v>
      </c>
      <c r="Q129" s="18">
        <f>P$129*'Population Treasury'!AI$179*'Statistics NZ'!AI$474/('Population Treasury'!AH$179*'Statistics NZ'!AH$474)</f>
        <v>22593.440772429807</v>
      </c>
      <c r="R129" s="18">
        <f>Q$129*'Population Treasury'!AJ$179*'Statistics NZ'!AJ$474/('Population Treasury'!AI$179*'Statistics NZ'!AI$474)</f>
        <v>22572.688178836164</v>
      </c>
      <c r="S129" s="18">
        <f>R$129*'Population Treasury'!AK$179*'Statistics NZ'!AK$474/('Population Treasury'!AJ$179*'Statistics NZ'!AJ$474)</f>
        <v>22954.993512366495</v>
      </c>
    </row>
    <row r="130" spans="1:19" x14ac:dyDescent="0.25">
      <c r="A130" s="12">
        <f>$A$60</f>
        <v>65</v>
      </c>
      <c r="B130" s="28">
        <f>'Population Treasury'!T$180*'Statistics NZ'!T$475*'Economic Forecasts'!V$8/B$7</f>
        <v>18506.369053433627</v>
      </c>
      <c r="C130" s="28">
        <f>'Population Treasury'!U$180*'Statistics NZ'!U$475*'Economic Forecasts'!W$8/C$7</f>
        <v>18627.579473365557</v>
      </c>
      <c r="D130" s="28">
        <f>'Population Treasury'!V$180*'Statistics NZ'!V$475*'Economic Forecasts'!X$8/D$7</f>
        <v>19358.56794346586</v>
      </c>
      <c r="E130" s="28">
        <f>'Population Treasury'!W$180*'Statistics NZ'!W$475*'Economic Forecasts'!Y$8/E$7</f>
        <v>19902.954937570819</v>
      </c>
      <c r="F130" s="28">
        <f>'Population Treasury'!X$180*'Statistics NZ'!X$475*'Economic Forecasts'!Z$8/F$7</f>
        <v>20210.833505743281</v>
      </c>
      <c r="G130" s="28">
        <f>'Population Treasury'!Y$180*'Statistics NZ'!Y$475*'Economic Forecasts'!AA$8/G$7</f>
        <v>20131.675603929823</v>
      </c>
      <c r="H130" s="28">
        <f>'Population Treasury'!Z$180*'Statistics NZ'!Z$475*'Economic Forecasts'!AB$8/H$7</f>
        <v>19811.221399414186</v>
      </c>
      <c r="I130" s="28">
        <f>'Population Treasury'!AA$180*'Statistics NZ'!AA$475*'Economic Forecasts'!AC$8/I$7</f>
        <v>19703.771688259083</v>
      </c>
      <c r="J130" s="18">
        <f>I$130*'Population Treasury'!AB$180*'Statistics NZ'!AB$475/('Population Treasury'!AA$180*'Statistics NZ'!AA$475)</f>
        <v>19805.322508989128</v>
      </c>
      <c r="K130" s="18">
        <f>J$130*'Population Treasury'!AC$180*'Statistics NZ'!AC$475/('Population Treasury'!AB$180*'Statistics NZ'!AB$475)</f>
        <v>20329.788797100944</v>
      </c>
      <c r="L130" s="18">
        <f>K$130*'Population Treasury'!AD$180*'Statistics NZ'!AD$475/('Population Treasury'!AC$180*'Statistics NZ'!AC$475)</f>
        <v>20893.817413085126</v>
      </c>
      <c r="M130" s="18">
        <f>L$130*'Population Treasury'!AE$180*'Statistics NZ'!AE$475/('Population Treasury'!AD$180*'Statistics NZ'!AD$475)</f>
        <v>20983.675888454898</v>
      </c>
      <c r="N130" s="18">
        <f>M$130*'Population Treasury'!AF$180*'Statistics NZ'!AF$475/('Population Treasury'!AE$180*'Statistics NZ'!AE$475)</f>
        <v>21839.592766437327</v>
      </c>
      <c r="O130" s="18">
        <f>N$130*'Population Treasury'!AG$180*'Statistics NZ'!AG$475/('Population Treasury'!AF$180*'Statistics NZ'!AF$475)</f>
        <v>21778.046447338995</v>
      </c>
      <c r="P130" s="18">
        <f>O$130*'Population Treasury'!AH$180*'Statistics NZ'!AH$475/('Population Treasury'!AG$180*'Statistics NZ'!AG$475)</f>
        <v>21303.368237199735</v>
      </c>
      <c r="Q130" s="18">
        <f>P$130*'Population Treasury'!AI$180*'Statistics NZ'!AI$475/('Population Treasury'!AH$180*'Statistics NZ'!AH$475)</f>
        <v>20879.038577083749</v>
      </c>
      <c r="R130" s="18">
        <f>Q$130*'Population Treasury'!AJ$180*'Statistics NZ'!AJ$475/('Population Treasury'!AI$180*'Statistics NZ'!AI$475)</f>
        <v>20303.652794938025</v>
      </c>
      <c r="S130" s="18">
        <f>R$130*'Population Treasury'!AK$180*'Statistics NZ'!AK$475/('Population Treasury'!AJ$180*'Statistics NZ'!AJ$475)</f>
        <v>20292.704479565109</v>
      </c>
    </row>
    <row r="131" spans="1:19" x14ac:dyDescent="0.25">
      <c r="A131" s="12">
        <f>$A$61</f>
        <v>66</v>
      </c>
      <c r="B131" s="28">
        <f>'Population Treasury'!T$181*'Statistics NZ'!T$476*'Economic Forecasts'!V$8/B$7</f>
        <v>15972.876819380677</v>
      </c>
      <c r="C131" s="28">
        <f>'Population Treasury'!U$181*'Statistics NZ'!U$476*'Economic Forecasts'!W$8/C$7</f>
        <v>16512.943171290099</v>
      </c>
      <c r="D131" s="28">
        <f>'Population Treasury'!V$181*'Statistics NZ'!V$476*'Economic Forecasts'!X$8/D$7</f>
        <v>16711.968226244378</v>
      </c>
      <c r="E131" s="28">
        <f>'Population Treasury'!W$181*'Statistics NZ'!W$476*'Economic Forecasts'!Y$8/E$7</f>
        <v>17533.305897574039</v>
      </c>
      <c r="F131" s="28">
        <f>'Population Treasury'!X$181*'Statistics NZ'!X$476*'Economic Forecasts'!Z$8/F$7</f>
        <v>18066.408403768273</v>
      </c>
      <c r="G131" s="28">
        <f>'Population Treasury'!Y$181*'Statistics NZ'!Y$476*'Economic Forecasts'!AA$8/G$7</f>
        <v>18334.541148855846</v>
      </c>
      <c r="H131" s="28">
        <f>'Population Treasury'!Z$181*'Statistics NZ'!Z$476*'Economic Forecasts'!AB$8/H$7</f>
        <v>18256.192936849508</v>
      </c>
      <c r="I131" s="28">
        <f>'Population Treasury'!AA$181*'Statistics NZ'!AA$476*'Economic Forecasts'!AC$8/I$7</f>
        <v>17959.104380668348</v>
      </c>
      <c r="J131" s="18">
        <f>I$131*'Population Treasury'!AB$181*'Statistics NZ'!AB$476/('Population Treasury'!AA$181*'Statistics NZ'!AA$476)</f>
        <v>17848.878553161743</v>
      </c>
      <c r="K131" s="18">
        <f>J$131*'Population Treasury'!AC$181*'Statistics NZ'!AC$476/('Population Treasury'!AB$181*'Statistics NZ'!AB$476)</f>
        <v>17939.630285869003</v>
      </c>
      <c r="L131" s="18">
        <f>K$131*'Population Treasury'!AD$181*'Statistics NZ'!AD$476/('Population Treasury'!AC$181*'Statistics NZ'!AC$476)</f>
        <v>18412.955288327175</v>
      </c>
      <c r="M131" s="18">
        <f>L$131*'Population Treasury'!AE$181*'Statistics NZ'!AE$476/('Population Treasury'!AD$181*'Statistics NZ'!AD$476)</f>
        <v>18926.051833892056</v>
      </c>
      <c r="N131" s="18">
        <f>M$131*'Population Treasury'!AF$181*'Statistics NZ'!AF$476/('Population Treasury'!AE$181*'Statistics NZ'!AE$476)</f>
        <v>19025.67747391788</v>
      </c>
      <c r="O131" s="18">
        <f>N$131*'Population Treasury'!AG$181*'Statistics NZ'!AG$476/('Population Treasury'!AF$181*'Statistics NZ'!AF$476)</f>
        <v>19801.118753005012</v>
      </c>
      <c r="P131" s="18">
        <f>O$131*'Population Treasury'!AH$181*'Statistics NZ'!AH$476/('Population Treasury'!AG$181*'Statistics NZ'!AG$476)</f>
        <v>19749.774441519676</v>
      </c>
      <c r="Q131" s="18">
        <f>P$131*'Population Treasury'!AI$181*'Statistics NZ'!AI$476/('Population Treasury'!AH$181*'Statistics NZ'!AH$476)</f>
        <v>19325.398995347838</v>
      </c>
      <c r="R131" s="18">
        <f>Q$131*'Population Treasury'!AJ$181*'Statistics NZ'!AJ$476/('Population Treasury'!AI$181*'Statistics NZ'!AI$476)</f>
        <v>18941.684064481313</v>
      </c>
      <c r="S131" s="18">
        <f>R$131*'Population Treasury'!AK$181*'Statistics NZ'!AK$476/('Population Treasury'!AJ$181*'Statistics NZ'!AJ$476)</f>
        <v>18426.641646207616</v>
      </c>
    </row>
    <row r="132" spans="1:19" x14ac:dyDescent="0.25">
      <c r="A132" s="12">
        <f>$A$62</f>
        <v>67</v>
      </c>
      <c r="B132" s="28">
        <f>'Population Treasury'!T$182*'Statistics NZ'!T$477*'Economic Forecasts'!V$8/B$7</f>
        <v>13894.621471134122</v>
      </c>
      <c r="C132" s="28">
        <f>'Population Treasury'!U$182*'Statistics NZ'!U$477*'Economic Forecasts'!W$8/C$7</f>
        <v>14192.452929137045</v>
      </c>
      <c r="D132" s="28">
        <f>'Population Treasury'!V$182*'Statistics NZ'!V$477*'Economic Forecasts'!X$8/D$7</f>
        <v>14746.75265344436</v>
      </c>
      <c r="E132" s="28">
        <f>'Population Treasury'!W$182*'Statistics NZ'!W$477*'Economic Forecasts'!Y$8/E$7</f>
        <v>15066.133944861764</v>
      </c>
      <c r="F132" s="28">
        <f>'Population Treasury'!X$182*'Statistics NZ'!X$477*'Economic Forecasts'!Z$8/F$7</f>
        <v>15833.88256319538</v>
      </c>
      <c r="G132" s="28">
        <f>'Population Treasury'!Y$182*'Statistics NZ'!Y$477*'Economic Forecasts'!AA$8/G$7</f>
        <v>16301.782184694435</v>
      </c>
      <c r="H132" s="28">
        <f>'Population Treasury'!Z$182*'Statistics NZ'!Z$477*'Economic Forecasts'!AB$8/H$7</f>
        <v>16543.744885752018</v>
      </c>
      <c r="I132" s="28">
        <f>'Population Treasury'!AA$182*'Statistics NZ'!AA$477*'Economic Forecasts'!AC$8/I$7</f>
        <v>16470.689453162573</v>
      </c>
      <c r="J132" s="18">
        <f>I$132*'Population Treasury'!AB$182*'Statistics NZ'!AB$477/('Population Treasury'!AA$182*'Statistics NZ'!AA$477)</f>
        <v>16178.627676689543</v>
      </c>
      <c r="K132" s="18">
        <f>J$132*'Population Treasury'!AC$182*'Statistics NZ'!AC$477/('Population Treasury'!AB$182*'Statistics NZ'!AB$477)</f>
        <v>16077.800010627341</v>
      </c>
      <c r="L132" s="18">
        <f>K$132*'Population Treasury'!AD$182*'Statistics NZ'!AD$477/('Population Treasury'!AC$182*'Statistics NZ'!AC$477)</f>
        <v>16167.757997535928</v>
      </c>
      <c r="M132" s="18">
        <f>L$132*'Population Treasury'!AE$182*'Statistics NZ'!AE$477/('Population Treasury'!AD$182*'Statistics NZ'!AD$477)</f>
        <v>16600.19627733064</v>
      </c>
      <c r="N132" s="18">
        <f>M$132*'Population Treasury'!AF$182*'Statistics NZ'!AF$477/('Population Treasury'!AE$182*'Statistics NZ'!AE$477)</f>
        <v>17072.88710857524</v>
      </c>
      <c r="O132" s="18">
        <f>N$132*'Population Treasury'!AG$182*'Statistics NZ'!AG$477/('Population Treasury'!AF$182*'Statistics NZ'!AF$477)</f>
        <v>17152.796732654126</v>
      </c>
      <c r="P132" s="18">
        <f>O$132*'Population Treasury'!AH$182*'Statistics NZ'!AH$477/('Population Treasury'!AG$182*'Statistics NZ'!AG$477)</f>
        <v>17867.446011293825</v>
      </c>
      <c r="Q132" s="18">
        <f>P$132*'Population Treasury'!AI$182*'Statistics NZ'!AI$477/('Population Treasury'!AH$182*'Statistics NZ'!AH$477)</f>
        <v>17816.267151874952</v>
      </c>
      <c r="R132" s="18">
        <f>Q$132*'Population Treasury'!AJ$182*'Statistics NZ'!AJ$477/('Population Treasury'!AI$182*'Statistics NZ'!AI$477)</f>
        <v>17442.501818995868</v>
      </c>
      <c r="S132" s="18">
        <f>R$132*'Population Treasury'!AK$182*'Statistics NZ'!AK$477/('Population Treasury'!AJ$182*'Statistics NZ'!AJ$477)</f>
        <v>17099.052906606081</v>
      </c>
    </row>
    <row r="133" spans="1:19" x14ac:dyDescent="0.25">
      <c r="A133" s="12">
        <f>$A$63</f>
        <v>68</v>
      </c>
      <c r="B133" s="28">
        <f>'Population Treasury'!T$183*'Statistics NZ'!T$478*'Economic Forecasts'!V$8/B$7</f>
        <v>12053.881019830027</v>
      </c>
      <c r="C133" s="28">
        <f>'Population Treasury'!U$183*'Statistics NZ'!U$478*'Economic Forecasts'!W$8/C$7</f>
        <v>12283.370651284324</v>
      </c>
      <c r="D133" s="28">
        <f>'Population Treasury'!V$183*'Statistics NZ'!V$478*'Economic Forecasts'!X$8/D$7</f>
        <v>12615.94462879485</v>
      </c>
      <c r="E133" s="28">
        <f>'Population Treasury'!W$183*'Statistics NZ'!W$478*'Economic Forecasts'!Y$8/E$7</f>
        <v>13232.832259486142</v>
      </c>
      <c r="F133" s="28">
        <f>'Population Treasury'!X$183*'Statistics NZ'!X$478*'Economic Forecasts'!Z$8/F$7</f>
        <v>13542.632667216732</v>
      </c>
      <c r="G133" s="28">
        <f>'Population Treasury'!Y$183*'Statistics NZ'!Y$478*'Economic Forecasts'!AA$8/G$7</f>
        <v>14219.953930628475</v>
      </c>
      <c r="H133" s="28">
        <f>'Population Treasury'!Z$183*'Statistics NZ'!Z$478*'Economic Forecasts'!AB$8/H$7</f>
        <v>14634.512890799459</v>
      </c>
      <c r="I133" s="28">
        <f>'Population Treasury'!AA$183*'Statistics NZ'!AA$478*'Economic Forecasts'!AC$8/I$7</f>
        <v>14844.316783888318</v>
      </c>
      <c r="J133" s="18">
        <f>I$133*'Population Treasury'!AB$183*'Statistics NZ'!AB$478/('Population Treasury'!AA$183*'Statistics NZ'!AA$478)</f>
        <v>14763.996816314595</v>
      </c>
      <c r="K133" s="18">
        <f>J$133*'Population Treasury'!AC$183*'Statistics NZ'!AC$478/('Population Treasury'!AB$183*'Statistics NZ'!AB$478)</f>
        <v>14501.670465060986</v>
      </c>
      <c r="L133" s="18">
        <f>K$133*'Population Treasury'!AD$183*'Statistics NZ'!AD$478/('Population Treasury'!AC$183*'Statistics NZ'!AC$478)</f>
        <v>14420.242034598268</v>
      </c>
      <c r="M133" s="18">
        <f>L$133*'Population Treasury'!AE$183*'Statistics NZ'!AE$478/('Population Treasury'!AD$183*'Statistics NZ'!AD$478)</f>
        <v>14499.757775043987</v>
      </c>
      <c r="N133" s="18">
        <f>M$133*'Population Treasury'!AF$183*'Statistics NZ'!AF$478/('Population Treasury'!AE$183*'Statistics NZ'!AE$478)</f>
        <v>14901.787386997668</v>
      </c>
      <c r="O133" s="18">
        <f>N$133*'Population Treasury'!AG$183*'Statistics NZ'!AG$478/('Population Treasury'!AF$183*'Statistics NZ'!AF$478)</f>
        <v>15324.281692868919</v>
      </c>
      <c r="P133" s="18">
        <f>O$133*'Population Treasury'!AH$183*'Statistics NZ'!AH$478/('Population Treasury'!AG$183*'Statistics NZ'!AG$478)</f>
        <v>15404.088232331689</v>
      </c>
      <c r="Q133" s="18">
        <f>P$133*'Population Treasury'!AI$183*'Statistics NZ'!AI$478/('Population Treasury'!AH$183*'Statistics NZ'!AH$478)</f>
        <v>16038.553977194266</v>
      </c>
      <c r="R133" s="18">
        <f>Q$133*'Population Treasury'!AJ$183*'Statistics NZ'!AJ$478/('Population Treasury'!AI$183*'Statistics NZ'!AI$478)</f>
        <v>16007.284355334101</v>
      </c>
      <c r="S133" s="18">
        <f>R$133*'Population Treasury'!AK$183*'Statistics NZ'!AK$478/('Population Treasury'!AJ$183*'Statistics NZ'!AJ$478)</f>
        <v>15673.924702432079</v>
      </c>
    </row>
    <row r="134" spans="1:19" x14ac:dyDescent="0.25">
      <c r="A134" s="12">
        <f>$A$64</f>
        <v>69</v>
      </c>
      <c r="B134" s="28">
        <f>'Population Treasury'!T$184*'Statistics NZ'!T$479*'Economic Forecasts'!V$8/B$7</f>
        <v>10351.690925075705</v>
      </c>
      <c r="C134" s="28">
        <f>'Population Treasury'!U$184*'Statistics NZ'!U$479*'Economic Forecasts'!W$8/C$7</f>
        <v>10599.525203538136</v>
      </c>
      <c r="D134" s="28">
        <f>'Population Treasury'!V$184*'Statistics NZ'!V$479*'Economic Forecasts'!X$8/D$7</f>
        <v>10864.735947903955</v>
      </c>
      <c r="E134" s="28">
        <f>'Population Treasury'!W$184*'Statistics NZ'!W$479*'Economic Forecasts'!Y$8/E$7</f>
        <v>11262.999879583218</v>
      </c>
      <c r="F134" s="28">
        <f>'Population Treasury'!X$184*'Statistics NZ'!X$479*'Economic Forecasts'!Z$8/F$7</f>
        <v>11838.835365566114</v>
      </c>
      <c r="G134" s="28">
        <f>'Population Treasury'!Y$184*'Statistics NZ'!Y$479*'Economic Forecasts'!AA$8/G$7</f>
        <v>12108.693524077891</v>
      </c>
      <c r="H134" s="28">
        <f>'Population Treasury'!Z$184*'Statistics NZ'!Z$479*'Economic Forecasts'!AB$8/H$7</f>
        <v>12705.620929687204</v>
      </c>
      <c r="I134" s="28">
        <f>'Population Treasury'!AA$184*'Statistics NZ'!AA$479*'Economic Forecasts'!AC$8/I$7</f>
        <v>13070.130262911822</v>
      </c>
      <c r="J134" s="18">
        <f>I$134*'Population Treasury'!AB$184*'Statistics NZ'!AB$479/('Population Treasury'!AA$184*'Statistics NZ'!AA$479)</f>
        <v>13251.586167743248</v>
      </c>
      <c r="K134" s="18">
        <f>J$134*'Population Treasury'!AC$184*'Statistics NZ'!AC$479/('Population Treasury'!AB$184*'Statistics NZ'!AB$479)</f>
        <v>13180.795360791337</v>
      </c>
      <c r="L134" s="18">
        <f>K$134*'Population Treasury'!AD$184*'Statistics NZ'!AD$479/('Population Treasury'!AC$184*'Statistics NZ'!AC$479)</f>
        <v>12948.288714213246</v>
      </c>
      <c r="M134" s="18">
        <f>L$134*'Population Treasury'!AE$184*'Statistics NZ'!AE$479/('Population Treasury'!AD$184*'Statistics NZ'!AD$479)</f>
        <v>12876.679348384429</v>
      </c>
      <c r="N134" s="18">
        <f>M$134*'Population Treasury'!AF$184*'Statistics NZ'!AF$479/('Population Treasury'!AE$184*'Statistics NZ'!AE$479)</f>
        <v>12956.241851134748</v>
      </c>
      <c r="O134" s="18">
        <f>N$134*'Population Treasury'!AG$184*'Statistics NZ'!AG$479/('Population Treasury'!AF$184*'Statistics NZ'!AF$479)</f>
        <v>13308.226318356687</v>
      </c>
      <c r="P134" s="18">
        <f>O$134*'Population Treasury'!AH$184*'Statistics NZ'!AH$479/('Population Treasury'!AG$184*'Statistics NZ'!AG$479)</f>
        <v>13690.451986716604</v>
      </c>
      <c r="Q134" s="18">
        <f>P$134*'Population Treasury'!AI$184*'Statistics NZ'!AI$479/('Population Treasury'!AH$184*'Statistics NZ'!AH$479)</f>
        <v>13770.176975425897</v>
      </c>
      <c r="R134" s="18">
        <f>Q$134*'Population Treasury'!AJ$184*'Statistics NZ'!AJ$479/('Population Treasury'!AI$184*'Statistics NZ'!AI$479)</f>
        <v>14344.073643818181</v>
      </c>
      <c r="S134" s="18">
        <f>R$134*'Population Treasury'!AK$184*'Statistics NZ'!AK$479/('Population Treasury'!AJ$184*'Statistics NZ'!AJ$479)</f>
        <v>14313.175458100301</v>
      </c>
    </row>
    <row r="135" spans="1:19" x14ac:dyDescent="0.25">
      <c r="A135" s="12">
        <f>$A$65</f>
        <v>70</v>
      </c>
      <c r="B135" s="28">
        <f>'Population Treasury'!T$185*'Statistics NZ'!T$480*'Economic Forecasts'!V$8/B$7</f>
        <v>8887.0157272638462</v>
      </c>
      <c r="C135" s="28">
        <f>'Population Treasury'!U$185*'Statistics NZ'!U$480*'Economic Forecasts'!W$8/C$7</f>
        <v>9058.7004212514221</v>
      </c>
      <c r="D135" s="28">
        <f>'Population Treasury'!V$185*'Statistics NZ'!V$480*'Economic Forecasts'!X$8/D$7</f>
        <v>9332.6088514095663</v>
      </c>
      <c r="E135" s="28">
        <f>'Population Treasury'!W$185*'Statistics NZ'!W$480*'Economic Forecasts'!Y$8/E$7</f>
        <v>9644.4763722187563</v>
      </c>
      <c r="F135" s="28">
        <f>'Population Treasury'!X$185*'Statistics NZ'!X$480*'Economic Forecasts'!Z$8/F$7</f>
        <v>10016.49896433689</v>
      </c>
      <c r="G135" s="28">
        <f>'Population Treasury'!Y$185*'Statistics NZ'!Y$480*'Economic Forecasts'!AA$8/G$7</f>
        <v>10516.4625326611</v>
      </c>
      <c r="H135" s="28">
        <f>'Population Treasury'!Z$185*'Statistics NZ'!Z$480*'Economic Forecasts'!AB$8/H$7</f>
        <v>10755.898468599369</v>
      </c>
      <c r="I135" s="28">
        <f>'Population Treasury'!AA$185*'Statistics NZ'!AA$480*'Economic Forecasts'!AC$8/I$7</f>
        <v>11285.055122444619</v>
      </c>
      <c r="J135" s="18">
        <f>I$135*'Population Treasury'!AB$185*'Statistics NZ'!AB$480/('Population Treasury'!AA$185*'Statistics NZ'!AA$480)</f>
        <v>11606.872149148885</v>
      </c>
      <c r="K135" s="18">
        <f>J$135*'Population Treasury'!AC$185*'Statistics NZ'!AC$480/('Population Treasury'!AB$185*'Statistics NZ'!AB$480)</f>
        <v>11767.267862135321</v>
      </c>
      <c r="L135" s="18">
        <f>K$135*'Population Treasury'!AD$185*'Statistics NZ'!AD$480/('Population Treasury'!AC$185*'Statistics NZ'!AC$480)</f>
        <v>11705.989106897237</v>
      </c>
      <c r="M135" s="18">
        <f>L$135*'Population Treasury'!AE$185*'Statistics NZ'!AE$480/('Population Treasury'!AD$185*'Statistics NZ'!AD$480)</f>
        <v>11503.391577501823</v>
      </c>
      <c r="N135" s="18">
        <f>M$135*'Population Treasury'!AF$185*'Statistics NZ'!AF$480/('Population Treasury'!AE$185*'Statistics NZ'!AE$480)</f>
        <v>11441.920479366265</v>
      </c>
      <c r="O135" s="18">
        <f>N$135*'Population Treasury'!AG$185*'Statistics NZ'!AG$480/('Population Treasury'!AF$185*'Statistics NZ'!AF$480)</f>
        <v>11511.660969026829</v>
      </c>
      <c r="P135" s="18">
        <f>O$135*'Population Treasury'!AH$185*'Statistics NZ'!AH$480/('Population Treasury'!AG$185*'Statistics NZ'!AG$480)</f>
        <v>11833.366580541697</v>
      </c>
      <c r="Q135" s="18">
        <f>P$135*'Population Treasury'!AI$185*'Statistics NZ'!AI$480/('Population Treasury'!AH$185*'Statistics NZ'!AH$480)</f>
        <v>12175.387689178067</v>
      </c>
      <c r="R135" s="18">
        <f>Q$135*'Population Treasury'!AJ$185*'Statistics NZ'!AJ$480/('Population Treasury'!AI$185*'Statistics NZ'!AI$480)</f>
        <v>12245.266702379342</v>
      </c>
      <c r="S135" s="18">
        <f>R$135*'Population Treasury'!AK$185*'Statistics NZ'!AK$480/('Population Treasury'!AJ$185*'Statistics NZ'!AJ$480)</f>
        <v>12758.699242120971</v>
      </c>
    </row>
    <row r="136" spans="1:19" x14ac:dyDescent="0.25">
      <c r="A136" s="12">
        <f>$A$66</f>
        <v>71</v>
      </c>
      <c r="B136" s="28">
        <f>'Population Treasury'!T$186*'Statistics NZ'!T$481*'Economic Forecasts'!V$8/B$7</f>
        <v>7481.7192536876046</v>
      </c>
      <c r="C136" s="28">
        <f>'Population Treasury'!U$186*'Statistics NZ'!U$481*'Economic Forecasts'!W$8/C$7</f>
        <v>7736.489349684548</v>
      </c>
      <c r="D136" s="28">
        <f>'Population Treasury'!V$186*'Statistics NZ'!V$481*'Economic Forecasts'!X$8/D$7</f>
        <v>7921.3988478156571</v>
      </c>
      <c r="E136" s="28">
        <f>'Population Treasury'!W$186*'Statistics NZ'!W$481*'Economic Forecasts'!Y$8/E$7</f>
        <v>8240.2194107702726</v>
      </c>
      <c r="F136" s="28">
        <f>'Population Treasury'!X$186*'Statistics NZ'!X$481*'Economic Forecasts'!Z$8/F$7</f>
        <v>8538.0386641538098</v>
      </c>
      <c r="G136" s="28">
        <f>'Population Treasury'!Y$186*'Statistics NZ'!Y$481*'Economic Forecasts'!AA$8/G$7</f>
        <v>8857.0449968809735</v>
      </c>
      <c r="H136" s="28">
        <f>'Population Treasury'!Z$186*'Statistics NZ'!Z$481*'Economic Forecasts'!AB$8/H$7</f>
        <v>9299.4920837826103</v>
      </c>
      <c r="I136" s="28">
        <f>'Population Treasury'!AA$186*'Statistics NZ'!AA$481*'Economic Forecasts'!AC$8/I$7</f>
        <v>9501.1628623640481</v>
      </c>
      <c r="J136" s="18">
        <f>I$136*'Population Treasury'!AB$186*'Statistics NZ'!AB$481/('Population Treasury'!AA$186*'Statistics NZ'!AA$481)</f>
        <v>9974.2081409842704</v>
      </c>
      <c r="K136" s="18">
        <f>J$136*'Population Treasury'!AC$186*'Statistics NZ'!AC$481/('Population Treasury'!AB$186*'Statistics NZ'!AB$481)</f>
        <v>10255.805736996652</v>
      </c>
      <c r="L136" s="18">
        <f>K$136*'Population Treasury'!AD$186*'Statistics NZ'!AD$481/('Population Treasury'!AC$186*'Statistics NZ'!AC$481)</f>
        <v>10396.137970435904</v>
      </c>
      <c r="M136" s="18">
        <f>L$136*'Population Treasury'!AE$186*'Statistics NZ'!AE$481/('Population Treasury'!AD$186*'Statistics NZ'!AD$481)</f>
        <v>10344.853045717282</v>
      </c>
      <c r="N136" s="18">
        <f>M$136*'Population Treasury'!AF$186*'Statistics NZ'!AF$481/('Population Treasury'!AE$186*'Statistics NZ'!AE$481)</f>
        <v>10172.611070628856</v>
      </c>
      <c r="O136" s="18">
        <f>N$136*'Population Treasury'!AG$186*'Statistics NZ'!AG$481/('Population Treasury'!AF$186*'Statistics NZ'!AF$481)</f>
        <v>10121.365033306223</v>
      </c>
      <c r="P136" s="18">
        <f>O$136*'Population Treasury'!AH$186*'Statistics NZ'!AH$481/('Population Treasury'!AG$186*'Statistics NZ'!AG$481)</f>
        <v>10191.145093145296</v>
      </c>
      <c r="Q136" s="18">
        <f>P$136*'Population Treasury'!AI$186*'Statistics NZ'!AI$481/('Population Treasury'!AH$186*'Statistics NZ'!AH$481)</f>
        <v>10472.783631231934</v>
      </c>
      <c r="R136" s="18">
        <f>Q$136*'Population Treasury'!AJ$186*'Statistics NZ'!AJ$481/('Population Treasury'!AI$186*'Statistics NZ'!AI$481)</f>
        <v>10774.666009501965</v>
      </c>
      <c r="S136" s="18">
        <f>R$136*'Population Treasury'!AK$186*'Statistics NZ'!AK$481/('Population Treasury'!AJ$186*'Statistics NZ'!AJ$481)</f>
        <v>10844.492632108902</v>
      </c>
    </row>
    <row r="137" spans="1:19" x14ac:dyDescent="0.25">
      <c r="A137" s="12">
        <f>$A$67</f>
        <v>72</v>
      </c>
      <c r="B137" s="28">
        <f>'Population Treasury'!T$187*'Statistics NZ'!T$482*'Economic Forecasts'!V$8/B$7</f>
        <v>6393.1093093679783</v>
      </c>
      <c r="C137" s="28">
        <f>'Population Treasury'!U$187*'Statistics NZ'!U$482*'Economic Forecasts'!W$8/C$7</f>
        <v>6482.8195023273047</v>
      </c>
      <c r="D137" s="28">
        <f>'Population Treasury'!V$187*'Statistics NZ'!V$482*'Economic Forecasts'!X$8/D$7</f>
        <v>6743.7931073603631</v>
      </c>
      <c r="E137" s="28">
        <f>'Population Treasury'!W$187*'Statistics NZ'!W$482*'Economic Forecasts'!Y$8/E$7</f>
        <v>6962.7359238966947</v>
      </c>
      <c r="F137" s="28">
        <f>'Population Treasury'!X$187*'Statistics NZ'!X$482*'Economic Forecasts'!Z$8/F$7</f>
        <v>7255.39704681682</v>
      </c>
      <c r="G137" s="28">
        <f>'Population Treasury'!Y$187*'Statistics NZ'!Y$482*'Economic Forecasts'!AA$8/G$7</f>
        <v>7521.6453282576558</v>
      </c>
      <c r="H137" s="28">
        <f>'Population Treasury'!Z$187*'Statistics NZ'!Z$482*'Economic Forecasts'!AB$8/H$7</f>
        <v>7793.8934749416467</v>
      </c>
      <c r="I137" s="28">
        <f>'Population Treasury'!AA$187*'Statistics NZ'!AA$482*'Economic Forecasts'!AC$8/I$7</f>
        <v>8180.4779966935102</v>
      </c>
      <c r="J137" s="18">
        <f>I$137*'Population Treasury'!AB$187*'Statistics NZ'!AB$482/('Population Treasury'!AA$187*'Statistics NZ'!AA$482)</f>
        <v>8351.3500926983961</v>
      </c>
      <c r="K137" s="18">
        <f>J$137*'Population Treasury'!AC$187*'Statistics NZ'!AC$482/('Population Treasury'!AB$187*'Statistics NZ'!AB$482)</f>
        <v>8773.8593022982568</v>
      </c>
      <c r="L137" s="18">
        <f>K$137*'Population Treasury'!AD$187*'Statistics NZ'!AD$482/('Population Treasury'!AC$187*'Statistics NZ'!AC$482)</f>
        <v>9025.130701639544</v>
      </c>
      <c r="M137" s="18">
        <f>L$137*'Population Treasury'!AE$187*'Statistics NZ'!AE$482/('Population Treasury'!AD$187*'Statistics NZ'!AD$482)</f>
        <v>9145.3832312968007</v>
      </c>
      <c r="N137" s="18">
        <f>M$137*'Population Treasury'!AF$187*'Statistics NZ'!AF$482/('Population Treasury'!AE$187*'Statistics NZ'!AE$482)</f>
        <v>9104.3292093626933</v>
      </c>
      <c r="O137" s="18">
        <f>N$137*'Population Treasury'!AG$187*'Statistics NZ'!AG$482/('Population Treasury'!AF$187*'Statistics NZ'!AF$482)</f>
        <v>8962.2647243619904</v>
      </c>
      <c r="P137" s="18">
        <f>O$137*'Population Treasury'!AH$187*'Statistics NZ'!AH$482/('Population Treasury'!AG$187*'Statistics NZ'!AG$482)</f>
        <v>8911.3777121630992</v>
      </c>
      <c r="Q137" s="18">
        <f>P$137*'Population Treasury'!AI$187*'Statistics NZ'!AI$482/('Population Treasury'!AH$187*'Statistics NZ'!AH$482)</f>
        <v>8971.2247820732391</v>
      </c>
      <c r="R137" s="18">
        <f>Q$137*'Population Treasury'!AJ$187*'Statistics NZ'!AJ$482/('Population Treasury'!AI$187*'Statistics NZ'!AI$482)</f>
        <v>9222.6171502531051</v>
      </c>
      <c r="S137" s="18">
        <f>R$137*'Population Treasury'!AK$187*'Statistics NZ'!AK$482/('Population Treasury'!AJ$187*'Statistics NZ'!AJ$482)</f>
        <v>9494.2705165599473</v>
      </c>
    </row>
    <row r="138" spans="1:19" x14ac:dyDescent="0.25">
      <c r="A138" s="12">
        <f>$A$68</f>
        <v>73</v>
      </c>
      <c r="B138" s="28">
        <f>'Population Treasury'!T$188*'Statistics NZ'!T$483*'Economic Forecasts'!V$8/B$7</f>
        <v>5452.9461756373948</v>
      </c>
      <c r="C138" s="28">
        <f>'Population Treasury'!U$188*'Statistics NZ'!U$483*'Economic Forecasts'!W$8/C$7</f>
        <v>5523.0301481073711</v>
      </c>
      <c r="D138" s="28">
        <f>'Population Treasury'!V$188*'Statistics NZ'!V$483*'Economic Forecasts'!X$8/D$7</f>
        <v>5634.298811667325</v>
      </c>
      <c r="E138" s="28">
        <f>'Population Treasury'!W$188*'Statistics NZ'!W$483*'Economic Forecasts'!Y$8/E$7</f>
        <v>5909.5443717237804</v>
      </c>
      <c r="F138" s="28">
        <f>'Population Treasury'!X$188*'Statistics NZ'!X$483*'Economic Forecasts'!Z$8/F$7</f>
        <v>6119.6226192042895</v>
      </c>
      <c r="G138" s="28">
        <f>'Population Treasury'!Y$188*'Statistics NZ'!Y$483*'Economic Forecasts'!AA$8/G$7</f>
        <v>6372.8044745503139</v>
      </c>
      <c r="H138" s="28">
        <f>'Population Treasury'!Z$188*'Statistics NZ'!Z$483*'Economic Forecasts'!AB$8/H$7</f>
        <v>6593.3431400083746</v>
      </c>
      <c r="I138" s="28">
        <f>'Population Treasury'!AA$188*'Statistics NZ'!AA$483*'Economic Forecasts'!AC$8/I$7</f>
        <v>6840.0899343490655</v>
      </c>
      <c r="J138" s="18">
        <f>I$138*'Population Treasury'!AB$188*'Statistics NZ'!AB$483/('Population Treasury'!AA$188*'Statistics NZ'!AA$483)</f>
        <v>7172.3285931595092</v>
      </c>
      <c r="K138" s="18">
        <f>J$138*'Population Treasury'!AC$188*'Statistics NZ'!AC$483/('Population Treasury'!AB$188*'Statistics NZ'!AB$483)</f>
        <v>7332.9033424732606</v>
      </c>
      <c r="L138" s="18">
        <f>K$138*'Population Treasury'!AD$188*'Statistics NZ'!AD$483/('Population Treasury'!AC$188*'Statistics NZ'!AC$483)</f>
        <v>7695.2138585191178</v>
      </c>
      <c r="M138" s="18">
        <f>L$138*'Population Treasury'!AE$188*'Statistics NZ'!AE$483/('Population Treasury'!AD$188*'Statistics NZ'!AD$483)</f>
        <v>7916.2450000612298</v>
      </c>
      <c r="N138" s="18">
        <f>M$138*'Population Treasury'!AF$188*'Statistics NZ'!AF$483/('Population Treasury'!AE$188*'Statistics NZ'!AE$483)</f>
        <v>8036.4014926692716</v>
      </c>
      <c r="O138" s="18">
        <f>N$138*'Population Treasury'!AG$188*'Statistics NZ'!AG$483/('Population Treasury'!AF$188*'Statistics NZ'!AF$483)</f>
        <v>7995.5985643306785</v>
      </c>
      <c r="P138" s="18">
        <f>O$138*'Population Treasury'!AH$188*'Statistics NZ'!AH$483/('Population Treasury'!AG$188*'Statistics NZ'!AG$483)</f>
        <v>7873.7990009124587</v>
      </c>
      <c r="Q138" s="18">
        <f>P$138*'Population Treasury'!AI$188*'Statistics NZ'!AI$483/('Population Treasury'!AH$188*'Statistics NZ'!AH$483)</f>
        <v>7833.0319640268772</v>
      </c>
      <c r="R138" s="18">
        <f>Q$138*'Population Treasury'!AJ$188*'Statistics NZ'!AJ$483/('Population Treasury'!AI$188*'Statistics NZ'!AI$483)</f>
        <v>7892.9003900343851</v>
      </c>
      <c r="S138" s="18">
        <f>R$138*'Population Treasury'!AK$188*'Statistics NZ'!AK$483/('Population Treasury'!AJ$188*'Statistics NZ'!AJ$483)</f>
        <v>8114.2570175348937</v>
      </c>
    </row>
    <row r="139" spans="1:19" x14ac:dyDescent="0.25">
      <c r="A139" s="12">
        <f>$A$69</f>
        <v>74</v>
      </c>
      <c r="B139" s="28">
        <f>'Population Treasury'!T$189*'Statistics NZ'!T$484*'Economic Forecasts'!V$8/B$7</f>
        <v>4690.9192146136565</v>
      </c>
      <c r="C139" s="28">
        <f>'Population Treasury'!U$189*'Statistics NZ'!U$484*'Economic Forecasts'!W$8/C$7</f>
        <v>4700.3636682322549</v>
      </c>
      <c r="D139" s="28">
        <f>'Population Treasury'!V$189*'Statistics NZ'!V$484*'Economic Forecasts'!X$8/D$7</f>
        <v>4787.6171394292041</v>
      </c>
      <c r="E139" s="28">
        <f>'Population Treasury'!W$189*'Statistics NZ'!W$484*'Economic Forecasts'!Y$8/E$7</f>
        <v>4924.6146477587154</v>
      </c>
      <c r="F139" s="28">
        <f>'Population Treasury'!X$189*'Statistics NZ'!X$484*'Economic Forecasts'!Z$8/F$7</f>
        <v>5179.6673331099582</v>
      </c>
      <c r="G139" s="28">
        <f>'Population Treasury'!Y$189*'Statistics NZ'!Y$484*'Economic Forecasts'!AA$8/G$7</f>
        <v>5351.6121135315534</v>
      </c>
      <c r="H139" s="28">
        <f>'Population Treasury'!Z$189*'Statistics NZ'!Z$484*'Economic Forecasts'!AB$8/H$7</f>
        <v>5569.9201297116324</v>
      </c>
      <c r="I139" s="28">
        <f>'Population Treasury'!AA$189*'Statistics NZ'!AA$484*'Economic Forecasts'!AC$8/I$7</f>
        <v>5765.8019435084034</v>
      </c>
      <c r="J139" s="18">
        <f>I$139*'Population Treasury'!AB$189*'Statistics NZ'!AB$484/('Population Treasury'!AA$189*'Statistics NZ'!AA$484)</f>
        <v>5976.970864570917</v>
      </c>
      <c r="K139" s="18">
        <f>J$139*'Population Treasury'!AC$189*'Statistics NZ'!AC$484/('Population Treasury'!AB$189*'Statistics NZ'!AB$484)</f>
        <v>6278.7384018522971</v>
      </c>
      <c r="L139" s="18">
        <f>K$139*'Population Treasury'!AD$189*'Statistics NZ'!AD$484/('Population Treasury'!AC$189*'Statistics NZ'!AC$484)</f>
        <v>6409.3039147828949</v>
      </c>
      <c r="M139" s="18">
        <f>L$139*'Population Treasury'!AE$189*'Statistics NZ'!AE$484/('Population Treasury'!AD$189*'Statistics NZ'!AD$484)</f>
        <v>6731.2354246892464</v>
      </c>
      <c r="N139" s="18">
        <f>M$139*'Population Treasury'!AF$189*'Statistics NZ'!AF$484/('Population Treasury'!AE$189*'Statistics NZ'!AE$484)</f>
        <v>6932.17421904821</v>
      </c>
      <c r="O139" s="18">
        <f>N$139*'Population Treasury'!AG$189*'Statistics NZ'!AG$484/('Population Treasury'!AF$189*'Statistics NZ'!AF$484)</f>
        <v>7032.4095030862291</v>
      </c>
      <c r="P139" s="18">
        <f>O$139*'Population Treasury'!AH$189*'Statistics NZ'!AH$484/('Population Treasury'!AG$189*'Statistics NZ'!AG$484)</f>
        <v>7001.6970981641662</v>
      </c>
      <c r="Q139" s="18">
        <f>P$139*'Population Treasury'!AI$189*'Statistics NZ'!AI$484/('Population Treasury'!AH$189*'Statistics NZ'!AH$484)</f>
        <v>6890.2588186018756</v>
      </c>
      <c r="R139" s="18">
        <f>Q$139*'Population Treasury'!AJ$189*'Statistics NZ'!AJ$484/('Population Treasury'!AI$189*'Statistics NZ'!AI$484)</f>
        <v>6859.6287350776493</v>
      </c>
      <c r="S139" s="18">
        <f>R$139*'Population Treasury'!AK$189*'Statistics NZ'!AK$484/('Population Treasury'!AJ$189*'Statistics NZ'!AJ$484)</f>
        <v>6909.5673862858985</v>
      </c>
    </row>
    <row r="140" spans="1:19" x14ac:dyDescent="0.25">
      <c r="A140" s="12">
        <f>$A$70</f>
        <v>75</v>
      </c>
      <c r="B140" s="28">
        <f>'Population Treasury'!T$190*'Statistics NZ'!T$485*'Economic Forecasts'!V$8/B$7</f>
        <v>3928.8922535899201</v>
      </c>
      <c r="C140" s="28">
        <f>'Population Treasury'!U$190*'Statistics NZ'!U$485*'Economic Forecasts'!W$8/C$7</f>
        <v>4025.8263032823756</v>
      </c>
      <c r="D140" s="28">
        <f>'Population Treasury'!V$190*'Statistics NZ'!V$485*'Economic Forecasts'!X$8/D$7</f>
        <v>4049.0017032897181</v>
      </c>
      <c r="E140" s="28">
        <f>'Population Treasury'!W$190*'Statistics NZ'!W$485*'Economic Forecasts'!Y$8/E$7</f>
        <v>4154.2749276439063</v>
      </c>
      <c r="F140" s="28">
        <f>'Population Treasury'!X$190*'Statistics NZ'!X$485*'Economic Forecasts'!Z$8/F$7</f>
        <v>4288.4543506523214</v>
      </c>
      <c r="G140" s="28">
        <f>'Population Treasury'!Y$190*'Statistics NZ'!Y$485*'Economic Forecasts'!AA$8/G$7</f>
        <v>4506.8832928767515</v>
      </c>
      <c r="H140" s="28">
        <f>'Population Treasury'!Z$190*'Statistics NZ'!Z$485*'Economic Forecasts'!AB$8/H$7</f>
        <v>4654.5062402000576</v>
      </c>
      <c r="I140" s="28">
        <f>'Population Treasury'!AA$190*'Statistics NZ'!AA$485*'Economic Forecasts'!AC$8/I$7</f>
        <v>4848.9915566452401</v>
      </c>
      <c r="J140" s="18">
        <f>I$140*'Population Treasury'!AB$190*'Statistics NZ'!AB$485/('Population Treasury'!AA$190*'Statistics NZ'!AA$485)</f>
        <v>5009.819090255256</v>
      </c>
      <c r="K140" s="18">
        <f>J$140*'Population Treasury'!AC$190*'Statistics NZ'!AC$485/('Population Treasury'!AB$190*'Statistics NZ'!AB$485)</f>
        <v>5190.7056242362296</v>
      </c>
      <c r="L140" s="18">
        <f>K$140*'Population Treasury'!AD$190*'Statistics NZ'!AD$485/('Population Treasury'!AC$190*'Statistics NZ'!AC$485)</f>
        <v>5452.2035172689757</v>
      </c>
      <c r="M140" s="18">
        <f>L$140*'Population Treasury'!AE$190*'Statistics NZ'!AE$485/('Population Treasury'!AD$190*'Statistics NZ'!AD$485)</f>
        <v>5572.5760018743667</v>
      </c>
      <c r="N140" s="18">
        <f>M$140*'Population Treasury'!AF$190*'Statistics NZ'!AF$485/('Population Treasury'!AE$190*'Statistics NZ'!AE$485)</f>
        <v>5854.2519900893294</v>
      </c>
      <c r="O140" s="18">
        <f>N$140*'Population Treasury'!AG$190*'Statistics NZ'!AG$485/('Population Treasury'!AF$190*'Statistics NZ'!AF$485)</f>
        <v>6025.17495101242</v>
      </c>
      <c r="P140" s="18">
        <f>O$140*'Population Treasury'!AH$190*'Statistics NZ'!AH$485/('Population Treasury'!AG$190*'Statistics NZ'!AG$485)</f>
        <v>6115.4224534760133</v>
      </c>
      <c r="Q140" s="18">
        <f>P$140*'Population Treasury'!AI$190*'Statistics NZ'!AI$485/('Population Treasury'!AH$190*'Statistics NZ'!AH$485)</f>
        <v>6094.7757109299782</v>
      </c>
      <c r="R140" s="18">
        <f>Q$140*'Population Treasury'!AJ$190*'Statistics NZ'!AJ$485/('Population Treasury'!AI$190*'Statistics NZ'!AI$485)</f>
        <v>5993.6299472842375</v>
      </c>
      <c r="S140" s="18">
        <f>R$140*'Population Treasury'!AK$190*'Statistics NZ'!AK$485/('Population Treasury'!AJ$190*'Statistics NZ'!AJ$485)</f>
        <v>5973.0529933479302</v>
      </c>
    </row>
    <row r="141" spans="1:19" x14ac:dyDescent="0.25">
      <c r="A141" s="12">
        <f>$A$71</f>
        <v>76</v>
      </c>
      <c r="B141" s="28">
        <f>'Population Treasury'!T$191*'Statistics NZ'!T$486*'Economic Forecasts'!V$8/B$7</f>
        <v>3414.2766435479152</v>
      </c>
      <c r="C141" s="28">
        <f>'Population Treasury'!U$191*'Statistics NZ'!U$486*'Economic Forecasts'!W$8/C$7</f>
        <v>3389.0958597595877</v>
      </c>
      <c r="D141" s="28">
        <f>'Population Treasury'!V$191*'Statistics NZ'!V$486*'Economic Forecasts'!X$8/D$7</f>
        <v>3484.4571703175598</v>
      </c>
      <c r="E141" s="28">
        <f>'Population Treasury'!W$191*'Statistics NZ'!W$486*'Economic Forecasts'!Y$8/E$7</f>
        <v>3530.1570708640734</v>
      </c>
      <c r="F141" s="28">
        <f>'Population Treasury'!X$191*'Statistics NZ'!X$486*'Economic Forecasts'!Z$8/F$7</f>
        <v>3632.4644788282485</v>
      </c>
      <c r="G141" s="28">
        <f>'Population Treasury'!Y$191*'Statistics NZ'!Y$486*'Economic Forecasts'!AA$8/G$7</f>
        <v>3741.0198754889539</v>
      </c>
      <c r="H141" s="28">
        <f>'Population Treasury'!Z$191*'Statistics NZ'!Z$486*'Economic Forecasts'!AB$8/H$7</f>
        <v>3926.3251494392566</v>
      </c>
      <c r="I141" s="28">
        <f>'Population Treasury'!AA$191*'Statistics NZ'!AA$486*'Economic Forecasts'!AC$8/I$7</f>
        <v>4060.5458460847649</v>
      </c>
      <c r="J141" s="18">
        <f>I$141*'Population Treasury'!AB$191*'Statistics NZ'!AB$486/('Population Treasury'!AA$191*'Statistics NZ'!AA$486)</f>
        <v>4221.3690573455051</v>
      </c>
      <c r="K141" s="18">
        <f>J$141*'Population Treasury'!AC$191*'Statistics NZ'!AC$486/('Population Treasury'!AB$191*'Statistics NZ'!AB$486)</f>
        <v>4371.9444708355459</v>
      </c>
      <c r="L141" s="18">
        <f>K$141*'Population Treasury'!AD$191*'Statistics NZ'!AD$486/('Population Treasury'!AC$191*'Statistics NZ'!AC$486)</f>
        <v>4532.7590795311462</v>
      </c>
      <c r="M141" s="18">
        <f>L$141*'Population Treasury'!AE$191*'Statistics NZ'!AE$486/('Population Treasury'!AD$191*'Statistics NZ'!AD$486)</f>
        <v>4754.1022174153477</v>
      </c>
      <c r="N141" s="18">
        <f>M$141*'Population Treasury'!AF$191*'Statistics NZ'!AF$486/('Population Treasury'!AE$191*'Statistics NZ'!AE$486)</f>
        <v>4864.4560659829958</v>
      </c>
      <c r="O141" s="18">
        <f>N$141*'Population Treasury'!AG$191*'Statistics NZ'!AG$486/('Population Treasury'!AF$191*'Statistics NZ'!AF$486)</f>
        <v>5106.0305090246493</v>
      </c>
      <c r="P141" s="18">
        <f>O$141*'Population Treasury'!AH$191*'Statistics NZ'!AH$486/('Population Treasury'!AG$191*'Statistics NZ'!AG$486)</f>
        <v>5256.8423502568221</v>
      </c>
      <c r="Q141" s="18">
        <f>P$141*'Population Treasury'!AI$191*'Statistics NZ'!AI$486/('Population Treasury'!AH$191*'Statistics NZ'!AH$486)</f>
        <v>5337.1152463752705</v>
      </c>
      <c r="R141" s="18">
        <f>Q$141*'Population Treasury'!AJ$191*'Statistics NZ'!AJ$486/('Population Treasury'!AI$191*'Statistics NZ'!AI$486)</f>
        <v>5316.6502537496308</v>
      </c>
      <c r="S141" s="18">
        <f>R$141*'Population Treasury'!AK$191*'Statistics NZ'!AK$486/('Population Treasury'!AJ$191*'Statistics NZ'!AJ$486)</f>
        <v>5235.6258365987051</v>
      </c>
    </row>
    <row r="142" spans="1:19" x14ac:dyDescent="0.25">
      <c r="A142" s="12">
        <f>$A$72</f>
        <v>77</v>
      </c>
      <c r="B142" s="28">
        <f>'Population Treasury'!T$192*'Statistics NZ'!T$487*'Economic Forecasts'!V$8/B$7</f>
        <v>2968.936211780795</v>
      </c>
      <c r="C142" s="28">
        <f>'Population Treasury'!U$192*'Statistics NZ'!U$487*'Economic Forecasts'!W$8/C$7</f>
        <v>2958.0952499207137</v>
      </c>
      <c r="D142" s="28">
        <f>'Population Treasury'!V$192*'Statistics NZ'!V$487*'Economic Forecasts'!X$8/D$7</f>
        <v>2949.1013401364035</v>
      </c>
      <c r="E142" s="28">
        <f>'Population Treasury'!W$192*'Statistics NZ'!W$487*'Economic Forecasts'!Y$8/E$7</f>
        <v>3062.0689528810599</v>
      </c>
      <c r="F142" s="28">
        <f>'Population Treasury'!X$192*'Statistics NZ'!X$487*'Economic Forecasts'!Z$8/F$7</f>
        <v>3113.547133703335</v>
      </c>
      <c r="G142" s="28">
        <f>'Population Treasury'!Y$192*'Statistics NZ'!Y$487*'Economic Forecasts'!AA$8/G$7</f>
        <v>3200.9857449763613</v>
      </c>
      <c r="H142" s="28">
        <f>'Population Treasury'!Z$192*'Statistics NZ'!Z$487*'Economic Forecasts'!AB$8/H$7</f>
        <v>3296.5484617746806</v>
      </c>
      <c r="I142" s="28">
        <f>'Population Treasury'!AA$192*'Statistics NZ'!AA$487*'Economic Forecasts'!AC$8/I$7</f>
        <v>3459.3554455047283</v>
      </c>
      <c r="J142" s="18">
        <f>I$142*'Population Treasury'!AB$192*'Statistics NZ'!AB$487/('Population Treasury'!AA$192*'Statistics NZ'!AA$487)</f>
        <v>3569.8992575906273</v>
      </c>
      <c r="K142" s="18">
        <f>J$142*'Population Treasury'!AC$192*'Statistics NZ'!AC$487/('Population Treasury'!AB$192*'Statistics NZ'!AB$487)</f>
        <v>3710.6414352615111</v>
      </c>
      <c r="L142" s="18">
        <f>K$142*'Population Treasury'!AD$192*'Statistics NZ'!AD$487/('Population Treasury'!AC$192*'Statistics NZ'!AC$487)</f>
        <v>3841.2034210785523</v>
      </c>
      <c r="M142" s="18">
        <f>L$142*'Population Treasury'!AE$192*'Statistics NZ'!AE$487/('Population Treasury'!AD$192*'Statistics NZ'!AD$487)</f>
        <v>3981.9338857351645</v>
      </c>
      <c r="N142" s="18">
        <f>M$142*'Population Treasury'!AF$192*'Statistics NZ'!AF$487/('Population Treasury'!AE$192*'Statistics NZ'!AE$487)</f>
        <v>4183.0979861626183</v>
      </c>
      <c r="O142" s="18">
        <f>N$142*'Population Treasury'!AG$192*'Statistics NZ'!AG$487/('Population Treasury'!AF$192*'Statistics NZ'!AF$487)</f>
        <v>4273.5284643746918</v>
      </c>
      <c r="P142" s="18">
        <f>O$142*'Population Treasury'!AH$192*'Statistics NZ'!AH$487/('Population Treasury'!AG$192*'Statistics NZ'!AG$487)</f>
        <v>4494.880209728417</v>
      </c>
      <c r="Q142" s="18">
        <f>P$142*'Population Treasury'!AI$192*'Statistics NZ'!AI$487/('Population Treasury'!AH$192*'Statistics NZ'!AH$487)</f>
        <v>4625.6704051851038</v>
      </c>
      <c r="R142" s="18">
        <f>Q$142*'Population Treasury'!AJ$192*'Statistics NZ'!AJ$487/('Population Treasury'!AI$192*'Statistics NZ'!AI$487)</f>
        <v>4695.9442065655421</v>
      </c>
      <c r="S142" s="18">
        <f>R$142*'Population Treasury'!AK$192*'Statistics NZ'!AK$487/('Population Treasury'!AJ$192*'Statistics NZ'!AJ$487)</f>
        <v>4685.490850698332</v>
      </c>
    </row>
    <row r="143" spans="1:19" x14ac:dyDescent="0.25">
      <c r="A143" s="12">
        <f>$A$73</f>
        <v>78</v>
      </c>
      <c r="B143" s="28">
        <f>'Population Treasury'!T$193*'Statistics NZ'!T$488*'Economic Forecasts'!V$8/B$7</f>
        <v>2147.5305265214424</v>
      </c>
      <c r="C143" s="28">
        <f>'Population Treasury'!U$193*'Statistics NZ'!U$488*'Economic Forecasts'!W$8/C$7</f>
        <v>2566.2726271221995</v>
      </c>
      <c r="D143" s="28">
        <f>'Population Treasury'!V$193*'Statistics NZ'!V$488*'Economic Forecasts'!X$8/D$7</f>
        <v>2569.4986809188381</v>
      </c>
      <c r="E143" s="28">
        <f>'Population Treasury'!W$193*'Statistics NZ'!W$488*'Economic Forecasts'!Y$8/E$7</f>
        <v>2584.2285631737573</v>
      </c>
      <c r="F143" s="28">
        <f>'Population Treasury'!X$193*'Statistics NZ'!X$488*'Economic Forecasts'!Z$8/F$7</f>
        <v>2692.5372576328427</v>
      </c>
      <c r="G143" s="28">
        <f>'Population Treasury'!Y$193*'Statistics NZ'!Y$488*'Economic Forecasts'!AA$8/G$7</f>
        <v>2729.6825655777789</v>
      </c>
      <c r="H143" s="28">
        <f>'Population Treasury'!Z$193*'Statistics NZ'!Z$488*'Economic Forecasts'!AB$8/H$7</f>
        <v>2814.3735144502302</v>
      </c>
      <c r="I143" s="28">
        <f>'Population Treasury'!AA$193*'Statistics NZ'!AA$488*'Economic Forecasts'!AC$8/I$7</f>
        <v>2887.7324329075932</v>
      </c>
      <c r="J143" s="18">
        <f>I$143*'Population Treasury'!AB$193*'Statistics NZ'!AB$488/('Population Treasury'!AA$193*'Statistics NZ'!AA$488)</f>
        <v>3038.3790487653359</v>
      </c>
      <c r="K143" s="18">
        <f>J$143*'Population Treasury'!AC$193*'Statistics NZ'!AC$488/('Population Treasury'!AB$193*'Statistics NZ'!AB$488)</f>
        <v>3138.884365470713</v>
      </c>
      <c r="L143" s="18">
        <f>K$143*'Population Treasury'!AD$193*'Statistics NZ'!AD$488/('Population Treasury'!AC$193*'Statistics NZ'!AC$488)</f>
        <v>3259.5530832051713</v>
      </c>
      <c r="M143" s="18">
        <f>L$143*'Population Treasury'!AE$193*'Statistics NZ'!AE$488/('Population Treasury'!AD$193*'Statistics NZ'!AD$488)</f>
        <v>3370.1421686335907</v>
      </c>
      <c r="N143" s="18">
        <f>M$143*'Population Treasury'!AF$193*'Statistics NZ'!AF$488/('Population Treasury'!AE$193*'Statistics NZ'!AE$488)</f>
        <v>3500.7439770517203</v>
      </c>
      <c r="O143" s="18">
        <f>N$143*'Population Treasury'!AG$193*'Statistics NZ'!AG$488/('Population Treasury'!AF$193*'Statistics NZ'!AF$488)</f>
        <v>3671.8932328484857</v>
      </c>
      <c r="P143" s="18">
        <f>O$143*'Population Treasury'!AH$193*'Statistics NZ'!AH$488/('Population Treasury'!AG$193*'Statistics NZ'!AG$488)</f>
        <v>3762.2046110986525</v>
      </c>
      <c r="Q143" s="18">
        <f>P$143*'Population Treasury'!AI$193*'Statistics NZ'!AI$488/('Population Treasury'!AH$193*'Statistics NZ'!AH$488)</f>
        <v>3953.466898402588</v>
      </c>
      <c r="R143" s="18">
        <f>Q$143*'Population Treasury'!AJ$193*'Statistics NZ'!AJ$488/('Population Treasury'!AI$193*'Statistics NZ'!AI$488)</f>
        <v>4074.1672342168699</v>
      </c>
      <c r="S143" s="18">
        <f>R$143*'Population Treasury'!AK$193*'Statistics NZ'!AK$488/('Population Treasury'!AJ$193*'Statistics NZ'!AJ$488)</f>
        <v>4134.4537493038506</v>
      </c>
    </row>
    <row r="144" spans="1:19" x14ac:dyDescent="0.25">
      <c r="A144" s="12">
        <f>$A$74</f>
        <v>79</v>
      </c>
      <c r="B144" s="28">
        <f>'Population Treasury'!T$194*'Statistics NZ'!T$489*'Economic Forecasts'!V$8/B$7</f>
        <v>1721.9830028328613</v>
      </c>
      <c r="C144" s="28">
        <f>'Population Treasury'!U$194*'Statistics NZ'!U$489*'Economic Forecasts'!W$8/C$7</f>
        <v>1821.7379342077509</v>
      </c>
      <c r="D144" s="28">
        <f>'Population Treasury'!V$194*'Statistics NZ'!V$489*'Economic Forecasts'!X$8/D$7</f>
        <v>2189.895346529433</v>
      </c>
      <c r="E144" s="28">
        <f>'Population Treasury'!W$194*'Statistics NZ'!W$489*'Economic Forecasts'!Y$8/E$7</f>
        <v>2213.6591661567199</v>
      </c>
      <c r="F144" s="28">
        <f>'Population Treasury'!X$194*'Statistics NZ'!X$489*'Economic Forecasts'!Z$8/F$7</f>
        <v>2232.3648481698938</v>
      </c>
      <c r="G144" s="28">
        <f>'Population Treasury'!Y$194*'Statistics NZ'!Y$489*'Economic Forecasts'!AA$8/G$7</f>
        <v>2317.290046767253</v>
      </c>
      <c r="H144" s="28">
        <f>'Population Treasury'!Z$194*'Statistics NZ'!Z$489*'Economic Forecasts'!AB$8/H$7</f>
        <v>2361.7183396887476</v>
      </c>
      <c r="I144" s="28">
        <f>'Population Treasury'!AA$194*'Statistics NZ'!AA$489*'Economic Forecasts'!AC$8/I$7</f>
        <v>2424.5183495966899</v>
      </c>
      <c r="J144" s="18">
        <f>I$144*'Population Treasury'!AB$194*'Statistics NZ'!AB$489/('Population Treasury'!AA$194*'Statistics NZ'!AA$489)</f>
        <v>2494.7290114949442</v>
      </c>
      <c r="K144" s="18">
        <f>J$144*'Population Treasury'!AC$194*'Statistics NZ'!AC$489/('Population Treasury'!AB$194*'Statistics NZ'!AB$489)</f>
        <v>2615.446138770671</v>
      </c>
      <c r="L144" s="18">
        <f>K$144*'Population Treasury'!AD$194*'Statistics NZ'!AD$489/('Population Treasury'!AC$194*'Statistics NZ'!AC$489)</f>
        <v>2705.8291161910865</v>
      </c>
      <c r="M144" s="18">
        <f>L$144*'Population Treasury'!AE$194*'Statistics NZ'!AE$489/('Population Treasury'!AD$194*'Statistics NZ'!AD$489)</f>
        <v>2816.3716465709681</v>
      </c>
      <c r="N144" s="18">
        <f>M$144*'Population Treasury'!AF$194*'Statistics NZ'!AF$489/('Population Treasury'!AE$194*'Statistics NZ'!AE$489)</f>
        <v>2916.8541071480677</v>
      </c>
      <c r="O144" s="18">
        <f>N$144*'Population Treasury'!AG$194*'Statistics NZ'!AG$489/('Population Treasury'!AF$194*'Statistics NZ'!AF$489)</f>
        <v>3017.5450588847707</v>
      </c>
      <c r="P144" s="18">
        <f>O$144*'Population Treasury'!AH$194*'Statistics NZ'!AH$489/('Population Treasury'!AG$194*'Statistics NZ'!AG$489)</f>
        <v>3178.4322132246325</v>
      </c>
      <c r="Q144" s="18">
        <f>P$144*'Population Treasury'!AI$194*'Statistics NZ'!AI$489/('Population Treasury'!AH$194*'Statistics NZ'!AH$489)</f>
        <v>3248.8170703839191</v>
      </c>
      <c r="R144" s="18">
        <f>Q$144*'Population Treasury'!AJ$194*'Statistics NZ'!AJ$489/('Population Treasury'!AI$194*'Statistics NZ'!AI$489)</f>
        <v>3409.9758685329643</v>
      </c>
      <c r="S144" s="18">
        <f>R$144*'Population Treasury'!AK$194*'Statistics NZ'!AK$489/('Population Treasury'!AJ$194*'Statistics NZ'!AJ$489)</f>
        <v>3520.5516165194499</v>
      </c>
    </row>
    <row r="145" spans="1:19" x14ac:dyDescent="0.25">
      <c r="A145" s="12" t="str">
        <f>$A$75</f>
        <v>80 &amp; over</v>
      </c>
      <c r="B145" s="28">
        <f>SUM('Population Treasury'!T$195:T$210)*'Statistics NZ'!T$490*'Economic Forecasts'!V$8/B$7</f>
        <v>5680.5646185405894</v>
      </c>
      <c r="C145" s="28">
        <f>SUM('Population Treasury'!U$195:U$210)*'Statistics NZ'!U$490*'Economic Forecasts'!W$8/C$7</f>
        <v>5955.8209672295379</v>
      </c>
      <c r="D145" s="28">
        <f>SUM('Population Treasury'!V$195:V$210)*'Statistics NZ'!V$490*'Economic Forecasts'!X$8/D$7</f>
        <v>6297.7083915305466</v>
      </c>
      <c r="E145" s="28">
        <f>SUM('Population Treasury'!W$195:W$210)*'Statistics NZ'!W$490*'Economic Forecasts'!Y$8/E$7</f>
        <v>6933.5637664119668</v>
      </c>
      <c r="F145" s="28">
        <f>SUM('Population Treasury'!X$195:X$210)*'Statistics NZ'!X$490*'Economic Forecasts'!Z$8/F$7</f>
        <v>7490.0062855219358</v>
      </c>
      <c r="G145" s="28">
        <f>SUM('Population Treasury'!Y$195:Y$210)*'Statistics NZ'!Y$490*'Economic Forecasts'!AA$8/G$7</f>
        <v>7963.0061001305849</v>
      </c>
      <c r="H145" s="28">
        <f>SUM('Population Treasury'!Z$195:Z$210)*'Statistics NZ'!Z$490*'Economic Forecasts'!AB$8/H$7</f>
        <v>8423.2522389784681</v>
      </c>
      <c r="I145" s="28">
        <f>SUM('Population Treasury'!AA$195:AA$210)*'Statistics NZ'!AA$490*'Economic Forecasts'!AC$8/I$7</f>
        <v>8810.8569270529151</v>
      </c>
      <c r="J145" s="18">
        <f>I$145*SUM('Population Treasury'!AB$195:AB$210)*'Statistics NZ'!AB$490/(SUM('Population Treasury'!AA$195:AA$210)*'Statistics NZ'!AA$490)</f>
        <v>9183.9971871786383</v>
      </c>
      <c r="K145" s="18">
        <f>J$145*SUM('Population Treasury'!AC$195:AC$210)*'Statistics NZ'!AC$490/(SUM('Population Treasury'!AB$195:AB$210)*'Statistics NZ'!AB$490)</f>
        <v>9537.2281226134364</v>
      </c>
      <c r="L145" s="18">
        <f>K$145*SUM('Population Treasury'!AD$195:AD$210)*'Statistics NZ'!AD$490/(SUM('Population Treasury'!AC$195:AC$210)*'Statistics NZ'!AC$490)</f>
        <v>9930.2566702028162</v>
      </c>
      <c r="M145" s="18">
        <f>L$145*SUM('Population Treasury'!AE$195:AE$210)*'Statistics NZ'!AE$490/(SUM('Population Treasury'!AD$195:AD$210)*'Statistics NZ'!AD$490)</f>
        <v>10313.398142729646</v>
      </c>
      <c r="N145" s="18">
        <f>M$145*SUM('Population Treasury'!AF$195:AF$210)*'Statistics NZ'!AF$490/(SUM('Population Treasury'!AE$195:AE$210)*'Statistics NZ'!AE$490)</f>
        <v>10716.523852404909</v>
      </c>
      <c r="O145" s="18">
        <f>N$145*SUM('Population Treasury'!AG$195:AG$210)*'Statistics NZ'!AG$490/(SUM('Population Treasury'!AF$195:AF$210)*'Statistics NZ'!AF$490)</f>
        <v>11129.713258515283</v>
      </c>
      <c r="P145" s="18">
        <f>O$145*SUM('Population Treasury'!AH$195:AH$210)*'Statistics NZ'!AH$490/(SUM('Population Treasury'!AG$195:AG$210)*'Statistics NZ'!AG$490)</f>
        <v>11562.864607498579</v>
      </c>
      <c r="Q145" s="18">
        <f>P$145*SUM('Population Treasury'!AI$195:AI$210)*'Statistics NZ'!AI$490/(SUM('Population Treasury'!AH$195:AH$210)*'Statistics NZ'!AH$490)</f>
        <v>12056.046132261068</v>
      </c>
      <c r="R145" s="18">
        <f>Q$145*SUM('Population Treasury'!AJ$195:AJ$210)*'Statistics NZ'!AJ$490/(SUM('Population Treasury'!AI$195:AI$210)*'Statistics NZ'!AI$490)</f>
        <v>12529.342344505887</v>
      </c>
      <c r="S145" s="18">
        <f>R$145*SUM('Population Treasury'!AK$195:AK$210)*'Statistics NZ'!AK$490/(SUM('Population Treasury'!AJ$195:AJ$210)*'Statistics NZ'!AJ$490)</f>
        <v>13052.891308828943</v>
      </c>
    </row>
    <row r="146" spans="1:19" x14ac:dyDescent="0.25">
      <c r="A146" s="11" t="s">
        <v>387</v>
      </c>
      <c r="B146" s="30">
        <f t="shared" ref="B146:S146" si="3">SUM(B$80:B$145)</f>
        <v>1603185.9685454732</v>
      </c>
      <c r="C146" s="30">
        <f t="shared" si="3"/>
        <v>1598411.9447348139</v>
      </c>
      <c r="D146" s="30">
        <f t="shared" si="3"/>
        <v>1606378.0646005108</v>
      </c>
      <c r="E146" s="30">
        <f t="shared" si="3"/>
        <v>1630718.5325471361</v>
      </c>
      <c r="F146" s="30">
        <f t="shared" si="3"/>
        <v>1656839.4423189939</v>
      </c>
      <c r="G146" s="30">
        <f t="shared" si="3"/>
        <v>1680624.8111177883</v>
      </c>
      <c r="H146" s="30">
        <f t="shared" si="3"/>
        <v>1703261.9156173042</v>
      </c>
      <c r="I146" s="30">
        <f t="shared" si="3"/>
        <v>1724815.7686246997</v>
      </c>
      <c r="J146" s="19">
        <f t="shared" si="3"/>
        <v>1744662.5658257098</v>
      </c>
      <c r="K146" s="19">
        <f t="shared" si="3"/>
        <v>1764131.2544371118</v>
      </c>
      <c r="L146" s="19">
        <f t="shared" si="3"/>
        <v>1783082.2828067271</v>
      </c>
      <c r="M146" s="19">
        <f t="shared" si="3"/>
        <v>1801603.6106543858</v>
      </c>
      <c r="N146" s="19">
        <f t="shared" si="3"/>
        <v>1819964.9960577406</v>
      </c>
      <c r="O146" s="19">
        <f t="shared" si="3"/>
        <v>1837995.4345550532</v>
      </c>
      <c r="P146" s="19">
        <f t="shared" si="3"/>
        <v>1855562.2461441001</v>
      </c>
      <c r="Q146" s="19">
        <f t="shared" si="3"/>
        <v>1872576.3664955376</v>
      </c>
      <c r="R146" s="19">
        <f t="shared" si="3"/>
        <v>1889378.9009928186</v>
      </c>
      <c r="S146" s="19">
        <f t="shared" si="3"/>
        <v>1905880.0892344888</v>
      </c>
    </row>
  </sheetData>
  <phoneticPr fontId="30"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9613A-4328-4988-82BF-470EE0C07C5B}">
  <dimension ref="A1:AK102"/>
  <sheetViews>
    <sheetView workbookViewId="0">
      <pane xSplit="1" ySplit="5" topLeftCell="Z6" activePane="bottomRight" state="frozen"/>
      <selection activeCell="J44" sqref="J44"/>
      <selection pane="topRight" activeCell="J44" sqref="J44"/>
      <selection pane="bottomLeft" activeCell="J44" sqref="J44"/>
      <selection pane="bottomRight"/>
    </sheetView>
  </sheetViews>
  <sheetFormatPr defaultRowHeight="15" x14ac:dyDescent="0.25"/>
  <cols>
    <col min="1" max="1" width="60.7109375" customWidth="1"/>
    <col min="2" max="2" width="9.28515625" bestFit="1" customWidth="1"/>
    <col min="3" max="3" width="10.28515625" bestFit="1" customWidth="1"/>
    <col min="4" max="4" width="9.5703125" bestFit="1" customWidth="1"/>
    <col min="5" max="5" width="9.28515625" bestFit="1" customWidth="1"/>
  </cols>
  <sheetData>
    <row r="1" spans="1:37" x14ac:dyDescent="0.25">
      <c r="A1" s="11" t="s">
        <v>520</v>
      </c>
    </row>
    <row r="2" spans="1:37" x14ac:dyDescent="0.25">
      <c r="A2" s="14" t="s">
        <v>521</v>
      </c>
    </row>
    <row r="3" spans="1:37" x14ac:dyDescent="0.25">
      <c r="A3" s="12"/>
    </row>
    <row r="4" spans="1:37" x14ac:dyDescent="0.25">
      <c r="A4" s="11" t="s">
        <v>341</v>
      </c>
      <c r="D4" s="15" t="s">
        <v>344</v>
      </c>
      <c r="E4" s="15" t="s">
        <v>345</v>
      </c>
      <c r="F4" s="15" t="s">
        <v>346</v>
      </c>
      <c r="G4" s="15" t="s">
        <v>347</v>
      </c>
      <c r="H4" s="15" t="s">
        <v>348</v>
      </c>
      <c r="I4" s="15" t="s">
        <v>349</v>
      </c>
      <c r="J4" s="15" t="s">
        <v>350</v>
      </c>
      <c r="K4" s="15" t="s">
        <v>351</v>
      </c>
      <c r="L4" s="15" t="s">
        <v>352</v>
      </c>
      <c r="M4" s="15" t="s">
        <v>353</v>
      </c>
      <c r="N4" s="15" t="s">
        <v>354</v>
      </c>
      <c r="O4" s="15" t="s">
        <v>355</v>
      </c>
      <c r="P4" s="15" t="s">
        <v>356</v>
      </c>
      <c r="Q4" s="15" t="s">
        <v>357</v>
      </c>
      <c r="R4" s="15" t="s">
        <v>358</v>
      </c>
      <c r="S4" s="15" t="s">
        <v>359</v>
      </c>
      <c r="T4" s="15" t="s">
        <v>360</v>
      </c>
      <c r="U4" s="15" t="s">
        <v>361</v>
      </c>
      <c r="V4" s="15" t="s">
        <v>362</v>
      </c>
      <c r="W4" s="15" t="s">
        <v>363</v>
      </c>
      <c r="X4" s="15" t="s">
        <v>364</v>
      </c>
      <c r="Y4" s="15" t="s">
        <v>365</v>
      </c>
      <c r="Z4" s="15" t="s">
        <v>366</v>
      </c>
      <c r="AA4" s="15" t="s">
        <v>367</v>
      </c>
      <c r="AB4" s="15" t="s">
        <v>368</v>
      </c>
      <c r="AC4" s="15" t="s">
        <v>369</v>
      </c>
      <c r="AD4" s="15" t="s">
        <v>370</v>
      </c>
      <c r="AE4" s="15" t="s">
        <v>371</v>
      </c>
      <c r="AF4" s="15" t="s">
        <v>372</v>
      </c>
      <c r="AG4" s="15" t="s">
        <v>373</v>
      </c>
      <c r="AH4" s="15" t="s">
        <v>374</v>
      </c>
      <c r="AI4" s="15" t="s">
        <v>375</v>
      </c>
      <c r="AJ4" s="15" t="s">
        <v>376</v>
      </c>
      <c r="AK4" s="15" t="s">
        <v>1451</v>
      </c>
    </row>
    <row r="5" spans="1:37" x14ac:dyDescent="0.25">
      <c r="A5" s="2"/>
      <c r="D5" s="11">
        <v>2008</v>
      </c>
      <c r="E5" s="11">
        <v>2009</v>
      </c>
      <c r="F5" s="11">
        <v>2010</v>
      </c>
      <c r="G5" s="11">
        <v>2011</v>
      </c>
      <c r="H5" s="11">
        <v>2012</v>
      </c>
      <c r="I5" s="11">
        <v>2013</v>
      </c>
      <c r="J5" s="11">
        <v>2014</v>
      </c>
      <c r="K5" s="11">
        <v>2015</v>
      </c>
      <c r="L5" s="11">
        <v>2016</v>
      </c>
      <c r="M5" s="11">
        <v>2017</v>
      </c>
      <c r="N5" s="11">
        <v>2018</v>
      </c>
      <c r="O5" s="11">
        <v>2019</v>
      </c>
      <c r="P5" s="11">
        <v>2020</v>
      </c>
      <c r="Q5" s="11">
        <v>2021</v>
      </c>
      <c r="R5" s="11">
        <v>2022</v>
      </c>
      <c r="S5" s="11">
        <v>2023</v>
      </c>
      <c r="T5" s="11">
        <v>2024</v>
      </c>
      <c r="U5" s="11">
        <v>2025</v>
      </c>
      <c r="V5" s="11">
        <v>2026</v>
      </c>
      <c r="W5" s="11">
        <v>2027</v>
      </c>
      <c r="X5" s="11">
        <v>2028</v>
      </c>
      <c r="Y5" s="11">
        <v>2029</v>
      </c>
      <c r="Z5" s="11">
        <v>2030</v>
      </c>
      <c r="AA5" s="11">
        <v>2031</v>
      </c>
      <c r="AB5" s="11">
        <v>2032</v>
      </c>
      <c r="AC5" s="11">
        <v>2033</v>
      </c>
      <c r="AD5" s="11">
        <v>2034</v>
      </c>
      <c r="AE5" s="11">
        <v>2035</v>
      </c>
      <c r="AF5" s="11">
        <v>2036</v>
      </c>
      <c r="AG5" s="11">
        <v>2037</v>
      </c>
      <c r="AH5" s="11">
        <v>2038</v>
      </c>
      <c r="AI5" s="11">
        <v>2039</v>
      </c>
      <c r="AJ5" s="11">
        <v>2040</v>
      </c>
      <c r="AK5" s="11">
        <v>2041</v>
      </c>
    </row>
    <row r="6" spans="1:37" x14ac:dyDescent="0.25">
      <c r="A6" s="11" t="s">
        <v>522</v>
      </c>
      <c r="B6" s="11" t="s">
        <v>523</v>
      </c>
    </row>
    <row r="7" spans="1:37" x14ac:dyDescent="0.25">
      <c r="A7" s="12" t="s">
        <v>524</v>
      </c>
      <c r="D7" s="20">
        <v>0.38500000000000001</v>
      </c>
      <c r="E7" s="20">
        <v>0.38300000000000001</v>
      </c>
      <c r="F7" s="20">
        <v>0.433</v>
      </c>
      <c r="G7" s="20">
        <v>0.51800000000000002</v>
      </c>
      <c r="H7" s="20">
        <v>0.53900000000000003</v>
      </c>
      <c r="I7" s="20">
        <v>0.59499999999999997</v>
      </c>
      <c r="J7" s="20">
        <v>0.76700000000000002</v>
      </c>
      <c r="K7" s="20">
        <v>0.76</v>
      </c>
      <c r="L7" s="20">
        <v>0.752</v>
      </c>
      <c r="M7" s="20">
        <v>0.83299999999999996</v>
      </c>
      <c r="N7" s="20">
        <v>0.93500000000000005</v>
      </c>
      <c r="O7" s="20">
        <v>1.133</v>
      </c>
      <c r="P7" s="20">
        <v>0.80300000000000005</v>
      </c>
      <c r="Q7" s="20">
        <v>0.74199999999999999</v>
      </c>
      <c r="R7" s="20">
        <v>1.077</v>
      </c>
      <c r="S7" s="20">
        <v>1.32</v>
      </c>
      <c r="T7" s="20">
        <v>1.659</v>
      </c>
      <c r="U7" s="20">
        <v>1.784</v>
      </c>
      <c r="V7" s="20">
        <v>1.794</v>
      </c>
      <c r="W7" s="20">
        <v>1.7829999999999999</v>
      </c>
      <c r="X7" s="20">
        <v>1.8460000000000001</v>
      </c>
      <c r="Y7" s="20">
        <v>1.9339999999999999</v>
      </c>
      <c r="Z7" s="20">
        <v>2.0230000000000001</v>
      </c>
      <c r="AA7" s="20">
        <v>2.117</v>
      </c>
      <c r="AB7" s="20">
        <v>2.2826423397519768</v>
      </c>
      <c r="AC7" s="20">
        <v>2.4227195267047787</v>
      </c>
      <c r="AD7" s="20">
        <v>2.5686040258743446</v>
      </c>
      <c r="AE7" s="20">
        <v>2.7205525842122014</v>
      </c>
      <c r="AF7" s="20">
        <v>2.8785731084689492</v>
      </c>
      <c r="AG7" s="20">
        <v>3.0428005523082655</v>
      </c>
      <c r="AH7" s="20">
        <v>3.2145377933622776</v>
      </c>
      <c r="AI7" s="20">
        <v>3.3954730466939047</v>
      </c>
      <c r="AJ7" s="20">
        <v>3.5876200801183402</v>
      </c>
      <c r="AK7" s="20">
        <v>3.7932149643970732</v>
      </c>
    </row>
    <row r="8" spans="1:37" x14ac:dyDescent="0.25">
      <c r="A8" s="14" t="s">
        <v>525</v>
      </c>
      <c r="D8" s="20">
        <v>0.23699999999999999</v>
      </c>
      <c r="E8" s="20">
        <v>4.0000000000000001E-3</v>
      </c>
      <c r="F8" s="20">
        <v>-2.7E-2</v>
      </c>
      <c r="G8" s="20">
        <v>0.872</v>
      </c>
      <c r="H8" s="20">
        <v>0.16</v>
      </c>
      <c r="I8" s="20">
        <v>0.98299999999999998</v>
      </c>
      <c r="J8" s="20">
        <v>1.0740000000000001</v>
      </c>
      <c r="K8" s="20">
        <v>4.5999999999999999E-2</v>
      </c>
      <c r="L8" s="20">
        <v>0.51200000000000001</v>
      </c>
      <c r="M8" s="20">
        <v>1.139</v>
      </c>
      <c r="N8" s="20">
        <v>0.24099999999999999</v>
      </c>
      <c r="O8" s="20">
        <v>0.54</v>
      </c>
      <c r="P8" s="20">
        <v>0.44800000000000001</v>
      </c>
      <c r="Q8" s="20">
        <v>2.1560000000000001</v>
      </c>
      <c r="R8" s="20">
        <v>3.5000000000000003E-2</v>
      </c>
      <c r="S8" s="20">
        <v>0.127</v>
      </c>
      <c r="T8" s="20">
        <v>1.29</v>
      </c>
      <c r="U8" s="20">
        <v>1.7549999999999999</v>
      </c>
      <c r="V8" s="20">
        <v>1.196</v>
      </c>
      <c r="W8" s="20">
        <v>1.1910000000000001</v>
      </c>
      <c r="X8" s="20">
        <v>1.2689999999999999</v>
      </c>
      <c r="Y8" s="20">
        <v>1.351</v>
      </c>
      <c r="Z8" s="20">
        <v>1.4419999999999999</v>
      </c>
      <c r="AA8" s="20">
        <v>1.54</v>
      </c>
      <c r="AB8" s="20">
        <v>1.6465642618703413</v>
      </c>
      <c r="AC8" s="20">
        <v>1.7476077262463132</v>
      </c>
      <c r="AD8" s="20">
        <v>1.8528402449419756</v>
      </c>
      <c r="AE8" s="20">
        <v>1.9624470201448843</v>
      </c>
      <c r="AF8" s="20">
        <v>2.0764337553210344</v>
      </c>
      <c r="AG8" s="20">
        <v>2.194897798125707</v>
      </c>
      <c r="AH8" s="20">
        <v>2.3187789680432305</v>
      </c>
      <c r="AI8" s="20">
        <v>2.4492950443728607</v>
      </c>
      <c r="AJ8" s="20">
        <v>2.5878986410692479</v>
      </c>
      <c r="AK8" s="20">
        <v>2.736202728390047</v>
      </c>
    </row>
    <row r="9" spans="1:37" x14ac:dyDescent="0.25">
      <c r="A9" s="12" t="s">
        <v>526</v>
      </c>
      <c r="D9" s="20">
        <v>3.4000000000000002E-2</v>
      </c>
      <c r="E9" s="20">
        <v>-0.32300000000000001</v>
      </c>
      <c r="F9" s="20">
        <v>0.502</v>
      </c>
      <c r="G9" s="20">
        <v>0.16900000000000001</v>
      </c>
      <c r="H9" s="20">
        <v>0.13200000000000001</v>
      </c>
      <c r="I9" s="20">
        <v>0.16500000000000001</v>
      </c>
      <c r="J9" s="20">
        <v>0.16400000000000001</v>
      </c>
      <c r="K9" s="20">
        <v>0.19800000000000001</v>
      </c>
      <c r="L9" s="20">
        <v>0.13800000000000001</v>
      </c>
      <c r="M9" s="20">
        <v>0.22700000000000001</v>
      </c>
      <c r="N9" s="20">
        <v>0.34100000000000003</v>
      </c>
      <c r="O9" s="20">
        <v>0.255</v>
      </c>
      <c r="P9" s="20">
        <v>0.15</v>
      </c>
      <c r="Q9" s="20">
        <v>0.125</v>
      </c>
      <c r="R9" s="20">
        <v>-0.51700000000000002</v>
      </c>
      <c r="S9" s="20">
        <v>1.054</v>
      </c>
      <c r="T9" s="20">
        <v>0.189</v>
      </c>
      <c r="U9" s="20">
        <v>0.193</v>
      </c>
      <c r="V9" s="20">
        <v>0.218</v>
      </c>
      <c r="W9" s="20">
        <v>0.32200000000000001</v>
      </c>
      <c r="X9" s="20">
        <v>0.33600000000000002</v>
      </c>
      <c r="Y9" s="20">
        <v>0.35199999999999998</v>
      </c>
      <c r="Z9" s="20">
        <v>0.371</v>
      </c>
      <c r="AA9" s="20">
        <v>0.39100000000000001</v>
      </c>
      <c r="AB9" s="20">
        <v>0.41851304952192758</v>
      </c>
      <c r="AC9" s="20">
        <v>0.44419562346666575</v>
      </c>
      <c r="AD9" s="20">
        <v>0.47094294413192073</v>
      </c>
      <c r="AE9" s="20">
        <v>0.49880208501132234</v>
      </c>
      <c r="AF9" s="20">
        <v>0.52777449577495117</v>
      </c>
      <c r="AG9" s="20">
        <v>0.55788491961991127</v>
      </c>
      <c r="AH9" s="20">
        <v>0.58937223378136083</v>
      </c>
      <c r="AI9" s="20">
        <v>0.62254596552159913</v>
      </c>
      <c r="AJ9" s="20">
        <v>0.65777533085606932</v>
      </c>
      <c r="AK9" s="20">
        <v>0.69547030412768118</v>
      </c>
    </row>
    <row r="10" spans="1:37" x14ac:dyDescent="0.25">
      <c r="A10" s="12" t="s">
        <v>527</v>
      </c>
      <c r="D10" s="20">
        <v>-0.995</v>
      </c>
      <c r="E10" s="20">
        <v>-3.4950000000000001</v>
      </c>
      <c r="F10" s="20">
        <v>1.75</v>
      </c>
      <c r="G10" s="20">
        <v>3.5179999999999998</v>
      </c>
      <c r="H10" s="20">
        <v>-0.20399999999999999</v>
      </c>
      <c r="I10" s="20">
        <v>4.3739999999999997</v>
      </c>
      <c r="J10" s="20">
        <v>3.7349999999999999</v>
      </c>
      <c r="K10" s="20">
        <v>3.1560000000000001</v>
      </c>
      <c r="L10" s="20">
        <v>-7.5999999999999998E-2</v>
      </c>
      <c r="M10" s="20">
        <v>5.5119999999999996</v>
      </c>
      <c r="N10" s="20">
        <v>3.5640000000000001</v>
      </c>
      <c r="O10" s="20">
        <v>1.986</v>
      </c>
      <c r="P10" s="20">
        <v>1.7000000000000001E-2</v>
      </c>
      <c r="Q10" s="20">
        <v>12.786</v>
      </c>
      <c r="R10" s="20">
        <v>-5.133</v>
      </c>
      <c r="S10" s="20">
        <v>5.766</v>
      </c>
      <c r="T10" s="20">
        <v>8.3520000000000003</v>
      </c>
      <c r="U10" s="20">
        <v>7.3129999999999997</v>
      </c>
      <c r="V10" s="20">
        <v>10.27</v>
      </c>
      <c r="W10" s="20">
        <v>5.2359999999999998</v>
      </c>
      <c r="X10" s="20">
        <v>5.6260000000000003</v>
      </c>
      <c r="Y10" s="20">
        <v>6.0119999999999996</v>
      </c>
      <c r="Z10" s="20">
        <v>6.4580000000000002</v>
      </c>
      <c r="AA10" s="20">
        <v>6.9329999999999998</v>
      </c>
      <c r="AB10" s="20">
        <v>7.2834499423829602</v>
      </c>
      <c r="AC10" s="20">
        <v>7.7304079092414062</v>
      </c>
      <c r="AD10" s="20">
        <v>8.1958958346018864</v>
      </c>
      <c r="AE10" s="20">
        <v>8.6807329460484794</v>
      </c>
      <c r="AF10" s="20">
        <v>9.1849444724228615</v>
      </c>
      <c r="AG10" s="20">
        <v>9.7089610235655766</v>
      </c>
      <c r="AH10" s="20">
        <v>10.256939818437033</v>
      </c>
      <c r="AI10" s="20">
        <v>10.834267609788034</v>
      </c>
      <c r="AJ10" s="20">
        <v>11.447369923344665</v>
      </c>
      <c r="AK10" s="20">
        <v>12.103381608564206</v>
      </c>
    </row>
    <row r="11" spans="1:37" x14ac:dyDescent="0.25">
      <c r="A11" s="12" t="s">
        <v>528</v>
      </c>
      <c r="D11" s="20">
        <v>2.1040000000000001</v>
      </c>
      <c r="E11" s="20">
        <v>2.2429999999999999</v>
      </c>
      <c r="F11" s="20">
        <v>0.25</v>
      </c>
      <c r="G11" s="20">
        <v>0</v>
      </c>
      <c r="H11" s="20">
        <v>0</v>
      </c>
      <c r="I11" s="20">
        <v>0</v>
      </c>
      <c r="J11" s="20">
        <v>0</v>
      </c>
      <c r="K11" s="20">
        <v>0</v>
      </c>
      <c r="L11" s="20">
        <v>0</v>
      </c>
      <c r="M11" s="20">
        <v>0</v>
      </c>
      <c r="N11" s="20">
        <v>0.5</v>
      </c>
      <c r="O11" s="20">
        <v>1</v>
      </c>
      <c r="P11" s="20">
        <v>1.46</v>
      </c>
      <c r="Q11" s="20">
        <v>2.12</v>
      </c>
      <c r="R11" s="20">
        <v>2.42</v>
      </c>
      <c r="S11" s="20">
        <v>2.5579999999999998</v>
      </c>
      <c r="T11" s="20">
        <v>1.6140000000000008</v>
      </c>
      <c r="U11" s="20">
        <v>0.87900000000000134</v>
      </c>
      <c r="V11" s="20">
        <v>0</v>
      </c>
      <c r="W11" s="20">
        <v>0.56200000000000006</v>
      </c>
      <c r="X11" s="20">
        <v>0.155</v>
      </c>
      <c r="Y11" s="20">
        <v>0.35</v>
      </c>
      <c r="Z11" s="20">
        <v>0.44900000000000001</v>
      </c>
      <c r="AA11" s="20">
        <v>0.47299999999999998</v>
      </c>
      <c r="AB11" s="20">
        <v>0.35431289191672377</v>
      </c>
      <c r="AC11" s="20">
        <v>0.22475822866131523</v>
      </c>
      <c r="AD11" s="20">
        <v>7.8613672750343255E-2</v>
      </c>
      <c r="AE11" s="20">
        <v>-5.8113137154620631E-2</v>
      </c>
      <c r="AF11" s="20">
        <v>-0.24914726512719909</v>
      </c>
      <c r="AG11" s="20">
        <v>-0.40218976675939189</v>
      </c>
      <c r="AH11" s="20">
        <v>-0.48609182297989406</v>
      </c>
      <c r="AI11" s="20">
        <v>-0.50053159184796669</v>
      </c>
      <c r="AJ11" s="20">
        <v>-0.41817925544185641</v>
      </c>
      <c r="AK11" s="20">
        <v>-0.2592683764618755</v>
      </c>
    </row>
    <row r="12" spans="1:37" x14ac:dyDescent="0.25">
      <c r="A12" s="12" t="s">
        <v>529</v>
      </c>
      <c r="D12" s="20">
        <v>1.6E-2</v>
      </c>
      <c r="E12" s="20">
        <v>2.5999999999999999E-2</v>
      </c>
      <c r="F12" s="20">
        <v>0.01</v>
      </c>
      <c r="G12" s="20">
        <v>1E-3</v>
      </c>
      <c r="H12" s="20">
        <v>8.0000000000000002E-3</v>
      </c>
      <c r="I12" s="20">
        <v>2.5000000000000001E-2</v>
      </c>
      <c r="J12" s="20">
        <v>-4.0000000000000001E-3</v>
      </c>
      <c r="K12" s="20">
        <v>4.1000000000000002E-2</v>
      </c>
      <c r="L12" s="20">
        <v>-2.1000000000000001E-2</v>
      </c>
      <c r="M12" s="20">
        <v>0</v>
      </c>
      <c r="N12" s="20">
        <v>0.13</v>
      </c>
      <c r="O12" s="20">
        <v>6.8000000000000005E-2</v>
      </c>
      <c r="P12" s="20">
        <v>-0.13</v>
      </c>
      <c r="Q12" s="20">
        <v>1E-3</v>
      </c>
      <c r="R12" s="20">
        <v>-1E-3</v>
      </c>
      <c r="S12" s="20">
        <v>0</v>
      </c>
      <c r="T12" s="20">
        <v>0</v>
      </c>
      <c r="U12" s="20">
        <v>0</v>
      </c>
      <c r="V12" s="20">
        <v>0</v>
      </c>
      <c r="W12" s="20">
        <v>0</v>
      </c>
      <c r="X12" s="20">
        <v>0</v>
      </c>
      <c r="Y12" s="20">
        <v>0</v>
      </c>
      <c r="Z12" s="20">
        <v>0</v>
      </c>
      <c r="AA12" s="20">
        <v>0</v>
      </c>
      <c r="AB12" s="20">
        <v>0</v>
      </c>
      <c r="AC12" s="20">
        <v>0</v>
      </c>
      <c r="AD12" s="20">
        <v>0</v>
      </c>
      <c r="AE12" s="20">
        <v>0</v>
      </c>
      <c r="AF12" s="20">
        <v>0</v>
      </c>
      <c r="AG12" s="20">
        <v>0</v>
      </c>
      <c r="AH12" s="20">
        <v>0</v>
      </c>
      <c r="AI12" s="20">
        <v>0</v>
      </c>
      <c r="AJ12" s="20">
        <v>0</v>
      </c>
      <c r="AK12" s="20">
        <v>0</v>
      </c>
    </row>
    <row r="13" spans="1:37" x14ac:dyDescent="0.25">
      <c r="A13" s="11" t="s">
        <v>530</v>
      </c>
      <c r="D13" s="21">
        <v>14.212000000000002</v>
      </c>
      <c r="E13" s="21">
        <v>13.688000000000001</v>
      </c>
      <c r="F13" s="21">
        <v>15.656000000000001</v>
      </c>
      <c r="G13" s="21">
        <v>18.652000000000001</v>
      </c>
      <c r="H13" s="21">
        <v>18.702999999999999</v>
      </c>
      <c r="I13" s="21">
        <v>22.548999999999999</v>
      </c>
      <c r="J13" s="21">
        <v>25.808999999999997</v>
      </c>
      <c r="K13" s="21">
        <v>29.521999999999998</v>
      </c>
      <c r="L13" s="21">
        <v>29.526999999999997</v>
      </c>
      <c r="M13" s="21">
        <v>34.506</v>
      </c>
      <c r="N13" s="21">
        <v>39.053000000000004</v>
      </c>
      <c r="O13" s="21">
        <v>42.445</v>
      </c>
      <c r="P13" s="21">
        <v>43.997</v>
      </c>
      <c r="Q13" s="21">
        <v>57.364999999999995</v>
      </c>
      <c r="R13" s="21">
        <v>56.21</v>
      </c>
      <c r="S13" s="21">
        <v>64.673000000000002</v>
      </c>
      <c r="T13" s="21">
        <v>74.819000000000003</v>
      </c>
      <c r="U13" s="21">
        <v>82.846999999999994</v>
      </c>
      <c r="V13" s="21">
        <v>93.497000000000028</v>
      </c>
      <c r="W13" s="21">
        <v>99.565000000000026</v>
      </c>
      <c r="X13" s="21">
        <v>105.58700000000003</v>
      </c>
      <c r="Y13" s="21">
        <v>112.18000000000002</v>
      </c>
      <c r="Z13" s="21">
        <v>119.29700000000003</v>
      </c>
      <c r="AA13" s="21">
        <v>126.88900000000002</v>
      </c>
      <c r="AB13" s="21">
        <v>134.74432786265942</v>
      </c>
      <c r="AC13" s="21">
        <v>142.93041017755394</v>
      </c>
      <c r="AD13" s="21">
        <v>151.44974052170662</v>
      </c>
      <c r="AE13" s="21">
        <v>160.33166380965645</v>
      </c>
      <c r="AF13" s="21">
        <v>169.54182587432507</v>
      </c>
      <c r="AG13" s="21">
        <v>179.1386149656939</v>
      </c>
      <c r="AH13" s="21">
        <v>189.21584955268875</v>
      </c>
      <c r="AI13" s="21">
        <v>199.87321760742827</v>
      </c>
      <c r="AJ13" s="21">
        <v>211.2443543835241</v>
      </c>
      <c r="AK13" s="21">
        <v>223.45000954750577</v>
      </c>
    </row>
    <row r="14" spans="1:37" x14ac:dyDescent="0.25">
      <c r="A14" s="12"/>
    </row>
    <row r="15" spans="1:37" x14ac:dyDescent="0.25">
      <c r="A15" s="11" t="s">
        <v>531</v>
      </c>
      <c r="B15" s="11" t="s">
        <v>523</v>
      </c>
    </row>
    <row r="16" spans="1:37" x14ac:dyDescent="0.25">
      <c r="A16" s="12" t="s">
        <v>532</v>
      </c>
      <c r="D16" s="20">
        <v>1.2010000000000001</v>
      </c>
      <c r="E16" s="20">
        <v>1.35</v>
      </c>
      <c r="F16" s="20">
        <v>1.5249999999999999</v>
      </c>
      <c r="G16" s="20">
        <v>1.5640000000000001</v>
      </c>
      <c r="H16" s="20">
        <v>1.5860000000000001</v>
      </c>
      <c r="I16" s="20">
        <v>1.4810000000000001</v>
      </c>
      <c r="J16" s="20">
        <v>1.512</v>
      </c>
      <c r="K16" s="20">
        <v>1.518</v>
      </c>
      <c r="L16" s="20">
        <v>1.512</v>
      </c>
      <c r="M16" s="20">
        <v>1.4750000000000001</v>
      </c>
      <c r="N16" s="20">
        <v>1.3</v>
      </c>
      <c r="O16" s="20">
        <v>1.361</v>
      </c>
      <c r="P16" s="20">
        <v>1.413</v>
      </c>
      <c r="Q16" s="20">
        <v>1.43</v>
      </c>
      <c r="R16" s="20">
        <v>1.2949999999999999</v>
      </c>
      <c r="S16" s="20">
        <v>1.2709999999999999</v>
      </c>
      <c r="T16" s="20">
        <v>1.3480000000000001</v>
      </c>
      <c r="U16" s="20">
        <v>1.7090000000000001</v>
      </c>
      <c r="V16" s="20">
        <v>2.0089999999999999</v>
      </c>
      <c r="W16" s="20">
        <v>2.1560000000000001</v>
      </c>
      <c r="X16" s="20">
        <v>2.1890000000000001</v>
      </c>
      <c r="Y16" s="20">
        <v>2.1920000000000002</v>
      </c>
      <c r="Z16" s="20">
        <v>2.2149999999999999</v>
      </c>
      <c r="AA16" s="20">
        <v>2.2530000000000001</v>
      </c>
      <c r="AB16" s="20">
        <v>2.2959999999999998</v>
      </c>
      <c r="AC16" s="20">
        <v>2.3319999999999999</v>
      </c>
      <c r="AD16" s="20">
        <v>2.3660000000000001</v>
      </c>
      <c r="AE16" s="20">
        <v>2.3969999999999998</v>
      </c>
      <c r="AF16" s="20">
        <v>2.4260000000000002</v>
      </c>
      <c r="AG16" s="20">
        <v>2.456</v>
      </c>
      <c r="AH16" s="20">
        <v>2.4860000000000002</v>
      </c>
      <c r="AI16" s="20">
        <v>2.5179999999999998</v>
      </c>
      <c r="AJ16" s="20">
        <v>2.5510000000000002</v>
      </c>
      <c r="AK16" s="20">
        <v>2.5840000000000001</v>
      </c>
    </row>
    <row r="17" spans="1:37" x14ac:dyDescent="0.25">
      <c r="A17" s="12" t="s">
        <v>533</v>
      </c>
      <c r="D17" s="20">
        <v>7.0000000000000001E-3</v>
      </c>
      <c r="E17" s="20">
        <v>1.7999999999999999E-2</v>
      </c>
      <c r="F17" s="20">
        <v>1.0999999999999999E-2</v>
      </c>
      <c r="G17" s="20">
        <v>1.2E-2</v>
      </c>
      <c r="H17" s="20">
        <v>1.0999999999999999E-2</v>
      </c>
      <c r="I17" s="20">
        <v>0</v>
      </c>
      <c r="J17" s="20">
        <v>1.0999999999999999E-2</v>
      </c>
      <c r="K17" s="20">
        <v>1.0999999999999999E-2</v>
      </c>
      <c r="L17" s="20">
        <v>0.01</v>
      </c>
      <c r="M17" s="20">
        <v>0.01</v>
      </c>
      <c r="N17" s="20">
        <v>3.5999999999999997E-2</v>
      </c>
      <c r="O17" s="20">
        <v>3.5999999999999997E-2</v>
      </c>
      <c r="P17" s="20">
        <v>3.5999999999999997E-2</v>
      </c>
      <c r="Q17" s="20">
        <v>3.7999999999999999E-2</v>
      </c>
      <c r="R17" s="20">
        <v>3.7999999999999999E-2</v>
      </c>
      <c r="S17" s="20">
        <v>0.03</v>
      </c>
      <c r="T17" s="20">
        <v>2.8000000000000001E-2</v>
      </c>
      <c r="U17" s="20">
        <v>2.5999999999999999E-2</v>
      </c>
      <c r="V17" s="20">
        <v>2.8000000000000001E-2</v>
      </c>
      <c r="W17" s="20">
        <v>3.4000000000000002E-2</v>
      </c>
      <c r="X17" s="20">
        <v>3.4000000000000002E-2</v>
      </c>
      <c r="Y17" s="20">
        <v>3.4000000000000002E-2</v>
      </c>
      <c r="Z17" s="20">
        <v>3.6999999999999998E-2</v>
      </c>
      <c r="AA17" s="20">
        <v>3.7999999999999999E-2</v>
      </c>
      <c r="AB17" s="20">
        <v>3.9E-2</v>
      </c>
      <c r="AC17" s="20">
        <v>0.04</v>
      </c>
      <c r="AD17" s="20">
        <v>4.1000000000000002E-2</v>
      </c>
      <c r="AE17" s="20">
        <v>4.2000000000000003E-2</v>
      </c>
      <c r="AF17" s="20">
        <v>4.2999999999999997E-2</v>
      </c>
      <c r="AG17" s="20">
        <v>4.3999999999999997E-2</v>
      </c>
      <c r="AH17" s="20">
        <v>4.4999999999999998E-2</v>
      </c>
      <c r="AI17" s="20">
        <v>4.5999999999999999E-2</v>
      </c>
      <c r="AJ17" s="20">
        <v>4.7E-2</v>
      </c>
      <c r="AK17" s="20">
        <v>4.8000000000000001E-2</v>
      </c>
    </row>
    <row r="18" spans="1:37" x14ac:dyDescent="0.25">
      <c r="A18" s="14" t="s">
        <v>534</v>
      </c>
      <c r="D18" s="20">
        <v>0.48699999999999999</v>
      </c>
      <c r="E18" s="20">
        <v>0.53200000000000003</v>
      </c>
      <c r="F18" s="20">
        <v>0.72799999999999998</v>
      </c>
      <c r="G18" s="20">
        <v>0.71299999999999997</v>
      </c>
      <c r="H18" s="20">
        <v>0.70099999999999996</v>
      </c>
      <c r="I18" s="20">
        <v>0.53600000000000003</v>
      </c>
      <c r="J18" s="20">
        <v>0.63</v>
      </c>
      <c r="K18" s="20">
        <v>0.60199999999999998</v>
      </c>
      <c r="L18" s="20">
        <v>0.65900000000000003</v>
      </c>
      <c r="M18" s="20">
        <v>0.66200000000000003</v>
      </c>
      <c r="N18" s="20">
        <v>0.59399999999999997</v>
      </c>
      <c r="O18" s="20">
        <v>0.56299999999999994</v>
      </c>
      <c r="P18" s="20">
        <v>0.50600000000000001</v>
      </c>
      <c r="Q18" s="20">
        <v>0.46899999999999997</v>
      </c>
      <c r="R18" s="20">
        <v>0.48899999999999999</v>
      </c>
      <c r="S18" s="20">
        <v>0.55100000000000005</v>
      </c>
      <c r="T18" s="20">
        <v>0.54400000000000004</v>
      </c>
      <c r="U18" s="20">
        <v>0.58499999999999996</v>
      </c>
      <c r="V18" s="20">
        <v>0.76300000000000001</v>
      </c>
      <c r="W18" s="20">
        <v>0.72399999999999998</v>
      </c>
      <c r="X18" s="20">
        <v>0.78600000000000003</v>
      </c>
      <c r="Y18" s="20">
        <v>0.82099999999999995</v>
      </c>
      <c r="Z18" s="20">
        <v>0.85299999999999998</v>
      </c>
      <c r="AA18" s="20">
        <v>0.88300000000000001</v>
      </c>
      <c r="AB18" s="20">
        <v>0.91100000000000003</v>
      </c>
      <c r="AC18" s="20">
        <v>0.93799999999999994</v>
      </c>
      <c r="AD18" s="20">
        <v>0.96199999999999997</v>
      </c>
      <c r="AE18" s="20">
        <v>0.98499999999999999</v>
      </c>
      <c r="AF18" s="20">
        <v>1.006</v>
      </c>
      <c r="AG18" s="20">
        <v>1.0249999999999999</v>
      </c>
      <c r="AH18" s="20">
        <v>1.046</v>
      </c>
      <c r="AI18" s="20">
        <v>1.0669999999999999</v>
      </c>
      <c r="AJ18" s="20">
        <v>1.0880000000000001</v>
      </c>
      <c r="AK18" s="20">
        <v>1.109</v>
      </c>
    </row>
    <row r="19" spans="1:37" x14ac:dyDescent="0.25">
      <c r="A19" s="14" t="s">
        <v>535</v>
      </c>
      <c r="D19" s="20">
        <v>0.629</v>
      </c>
      <c r="E19" s="20">
        <v>0.71</v>
      </c>
      <c r="F19" s="20">
        <v>0.754</v>
      </c>
      <c r="G19" s="20">
        <v>0.80200000000000005</v>
      </c>
      <c r="H19" s="20">
        <v>0.877</v>
      </c>
      <c r="I19" s="20">
        <v>1.054</v>
      </c>
      <c r="J19" s="20">
        <v>1.032</v>
      </c>
      <c r="K19" s="20">
        <v>1.1140000000000001</v>
      </c>
      <c r="L19" s="20">
        <v>1.208</v>
      </c>
      <c r="M19" s="20">
        <v>1.272</v>
      </c>
      <c r="N19" s="20">
        <v>1.3480000000000001</v>
      </c>
      <c r="O19" s="20">
        <v>1.371</v>
      </c>
      <c r="P19" s="20">
        <v>1.4770000000000001</v>
      </c>
      <c r="Q19" s="20">
        <v>1.4950000000000001</v>
      </c>
      <c r="R19" s="20">
        <v>1.605</v>
      </c>
      <c r="S19" s="20">
        <v>1.6339999999999999</v>
      </c>
      <c r="T19" s="20">
        <v>1.5980000000000001</v>
      </c>
      <c r="U19" s="20">
        <v>1.5620000000000001</v>
      </c>
      <c r="V19" s="20">
        <v>1.6279999999999999</v>
      </c>
      <c r="W19" s="20">
        <v>1.726</v>
      </c>
      <c r="X19" s="20">
        <v>1.8009999999999999</v>
      </c>
      <c r="Y19" s="20">
        <v>1.863</v>
      </c>
      <c r="Z19" s="20">
        <v>1.9319999999999999</v>
      </c>
      <c r="AA19" s="20">
        <v>2.0049999999999999</v>
      </c>
      <c r="AB19" s="20">
        <v>1.9910000000000001</v>
      </c>
      <c r="AC19" s="20">
        <v>2.0409999999999999</v>
      </c>
      <c r="AD19" s="20">
        <v>2.09</v>
      </c>
      <c r="AE19" s="20">
        <v>2.1389999999999998</v>
      </c>
      <c r="AF19" s="20">
        <v>2.1859999999999999</v>
      </c>
      <c r="AG19" s="20">
        <v>2.2309999999999999</v>
      </c>
      <c r="AH19" s="20">
        <v>2.2759999999999998</v>
      </c>
      <c r="AI19" s="20">
        <v>2.319</v>
      </c>
      <c r="AJ19" s="20">
        <v>2.3570000000000002</v>
      </c>
      <c r="AK19" s="20">
        <v>2.395</v>
      </c>
    </row>
    <row r="20" spans="1:37" x14ac:dyDescent="0.25">
      <c r="A20" s="12" t="s">
        <v>536</v>
      </c>
      <c r="D20" s="20">
        <v>0.40699999999999997</v>
      </c>
      <c r="E20" s="20">
        <v>0.46500000000000002</v>
      </c>
      <c r="F20" s="20">
        <v>0.46300000000000002</v>
      </c>
      <c r="G20" s="20">
        <v>0.48399999999999999</v>
      </c>
      <c r="H20" s="20">
        <v>0.52600000000000002</v>
      </c>
      <c r="I20" s="20">
        <v>0.59</v>
      </c>
      <c r="J20" s="20">
        <v>0.57899999999999996</v>
      </c>
      <c r="K20" s="20">
        <v>0.60399999999999998</v>
      </c>
      <c r="L20" s="20">
        <v>0.60299999999999998</v>
      </c>
      <c r="M20" s="20">
        <v>0.60199999999999998</v>
      </c>
      <c r="N20" s="20">
        <v>0.60399999999999998</v>
      </c>
      <c r="O20" s="20">
        <v>0.39400000000000002</v>
      </c>
      <c r="P20" s="20">
        <v>0.33100000000000002</v>
      </c>
      <c r="Q20" s="20">
        <v>0.23499999999999999</v>
      </c>
      <c r="R20" s="20">
        <v>0.28000000000000003</v>
      </c>
      <c r="S20" s="20">
        <v>0.57699999999999996</v>
      </c>
      <c r="T20" s="20">
        <v>0.63400000000000001</v>
      </c>
      <c r="U20" s="20">
        <v>0.49199999999999999</v>
      </c>
      <c r="V20" s="20">
        <v>0.311</v>
      </c>
      <c r="W20" s="20">
        <v>0.36299999999999999</v>
      </c>
      <c r="X20" s="20">
        <v>0.44600000000000001</v>
      </c>
      <c r="Y20" s="20">
        <v>0.47399999999999998</v>
      </c>
      <c r="Z20" s="20">
        <v>0.501</v>
      </c>
      <c r="AA20" s="20">
        <v>0.52600000000000002</v>
      </c>
      <c r="AB20" s="20">
        <v>0.56899999999999995</v>
      </c>
      <c r="AC20" s="20">
        <v>0.60499999999999998</v>
      </c>
      <c r="AD20" s="20">
        <v>0.63900000000000001</v>
      </c>
      <c r="AE20" s="20">
        <v>0.67</v>
      </c>
      <c r="AF20" s="20">
        <v>0.69899999999999995</v>
      </c>
      <c r="AG20" s="20">
        <v>0.72899999999999998</v>
      </c>
      <c r="AH20" s="20">
        <v>0.75900000000000001</v>
      </c>
      <c r="AI20" s="20">
        <v>0.79100000000000004</v>
      </c>
      <c r="AJ20" s="20">
        <v>0.82399999999999995</v>
      </c>
      <c r="AK20" s="20">
        <v>0.85699999999999998</v>
      </c>
    </row>
    <row r="21" spans="1:37" x14ac:dyDescent="0.25">
      <c r="A21" s="12" t="s">
        <v>537</v>
      </c>
      <c r="D21" s="20">
        <v>0.23100000000000001</v>
      </c>
      <c r="E21" s="20">
        <v>-0.77900000000000003</v>
      </c>
      <c r="F21" s="20">
        <v>-0.28000000000000003</v>
      </c>
      <c r="G21" s="20">
        <v>0.125</v>
      </c>
      <c r="H21" s="20">
        <v>0.28599999999999998</v>
      </c>
      <c r="I21" s="20">
        <v>-0.48399999999999999</v>
      </c>
      <c r="J21" s="20">
        <v>-1.2E-2</v>
      </c>
      <c r="K21" s="20">
        <v>-0.26900000000000002</v>
      </c>
      <c r="L21" s="20">
        <v>-0.14000000000000001</v>
      </c>
      <c r="M21" s="20">
        <v>6.2E-2</v>
      </c>
      <c r="N21" s="20">
        <v>0.73399999999999999</v>
      </c>
      <c r="O21" s="20">
        <v>0.94499999999999995</v>
      </c>
      <c r="P21" s="20">
        <v>-0.13300000000000001</v>
      </c>
      <c r="Q21" s="20">
        <v>0.70699999999999996</v>
      </c>
      <c r="R21" s="20">
        <v>-1.1509999999999998</v>
      </c>
      <c r="S21" s="20">
        <v>0.47099999999999997</v>
      </c>
      <c r="T21" s="20">
        <v>0.35499999999999998</v>
      </c>
      <c r="U21" s="20">
        <v>0.378</v>
      </c>
      <c r="V21" s="20">
        <v>0.53400000000000003</v>
      </c>
      <c r="W21" s="20">
        <v>0</v>
      </c>
      <c r="X21" s="20">
        <v>0</v>
      </c>
      <c r="Y21" s="20">
        <v>0</v>
      </c>
      <c r="Z21" s="20">
        <v>0</v>
      </c>
      <c r="AA21" s="20">
        <v>0</v>
      </c>
      <c r="AB21" s="20">
        <v>0</v>
      </c>
      <c r="AC21" s="20">
        <v>0</v>
      </c>
      <c r="AD21" s="20">
        <v>0</v>
      </c>
      <c r="AE21" s="20">
        <v>0</v>
      </c>
      <c r="AF21" s="20">
        <v>0</v>
      </c>
      <c r="AG21" s="20">
        <v>0</v>
      </c>
      <c r="AH21" s="20">
        <v>0</v>
      </c>
      <c r="AI21" s="20">
        <v>0</v>
      </c>
      <c r="AJ21" s="20">
        <v>0</v>
      </c>
      <c r="AK21" s="20">
        <v>0</v>
      </c>
    </row>
    <row r="22" spans="1:37" x14ac:dyDescent="0.25">
      <c r="A22" s="11" t="s">
        <v>530</v>
      </c>
      <c r="D22" s="21">
        <v>6.7409999999999997</v>
      </c>
      <c r="E22" s="21">
        <v>6.552999999999999</v>
      </c>
      <c r="F22" s="21">
        <v>6.79</v>
      </c>
      <c r="G22" s="21">
        <v>7.4599999999999982</v>
      </c>
      <c r="H22" s="21">
        <v>8.2909999999999968</v>
      </c>
      <c r="I22" s="21">
        <v>8.2879999999999967</v>
      </c>
      <c r="J22" s="21">
        <v>8.7159999999999958</v>
      </c>
      <c r="K22" s="21">
        <v>8.8639999999999937</v>
      </c>
      <c r="L22" s="21">
        <v>8.9819999999999993</v>
      </c>
      <c r="M22" s="21">
        <v>9.1969999999999992</v>
      </c>
      <c r="N22" s="21">
        <v>9.9290000000000003</v>
      </c>
      <c r="O22" s="21">
        <v>10.731</v>
      </c>
      <c r="P22" s="21">
        <v>10.395</v>
      </c>
      <c r="Q22" s="21">
        <v>10.840999999999999</v>
      </c>
      <c r="R22" s="21">
        <v>9.2089999999999996</v>
      </c>
      <c r="S22" s="21">
        <v>9.3729999999999993</v>
      </c>
      <c r="T22" s="21">
        <v>9.5960000000000001</v>
      </c>
      <c r="U22" s="21">
        <v>10.053999999999998</v>
      </c>
      <c r="V22" s="21">
        <v>10.545</v>
      </c>
      <c r="W22" s="21">
        <v>10.648</v>
      </c>
      <c r="X22" s="21">
        <v>10.73</v>
      </c>
      <c r="Y22" s="21">
        <v>10.746</v>
      </c>
      <c r="Z22" s="21">
        <v>10.714</v>
      </c>
      <c r="AA22" s="21">
        <v>10.643000000000001</v>
      </c>
      <c r="AB22" s="21">
        <v>10.645</v>
      </c>
      <c r="AC22" s="21">
        <v>10.643000000000001</v>
      </c>
      <c r="AD22" s="21">
        <v>10.637</v>
      </c>
      <c r="AE22" s="21">
        <v>10.622</v>
      </c>
      <c r="AF22" s="21">
        <v>10.598000000000001</v>
      </c>
      <c r="AG22" s="21">
        <v>10.571</v>
      </c>
      <c r="AH22" s="21">
        <v>10.539</v>
      </c>
      <c r="AI22" s="21">
        <v>10.507999999999999</v>
      </c>
      <c r="AJ22" s="21">
        <v>10.484999999999999</v>
      </c>
      <c r="AK22" s="21">
        <v>10.47</v>
      </c>
    </row>
    <row r="23" spans="1:37" x14ac:dyDescent="0.25">
      <c r="A23" s="12"/>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row>
    <row r="24" spans="1:37" x14ac:dyDescent="0.25">
      <c r="A24" s="11" t="s">
        <v>538</v>
      </c>
      <c r="B24" s="11" t="s">
        <v>523</v>
      </c>
    </row>
    <row r="25" spans="1:37" x14ac:dyDescent="0.25">
      <c r="A25" s="12" t="s">
        <v>539</v>
      </c>
      <c r="W25" s="20">
        <v>7.8769863635781565</v>
      </c>
      <c r="X25" s="20">
        <v>8.5752565869010162</v>
      </c>
      <c r="Y25" s="20">
        <v>9.3623266233677001</v>
      </c>
      <c r="Z25" s="20">
        <v>10.174070705869493</v>
      </c>
      <c r="AA25" s="20">
        <v>11.031589722815399</v>
      </c>
      <c r="AB25" s="20">
        <v>11.950718798084271</v>
      </c>
      <c r="AC25" s="20">
        <v>12.928444696976978</v>
      </c>
      <c r="AD25" s="20">
        <v>13.949461139922464</v>
      </c>
      <c r="AE25" s="20">
        <v>15.057928343988674</v>
      </c>
      <c r="AF25" s="20">
        <v>16.16885903973121</v>
      </c>
      <c r="AG25" s="20">
        <v>16.862222950955939</v>
      </c>
      <c r="AH25" s="20">
        <v>17.526790981570855</v>
      </c>
      <c r="AI25" s="20">
        <v>18.188798942013602</v>
      </c>
      <c r="AJ25" s="20">
        <v>18.882687498814114</v>
      </c>
      <c r="AK25" s="20">
        <v>19.58407996740133</v>
      </c>
    </row>
    <row r="26" spans="1:37" x14ac:dyDescent="0.25">
      <c r="A26" s="12" t="s">
        <v>540</v>
      </c>
      <c r="W26" s="20">
        <v>2.7397529999999999</v>
      </c>
      <c r="X26" s="20">
        <v>2.9452344749999995</v>
      </c>
      <c r="Y26" s="20">
        <v>3.166127060625</v>
      </c>
      <c r="Z26" s="20">
        <v>3.4035865901718751</v>
      </c>
      <c r="AA26" s="20">
        <v>3.6588555844347654</v>
      </c>
      <c r="AB26" s="20">
        <v>3.933269753267373</v>
      </c>
      <c r="AC26" s="20">
        <v>4.2282649847624256</v>
      </c>
      <c r="AD26" s="20">
        <v>4.5453848586196086</v>
      </c>
      <c r="AE26" s="20">
        <v>4.8862887230160785</v>
      </c>
      <c r="AF26" s="20">
        <v>5.2527603772422831</v>
      </c>
      <c r="AG26" s="20">
        <v>5.4688435001625537</v>
      </c>
      <c r="AH26" s="20">
        <v>5.6386829356663597</v>
      </c>
      <c r="AI26" s="20">
        <v>5.8178731807302215</v>
      </c>
      <c r="AJ26" s="20">
        <v>6.0084055589512433</v>
      </c>
      <c r="AK26" s="20">
        <v>6.2015794908604018</v>
      </c>
    </row>
    <row r="27" spans="1:37" x14ac:dyDescent="0.25">
      <c r="A27" s="12" t="s">
        <v>541</v>
      </c>
      <c r="W27" s="20">
        <v>9.6773299367431367</v>
      </c>
      <c r="X27" s="20">
        <v>10.30934125595464</v>
      </c>
      <c r="Y27" s="20">
        <v>10.956242760288555</v>
      </c>
      <c r="Z27" s="20">
        <v>11.604153887570732</v>
      </c>
      <c r="AA27" s="20">
        <v>12.268758022945324</v>
      </c>
      <c r="AB27" s="20">
        <v>12.937724497831349</v>
      </c>
      <c r="AC27" s="20">
        <v>13.657177723120517</v>
      </c>
      <c r="AD27" s="20">
        <v>14.373922461962151</v>
      </c>
      <c r="AE27" s="20">
        <v>15.06394744539981</v>
      </c>
      <c r="AF27" s="20">
        <v>15.796878904600527</v>
      </c>
      <c r="AG27" s="20">
        <v>16.53861403330675</v>
      </c>
      <c r="AH27" s="20">
        <v>17.309545741178962</v>
      </c>
      <c r="AI27" s="20">
        <v>18.113960313990077</v>
      </c>
      <c r="AJ27" s="20">
        <v>18.914945513008572</v>
      </c>
      <c r="AK27" s="20">
        <v>19.764297370269169</v>
      </c>
    </row>
    <row r="28" spans="1:37" x14ac:dyDescent="0.25">
      <c r="A28" s="12" t="s">
        <v>542</v>
      </c>
      <c r="W28" s="20">
        <v>2.0323312384736827</v>
      </c>
      <c r="X28" s="20">
        <v>2.3078619663486504</v>
      </c>
      <c r="Y28" s="20">
        <v>2.5356965882223932</v>
      </c>
      <c r="Z28" s="20">
        <v>2.7166735204194699</v>
      </c>
      <c r="AA28" s="20">
        <v>2.8987369859252787</v>
      </c>
      <c r="AB28" s="20">
        <v>3.0798915068926482</v>
      </c>
      <c r="AC28" s="20">
        <v>3.2618733915490727</v>
      </c>
      <c r="AD28" s="20">
        <v>3.4636586985489926</v>
      </c>
      <c r="AE28" s="20">
        <v>3.688517702269293</v>
      </c>
      <c r="AF28" s="20">
        <v>3.9255746868105401</v>
      </c>
      <c r="AG28" s="20">
        <v>4.1703782032050345</v>
      </c>
      <c r="AH28" s="20">
        <v>4.4238590964628992</v>
      </c>
      <c r="AI28" s="20">
        <v>4.6850053455326837</v>
      </c>
      <c r="AJ28" s="20">
        <v>4.9538559281107561</v>
      </c>
      <c r="AK28" s="20">
        <v>5.2306178118764484</v>
      </c>
    </row>
    <row r="29" spans="1:37" x14ac:dyDescent="0.25">
      <c r="A29" s="12" t="s">
        <v>543</v>
      </c>
      <c r="W29" s="20">
        <v>53.149101390216074</v>
      </c>
      <c r="X29" s="20">
        <v>53.722878687511084</v>
      </c>
      <c r="Y29" s="20">
        <v>54.664659138812631</v>
      </c>
      <c r="Z29" s="20">
        <v>55.951249477530851</v>
      </c>
      <c r="AA29" s="20">
        <v>57.61281816332621</v>
      </c>
      <c r="AB29" s="20">
        <v>59.705703970471788</v>
      </c>
      <c r="AC29" s="20">
        <v>62.238844335877317</v>
      </c>
      <c r="AD29" s="20">
        <v>65.278041712386624</v>
      </c>
      <c r="AE29" s="20">
        <v>68.960540313244778</v>
      </c>
      <c r="AF29" s="20">
        <v>73.258095135186011</v>
      </c>
      <c r="AG29" s="20">
        <v>77.752082256040225</v>
      </c>
      <c r="AH29" s="20">
        <v>82.39318659289502</v>
      </c>
      <c r="AI29" s="20">
        <v>87.153030566451235</v>
      </c>
      <c r="AJ29" s="20">
        <v>92.074628480367522</v>
      </c>
      <c r="AK29" s="20">
        <v>97.125028889376154</v>
      </c>
    </row>
    <row r="30" spans="1:37" x14ac:dyDescent="0.25">
      <c r="A30" s="12" t="s">
        <v>544</v>
      </c>
      <c r="W30" s="20">
        <v>57.386776129219484</v>
      </c>
      <c r="X30" s="20">
        <v>59.769806419849729</v>
      </c>
      <c r="Y30" s="20">
        <v>62.450869530471742</v>
      </c>
      <c r="Z30" s="20">
        <v>65.365034254652628</v>
      </c>
      <c r="AA30" s="20">
        <v>68.485097082951583</v>
      </c>
      <c r="AB30" s="20">
        <v>71.803551611404018</v>
      </c>
      <c r="AC30" s="20">
        <v>75.29274372846902</v>
      </c>
      <c r="AD30" s="20">
        <v>78.874180252310751</v>
      </c>
      <c r="AE30" s="20">
        <v>82.641012134590994</v>
      </c>
      <c r="AF30" s="20">
        <v>86.580720538885785</v>
      </c>
      <c r="AG30" s="20">
        <v>90.715300826369543</v>
      </c>
      <c r="AH30" s="20">
        <v>95.054663715450715</v>
      </c>
      <c r="AI30" s="20">
        <v>99.570317054909481</v>
      </c>
      <c r="AJ30" s="20">
        <v>104.30351422707631</v>
      </c>
      <c r="AK30" s="20">
        <v>109.20324737957478</v>
      </c>
    </row>
    <row r="31" spans="1:37" x14ac:dyDescent="0.25">
      <c r="A31" s="12" t="s">
        <v>545</v>
      </c>
      <c r="W31" s="20"/>
      <c r="X31" s="35">
        <f>X$28/AVERAGE(W$29,X$29)</f>
        <v>4.3189280570457483E-2</v>
      </c>
      <c r="Y31" s="35">
        <f t="shared" ref="Y31:AK31" si="0">Y$28/AVERAGE(X$29,Y$29)</f>
        <v>4.6789449028457532E-2</v>
      </c>
      <c r="Z31" s="35">
        <f t="shared" si="0"/>
        <v>4.9119038199864892E-2</v>
      </c>
      <c r="AA31" s="35">
        <f t="shared" si="0"/>
        <v>5.1050249363952811E-2</v>
      </c>
      <c r="AB31" s="35">
        <f t="shared" si="0"/>
        <v>5.2504778459110335E-2</v>
      </c>
      <c r="AC31" s="35">
        <f t="shared" si="0"/>
        <v>5.3497650150863559E-2</v>
      </c>
      <c r="AD31" s="35">
        <f t="shared" si="0"/>
        <v>5.4324706411636031E-2</v>
      </c>
      <c r="AE31" s="35">
        <f t="shared" si="0"/>
        <v>5.4954658289894792E-2</v>
      </c>
      <c r="AF31" s="35">
        <f t="shared" si="0"/>
        <v>5.520478627055838E-2</v>
      </c>
      <c r="AG31" s="35">
        <f t="shared" si="0"/>
        <v>5.523307468741951E-2</v>
      </c>
      <c r="AH31" s="35">
        <f t="shared" si="0"/>
        <v>5.5248077302064012E-2</v>
      </c>
      <c r="AI31" s="35">
        <f t="shared" si="0"/>
        <v>5.5265230024324631E-2</v>
      </c>
      <c r="AJ31" s="35">
        <f t="shared" si="0"/>
        <v>5.5280038298292838E-2</v>
      </c>
      <c r="AK31" s="35">
        <f t="shared" si="0"/>
        <v>5.5292043173783417E-2</v>
      </c>
    </row>
    <row r="32" spans="1:37" x14ac:dyDescent="0.25">
      <c r="A32" s="12"/>
    </row>
    <row r="33" spans="1:37" x14ac:dyDescent="0.25">
      <c r="A33" s="11" t="s">
        <v>546</v>
      </c>
      <c r="B33" s="11" t="s">
        <v>523</v>
      </c>
    </row>
    <row r="34" spans="1:37" x14ac:dyDescent="0.25">
      <c r="A34" s="12" t="s">
        <v>547</v>
      </c>
      <c r="L34" s="20">
        <v>0.40600000000000003</v>
      </c>
      <c r="M34" s="20">
        <v>0.433</v>
      </c>
      <c r="N34" s="20">
        <v>0.44800000000000001</v>
      </c>
      <c r="O34" s="20">
        <v>0.45</v>
      </c>
      <c r="P34" s="20">
        <v>0.44</v>
      </c>
      <c r="Q34" s="20">
        <v>0.42799999999999999</v>
      </c>
      <c r="R34" s="20">
        <v>0.41299999999999998</v>
      </c>
      <c r="S34" s="20">
        <v>0.40600000000000003</v>
      </c>
      <c r="T34" s="20">
        <v>0.40899999999999997</v>
      </c>
      <c r="U34" s="20">
        <v>0.41099999999999998</v>
      </c>
      <c r="V34" s="20">
        <v>0.41299999999999998</v>
      </c>
      <c r="W34" s="20">
        <v>0.41399999999999998</v>
      </c>
      <c r="X34" s="20">
        <v>0.40899999999999997</v>
      </c>
      <c r="Y34" s="20">
        <v>0.39300000000000002</v>
      </c>
      <c r="Z34" s="20">
        <v>0.378</v>
      </c>
      <c r="AA34" s="20">
        <v>0.36099999999999999</v>
      </c>
      <c r="AB34" s="20">
        <v>0.34399999999999997</v>
      </c>
      <c r="AC34" s="20">
        <v>0.32700000000000001</v>
      </c>
      <c r="AD34" s="20">
        <v>0.31</v>
      </c>
      <c r="AE34" s="20">
        <v>0.29199999999999998</v>
      </c>
      <c r="AF34" s="20">
        <v>0.27600000000000002</v>
      </c>
      <c r="AG34" s="20">
        <v>0.26</v>
      </c>
      <c r="AH34" s="20">
        <v>0.24299999999999999</v>
      </c>
      <c r="AI34" s="20">
        <v>0.22600000000000001</v>
      </c>
      <c r="AJ34" s="20">
        <v>0.21099999999999999</v>
      </c>
      <c r="AK34" s="20">
        <v>0.19600000000000001</v>
      </c>
    </row>
    <row r="35" spans="1:37" x14ac:dyDescent="0.25">
      <c r="A35" s="12" t="s">
        <v>544</v>
      </c>
      <c r="L35" s="20">
        <v>13.744999999999999</v>
      </c>
      <c r="M35" s="20">
        <v>13.493</v>
      </c>
      <c r="N35" s="20">
        <v>13.244999999999999</v>
      </c>
      <c r="O35" s="20">
        <v>12.984999999999999</v>
      </c>
      <c r="P35" s="20">
        <v>12.689</v>
      </c>
      <c r="Q35" s="20">
        <v>12.366</v>
      </c>
      <c r="R35" s="20">
        <v>12.019</v>
      </c>
      <c r="S35" s="20">
        <v>11.656000000000001</v>
      </c>
      <c r="T35" s="20">
        <v>11.29</v>
      </c>
      <c r="U35" s="20">
        <v>10.92</v>
      </c>
      <c r="V35" s="20">
        <v>10.553000000000001</v>
      </c>
      <c r="W35" s="20">
        <v>10.186999999999999</v>
      </c>
      <c r="X35" s="20">
        <v>9.8190000000000008</v>
      </c>
      <c r="Y35" s="20">
        <v>9.44</v>
      </c>
      <c r="Z35" s="20">
        <v>9.0530000000000008</v>
      </c>
      <c r="AA35" s="20">
        <v>8.6560000000000006</v>
      </c>
      <c r="AB35" s="20">
        <v>8.2539999999999996</v>
      </c>
      <c r="AC35" s="20">
        <v>7.843</v>
      </c>
      <c r="AD35" s="20">
        <v>7.4290000000000003</v>
      </c>
      <c r="AE35" s="20">
        <v>7.0140000000000002</v>
      </c>
      <c r="AF35" s="20">
        <v>6.6130000000000004</v>
      </c>
      <c r="AG35" s="20">
        <v>6.2169999999999996</v>
      </c>
      <c r="AH35" s="20">
        <v>5.827</v>
      </c>
      <c r="AI35" s="20">
        <v>5.444</v>
      </c>
      <c r="AJ35" s="20">
        <v>5.0709999999999997</v>
      </c>
      <c r="AK35" s="20">
        <v>4.7069999999999999</v>
      </c>
    </row>
    <row r="36" spans="1:37" x14ac:dyDescent="0.25">
      <c r="A36" s="12"/>
    </row>
    <row r="37" spans="1:37" x14ac:dyDescent="0.25">
      <c r="A37" s="11" t="s">
        <v>548</v>
      </c>
      <c r="B37" s="11" t="s">
        <v>523</v>
      </c>
      <c r="D37" s="20">
        <v>1.1020000000000001</v>
      </c>
      <c r="E37" s="20">
        <v>1.2809999999999999</v>
      </c>
      <c r="F37" s="20">
        <v>1.024</v>
      </c>
      <c r="G37" s="20">
        <v>1.0409999999999999</v>
      </c>
      <c r="H37" s="20">
        <v>0.68899999999999995</v>
      </c>
      <c r="I37" s="20">
        <v>0.72299999999999998</v>
      </c>
      <c r="J37" s="20">
        <v>0.80400000000000005</v>
      </c>
      <c r="K37" s="20">
        <v>0.85499999999999998</v>
      </c>
      <c r="L37" s="20">
        <v>0.69799999999999995</v>
      </c>
      <c r="M37" s="20">
        <v>0.74299999999999999</v>
      </c>
      <c r="N37" s="20">
        <v>0.80700000000000005</v>
      </c>
      <c r="O37" s="20">
        <v>0.86699999999999999</v>
      </c>
      <c r="P37" s="20">
        <v>0.88500000000000001</v>
      </c>
      <c r="Q37" s="20">
        <v>0.91600000000000004</v>
      </c>
      <c r="R37" s="20">
        <v>0.96399999999999997</v>
      </c>
      <c r="S37" s="20">
        <v>0.997</v>
      </c>
      <c r="T37" s="20">
        <v>1.014</v>
      </c>
      <c r="U37" s="20">
        <v>1.02</v>
      </c>
      <c r="V37" s="20">
        <v>0.47</v>
      </c>
      <c r="W37" s="20">
        <v>0.49399999999999999</v>
      </c>
      <c r="X37" s="20">
        <v>0.51600000000000001</v>
      </c>
      <c r="Y37" s="20">
        <v>0.54200000000000004</v>
      </c>
      <c r="Z37" s="20">
        <v>0.56499999999999995</v>
      </c>
      <c r="AA37" s="20">
        <v>0.58899999999999997</v>
      </c>
      <c r="AB37" s="20">
        <v>0.61599999999999999</v>
      </c>
    </row>
    <row r="38" spans="1:37" x14ac:dyDescent="0.25">
      <c r="A38" s="11"/>
      <c r="D38" s="36"/>
      <c r="E38" s="36"/>
      <c r="F38" s="36"/>
      <c r="G38" s="36"/>
      <c r="H38" s="36"/>
      <c r="I38" s="36"/>
      <c r="J38" s="36"/>
      <c r="K38" s="36"/>
      <c r="L38" s="36"/>
      <c r="M38" s="36"/>
      <c r="N38" s="36"/>
      <c r="O38" s="36"/>
      <c r="P38" s="36"/>
      <c r="Q38" s="36"/>
      <c r="R38" s="36"/>
      <c r="S38" s="36"/>
      <c r="T38" s="36"/>
      <c r="U38" s="36"/>
      <c r="V38" s="36"/>
      <c r="W38" s="36"/>
      <c r="X38" s="36"/>
      <c r="Y38" s="36"/>
      <c r="Z38" s="36"/>
      <c r="AA38" s="36"/>
      <c r="AB38" s="36"/>
    </row>
    <row r="39" spans="1:37" x14ac:dyDescent="0.25">
      <c r="A39" s="11" t="s">
        <v>549</v>
      </c>
      <c r="B39" s="11" t="s">
        <v>523</v>
      </c>
      <c r="D39" s="20">
        <v>0.70099999999999996</v>
      </c>
      <c r="E39" s="20">
        <v>1.6539999999999999</v>
      </c>
      <c r="F39" s="20">
        <v>0.59</v>
      </c>
      <c r="G39" s="20">
        <v>1.01</v>
      </c>
      <c r="H39" s="20">
        <v>1.0029999999999999</v>
      </c>
      <c r="I39" s="20">
        <v>0.92500000000000004</v>
      </c>
      <c r="J39" s="20">
        <v>1.069</v>
      </c>
      <c r="K39" s="20">
        <v>0.873</v>
      </c>
      <c r="L39" s="20">
        <v>0.68</v>
      </c>
      <c r="M39" s="20">
        <v>0.49299999999999999</v>
      </c>
      <c r="N39" s="20">
        <v>0.61599999999999999</v>
      </c>
      <c r="O39" s="20">
        <v>0.82899999999999996</v>
      </c>
      <c r="P39" s="20">
        <v>1.3560000000000001</v>
      </c>
      <c r="Q39" s="20">
        <v>0.88200000000000001</v>
      </c>
      <c r="R39" s="20">
        <v>0.66200000000000003</v>
      </c>
      <c r="S39" s="20">
        <v>1.4530000000000001</v>
      </c>
      <c r="T39" s="20">
        <v>2.3929999999999998</v>
      </c>
      <c r="U39" s="20">
        <v>1.8720000000000001</v>
      </c>
      <c r="V39" s="20">
        <v>1.17</v>
      </c>
      <c r="W39" s="20">
        <v>1.5249999999999999</v>
      </c>
      <c r="X39" s="20">
        <v>1.3839999999999999</v>
      </c>
      <c r="Y39" s="20">
        <v>1.39</v>
      </c>
      <c r="Z39" s="20">
        <v>1.4</v>
      </c>
      <c r="AA39" s="20">
        <v>1.41</v>
      </c>
    </row>
    <row r="40" spans="1:37" x14ac:dyDescent="0.25">
      <c r="A40" s="11"/>
      <c r="B40" s="11"/>
      <c r="D40" s="20"/>
      <c r="E40" s="20"/>
      <c r="F40" s="20"/>
      <c r="G40" s="20"/>
      <c r="H40" s="20"/>
      <c r="I40" s="20"/>
      <c r="J40" s="20"/>
      <c r="K40" s="20"/>
      <c r="L40" s="20"/>
      <c r="M40" s="20"/>
      <c r="N40" s="20"/>
      <c r="O40" s="20"/>
      <c r="P40" s="20"/>
      <c r="Q40" s="20"/>
      <c r="R40" s="20"/>
      <c r="S40" s="20"/>
      <c r="T40" s="20"/>
      <c r="U40" s="20"/>
      <c r="V40" s="20"/>
      <c r="W40" s="20"/>
      <c r="X40" s="20"/>
      <c r="Y40" s="20"/>
      <c r="Z40" s="20"/>
    </row>
    <row r="41" spans="1:37" x14ac:dyDescent="0.25">
      <c r="A41" s="11" t="s">
        <v>550</v>
      </c>
      <c r="B41" s="11" t="s">
        <v>523</v>
      </c>
      <c r="W41" s="20">
        <v>0</v>
      </c>
      <c r="X41" s="20">
        <v>0</v>
      </c>
      <c r="Y41" s="20">
        <v>0</v>
      </c>
      <c r="Z41" s="20">
        <v>0</v>
      </c>
      <c r="AA41" s="20">
        <v>0</v>
      </c>
      <c r="AB41" s="20">
        <f>0.1*3.5+0.2*5+0.35*5</f>
        <v>3.1</v>
      </c>
      <c r="AC41" s="20">
        <f>0.1*5+0.2*5</f>
        <v>1.5</v>
      </c>
      <c r="AD41" s="20">
        <f>0.1*5</f>
        <v>0.5</v>
      </c>
      <c r="AE41" s="20">
        <v>0</v>
      </c>
      <c r="AF41" s="20">
        <v>0</v>
      </c>
      <c r="AG41" s="20">
        <v>0</v>
      </c>
      <c r="AH41" s="20">
        <v>0</v>
      </c>
      <c r="AI41" s="20">
        <v>0</v>
      </c>
      <c r="AJ41" s="20">
        <v>0</v>
      </c>
      <c r="AK41" s="20"/>
    </row>
    <row r="42" spans="1:37" x14ac:dyDescent="0.25">
      <c r="A42" s="11"/>
      <c r="B42" s="11"/>
      <c r="D42" s="20"/>
      <c r="E42" s="20"/>
      <c r="F42" s="20"/>
      <c r="G42" s="20"/>
      <c r="H42" s="20"/>
      <c r="I42" s="20"/>
      <c r="J42" s="20"/>
      <c r="K42" s="20"/>
      <c r="L42" s="20"/>
      <c r="M42" s="20"/>
      <c r="N42" s="20"/>
      <c r="O42" s="20"/>
      <c r="P42" s="20"/>
      <c r="Q42" s="20"/>
      <c r="R42" s="20"/>
      <c r="S42" s="20"/>
      <c r="T42" s="20"/>
      <c r="U42" s="20"/>
      <c r="V42" s="20"/>
      <c r="W42" s="20"/>
      <c r="X42" s="20"/>
      <c r="Y42" s="20"/>
    </row>
    <row r="43" spans="1:37" x14ac:dyDescent="0.25">
      <c r="A43" s="11" t="s">
        <v>551</v>
      </c>
      <c r="B43" s="15" t="s">
        <v>418</v>
      </c>
      <c r="C43" s="15" t="s">
        <v>419</v>
      </c>
      <c r="D43" s="37"/>
      <c r="E43" s="37"/>
      <c r="F43" s="37"/>
      <c r="G43" s="37"/>
      <c r="H43" s="2"/>
      <c r="I43" s="15" t="s">
        <v>418</v>
      </c>
      <c r="J43" s="15" t="s">
        <v>419</v>
      </c>
      <c r="K43" s="2"/>
      <c r="L43" s="37"/>
      <c r="M43" s="37"/>
      <c r="N43" s="37"/>
      <c r="O43" s="2"/>
      <c r="P43" s="15" t="s">
        <v>418</v>
      </c>
      <c r="Q43" s="15" t="s">
        <v>419</v>
      </c>
    </row>
    <row r="44" spans="1:37" x14ac:dyDescent="0.25">
      <c r="A44" s="12" t="s">
        <v>552</v>
      </c>
      <c r="B44" s="38">
        <v>3.3000000000000002E-2</v>
      </c>
      <c r="C44" s="38">
        <v>3.3000000000000002E-2</v>
      </c>
      <c r="D44" s="12" t="s">
        <v>553</v>
      </c>
      <c r="F44" s="37"/>
      <c r="G44" s="37"/>
      <c r="H44" s="37"/>
      <c r="I44" s="38">
        <v>1.2999999999999999E-2</v>
      </c>
      <c r="J44" s="38">
        <v>1.9E-2</v>
      </c>
      <c r="K44" s="12" t="s">
        <v>554</v>
      </c>
      <c r="M44" s="37"/>
      <c r="N44" s="37"/>
      <c r="O44" s="37"/>
      <c r="P44" s="38">
        <v>0</v>
      </c>
      <c r="Q44" s="38">
        <v>0</v>
      </c>
    </row>
    <row r="45" spans="1:37" x14ac:dyDescent="0.25">
      <c r="A45" s="12" t="s">
        <v>555</v>
      </c>
      <c r="B45" s="38">
        <v>6.6000000000000003E-2</v>
      </c>
      <c r="C45" s="38">
        <v>8.1000000000000003E-2</v>
      </c>
      <c r="D45" s="12" t="s">
        <v>556</v>
      </c>
      <c r="F45" s="37"/>
      <c r="G45" s="37"/>
      <c r="H45" s="37"/>
      <c r="I45" s="38">
        <v>2.5999999999999999E-2</v>
      </c>
      <c r="J45" s="38">
        <v>3.4000000000000002E-2</v>
      </c>
      <c r="K45" s="12" t="s">
        <v>557</v>
      </c>
      <c r="M45" s="37"/>
      <c r="N45" s="37"/>
      <c r="O45" s="37"/>
      <c r="P45" s="38">
        <v>0.112</v>
      </c>
      <c r="Q45" s="38">
        <v>3.0000000000000001E-3</v>
      </c>
    </row>
    <row r="46" spans="1:37" x14ac:dyDescent="0.25">
      <c r="A46" s="12" t="s">
        <v>558</v>
      </c>
      <c r="B46" s="38">
        <v>4.1000000000000002E-2</v>
      </c>
      <c r="C46" s="38">
        <v>7.2999999999999995E-2</v>
      </c>
      <c r="D46" s="12" t="s">
        <v>559</v>
      </c>
      <c r="F46" s="37"/>
      <c r="G46" s="37"/>
      <c r="H46" s="37"/>
      <c r="I46" s="38">
        <v>2.8000000000000001E-2</v>
      </c>
      <c r="J46" s="38">
        <v>3.3000000000000002E-2</v>
      </c>
      <c r="K46" s="12" t="s">
        <v>560</v>
      </c>
      <c r="M46" s="37"/>
      <c r="N46" s="37"/>
      <c r="O46" s="37"/>
      <c r="P46" s="38">
        <v>0.19600000000000001</v>
      </c>
      <c r="Q46" s="38">
        <v>1.0999999999999999E-2</v>
      </c>
    </row>
    <row r="47" spans="1:37" x14ac:dyDescent="0.25">
      <c r="A47" s="12" t="s">
        <v>561</v>
      </c>
      <c r="B47" s="38">
        <v>3.1E-2</v>
      </c>
      <c r="C47" s="38">
        <v>6.9000000000000006E-2</v>
      </c>
      <c r="D47" s="12" t="s">
        <v>562</v>
      </c>
      <c r="F47" s="37"/>
      <c r="G47" s="37"/>
      <c r="H47" s="37"/>
      <c r="I47" s="38">
        <v>3.3000000000000002E-2</v>
      </c>
      <c r="J47" s="38">
        <v>3.6999999999999998E-2</v>
      </c>
      <c r="K47" s="12" t="s">
        <v>563</v>
      </c>
      <c r="M47" s="37"/>
      <c r="N47" s="37"/>
      <c r="O47" s="37"/>
      <c r="P47" s="38">
        <v>0.214</v>
      </c>
      <c r="Q47" s="38">
        <v>0.02</v>
      </c>
    </row>
    <row r="48" spans="1:37" x14ac:dyDescent="0.25">
      <c r="A48" s="12" t="s">
        <v>564</v>
      </c>
      <c r="B48" s="38">
        <v>3.2000000000000001E-2</v>
      </c>
      <c r="C48" s="38">
        <v>6.2E-2</v>
      </c>
      <c r="D48" s="12" t="s">
        <v>565</v>
      </c>
      <c r="F48" s="37"/>
      <c r="G48" s="37"/>
      <c r="H48" s="37"/>
      <c r="I48" s="38">
        <v>4.1000000000000002E-2</v>
      </c>
      <c r="J48" s="38">
        <v>3.9E-2</v>
      </c>
      <c r="K48" s="12" t="s">
        <v>566</v>
      </c>
      <c r="M48" s="37"/>
      <c r="N48" s="37"/>
      <c r="O48" s="37"/>
      <c r="P48" s="38">
        <v>0.184</v>
      </c>
      <c r="Q48" s="38">
        <v>0.02</v>
      </c>
    </row>
    <row r="49" spans="1:17" x14ac:dyDescent="0.25">
      <c r="A49" s="12" t="s">
        <v>567</v>
      </c>
      <c r="B49" s="38">
        <v>3.2000000000000001E-2</v>
      </c>
      <c r="C49" s="38">
        <v>5.2999999999999999E-2</v>
      </c>
      <c r="D49" s="12" t="s">
        <v>568</v>
      </c>
      <c r="F49" s="37"/>
      <c r="G49" s="37"/>
      <c r="H49" s="37"/>
      <c r="I49" s="38">
        <v>4.1000000000000002E-2</v>
      </c>
      <c r="J49" s="38">
        <v>3.6999999999999998E-2</v>
      </c>
      <c r="K49" s="12" t="s">
        <v>569</v>
      </c>
      <c r="M49" s="37"/>
      <c r="N49" s="37"/>
      <c r="O49" s="37"/>
      <c r="P49" s="38">
        <v>0.113</v>
      </c>
      <c r="Q49" s="38">
        <v>1.6E-2</v>
      </c>
    </row>
    <row r="50" spans="1:17" x14ac:dyDescent="0.25">
      <c r="A50" s="12" t="s">
        <v>570</v>
      </c>
      <c r="B50" s="38">
        <v>3.5999999999999997E-2</v>
      </c>
      <c r="C50" s="38">
        <v>4.8000000000000001E-2</v>
      </c>
      <c r="D50" s="12" t="s">
        <v>571</v>
      </c>
      <c r="F50" s="37"/>
      <c r="G50" s="37"/>
      <c r="H50" s="37"/>
      <c r="I50" s="38">
        <v>4.7E-2</v>
      </c>
      <c r="J50" s="38">
        <v>4.2000000000000003E-2</v>
      </c>
      <c r="K50" s="12" t="s">
        <v>572</v>
      </c>
      <c r="M50" s="37"/>
      <c r="N50" s="37"/>
      <c r="O50" s="37"/>
      <c r="P50" s="38">
        <v>5.8000000000000003E-2</v>
      </c>
      <c r="Q50" s="38">
        <v>1.0999999999999999E-2</v>
      </c>
    </row>
    <row r="51" spans="1:17" x14ac:dyDescent="0.25">
      <c r="A51" s="12" t="s">
        <v>573</v>
      </c>
      <c r="B51" s="38">
        <v>4.2999999999999997E-2</v>
      </c>
      <c r="C51" s="38">
        <v>4.8000000000000001E-2</v>
      </c>
      <c r="D51" s="12" t="s">
        <v>574</v>
      </c>
      <c r="F51" s="37"/>
      <c r="G51" s="37"/>
      <c r="H51" s="37"/>
      <c r="I51" s="38">
        <v>6.5000000000000002E-2</v>
      </c>
      <c r="J51" s="38">
        <v>5.8999999999999997E-2</v>
      </c>
      <c r="K51" s="12" t="s">
        <v>575</v>
      </c>
      <c r="M51" s="37"/>
      <c r="N51" s="37"/>
      <c r="O51" s="37"/>
      <c r="P51" s="38">
        <v>2.1999999999999999E-2</v>
      </c>
      <c r="Q51" s="38">
        <v>7.0000000000000001E-3</v>
      </c>
    </row>
    <row r="52" spans="1:17" x14ac:dyDescent="0.25">
      <c r="A52" s="12" t="s">
        <v>576</v>
      </c>
      <c r="B52" s="38">
        <v>4.9000000000000002E-2</v>
      </c>
      <c r="C52" s="38">
        <v>0.05</v>
      </c>
      <c r="D52" s="12" t="s">
        <v>577</v>
      </c>
      <c r="F52" s="37"/>
      <c r="G52" s="37"/>
      <c r="H52" s="37"/>
      <c r="I52" s="38">
        <v>8.6999999999999994E-2</v>
      </c>
      <c r="J52" s="38">
        <v>7.9000000000000001E-2</v>
      </c>
      <c r="K52" s="12" t="s">
        <v>578</v>
      </c>
      <c r="M52" s="37"/>
      <c r="N52" s="37"/>
      <c r="O52" s="37"/>
      <c r="P52" s="38">
        <v>5.0000000000000001E-3</v>
      </c>
      <c r="Q52" s="38">
        <v>4.0000000000000001E-3</v>
      </c>
    </row>
    <row r="53" spans="1:17" x14ac:dyDescent="0.25">
      <c r="A53" s="12" t="s">
        <v>579</v>
      </c>
      <c r="B53" s="38">
        <v>5.3999999999999999E-2</v>
      </c>
      <c r="C53" s="38">
        <v>4.9000000000000002E-2</v>
      </c>
      <c r="D53" s="12" t="s">
        <v>580</v>
      </c>
      <c r="F53" s="37"/>
      <c r="G53" s="37"/>
      <c r="H53" s="37"/>
      <c r="I53" s="38">
        <v>0.11700000000000001</v>
      </c>
      <c r="J53" s="38">
        <v>0.10100000000000001</v>
      </c>
      <c r="K53" s="12" t="s">
        <v>581</v>
      </c>
      <c r="M53" s="37"/>
      <c r="N53" s="37"/>
      <c r="O53" s="37"/>
      <c r="P53" s="38">
        <v>2E-3</v>
      </c>
      <c r="Q53" s="38">
        <v>2E-3</v>
      </c>
    </row>
    <row r="54" spans="1:17" x14ac:dyDescent="0.25">
      <c r="A54" s="12" t="s">
        <v>582</v>
      </c>
      <c r="B54" s="38">
        <v>0.01</v>
      </c>
      <c r="C54" s="38">
        <v>7.0000000000000001E-3</v>
      </c>
      <c r="D54" s="12" t="s">
        <v>583</v>
      </c>
      <c r="F54" s="37"/>
      <c r="G54" s="37"/>
      <c r="H54" s="37"/>
      <c r="I54" s="38">
        <v>0.01</v>
      </c>
      <c r="J54" s="38">
        <v>1.2E-2</v>
      </c>
      <c r="K54" s="12" t="s">
        <v>584</v>
      </c>
      <c r="M54" s="37"/>
      <c r="N54" s="37"/>
      <c r="O54" s="37"/>
      <c r="P54" s="38">
        <v>0</v>
      </c>
      <c r="Q54" s="38">
        <v>0</v>
      </c>
    </row>
    <row r="55" spans="1:17" x14ac:dyDescent="0.25">
      <c r="A55" s="12"/>
      <c r="B55" s="12"/>
      <c r="C55" s="39">
        <f>SUM($B$44:$C$54)</f>
        <v>1.0000000000000002</v>
      </c>
      <c r="D55" s="2"/>
      <c r="E55" s="2"/>
      <c r="F55" s="2"/>
      <c r="G55" s="2"/>
      <c r="H55" s="2"/>
      <c r="I55" s="12"/>
      <c r="J55" s="39">
        <f>SUM($I$44:$J$54)</f>
        <v>0.99999999999999978</v>
      </c>
      <c r="K55" s="2"/>
      <c r="L55" s="2"/>
      <c r="M55" s="2"/>
      <c r="N55" s="2"/>
      <c r="O55" s="2"/>
      <c r="P55" s="12"/>
      <c r="Q55" s="39">
        <f>SUM($P$44:$Q$54)</f>
        <v>1</v>
      </c>
    </row>
    <row r="56" spans="1:17" x14ac:dyDescent="0.25">
      <c r="A56" s="12"/>
      <c r="B56" s="12"/>
      <c r="C56" s="12" t="s">
        <v>585</v>
      </c>
      <c r="D56" s="12"/>
      <c r="E56" s="12"/>
      <c r="F56" s="12"/>
      <c r="G56" s="12"/>
    </row>
    <row r="57" spans="1:17" x14ac:dyDescent="0.25">
      <c r="A57" s="11" t="s">
        <v>586</v>
      </c>
      <c r="B57" s="12" t="s">
        <v>587</v>
      </c>
      <c r="C57" s="12" t="s">
        <v>588</v>
      </c>
      <c r="D57" s="12" t="s">
        <v>589</v>
      </c>
      <c r="E57" s="12" t="s">
        <v>590</v>
      </c>
      <c r="F57" s="12"/>
      <c r="G57" s="12"/>
    </row>
    <row r="58" spans="1:17" x14ac:dyDescent="0.25">
      <c r="A58" s="12" t="s">
        <v>591</v>
      </c>
      <c r="B58" s="38">
        <v>0.105</v>
      </c>
      <c r="C58" s="40">
        <v>15600</v>
      </c>
      <c r="D58" s="40">
        <f>$C$58*(1-$B$58)</f>
        <v>13962</v>
      </c>
      <c r="E58" s="40">
        <f>$C$58-$D$58</f>
        <v>1638</v>
      </c>
    </row>
    <row r="59" spans="1:17" x14ac:dyDescent="0.25">
      <c r="A59" s="12" t="s">
        <v>592</v>
      </c>
      <c r="B59" s="38">
        <v>0.17499999999999999</v>
      </c>
      <c r="C59" s="40">
        <v>53500</v>
      </c>
      <c r="D59" s="40">
        <f>$C$59-($C$59-$C$58)*$B$59-$C$58*$B$58</f>
        <v>45229.5</v>
      </c>
      <c r="E59" s="40">
        <f>$C$59-$D$59</f>
        <v>8270.5</v>
      </c>
    </row>
    <row r="60" spans="1:17" x14ac:dyDescent="0.25">
      <c r="A60" s="12" t="s">
        <v>593</v>
      </c>
      <c r="B60" s="38">
        <v>0.3</v>
      </c>
      <c r="C60" s="40">
        <v>78100</v>
      </c>
      <c r="D60" s="40">
        <f>$C$60-($C$60-$C$59)*$B$60-($C$59-$C$58)*$B$59-$C$58*$B$58</f>
        <v>62449.5</v>
      </c>
      <c r="E60" s="40">
        <f>$C$60-$D$60</f>
        <v>15650.5</v>
      </c>
    </row>
    <row r="61" spans="1:17" x14ac:dyDescent="0.25">
      <c r="A61" s="12" t="s">
        <v>594</v>
      </c>
      <c r="B61" s="38">
        <v>0.33</v>
      </c>
      <c r="C61" s="40">
        <v>180000</v>
      </c>
      <c r="D61" s="40">
        <f>$C$61-($C$61-$C$60)*$B$61-($C$60-$C$59)*$B$60-($C$59-$C$58)*$B$59-$C$58*$B$58</f>
        <v>130722.5</v>
      </c>
      <c r="E61" s="40">
        <f>$C$61-$D$61</f>
        <v>49277.5</v>
      </c>
    </row>
    <row r="62" spans="1:17" x14ac:dyDescent="0.25">
      <c r="A62" s="12" t="s">
        <v>595</v>
      </c>
      <c r="B62" s="38">
        <v>0.39</v>
      </c>
    </row>
    <row r="63" spans="1:17" x14ac:dyDescent="0.25">
      <c r="A63" s="12" t="s">
        <v>596</v>
      </c>
      <c r="B63" s="35">
        <v>1.83E-2</v>
      </c>
    </row>
    <row r="65" spans="1:18" x14ac:dyDescent="0.25">
      <c r="A65" s="11" t="s">
        <v>597</v>
      </c>
      <c r="B65" s="11" t="s">
        <v>598</v>
      </c>
      <c r="G65" s="11" t="s">
        <v>599</v>
      </c>
      <c r="L65" s="11" t="s">
        <v>600</v>
      </c>
      <c r="Q65" s="11" t="s">
        <v>601</v>
      </c>
    </row>
    <row r="66" spans="1:18" x14ac:dyDescent="0.25">
      <c r="B66" s="11" t="s">
        <v>418</v>
      </c>
      <c r="C66" s="11" t="s">
        <v>419</v>
      </c>
      <c r="G66" s="11" t="s">
        <v>418</v>
      </c>
      <c r="H66" s="11" t="s">
        <v>419</v>
      </c>
      <c r="L66" s="11" t="s">
        <v>418</v>
      </c>
      <c r="M66" s="11" t="s">
        <v>419</v>
      </c>
      <c r="Q66" s="11" t="s">
        <v>418</v>
      </c>
      <c r="R66" s="11" t="s">
        <v>419</v>
      </c>
    </row>
    <row r="67" spans="1:18" x14ac:dyDescent="0.25">
      <c r="A67" s="12" t="s">
        <v>602</v>
      </c>
      <c r="B67" s="38">
        <v>2.5999999999999999E-2</v>
      </c>
      <c r="C67" s="38">
        <v>2.8000000000000001E-2</v>
      </c>
      <c r="E67" s="12" t="s">
        <v>603</v>
      </c>
      <c r="G67" s="38">
        <v>5.2999999999999999E-2</v>
      </c>
      <c r="H67" s="38">
        <v>5.5E-2</v>
      </c>
      <c r="J67" s="12" t="s">
        <v>604</v>
      </c>
      <c r="L67" s="38">
        <v>5.6000000000000001E-2</v>
      </c>
      <c r="M67" s="38">
        <v>5.8999999999999997E-2</v>
      </c>
      <c r="O67" s="12" t="s">
        <v>605</v>
      </c>
      <c r="Q67" s="38">
        <v>1.2999999999999999E-2</v>
      </c>
      <c r="R67" s="38">
        <v>1.4999999999999999E-2</v>
      </c>
    </row>
    <row r="68" spans="1:18" x14ac:dyDescent="0.25">
      <c r="A68" s="12" t="s">
        <v>606</v>
      </c>
      <c r="B68" s="38">
        <v>7.2999999999999995E-2</v>
      </c>
      <c r="C68" s="38">
        <v>7.6999999999999999E-2</v>
      </c>
      <c r="E68" s="12" t="s">
        <v>607</v>
      </c>
      <c r="G68" s="38">
        <v>5.7000000000000002E-2</v>
      </c>
      <c r="H68" s="38">
        <v>6.0999999999999999E-2</v>
      </c>
      <c r="J68" s="12" t="s">
        <v>608</v>
      </c>
      <c r="L68" s="38">
        <v>0.11</v>
      </c>
      <c r="M68" s="38">
        <v>0.11600000000000001</v>
      </c>
      <c r="O68" s="12" t="s">
        <v>609</v>
      </c>
      <c r="Q68" s="38">
        <v>0.1</v>
      </c>
      <c r="R68" s="38">
        <v>8.1000000000000003E-2</v>
      </c>
    </row>
    <row r="69" spans="1:18" x14ac:dyDescent="0.25">
      <c r="A69" s="12" t="s">
        <v>610</v>
      </c>
      <c r="B69" s="38">
        <v>0.104</v>
      </c>
      <c r="C69" s="38">
        <v>0.11</v>
      </c>
      <c r="E69" s="12" t="s">
        <v>611</v>
      </c>
      <c r="G69" s="38">
        <v>5.8000000000000003E-2</v>
      </c>
      <c r="H69" s="38">
        <v>6.0999999999999999E-2</v>
      </c>
      <c r="J69" s="12" t="s">
        <v>612</v>
      </c>
      <c r="L69" s="38">
        <v>0.109</v>
      </c>
      <c r="M69" s="38">
        <v>0.114</v>
      </c>
      <c r="O69" s="12" t="s">
        <v>613</v>
      </c>
      <c r="Q69" s="38">
        <v>0.219</v>
      </c>
      <c r="R69" s="38">
        <v>0.16500000000000001</v>
      </c>
    </row>
    <row r="70" spans="1:18" x14ac:dyDescent="0.25">
      <c r="A70" s="12" t="s">
        <v>614</v>
      </c>
      <c r="B70" s="38">
        <v>0.13500000000000001</v>
      </c>
      <c r="C70" s="38">
        <v>0.14099999999999999</v>
      </c>
      <c r="E70" s="12" t="s">
        <v>615</v>
      </c>
      <c r="G70" s="38">
        <v>5.8000000000000003E-2</v>
      </c>
      <c r="H70" s="38">
        <v>6.2E-2</v>
      </c>
      <c r="J70" s="12" t="s">
        <v>616</v>
      </c>
      <c r="L70" s="38">
        <v>0.10299999999999999</v>
      </c>
      <c r="M70" s="38">
        <v>0.104</v>
      </c>
      <c r="O70" s="12" t="s">
        <v>617</v>
      </c>
      <c r="Q70" s="38">
        <v>0.156</v>
      </c>
      <c r="R70" s="38">
        <v>9.2999999999999999E-2</v>
      </c>
    </row>
    <row r="71" spans="1:18" x14ac:dyDescent="0.25">
      <c r="A71" s="12" t="s">
        <v>618</v>
      </c>
      <c r="B71" s="38">
        <v>0.14199999999999999</v>
      </c>
      <c r="C71" s="38">
        <v>0.14899999999999999</v>
      </c>
      <c r="E71" s="12" t="s">
        <v>619</v>
      </c>
      <c r="G71" s="38">
        <v>5.8000000000000003E-2</v>
      </c>
      <c r="H71" s="38">
        <v>6.2E-2</v>
      </c>
      <c r="J71" s="12" t="s">
        <v>605</v>
      </c>
      <c r="L71" s="38">
        <v>8.7999999999999995E-2</v>
      </c>
      <c r="M71" s="38">
        <v>8.3000000000000004E-2</v>
      </c>
      <c r="O71" s="12" t="s">
        <v>620</v>
      </c>
      <c r="Q71" s="38">
        <v>0.109</v>
      </c>
      <c r="R71" s="38">
        <v>4.9000000000000002E-2</v>
      </c>
    </row>
    <row r="72" spans="1:18" x14ac:dyDescent="0.25">
      <c r="A72" s="12" t="s">
        <v>621</v>
      </c>
      <c r="B72" s="38">
        <v>7.0000000000000001E-3</v>
      </c>
      <c r="C72" s="38">
        <v>8.0000000000000002E-3</v>
      </c>
      <c r="E72" s="12" t="s">
        <v>622</v>
      </c>
      <c r="G72" s="38">
        <v>5.8000000000000003E-2</v>
      </c>
      <c r="H72" s="38">
        <v>6.0999999999999999E-2</v>
      </c>
      <c r="J72" s="12" t="s">
        <v>623</v>
      </c>
      <c r="L72" s="38">
        <v>0.02</v>
      </c>
      <c r="M72" s="38">
        <v>0.02</v>
      </c>
      <c r="O72" s="11" t="s">
        <v>417</v>
      </c>
      <c r="R72" s="39">
        <f>SUM($Q$67:$R$71)</f>
        <v>1</v>
      </c>
    </row>
    <row r="73" spans="1:18" x14ac:dyDescent="0.25">
      <c r="A73" s="11" t="s">
        <v>417</v>
      </c>
      <c r="C73" s="39">
        <f>SUM($B$67:$C$72)</f>
        <v>1</v>
      </c>
      <c r="E73" s="12" t="s">
        <v>624</v>
      </c>
      <c r="G73" s="38">
        <v>5.8000000000000003E-2</v>
      </c>
      <c r="H73" s="38">
        <v>6.0999999999999999E-2</v>
      </c>
      <c r="J73" s="12" t="s">
        <v>625</v>
      </c>
      <c r="L73" s="38">
        <v>0.01</v>
      </c>
      <c r="M73" s="38">
        <v>8.0000000000000002E-3</v>
      </c>
    </row>
    <row r="74" spans="1:18" x14ac:dyDescent="0.25">
      <c r="E74" s="12" t="s">
        <v>626</v>
      </c>
      <c r="G74" s="38">
        <v>5.8000000000000003E-2</v>
      </c>
      <c r="H74" s="38">
        <v>6.0999999999999999E-2</v>
      </c>
      <c r="J74" s="11" t="s">
        <v>417</v>
      </c>
      <c r="M74" s="39">
        <f>SUM($L$67:$M$73)</f>
        <v>0.99999999999999989</v>
      </c>
    </row>
    <row r="75" spans="1:18" x14ac:dyDescent="0.25">
      <c r="E75" s="12" t="s">
        <v>604</v>
      </c>
      <c r="G75" s="38">
        <v>2.8000000000000001E-2</v>
      </c>
      <c r="H75" s="38">
        <v>0.03</v>
      </c>
      <c r="J75" s="11"/>
    </row>
    <row r="76" spans="1:18" x14ac:dyDescent="0.25">
      <c r="E76" s="11" t="s">
        <v>417</v>
      </c>
      <c r="G76" s="39"/>
      <c r="H76" s="39">
        <f>SUM($G$67:$H$75)</f>
        <v>1</v>
      </c>
      <c r="J76" s="11"/>
      <c r="L76" s="39"/>
      <c r="M76" s="39"/>
    </row>
    <row r="78" spans="1:18" x14ac:dyDescent="0.25">
      <c r="A78" s="11" t="s">
        <v>627</v>
      </c>
    </row>
    <row r="79" spans="1:18" x14ac:dyDescent="0.25">
      <c r="A79" s="8" t="s">
        <v>628</v>
      </c>
      <c r="B79" s="8" t="s">
        <v>629</v>
      </c>
      <c r="C79" s="2"/>
      <c r="D79" s="2"/>
      <c r="E79" s="8" t="s">
        <v>629</v>
      </c>
      <c r="F79" s="2"/>
      <c r="G79" s="2"/>
      <c r="H79" s="2"/>
      <c r="I79" s="2"/>
      <c r="J79" s="2"/>
      <c r="K79" s="8" t="s">
        <v>630</v>
      </c>
      <c r="L79" s="2"/>
      <c r="M79" s="2"/>
      <c r="N79" s="8" t="s">
        <v>630</v>
      </c>
      <c r="O79" s="2"/>
      <c r="P79" s="2"/>
    </row>
    <row r="80" spans="1:18" x14ac:dyDescent="0.25">
      <c r="A80" s="8" t="s">
        <v>631</v>
      </c>
      <c r="B80" s="8" t="s">
        <v>632</v>
      </c>
      <c r="C80" s="2"/>
      <c r="D80" s="2"/>
      <c r="E80" s="8" t="s">
        <v>633</v>
      </c>
      <c r="F80" s="2"/>
      <c r="G80" s="2"/>
      <c r="H80" s="8" t="s">
        <v>634</v>
      </c>
      <c r="I80" s="2"/>
      <c r="J80" s="2"/>
      <c r="K80" s="8" t="s">
        <v>635</v>
      </c>
      <c r="L80" s="2"/>
      <c r="M80" s="2"/>
      <c r="N80" s="8" t="s">
        <v>636</v>
      </c>
      <c r="O80" s="2"/>
      <c r="P80" s="2"/>
    </row>
    <row r="81" spans="1:16" x14ac:dyDescent="0.25">
      <c r="A81" s="41" t="s">
        <v>637</v>
      </c>
      <c r="B81" s="42">
        <v>0.186</v>
      </c>
      <c r="C81" s="43"/>
      <c r="D81" s="43"/>
      <c r="E81" s="42">
        <v>0.57699999999999996</v>
      </c>
      <c r="F81" s="43"/>
      <c r="G81" s="43"/>
      <c r="H81" s="42">
        <v>9.1999999999999998E-2</v>
      </c>
      <c r="I81" s="43"/>
      <c r="J81" s="43"/>
      <c r="K81" s="42">
        <v>7.4999999999999997E-2</v>
      </c>
      <c r="L81" s="43"/>
      <c r="M81" s="43"/>
      <c r="N81" s="42">
        <v>7.0000000000000007E-2</v>
      </c>
      <c r="O81" s="43"/>
      <c r="P81" s="43"/>
    </row>
    <row r="82" spans="1:16" x14ac:dyDescent="0.25">
      <c r="A82" s="2"/>
      <c r="B82" s="8" t="s">
        <v>638</v>
      </c>
      <c r="C82" s="2"/>
      <c r="D82" s="2"/>
      <c r="E82" s="8" t="s">
        <v>638</v>
      </c>
      <c r="F82" s="2"/>
      <c r="G82" s="2"/>
      <c r="H82" s="8" t="s">
        <v>638</v>
      </c>
      <c r="I82" s="2"/>
      <c r="J82" s="2"/>
      <c r="K82" s="8" t="s">
        <v>638</v>
      </c>
      <c r="L82" s="2"/>
      <c r="M82" s="2"/>
      <c r="N82" s="8" t="s">
        <v>638</v>
      </c>
      <c r="O82" s="2"/>
      <c r="P82" s="2"/>
    </row>
    <row r="83" spans="1:16" x14ac:dyDescent="0.25">
      <c r="A83" s="2"/>
      <c r="B83" s="8" t="s">
        <v>418</v>
      </c>
      <c r="C83" s="8" t="s">
        <v>419</v>
      </c>
      <c r="D83" s="2"/>
      <c r="E83" s="8" t="s">
        <v>418</v>
      </c>
      <c r="F83" s="8" t="s">
        <v>419</v>
      </c>
      <c r="G83" s="8"/>
      <c r="H83" s="8" t="s">
        <v>418</v>
      </c>
      <c r="I83" s="8" t="s">
        <v>419</v>
      </c>
      <c r="J83" s="2"/>
      <c r="K83" s="8" t="s">
        <v>418</v>
      </c>
      <c r="L83" s="8" t="s">
        <v>419</v>
      </c>
      <c r="M83" s="2"/>
      <c r="N83" s="8" t="s">
        <v>418</v>
      </c>
      <c r="O83" s="8" t="s">
        <v>419</v>
      </c>
      <c r="P83" s="2"/>
    </row>
    <row r="84" spans="1:16" x14ac:dyDescent="0.25">
      <c r="A84" s="2" t="s">
        <v>639</v>
      </c>
      <c r="B84" s="44">
        <v>4.350881781627295E-3</v>
      </c>
      <c r="C84" s="44">
        <v>6.2981456335640769E-3</v>
      </c>
      <c r="D84" s="44"/>
      <c r="E84" s="44">
        <v>3.4130415711532205E-2</v>
      </c>
      <c r="F84" s="44">
        <v>4.2345288163769548E-2</v>
      </c>
      <c r="G84" s="44"/>
      <c r="H84" s="44">
        <v>7.7319714762276752E-4</v>
      </c>
      <c r="I84" s="44">
        <v>9.8641626465477894E-4</v>
      </c>
      <c r="J84" s="44"/>
      <c r="K84" s="44">
        <v>0</v>
      </c>
      <c r="L84" s="44">
        <v>0</v>
      </c>
      <c r="M84" s="44"/>
      <c r="N84" s="44">
        <v>5.1244437700743656E-3</v>
      </c>
      <c r="O84" s="44">
        <v>7.3409234613322199E-3</v>
      </c>
      <c r="P84" s="44"/>
    </row>
    <row r="85" spans="1:16" x14ac:dyDescent="0.25">
      <c r="A85" s="2" t="s">
        <v>640</v>
      </c>
      <c r="B85" s="44">
        <v>4.4381839610874501E-3</v>
      </c>
      <c r="C85" s="44">
        <v>6.0518211497011818E-3</v>
      </c>
      <c r="D85" s="44"/>
      <c r="E85" s="44">
        <v>7.1893151431543355E-3</v>
      </c>
      <c r="F85" s="44">
        <v>1.0718663677707414E-2</v>
      </c>
      <c r="G85" s="44"/>
      <c r="H85" s="44">
        <v>2.2100815103073533E-3</v>
      </c>
      <c r="I85" s="44">
        <v>4.8670318454908327E-3</v>
      </c>
      <c r="J85" s="44"/>
      <c r="K85" s="44">
        <v>0</v>
      </c>
      <c r="L85" s="44">
        <v>0</v>
      </c>
      <c r="M85" s="44"/>
      <c r="N85" s="44">
        <v>2.7726751140324368E-3</v>
      </c>
      <c r="O85" s="44">
        <v>2.9189866326661778E-3</v>
      </c>
      <c r="P85" s="44"/>
    </row>
    <row r="86" spans="1:16" x14ac:dyDescent="0.25">
      <c r="A86" s="2" t="s">
        <v>641</v>
      </c>
      <c r="B86" s="44">
        <v>7.1366422912255241E-3</v>
      </c>
      <c r="C86" s="44">
        <v>9.2005288699563547E-3</v>
      </c>
      <c r="D86" s="44"/>
      <c r="E86" s="44">
        <v>8.7145537612154707E-3</v>
      </c>
      <c r="F86" s="44">
        <v>1.0287656444306093E-2</v>
      </c>
      <c r="G86" s="44"/>
      <c r="H86" s="44">
        <v>1.3983178215216843E-2</v>
      </c>
      <c r="I86" s="44">
        <v>1.2094517173507817E-2</v>
      </c>
      <c r="J86" s="44"/>
      <c r="K86" s="44">
        <v>0</v>
      </c>
      <c r="L86" s="44">
        <v>0</v>
      </c>
      <c r="M86" s="44"/>
      <c r="N86" s="44">
        <v>1.1480768610365121E-3</v>
      </c>
      <c r="O86" s="44">
        <v>2.1601036130047871E-3</v>
      </c>
      <c r="P86" s="44"/>
    </row>
    <row r="87" spans="1:16" x14ac:dyDescent="0.25">
      <c r="A87" s="2" t="s">
        <v>642</v>
      </c>
      <c r="B87" s="44">
        <v>1.1961983044255255E-2</v>
      </c>
      <c r="C87" s="44">
        <v>1.1846059036461569E-2</v>
      </c>
      <c r="D87" s="44"/>
      <c r="E87" s="44">
        <v>1.3726140652411588E-2</v>
      </c>
      <c r="F87" s="44">
        <v>1.133551941982922E-2</v>
      </c>
      <c r="G87" s="44"/>
      <c r="H87" s="44">
        <v>5.5022478754672623E-2</v>
      </c>
      <c r="I87" s="44">
        <v>3.4598999702022792E-2</v>
      </c>
      <c r="J87" s="44"/>
      <c r="K87" s="44">
        <v>0</v>
      </c>
      <c r="L87" s="44">
        <v>0</v>
      </c>
      <c r="M87" s="44"/>
      <c r="N87" s="44">
        <v>5.3224027572570292E-4</v>
      </c>
      <c r="O87" s="44">
        <v>1.2393686148619387E-3</v>
      </c>
      <c r="P87" s="44"/>
    </row>
    <row r="88" spans="1:16" x14ac:dyDescent="0.25">
      <c r="A88" s="2" t="s">
        <v>613</v>
      </c>
      <c r="B88" s="44">
        <v>1.660966230031978E-2</v>
      </c>
      <c r="C88" s="44">
        <v>1.0965420563592686E-2</v>
      </c>
      <c r="D88" s="44"/>
      <c r="E88" s="44">
        <v>2.0756406091897064E-2</v>
      </c>
      <c r="F88" s="44">
        <v>1.106642162499985E-2</v>
      </c>
      <c r="G88" s="44"/>
      <c r="H88" s="44">
        <v>5.0885047832252839E-2</v>
      </c>
      <c r="I88" s="44">
        <v>5.4053570813621679E-2</v>
      </c>
      <c r="J88" s="44"/>
      <c r="K88" s="44">
        <v>0</v>
      </c>
      <c r="L88" s="44">
        <v>0</v>
      </c>
      <c r="M88" s="44"/>
      <c r="N88" s="44">
        <v>6.673925294559172E-4</v>
      </c>
      <c r="O88" s="44">
        <v>3.19648239691348E-4</v>
      </c>
      <c r="P88" s="44"/>
    </row>
    <row r="89" spans="1:16" x14ac:dyDescent="0.25">
      <c r="A89" s="2" t="s">
        <v>643</v>
      </c>
      <c r="B89" s="44">
        <v>2.1116476920713417E-2</v>
      </c>
      <c r="C89" s="44">
        <v>1.5132460173991075E-2</v>
      </c>
      <c r="D89" s="44"/>
      <c r="E89" s="44">
        <v>2.9032939541781138E-2</v>
      </c>
      <c r="F89" s="44">
        <v>1.2658259547503062E-2</v>
      </c>
      <c r="G89" s="44"/>
      <c r="H89" s="44">
        <v>4.7090832486294844E-2</v>
      </c>
      <c r="I89" s="44">
        <v>5.6435925417111829E-2</v>
      </c>
      <c r="J89" s="44"/>
      <c r="K89" s="44">
        <v>0</v>
      </c>
      <c r="L89" s="44">
        <v>0</v>
      </c>
      <c r="M89" s="44"/>
      <c r="N89" s="44">
        <v>7.8669376449036878E-4</v>
      </c>
      <c r="O89" s="44">
        <v>3.5439491987233722E-4</v>
      </c>
      <c r="P89" s="44"/>
    </row>
    <row r="90" spans="1:16" x14ac:dyDescent="0.25">
      <c r="A90" s="2" t="s">
        <v>644</v>
      </c>
      <c r="B90" s="44">
        <v>2.7694452639852006E-2</v>
      </c>
      <c r="C90" s="44">
        <v>1.9226717434331693E-2</v>
      </c>
      <c r="D90" s="44"/>
      <c r="E90" s="44">
        <v>4.0639386265293578E-2</v>
      </c>
      <c r="F90" s="44">
        <v>1.3711493461033295E-2</v>
      </c>
      <c r="G90" s="44"/>
      <c r="H90" s="44">
        <v>4.9145850504712769E-2</v>
      </c>
      <c r="I90" s="44">
        <v>5.5919141201373798E-2</v>
      </c>
      <c r="J90" s="44"/>
      <c r="K90" s="44">
        <v>0</v>
      </c>
      <c r="L90" s="44">
        <v>0</v>
      </c>
      <c r="M90" s="44"/>
      <c r="N90" s="44">
        <v>1.4320080236018742E-3</v>
      </c>
      <c r="O90" s="44">
        <v>6.8298415225902535E-4</v>
      </c>
      <c r="P90" s="44"/>
    </row>
    <row r="91" spans="1:16" x14ac:dyDescent="0.25">
      <c r="A91" s="2" t="s">
        <v>645</v>
      </c>
      <c r="B91" s="44">
        <v>3.0305277799914855E-2</v>
      </c>
      <c r="C91" s="44">
        <v>2.0329015060508587E-2</v>
      </c>
      <c r="D91" s="44"/>
      <c r="E91" s="44">
        <v>3.2090629056181208E-2</v>
      </c>
      <c r="F91" s="44">
        <v>1.375117261584885E-2</v>
      </c>
      <c r="G91" s="44"/>
      <c r="H91" s="44">
        <v>3.9651973585460069E-2</v>
      </c>
      <c r="I91" s="44">
        <v>4.9794307214391507E-2</v>
      </c>
      <c r="J91" s="44"/>
      <c r="K91" s="44">
        <v>0</v>
      </c>
      <c r="L91" s="44">
        <v>0</v>
      </c>
      <c r="M91" s="44"/>
      <c r="N91" s="44">
        <v>1.856260412129072E-3</v>
      </c>
      <c r="O91" s="44">
        <v>9.7161170318954115E-4</v>
      </c>
      <c r="P91" s="44"/>
    </row>
    <row r="92" spans="1:16" x14ac:dyDescent="0.25">
      <c r="A92" s="2" t="s">
        <v>646</v>
      </c>
      <c r="B92" s="44">
        <v>3.0939685862359255E-2</v>
      </c>
      <c r="C92" s="44">
        <v>2.1850924497481317E-2</v>
      </c>
      <c r="D92" s="44"/>
      <c r="E92" s="44">
        <v>2.2636507467773508E-2</v>
      </c>
      <c r="F92" s="44">
        <v>1.5282762430933008E-2</v>
      </c>
      <c r="G92" s="44"/>
      <c r="H92" s="44">
        <v>3.3859601404525874E-2</v>
      </c>
      <c r="I92" s="44">
        <v>4.471213654023036E-2</v>
      </c>
      <c r="J92" s="44"/>
      <c r="K92" s="44">
        <v>0</v>
      </c>
      <c r="L92" s="44">
        <v>0</v>
      </c>
      <c r="M92" s="44"/>
      <c r="N92" s="44">
        <v>1.8173915824284514E-3</v>
      </c>
      <c r="O92" s="44">
        <v>2.2428032583326494E-3</v>
      </c>
      <c r="P92" s="44"/>
    </row>
    <row r="93" spans="1:16" x14ac:dyDescent="0.25">
      <c r="A93" s="2" t="s">
        <v>647</v>
      </c>
      <c r="B93" s="44">
        <v>3.9080566895548292E-2</v>
      </c>
      <c r="C93" s="44">
        <v>2.6357825261918034E-2</v>
      </c>
      <c r="D93" s="44"/>
      <c r="E93" s="44">
        <v>2.2560986362080496E-2</v>
      </c>
      <c r="F93" s="44">
        <v>1.8456376693046485E-2</v>
      </c>
      <c r="G93" s="44"/>
      <c r="H93" s="44">
        <v>3.2461453148365627E-2</v>
      </c>
      <c r="I93" s="44">
        <v>4.4389485885416913E-2</v>
      </c>
      <c r="J93" s="44"/>
      <c r="K93" s="44">
        <v>0</v>
      </c>
      <c r="L93" s="44">
        <v>0</v>
      </c>
      <c r="M93" s="44"/>
      <c r="N93" s="44">
        <v>4.4829117695184802E-3</v>
      </c>
      <c r="O93" s="44">
        <v>1.8990926129542898E-3</v>
      </c>
      <c r="P93" s="44"/>
    </row>
    <row r="94" spans="1:16" x14ac:dyDescent="0.25">
      <c r="A94" s="2" t="s">
        <v>648</v>
      </c>
      <c r="B94" s="44">
        <v>4.5144214132948994E-2</v>
      </c>
      <c r="C94" s="44">
        <v>3.4800338414687243E-2</v>
      </c>
      <c r="D94" s="44"/>
      <c r="E94" s="44">
        <v>2.8111521477222394E-2</v>
      </c>
      <c r="F94" s="44">
        <v>2.657001529529333E-2</v>
      </c>
      <c r="G94" s="44"/>
      <c r="H94" s="44">
        <v>3.9240005996852984E-2</v>
      </c>
      <c r="I94" s="44">
        <v>4.8425394636792116E-2</v>
      </c>
      <c r="J94" s="44"/>
      <c r="K94" s="44">
        <v>3.7675598557267292E-3</v>
      </c>
      <c r="L94" s="44">
        <v>4.4618997084572582E-3</v>
      </c>
      <c r="M94" s="44"/>
      <c r="N94" s="44">
        <v>7.4300983129089856E-3</v>
      </c>
      <c r="O94" s="44">
        <v>3.5971741627526593E-3</v>
      </c>
      <c r="P94" s="44"/>
    </row>
    <row r="95" spans="1:16" x14ac:dyDescent="0.25">
      <c r="A95" s="2" t="s">
        <v>649</v>
      </c>
      <c r="B95" s="44">
        <v>4.7209194761795269E-2</v>
      </c>
      <c r="C95" s="44">
        <v>4.1372455277857455E-2</v>
      </c>
      <c r="D95" s="44"/>
      <c r="E95" s="44">
        <v>3.2215700109051261E-2</v>
      </c>
      <c r="F95" s="44">
        <v>3.5679597819899392E-2</v>
      </c>
      <c r="G95" s="44"/>
      <c r="H95" s="44">
        <v>3.7445024494593492E-2</v>
      </c>
      <c r="I95" s="44">
        <v>3.834869498982349E-2</v>
      </c>
      <c r="J95" s="44"/>
      <c r="K95" s="44">
        <v>9.236320925008517E-3</v>
      </c>
      <c r="L95" s="44">
        <v>8.7192976224724685E-3</v>
      </c>
      <c r="M95" s="44"/>
      <c r="N95" s="44">
        <v>1.092702524898446E-2</v>
      </c>
      <c r="O95" s="44">
        <v>8.7175932852851298E-3</v>
      </c>
      <c r="P95" s="44"/>
    </row>
    <row r="96" spans="1:16" x14ac:dyDescent="0.25">
      <c r="A96" s="2" t="s">
        <v>650</v>
      </c>
      <c r="B96" s="44">
        <v>5.0882448300614176E-2</v>
      </c>
      <c r="C96" s="44">
        <v>4.804624094512816E-2</v>
      </c>
      <c r="D96" s="44"/>
      <c r="E96" s="44">
        <v>3.7550067216010077E-2</v>
      </c>
      <c r="F96" s="44">
        <v>4.3909845071212768E-2</v>
      </c>
      <c r="G96" s="44"/>
      <c r="H96" s="44">
        <v>2.8618819661694425E-2</v>
      </c>
      <c r="I96" s="44">
        <v>3.2780395518076821E-2</v>
      </c>
      <c r="J96" s="44"/>
      <c r="K96" s="44">
        <v>1.4673593053294758E-2</v>
      </c>
      <c r="L96" s="44">
        <v>1.6214044700345157E-2</v>
      </c>
      <c r="M96" s="44"/>
      <c r="N96" s="44">
        <v>2.2742972248287644E-2</v>
      </c>
      <c r="O96" s="44">
        <v>1.3969898493398311E-2</v>
      </c>
      <c r="P96" s="44"/>
    </row>
    <row r="97" spans="1:16" x14ac:dyDescent="0.25">
      <c r="A97" s="2" t="s">
        <v>651</v>
      </c>
      <c r="B97" s="44">
        <v>4.842249993224728E-2</v>
      </c>
      <c r="C97" s="44">
        <v>5.0709274205325068E-2</v>
      </c>
      <c r="D97" s="44"/>
      <c r="E97" s="44">
        <v>3.887939344163726E-2</v>
      </c>
      <c r="F97" s="44">
        <v>4.8122343148902236E-2</v>
      </c>
      <c r="G97" s="44"/>
      <c r="H97" s="44">
        <v>1.9223071882410861E-2</v>
      </c>
      <c r="I97" s="44">
        <v>2.0931099140232126E-2</v>
      </c>
      <c r="J97" s="44"/>
      <c r="K97" s="44">
        <v>2.4315000742857463E-2</v>
      </c>
      <c r="L97" s="44">
        <v>2.7856963962010477E-2</v>
      </c>
      <c r="M97" s="44"/>
      <c r="N97" s="44">
        <v>4.0549190786868305E-2</v>
      </c>
      <c r="O97" s="44">
        <v>3.2663080713806442E-2</v>
      </c>
      <c r="P97" s="44"/>
    </row>
    <row r="98" spans="1:16" x14ac:dyDescent="0.25">
      <c r="A98" s="2" t="s">
        <v>652</v>
      </c>
      <c r="B98" s="44">
        <v>4.5611255231418707E-2</v>
      </c>
      <c r="C98" s="44">
        <v>5.2549559514270761E-2</v>
      </c>
      <c r="D98" s="44"/>
      <c r="E98" s="44">
        <v>4.0919950536248376E-2</v>
      </c>
      <c r="F98" s="44">
        <v>5.0774734593269366E-2</v>
      </c>
      <c r="G98" s="44"/>
      <c r="H98" s="44">
        <v>1.2399906270913153E-2</v>
      </c>
      <c r="I98" s="44">
        <v>1.1940447902826912E-2</v>
      </c>
      <c r="J98" s="44"/>
      <c r="K98" s="44">
        <v>4.4267329539327112E-2</v>
      </c>
      <c r="L98" s="44">
        <v>4.1320399858589082E-2</v>
      </c>
      <c r="M98" s="44"/>
      <c r="N98" s="44">
        <v>6.0609852312197593E-2</v>
      </c>
      <c r="O98" s="44">
        <v>5.202710288975354E-2</v>
      </c>
      <c r="P98" s="44"/>
    </row>
    <row r="99" spans="1:16" x14ac:dyDescent="0.25">
      <c r="A99" s="2" t="s">
        <v>653</v>
      </c>
      <c r="B99" s="44">
        <v>3.7621051885007181E-2</v>
      </c>
      <c r="C99" s="44">
        <v>4.4354317310340383E-2</v>
      </c>
      <c r="D99" s="44"/>
      <c r="E99" s="44">
        <v>3.8439390785275016E-2</v>
      </c>
      <c r="F99" s="44">
        <v>4.5016015804859803E-2</v>
      </c>
      <c r="G99" s="44"/>
      <c r="H99" s="44">
        <v>8.3366355387155013E-3</v>
      </c>
      <c r="I99" s="44">
        <v>5.6799150402192964E-3</v>
      </c>
      <c r="J99" s="44"/>
      <c r="K99" s="44">
        <v>7.3074533391041918E-2</v>
      </c>
      <c r="L99" s="44">
        <v>5.6436908692406376E-2</v>
      </c>
      <c r="M99" s="44"/>
      <c r="N99" s="44">
        <v>8.8609593297096556E-2</v>
      </c>
      <c r="O99" s="44">
        <v>6.2434112519949382E-2</v>
      </c>
      <c r="P99" s="44"/>
    </row>
    <row r="100" spans="1:16" x14ac:dyDescent="0.25">
      <c r="A100" s="2" t="s">
        <v>654</v>
      </c>
      <c r="B100" s="44">
        <v>2.8686508850895479E-2</v>
      </c>
      <c r="C100" s="44">
        <v>3.3051482037761579E-2</v>
      </c>
      <c r="D100" s="44"/>
      <c r="E100" s="44">
        <v>3.3642065509954792E-2</v>
      </c>
      <c r="F100" s="44">
        <v>3.5515384236242904E-2</v>
      </c>
      <c r="G100" s="44"/>
      <c r="H100" s="44">
        <v>4.459434304997071E-3</v>
      </c>
      <c r="I100" s="44">
        <v>3.9622923202758493E-3</v>
      </c>
      <c r="J100" s="44"/>
      <c r="K100" s="44">
        <v>0.11204660425759357</v>
      </c>
      <c r="L100" s="44">
        <v>7.574008897422603E-2</v>
      </c>
      <c r="M100" s="44"/>
      <c r="N100" s="44">
        <v>0.11298900584572293</v>
      </c>
      <c r="O100" s="44">
        <v>8.0888014072476727E-2</v>
      </c>
      <c r="P100" s="44"/>
    </row>
    <row r="101" spans="1:16" x14ac:dyDescent="0.25">
      <c r="A101" s="2" t="s">
        <v>655</v>
      </c>
      <c r="B101" s="44">
        <v>2.659085923494299E-2</v>
      </c>
      <c r="C101" s="44">
        <v>2.4055568786349589E-2</v>
      </c>
      <c r="D101" s="44"/>
      <c r="E101" s="44">
        <v>3.9149928929262452E-2</v>
      </c>
      <c r="F101" s="44">
        <v>3.441315189336118E-2</v>
      </c>
      <c r="G101" s="44"/>
      <c r="H101" s="44">
        <v>3.0916144348261065E-3</v>
      </c>
      <c r="I101" s="44">
        <v>2.1820212194958674E-3</v>
      </c>
      <c r="J101" s="44"/>
      <c r="K101" s="44">
        <v>0.3447236494439877</v>
      </c>
      <c r="L101" s="44">
        <v>0.1431458052726555</v>
      </c>
      <c r="M101" s="44"/>
      <c r="N101" s="44">
        <v>0.2344445238461802</v>
      </c>
      <c r="O101" s="44">
        <v>0.12665075065367376</v>
      </c>
      <c r="P101" s="44"/>
    </row>
    <row r="102" spans="1:16" x14ac:dyDescent="0.25">
      <c r="A102" s="11" t="s">
        <v>417</v>
      </c>
      <c r="C102" s="39">
        <f>SUM($B$84:$C$101)</f>
        <v>0.99999999999999989</v>
      </c>
      <c r="F102" s="39">
        <f>SUM($E$84:$F$101)</f>
        <v>1.0000000000000002</v>
      </c>
      <c r="I102" s="39">
        <f>SUM($H$84:$I$101)</f>
        <v>1</v>
      </c>
      <c r="L102" s="39">
        <f>SUM($K$84:$L$101)</f>
        <v>1</v>
      </c>
      <c r="O102" s="39">
        <f>SUM($N$84:$O$101)</f>
        <v>1.0000000000000002</v>
      </c>
    </row>
  </sheetData>
  <phoneticPr fontId="30" type="noConversion"/>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06A8D-301A-4818-ACBE-B303AC2DAF02}">
  <dimension ref="A1:AK46"/>
  <sheetViews>
    <sheetView workbookViewId="0">
      <pane xSplit="1" ySplit="5" topLeftCell="T6" activePane="bottomRight" state="frozen"/>
      <selection activeCell="AB17" sqref="AB17"/>
      <selection pane="topRight" activeCell="AB17" sqref="AB17"/>
      <selection pane="bottomLeft" activeCell="AB17" sqref="AB17"/>
      <selection pane="bottomRight"/>
    </sheetView>
  </sheetViews>
  <sheetFormatPr defaultRowHeight="15" x14ac:dyDescent="0.25"/>
  <cols>
    <col min="1" max="1" width="60.7109375" customWidth="1"/>
    <col min="2" max="37" width="10.7109375" customWidth="1"/>
  </cols>
  <sheetData>
    <row r="1" spans="1:37" x14ac:dyDescent="0.25">
      <c r="A1" s="11" t="s">
        <v>656</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pans="1:37" x14ac:dyDescent="0.25">
      <c r="A2" s="14" t="s">
        <v>657</v>
      </c>
      <c r="B2" s="12"/>
      <c r="C2" s="12"/>
      <c r="D2" s="12"/>
      <c r="E2" s="6" t="s">
        <v>117</v>
      </c>
      <c r="F2" s="2"/>
      <c r="G2" s="2"/>
      <c r="H2" s="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row>
    <row r="3" spans="1:37" x14ac:dyDescent="0.2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1:37" x14ac:dyDescent="0.25">
      <c r="A4" s="11" t="s">
        <v>341</v>
      </c>
      <c r="B4" s="15" t="s">
        <v>342</v>
      </c>
      <c r="C4" s="15" t="s">
        <v>343</v>
      </c>
      <c r="D4" s="15" t="s">
        <v>344</v>
      </c>
      <c r="E4" s="15" t="s">
        <v>345</v>
      </c>
      <c r="F4" s="15" t="s">
        <v>346</v>
      </c>
      <c r="G4" s="15" t="s">
        <v>347</v>
      </c>
      <c r="H4" s="15" t="s">
        <v>348</v>
      </c>
      <c r="I4" s="15" t="s">
        <v>349</v>
      </c>
      <c r="J4" s="15" t="s">
        <v>350</v>
      </c>
      <c r="K4" s="15" t="s">
        <v>351</v>
      </c>
      <c r="L4" s="15" t="s">
        <v>352</v>
      </c>
      <c r="M4" s="15" t="s">
        <v>353</v>
      </c>
      <c r="N4" s="15" t="s">
        <v>354</v>
      </c>
      <c r="O4" s="15" t="s">
        <v>355</v>
      </c>
      <c r="P4" s="15" t="s">
        <v>356</v>
      </c>
      <c r="Q4" s="15" t="s">
        <v>357</v>
      </c>
      <c r="R4" s="15" t="s">
        <v>358</v>
      </c>
      <c r="S4" s="15" t="s">
        <v>359</v>
      </c>
      <c r="T4" s="15" t="s">
        <v>360</v>
      </c>
      <c r="U4" s="15" t="s">
        <v>361</v>
      </c>
      <c r="V4" s="15" t="s">
        <v>362</v>
      </c>
      <c r="W4" s="15" t="s">
        <v>363</v>
      </c>
      <c r="X4" s="15" t="s">
        <v>364</v>
      </c>
      <c r="Y4" s="15" t="s">
        <v>365</v>
      </c>
      <c r="Z4" s="15" t="s">
        <v>366</v>
      </c>
      <c r="AA4" s="15" t="s">
        <v>367</v>
      </c>
      <c r="AB4" s="15" t="s">
        <v>368</v>
      </c>
      <c r="AC4" s="15" t="s">
        <v>369</v>
      </c>
      <c r="AD4" s="15" t="s">
        <v>370</v>
      </c>
      <c r="AE4" s="15" t="s">
        <v>371</v>
      </c>
      <c r="AF4" s="15" t="s">
        <v>372</v>
      </c>
      <c r="AG4" s="15" t="s">
        <v>373</v>
      </c>
      <c r="AH4" s="15" t="s">
        <v>374</v>
      </c>
      <c r="AI4" s="15" t="s">
        <v>375</v>
      </c>
      <c r="AJ4" s="15" t="s">
        <v>376</v>
      </c>
      <c r="AK4" s="15" t="s">
        <v>1451</v>
      </c>
    </row>
    <row r="5" spans="1:37" x14ac:dyDescent="0.25">
      <c r="A5" s="12"/>
      <c r="B5" s="11">
        <v>2006</v>
      </c>
      <c r="C5" s="11">
        <v>2007</v>
      </c>
      <c r="D5" s="11">
        <v>2008</v>
      </c>
      <c r="E5" s="11">
        <v>2009</v>
      </c>
      <c r="F5" s="11">
        <v>2010</v>
      </c>
      <c r="G5" s="11">
        <v>2011</v>
      </c>
      <c r="H5" s="11">
        <v>2012</v>
      </c>
      <c r="I5" s="11">
        <v>2013</v>
      </c>
      <c r="J5" s="11">
        <v>2014</v>
      </c>
      <c r="K5" s="11">
        <v>2015</v>
      </c>
      <c r="L5" s="11">
        <v>2016</v>
      </c>
      <c r="M5" s="11">
        <v>2017</v>
      </c>
      <c r="N5" s="11">
        <v>2018</v>
      </c>
      <c r="O5" s="11">
        <v>2019</v>
      </c>
      <c r="P5" s="11">
        <v>2020</v>
      </c>
      <c r="Q5" s="11">
        <v>2021</v>
      </c>
      <c r="R5" s="11">
        <v>2022</v>
      </c>
      <c r="S5" s="11">
        <v>2023</v>
      </c>
      <c r="T5" s="11">
        <v>2024</v>
      </c>
      <c r="U5" s="11">
        <v>2025</v>
      </c>
      <c r="V5" s="11">
        <v>2026</v>
      </c>
      <c r="W5" s="11">
        <v>2027</v>
      </c>
      <c r="X5" s="11">
        <v>2028</v>
      </c>
      <c r="Y5" s="11">
        <v>2029</v>
      </c>
      <c r="Z5" s="11">
        <v>2030</v>
      </c>
      <c r="AA5" s="11">
        <v>2031</v>
      </c>
      <c r="AB5" s="11">
        <v>2032</v>
      </c>
      <c r="AC5" s="11">
        <v>2033</v>
      </c>
      <c r="AD5" s="11">
        <v>2034</v>
      </c>
      <c r="AE5" s="11">
        <v>2035</v>
      </c>
      <c r="AF5" s="11">
        <v>2036</v>
      </c>
      <c r="AG5" s="11">
        <v>2037</v>
      </c>
      <c r="AH5" s="11">
        <v>2038</v>
      </c>
      <c r="AI5" s="11">
        <v>2039</v>
      </c>
      <c r="AJ5" s="11">
        <v>2040</v>
      </c>
      <c r="AK5" s="11">
        <v>2041</v>
      </c>
    </row>
    <row r="6" spans="1:37" x14ac:dyDescent="0.25">
      <c r="A6" s="11"/>
      <c r="N6" s="21"/>
      <c r="O6" s="21"/>
      <c r="P6" s="21"/>
      <c r="S6" s="45" t="s">
        <v>658</v>
      </c>
      <c r="T6" s="46"/>
      <c r="U6" s="46"/>
      <c r="V6" s="11"/>
      <c r="W6" s="46">
        <f ca="1">OFFSET('Fiscal Forecasts'!$B$173,0,W$5-'Fiscal Forecasts'!$E$7+3)/AVERAGE(OFFSET('Fiscal Forecasts'!$B$147,0,W$5-'Fiscal Forecasts'!$E$7+2),OFFSET('Fiscal Forecasts'!$B$147,0,W$5-'Fiscal Forecasts'!$E$7+3))</f>
        <v>3.8861678706700244E-2</v>
      </c>
      <c r="X6" s="46">
        <f ca="1">OFFSET('Fiscal Forecasts'!$B$173,0,X$5-'Fiscal Forecasts'!$E$7+3)/AVERAGE(OFFSET('Fiscal Forecasts'!$B$147,0,X$5-'Fiscal Forecasts'!$E$7+2),OFFSET('Fiscal Forecasts'!$B$147,0,X$5-'Fiscal Forecasts'!$E$7+3))</f>
        <v>4.0583178422113488E-2</v>
      </c>
      <c r="Y6" s="46">
        <f ca="1">OFFSET('Fiscal Forecasts'!$B$173,0,Y$5-'Fiscal Forecasts'!$E$7+3)/AVERAGE(OFFSET('Fiscal Forecasts'!$B$147,0,Y$5-'Fiscal Forecasts'!$E$7+2),OFFSET('Fiscal Forecasts'!$B$147,0,Y$5-'Fiscal Forecasts'!$E$7+3))</f>
        <v>4.2446533725796272E-2</v>
      </c>
      <c r="Z6" s="46">
        <f ca="1">OFFSET('Fiscal Forecasts'!$B$173,0,Z$5-'Fiscal Forecasts'!$E$7+3)/AVERAGE(OFFSET('Fiscal Forecasts'!$B$147,0,Z$5-'Fiscal Forecasts'!$E$7+2),OFFSET('Fiscal Forecasts'!$B$147,0,Z$5-'Fiscal Forecasts'!$E$7+3))</f>
        <v>4.4865266302370359E-2</v>
      </c>
      <c r="AA6" s="46">
        <f ca="1">OFFSET('Fiscal Forecasts'!$B$173,0,AA$5-'Fiscal Forecasts'!$E$7+3)/AVERAGE(OFFSET('Fiscal Forecasts'!$B$147,0,AA$5-'Fiscal Forecasts'!$E$7+2),OFFSET('Fiscal Forecasts'!$B$147,0,AA$5-'Fiscal Forecasts'!$E$7+3))</f>
        <v>4.5545513073249118E-2</v>
      </c>
      <c r="AK6" s="11"/>
    </row>
    <row r="7" spans="1:37" x14ac:dyDescent="0.25">
      <c r="A7" s="12"/>
      <c r="N7" s="21"/>
      <c r="O7" s="21"/>
      <c r="P7" s="21"/>
      <c r="S7" s="12" t="s">
        <v>659</v>
      </c>
      <c r="T7" s="20"/>
      <c r="U7" s="20"/>
      <c r="V7" s="11"/>
      <c r="W7" s="20">
        <f ca="1">ROUND(W$6/2*(1+W$6/2)*(W$23-W$14-(W$25-W$16)+W$28-W$19),3)</f>
        <v>0</v>
      </c>
      <c r="X7" s="20">
        <f ca="1">ROUND(X$6/2*(1+X$6/2)*(X$23-X$14-(X$25-X$16)+X$28-X$19),3)</f>
        <v>0</v>
      </c>
      <c r="Y7" s="20">
        <f ca="1">ROUND(Y$6/2*(1+Y$6/2)*(Y$23-Y$14-(Y$25-Y$16)+Y$28-Y$19),3)</f>
        <v>0</v>
      </c>
      <c r="Z7" s="20">
        <f ca="1">ROUND(Z$6/2*(1+Z$6/2)*(Z$23-Z$14-(Z$25-Z$16)+Z$28-Z$19),3)</f>
        <v>0</v>
      </c>
      <c r="AA7" s="20">
        <f ca="1">ROUND(AA$6/2*(1+AA$6/2)*(AA$23-AA$14-(AA$25-AA$16)+AA$28-AA$19),3)</f>
        <v>0</v>
      </c>
      <c r="AK7" s="11"/>
    </row>
    <row r="8" spans="1:37" x14ac:dyDescent="0.25">
      <c r="A8" s="14"/>
      <c r="N8" s="21"/>
      <c r="O8" s="21"/>
      <c r="P8" s="21"/>
      <c r="S8" s="12" t="s">
        <v>660</v>
      </c>
      <c r="T8" s="20"/>
      <c r="U8" s="20"/>
      <c r="V8" s="11"/>
      <c r="W8" s="20">
        <f ca="1">ROUND(W$6*V$11,3)</f>
        <v>0</v>
      </c>
      <c r="X8" s="20">
        <f ca="1">ROUND(X$6*W$11,3)</f>
        <v>0</v>
      </c>
      <c r="Y8" s="20">
        <f ca="1">ROUND(Y$6*X$11,3)</f>
        <v>0</v>
      </c>
      <c r="Z8" s="20">
        <f ca="1">ROUND(Z$6*Y$11,3)</f>
        <v>0</v>
      </c>
      <c r="AA8" s="20">
        <f ca="1">ROUND(AA$6*Z$11,3)</f>
        <v>0</v>
      </c>
      <c r="AB8" s="82"/>
      <c r="AC8" s="82"/>
      <c r="AD8" s="82"/>
      <c r="AE8" s="82"/>
      <c r="AF8" s="82"/>
      <c r="AK8" s="11"/>
    </row>
    <row r="9" spans="1:37" x14ac:dyDescent="0.25">
      <c r="A9" s="12"/>
      <c r="N9" s="21"/>
      <c r="O9" s="21"/>
      <c r="P9" s="21"/>
      <c r="S9" s="11" t="s">
        <v>661</v>
      </c>
      <c r="T9" s="21"/>
      <c r="U9" s="21"/>
      <c r="V9" s="11"/>
      <c r="W9" s="21">
        <f ca="1">SUM(W$7:W$8)</f>
        <v>0</v>
      </c>
      <c r="X9" s="21">
        <f ca="1">SUM(X$7:X$8)</f>
        <v>0</v>
      </c>
      <c r="Y9" s="21">
        <f ca="1">SUM(Y$7:Y$8)</f>
        <v>0</v>
      </c>
      <c r="Z9" s="21">
        <f ca="1">SUM(Z$7:Z$8)</f>
        <v>0</v>
      </c>
      <c r="AA9" s="21">
        <f ca="1">SUM(AA$7:AA$8)</f>
        <v>0</v>
      </c>
    </row>
    <row r="10" spans="1:37" x14ac:dyDescent="0.25">
      <c r="A10" s="12"/>
      <c r="N10" s="21"/>
      <c r="O10" s="21"/>
      <c r="P10" s="21"/>
      <c r="S10" s="12" t="s">
        <v>706</v>
      </c>
      <c r="T10" s="20"/>
      <c r="U10" s="20"/>
      <c r="V10" s="11"/>
      <c r="W10" s="20">
        <f ca="1">ROUND(W$9+W$23-W$14-(W$25-W$16)+W$28-W$19,3)</f>
        <v>0</v>
      </c>
      <c r="X10" s="20">
        <f ca="1">ROUND(X$9+X$23-X$14-(X$25-X$16)+X$28-X$19,3)</f>
        <v>0</v>
      </c>
      <c r="Y10" s="20">
        <f ca="1">ROUND(Y$9+Y$23-Y$14-(Y$25-Y$16)+Y$28-Y$19,3)</f>
        <v>0</v>
      </c>
      <c r="Z10" s="20">
        <f ca="1">ROUND(Z$9+Z$23-Z$14-(Z$25-Z$16)+Z$28-Z$19,3)</f>
        <v>0</v>
      </c>
      <c r="AA10" s="20">
        <f ca="1">ROUND(AA$9+AA$23-AA$14-(AA$25-AA$16)+AA$28-AA$19,3)</f>
        <v>0</v>
      </c>
    </row>
    <row r="11" spans="1:37" x14ac:dyDescent="0.25">
      <c r="A11" s="11"/>
      <c r="N11" s="21"/>
      <c r="O11" s="21"/>
      <c r="P11" s="21"/>
      <c r="S11" s="11" t="s">
        <v>663</v>
      </c>
      <c r="T11" s="21"/>
      <c r="U11" s="21"/>
      <c r="V11" s="11"/>
      <c r="W11" s="21">
        <f ca="1">SUM($W$10:W$10)</f>
        <v>0</v>
      </c>
      <c r="X11" s="21">
        <f ca="1">SUM($W$10:X$10)</f>
        <v>0</v>
      </c>
      <c r="Y11" s="21">
        <f ca="1">SUM($W$10:Y$10)</f>
        <v>0</v>
      </c>
      <c r="Z11" s="21">
        <f ca="1">SUM($W$10:Z$10)</f>
        <v>0</v>
      </c>
      <c r="AA11" s="21">
        <f ca="1">SUM($W$10:AA$10)</f>
        <v>0</v>
      </c>
    </row>
    <row r="12" spans="1:37" x14ac:dyDescent="0.25">
      <c r="A12" s="12"/>
      <c r="M12" s="21"/>
      <c r="N12" s="21"/>
      <c r="O12" s="21"/>
      <c r="P12" s="21"/>
      <c r="Q12" s="21"/>
      <c r="R12" s="21"/>
      <c r="S12" s="21"/>
      <c r="T12" s="11"/>
      <c r="U12" s="11"/>
      <c r="V12" s="11"/>
      <c r="W12" s="11"/>
      <c r="X12" s="11"/>
      <c r="Y12" s="11"/>
      <c r="Z12" s="11"/>
    </row>
    <row r="13" spans="1:37" x14ac:dyDescent="0.25">
      <c r="A13" s="14"/>
      <c r="M13" s="21"/>
      <c r="O13" s="21"/>
      <c r="P13" s="21"/>
      <c r="Q13" s="21"/>
      <c r="R13" s="21"/>
      <c r="U13" s="21" t="s">
        <v>1442</v>
      </c>
      <c r="V13" s="11"/>
      <c r="W13" s="11"/>
      <c r="X13" s="21"/>
    </row>
    <row r="14" spans="1:37" x14ac:dyDescent="0.25">
      <c r="A14" s="14"/>
      <c r="M14" s="21"/>
      <c r="O14" s="21"/>
      <c r="P14" s="21"/>
      <c r="Q14" s="21"/>
      <c r="R14" s="21"/>
      <c r="U14" s="12" t="s">
        <v>1443</v>
      </c>
      <c r="V14" s="48"/>
      <c r="W14" s="48">
        <v>0.56200000000000006</v>
      </c>
      <c r="X14" s="48">
        <v>0.155</v>
      </c>
      <c r="Y14" s="48">
        <v>0.35</v>
      </c>
      <c r="Z14" s="48">
        <v>0.44900000000000001</v>
      </c>
      <c r="AA14" s="48">
        <v>0.47299999999999998</v>
      </c>
    </row>
    <row r="15" spans="1:37" x14ac:dyDescent="0.25">
      <c r="A15" s="14"/>
      <c r="M15" s="47"/>
      <c r="N15" s="21"/>
      <c r="P15" s="47"/>
      <c r="Q15" s="48"/>
      <c r="R15" s="21"/>
      <c r="U15" s="12" t="s">
        <v>524</v>
      </c>
      <c r="V15" s="48"/>
      <c r="W15" s="48">
        <v>1.7829999999999999</v>
      </c>
      <c r="X15" s="48">
        <v>1.8460000000000001</v>
      </c>
      <c r="Y15" s="48">
        <v>1.9339999999999999</v>
      </c>
      <c r="Z15" s="48">
        <v>2.0230000000000001</v>
      </c>
      <c r="AA15" s="48">
        <v>2.117</v>
      </c>
    </row>
    <row r="16" spans="1:37" x14ac:dyDescent="0.25">
      <c r="A16" s="14"/>
      <c r="M16" s="47"/>
      <c r="N16" s="21"/>
      <c r="P16" s="47"/>
      <c r="Q16" s="48"/>
      <c r="R16" s="21"/>
      <c r="U16" s="12" t="s">
        <v>1444</v>
      </c>
      <c r="V16" s="48"/>
      <c r="W16" s="48">
        <v>1.1910000000000001</v>
      </c>
      <c r="X16" s="48">
        <v>1.2689999999999999</v>
      </c>
      <c r="Y16" s="48">
        <v>1.351</v>
      </c>
      <c r="Z16" s="48">
        <v>1.4419999999999999</v>
      </c>
      <c r="AA16" s="48">
        <v>1.54</v>
      </c>
    </row>
    <row r="17" spans="1:37" x14ac:dyDescent="0.25">
      <c r="A17" s="12"/>
      <c r="M17" s="47"/>
      <c r="N17" s="21"/>
      <c r="P17" s="47"/>
      <c r="Q17" s="48"/>
      <c r="R17" s="21"/>
      <c r="U17" s="12" t="s">
        <v>664</v>
      </c>
      <c r="V17" s="48"/>
      <c r="W17" s="48">
        <v>0.32200000000000001</v>
      </c>
      <c r="X17" s="48">
        <v>0.33600000000000002</v>
      </c>
      <c r="Y17" s="48">
        <v>0.35199999999999998</v>
      </c>
      <c r="Z17" s="48">
        <v>0.371</v>
      </c>
      <c r="AA17" s="48">
        <v>0.39100000000000001</v>
      </c>
    </row>
    <row r="18" spans="1:37" x14ac:dyDescent="0.25">
      <c r="A18" s="14"/>
      <c r="M18" s="47"/>
      <c r="N18" s="21"/>
      <c r="P18" s="47"/>
      <c r="Q18" s="48"/>
      <c r="R18" s="21"/>
      <c r="U18" s="12" t="s">
        <v>527</v>
      </c>
      <c r="V18" s="48"/>
      <c r="W18" s="48">
        <v>5.2359999999999998</v>
      </c>
      <c r="X18" s="48">
        <v>5.6260000000000003</v>
      </c>
      <c r="Y18" s="48">
        <v>6.0119999999999996</v>
      </c>
      <c r="Z18" s="48">
        <v>6.4580000000000002</v>
      </c>
      <c r="AA18" s="48">
        <v>6.9329999999999998</v>
      </c>
    </row>
    <row r="19" spans="1:37" x14ac:dyDescent="0.25">
      <c r="A19" s="14"/>
      <c r="M19" s="47"/>
      <c r="N19" s="21"/>
      <c r="P19" s="47"/>
      <c r="Q19" s="48"/>
      <c r="R19" s="21"/>
      <c r="U19" s="12" t="s">
        <v>1445</v>
      </c>
      <c r="V19" s="48"/>
      <c r="W19" s="48">
        <v>0</v>
      </c>
      <c r="X19" s="48">
        <v>0</v>
      </c>
      <c r="Y19" s="48">
        <v>0</v>
      </c>
      <c r="Z19" s="48">
        <v>0</v>
      </c>
      <c r="AA19" s="48">
        <v>0</v>
      </c>
    </row>
    <row r="20" spans="1:37" x14ac:dyDescent="0.25">
      <c r="A20" s="12"/>
      <c r="M20" s="47"/>
      <c r="N20" s="21"/>
      <c r="P20" s="47"/>
      <c r="Q20" s="47"/>
      <c r="R20" s="21"/>
      <c r="U20" s="21" t="s">
        <v>1446</v>
      </c>
      <c r="V20" s="47"/>
      <c r="W20" s="47">
        <v>99.564999999999998</v>
      </c>
      <c r="X20" s="47">
        <v>105.587</v>
      </c>
      <c r="Y20" s="47">
        <v>112.18</v>
      </c>
      <c r="Z20" s="47">
        <v>119.297</v>
      </c>
      <c r="AA20" s="47">
        <v>126.889</v>
      </c>
    </row>
    <row r="21" spans="1:37" x14ac:dyDescent="0.25">
      <c r="A21" s="12"/>
    </row>
    <row r="22" spans="1:37" x14ac:dyDescent="0.25">
      <c r="A22" s="11" t="s">
        <v>522</v>
      </c>
      <c r="B22" s="11" t="s">
        <v>523</v>
      </c>
      <c r="Q22" s="21"/>
      <c r="T22" s="21" t="s">
        <v>665</v>
      </c>
      <c r="W22" s="49">
        <v>1</v>
      </c>
    </row>
    <row r="23" spans="1:37" x14ac:dyDescent="0.25">
      <c r="A23" s="12" t="s">
        <v>528</v>
      </c>
      <c r="B23" s="12"/>
      <c r="C23" s="50">
        <v>2.048</v>
      </c>
      <c r="D23" s="50">
        <v>2.1040000000000001</v>
      </c>
      <c r="E23" s="50">
        <v>2.2429999999999999</v>
      </c>
      <c r="F23" s="50">
        <v>0.25</v>
      </c>
      <c r="G23" s="50">
        <v>0</v>
      </c>
      <c r="H23" s="50">
        <v>0</v>
      </c>
      <c r="I23" s="50">
        <v>0</v>
      </c>
      <c r="J23" s="50">
        <v>0</v>
      </c>
      <c r="K23" s="50">
        <v>0</v>
      </c>
      <c r="L23" s="50">
        <v>0</v>
      </c>
      <c r="M23" s="50">
        <v>0</v>
      </c>
      <c r="N23" s="50">
        <v>0.5</v>
      </c>
      <c r="O23" s="50">
        <v>1</v>
      </c>
      <c r="P23" s="50">
        <v>1.46</v>
      </c>
      <c r="Q23" s="50">
        <v>2.12</v>
      </c>
      <c r="R23" s="50">
        <v>2.42</v>
      </c>
      <c r="S23" s="50">
        <v>2.5579999999999998</v>
      </c>
      <c r="T23" s="50">
        <v>1.6140000000000001</v>
      </c>
      <c r="U23" s="50">
        <v>0.879</v>
      </c>
      <c r="V23" s="50">
        <v>0</v>
      </c>
      <c r="W23" s="48">
        <f t="shared" ref="W23:AK23" si="0">IF($W$22=1,W$32,IF($W$22=2,W$40,0))</f>
        <v>0.56200000000000006</v>
      </c>
      <c r="X23" s="48">
        <f t="shared" si="0"/>
        <v>0.155</v>
      </c>
      <c r="Y23" s="48">
        <f t="shared" si="0"/>
        <v>0.35</v>
      </c>
      <c r="Z23" s="48">
        <f t="shared" si="0"/>
        <v>0.44900000000000001</v>
      </c>
      <c r="AA23" s="48">
        <f t="shared" si="0"/>
        <v>0.47299999999999998</v>
      </c>
      <c r="AB23" s="20">
        <f t="shared" si="0"/>
        <v>0.35431289191672377</v>
      </c>
      <c r="AC23" s="20">
        <f t="shared" si="0"/>
        <v>0.22475822866131523</v>
      </c>
      <c r="AD23" s="20">
        <f t="shared" si="0"/>
        <v>7.8613672750343255E-2</v>
      </c>
      <c r="AE23" s="20">
        <f t="shared" si="0"/>
        <v>-5.8113137154620631E-2</v>
      </c>
      <c r="AF23" s="20">
        <f t="shared" si="0"/>
        <v>-0.24914726512719909</v>
      </c>
      <c r="AG23" s="20">
        <f t="shared" si="0"/>
        <v>-0.40218976675939189</v>
      </c>
      <c r="AH23" s="20">
        <f t="shared" si="0"/>
        <v>-0.48609182297989406</v>
      </c>
      <c r="AI23" s="20">
        <f t="shared" si="0"/>
        <v>-0.50053159184796669</v>
      </c>
      <c r="AJ23" s="20">
        <f t="shared" si="0"/>
        <v>-0.41817925544185641</v>
      </c>
      <c r="AK23" s="20">
        <f t="shared" si="0"/>
        <v>-0.2592683764618755</v>
      </c>
    </row>
    <row r="24" spans="1:37" x14ac:dyDescent="0.25">
      <c r="A24" s="12" t="s">
        <v>524</v>
      </c>
      <c r="B24" s="11"/>
      <c r="C24" s="50">
        <v>0.436</v>
      </c>
      <c r="D24" s="50">
        <v>0.38500000000000001</v>
      </c>
      <c r="E24" s="50">
        <v>0.38300000000000001</v>
      </c>
      <c r="F24" s="50">
        <v>0.433</v>
      </c>
      <c r="G24" s="50">
        <v>0.51800000000000002</v>
      </c>
      <c r="H24" s="50">
        <v>0.53900000000000003</v>
      </c>
      <c r="I24" s="50">
        <v>0.59499999999999997</v>
      </c>
      <c r="J24" s="50">
        <v>0.76700000000000002</v>
      </c>
      <c r="K24" s="50">
        <v>0.76</v>
      </c>
      <c r="L24" s="50">
        <v>0.752</v>
      </c>
      <c r="M24" s="50">
        <v>0.83299999999999996</v>
      </c>
      <c r="N24" s="50">
        <v>0.93500000000000005</v>
      </c>
      <c r="O24" s="50">
        <v>0.98199999999999998</v>
      </c>
      <c r="P24" s="50">
        <v>0.80300000000000005</v>
      </c>
      <c r="Q24" s="50">
        <v>0.74199999999999999</v>
      </c>
      <c r="R24" s="50">
        <v>1.077</v>
      </c>
      <c r="S24" s="50">
        <v>1.32</v>
      </c>
      <c r="T24" s="50">
        <v>1.659</v>
      </c>
      <c r="U24" s="50">
        <v>1.784</v>
      </c>
      <c r="V24" s="50">
        <v>1.794</v>
      </c>
      <c r="W24" s="48">
        <f t="shared" ref="W24:AK24" si="1">IF($W$22=1,W$33,IF($W$22=2,W$41,0))</f>
        <v>1.7829999999999999</v>
      </c>
      <c r="X24" s="48">
        <f t="shared" si="1"/>
        <v>1.8460000000000001</v>
      </c>
      <c r="Y24" s="48">
        <f t="shared" si="1"/>
        <v>1.9339999999999999</v>
      </c>
      <c r="Z24" s="48">
        <f t="shared" si="1"/>
        <v>2.0230000000000001</v>
      </c>
      <c r="AA24" s="48">
        <f t="shared" si="1"/>
        <v>2.117</v>
      </c>
      <c r="AB24" s="20">
        <f t="shared" si="1"/>
        <v>2.2826423397519768</v>
      </c>
      <c r="AC24" s="20">
        <f t="shared" si="1"/>
        <v>2.4227195267047787</v>
      </c>
      <c r="AD24" s="20">
        <f t="shared" si="1"/>
        <v>2.5686040258743446</v>
      </c>
      <c r="AE24" s="20">
        <f t="shared" si="1"/>
        <v>2.7205525842122014</v>
      </c>
      <c r="AF24" s="20">
        <f t="shared" si="1"/>
        <v>2.8785731084689492</v>
      </c>
      <c r="AG24" s="20">
        <f t="shared" si="1"/>
        <v>3.0428005523082655</v>
      </c>
      <c r="AH24" s="20">
        <f t="shared" si="1"/>
        <v>3.2145377933622776</v>
      </c>
      <c r="AI24" s="20">
        <f t="shared" si="1"/>
        <v>3.3954730466939047</v>
      </c>
      <c r="AJ24" s="20">
        <f t="shared" si="1"/>
        <v>3.5876200801183402</v>
      </c>
      <c r="AK24" s="20">
        <f t="shared" si="1"/>
        <v>3.7932149643970732</v>
      </c>
    </row>
    <row r="25" spans="1:37" x14ac:dyDescent="0.25">
      <c r="A25" s="12" t="s">
        <v>666</v>
      </c>
      <c r="B25" s="12"/>
      <c r="C25" s="50">
        <v>0.70699999999999996</v>
      </c>
      <c r="D25" s="50">
        <v>0.23699999999999999</v>
      </c>
      <c r="E25" s="50">
        <v>4.0000000000000001E-3</v>
      </c>
      <c r="F25" s="50">
        <v>-2.7E-2</v>
      </c>
      <c r="G25" s="50">
        <v>0.872</v>
      </c>
      <c r="H25" s="50">
        <v>0.16</v>
      </c>
      <c r="I25" s="50">
        <v>0.98299999999999998</v>
      </c>
      <c r="J25" s="50">
        <v>1.0740000000000001</v>
      </c>
      <c r="K25" s="50">
        <v>4.5999999999999999E-2</v>
      </c>
      <c r="L25" s="50">
        <v>0.51200000000000001</v>
      </c>
      <c r="M25" s="50">
        <v>1.139</v>
      </c>
      <c r="N25" s="50">
        <v>0.24099999999999999</v>
      </c>
      <c r="O25" s="50">
        <v>0.504</v>
      </c>
      <c r="P25" s="50">
        <v>0.44800000000000001</v>
      </c>
      <c r="Q25" s="50">
        <v>2.1560000000000001</v>
      </c>
      <c r="R25" s="50">
        <v>3.5000000000000003E-2</v>
      </c>
      <c r="S25" s="50">
        <v>0.127</v>
      </c>
      <c r="T25" s="50">
        <v>1.29</v>
      </c>
      <c r="U25" s="50">
        <v>1.7549999999999999</v>
      </c>
      <c r="V25" s="50">
        <v>1.196</v>
      </c>
      <c r="W25" s="48">
        <f t="shared" ref="W25:AK25" si="2">IF($W$22=1,W$34,IF($W$22=2,W$42,0))</f>
        <v>1.1910000000000001</v>
      </c>
      <c r="X25" s="48">
        <f t="shared" si="2"/>
        <v>1.2689999999999999</v>
      </c>
      <c r="Y25" s="48">
        <f t="shared" si="2"/>
        <v>1.351</v>
      </c>
      <c r="Z25" s="48">
        <f t="shared" si="2"/>
        <v>1.4419999999999999</v>
      </c>
      <c r="AA25" s="48">
        <f t="shared" si="2"/>
        <v>1.54</v>
      </c>
      <c r="AB25" s="20">
        <f t="shared" si="2"/>
        <v>1.6465642618703413</v>
      </c>
      <c r="AC25" s="20">
        <f t="shared" si="2"/>
        <v>1.7476077262463132</v>
      </c>
      <c r="AD25" s="20">
        <f t="shared" si="2"/>
        <v>1.8528402449419756</v>
      </c>
      <c r="AE25" s="20">
        <f t="shared" si="2"/>
        <v>1.9624470201448843</v>
      </c>
      <c r="AF25" s="20">
        <f t="shared" si="2"/>
        <v>2.0764337553210344</v>
      </c>
      <c r="AG25" s="20">
        <f t="shared" si="2"/>
        <v>2.194897798125707</v>
      </c>
      <c r="AH25" s="20">
        <f t="shared" si="2"/>
        <v>2.3187789680432305</v>
      </c>
      <c r="AI25" s="20">
        <f t="shared" si="2"/>
        <v>2.4492950443728607</v>
      </c>
      <c r="AJ25" s="20">
        <f t="shared" si="2"/>
        <v>2.5878986410692479</v>
      </c>
      <c r="AK25" s="20">
        <f t="shared" si="2"/>
        <v>2.736202728390047</v>
      </c>
    </row>
    <row r="26" spans="1:37" x14ac:dyDescent="0.25">
      <c r="A26" s="12" t="s">
        <v>667</v>
      </c>
      <c r="B26" s="12"/>
      <c r="C26" s="50">
        <v>-5.1999999999999998E-2</v>
      </c>
      <c r="D26" s="50">
        <v>3.4000000000000002E-2</v>
      </c>
      <c r="E26" s="50">
        <v>-0.32300000000000001</v>
      </c>
      <c r="F26" s="50">
        <v>0.502</v>
      </c>
      <c r="G26" s="50">
        <v>0.16900000000000001</v>
      </c>
      <c r="H26" s="50">
        <v>0.13200000000000001</v>
      </c>
      <c r="I26" s="50">
        <v>0.16500000000000001</v>
      </c>
      <c r="J26" s="50">
        <v>0.16400000000000001</v>
      </c>
      <c r="K26" s="50">
        <v>0.19800000000000001</v>
      </c>
      <c r="L26" s="50">
        <v>0.13800000000000001</v>
      </c>
      <c r="M26" s="50">
        <v>0.22700000000000001</v>
      </c>
      <c r="N26" s="50">
        <v>0.34100000000000003</v>
      </c>
      <c r="O26" s="50">
        <v>0.13</v>
      </c>
      <c r="P26" s="50">
        <v>0.15</v>
      </c>
      <c r="Q26" s="50">
        <v>0.125</v>
      </c>
      <c r="R26" s="50">
        <v>-0.51700000000000002</v>
      </c>
      <c r="S26" s="50">
        <v>1.054</v>
      </c>
      <c r="T26" s="50">
        <v>0.189</v>
      </c>
      <c r="U26" s="50">
        <v>0.193</v>
      </c>
      <c r="V26" s="50">
        <v>0.218</v>
      </c>
      <c r="W26" s="48">
        <f t="shared" ref="W26:AK26" si="3">IF($W$22=1,W$35,IF($W$22=2,W$43,0))</f>
        <v>0.32200000000000001</v>
      </c>
      <c r="X26" s="48">
        <f t="shared" si="3"/>
        <v>0.33600000000000002</v>
      </c>
      <c r="Y26" s="48">
        <f t="shared" si="3"/>
        <v>0.35199999999999998</v>
      </c>
      <c r="Z26" s="48">
        <f t="shared" si="3"/>
        <v>0.371</v>
      </c>
      <c r="AA26" s="48">
        <f t="shared" si="3"/>
        <v>0.39100000000000001</v>
      </c>
      <c r="AB26" s="20">
        <f t="shared" si="3"/>
        <v>0.41851304952192758</v>
      </c>
      <c r="AC26" s="20">
        <f t="shared" si="3"/>
        <v>0.44419562346666575</v>
      </c>
      <c r="AD26" s="20">
        <f t="shared" si="3"/>
        <v>0.47094294413192073</v>
      </c>
      <c r="AE26" s="20">
        <f t="shared" si="3"/>
        <v>0.49880208501132234</v>
      </c>
      <c r="AF26" s="20">
        <f t="shared" si="3"/>
        <v>0.52777449577495117</v>
      </c>
      <c r="AG26" s="20">
        <f t="shared" si="3"/>
        <v>0.55788491961991127</v>
      </c>
      <c r="AH26" s="20">
        <f t="shared" si="3"/>
        <v>0.58937223378136083</v>
      </c>
      <c r="AI26" s="20">
        <f t="shared" si="3"/>
        <v>0.62254596552159913</v>
      </c>
      <c r="AJ26" s="20">
        <f t="shared" si="3"/>
        <v>0.65777533085606932</v>
      </c>
      <c r="AK26" s="20">
        <f t="shared" si="3"/>
        <v>0.69547030412768118</v>
      </c>
    </row>
    <row r="27" spans="1:37" x14ac:dyDescent="0.25">
      <c r="A27" s="12" t="s">
        <v>527</v>
      </c>
      <c r="B27" s="12"/>
      <c r="C27" s="50">
        <v>1.3129999999999999</v>
      </c>
      <c r="D27" s="50">
        <v>-0.995</v>
      </c>
      <c r="E27" s="50">
        <v>-3.4950000000000001</v>
      </c>
      <c r="F27" s="50">
        <v>1.75</v>
      </c>
      <c r="G27" s="50">
        <v>3.5179999999999998</v>
      </c>
      <c r="H27" s="50">
        <v>-0.20399999999999999</v>
      </c>
      <c r="I27" s="50">
        <v>4.3739999999999997</v>
      </c>
      <c r="J27" s="50">
        <v>3.7349999999999999</v>
      </c>
      <c r="K27" s="50">
        <v>3.1560000000000001</v>
      </c>
      <c r="L27" s="50">
        <v>-7.5999999999999998E-2</v>
      </c>
      <c r="M27" s="50">
        <v>5.5119999999999996</v>
      </c>
      <c r="N27" s="50">
        <v>3.5640000000000001</v>
      </c>
      <c r="O27" s="50">
        <v>1.9550000000000001</v>
      </c>
      <c r="P27" s="50">
        <v>1.7000000000000001E-2</v>
      </c>
      <c r="Q27" s="50">
        <v>12.786</v>
      </c>
      <c r="R27" s="50">
        <v>-5.133</v>
      </c>
      <c r="S27" s="50">
        <v>5.766</v>
      </c>
      <c r="T27" s="50">
        <v>8.3520000000000003</v>
      </c>
      <c r="U27" s="50">
        <v>7.3129999999999997</v>
      </c>
      <c r="V27" s="50">
        <v>10.27</v>
      </c>
      <c r="W27" s="48">
        <f t="shared" ref="W27:AK27" si="4">IF($W$22=1,W$36,IF($W$22=2,W$44,0))</f>
        <v>5.2359999999999998</v>
      </c>
      <c r="X27" s="48">
        <f t="shared" si="4"/>
        <v>5.6260000000000003</v>
      </c>
      <c r="Y27" s="48">
        <f t="shared" si="4"/>
        <v>6.0119999999999996</v>
      </c>
      <c r="Z27" s="48">
        <f t="shared" si="4"/>
        <v>6.4580000000000002</v>
      </c>
      <c r="AA27" s="48">
        <f t="shared" si="4"/>
        <v>6.9329999999999998</v>
      </c>
      <c r="AB27" s="20">
        <f t="shared" si="4"/>
        <v>7.2834499423829602</v>
      </c>
      <c r="AC27" s="20">
        <f t="shared" si="4"/>
        <v>7.7304079092414062</v>
      </c>
      <c r="AD27" s="20">
        <f t="shared" si="4"/>
        <v>8.1958958346018864</v>
      </c>
      <c r="AE27" s="20">
        <f t="shared" si="4"/>
        <v>8.6807329460484794</v>
      </c>
      <c r="AF27" s="20">
        <f t="shared" si="4"/>
        <v>9.1849444724228615</v>
      </c>
      <c r="AG27" s="20">
        <f t="shared" si="4"/>
        <v>9.7089610235655766</v>
      </c>
      <c r="AH27" s="20">
        <f t="shared" si="4"/>
        <v>10.256939818437033</v>
      </c>
      <c r="AI27" s="20">
        <f t="shared" si="4"/>
        <v>10.834267609788034</v>
      </c>
      <c r="AJ27" s="20">
        <f t="shared" si="4"/>
        <v>11.447369923344665</v>
      </c>
      <c r="AK27" s="20">
        <f t="shared" si="4"/>
        <v>12.103381608564206</v>
      </c>
    </row>
    <row r="28" spans="1:37" x14ac:dyDescent="0.25">
      <c r="A28" s="12" t="s">
        <v>529</v>
      </c>
      <c r="B28" s="12"/>
      <c r="C28" s="50">
        <v>-2.4E-2</v>
      </c>
      <c r="D28" s="50">
        <v>1.6E-2</v>
      </c>
      <c r="E28" s="50">
        <v>2.5999999999999999E-2</v>
      </c>
      <c r="F28" s="50">
        <v>0.01</v>
      </c>
      <c r="G28" s="50">
        <v>1E-3</v>
      </c>
      <c r="H28" s="50">
        <v>8.0000000000000002E-3</v>
      </c>
      <c r="I28" s="50">
        <v>2.5000000000000001E-2</v>
      </c>
      <c r="J28" s="50">
        <v>-4.0000000000000001E-3</v>
      </c>
      <c r="K28" s="50">
        <v>4.1000000000000002E-2</v>
      </c>
      <c r="L28" s="50">
        <v>-2.1000000000000001E-2</v>
      </c>
      <c r="M28" s="50">
        <v>0</v>
      </c>
      <c r="N28" s="50">
        <v>0.13</v>
      </c>
      <c r="O28" s="50">
        <v>-0.04</v>
      </c>
      <c r="P28" s="50">
        <v>-1E-3</v>
      </c>
      <c r="Q28" s="50">
        <v>1E-3</v>
      </c>
      <c r="R28" s="50">
        <v>-1E-3</v>
      </c>
      <c r="S28" s="50">
        <v>0</v>
      </c>
      <c r="T28" s="50">
        <v>0</v>
      </c>
      <c r="U28" s="50">
        <v>0</v>
      </c>
      <c r="V28" s="50">
        <v>0</v>
      </c>
      <c r="W28" s="48">
        <f t="shared" ref="W28:AK28" si="5">IF($W$22=1,W$37,IF($W$22=2,W$45,0))</f>
        <v>0</v>
      </c>
      <c r="X28" s="48">
        <f t="shared" si="5"/>
        <v>0</v>
      </c>
      <c r="Y28" s="48">
        <f t="shared" si="5"/>
        <v>0</v>
      </c>
      <c r="Z28" s="48">
        <f t="shared" si="5"/>
        <v>0</v>
      </c>
      <c r="AA28" s="48">
        <f t="shared" si="5"/>
        <v>0</v>
      </c>
      <c r="AB28" s="20">
        <f t="shared" si="5"/>
        <v>0</v>
      </c>
      <c r="AC28" s="20">
        <f t="shared" si="5"/>
        <v>0</v>
      </c>
      <c r="AD28" s="20">
        <f t="shared" si="5"/>
        <v>0</v>
      </c>
      <c r="AE28" s="20">
        <f t="shared" si="5"/>
        <v>0</v>
      </c>
      <c r="AF28" s="20">
        <f t="shared" si="5"/>
        <v>0</v>
      </c>
      <c r="AG28" s="20">
        <f t="shared" si="5"/>
        <v>0</v>
      </c>
      <c r="AH28" s="20">
        <f t="shared" si="5"/>
        <v>0</v>
      </c>
      <c r="AI28" s="20">
        <f t="shared" si="5"/>
        <v>0</v>
      </c>
      <c r="AJ28" s="20">
        <f t="shared" si="5"/>
        <v>0</v>
      </c>
      <c r="AK28" s="20">
        <f t="shared" si="5"/>
        <v>0</v>
      </c>
    </row>
    <row r="29" spans="1:37" x14ac:dyDescent="0.25">
      <c r="A29" s="11" t="s">
        <v>668</v>
      </c>
      <c r="B29" s="51">
        <v>9.8550000000000004</v>
      </c>
      <c r="C29" s="51">
        <v>12.972999999999999</v>
      </c>
      <c r="D29" s="51">
        <v>14.211999999999998</v>
      </c>
      <c r="E29" s="51">
        <v>13.687999999999997</v>
      </c>
      <c r="F29" s="51">
        <v>15.655999999999997</v>
      </c>
      <c r="G29" s="51">
        <v>18.651999999999997</v>
      </c>
      <c r="H29" s="51">
        <v>18.702999999999996</v>
      </c>
      <c r="I29" s="51">
        <v>22.548999999999992</v>
      </c>
      <c r="J29" s="51">
        <v>25.80899999999999</v>
      </c>
      <c r="K29" s="51">
        <v>29.521999999999991</v>
      </c>
      <c r="L29" s="51">
        <v>29.52699999999999</v>
      </c>
      <c r="M29" s="51">
        <v>34.506</v>
      </c>
      <c r="N29" s="51">
        <v>39.052999999999997</v>
      </c>
      <c r="O29" s="51">
        <v>42.315999999999988</v>
      </c>
      <c r="P29" s="51">
        <v>43.997</v>
      </c>
      <c r="Q29" s="51">
        <v>57.365000000000002</v>
      </c>
      <c r="R29" s="51">
        <v>56.21</v>
      </c>
      <c r="S29" s="51">
        <v>64.673000000000002</v>
      </c>
      <c r="T29" s="51">
        <v>74.819000000000003</v>
      </c>
      <c r="U29" s="51">
        <v>82.846999999999994</v>
      </c>
      <c r="V29" s="51">
        <v>93.497</v>
      </c>
      <c r="W29" s="47">
        <f t="shared" ref="W29:AK29" si="6">IF($W$22=1,W$38,IF($W$22=2,W$46,0))</f>
        <v>99.565000000000026</v>
      </c>
      <c r="X29" s="47">
        <f t="shared" si="6"/>
        <v>105.58700000000003</v>
      </c>
      <c r="Y29" s="47">
        <f t="shared" si="6"/>
        <v>112.18000000000002</v>
      </c>
      <c r="Z29" s="47">
        <f t="shared" si="6"/>
        <v>119.29700000000003</v>
      </c>
      <c r="AA29" s="47">
        <f t="shared" si="6"/>
        <v>126.88900000000002</v>
      </c>
      <c r="AB29" s="21">
        <f t="shared" si="6"/>
        <v>134.74432786265942</v>
      </c>
      <c r="AC29" s="21">
        <f t="shared" si="6"/>
        <v>142.93041017755394</v>
      </c>
      <c r="AD29" s="21">
        <f t="shared" si="6"/>
        <v>151.44974052170662</v>
      </c>
      <c r="AE29" s="21">
        <f t="shared" si="6"/>
        <v>160.33166380965645</v>
      </c>
      <c r="AF29" s="21">
        <f t="shared" si="6"/>
        <v>169.54182587432507</v>
      </c>
      <c r="AG29" s="21">
        <f t="shared" si="6"/>
        <v>179.1386149656939</v>
      </c>
      <c r="AH29" s="21">
        <f t="shared" si="6"/>
        <v>189.21584955268875</v>
      </c>
      <c r="AI29" s="21">
        <f t="shared" si="6"/>
        <v>199.87321760742827</v>
      </c>
      <c r="AJ29" s="21">
        <f t="shared" si="6"/>
        <v>211.2443543835241</v>
      </c>
      <c r="AK29" s="21">
        <f t="shared" si="6"/>
        <v>223.45000954750577</v>
      </c>
    </row>
    <row r="30" spans="1:37" x14ac:dyDescent="0.25">
      <c r="A30" s="14" t="s">
        <v>669</v>
      </c>
      <c r="B30" s="12"/>
      <c r="C30" s="52" t="str">
        <f>IF(ROUND(C$29-SUM(B$29,C$23,C$24,C$27,C$28)+SUM(C$25,C$26),3)=0,"OK","ERROR")</f>
        <v>OK</v>
      </c>
      <c r="D30" s="52" t="str">
        <f t="shared" ref="D30:AK30" si="7">IF(ROUND(D$29-SUM(C$29,D$23,D$24,D$27,D$28)+SUM(D$25,D$26),3)=0,"OK","ERROR")</f>
        <v>OK</v>
      </c>
      <c r="E30" s="52" t="str">
        <f t="shared" si="7"/>
        <v>OK</v>
      </c>
      <c r="F30" s="52" t="str">
        <f t="shared" si="7"/>
        <v>OK</v>
      </c>
      <c r="G30" s="52" t="str">
        <f t="shared" si="7"/>
        <v>OK</v>
      </c>
      <c r="H30" s="52" t="str">
        <f t="shared" si="7"/>
        <v>OK</v>
      </c>
      <c r="I30" s="52" t="str">
        <f t="shared" si="7"/>
        <v>OK</v>
      </c>
      <c r="J30" s="52" t="str">
        <f t="shared" si="7"/>
        <v>OK</v>
      </c>
      <c r="K30" s="52" t="str">
        <f t="shared" si="7"/>
        <v>OK</v>
      </c>
      <c r="L30" s="52" t="str">
        <f t="shared" si="7"/>
        <v>OK</v>
      </c>
      <c r="M30" s="52" t="str">
        <f t="shared" si="7"/>
        <v>OK</v>
      </c>
      <c r="N30" s="52" t="str">
        <f t="shared" si="7"/>
        <v>OK</v>
      </c>
      <c r="O30" s="52" t="str">
        <f t="shared" si="7"/>
        <v>OK</v>
      </c>
      <c r="P30" s="52" t="str">
        <f t="shared" si="7"/>
        <v>OK</v>
      </c>
      <c r="Q30" s="52" t="str">
        <f t="shared" si="7"/>
        <v>OK</v>
      </c>
      <c r="R30" s="52" t="str">
        <f t="shared" si="7"/>
        <v>OK</v>
      </c>
      <c r="S30" s="52" t="str">
        <f t="shared" si="7"/>
        <v>OK</v>
      </c>
      <c r="T30" s="52" t="str">
        <f t="shared" si="7"/>
        <v>OK</v>
      </c>
      <c r="U30" s="52" t="str">
        <f t="shared" si="7"/>
        <v>OK</v>
      </c>
      <c r="V30" s="52" t="str">
        <f t="shared" si="7"/>
        <v>OK</v>
      </c>
      <c r="W30" s="53" t="str">
        <f t="shared" si="7"/>
        <v>OK</v>
      </c>
      <c r="X30" s="53" t="str">
        <f t="shared" si="7"/>
        <v>OK</v>
      </c>
      <c r="Y30" s="53" t="str">
        <f t="shared" si="7"/>
        <v>OK</v>
      </c>
      <c r="Z30" s="53" t="str">
        <f t="shared" si="7"/>
        <v>OK</v>
      </c>
      <c r="AA30" s="53" t="str">
        <f t="shared" si="7"/>
        <v>OK</v>
      </c>
      <c r="AB30" s="54" t="str">
        <f t="shared" si="7"/>
        <v>OK</v>
      </c>
      <c r="AC30" s="54" t="str">
        <f t="shared" si="7"/>
        <v>OK</v>
      </c>
      <c r="AD30" s="54" t="str">
        <f t="shared" si="7"/>
        <v>OK</v>
      </c>
      <c r="AE30" s="54" t="str">
        <f t="shared" si="7"/>
        <v>OK</v>
      </c>
      <c r="AF30" s="54" t="str">
        <f t="shared" si="7"/>
        <v>OK</v>
      </c>
      <c r="AG30" s="54" t="str">
        <f t="shared" si="7"/>
        <v>OK</v>
      </c>
      <c r="AH30" s="54" t="str">
        <f t="shared" si="7"/>
        <v>OK</v>
      </c>
      <c r="AI30" s="54" t="str">
        <f t="shared" si="7"/>
        <v>OK</v>
      </c>
      <c r="AJ30" s="54" t="str">
        <f t="shared" si="7"/>
        <v>OK</v>
      </c>
      <c r="AK30" s="54" t="str">
        <f t="shared" si="7"/>
        <v>OK</v>
      </c>
    </row>
    <row r="31" spans="1:37" x14ac:dyDescent="0.25">
      <c r="A31" s="12"/>
    </row>
    <row r="32" spans="1:37" x14ac:dyDescent="0.25">
      <c r="A32" s="12"/>
      <c r="S32" s="12" t="s">
        <v>670</v>
      </c>
      <c r="T32" s="12" t="s">
        <v>671</v>
      </c>
      <c r="U32" s="12"/>
      <c r="W32" s="48">
        <v>0.56200000000000006</v>
      </c>
      <c r="X32" s="48">
        <v>0.155</v>
      </c>
      <c r="Y32" s="48">
        <v>0.35</v>
      </c>
      <c r="Z32" s="48">
        <v>0.44900000000000001</v>
      </c>
      <c r="AA32" s="48">
        <v>0.47299999999999998</v>
      </c>
      <c r="AB32" s="20">
        <v>0.35431289191672377</v>
      </c>
      <c r="AC32" s="20">
        <v>0.22475822866131523</v>
      </c>
      <c r="AD32" s="20">
        <v>7.8613672750343255E-2</v>
      </c>
      <c r="AE32" s="20">
        <v>-5.8113137154620631E-2</v>
      </c>
      <c r="AF32" s="20">
        <v>-0.24914726512719909</v>
      </c>
      <c r="AG32" s="20">
        <v>-0.40218976675939189</v>
      </c>
      <c r="AH32" s="20">
        <v>-0.48609182297989406</v>
      </c>
      <c r="AI32" s="20">
        <v>-0.50053159184796669</v>
      </c>
      <c r="AJ32" s="20">
        <v>-0.41817925544185641</v>
      </c>
      <c r="AK32" s="20">
        <v>-0.2592683764618755</v>
      </c>
    </row>
    <row r="33" spans="1:37" x14ac:dyDescent="0.25">
      <c r="A33" s="12"/>
      <c r="S33" s="12"/>
      <c r="T33" s="12" t="s">
        <v>524</v>
      </c>
      <c r="U33" s="12"/>
      <c r="W33" s="48">
        <v>1.7829999999999999</v>
      </c>
      <c r="X33" s="48">
        <v>1.8460000000000001</v>
      </c>
      <c r="Y33" s="48">
        <v>1.9339999999999999</v>
      </c>
      <c r="Z33" s="48">
        <v>2.0230000000000001</v>
      </c>
      <c r="AA33" s="48">
        <v>2.117</v>
      </c>
      <c r="AB33" s="20">
        <v>2.2826423397519768</v>
      </c>
      <c r="AC33" s="20">
        <v>2.4227195267047787</v>
      </c>
      <c r="AD33" s="20">
        <v>2.5686040258743446</v>
      </c>
      <c r="AE33" s="20">
        <v>2.7205525842122014</v>
      </c>
      <c r="AF33" s="20">
        <v>2.8785731084689492</v>
      </c>
      <c r="AG33" s="20">
        <v>3.0428005523082655</v>
      </c>
      <c r="AH33" s="20">
        <v>3.2145377933622776</v>
      </c>
      <c r="AI33" s="20">
        <v>3.3954730466939047</v>
      </c>
      <c r="AJ33" s="20">
        <v>3.5876200801183402</v>
      </c>
      <c r="AK33" s="20">
        <v>3.7932149643970732</v>
      </c>
    </row>
    <row r="34" spans="1:37" x14ac:dyDescent="0.25">
      <c r="A34" s="12"/>
      <c r="S34" s="12"/>
      <c r="T34" s="12" t="s">
        <v>672</v>
      </c>
      <c r="U34" s="12"/>
      <c r="W34" s="48">
        <v>1.1910000000000001</v>
      </c>
      <c r="X34" s="48">
        <v>1.2689999999999999</v>
      </c>
      <c r="Y34" s="48">
        <v>1.351</v>
      </c>
      <c r="Z34" s="48">
        <v>1.4419999999999999</v>
      </c>
      <c r="AA34" s="48">
        <v>1.54</v>
      </c>
      <c r="AB34" s="20">
        <v>1.6465642618703413</v>
      </c>
      <c r="AC34" s="20">
        <v>1.7476077262463132</v>
      </c>
      <c r="AD34" s="20">
        <v>1.8528402449419756</v>
      </c>
      <c r="AE34" s="20">
        <v>1.9624470201448843</v>
      </c>
      <c r="AF34" s="20">
        <v>2.0764337553210344</v>
      </c>
      <c r="AG34" s="20">
        <v>2.194897798125707</v>
      </c>
      <c r="AH34" s="20">
        <v>2.3187789680432305</v>
      </c>
      <c r="AI34" s="20">
        <v>2.4492950443728607</v>
      </c>
      <c r="AJ34" s="20">
        <v>2.5878986410692479</v>
      </c>
      <c r="AK34" s="20">
        <v>2.736202728390047</v>
      </c>
    </row>
    <row r="35" spans="1:37" x14ac:dyDescent="0.25">
      <c r="A35" s="12"/>
      <c r="S35" s="12"/>
      <c r="T35" s="12" t="s">
        <v>664</v>
      </c>
      <c r="U35" s="12"/>
      <c r="W35" s="48">
        <v>0.32200000000000001</v>
      </c>
      <c r="X35" s="48">
        <v>0.33600000000000002</v>
      </c>
      <c r="Y35" s="48">
        <v>0.35199999999999998</v>
      </c>
      <c r="Z35" s="48">
        <v>0.371</v>
      </c>
      <c r="AA35" s="48">
        <v>0.39100000000000001</v>
      </c>
      <c r="AB35" s="20">
        <v>0.41851304952192758</v>
      </c>
      <c r="AC35" s="20">
        <v>0.44419562346666575</v>
      </c>
      <c r="AD35" s="20">
        <v>0.47094294413192073</v>
      </c>
      <c r="AE35" s="20">
        <v>0.49880208501132234</v>
      </c>
      <c r="AF35" s="20">
        <v>0.52777449577495117</v>
      </c>
      <c r="AG35" s="20">
        <v>0.55788491961991127</v>
      </c>
      <c r="AH35" s="20">
        <v>0.58937223378136083</v>
      </c>
      <c r="AI35" s="20">
        <v>0.62254596552159913</v>
      </c>
      <c r="AJ35" s="20">
        <v>0.65777533085606932</v>
      </c>
      <c r="AK35" s="20">
        <v>0.69547030412768118</v>
      </c>
    </row>
    <row r="36" spans="1:37" x14ac:dyDescent="0.25">
      <c r="A36" s="12"/>
      <c r="S36" s="12"/>
      <c r="T36" s="12" t="s">
        <v>527</v>
      </c>
      <c r="U36" s="12"/>
      <c r="W36" s="48">
        <v>5.2359999999999998</v>
      </c>
      <c r="X36" s="48">
        <v>5.6260000000000003</v>
      </c>
      <c r="Y36" s="48">
        <v>6.0119999999999996</v>
      </c>
      <c r="Z36" s="48">
        <v>6.4580000000000002</v>
      </c>
      <c r="AA36" s="48">
        <v>6.9329999999999998</v>
      </c>
      <c r="AB36" s="20">
        <v>7.2834499423829602</v>
      </c>
      <c r="AC36" s="20">
        <v>7.7304079092414062</v>
      </c>
      <c r="AD36" s="20">
        <v>8.1958958346018864</v>
      </c>
      <c r="AE36" s="20">
        <v>8.6807329460484794</v>
      </c>
      <c r="AF36" s="20">
        <v>9.1849444724228615</v>
      </c>
      <c r="AG36" s="20">
        <v>9.7089610235655766</v>
      </c>
      <c r="AH36" s="20">
        <v>10.256939818437033</v>
      </c>
      <c r="AI36" s="20">
        <v>10.834267609788034</v>
      </c>
      <c r="AJ36" s="20">
        <v>11.447369923344665</v>
      </c>
      <c r="AK36" s="20">
        <v>12.103381608564206</v>
      </c>
    </row>
    <row r="37" spans="1:37" x14ac:dyDescent="0.25">
      <c r="A37" s="12"/>
      <c r="S37" s="12"/>
      <c r="T37" s="12" t="s">
        <v>529</v>
      </c>
      <c r="U37" s="12"/>
      <c r="W37" s="48">
        <v>0</v>
      </c>
      <c r="X37" s="48">
        <v>0</v>
      </c>
      <c r="Y37" s="48">
        <v>0</v>
      </c>
      <c r="Z37" s="48">
        <v>0</v>
      </c>
      <c r="AA37" s="48">
        <v>0</v>
      </c>
      <c r="AB37" s="20">
        <v>0</v>
      </c>
      <c r="AC37" s="20">
        <v>0</v>
      </c>
      <c r="AD37" s="20">
        <v>0</v>
      </c>
      <c r="AE37" s="20">
        <v>0</v>
      </c>
      <c r="AF37" s="20">
        <v>0</v>
      </c>
      <c r="AG37" s="20">
        <v>0</v>
      </c>
      <c r="AH37" s="20">
        <v>0</v>
      </c>
      <c r="AI37" s="20">
        <v>0</v>
      </c>
      <c r="AJ37" s="20">
        <v>0</v>
      </c>
      <c r="AK37" s="20">
        <v>0</v>
      </c>
    </row>
    <row r="38" spans="1:37" x14ac:dyDescent="0.25">
      <c r="A38" s="12"/>
      <c r="S38" s="51"/>
      <c r="T38" s="12"/>
      <c r="U38" s="51"/>
      <c r="V38" s="51">
        <v>93.497</v>
      </c>
      <c r="W38" s="47">
        <v>99.565000000000026</v>
      </c>
      <c r="X38" s="47">
        <v>105.58700000000003</v>
      </c>
      <c r="Y38" s="47">
        <v>112.18000000000002</v>
      </c>
      <c r="Z38" s="47">
        <v>119.29700000000003</v>
      </c>
      <c r="AA38" s="47">
        <v>126.88900000000002</v>
      </c>
      <c r="AB38" s="21">
        <v>134.74432786265942</v>
      </c>
      <c r="AC38" s="21">
        <v>142.93041017755394</v>
      </c>
      <c r="AD38" s="21">
        <v>151.44974052170662</v>
      </c>
      <c r="AE38" s="21">
        <v>160.33166380965645</v>
      </c>
      <c r="AF38" s="21">
        <v>169.54182587432507</v>
      </c>
      <c r="AG38" s="21">
        <v>179.1386149656939</v>
      </c>
      <c r="AH38" s="21">
        <v>189.21584955268875</v>
      </c>
      <c r="AI38" s="21">
        <v>199.87321760742827</v>
      </c>
      <c r="AJ38" s="21">
        <v>211.2443543835241</v>
      </c>
      <c r="AK38" s="21">
        <v>223.45000954750577</v>
      </c>
    </row>
    <row r="39" spans="1:37" x14ac:dyDescent="0.25">
      <c r="A39" s="12"/>
    </row>
    <row r="40" spans="1:37" x14ac:dyDescent="0.25">
      <c r="A40" s="12"/>
      <c r="S40" s="12" t="s">
        <v>673</v>
      </c>
      <c r="T40" s="12" t="s">
        <v>671</v>
      </c>
      <c r="U40" s="12"/>
      <c r="W40" s="48">
        <v>0.56200000000000006</v>
      </c>
      <c r="X40" s="48">
        <v>0.155</v>
      </c>
      <c r="Y40" s="48">
        <v>0.35</v>
      </c>
      <c r="Z40" s="48">
        <v>0.44900000000000001</v>
      </c>
      <c r="AA40" s="48">
        <v>0.47299999999999998</v>
      </c>
      <c r="AB40" s="20">
        <v>0.35431289191672377</v>
      </c>
      <c r="AC40" s="20">
        <v>0.22475822866131523</v>
      </c>
      <c r="AD40" s="20">
        <v>7.8613672750343255E-2</v>
      </c>
      <c r="AE40" s="20">
        <v>-5.8113137154620631E-2</v>
      </c>
      <c r="AF40" s="20">
        <v>-0.24914726512719909</v>
      </c>
      <c r="AG40" s="20">
        <v>-0.40218976675939189</v>
      </c>
      <c r="AH40" s="20">
        <v>-0.48609182297989406</v>
      </c>
      <c r="AI40" s="20">
        <v>-0.50053159184796669</v>
      </c>
      <c r="AJ40" s="20">
        <v>-0.41817925544185641</v>
      </c>
      <c r="AK40" s="20">
        <v>-0.2592683764618755</v>
      </c>
    </row>
    <row r="41" spans="1:37" x14ac:dyDescent="0.25">
      <c r="A41" s="12"/>
      <c r="T41" s="12" t="s">
        <v>524</v>
      </c>
      <c r="U41" s="12"/>
      <c r="W41" s="48">
        <v>1.7829999999999999</v>
      </c>
      <c r="X41" s="48">
        <v>1.8460000000000001</v>
      </c>
      <c r="Y41" s="48">
        <v>1.9339999999999999</v>
      </c>
      <c r="Z41" s="48">
        <v>2.0230000000000001</v>
      </c>
      <c r="AA41" s="48">
        <v>2.117</v>
      </c>
      <c r="AB41" s="20">
        <v>2.2826423397519768</v>
      </c>
      <c r="AC41" s="20">
        <v>2.4227195267047787</v>
      </c>
      <c r="AD41" s="20">
        <v>2.5686040258743446</v>
      </c>
      <c r="AE41" s="20">
        <v>2.7205525842122014</v>
      </c>
      <c r="AF41" s="20">
        <v>2.8785731084689492</v>
      </c>
      <c r="AG41" s="20">
        <v>3.0428005523082655</v>
      </c>
      <c r="AH41" s="20">
        <v>3.2145377933622776</v>
      </c>
      <c r="AI41" s="20">
        <v>3.3954730466939047</v>
      </c>
      <c r="AJ41" s="20">
        <v>3.5876200801183402</v>
      </c>
      <c r="AK41" s="20">
        <v>3.7932149643970732</v>
      </c>
    </row>
    <row r="42" spans="1:37" x14ac:dyDescent="0.25">
      <c r="A42" s="12"/>
      <c r="T42" s="12" t="s">
        <v>672</v>
      </c>
      <c r="U42" s="12"/>
      <c r="W42" s="48">
        <v>1.1910000000000001</v>
      </c>
      <c r="X42" s="48">
        <v>1.2689999999999999</v>
      </c>
      <c r="Y42" s="48">
        <v>1.351</v>
      </c>
      <c r="Z42" s="48">
        <v>1.4419999999999999</v>
      </c>
      <c r="AA42" s="48">
        <v>1.54</v>
      </c>
      <c r="AB42" s="20">
        <v>1.6465642618703413</v>
      </c>
      <c r="AC42" s="20">
        <v>1.7476077262463132</v>
      </c>
      <c r="AD42" s="20">
        <v>1.8528402449419756</v>
      </c>
      <c r="AE42" s="20">
        <v>1.9624470201448843</v>
      </c>
      <c r="AF42" s="20">
        <v>2.0764337553210344</v>
      </c>
      <c r="AG42" s="20">
        <v>2.194897798125707</v>
      </c>
      <c r="AH42" s="20">
        <v>2.3187789680432305</v>
      </c>
      <c r="AI42" s="20">
        <v>2.4492950443728607</v>
      </c>
      <c r="AJ42" s="20">
        <v>2.5878986410692479</v>
      </c>
      <c r="AK42" s="20">
        <v>2.736202728390047</v>
      </c>
    </row>
    <row r="43" spans="1:37" x14ac:dyDescent="0.25">
      <c r="A43" s="12"/>
      <c r="T43" s="12" t="s">
        <v>664</v>
      </c>
      <c r="U43" s="12"/>
      <c r="W43" s="48">
        <v>0.32200000000000001</v>
      </c>
      <c r="X43" s="48">
        <v>0.33600000000000002</v>
      </c>
      <c r="Y43" s="48">
        <v>0.35199999999999998</v>
      </c>
      <c r="Z43" s="48">
        <v>0.371</v>
      </c>
      <c r="AA43" s="48">
        <v>0.39100000000000001</v>
      </c>
      <c r="AB43" s="20">
        <v>0.41851304952192758</v>
      </c>
      <c r="AC43" s="20">
        <v>0.44419562346666575</v>
      </c>
      <c r="AD43" s="20">
        <v>0.47094294413192073</v>
      </c>
      <c r="AE43" s="20">
        <v>0.49880208501132234</v>
      </c>
      <c r="AF43" s="20">
        <v>0.52777449577495117</v>
      </c>
      <c r="AG43" s="20">
        <v>0.55788491961991127</v>
      </c>
      <c r="AH43" s="20">
        <v>0.58937223378136083</v>
      </c>
      <c r="AI43" s="20">
        <v>0.62254596552159913</v>
      </c>
      <c r="AJ43" s="20">
        <v>0.65777533085606932</v>
      </c>
      <c r="AK43" s="20">
        <v>0.69547030412768118</v>
      </c>
    </row>
    <row r="44" spans="1:37" x14ac:dyDescent="0.25">
      <c r="A44" s="12"/>
      <c r="T44" s="12" t="s">
        <v>527</v>
      </c>
      <c r="U44" s="12"/>
      <c r="W44" s="48">
        <v>5.2359999999999998</v>
      </c>
      <c r="X44" s="48">
        <v>5.6260000000000003</v>
      </c>
      <c r="Y44" s="48">
        <v>6.0119999999999996</v>
      </c>
      <c r="Z44" s="48">
        <v>6.4580000000000002</v>
      </c>
      <c r="AA44" s="48">
        <v>6.9329999999999998</v>
      </c>
      <c r="AB44" s="20">
        <v>7.2834499423829602</v>
      </c>
      <c r="AC44" s="20">
        <v>7.7304079092414062</v>
      </c>
      <c r="AD44" s="20">
        <v>8.1958958346018864</v>
      </c>
      <c r="AE44" s="20">
        <v>8.6807329460484794</v>
      </c>
      <c r="AF44" s="20">
        <v>9.1849444724228615</v>
      </c>
      <c r="AG44" s="20">
        <v>9.7089610235655766</v>
      </c>
      <c r="AH44" s="20">
        <v>10.256939818437033</v>
      </c>
      <c r="AI44" s="20">
        <v>10.834267609788034</v>
      </c>
      <c r="AJ44" s="20">
        <v>11.447369923344665</v>
      </c>
      <c r="AK44" s="20">
        <v>12.103381608564206</v>
      </c>
    </row>
    <row r="45" spans="1:37" x14ac:dyDescent="0.25">
      <c r="A45" s="12"/>
      <c r="T45" s="12" t="s">
        <v>529</v>
      </c>
      <c r="U45" s="12"/>
      <c r="W45" s="48">
        <v>0</v>
      </c>
      <c r="X45" s="48">
        <v>0</v>
      </c>
      <c r="Y45" s="48">
        <v>0</v>
      </c>
      <c r="Z45" s="48">
        <v>0</v>
      </c>
      <c r="AA45" s="48">
        <v>0</v>
      </c>
      <c r="AB45" s="20">
        <v>0</v>
      </c>
      <c r="AC45" s="20">
        <v>0</v>
      </c>
      <c r="AD45" s="20">
        <v>0</v>
      </c>
      <c r="AE45" s="20">
        <v>0</v>
      </c>
      <c r="AF45" s="20">
        <v>0</v>
      </c>
      <c r="AG45" s="20">
        <v>0</v>
      </c>
      <c r="AH45" s="20">
        <v>0</v>
      </c>
      <c r="AI45" s="20">
        <v>0</v>
      </c>
      <c r="AJ45" s="20">
        <v>0</v>
      </c>
      <c r="AK45" s="20">
        <v>0</v>
      </c>
    </row>
    <row r="46" spans="1:37" x14ac:dyDescent="0.25">
      <c r="A46" s="12"/>
      <c r="R46" s="51"/>
      <c r="S46" s="12"/>
      <c r="T46" s="51"/>
      <c r="U46" s="51"/>
      <c r="V46" s="51">
        <v>93.497</v>
      </c>
      <c r="W46" s="47">
        <v>99.565000000000026</v>
      </c>
      <c r="X46" s="47">
        <v>105.58700000000003</v>
      </c>
      <c r="Y46" s="47">
        <v>112.18000000000002</v>
      </c>
      <c r="Z46" s="47">
        <v>119.29700000000003</v>
      </c>
      <c r="AA46" s="47">
        <v>126.88900000000002</v>
      </c>
      <c r="AB46" s="21">
        <v>134.74432786265942</v>
      </c>
      <c r="AC46" s="21">
        <v>142.93041017755394</v>
      </c>
      <c r="AD46" s="21">
        <v>151.44974052170662</v>
      </c>
      <c r="AE46" s="21">
        <v>160.33166380965645</v>
      </c>
      <c r="AF46" s="21">
        <v>169.54182587432507</v>
      </c>
      <c r="AG46" s="21">
        <v>179.1386149656939</v>
      </c>
      <c r="AH46" s="21">
        <v>189.21584955268875</v>
      </c>
      <c r="AI46" s="21">
        <v>199.87321760742827</v>
      </c>
      <c r="AJ46" s="21">
        <v>211.2443543835241</v>
      </c>
      <c r="AK46" s="21">
        <v>223.45000954750577</v>
      </c>
    </row>
  </sheetData>
  <phoneticPr fontId="30" type="noConversion"/>
  <hyperlinks>
    <hyperlink ref="E2" r:id="rId1" xr:uid="{5BBC70AC-B0DC-4440-87B6-2A390AE030B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608C-40A3-46F0-92BD-0113BDE5C2CD}">
  <dimension ref="A1:J65"/>
  <sheetViews>
    <sheetView workbookViewId="0"/>
  </sheetViews>
  <sheetFormatPr defaultRowHeight="15" x14ac:dyDescent="0.25"/>
  <cols>
    <col min="1" max="1" width="57.7109375" style="12" customWidth="1"/>
    <col min="3" max="7" width="10.7109375" customWidth="1"/>
  </cols>
  <sheetData>
    <row r="1" spans="1:7" x14ac:dyDescent="0.25">
      <c r="A1" s="11" t="s">
        <v>674</v>
      </c>
    </row>
    <row r="2" spans="1:7" x14ac:dyDescent="0.25">
      <c r="A2" s="14" t="s">
        <v>675</v>
      </c>
    </row>
    <row r="3" spans="1:7" x14ac:dyDescent="0.25">
      <c r="C3" s="12"/>
      <c r="D3" s="11" t="s">
        <v>676</v>
      </c>
      <c r="E3" s="12"/>
      <c r="F3" s="12"/>
      <c r="G3" s="12"/>
    </row>
    <row r="4" spans="1:7" x14ac:dyDescent="0.25">
      <c r="A4" s="11" t="s">
        <v>341</v>
      </c>
      <c r="C4" s="15" t="s">
        <v>363</v>
      </c>
      <c r="D4" s="15" t="s">
        <v>364</v>
      </c>
      <c r="E4" s="15" t="s">
        <v>365</v>
      </c>
      <c r="F4" s="15" t="s">
        <v>366</v>
      </c>
      <c r="G4" s="15" t="s">
        <v>367</v>
      </c>
    </row>
    <row r="5" spans="1:7" x14ac:dyDescent="0.25">
      <c r="C5" s="11">
        <v>2027</v>
      </c>
      <c r="D5" s="11">
        <v>2028</v>
      </c>
      <c r="E5" s="11">
        <v>2029</v>
      </c>
      <c r="F5" s="11">
        <v>2030</v>
      </c>
      <c r="G5" s="11">
        <v>2031</v>
      </c>
    </row>
    <row r="6" spans="1:7" x14ac:dyDescent="0.25">
      <c r="A6" s="45" t="s">
        <v>658</v>
      </c>
      <c r="C6" s="46">
        <f ca="1">OFFSET('Fiscal Forecasts'!$B$173,0,C$5-'Fiscal Forecasts'!$E$7+3)/AVERAGE(OFFSET('Fiscal Forecasts'!$B$147,0,C$5-'Fiscal Forecasts'!$E$7+2),OFFSET('Fiscal Forecasts'!$B$147,0,C$5-'Fiscal Forecasts'!$E$7+3))</f>
        <v>3.8861678706700244E-2</v>
      </c>
      <c r="D6" s="46">
        <f ca="1">OFFSET('Fiscal Forecasts'!$B$173,0,D$5-'Fiscal Forecasts'!$E$7+3)/AVERAGE(OFFSET('Fiscal Forecasts'!$B$147,0,D$5-'Fiscal Forecasts'!$E$7+2),OFFSET('Fiscal Forecasts'!$B$147,0,D$5-'Fiscal Forecasts'!$E$7+3))</f>
        <v>4.0583178422113488E-2</v>
      </c>
      <c r="E6" s="46">
        <f ca="1">OFFSET('Fiscal Forecasts'!$B$173,0,E$5-'Fiscal Forecasts'!$E$7+3)/AVERAGE(OFFSET('Fiscal Forecasts'!$B$147,0,E$5-'Fiscal Forecasts'!$E$7+2),OFFSET('Fiscal Forecasts'!$B$147,0,E$5-'Fiscal Forecasts'!$E$7+3))</f>
        <v>4.2446533725796272E-2</v>
      </c>
      <c r="F6" s="46">
        <f ca="1">OFFSET('Fiscal Forecasts'!$B$173,0,F$5-'Fiscal Forecasts'!$E$7+3)/AVERAGE(OFFSET('Fiscal Forecasts'!$B$147,0,F$5-'Fiscal Forecasts'!$E$7+2),OFFSET('Fiscal Forecasts'!$B$147,0,F$5-'Fiscal Forecasts'!$E$7+3))</f>
        <v>4.4865266302370359E-2</v>
      </c>
      <c r="G6" s="46">
        <f ca="1">OFFSET('Fiscal Forecasts'!$B$173,0,G$5-'Fiscal Forecasts'!$E$7+3)/AVERAGE(OFFSET('Fiscal Forecasts'!$B$147,0,G$5-'Fiscal Forecasts'!$E$7+2),OFFSET('Fiscal Forecasts'!$B$147,0,G$5-'Fiscal Forecasts'!$E$7+3))</f>
        <v>4.5545513073249118E-2</v>
      </c>
    </row>
    <row r="7" spans="1:7" x14ac:dyDescent="0.25">
      <c r="A7" s="11" t="s">
        <v>677</v>
      </c>
    </row>
    <row r="8" spans="1:7" x14ac:dyDescent="0.25">
      <c r="A8" s="12" t="s">
        <v>678</v>
      </c>
      <c r="C8" s="18">
        <v>0</v>
      </c>
      <c r="D8" s="18">
        <v>0</v>
      </c>
      <c r="E8" s="18">
        <v>0</v>
      </c>
      <c r="F8" s="18">
        <v>0</v>
      </c>
      <c r="G8" s="18">
        <v>0</v>
      </c>
    </row>
    <row r="9" spans="1:7" x14ac:dyDescent="0.25">
      <c r="A9" s="12" t="s">
        <v>679</v>
      </c>
      <c r="C9" s="18">
        <v>0</v>
      </c>
      <c r="D9" s="18">
        <v>0</v>
      </c>
      <c r="E9" s="18">
        <v>0</v>
      </c>
      <c r="F9" s="18">
        <v>0</v>
      </c>
      <c r="G9" s="18">
        <v>0</v>
      </c>
    </row>
    <row r="10" spans="1:7" x14ac:dyDescent="0.25">
      <c r="A10" s="12" t="s">
        <v>680</v>
      </c>
      <c r="C10" s="18">
        <v>0</v>
      </c>
      <c r="D10" s="18">
        <v>0</v>
      </c>
      <c r="E10" s="18">
        <v>0</v>
      </c>
      <c r="F10" s="18">
        <v>0</v>
      </c>
      <c r="G10" s="18">
        <v>0</v>
      </c>
    </row>
    <row r="11" spans="1:7" x14ac:dyDescent="0.25">
      <c r="A11" s="12" t="s">
        <v>681</v>
      </c>
      <c r="C11" s="18">
        <v>0</v>
      </c>
      <c r="D11" s="18">
        <v>0</v>
      </c>
      <c r="E11" s="18">
        <v>0</v>
      </c>
      <c r="F11" s="18">
        <v>0</v>
      </c>
      <c r="G11" s="18">
        <v>0</v>
      </c>
    </row>
    <row r="12" spans="1:7" x14ac:dyDescent="0.25">
      <c r="A12" s="12" t="s">
        <v>682</v>
      </c>
      <c r="C12" s="18">
        <v>0</v>
      </c>
      <c r="D12" s="18">
        <v>0</v>
      </c>
      <c r="E12" s="18">
        <v>0</v>
      </c>
      <c r="F12" s="18">
        <v>0</v>
      </c>
      <c r="G12" s="18">
        <v>0</v>
      </c>
    </row>
    <row r="13" spans="1:7" x14ac:dyDescent="0.25">
      <c r="A13" s="12" t="s">
        <v>683</v>
      </c>
      <c r="C13" s="18">
        <v>0</v>
      </c>
      <c r="D13" s="18">
        <v>0</v>
      </c>
      <c r="E13" s="18">
        <v>0</v>
      </c>
      <c r="F13" s="18">
        <v>0</v>
      </c>
      <c r="G13" s="18">
        <v>0</v>
      </c>
    </row>
    <row r="14" spans="1:7" x14ac:dyDescent="0.25">
      <c r="A14" s="11" t="s">
        <v>684</v>
      </c>
      <c r="C14" s="55">
        <f>SUM(C$8:C$13)</f>
        <v>0</v>
      </c>
      <c r="D14" s="55">
        <f>SUM(D$8:D$13)</f>
        <v>0</v>
      </c>
      <c r="E14" s="55">
        <f>SUM(E$8:E$13)</f>
        <v>0</v>
      </c>
      <c r="F14" s="55">
        <f>SUM(F$8:F$13)</f>
        <v>0</v>
      </c>
      <c r="G14" s="55">
        <f>SUM(G$8:G$13)</f>
        <v>0</v>
      </c>
    </row>
    <row r="15" spans="1:7" x14ac:dyDescent="0.25">
      <c r="A15" s="11" t="s">
        <v>685</v>
      </c>
      <c r="C15" s="56"/>
      <c r="D15" s="47"/>
      <c r="E15" s="47"/>
      <c r="F15" s="47"/>
      <c r="G15" s="47"/>
    </row>
    <row r="16" spans="1:7" x14ac:dyDescent="0.25">
      <c r="A16" s="12" t="s">
        <v>686</v>
      </c>
      <c r="C16" s="18">
        <v>0</v>
      </c>
      <c r="D16" s="18">
        <v>0</v>
      </c>
      <c r="E16" s="18">
        <v>0</v>
      </c>
      <c r="F16" s="18">
        <v>0</v>
      </c>
      <c r="G16" s="18">
        <v>0</v>
      </c>
    </row>
    <row r="17" spans="1:10" x14ac:dyDescent="0.25">
      <c r="A17" s="12" t="s">
        <v>687</v>
      </c>
      <c r="C17" s="18">
        <v>0</v>
      </c>
      <c r="D17" s="18">
        <v>0</v>
      </c>
      <c r="E17" s="18">
        <v>0</v>
      </c>
      <c r="F17" s="18">
        <v>0</v>
      </c>
      <c r="G17" s="18">
        <v>0</v>
      </c>
    </row>
    <row r="18" spans="1:10" x14ac:dyDescent="0.25">
      <c r="A18" s="12" t="s">
        <v>688</v>
      </c>
      <c r="C18" s="18">
        <v>0</v>
      </c>
      <c r="D18" s="18">
        <v>0</v>
      </c>
      <c r="E18" s="18">
        <v>0</v>
      </c>
      <c r="F18" s="18">
        <v>0</v>
      </c>
      <c r="G18" s="18">
        <v>0</v>
      </c>
    </row>
    <row r="19" spans="1:10" x14ac:dyDescent="0.25">
      <c r="A19" s="12" t="s">
        <v>689</v>
      </c>
      <c r="C19" s="18">
        <v>0</v>
      </c>
      <c r="D19" s="18">
        <v>0</v>
      </c>
      <c r="E19" s="18">
        <v>0</v>
      </c>
      <c r="F19" s="18">
        <v>0</v>
      </c>
      <c r="G19" s="18">
        <v>0</v>
      </c>
    </row>
    <row r="20" spans="1:10" x14ac:dyDescent="0.25">
      <c r="A20" s="12" t="s">
        <v>690</v>
      </c>
      <c r="C20" s="18">
        <v>0</v>
      </c>
      <c r="D20" s="18">
        <v>0</v>
      </c>
      <c r="E20" s="18">
        <v>0</v>
      </c>
      <c r="F20" s="18">
        <v>0</v>
      </c>
      <c r="G20" s="18">
        <v>0</v>
      </c>
    </row>
    <row r="21" spans="1:10" x14ac:dyDescent="0.25">
      <c r="A21" s="12" t="s">
        <v>691</v>
      </c>
      <c r="C21" s="18">
        <v>0</v>
      </c>
      <c r="D21" s="18">
        <v>0</v>
      </c>
      <c r="E21" s="18">
        <v>0</v>
      </c>
      <c r="F21" s="18">
        <v>0</v>
      </c>
      <c r="G21" s="18">
        <v>0</v>
      </c>
    </row>
    <row r="22" spans="1:10" x14ac:dyDescent="0.25">
      <c r="A22" s="12" t="s">
        <v>692</v>
      </c>
      <c r="C22" s="18">
        <v>0</v>
      </c>
      <c r="D22" s="18">
        <v>0</v>
      </c>
      <c r="E22" s="18">
        <v>0</v>
      </c>
      <c r="F22" s="18">
        <v>0</v>
      </c>
      <c r="G22" s="18">
        <v>0</v>
      </c>
    </row>
    <row r="23" spans="1:10" x14ac:dyDescent="0.25">
      <c r="A23" s="12" t="s">
        <v>693</v>
      </c>
      <c r="C23" s="18">
        <v>0</v>
      </c>
      <c r="D23" s="18">
        <v>0</v>
      </c>
      <c r="E23" s="18">
        <v>0</v>
      </c>
      <c r="F23" s="18">
        <v>0</v>
      </c>
      <c r="G23" s="18">
        <v>0</v>
      </c>
    </row>
    <row r="24" spans="1:10" x14ac:dyDescent="0.25">
      <c r="A24" s="12" t="s">
        <v>694</v>
      </c>
      <c r="C24" s="18">
        <v>0</v>
      </c>
      <c r="D24" s="18">
        <v>0</v>
      </c>
      <c r="E24" s="18">
        <v>0</v>
      </c>
      <c r="F24" s="18">
        <v>0</v>
      </c>
      <c r="G24" s="18">
        <v>0</v>
      </c>
    </row>
    <row r="25" spans="1:10" x14ac:dyDescent="0.25">
      <c r="A25" s="11" t="s">
        <v>695</v>
      </c>
      <c r="C25" s="55">
        <f>SUM(C$16:C$24)</f>
        <v>0</v>
      </c>
      <c r="D25" s="55">
        <f>SUM(D$16:D$24)</f>
        <v>0</v>
      </c>
      <c r="E25" s="55">
        <f>SUM(E$16:E$24)</f>
        <v>0</v>
      </c>
      <c r="F25" s="55">
        <f>SUM(F$16:F$24)</f>
        <v>0</v>
      </c>
      <c r="G25" s="55">
        <f>SUM(G$16:G$24)</f>
        <v>0</v>
      </c>
    </row>
    <row r="26" spans="1:10" x14ac:dyDescent="0.25">
      <c r="A26" s="11" t="s">
        <v>696</v>
      </c>
      <c r="C26" s="55">
        <f>C$12</f>
        <v>0</v>
      </c>
      <c r="D26" s="55">
        <f>D$12</f>
        <v>0</v>
      </c>
      <c r="E26" s="55">
        <f>E$12</f>
        <v>0</v>
      </c>
      <c r="F26" s="55">
        <f>F$12</f>
        <v>0</v>
      </c>
      <c r="G26" s="55">
        <f>G$12</f>
        <v>0</v>
      </c>
    </row>
    <row r="27" spans="1:10" x14ac:dyDescent="0.25">
      <c r="A27" s="11" t="s">
        <v>697</v>
      </c>
      <c r="C27" s="12"/>
      <c r="D27" s="12"/>
      <c r="E27" s="12"/>
      <c r="F27" s="12"/>
      <c r="G27" s="12"/>
    </row>
    <row r="28" spans="1:10" x14ac:dyDescent="0.25">
      <c r="A28" s="12" t="s">
        <v>698</v>
      </c>
      <c r="C28" s="18">
        <v>0</v>
      </c>
      <c r="D28" s="18">
        <v>0</v>
      </c>
      <c r="E28" s="18">
        <v>0</v>
      </c>
      <c r="F28" s="18">
        <v>0</v>
      </c>
      <c r="G28" s="18">
        <v>0</v>
      </c>
    </row>
    <row r="29" spans="1:10" x14ac:dyDescent="0.25">
      <c r="A29" s="12" t="s">
        <v>699</v>
      </c>
      <c r="C29" s="55">
        <f>SUM($B$28:C$28)</f>
        <v>0</v>
      </c>
      <c r="D29" s="55">
        <f>SUM($B$28:D$28)</f>
        <v>0</v>
      </c>
      <c r="E29" s="55">
        <f>SUM($B$28:E$28)</f>
        <v>0</v>
      </c>
      <c r="F29" s="55">
        <f>SUM($B$28:F$28)</f>
        <v>0</v>
      </c>
      <c r="G29" s="55">
        <f>SUM($B$28:G$28)</f>
        <v>0</v>
      </c>
    </row>
    <row r="30" spans="1:10" x14ac:dyDescent="0.25">
      <c r="A30" s="12" t="s">
        <v>1440</v>
      </c>
      <c r="C30" s="18">
        <v>0</v>
      </c>
      <c r="D30" s="18">
        <v>0</v>
      </c>
      <c r="E30" s="18">
        <v>0</v>
      </c>
      <c r="F30" s="18">
        <v>0</v>
      </c>
      <c r="G30" s="18">
        <v>0</v>
      </c>
      <c r="H30" t="s">
        <v>1441</v>
      </c>
    </row>
    <row r="31" spans="1:10" x14ac:dyDescent="0.25">
      <c r="A31" s="12" t="s">
        <v>700</v>
      </c>
      <c r="C31" s="55">
        <f>0.35*C$30</f>
        <v>0</v>
      </c>
      <c r="D31" s="55">
        <f>0.35*D$30+0.35*C$30</f>
        <v>0</v>
      </c>
      <c r="E31" s="55">
        <f>0.35*E$30+0.35*D$30+0.2*C$30</f>
        <v>0</v>
      </c>
      <c r="F31" s="55">
        <f>0.35*F$30+0.35*E$30+0.2*D$30+0.1*C$30</f>
        <v>0</v>
      </c>
      <c r="G31" s="55">
        <f>0.35*G$30+0.35*F$30+0.2*E$30+0.1*D$30</f>
        <v>0</v>
      </c>
      <c r="H31" s="55">
        <f>0.35*G$30+0.2*F$30+0.1*E$30</f>
        <v>0</v>
      </c>
      <c r="I31" s="55">
        <f>0.2*G$30+0.1*F$30</f>
        <v>0</v>
      </c>
      <c r="J31" s="55">
        <f>0.1*G$30</f>
        <v>0</v>
      </c>
    </row>
    <row r="32" spans="1:10" x14ac:dyDescent="0.25">
      <c r="A32" s="12" t="s">
        <v>701</v>
      </c>
      <c r="C32" s="55">
        <f>SUM($B$31:C$31)</f>
        <v>0</v>
      </c>
      <c r="D32" s="55">
        <f>SUM($B$31:D$31)</f>
        <v>0</v>
      </c>
      <c r="E32" s="55">
        <f>SUM($B$31:E$31)</f>
        <v>0</v>
      </c>
      <c r="F32" s="55">
        <f>SUM($B$31:F$31)</f>
        <v>0</v>
      </c>
      <c r="G32" s="55">
        <f>SUM($B$31:G$31)</f>
        <v>0</v>
      </c>
    </row>
    <row r="33" spans="1:7" x14ac:dyDescent="0.25">
      <c r="C33" s="12"/>
      <c r="D33" s="12"/>
      <c r="E33" s="12"/>
      <c r="F33" s="12"/>
      <c r="G33" s="12"/>
    </row>
    <row r="34" spans="1:7" x14ac:dyDescent="0.25">
      <c r="A34" s="57" t="s">
        <v>702</v>
      </c>
      <c r="C34" s="12"/>
      <c r="D34" s="12"/>
      <c r="E34" s="12"/>
      <c r="F34" s="12"/>
      <c r="G34" s="12"/>
    </row>
    <row r="35" spans="1:7" x14ac:dyDescent="0.25">
      <c r="A35" s="12" t="s">
        <v>703</v>
      </c>
      <c r="C35" s="56">
        <f ca="1">ROUND(C$6*C$39/2,0)</f>
        <v>0</v>
      </c>
      <c r="D35" s="56">
        <f ca="1">ROUND(D$6*D$39/2,0)</f>
        <v>0</v>
      </c>
      <c r="E35" s="56">
        <f ca="1">ROUND(E$6*E$39/2,0)</f>
        <v>0</v>
      </c>
      <c r="F35" s="56">
        <f ca="1">ROUND(F$6*F$39/2,0)</f>
        <v>0</v>
      </c>
      <c r="G35" s="56">
        <f ca="1">ROUND(G$6*G$39/2,0)</f>
        <v>0</v>
      </c>
    </row>
    <row r="36" spans="1:7" x14ac:dyDescent="0.25">
      <c r="A36" s="12" t="s">
        <v>704</v>
      </c>
      <c r="C36" s="56">
        <f ca="1">ROUND(C$6*C$35/2,0)</f>
        <v>0</v>
      </c>
      <c r="D36" s="56">
        <f ca="1">ROUND(D$6*D$35/2,0)</f>
        <v>0</v>
      </c>
      <c r="E36" s="56">
        <f ca="1">ROUND(E$6*E$35/2,0)</f>
        <v>0</v>
      </c>
      <c r="F36" s="56">
        <f ca="1">ROUND(F$6*F$35/2,0)</f>
        <v>0</v>
      </c>
      <c r="G36" s="56">
        <f ca="1">ROUND(G$6*G$35/2,0)</f>
        <v>0</v>
      </c>
    </row>
    <row r="37" spans="1:7" x14ac:dyDescent="0.25">
      <c r="A37" s="12" t="s">
        <v>660</v>
      </c>
      <c r="C37" s="56">
        <f ca="1">ROUND(C$6*SUM($B$40:B$40),0)</f>
        <v>0</v>
      </c>
      <c r="D37" s="56">
        <f ca="1">ROUND(D$6*SUM($B$40:C$40),0)</f>
        <v>0</v>
      </c>
      <c r="E37" s="56">
        <f ca="1">ROUND(E$6*SUM($B$40:D$40),0)</f>
        <v>0</v>
      </c>
      <c r="F37" s="56">
        <f ca="1">ROUND(F$6*SUM($B$40:E$40),0)</f>
        <v>0</v>
      </c>
      <c r="G37" s="56">
        <f ca="1">ROUND(G$6*SUM($B$40:F$40),0)</f>
        <v>0</v>
      </c>
    </row>
    <row r="38" spans="1:7" x14ac:dyDescent="0.25">
      <c r="A38" s="11" t="s">
        <v>705</v>
      </c>
      <c r="C38" s="55">
        <f ca="1">SUM(C$35:C$37)</f>
        <v>0</v>
      </c>
      <c r="D38" s="55">
        <f ca="1">SUM(D$35:D$37)</f>
        <v>0</v>
      </c>
      <c r="E38" s="55">
        <f ca="1">SUM(E$35:E$37)</f>
        <v>0</v>
      </c>
      <c r="F38" s="55">
        <f ca="1">SUM(F$35:F$37)</f>
        <v>0</v>
      </c>
      <c r="G38" s="55">
        <f ca="1">SUM(G$35:G$37)</f>
        <v>0</v>
      </c>
    </row>
    <row r="39" spans="1:7" x14ac:dyDescent="0.25">
      <c r="A39" s="12" t="s">
        <v>662</v>
      </c>
      <c r="C39" s="56">
        <f>SUM(-C$14,C$25,C$26,C$29,C$32-B$32)</f>
        <v>0</v>
      </c>
      <c r="D39" s="56">
        <f>SUM(-D$14,D$25,D$26,D$29,D$32-C$32)</f>
        <v>0</v>
      </c>
      <c r="E39" s="56">
        <f>SUM(-E$14,E$25,E$26,E$29,E$32-D$32)</f>
        <v>0</v>
      </c>
      <c r="F39" s="56">
        <f>SUM(-F$14,F$25,F$26,F$29,F$32-E$32)</f>
        <v>0</v>
      </c>
      <c r="G39" s="56">
        <f>SUM(-G$14,G$25,G$26,G$29,G$32-F$32)</f>
        <v>0</v>
      </c>
    </row>
    <row r="40" spans="1:7" x14ac:dyDescent="0.25">
      <c r="A40" s="12" t="s">
        <v>706</v>
      </c>
      <c r="C40" s="56">
        <f ca="1">SUM(C$38,C$39)</f>
        <v>0</v>
      </c>
      <c r="D40" s="56">
        <f ca="1">SUM(D$38,D$39)</f>
        <v>0</v>
      </c>
      <c r="E40" s="56">
        <f ca="1">SUM(E$38,E$39)</f>
        <v>0</v>
      </c>
      <c r="F40" s="56">
        <f ca="1">SUM(F$38,F$39)</f>
        <v>0</v>
      </c>
      <c r="G40" s="56">
        <f ca="1">SUM(G$38,G$39)</f>
        <v>0</v>
      </c>
    </row>
    <row r="41" spans="1:7" x14ac:dyDescent="0.25">
      <c r="A41" s="11" t="s">
        <v>707</v>
      </c>
      <c r="C41" s="55">
        <f ca="1">SUM($B$40:C$40)</f>
        <v>0</v>
      </c>
      <c r="D41" s="55">
        <f ca="1">SUM($B$40:D$40)</f>
        <v>0</v>
      </c>
      <c r="E41" s="55">
        <f ca="1">SUM($B$40:E$40)</f>
        <v>0</v>
      </c>
      <c r="F41" s="55">
        <f ca="1">SUM($B$40:F$40)</f>
        <v>0</v>
      </c>
      <c r="G41" s="55">
        <f ca="1">SUM($B$40:G$40)</f>
        <v>0</v>
      </c>
    </row>
    <row r="44" spans="1:7" x14ac:dyDescent="0.25">
      <c r="B44" s="11" t="s">
        <v>160</v>
      </c>
    </row>
    <row r="45" spans="1:7" x14ac:dyDescent="0.25">
      <c r="A45" s="11" t="s">
        <v>713</v>
      </c>
      <c r="B45" s="11" t="s">
        <v>714</v>
      </c>
    </row>
    <row r="46" spans="1:7" x14ac:dyDescent="0.25">
      <c r="A46" s="12" t="s">
        <v>715</v>
      </c>
      <c r="B46" s="39">
        <v>0.05</v>
      </c>
      <c r="C46" s="20">
        <f>$B$46*C$29/1000</f>
        <v>0</v>
      </c>
      <c r="D46" s="20">
        <f>$B$46*D$29/1000</f>
        <v>0</v>
      </c>
      <c r="E46" s="20">
        <f>$B$46*E$29/1000</f>
        <v>0</v>
      </c>
      <c r="F46" s="20">
        <f>$B$46*F$29/1000</f>
        <v>0</v>
      </c>
      <c r="G46" s="20">
        <f>$B$46*G$29/1000</f>
        <v>0</v>
      </c>
    </row>
    <row r="47" spans="1:7" x14ac:dyDescent="0.25">
      <c r="A47" s="12" t="s">
        <v>716</v>
      </c>
      <c r="B47" s="39">
        <v>0.37</v>
      </c>
      <c r="C47" s="20">
        <f>$B$47*C$29/1000</f>
        <v>0</v>
      </c>
      <c r="D47" s="20">
        <f>$B$47*D$29/1000</f>
        <v>0</v>
      </c>
      <c r="E47" s="20">
        <f>$B$47*E$29/1000</f>
        <v>0</v>
      </c>
      <c r="F47" s="20">
        <f>$B$47*F$29/1000</f>
        <v>0</v>
      </c>
      <c r="G47" s="20">
        <f>$B$47*G$29/1000</f>
        <v>0</v>
      </c>
    </row>
    <row r="48" spans="1:7" x14ac:dyDescent="0.25">
      <c r="A48" s="12" t="s">
        <v>717</v>
      </c>
      <c r="B48" s="39">
        <v>0.255</v>
      </c>
      <c r="C48" s="20">
        <f>$B$48*C$29/1000</f>
        <v>0</v>
      </c>
      <c r="D48" s="20">
        <f>$B$48*D$29/1000</f>
        <v>0</v>
      </c>
      <c r="E48" s="20">
        <f>$B$48*E$29/1000</f>
        <v>0</v>
      </c>
      <c r="F48" s="20">
        <f>$B$48*F$29/1000</f>
        <v>0</v>
      </c>
      <c r="G48" s="20">
        <f>$B$48*G$29/1000</f>
        <v>0</v>
      </c>
    </row>
    <row r="49" spans="1:7" x14ac:dyDescent="0.25">
      <c r="A49" s="12" t="s">
        <v>718</v>
      </c>
      <c r="B49" s="39">
        <v>7.4999999999999997E-2</v>
      </c>
      <c r="C49" s="20">
        <f>$B$49*C$29/1000</f>
        <v>0</v>
      </c>
      <c r="D49" s="20">
        <f>$B$49*D$29/1000</f>
        <v>0</v>
      </c>
      <c r="E49" s="20">
        <f>$B$49*E$29/1000</f>
        <v>0</v>
      </c>
      <c r="F49" s="20">
        <f>$B$49*F$29/1000</f>
        <v>0</v>
      </c>
      <c r="G49" s="20">
        <f>$B$49*G$29/1000</f>
        <v>0</v>
      </c>
    </row>
    <row r="50" spans="1:7" x14ac:dyDescent="0.25">
      <c r="A50" s="12" t="s">
        <v>719</v>
      </c>
      <c r="B50" s="39">
        <v>8.5000000000000006E-2</v>
      </c>
      <c r="C50" s="20">
        <f>$B$50*C$29/1000</f>
        <v>0</v>
      </c>
      <c r="D50" s="20">
        <f>$B$50*D$29/1000</f>
        <v>0</v>
      </c>
      <c r="E50" s="20">
        <f>$B$50*E$29/1000</f>
        <v>0</v>
      </c>
      <c r="F50" s="20">
        <f>$B$50*F$29/1000</f>
        <v>0</v>
      </c>
      <c r="G50" s="20">
        <f>$B$50*G$29/1000</f>
        <v>0</v>
      </c>
    </row>
    <row r="51" spans="1:7" x14ac:dyDescent="0.25">
      <c r="A51" s="12" t="s">
        <v>720</v>
      </c>
      <c r="B51" s="39">
        <v>0.04</v>
      </c>
      <c r="C51" s="20">
        <f>$B$51*C$29/1000</f>
        <v>0</v>
      </c>
      <c r="D51" s="20">
        <f>$B$51*D$29/1000</f>
        <v>0</v>
      </c>
      <c r="E51" s="20">
        <f>$B$51*E$29/1000</f>
        <v>0</v>
      </c>
      <c r="F51" s="20">
        <f>$B$51*F$29/1000</f>
        <v>0</v>
      </c>
      <c r="G51" s="20">
        <f>$B$51*G$29/1000</f>
        <v>0</v>
      </c>
    </row>
    <row r="52" spans="1:7" x14ac:dyDescent="0.25">
      <c r="A52" s="12" t="s">
        <v>721</v>
      </c>
      <c r="B52" s="39">
        <v>5.5E-2</v>
      </c>
      <c r="C52" s="20">
        <f>$B$52*C$29/1000</f>
        <v>0</v>
      </c>
      <c r="D52" s="20">
        <f>$B$52*D$29/1000</f>
        <v>0</v>
      </c>
      <c r="E52" s="20">
        <f>$B$52*E$29/1000</f>
        <v>0</v>
      </c>
      <c r="F52" s="20">
        <f>$B$52*F$29/1000</f>
        <v>0</v>
      </c>
      <c r="G52" s="20">
        <f>$B$52*G$29/1000</f>
        <v>0</v>
      </c>
    </row>
    <row r="53" spans="1:7" x14ac:dyDescent="0.25">
      <c r="A53" s="12" t="s">
        <v>722</v>
      </c>
      <c r="B53" s="39">
        <v>0.02</v>
      </c>
      <c r="C53" s="20">
        <f>$B$53*C$29/1000</f>
        <v>0</v>
      </c>
      <c r="D53" s="20">
        <f>$B$53*D$29/1000</f>
        <v>0</v>
      </c>
      <c r="E53" s="20">
        <f>$B$53*E$29/1000</f>
        <v>0</v>
      </c>
      <c r="F53" s="20">
        <f>$B$53*F$29/1000</f>
        <v>0</v>
      </c>
      <c r="G53" s="20">
        <f>$B$53*G$29/1000</f>
        <v>0</v>
      </c>
    </row>
    <row r="54" spans="1:7" x14ac:dyDescent="0.25">
      <c r="A54" s="12" t="s">
        <v>723</v>
      </c>
      <c r="B54" s="39">
        <v>1.4999999999999999E-2</v>
      </c>
      <c r="C54" s="20">
        <f>$B$54*C$29/1000</f>
        <v>0</v>
      </c>
      <c r="D54" s="20">
        <f>$B$54*D$29/1000</f>
        <v>0</v>
      </c>
      <c r="E54" s="20">
        <f>$B$54*E$29/1000</f>
        <v>0</v>
      </c>
      <c r="F54" s="20">
        <f>$B$54*F$29/1000</f>
        <v>0</v>
      </c>
      <c r="G54" s="20">
        <f>$B$54*G$29/1000</f>
        <v>0</v>
      </c>
    </row>
    <row r="55" spans="1:7" x14ac:dyDescent="0.25">
      <c r="A55" s="12" t="s">
        <v>724</v>
      </c>
      <c r="B55" s="39">
        <v>0.02</v>
      </c>
      <c r="C55" s="20">
        <f>$B$55*C$29/1000</f>
        <v>0</v>
      </c>
      <c r="D55" s="20">
        <f>$B$55*D$29/1000</f>
        <v>0</v>
      </c>
      <c r="E55" s="20">
        <f>$B$55*E$29/1000</f>
        <v>0</v>
      </c>
      <c r="F55" s="20">
        <f>$B$55*F$29/1000</f>
        <v>0</v>
      </c>
      <c r="G55" s="20">
        <f>$B$55*G$29/1000</f>
        <v>0</v>
      </c>
    </row>
    <row r="56" spans="1:7" x14ac:dyDescent="0.25">
      <c r="A56" s="12" t="s">
        <v>725</v>
      </c>
      <c r="B56" s="39">
        <v>1.4999999999999999E-2</v>
      </c>
      <c r="C56" s="20">
        <f>$B$56*C$29/1000</f>
        <v>0</v>
      </c>
      <c r="D56" s="20">
        <f>$B$56*D$29/1000</f>
        <v>0</v>
      </c>
      <c r="E56" s="20">
        <f>$B$56*E$29/1000</f>
        <v>0</v>
      </c>
      <c r="F56" s="20">
        <f>$B$56*F$29/1000</f>
        <v>0</v>
      </c>
      <c r="G56" s="20">
        <f>$B$56*G$29/1000</f>
        <v>0</v>
      </c>
    </row>
    <row r="57" spans="1:7" x14ac:dyDescent="0.25">
      <c r="A57" s="60" t="s">
        <v>726</v>
      </c>
      <c r="B57" s="61">
        <f>SUM(B$2:B$22)</f>
        <v>0</v>
      </c>
      <c r="C57" s="59">
        <f>SUM(C$46:C$56)</f>
        <v>0</v>
      </c>
      <c r="D57" s="59">
        <f>SUM(D$46:D$56)</f>
        <v>0</v>
      </c>
      <c r="E57" s="59">
        <f>SUM(E$46:E$56)</f>
        <v>0</v>
      </c>
      <c r="F57" s="59">
        <f>SUM(F$46:F$56)</f>
        <v>0</v>
      </c>
      <c r="G57" s="59">
        <f>SUM(G$46:G$56)</f>
        <v>0</v>
      </c>
    </row>
    <row r="59" spans="1:7" x14ac:dyDescent="0.25">
      <c r="A59" s="60" t="s">
        <v>727</v>
      </c>
    </row>
    <row r="60" spans="1:7" x14ac:dyDescent="0.25">
      <c r="A60" s="12" t="s">
        <v>728</v>
      </c>
      <c r="B60" s="39">
        <v>0.13500000000000001</v>
      </c>
      <c r="C60" s="20">
        <f>$B$60*C$48</f>
        <v>0</v>
      </c>
      <c r="D60" s="20">
        <f>$B$60*D$48</f>
        <v>0</v>
      </c>
      <c r="E60" s="20">
        <f>$B$60*E$48</f>
        <v>0</v>
      </c>
      <c r="F60" s="20">
        <f>$B$60*F$48</f>
        <v>0</v>
      </c>
      <c r="G60" s="20">
        <f>$B$60*G$48</f>
        <v>0</v>
      </c>
    </row>
    <row r="61" spans="1:7" x14ac:dyDescent="0.25">
      <c r="A61" s="12" t="s">
        <v>729</v>
      </c>
      <c r="B61" s="39">
        <v>0.28000000000000003</v>
      </c>
      <c r="C61" s="20">
        <f>$B$61*C$48</f>
        <v>0</v>
      </c>
      <c r="D61" s="20">
        <f>$B$61*D$48</f>
        <v>0</v>
      </c>
      <c r="E61" s="20">
        <f>$B$61*E$48</f>
        <v>0</v>
      </c>
      <c r="F61" s="20">
        <f>$B$61*F$48</f>
        <v>0</v>
      </c>
      <c r="G61" s="20">
        <f>$B$61*G$48</f>
        <v>0</v>
      </c>
    </row>
    <row r="62" spans="1:7" x14ac:dyDescent="0.25">
      <c r="A62" s="12" t="s">
        <v>730</v>
      </c>
      <c r="B62" s="39">
        <v>0.22</v>
      </c>
      <c r="C62" s="20">
        <f>$B$62*C$48</f>
        <v>0</v>
      </c>
      <c r="D62" s="20">
        <f>$B$62*D$48</f>
        <v>0</v>
      </c>
      <c r="E62" s="20">
        <f>$B$62*E$48</f>
        <v>0</v>
      </c>
      <c r="F62" s="20">
        <f>$B$62*F$48</f>
        <v>0</v>
      </c>
      <c r="G62" s="20">
        <f>$B$62*G$48</f>
        <v>0</v>
      </c>
    </row>
    <row r="63" spans="1:7" x14ac:dyDescent="0.25">
      <c r="A63" s="12" t="s">
        <v>731</v>
      </c>
      <c r="B63" s="39">
        <v>0.23</v>
      </c>
      <c r="C63" s="20">
        <f>$B$63*C$48</f>
        <v>0</v>
      </c>
      <c r="D63" s="20">
        <f>$B$63*D$48</f>
        <v>0</v>
      </c>
      <c r="E63" s="20">
        <f>$B$63*E$48</f>
        <v>0</v>
      </c>
      <c r="F63" s="20">
        <f>$B$63*F$48</f>
        <v>0</v>
      </c>
      <c r="G63" s="20">
        <f>$B$63*G$48</f>
        <v>0</v>
      </c>
    </row>
    <row r="64" spans="1:7" x14ac:dyDescent="0.25">
      <c r="A64" s="12" t="s">
        <v>732</v>
      </c>
      <c r="B64" s="39">
        <v>0.13500000000000001</v>
      </c>
      <c r="C64" s="20">
        <f>$B$64*C$48</f>
        <v>0</v>
      </c>
      <c r="D64" s="20">
        <f>$B$64*D$48</f>
        <v>0</v>
      </c>
      <c r="E64" s="20">
        <f>$B$64*E$48</f>
        <v>0</v>
      </c>
      <c r="F64" s="20">
        <f>$B$64*F$48</f>
        <v>0</v>
      </c>
      <c r="G64" s="20">
        <f>$B$64*G$48</f>
        <v>0</v>
      </c>
    </row>
    <row r="65" spans="1:7" x14ac:dyDescent="0.25">
      <c r="A65" s="60" t="s">
        <v>733</v>
      </c>
      <c r="B65" s="61">
        <f>SUM(B$26:B$30)</f>
        <v>0</v>
      </c>
      <c r="C65" s="59">
        <f>SUM(C$60:C$64)</f>
        <v>0</v>
      </c>
      <c r="D65" s="59">
        <f>SUM(D$60:D$64)</f>
        <v>0</v>
      </c>
      <c r="E65" s="59">
        <f>SUM(E$60:E$64)</f>
        <v>0</v>
      </c>
      <c r="F65" s="59">
        <f>SUM(F$60:F$64)</f>
        <v>0</v>
      </c>
      <c r="G65" s="59">
        <f>SUM(G$60:G$64)</f>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0883C-C109-40FB-946A-0DB7100D03EC}">
  <dimension ref="A1:G29"/>
  <sheetViews>
    <sheetView workbookViewId="0"/>
  </sheetViews>
  <sheetFormatPr defaultRowHeight="15" x14ac:dyDescent="0.25"/>
  <cols>
    <col min="1" max="1" width="90.7109375" style="12" customWidth="1"/>
    <col min="2" max="2" width="12.7109375" customWidth="1"/>
    <col min="3" max="7" width="10.7109375" customWidth="1"/>
  </cols>
  <sheetData>
    <row r="1" spans="1:7" x14ac:dyDescent="0.25">
      <c r="A1" s="11" t="s">
        <v>708</v>
      </c>
    </row>
    <row r="2" spans="1:7" x14ac:dyDescent="0.25">
      <c r="A2" s="14" t="s">
        <v>709</v>
      </c>
      <c r="C2" s="11" t="s">
        <v>676</v>
      </c>
    </row>
    <row r="3" spans="1:7" x14ac:dyDescent="0.25">
      <c r="A3" s="11" t="s">
        <v>341</v>
      </c>
      <c r="C3" s="15" t="s">
        <v>363</v>
      </c>
      <c r="D3" s="15" t="s">
        <v>364</v>
      </c>
      <c r="E3" s="15" t="s">
        <v>365</v>
      </c>
      <c r="F3" s="15" t="s">
        <v>366</v>
      </c>
      <c r="G3" s="15" t="s">
        <v>367</v>
      </c>
    </row>
    <row r="4" spans="1:7" x14ac:dyDescent="0.25">
      <c r="A4" s="11"/>
      <c r="C4" s="11">
        <v>2027</v>
      </c>
      <c r="D4" s="11">
        <v>2028</v>
      </c>
      <c r="E4" s="11">
        <v>2029</v>
      </c>
      <c r="F4" s="11">
        <v>2030</v>
      </c>
      <c r="G4" s="11">
        <v>2031</v>
      </c>
    </row>
    <row r="5" spans="1:7" x14ac:dyDescent="0.25">
      <c r="A5" s="12" t="s">
        <v>710</v>
      </c>
      <c r="C5" s="58">
        <v>1.258</v>
      </c>
      <c r="D5" s="58">
        <v>2.968</v>
      </c>
      <c r="E5" s="58">
        <v>5.0250000000000004</v>
      </c>
      <c r="F5" s="58">
        <v>7.7830000000000004</v>
      </c>
      <c r="G5" s="58">
        <v>10.116</v>
      </c>
    </row>
    <row r="6" spans="1:7" x14ac:dyDescent="0.25">
      <c r="A6" s="12" t="s">
        <v>711</v>
      </c>
      <c r="C6" s="58">
        <v>-2.6</v>
      </c>
      <c r="D6" s="58">
        <v>-0.8</v>
      </c>
      <c r="E6" s="58">
        <v>-0.65</v>
      </c>
      <c r="F6" s="58">
        <v>-0.65</v>
      </c>
      <c r="G6" s="58">
        <v>-0.65</v>
      </c>
    </row>
    <row r="7" spans="1:7" x14ac:dyDescent="0.25">
      <c r="A7" s="11" t="s">
        <v>712</v>
      </c>
      <c r="C7" s="59">
        <f>SUM(C$5:C$6)</f>
        <v>-1.3420000000000001</v>
      </c>
      <c r="D7" s="59">
        <f>SUM(D$5:D$6)</f>
        <v>2.1680000000000001</v>
      </c>
      <c r="E7" s="59">
        <f>SUM(E$5:E$6)</f>
        <v>4.375</v>
      </c>
      <c r="F7" s="59">
        <f>SUM(F$5:F$6)</f>
        <v>7.133</v>
      </c>
      <c r="G7" s="59">
        <f>SUM(G$5:G$6)</f>
        <v>9.4659999999999993</v>
      </c>
    </row>
    <row r="8" spans="1:7" x14ac:dyDescent="0.25">
      <c r="B8" s="11" t="s">
        <v>160</v>
      </c>
    </row>
    <row r="9" spans="1:7" x14ac:dyDescent="0.25">
      <c r="A9" s="11" t="s">
        <v>713</v>
      </c>
      <c r="B9" s="11" t="s">
        <v>714</v>
      </c>
    </row>
    <row r="10" spans="1:7" x14ac:dyDescent="0.25">
      <c r="A10" s="12" t="s">
        <v>715</v>
      </c>
      <c r="B10" s="39">
        <v>0.05</v>
      </c>
      <c r="C10" s="20">
        <f>$B$10*C$7</f>
        <v>-6.7100000000000007E-2</v>
      </c>
      <c r="D10" s="20">
        <f>$B$10*D$7</f>
        <v>0.10840000000000001</v>
      </c>
      <c r="E10" s="20">
        <f>$B$10*E$7</f>
        <v>0.21875</v>
      </c>
      <c r="F10" s="20">
        <f>$B$10*F$7</f>
        <v>0.35665000000000002</v>
      </c>
      <c r="G10" s="20">
        <f>$B$10*G$7</f>
        <v>0.4733</v>
      </c>
    </row>
    <row r="11" spans="1:7" x14ac:dyDescent="0.25">
      <c r="A11" s="12" t="s">
        <v>445</v>
      </c>
      <c r="B11" s="39">
        <v>0.37</v>
      </c>
      <c r="C11" s="20">
        <f>$B$11*C$7</f>
        <v>-0.49654000000000004</v>
      </c>
      <c r="D11" s="20">
        <f>$B$11*D$7</f>
        <v>0.8021600000000001</v>
      </c>
      <c r="E11" s="20">
        <f>$B$11*E$7</f>
        <v>1.6187499999999999</v>
      </c>
      <c r="F11" s="20">
        <f>$B$11*F$7</f>
        <v>2.6392099999999998</v>
      </c>
      <c r="G11" s="20">
        <f>$B$11*G$7</f>
        <v>3.5024199999999999</v>
      </c>
    </row>
    <row r="12" spans="1:7" x14ac:dyDescent="0.25">
      <c r="A12" s="12" t="s">
        <v>468</v>
      </c>
      <c r="B12" s="39">
        <v>0.255</v>
      </c>
      <c r="C12" s="20">
        <f>$B$12*C$7</f>
        <v>-0.34221000000000001</v>
      </c>
      <c r="D12" s="20">
        <f>$B$12*D$7</f>
        <v>0.55284</v>
      </c>
      <c r="E12" s="20">
        <f>$B$12*E$7</f>
        <v>1.1156250000000001</v>
      </c>
      <c r="F12" s="20">
        <f>$B$12*F$7</f>
        <v>1.8189150000000001</v>
      </c>
      <c r="G12" s="20">
        <f>$B$12*G$7</f>
        <v>2.4138299999999999</v>
      </c>
    </row>
    <row r="13" spans="1:7" x14ac:dyDescent="0.25">
      <c r="A13" s="12" t="s">
        <v>718</v>
      </c>
      <c r="B13" s="39">
        <v>7.4999999999999997E-2</v>
      </c>
      <c r="C13" s="20">
        <f>$B$13*C$7</f>
        <v>-0.10065</v>
      </c>
      <c r="D13" s="20">
        <f>$B$13*D$7</f>
        <v>0.16259999999999999</v>
      </c>
      <c r="E13" s="20">
        <f>$B$13*E$7</f>
        <v>0.328125</v>
      </c>
      <c r="F13" s="20">
        <f>$B$13*F$7</f>
        <v>0.53497499999999998</v>
      </c>
      <c r="G13" s="20">
        <f>$B$13*G$7</f>
        <v>0.70994999999999997</v>
      </c>
    </row>
    <row r="14" spans="1:7" x14ac:dyDescent="0.25">
      <c r="A14" s="12" t="s">
        <v>765</v>
      </c>
      <c r="B14" s="39">
        <v>8.5000000000000006E-2</v>
      </c>
      <c r="C14" s="20">
        <f>$B$14*C$7</f>
        <v>-0.11407000000000002</v>
      </c>
      <c r="D14" s="20">
        <f>$B$14*D$7</f>
        <v>0.18428000000000003</v>
      </c>
      <c r="E14" s="20">
        <f>$B$14*E$7</f>
        <v>0.37187500000000001</v>
      </c>
      <c r="F14" s="20">
        <f>$B$14*F$7</f>
        <v>0.60630500000000009</v>
      </c>
      <c r="G14" s="20">
        <f>$B$14*G$7</f>
        <v>0.80461000000000005</v>
      </c>
    </row>
    <row r="15" spans="1:7" x14ac:dyDescent="0.25">
      <c r="A15" s="12" t="s">
        <v>720</v>
      </c>
      <c r="B15" s="39">
        <v>0.04</v>
      </c>
      <c r="C15" s="20">
        <f>$B$15*C$7</f>
        <v>-5.3680000000000005E-2</v>
      </c>
      <c r="D15" s="20">
        <f>$B$15*D$7</f>
        <v>8.6720000000000005E-2</v>
      </c>
      <c r="E15" s="20">
        <f>$B$15*E$7</f>
        <v>0.17500000000000002</v>
      </c>
      <c r="F15" s="20">
        <f>$B$15*F$7</f>
        <v>0.28532000000000002</v>
      </c>
      <c r="G15" s="20">
        <f>$B$15*G$7</f>
        <v>0.37863999999999998</v>
      </c>
    </row>
    <row r="16" spans="1:7" x14ac:dyDescent="0.25">
      <c r="A16" s="12" t="s">
        <v>767</v>
      </c>
      <c r="B16" s="39">
        <v>5.5E-2</v>
      </c>
      <c r="C16" s="20">
        <f>$B$16*C$7</f>
        <v>-7.3810000000000001E-2</v>
      </c>
      <c r="D16" s="20">
        <f>$B$16*D$7</f>
        <v>0.11924000000000001</v>
      </c>
      <c r="E16" s="20">
        <f>$B$16*E$7</f>
        <v>0.24062500000000001</v>
      </c>
      <c r="F16" s="20">
        <f>$B$16*F$7</f>
        <v>0.39231500000000002</v>
      </c>
      <c r="G16" s="20">
        <f>$B$16*G$7</f>
        <v>0.52062999999999993</v>
      </c>
    </row>
    <row r="17" spans="1:7" x14ac:dyDescent="0.25">
      <c r="A17" s="12" t="s">
        <v>722</v>
      </c>
      <c r="B17" s="39">
        <v>0.02</v>
      </c>
      <c r="C17" s="20">
        <f>$B$17*C$7</f>
        <v>-2.6840000000000003E-2</v>
      </c>
      <c r="D17" s="20">
        <f>$B$17*D$7</f>
        <v>4.3360000000000003E-2</v>
      </c>
      <c r="E17" s="20">
        <f>$B$17*E$7</f>
        <v>8.7500000000000008E-2</v>
      </c>
      <c r="F17" s="20">
        <f>$B$17*F$7</f>
        <v>0.14266000000000001</v>
      </c>
      <c r="G17" s="20">
        <f>$B$17*G$7</f>
        <v>0.18931999999999999</v>
      </c>
    </row>
    <row r="18" spans="1:7" x14ac:dyDescent="0.25">
      <c r="A18" s="12" t="s">
        <v>723</v>
      </c>
      <c r="B18" s="39">
        <v>1.4999999999999999E-2</v>
      </c>
      <c r="C18" s="20">
        <f>$B$18*C$7</f>
        <v>-2.0130000000000002E-2</v>
      </c>
      <c r="D18" s="20">
        <f>$B$18*D$7</f>
        <v>3.252E-2</v>
      </c>
      <c r="E18" s="20">
        <f>$B$18*E$7</f>
        <v>6.5625000000000003E-2</v>
      </c>
      <c r="F18" s="20">
        <f>$B$18*F$7</f>
        <v>0.10699499999999999</v>
      </c>
      <c r="G18" s="20">
        <f>$B$18*G$7</f>
        <v>0.14198999999999998</v>
      </c>
    </row>
    <row r="19" spans="1:7" x14ac:dyDescent="0.25">
      <c r="A19" s="12" t="s">
        <v>724</v>
      </c>
      <c r="B19" s="39">
        <v>0.02</v>
      </c>
      <c r="C19" s="20">
        <f>$B$19*C$7</f>
        <v>-2.6840000000000003E-2</v>
      </c>
      <c r="D19" s="20">
        <f>$B$19*D$7</f>
        <v>4.3360000000000003E-2</v>
      </c>
      <c r="E19" s="20">
        <f>$B$19*E$7</f>
        <v>8.7500000000000008E-2</v>
      </c>
      <c r="F19" s="20">
        <f>$B$19*F$7</f>
        <v>0.14266000000000001</v>
      </c>
      <c r="G19" s="20">
        <f>$B$19*G$7</f>
        <v>0.18931999999999999</v>
      </c>
    </row>
    <row r="20" spans="1:7" x14ac:dyDescent="0.25">
      <c r="A20" s="12" t="s">
        <v>725</v>
      </c>
      <c r="B20" s="39">
        <v>1.4999999999999999E-2</v>
      </c>
      <c r="C20" s="20">
        <f>$B$20*C$7</f>
        <v>-2.0130000000000002E-2</v>
      </c>
      <c r="D20" s="20">
        <f>$B$20*D$7</f>
        <v>3.252E-2</v>
      </c>
      <c r="E20" s="20">
        <f>$B$20*E$7</f>
        <v>6.5625000000000003E-2</v>
      </c>
      <c r="F20" s="20">
        <f>$B$20*F$7</f>
        <v>0.10699499999999999</v>
      </c>
      <c r="G20" s="20">
        <f>$B$20*G$7</f>
        <v>0.14198999999999998</v>
      </c>
    </row>
    <row r="21" spans="1:7" x14ac:dyDescent="0.25">
      <c r="A21" s="60" t="s">
        <v>726</v>
      </c>
      <c r="B21" s="61">
        <f>SUM(B$2:B$20)</f>
        <v>1</v>
      </c>
      <c r="C21" s="59">
        <f>SUM(C$10:C$20)</f>
        <v>-1.3419999999999999</v>
      </c>
      <c r="D21" s="59">
        <f>SUM(D$10:D$20)</f>
        <v>2.1679999999999993</v>
      </c>
      <c r="E21" s="59">
        <f>SUM(E$10:E$20)</f>
        <v>4.375</v>
      </c>
      <c r="F21" s="59">
        <f>SUM(F$10:F$20)</f>
        <v>7.1330000000000009</v>
      </c>
      <c r="G21" s="59">
        <f>SUM(G$10:G$20)</f>
        <v>9.4660000000000011</v>
      </c>
    </row>
    <row r="23" spans="1:7" x14ac:dyDescent="0.25">
      <c r="A23" s="60" t="s">
        <v>727</v>
      </c>
    </row>
    <row r="24" spans="1:7" x14ac:dyDescent="0.25">
      <c r="A24" s="12" t="s">
        <v>728</v>
      </c>
      <c r="B24" s="39">
        <v>0.13500000000000001</v>
      </c>
      <c r="C24" s="20">
        <f>$B$24*C$12</f>
        <v>-4.6198350000000006E-2</v>
      </c>
      <c r="D24" s="20">
        <f>$B$24*D$12</f>
        <v>7.4633400000000003E-2</v>
      </c>
      <c r="E24" s="20">
        <f>$B$24*E$12</f>
        <v>0.15060937500000002</v>
      </c>
      <c r="F24" s="20">
        <f>$B$24*F$12</f>
        <v>0.24555352500000002</v>
      </c>
      <c r="G24" s="20">
        <f>$B$24*G$12</f>
        <v>0.32586704999999999</v>
      </c>
    </row>
    <row r="25" spans="1:7" x14ac:dyDescent="0.25">
      <c r="A25" s="12" t="s">
        <v>729</v>
      </c>
      <c r="B25" s="39">
        <v>0.28000000000000003</v>
      </c>
      <c r="C25" s="20">
        <f>$B$25*C$12</f>
        <v>-9.581880000000001E-2</v>
      </c>
      <c r="D25" s="20">
        <f>$B$25*D$12</f>
        <v>0.15479520000000002</v>
      </c>
      <c r="E25" s="20">
        <f>$B$25*E$12</f>
        <v>0.31237500000000007</v>
      </c>
      <c r="F25" s="20">
        <f>$B$25*F$12</f>
        <v>0.50929620000000009</v>
      </c>
      <c r="G25" s="20">
        <f>$B$25*G$12</f>
        <v>0.67587240000000004</v>
      </c>
    </row>
    <row r="26" spans="1:7" x14ac:dyDescent="0.25">
      <c r="A26" s="12" t="s">
        <v>730</v>
      </c>
      <c r="B26" s="39">
        <v>0.22</v>
      </c>
      <c r="C26" s="20">
        <f>$B$26*C$12</f>
        <v>-7.5286199999999998E-2</v>
      </c>
      <c r="D26" s="20">
        <f>$B$26*D$12</f>
        <v>0.12162480000000001</v>
      </c>
      <c r="E26" s="20">
        <f>$B$26*E$12</f>
        <v>0.24543750000000003</v>
      </c>
      <c r="F26" s="20">
        <f>$B$26*F$12</f>
        <v>0.4001613</v>
      </c>
      <c r="G26" s="20">
        <f>$B$26*G$12</f>
        <v>0.53104260000000003</v>
      </c>
    </row>
    <row r="27" spans="1:7" x14ac:dyDescent="0.25">
      <c r="A27" s="12" t="s">
        <v>731</v>
      </c>
      <c r="B27" s="39">
        <v>0.23</v>
      </c>
      <c r="C27" s="20">
        <f>$B$27*C$12</f>
        <v>-7.8708300000000009E-2</v>
      </c>
      <c r="D27" s="20">
        <f>$B$27*D$12</f>
        <v>0.12715319999999999</v>
      </c>
      <c r="E27" s="20">
        <f>$B$27*E$12</f>
        <v>0.25659375000000001</v>
      </c>
      <c r="F27" s="20">
        <f>$B$27*F$12</f>
        <v>0.41835045000000004</v>
      </c>
      <c r="G27" s="20">
        <f>$B$27*G$12</f>
        <v>0.55518089999999998</v>
      </c>
    </row>
    <row r="28" spans="1:7" x14ac:dyDescent="0.25">
      <c r="A28" s="12" t="s">
        <v>732</v>
      </c>
      <c r="B28" s="39">
        <v>0.13500000000000001</v>
      </c>
      <c r="C28" s="20">
        <f>$B$28*C$12</f>
        <v>-4.6198350000000006E-2</v>
      </c>
      <c r="D28" s="20">
        <f>$B$28*D$12</f>
        <v>7.4633400000000003E-2</v>
      </c>
      <c r="E28" s="20">
        <f>$B$28*E$12</f>
        <v>0.15060937500000002</v>
      </c>
      <c r="F28" s="20">
        <f>$B$28*F$12</f>
        <v>0.24555352500000002</v>
      </c>
      <c r="G28" s="20">
        <f>$B$28*G$12</f>
        <v>0.32586704999999999</v>
      </c>
    </row>
    <row r="29" spans="1:7" x14ac:dyDescent="0.25">
      <c r="A29" s="60" t="s">
        <v>733</v>
      </c>
      <c r="B29" s="61">
        <f t="shared" ref="B29:G29" si="0">SUM(B$24:B$28)</f>
        <v>1</v>
      </c>
      <c r="C29" s="59">
        <f t="shared" si="0"/>
        <v>-0.34221000000000001</v>
      </c>
      <c r="D29" s="59">
        <f t="shared" si="0"/>
        <v>0.55284</v>
      </c>
      <c r="E29" s="59">
        <f t="shared" si="0"/>
        <v>1.1156250000000001</v>
      </c>
      <c r="F29" s="59">
        <f t="shared" si="0"/>
        <v>1.8189150000000001</v>
      </c>
      <c r="G29" s="59">
        <f t="shared" si="0"/>
        <v>2.4138299999999999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7856B-D289-4F6F-B9DB-9A191FA1288A}">
  <dimension ref="A1:Q71"/>
  <sheetViews>
    <sheetView workbookViewId="0">
      <pane xSplit="1" ySplit="12" topLeftCell="B13" activePane="bottomRight" state="frozen"/>
      <selection activeCell="AB17" sqref="AB17"/>
      <selection pane="topRight" activeCell="AB17" sqref="AB17"/>
      <selection pane="bottomLeft" activeCell="AB17" sqref="AB17"/>
      <selection pane="bottomRight"/>
    </sheetView>
  </sheetViews>
  <sheetFormatPr defaultRowHeight="15" x14ac:dyDescent="0.25"/>
  <cols>
    <col min="1" max="1" width="85.7109375" customWidth="1"/>
    <col min="2" max="17" width="10.7109375" customWidth="1"/>
  </cols>
  <sheetData>
    <row r="1" spans="1:17" x14ac:dyDescent="0.25">
      <c r="A1" s="11" t="s">
        <v>791</v>
      </c>
    </row>
    <row r="2" spans="1:17" x14ac:dyDescent="0.25">
      <c r="A2" s="14" t="s">
        <v>1453</v>
      </c>
    </row>
    <row r="3" spans="1:17" x14ac:dyDescent="0.25">
      <c r="A3" s="14" t="s">
        <v>734</v>
      </c>
    </row>
    <row r="4" spans="1:17" x14ac:dyDescent="0.25">
      <c r="A4" s="14" t="s">
        <v>735</v>
      </c>
    </row>
    <row r="5" spans="1:17" x14ac:dyDescent="0.25">
      <c r="A5" s="14" t="s">
        <v>736</v>
      </c>
    </row>
    <row r="6" spans="1:17" x14ac:dyDescent="0.25">
      <c r="A6" s="14" t="s">
        <v>737</v>
      </c>
    </row>
    <row r="7" spans="1:17" x14ac:dyDescent="0.25">
      <c r="A7" s="14" t="s">
        <v>738</v>
      </c>
    </row>
    <row r="8" spans="1:17" x14ac:dyDescent="0.25">
      <c r="A8" s="14" t="s">
        <v>709</v>
      </c>
    </row>
    <row r="9" spans="1:17" x14ac:dyDescent="0.25">
      <c r="A9" s="62" t="s">
        <v>739</v>
      </c>
      <c r="B9" s="15" t="s">
        <v>346</v>
      </c>
      <c r="C9" s="15" t="s">
        <v>347</v>
      </c>
      <c r="D9" s="15" t="s">
        <v>348</v>
      </c>
      <c r="E9" s="15" t="s">
        <v>349</v>
      </c>
      <c r="F9" s="15" t="s">
        <v>350</v>
      </c>
      <c r="G9" s="15" t="s">
        <v>351</v>
      </c>
      <c r="H9" s="15" t="s">
        <v>352</v>
      </c>
      <c r="I9" s="15" t="s">
        <v>353</v>
      </c>
      <c r="J9" s="15" t="s">
        <v>354</v>
      </c>
      <c r="K9" s="15" t="s">
        <v>355</v>
      </c>
      <c r="L9" s="15" t="s">
        <v>356</v>
      </c>
      <c r="M9" s="15" t="s">
        <v>357</v>
      </c>
      <c r="N9" s="15" t="s">
        <v>358</v>
      </c>
      <c r="O9" s="15" t="s">
        <v>359</v>
      </c>
      <c r="P9" s="15" t="s">
        <v>360</v>
      </c>
      <c r="Q9" s="15" t="s">
        <v>361</v>
      </c>
    </row>
    <row r="10" spans="1:17" x14ac:dyDescent="0.25">
      <c r="A10" s="62"/>
      <c r="B10" s="11">
        <v>2010</v>
      </c>
      <c r="C10" s="11">
        <v>2011</v>
      </c>
      <c r="D10" s="11">
        <v>2012</v>
      </c>
      <c r="E10" s="11">
        <v>2013</v>
      </c>
      <c r="F10" s="11">
        <v>2014</v>
      </c>
      <c r="G10" s="11">
        <v>2015</v>
      </c>
      <c r="H10" s="11">
        <v>2016</v>
      </c>
      <c r="I10" s="11">
        <v>2017</v>
      </c>
      <c r="J10" s="11">
        <v>2018</v>
      </c>
      <c r="K10" s="11">
        <v>2019</v>
      </c>
      <c r="L10" s="11">
        <v>2020</v>
      </c>
      <c r="M10" s="11">
        <v>2021</v>
      </c>
      <c r="N10" s="11">
        <v>2022</v>
      </c>
      <c r="O10" s="11">
        <v>2023</v>
      </c>
      <c r="P10" s="11">
        <v>2024</v>
      </c>
      <c r="Q10" s="11">
        <v>2025</v>
      </c>
    </row>
    <row r="11" spans="1:17" x14ac:dyDescent="0.25">
      <c r="A11" s="11" t="s">
        <v>740</v>
      </c>
      <c r="B11" s="21">
        <v>197.35300000000001</v>
      </c>
      <c r="C11" s="21">
        <v>206.09700000000001</v>
      </c>
      <c r="D11" s="21">
        <v>215.15799999999999</v>
      </c>
      <c r="E11" s="21">
        <v>219.11699999999999</v>
      </c>
      <c r="F11" s="21">
        <v>236.958</v>
      </c>
      <c r="G11" s="21">
        <v>245.76599999999999</v>
      </c>
      <c r="H11" s="21">
        <v>258.827</v>
      </c>
      <c r="I11" s="21">
        <v>275.69099999999997</v>
      </c>
      <c r="J11" s="21">
        <v>295.49099999999999</v>
      </c>
      <c r="K11" s="21">
        <v>310.17399999999998</v>
      </c>
      <c r="L11" s="21">
        <v>317.875</v>
      </c>
      <c r="M11" s="21">
        <v>343.73899999999998</v>
      </c>
      <c r="N11" s="21">
        <v>365.30399999999997</v>
      </c>
      <c r="O11" s="21">
        <v>401.827</v>
      </c>
      <c r="P11" s="21">
        <v>420.858</v>
      </c>
      <c r="Q11" s="21">
        <v>435.07100000000003</v>
      </c>
    </row>
    <row r="12" spans="1:17" x14ac:dyDescent="0.25">
      <c r="A12" s="14" t="s">
        <v>741</v>
      </c>
    </row>
    <row r="13" spans="1:17" x14ac:dyDescent="0.25">
      <c r="A13" s="11"/>
    </row>
    <row r="14" spans="1:17" ht="16.5" x14ac:dyDescent="0.25">
      <c r="A14" s="63" t="s">
        <v>742</v>
      </c>
    </row>
    <row r="15" spans="1:17" x14ac:dyDescent="0.25">
      <c r="A15" s="11" t="s">
        <v>743</v>
      </c>
      <c r="B15" s="21">
        <v>-6.3149999999999977</v>
      </c>
      <c r="C15" s="21">
        <v>-18.396000000000001</v>
      </c>
      <c r="D15" s="21">
        <v>-9.24</v>
      </c>
      <c r="E15" s="21">
        <v>-4.4139999999999997</v>
      </c>
      <c r="F15" s="21">
        <v>-2.8020000000000005</v>
      </c>
      <c r="G15" s="21">
        <v>0.41399999999999998</v>
      </c>
      <c r="H15" s="21">
        <v>1.831</v>
      </c>
      <c r="I15" s="21">
        <v>4.069</v>
      </c>
      <c r="J15" s="21">
        <v>5.5339999999999998</v>
      </c>
      <c r="K15" s="21">
        <v>7.4290000000000003</v>
      </c>
      <c r="L15" s="21">
        <v>-23.056999999999999</v>
      </c>
      <c r="M15" s="21">
        <v>-4.5599999999999996</v>
      </c>
      <c r="N15" s="21">
        <v>-9.6910000000000007</v>
      </c>
      <c r="O15" s="21">
        <v>-9.4459999999999997</v>
      </c>
      <c r="P15" s="21">
        <v>-12.853999999999999</v>
      </c>
      <c r="Q15" s="21">
        <v>-13.973000000000001</v>
      </c>
    </row>
    <row r="16" spans="1:17" x14ac:dyDescent="0.25">
      <c r="A16" s="14" t="s">
        <v>744</v>
      </c>
      <c r="B16" s="38">
        <f>B15/B$11</f>
        <v>-3.1998500149478332E-2</v>
      </c>
      <c r="C16" s="38">
        <f t="shared" ref="C16:Q18" si="0">C15/C$11</f>
        <v>-8.9258941178183088E-2</v>
      </c>
      <c r="D16" s="38">
        <f t="shared" si="0"/>
        <v>-4.2945184469087835E-2</v>
      </c>
      <c r="E16" s="38">
        <f t="shared" si="0"/>
        <v>-2.0144489017283003E-2</v>
      </c>
      <c r="F16" s="38">
        <f t="shared" si="0"/>
        <v>-1.1824880358544555E-2</v>
      </c>
      <c r="G16" s="38">
        <f t="shared" si="0"/>
        <v>1.6845291862991627E-3</v>
      </c>
      <c r="H16" s="38">
        <f t="shared" si="0"/>
        <v>7.0742233229145338E-3</v>
      </c>
      <c r="I16" s="38">
        <f t="shared" si="0"/>
        <v>1.4759277597019853E-2</v>
      </c>
      <c r="J16" s="38">
        <f t="shared" si="0"/>
        <v>1.8728150772781574E-2</v>
      </c>
      <c r="K16" s="38">
        <f t="shared" si="0"/>
        <v>2.3951072623753122E-2</v>
      </c>
      <c r="L16" s="38">
        <f t="shared" si="0"/>
        <v>-7.2534801415650801E-2</v>
      </c>
      <c r="M16" s="38">
        <f t="shared" si="0"/>
        <v>-1.326587905358426E-2</v>
      </c>
      <c r="N16" s="38">
        <f t="shared" si="0"/>
        <v>-2.6528589886779235E-2</v>
      </c>
      <c r="O16" s="38">
        <f t="shared" si="0"/>
        <v>-2.350762890497652E-2</v>
      </c>
      <c r="P16" s="38">
        <f t="shared" si="0"/>
        <v>-3.0542368209704934E-2</v>
      </c>
      <c r="Q16" s="38">
        <f t="shared" si="0"/>
        <v>-3.2116597061169323E-2</v>
      </c>
    </row>
    <row r="17" spans="1:17" x14ac:dyDescent="0.25">
      <c r="A17" s="11" t="s">
        <v>745</v>
      </c>
      <c r="B17" s="38"/>
      <c r="C17" s="38"/>
      <c r="D17" s="38"/>
      <c r="E17" s="38"/>
      <c r="F17" s="21">
        <v>-3.8330000000000002</v>
      </c>
      <c r="G17" s="21">
        <v>0.33300000000000002</v>
      </c>
      <c r="H17" s="21">
        <v>2.121</v>
      </c>
      <c r="I17" s="21">
        <v>4.6529999999999996</v>
      </c>
      <c r="J17" s="21">
        <v>5.9420000000000002</v>
      </c>
      <c r="K17" s="21">
        <v>8.5039999999999996</v>
      </c>
      <c r="L17" s="21">
        <v>-20.902000000000001</v>
      </c>
      <c r="M17" s="21">
        <v>-2.5590000000000002</v>
      </c>
      <c r="N17" s="21">
        <v>-8.6639999999999997</v>
      </c>
      <c r="O17" s="21">
        <v>-7.1989999999999998</v>
      </c>
      <c r="P17" s="21">
        <v>-8.7729999999999997</v>
      </c>
      <c r="Q17" s="21">
        <v>-9.3059999999999992</v>
      </c>
    </row>
    <row r="18" spans="1:17" x14ac:dyDescent="0.25">
      <c r="A18" s="14" t="str">
        <f>$A$16</f>
        <v>As percentage of nominal GDP</v>
      </c>
      <c r="B18" s="38"/>
      <c r="C18" s="38"/>
      <c r="D18" s="38"/>
      <c r="E18" s="38"/>
      <c r="F18" s="38">
        <f t="shared" si="0"/>
        <v>-1.6175862389115371E-2</v>
      </c>
      <c r="G18" s="38">
        <f t="shared" si="0"/>
        <v>1.3549473889797614E-3</v>
      </c>
      <c r="H18" s="38">
        <f t="shared" si="0"/>
        <v>8.1946628442936785E-3</v>
      </c>
      <c r="I18" s="38">
        <f t="shared" si="0"/>
        <v>1.6877591216252978E-2</v>
      </c>
      <c r="J18" s="38">
        <f t="shared" si="0"/>
        <v>2.0108903486062184E-2</v>
      </c>
      <c r="K18" s="38">
        <f t="shared" si="0"/>
        <v>2.7416869241135622E-2</v>
      </c>
      <c r="L18" s="38">
        <f t="shared" si="0"/>
        <v>-6.5755406999606761E-2</v>
      </c>
      <c r="M18" s="38">
        <f t="shared" si="0"/>
        <v>-7.4446018636232731E-3</v>
      </c>
      <c r="N18" s="38">
        <f t="shared" si="0"/>
        <v>-2.3717232770514421E-2</v>
      </c>
      <c r="O18" s="38">
        <f t="shared" si="0"/>
        <v>-1.7915670176468976E-2</v>
      </c>
      <c r="P18" s="38">
        <f t="shared" si="0"/>
        <v>-2.0845510837384579E-2</v>
      </c>
      <c r="Q18" s="38">
        <f t="shared" si="0"/>
        <v>-2.1389612270181185E-2</v>
      </c>
    </row>
    <row r="19" spans="1:17" x14ac:dyDescent="0.25">
      <c r="A19" s="11" t="s">
        <v>746</v>
      </c>
      <c r="B19" s="21">
        <v>5.125</v>
      </c>
      <c r="C19" s="21">
        <v>14.554</v>
      </c>
      <c r="D19" s="21">
        <v>23.893000000000001</v>
      </c>
      <c r="E19" s="21">
        <v>25.297999999999998</v>
      </c>
      <c r="F19" s="21">
        <v>25.207999999999998</v>
      </c>
      <c r="G19" s="21">
        <v>22.824999999999999</v>
      </c>
      <c r="H19" s="21">
        <v>23.193000000000001</v>
      </c>
      <c r="I19" s="21">
        <v>16.248999999999999</v>
      </c>
      <c r="J19" s="21">
        <v>11.218999999999999</v>
      </c>
      <c r="K19" s="21">
        <v>5.4320000000000004</v>
      </c>
      <c r="L19" s="21">
        <v>35.71</v>
      </c>
      <c r="M19" s="21">
        <v>35.920999999999999</v>
      </c>
      <c r="N19" s="21">
        <v>61.85</v>
      </c>
      <c r="O19" s="21">
        <v>71.367000000000004</v>
      </c>
      <c r="P19" s="21">
        <v>82.197000000000003</v>
      </c>
      <c r="Q19" s="21">
        <v>88.718999999999994</v>
      </c>
    </row>
    <row r="20" spans="1:17" x14ac:dyDescent="0.25">
      <c r="A20" s="14" t="str">
        <f>$A$16</f>
        <v>As percentage of nominal GDP</v>
      </c>
      <c r="B20" s="38">
        <f t="shared" ref="B20:N20" si="1">B$19/B$11</f>
        <v>2.5968695687423042E-2</v>
      </c>
      <c r="C20" s="38">
        <f t="shared" si="1"/>
        <v>7.061723363270693E-2</v>
      </c>
      <c r="D20" s="38">
        <f t="shared" si="1"/>
        <v>0.1110486247315926</v>
      </c>
      <c r="E20" s="38">
        <f t="shared" si="1"/>
        <v>0.11545430067041808</v>
      </c>
      <c r="F20" s="38">
        <f t="shared" si="1"/>
        <v>0.10638172165531444</v>
      </c>
      <c r="G20" s="38">
        <f t="shared" si="1"/>
        <v>9.2872895355744903E-2</v>
      </c>
      <c r="H20" s="38">
        <f t="shared" si="1"/>
        <v>8.9608116618436262E-2</v>
      </c>
      <c r="I20" s="38">
        <f t="shared" si="1"/>
        <v>5.8939174655683359E-2</v>
      </c>
      <c r="J20" s="38">
        <f t="shared" si="1"/>
        <v>3.7967315417390041E-2</v>
      </c>
      <c r="K20" s="38">
        <f t="shared" si="1"/>
        <v>1.7512750907555118E-2</v>
      </c>
      <c r="L20" s="38">
        <f t="shared" si="1"/>
        <v>0.11233975619347228</v>
      </c>
      <c r="M20" s="38">
        <f t="shared" si="1"/>
        <v>0.10450079857100883</v>
      </c>
      <c r="N20" s="38">
        <f t="shared" si="1"/>
        <v>0.16931103957252044</v>
      </c>
      <c r="O20" s="38">
        <f>O$19/O$11</f>
        <v>0.1776062833010226</v>
      </c>
      <c r="P20" s="38">
        <f>P$19/P$11</f>
        <v>0.19530815619520123</v>
      </c>
      <c r="Q20" s="38">
        <f>Q$19/Q$11</f>
        <v>0.20391844089815223</v>
      </c>
    </row>
    <row r="21" spans="1:17" x14ac:dyDescent="0.25">
      <c r="A21" s="11" t="s">
        <v>747</v>
      </c>
      <c r="B21" s="21">
        <v>20.706</v>
      </c>
      <c r="C21" s="21">
        <v>33.171999999999997</v>
      </c>
      <c r="D21" s="21">
        <v>42.503</v>
      </c>
      <c r="E21" s="21">
        <v>47.96</v>
      </c>
      <c r="F21" s="21">
        <v>51.332999999999998</v>
      </c>
      <c r="G21" s="21">
        <v>52.131</v>
      </c>
      <c r="H21" s="21">
        <v>53.228999999999999</v>
      </c>
      <c r="I21" s="21">
        <v>51.548000000000002</v>
      </c>
      <c r="J21" s="21">
        <v>50.762999999999998</v>
      </c>
      <c r="K21" s="21">
        <v>50.822000000000003</v>
      </c>
      <c r="L21" s="21">
        <v>79.930000000000007</v>
      </c>
      <c r="M21" s="21">
        <v>95.188000000000002</v>
      </c>
      <c r="N21" s="21">
        <v>117.11499999999999</v>
      </c>
      <c r="O21" s="21">
        <v>136.268</v>
      </c>
      <c r="P21" s="21">
        <v>158.255</v>
      </c>
      <c r="Q21" s="21">
        <v>172.92599999999999</v>
      </c>
    </row>
    <row r="22" spans="1:17" x14ac:dyDescent="0.25">
      <c r="A22" s="14" t="str">
        <f>$A$16</f>
        <v>As percentage of nominal GDP</v>
      </c>
      <c r="B22" s="38">
        <f>B$21/B$11</f>
        <v>0.10491859763976225</v>
      </c>
      <c r="C22" s="38">
        <f t="shared" ref="C22:Q22" si="2">C$21/C$11</f>
        <v>0.16095333750612573</v>
      </c>
      <c r="D22" s="38">
        <f t="shared" si="2"/>
        <v>0.19754320081056714</v>
      </c>
      <c r="E22" s="38">
        <f t="shared" si="2"/>
        <v>0.21887849870160692</v>
      </c>
      <c r="F22" s="38">
        <f t="shared" si="2"/>
        <v>0.21663332742511329</v>
      </c>
      <c r="G22" s="38">
        <f t="shared" si="2"/>
        <v>0.21211640340811994</v>
      </c>
      <c r="H22" s="38">
        <f t="shared" si="2"/>
        <v>0.20565474235686385</v>
      </c>
      <c r="I22" s="38">
        <f t="shared" si="2"/>
        <v>0.18697744939080349</v>
      </c>
      <c r="J22" s="38">
        <f t="shared" si="2"/>
        <v>0.1717920342751556</v>
      </c>
      <c r="K22" s="38">
        <f t="shared" si="2"/>
        <v>0.16384996808243119</v>
      </c>
      <c r="L22" s="38">
        <f t="shared" si="2"/>
        <v>0.25145104207628788</v>
      </c>
      <c r="M22" s="38">
        <f t="shared" si="2"/>
        <v>0.27691940687556549</v>
      </c>
      <c r="N22" s="38">
        <f t="shared" si="2"/>
        <v>0.32059599675886385</v>
      </c>
      <c r="O22" s="38">
        <f t="shared" si="2"/>
        <v>0.33912106453772395</v>
      </c>
      <c r="P22" s="38">
        <f t="shared" si="2"/>
        <v>0.37602944461077131</v>
      </c>
      <c r="Q22" s="38">
        <f t="shared" si="2"/>
        <v>0.39746616069561053</v>
      </c>
    </row>
    <row r="23" spans="1:17" x14ac:dyDescent="0.25">
      <c r="A23" s="11" t="s">
        <v>748</v>
      </c>
      <c r="B23" s="21">
        <v>26.737999999999996</v>
      </c>
      <c r="C23" s="21">
        <v>40.128</v>
      </c>
      <c r="D23" s="21">
        <v>50.671000000000006</v>
      </c>
      <c r="E23" s="21">
        <v>55.835000000000001</v>
      </c>
      <c r="F23" s="21">
        <v>59.930999999999997</v>
      </c>
      <c r="G23" s="21">
        <v>60.631</v>
      </c>
      <c r="H23" s="21">
        <v>61.88</v>
      </c>
      <c r="I23" s="21">
        <v>59.48</v>
      </c>
      <c r="J23" s="21">
        <v>57.494999999999997</v>
      </c>
      <c r="K23" s="21">
        <v>57.735999999999997</v>
      </c>
      <c r="L23" s="21">
        <v>83.375</v>
      </c>
      <c r="M23" s="21">
        <v>102.08</v>
      </c>
      <c r="N23" s="21">
        <v>128.87299999999999</v>
      </c>
      <c r="O23" s="21">
        <v>155.273</v>
      </c>
      <c r="P23" s="21">
        <v>175.464</v>
      </c>
      <c r="Q23" s="21">
        <v>182.17099999999999</v>
      </c>
    </row>
    <row r="24" spans="1:17" x14ac:dyDescent="0.25">
      <c r="A24" s="14" t="str">
        <f>$A$16</f>
        <v>As percentage of nominal GDP</v>
      </c>
      <c r="B24" s="38">
        <f t="shared" ref="B24:N24" si="3">B$23/B$11</f>
        <v>0.1354831190810375</v>
      </c>
      <c r="C24" s="38">
        <f t="shared" si="3"/>
        <v>0.19470443529017889</v>
      </c>
      <c r="D24" s="38">
        <f t="shared" si="3"/>
        <v>0.23550600024168289</v>
      </c>
      <c r="E24" s="38">
        <f t="shared" si="3"/>
        <v>0.25481820214771106</v>
      </c>
      <c r="F24" s="38">
        <f t="shared" si="3"/>
        <v>0.25291823867520824</v>
      </c>
      <c r="G24" s="38">
        <f t="shared" si="3"/>
        <v>0.24670214757126699</v>
      </c>
      <c r="H24" s="38">
        <f t="shared" si="3"/>
        <v>0.23907861235497072</v>
      </c>
      <c r="I24" s="38">
        <f t="shared" si="3"/>
        <v>0.2157487912191548</v>
      </c>
      <c r="J24" s="38">
        <f t="shared" si="3"/>
        <v>0.19457445404428561</v>
      </c>
      <c r="K24" s="38">
        <f t="shared" si="3"/>
        <v>0.18614068232669406</v>
      </c>
      <c r="L24" s="38">
        <f t="shared" si="3"/>
        <v>0.26228863546991743</v>
      </c>
      <c r="M24" s="38">
        <f t="shared" si="3"/>
        <v>0.2969695030240968</v>
      </c>
      <c r="N24" s="38">
        <f t="shared" si="3"/>
        <v>0.35278288767711274</v>
      </c>
      <c r="O24" s="38">
        <f>O$23/O$11</f>
        <v>0.38641753789566158</v>
      </c>
      <c r="P24" s="38">
        <f>P$23/P$11</f>
        <v>0.41691972114109749</v>
      </c>
      <c r="Q24" s="38">
        <f>Q$23/Q$11</f>
        <v>0.41871556596509529</v>
      </c>
    </row>
    <row r="25" spans="1:17" x14ac:dyDescent="0.25">
      <c r="A25" s="11" t="s">
        <v>749</v>
      </c>
      <c r="B25" s="21">
        <v>-9</v>
      </c>
      <c r="C25" s="21">
        <v>-13.343</v>
      </c>
      <c r="D25" s="21">
        <v>-10.644</v>
      </c>
      <c r="E25" s="21">
        <v>-5.742</v>
      </c>
      <c r="F25" s="21">
        <v>-4.109</v>
      </c>
      <c r="G25" s="21">
        <v>-1.827</v>
      </c>
      <c r="H25" s="21">
        <v>-1.3220000000000001</v>
      </c>
      <c r="I25" s="21">
        <v>2.5739999999999998</v>
      </c>
      <c r="J25" s="21">
        <v>1.3460000000000001</v>
      </c>
      <c r="K25" s="21">
        <v>-0.71</v>
      </c>
      <c r="L25" s="21">
        <v>-23.692</v>
      </c>
      <c r="M25" s="21">
        <v>-13.766999999999999</v>
      </c>
      <c r="N25" s="21">
        <v>-27.042999999999999</v>
      </c>
      <c r="O25" s="21">
        <v>-25.648</v>
      </c>
      <c r="P25" s="21">
        <v>-19.302</v>
      </c>
      <c r="Q25" s="21">
        <v>-5.9960000000000004</v>
      </c>
    </row>
    <row r="26" spans="1:17" x14ac:dyDescent="0.25">
      <c r="A26" s="14" t="str">
        <f>$A$16</f>
        <v>As percentage of nominal GDP</v>
      </c>
      <c r="B26" s="38">
        <f>B$25/B$11</f>
        <v>-4.5603563158401444E-2</v>
      </c>
      <c r="C26" s="38">
        <f t="shared" ref="C26:Q26" si="4">C$25/C$11</f>
        <v>-6.4741359651038097E-2</v>
      </c>
      <c r="D26" s="38">
        <f t="shared" si="4"/>
        <v>-4.947062158971547E-2</v>
      </c>
      <c r="E26" s="38">
        <f t="shared" si="4"/>
        <v>-2.6205178055559358E-2</v>
      </c>
      <c r="F26" s="38">
        <f t="shared" si="4"/>
        <v>-1.7340625764903486E-2</v>
      </c>
      <c r="G26" s="38">
        <f t="shared" si="4"/>
        <v>-7.4339005395376093E-3</v>
      </c>
      <c r="H26" s="38">
        <f t="shared" si="4"/>
        <v>-5.10765878366631E-3</v>
      </c>
      <c r="I26" s="38">
        <f t="shared" si="4"/>
        <v>9.3365398217569676E-3</v>
      </c>
      <c r="J26" s="38">
        <f t="shared" si="4"/>
        <v>4.5551302746953378E-3</v>
      </c>
      <c r="K26" s="38">
        <f t="shared" si="4"/>
        <v>-2.2890377658991404E-3</v>
      </c>
      <c r="L26" s="38">
        <f t="shared" si="4"/>
        <v>-7.4532441997640586E-2</v>
      </c>
      <c r="M26" s="38">
        <f t="shared" si="4"/>
        <v>-4.0050736169011954E-2</v>
      </c>
      <c r="N26" s="38">
        <f t="shared" si="4"/>
        <v>-7.4028754133543567E-2</v>
      </c>
      <c r="O26" s="38">
        <f t="shared" si="4"/>
        <v>-6.3828463492995743E-2</v>
      </c>
      <c r="P26" s="38">
        <f t="shared" si="4"/>
        <v>-4.5863450379938123E-2</v>
      </c>
      <c r="Q26" s="38">
        <f t="shared" si="4"/>
        <v>-1.3781658625833484E-2</v>
      </c>
    </row>
    <row r="27" spans="1:17" x14ac:dyDescent="0.25">
      <c r="A27" s="11" t="s">
        <v>750</v>
      </c>
      <c r="B27" s="21">
        <v>55.756999999999998</v>
      </c>
      <c r="C27" s="21">
        <v>57.198999999999998</v>
      </c>
      <c r="D27" s="21">
        <v>60.427999999999997</v>
      </c>
      <c r="E27" s="21">
        <v>63.805</v>
      </c>
      <c r="F27" s="21">
        <v>67.093000000000004</v>
      </c>
      <c r="G27" s="21">
        <v>72.212999999999994</v>
      </c>
      <c r="H27" s="21">
        <v>76.120999999999995</v>
      </c>
      <c r="I27" s="21">
        <v>81.781999999999996</v>
      </c>
      <c r="J27" s="21">
        <v>86.778000000000006</v>
      </c>
      <c r="K27" s="21">
        <v>93.474000000000004</v>
      </c>
      <c r="L27" s="21">
        <v>91.923000000000002</v>
      </c>
      <c r="M27" s="21">
        <v>104.968</v>
      </c>
      <c r="N27" s="21">
        <v>117.515</v>
      </c>
      <c r="O27" s="21">
        <v>123.398</v>
      </c>
      <c r="P27" s="21">
        <v>133.22</v>
      </c>
      <c r="Q27" s="21">
        <v>134.411</v>
      </c>
    </row>
    <row r="28" spans="1:17" x14ac:dyDescent="0.25">
      <c r="A28" s="14" t="str">
        <f>$A$16</f>
        <v>As percentage of nominal GDP</v>
      </c>
      <c r="B28" s="38">
        <f t="shared" ref="B28:N28" si="5">B$27/B$11</f>
        <v>0.28252420789144322</v>
      </c>
      <c r="C28" s="38">
        <f t="shared" si="5"/>
        <v>0.27753436488643696</v>
      </c>
      <c r="D28" s="38">
        <f t="shared" si="5"/>
        <v>0.28085407003225538</v>
      </c>
      <c r="E28" s="38">
        <f t="shared" si="5"/>
        <v>0.29119146392110151</v>
      </c>
      <c r="F28" s="38">
        <f t="shared" si="5"/>
        <v>0.28314300424547811</v>
      </c>
      <c r="G28" s="38">
        <f t="shared" si="5"/>
        <v>0.29382827567686337</v>
      </c>
      <c r="H28" s="38">
        <f t="shared" si="5"/>
        <v>0.29409992002379964</v>
      </c>
      <c r="I28" s="38">
        <f t="shared" si="5"/>
        <v>0.29664370617829383</v>
      </c>
      <c r="J28" s="38">
        <f t="shared" si="5"/>
        <v>0.29367391900260925</v>
      </c>
      <c r="K28" s="38">
        <f t="shared" si="5"/>
        <v>0.30135988187275531</v>
      </c>
      <c r="L28" s="38">
        <f t="shared" si="5"/>
        <v>0.28917970900511208</v>
      </c>
      <c r="M28" s="38">
        <f t="shared" si="5"/>
        <v>0.30537122642470016</v>
      </c>
      <c r="N28" s="38">
        <f t="shared" si="5"/>
        <v>0.32169097518778883</v>
      </c>
      <c r="O28" s="38">
        <f>O$27/O$11</f>
        <v>0.30709235566549781</v>
      </c>
      <c r="P28" s="38">
        <f>P$27/P$11</f>
        <v>0.31654382238189605</v>
      </c>
      <c r="Q28" s="38">
        <f>Q$27/Q$11</f>
        <v>0.30894037984604811</v>
      </c>
    </row>
    <row r="29" spans="1:17" x14ac:dyDescent="0.25">
      <c r="A29" s="11" t="s">
        <v>751</v>
      </c>
      <c r="B29" s="21">
        <v>63.553999999999995</v>
      </c>
      <c r="C29" s="21">
        <v>70.099000000000004</v>
      </c>
      <c r="D29" s="21">
        <v>68.938999999999993</v>
      </c>
      <c r="E29" s="21">
        <v>69.962000000000003</v>
      </c>
      <c r="F29" s="21">
        <v>71.173999999999992</v>
      </c>
      <c r="G29" s="21">
        <v>72.362999999999985</v>
      </c>
      <c r="H29" s="21">
        <v>73.929000000000002</v>
      </c>
      <c r="I29" s="21">
        <v>76.338999999999999</v>
      </c>
      <c r="J29" s="21">
        <v>80.575999999999993</v>
      </c>
      <c r="K29" s="21">
        <v>86.959000000000003</v>
      </c>
      <c r="L29" s="21">
        <v>108.83199999999999</v>
      </c>
      <c r="M29" s="21">
        <v>107.764</v>
      </c>
      <c r="N29" s="21">
        <v>125.64100000000001</v>
      </c>
      <c r="O29" s="21">
        <v>127.574</v>
      </c>
      <c r="P29" s="21">
        <v>138.99799999999999</v>
      </c>
      <c r="Q29" s="21">
        <v>141.67500000000001</v>
      </c>
    </row>
    <row r="30" spans="1:17" x14ac:dyDescent="0.25">
      <c r="A30" s="14" t="str">
        <f>$A$16</f>
        <v>As percentage of nominal GDP</v>
      </c>
      <c r="B30" s="38">
        <f>B$29/B$11</f>
        <v>0.32203209477433831</v>
      </c>
      <c r="C30" s="38">
        <f t="shared" ref="C30:Q30" si="6">C$29/C$11</f>
        <v>0.34012625123121637</v>
      </c>
      <c r="D30" s="38">
        <f t="shared" si="6"/>
        <v>0.3204110467656327</v>
      </c>
      <c r="E30" s="38">
        <f t="shared" si="6"/>
        <v>0.31929060730112224</v>
      </c>
      <c r="F30" s="38">
        <f t="shared" si="6"/>
        <v>0.30036546560993926</v>
      </c>
      <c r="G30" s="38">
        <f t="shared" si="6"/>
        <v>0.29443861233856589</v>
      </c>
      <c r="H30" s="38">
        <f t="shared" si="6"/>
        <v>0.28563094267599592</v>
      </c>
      <c r="I30" s="38">
        <f t="shared" si="6"/>
        <v>0.27690058797711931</v>
      </c>
      <c r="J30" s="38">
        <f t="shared" si="6"/>
        <v>0.27268512408161333</v>
      </c>
      <c r="K30" s="38">
        <f t="shared" si="6"/>
        <v>0.28035554237299065</v>
      </c>
      <c r="L30" s="38">
        <f t="shared" si="6"/>
        <v>0.34237357451828548</v>
      </c>
      <c r="M30" s="38">
        <f t="shared" si="6"/>
        <v>0.31350530489702944</v>
      </c>
      <c r="N30" s="38">
        <f t="shared" si="6"/>
        <v>0.34393546197139918</v>
      </c>
      <c r="O30" s="38">
        <f t="shared" si="6"/>
        <v>0.31748488777508727</v>
      </c>
      <c r="P30" s="38">
        <f t="shared" si="6"/>
        <v>0.33027291865664898</v>
      </c>
      <c r="Q30" s="38">
        <f t="shared" si="6"/>
        <v>0.3256365053060305</v>
      </c>
    </row>
    <row r="31" spans="1:17" x14ac:dyDescent="0.25">
      <c r="A31" s="11" t="s">
        <v>752</v>
      </c>
      <c r="B31" s="21">
        <v>-7</v>
      </c>
      <c r="C31" s="21">
        <v>-9.2669999999999995</v>
      </c>
      <c r="D31" s="21">
        <v>-11.670999999999999</v>
      </c>
      <c r="E31" s="21">
        <v>0.371</v>
      </c>
      <c r="F31" s="21">
        <v>0.29199999999999998</v>
      </c>
      <c r="G31" s="21">
        <v>3.879</v>
      </c>
      <c r="H31" s="21">
        <v>-0.91200000000000003</v>
      </c>
      <c r="I31" s="21">
        <v>12.064</v>
      </c>
      <c r="J31" s="21">
        <v>9.4429999999999996</v>
      </c>
      <c r="K31" s="21">
        <v>9.7070000000000007</v>
      </c>
      <c r="L31" s="21">
        <v>-20.882999999999999</v>
      </c>
      <c r="M31" s="21">
        <v>4.7039999999999997</v>
      </c>
      <c r="N31" s="21">
        <v>-19.532</v>
      </c>
      <c r="O31" s="21">
        <v>8.2929999999999993</v>
      </c>
      <c r="P31" s="21">
        <v>2.1059999999999999</v>
      </c>
      <c r="Q31" s="21">
        <v>0.42299999999999999</v>
      </c>
    </row>
    <row r="32" spans="1:17" x14ac:dyDescent="0.25">
      <c r="A32" s="14" t="str">
        <f>$A$16</f>
        <v>As percentage of nominal GDP</v>
      </c>
      <c r="B32" s="38">
        <f t="shared" ref="B32:N32" si="7">B$31/B$11</f>
        <v>-3.5469438012090009E-2</v>
      </c>
      <c r="C32" s="38">
        <f t="shared" si="7"/>
        <v>-4.496426439977292E-2</v>
      </c>
      <c r="D32" s="38">
        <f t="shared" si="7"/>
        <v>-5.424385800202642E-2</v>
      </c>
      <c r="E32" s="38">
        <f t="shared" si="7"/>
        <v>1.693159362349795E-3</v>
      </c>
      <c r="F32" s="38">
        <f t="shared" si="7"/>
        <v>1.2322858903265556E-3</v>
      </c>
      <c r="G32" s="38">
        <f t="shared" si="7"/>
        <v>1.5783306071629113E-2</v>
      </c>
      <c r="H32" s="38">
        <f t="shared" si="7"/>
        <v>-3.5235891155095877E-3</v>
      </c>
      <c r="I32" s="38">
        <f t="shared" si="7"/>
        <v>4.3759136134295287E-2</v>
      </c>
      <c r="J32" s="38">
        <f t="shared" si="7"/>
        <v>3.1956980077227394E-2</v>
      </c>
      <c r="K32" s="38">
        <f t="shared" si="7"/>
        <v>3.1295337455750645E-2</v>
      </c>
      <c r="L32" s="38">
        <f t="shared" si="7"/>
        <v>-6.569563507668108E-2</v>
      </c>
      <c r="M32" s="38">
        <f t="shared" si="7"/>
        <v>1.3684801550013236E-2</v>
      </c>
      <c r="N32" s="38">
        <f t="shared" si="7"/>
        <v>-5.3467796684405322E-2</v>
      </c>
      <c r="O32" s="38">
        <f>O$31/O$11</f>
        <v>2.0638234862266597E-2</v>
      </c>
      <c r="P32" s="38">
        <f>P$31/P$11</f>
        <v>5.004063128181001E-3</v>
      </c>
      <c r="Q32" s="38">
        <f>Q$31/Q$11</f>
        <v>9.7225510319005394E-4</v>
      </c>
    </row>
    <row r="33" spans="1:17" x14ac:dyDescent="0.25">
      <c r="A33" s="11" t="s">
        <v>753</v>
      </c>
      <c r="B33" s="21">
        <v>73.733000000000004</v>
      </c>
      <c r="C33" s="21">
        <v>80.647000000000006</v>
      </c>
      <c r="D33" s="21">
        <v>82.748999999999995</v>
      </c>
      <c r="E33" s="21">
        <v>85.677999999999997</v>
      </c>
      <c r="F33" s="21">
        <v>88.536000000000001</v>
      </c>
      <c r="G33" s="21">
        <v>93.805000000000007</v>
      </c>
      <c r="H33" s="21">
        <v>97.415999999999997</v>
      </c>
      <c r="I33" s="21">
        <v>103.422</v>
      </c>
      <c r="J33" s="21">
        <v>109.973</v>
      </c>
      <c r="K33" s="21">
        <v>119.142</v>
      </c>
      <c r="L33" s="21">
        <v>116.003</v>
      </c>
      <c r="M33" s="21">
        <v>129.33500000000001</v>
      </c>
      <c r="N33" s="21">
        <v>141.62700000000001</v>
      </c>
      <c r="O33" s="21">
        <v>153.011</v>
      </c>
      <c r="P33" s="21">
        <v>167.34700000000001</v>
      </c>
      <c r="Q33" s="21">
        <v>169.81100000000001</v>
      </c>
    </row>
    <row r="34" spans="1:17" x14ac:dyDescent="0.25">
      <c r="A34" s="14" t="str">
        <f>$A$16</f>
        <v>As percentage of nominal GDP</v>
      </c>
      <c r="B34" s="38">
        <f>B$33/B$11</f>
        <v>0.3736097247064904</v>
      </c>
      <c r="C34" s="38">
        <f t="shared" ref="C34:Q34" si="8">C$33/C$11</f>
        <v>0.39130603550755227</v>
      </c>
      <c r="D34" s="38">
        <f t="shared" si="8"/>
        <v>0.38459643610741873</v>
      </c>
      <c r="E34" s="38">
        <f t="shared" si="8"/>
        <v>0.39101484594988067</v>
      </c>
      <c r="F34" s="38">
        <f t="shared" si="8"/>
        <v>0.37363583419846558</v>
      </c>
      <c r="G34" s="38">
        <f t="shared" si="8"/>
        <v>0.38168420367341294</v>
      </c>
      <c r="H34" s="38">
        <f t="shared" si="8"/>
        <v>0.37637495315403724</v>
      </c>
      <c r="I34" s="38">
        <f t="shared" si="8"/>
        <v>0.37513738206905561</v>
      </c>
      <c r="J34" s="38">
        <f t="shared" si="8"/>
        <v>0.37217038759217708</v>
      </c>
      <c r="K34" s="38">
        <f t="shared" si="8"/>
        <v>0.38411343310528928</v>
      </c>
      <c r="L34" s="38">
        <f t="shared" si="8"/>
        <v>0.3649327565867086</v>
      </c>
      <c r="M34" s="38">
        <f t="shared" si="8"/>
        <v>0.37625931302528959</v>
      </c>
      <c r="N34" s="38">
        <f t="shared" si="8"/>
        <v>0.38769627488338487</v>
      </c>
      <c r="O34" s="38">
        <f t="shared" si="8"/>
        <v>0.38078824966963393</v>
      </c>
      <c r="P34" s="38">
        <f t="shared" si="8"/>
        <v>0.39763293082227263</v>
      </c>
      <c r="Q34" s="38">
        <f t="shared" si="8"/>
        <v>0.39030640975840725</v>
      </c>
    </row>
    <row r="35" spans="1:17" x14ac:dyDescent="0.25">
      <c r="A35" s="11" t="s">
        <v>754</v>
      </c>
      <c r="B35" s="21">
        <v>80.048000000000002</v>
      </c>
      <c r="C35" s="21">
        <v>99.043000000000006</v>
      </c>
      <c r="D35" s="21">
        <v>91.989000000000004</v>
      </c>
      <c r="E35" s="21">
        <v>90.03</v>
      </c>
      <c r="F35" s="21">
        <v>91.179000000000002</v>
      </c>
      <c r="G35" s="21">
        <v>93.063999999999993</v>
      </c>
      <c r="H35" s="21">
        <v>95.137</v>
      </c>
      <c r="I35" s="21">
        <v>99.007000000000005</v>
      </c>
      <c r="J35" s="21">
        <v>104.014</v>
      </c>
      <c r="K35" s="21">
        <v>111.376</v>
      </c>
      <c r="L35" s="21">
        <v>138.916</v>
      </c>
      <c r="M35" s="21">
        <v>133.72200000000001</v>
      </c>
      <c r="N35" s="21">
        <v>150.95599999999999</v>
      </c>
      <c r="O35" s="21">
        <v>161.822</v>
      </c>
      <c r="P35" s="21">
        <v>180.06100000000001</v>
      </c>
      <c r="Q35" s="21">
        <v>183.50200000000001</v>
      </c>
    </row>
    <row r="36" spans="1:17" x14ac:dyDescent="0.25">
      <c r="A36" s="14" t="str">
        <f>$A$16</f>
        <v>As percentage of nominal GDP</v>
      </c>
      <c r="B36" s="38">
        <f t="shared" ref="B36:N36" si="9">B$35/B$11</f>
        <v>0.40560822485596876</v>
      </c>
      <c r="C36" s="38">
        <f t="shared" si="9"/>
        <v>0.48056497668573539</v>
      </c>
      <c r="D36" s="38">
        <f t="shared" si="9"/>
        <v>0.42754162057650663</v>
      </c>
      <c r="E36" s="38">
        <f t="shared" si="9"/>
        <v>0.41087638111146102</v>
      </c>
      <c r="F36" s="38">
        <f t="shared" si="9"/>
        <v>0.38478970956878433</v>
      </c>
      <c r="G36" s="38">
        <f t="shared" si="9"/>
        <v>0.3786691405646021</v>
      </c>
      <c r="H36" s="38">
        <f t="shared" si="9"/>
        <v>0.36756984394981979</v>
      </c>
      <c r="I36" s="38">
        <f t="shared" si="9"/>
        <v>0.35912307619762712</v>
      </c>
      <c r="J36" s="38">
        <f t="shared" si="9"/>
        <v>0.35200395274306157</v>
      </c>
      <c r="K36" s="38">
        <f t="shared" si="9"/>
        <v>0.35907587354194748</v>
      </c>
      <c r="L36" s="38">
        <f t="shared" si="9"/>
        <v>0.43701454974439635</v>
      </c>
      <c r="M36" s="38">
        <f t="shared" si="9"/>
        <v>0.38902190324635849</v>
      </c>
      <c r="N36" s="38">
        <f t="shared" si="9"/>
        <v>0.41323390929198694</v>
      </c>
      <c r="O36" s="38">
        <f>O$35/O$11</f>
        <v>0.40271559651292721</v>
      </c>
      <c r="P36" s="38">
        <f>P$35/P$11</f>
        <v>0.42784264526277271</v>
      </c>
      <c r="Q36" s="38">
        <f>Q$35/Q$11</f>
        <v>0.4217748367507832</v>
      </c>
    </row>
    <row r="37" spans="1:17" x14ac:dyDescent="0.25">
      <c r="A37" s="11" t="s">
        <v>755</v>
      </c>
      <c r="B37" s="21">
        <v>-4.5090000000000003</v>
      </c>
      <c r="C37" s="21">
        <v>-13.36</v>
      </c>
      <c r="D37" s="21">
        <v>-14.897</v>
      </c>
      <c r="E37" s="21">
        <v>6.9249999999999998</v>
      </c>
      <c r="F37" s="21">
        <v>2.9390000000000001</v>
      </c>
      <c r="G37" s="21">
        <v>5.7709999999999999</v>
      </c>
      <c r="H37" s="21">
        <v>-5.3689999999999998</v>
      </c>
      <c r="I37" s="21">
        <v>12.317</v>
      </c>
      <c r="J37" s="21">
        <v>8.3960000000000008</v>
      </c>
      <c r="K37" s="21">
        <v>0.38900000000000001</v>
      </c>
      <c r="L37" s="21">
        <v>-30.04</v>
      </c>
      <c r="M37" s="21">
        <v>16.158999999999999</v>
      </c>
      <c r="N37" s="21">
        <v>-16.931999999999999</v>
      </c>
      <c r="O37" s="21">
        <v>5.3209999999999997</v>
      </c>
      <c r="P37" s="21">
        <v>-8.3650000000000002</v>
      </c>
      <c r="Q37" s="21">
        <v>-4.4000000000000004</v>
      </c>
    </row>
    <row r="38" spans="1:17" x14ac:dyDescent="0.25">
      <c r="A38" s="14" t="str">
        <f>$A$16</f>
        <v>As percentage of nominal GDP</v>
      </c>
      <c r="B38" s="38">
        <f>B$37/B$11</f>
        <v>-2.2847385142359122E-2</v>
      </c>
      <c r="C38" s="38">
        <f t="shared" ref="C38:Q38" si="10">C$37/C$11</f>
        <v>-6.4823845082655249E-2</v>
      </c>
      <c r="D38" s="38">
        <f t="shared" si="10"/>
        <v>-6.9237490588311856E-2</v>
      </c>
      <c r="E38" s="38">
        <f t="shared" si="10"/>
        <v>3.1604120173240782E-2</v>
      </c>
      <c r="F38" s="38">
        <f t="shared" si="10"/>
        <v>1.2403041889279957E-2</v>
      </c>
      <c r="G38" s="38">
        <f t="shared" si="10"/>
        <v>2.3481685831237845E-2</v>
      </c>
      <c r="H38" s="38">
        <f t="shared" si="10"/>
        <v>-2.0743585483740102E-2</v>
      </c>
      <c r="I38" s="38">
        <f t="shared" si="10"/>
        <v>4.4676830219339776E-2</v>
      </c>
      <c r="J38" s="38">
        <f t="shared" si="10"/>
        <v>2.8413724952705839E-2</v>
      </c>
      <c r="K38" s="38">
        <f t="shared" si="10"/>
        <v>1.2541347759644588E-3</v>
      </c>
      <c r="L38" s="38">
        <f t="shared" si="10"/>
        <v>-9.4502556036177743E-2</v>
      </c>
      <c r="M38" s="38">
        <f t="shared" si="10"/>
        <v>4.7009504304137729E-2</v>
      </c>
      <c r="N38" s="38">
        <f t="shared" si="10"/>
        <v>-4.6350436896393142E-2</v>
      </c>
      <c r="O38" s="38">
        <f t="shared" si="10"/>
        <v>1.324201708695533E-2</v>
      </c>
      <c r="P38" s="38">
        <f t="shared" si="10"/>
        <v>-1.9876062709987694E-2</v>
      </c>
      <c r="Q38" s="38">
        <f t="shared" si="10"/>
        <v>-1.0113291853513565E-2</v>
      </c>
    </row>
    <row r="39" spans="1:17" x14ac:dyDescent="0.25">
      <c r="A39" s="11" t="s">
        <v>756</v>
      </c>
      <c r="B39" s="21">
        <v>53.591000000000001</v>
      </c>
      <c r="C39" s="21">
        <v>72.42</v>
      </c>
      <c r="D39" s="21">
        <v>79.635000000000005</v>
      </c>
      <c r="E39" s="21">
        <v>77.983999999999995</v>
      </c>
      <c r="F39" s="21">
        <v>81.956000000000003</v>
      </c>
      <c r="G39" s="21">
        <v>86.125</v>
      </c>
      <c r="H39" s="21">
        <v>86.927999999999997</v>
      </c>
      <c r="I39" s="21">
        <v>87.141000000000005</v>
      </c>
      <c r="J39" s="21">
        <v>88.052999999999997</v>
      </c>
      <c r="K39" s="21">
        <v>84.448999999999998</v>
      </c>
      <c r="L39" s="21">
        <v>102.25700000000001</v>
      </c>
      <c r="M39" s="21">
        <v>100.83499999999999</v>
      </c>
      <c r="N39" s="21">
        <v>118.95</v>
      </c>
      <c r="O39" s="21">
        <v>135.78899999999999</v>
      </c>
      <c r="P39" s="21">
        <v>175.96600000000001</v>
      </c>
      <c r="Q39" s="21">
        <v>203.68799999999999</v>
      </c>
    </row>
    <row r="40" spans="1:17" x14ac:dyDescent="0.25">
      <c r="A40" s="14" t="str">
        <f>$A$16</f>
        <v>As percentage of nominal GDP</v>
      </c>
      <c r="B40" s="38">
        <f>B$39/B$11</f>
        <v>0.27154895035798798</v>
      </c>
      <c r="C40" s="38">
        <f t="shared" ref="C40:Q40" si="11">C$39/C$11</f>
        <v>0.35138793868906387</v>
      </c>
      <c r="D40" s="38">
        <f t="shared" si="11"/>
        <v>0.37012335121166773</v>
      </c>
      <c r="E40" s="38">
        <f t="shared" si="11"/>
        <v>0.35590118521155362</v>
      </c>
      <c r="F40" s="38">
        <f t="shared" si="11"/>
        <v>0.34586720009453154</v>
      </c>
      <c r="G40" s="38">
        <f t="shared" si="11"/>
        <v>0.35043496659424006</v>
      </c>
      <c r="H40" s="38">
        <f t="shared" si="11"/>
        <v>0.33585367832567697</v>
      </c>
      <c r="I40" s="38">
        <f t="shared" si="11"/>
        <v>0.31608213543423619</v>
      </c>
      <c r="J40" s="38">
        <f t="shared" si="11"/>
        <v>0.2979887712316111</v>
      </c>
      <c r="K40" s="38">
        <f t="shared" si="11"/>
        <v>0.2722633102710092</v>
      </c>
      <c r="L40" s="38">
        <f t="shared" si="11"/>
        <v>0.32168934329532051</v>
      </c>
      <c r="M40" s="38">
        <f t="shared" si="11"/>
        <v>0.29334756894038794</v>
      </c>
      <c r="N40" s="38">
        <f t="shared" si="11"/>
        <v>0.3256192103015571</v>
      </c>
      <c r="O40" s="38">
        <f t="shared" si="11"/>
        <v>0.33792900925024943</v>
      </c>
      <c r="P40" s="38">
        <f t="shared" si="11"/>
        <v>0.41811252251353187</v>
      </c>
      <c r="Q40" s="38">
        <f t="shared" si="11"/>
        <v>0.46817186160419788</v>
      </c>
    </row>
    <row r="41" spans="1:17" x14ac:dyDescent="0.25">
      <c r="A41" s="11" t="s">
        <v>757</v>
      </c>
      <c r="B41" s="21">
        <v>50.744</v>
      </c>
      <c r="C41" s="21">
        <v>51.557000000000002</v>
      </c>
      <c r="D41" s="21">
        <v>55.081000000000003</v>
      </c>
      <c r="E41" s="21">
        <v>58.651000000000003</v>
      </c>
      <c r="F41" s="21">
        <v>61.563000000000002</v>
      </c>
      <c r="G41" s="21">
        <v>66.635999999999996</v>
      </c>
      <c r="H41" s="21">
        <v>70.444999999999993</v>
      </c>
      <c r="I41" s="21">
        <v>75.644000000000005</v>
      </c>
      <c r="J41" s="21">
        <v>80.224000000000004</v>
      </c>
      <c r="K41" s="21">
        <v>86.468000000000004</v>
      </c>
      <c r="L41" s="21">
        <v>85.102000000000004</v>
      </c>
      <c r="M41" s="21">
        <v>97.983000000000004</v>
      </c>
      <c r="N41" s="21">
        <v>108.458</v>
      </c>
      <c r="O41" s="21">
        <v>112.358</v>
      </c>
      <c r="P41" s="21">
        <v>120.566</v>
      </c>
      <c r="Q41" s="21">
        <v>121.69799999999999</v>
      </c>
    </row>
    <row r="42" spans="1:17" x14ac:dyDescent="0.25">
      <c r="A42" s="14" t="str">
        <f>$A$16</f>
        <v>As percentage of nominal GDP</v>
      </c>
      <c r="B42" s="38">
        <f t="shared" ref="B42:N42" si="12">B$41/B$11</f>
        <v>0.25712302321221364</v>
      </c>
      <c r="C42" s="38">
        <f t="shared" si="12"/>
        <v>0.25015890575796834</v>
      </c>
      <c r="D42" s="38">
        <f t="shared" si="12"/>
        <v>0.25600256555647483</v>
      </c>
      <c r="E42" s="38">
        <f t="shared" si="12"/>
        <v>0.26766978372285127</v>
      </c>
      <c r="F42" s="38">
        <f t="shared" si="12"/>
        <v>0.25980553515812932</v>
      </c>
      <c r="G42" s="38">
        <f t="shared" si="12"/>
        <v>0.27113595859476086</v>
      </c>
      <c r="H42" s="38">
        <f t="shared" si="12"/>
        <v>0.27217021408122027</v>
      </c>
      <c r="I42" s="38">
        <f t="shared" si="12"/>
        <v>0.27437964968025802</v>
      </c>
      <c r="J42" s="38">
        <f t="shared" si="12"/>
        <v>0.27149388644662614</v>
      </c>
      <c r="K42" s="38">
        <f t="shared" si="12"/>
        <v>0.27877255991798155</v>
      </c>
      <c r="L42" s="38">
        <f t="shared" si="12"/>
        <v>0.26772158867479356</v>
      </c>
      <c r="M42" s="38">
        <f t="shared" si="12"/>
        <v>0.28505057616389184</v>
      </c>
      <c r="N42" s="38">
        <f t="shared" si="12"/>
        <v>0.29689792611085564</v>
      </c>
      <c r="O42" s="38">
        <f>O$41/O$11</f>
        <v>0.27961784549072116</v>
      </c>
      <c r="P42" s="38">
        <f>P$41/P$11</f>
        <v>0.28647667384248371</v>
      </c>
      <c r="Q42" s="38">
        <f>Q$41/Q$11</f>
        <v>0.27971986181565767</v>
      </c>
    </row>
    <row r="43" spans="1:17" x14ac:dyDescent="0.25">
      <c r="A43" s="11" t="s">
        <v>758</v>
      </c>
      <c r="B43" s="21">
        <v>50.347000000000001</v>
      </c>
      <c r="C43" s="21">
        <v>51.128</v>
      </c>
      <c r="D43" s="21">
        <v>54.664999999999999</v>
      </c>
      <c r="E43" s="21">
        <v>58.134</v>
      </c>
      <c r="F43" s="21">
        <v>60.968000000000004</v>
      </c>
      <c r="G43" s="21">
        <v>66.055000000000007</v>
      </c>
      <c r="H43" s="21">
        <v>69.668000000000006</v>
      </c>
      <c r="I43" s="21">
        <v>74.972999999999999</v>
      </c>
      <c r="J43" s="21">
        <v>79.596000000000004</v>
      </c>
      <c r="K43" s="21">
        <v>85.722999999999999</v>
      </c>
      <c r="L43" s="21">
        <v>84.521000000000001</v>
      </c>
      <c r="M43" s="21">
        <v>97.361999999999995</v>
      </c>
      <c r="N43" s="21">
        <v>107.873</v>
      </c>
      <c r="O43" s="21">
        <v>111.712</v>
      </c>
      <c r="P43" s="21">
        <v>119.9</v>
      </c>
      <c r="Q43" s="21">
        <v>121.05800000000001</v>
      </c>
    </row>
    <row r="44" spans="1:17" x14ac:dyDescent="0.25">
      <c r="A44" s="14" t="str">
        <f>$A$16</f>
        <v>As percentage of nominal GDP</v>
      </c>
      <c r="B44" s="38">
        <f>B$43/B$11</f>
        <v>0.25511139937067084</v>
      </c>
      <c r="C44" s="38">
        <f t="shared" ref="C44:Q44" si="13">C$43/C$11</f>
        <v>0.24807736163068844</v>
      </c>
      <c r="D44" s="38">
        <f t="shared" si="13"/>
        <v>0.25406910270591843</v>
      </c>
      <c r="E44" s="38">
        <f t="shared" si="13"/>
        <v>0.26531031366804037</v>
      </c>
      <c r="F44" s="38">
        <f t="shared" si="13"/>
        <v>0.257294541648731</v>
      </c>
      <c r="G44" s="38">
        <f t="shared" si="13"/>
        <v>0.26877192125843286</v>
      </c>
      <c r="H44" s="38">
        <f t="shared" si="13"/>
        <v>0.26916820888083548</v>
      </c>
      <c r="I44" s="38">
        <f t="shared" si="13"/>
        <v>0.27194576536774867</v>
      </c>
      <c r="J44" s="38">
        <f t="shared" si="13"/>
        <v>0.26936861021147857</v>
      </c>
      <c r="K44" s="38">
        <f t="shared" si="13"/>
        <v>0.27637068226221412</v>
      </c>
      <c r="L44" s="38">
        <f t="shared" si="13"/>
        <v>0.26589382618953994</v>
      </c>
      <c r="M44" s="38">
        <f t="shared" si="13"/>
        <v>0.28324397289804182</v>
      </c>
      <c r="N44" s="38">
        <f t="shared" si="13"/>
        <v>0.2952965201585529</v>
      </c>
      <c r="O44" s="38">
        <f t="shared" si="13"/>
        <v>0.27801018846418984</v>
      </c>
      <c r="P44" s="38">
        <f t="shared" si="13"/>
        <v>0.28489419234040936</v>
      </c>
      <c r="Q44" s="38">
        <f t="shared" si="13"/>
        <v>0.27824883754605573</v>
      </c>
    </row>
    <row r="45" spans="1:17" x14ac:dyDescent="0.25">
      <c r="A45" s="11" t="s">
        <v>759</v>
      </c>
      <c r="B45" s="21">
        <v>94.988</v>
      </c>
      <c r="C45" s="21">
        <v>80.887</v>
      </c>
      <c r="D45" s="21">
        <v>59.78</v>
      </c>
      <c r="E45" s="21">
        <v>70.010999999999996</v>
      </c>
      <c r="F45" s="21">
        <v>80.697000000000003</v>
      </c>
      <c r="G45" s="21">
        <v>92.236000000000004</v>
      </c>
      <c r="H45" s="21">
        <v>95.521000000000001</v>
      </c>
      <c r="I45" s="21">
        <v>116.47199999999999</v>
      </c>
      <c r="J45" s="21">
        <v>135.637</v>
      </c>
      <c r="K45" s="21">
        <v>143.339</v>
      </c>
      <c r="L45" s="21">
        <v>115.943</v>
      </c>
      <c r="M45" s="21">
        <v>157.19300000000001</v>
      </c>
      <c r="N45" s="21">
        <v>174.31899999999999</v>
      </c>
      <c r="O45" s="21">
        <v>191.47200000000001</v>
      </c>
      <c r="P45" s="21">
        <v>191.04900000000001</v>
      </c>
      <c r="Q45" s="21">
        <v>189.12799999999999</v>
      </c>
    </row>
    <row r="46" spans="1:17" x14ac:dyDescent="0.25">
      <c r="A46" s="14" t="str">
        <f>$A$16</f>
        <v>As percentage of nominal GDP</v>
      </c>
      <c r="B46" s="38">
        <f t="shared" ref="B46:N46" si="14">B$45/B$11</f>
        <v>0.48131013969891512</v>
      </c>
      <c r="C46" s="38">
        <f t="shared" si="14"/>
        <v>0.3924705357186179</v>
      </c>
      <c r="D46" s="38">
        <f t="shared" si="14"/>
        <v>0.27784232982273493</v>
      </c>
      <c r="E46" s="38">
        <f t="shared" si="14"/>
        <v>0.31951423212256463</v>
      </c>
      <c r="F46" s="38">
        <f t="shared" si="14"/>
        <v>0.34055402223178793</v>
      </c>
      <c r="G46" s="38">
        <f t="shared" si="14"/>
        <v>0.37530008219200378</v>
      </c>
      <c r="H46" s="38">
        <f t="shared" si="14"/>
        <v>0.36905346041950804</v>
      </c>
      <c r="I46" s="38">
        <f t="shared" si="14"/>
        <v>0.42247298606048078</v>
      </c>
      <c r="J46" s="38">
        <f t="shared" si="14"/>
        <v>0.45902244061578867</v>
      </c>
      <c r="K46" s="38">
        <f t="shared" si="14"/>
        <v>0.46212448496650271</v>
      </c>
      <c r="L46" s="38">
        <f t="shared" si="14"/>
        <v>0.36474400314589067</v>
      </c>
      <c r="M46" s="38">
        <f t="shared" si="14"/>
        <v>0.45730336098027868</v>
      </c>
      <c r="N46" s="38">
        <f t="shared" si="14"/>
        <v>0.477188861879421</v>
      </c>
      <c r="O46" s="38">
        <f>O$45/O$11</f>
        <v>0.4765035699442795</v>
      </c>
      <c r="P46" s="38">
        <f>P$45/P$11</f>
        <v>0.45395121394864779</v>
      </c>
      <c r="Q46" s="38">
        <f>Q$45/Q$11</f>
        <v>0.43470605947075297</v>
      </c>
    </row>
    <row r="47" spans="1:17" x14ac:dyDescent="0.25">
      <c r="A47" s="11" t="s">
        <v>760</v>
      </c>
      <c r="B47" s="21">
        <v>94.585999999999999</v>
      </c>
      <c r="C47" s="21">
        <v>80.578999999999994</v>
      </c>
      <c r="D47" s="21">
        <v>59.347999999999999</v>
      </c>
      <c r="E47" s="21">
        <v>68.070999999999998</v>
      </c>
      <c r="F47" s="21">
        <v>75.486000000000004</v>
      </c>
      <c r="G47" s="21">
        <v>86.454000000000008</v>
      </c>
      <c r="H47" s="21">
        <v>89.366</v>
      </c>
      <c r="I47" s="21">
        <v>110.532</v>
      </c>
      <c r="J47" s="21">
        <v>129.64400000000001</v>
      </c>
      <c r="K47" s="21">
        <v>136.94900000000001</v>
      </c>
      <c r="L47" s="21">
        <v>110.32</v>
      </c>
      <c r="M47" s="21">
        <v>151.46899999999999</v>
      </c>
      <c r="N47" s="21">
        <v>167.036</v>
      </c>
      <c r="O47" s="21">
        <v>183.51400000000001</v>
      </c>
      <c r="P47" s="21">
        <v>181.81800000000001</v>
      </c>
      <c r="Q47" s="21">
        <v>179.26</v>
      </c>
    </row>
    <row r="48" spans="1:17" x14ac:dyDescent="0.25">
      <c r="A48" s="14" t="str">
        <f>$A$16</f>
        <v>As percentage of nominal GDP</v>
      </c>
      <c r="B48" s="38">
        <f>B$47/B$11</f>
        <v>0.47927318054450652</v>
      </c>
      <c r="C48" s="38">
        <f t="shared" ref="C48:Q48" si="15">C$47/C$11</f>
        <v>0.39097609378108361</v>
      </c>
      <c r="D48" s="38">
        <f t="shared" si="15"/>
        <v>0.27583450301638796</v>
      </c>
      <c r="E48" s="38">
        <f t="shared" si="15"/>
        <v>0.31066051470219108</v>
      </c>
      <c r="F48" s="38">
        <f t="shared" si="15"/>
        <v>0.31856278327804932</v>
      </c>
      <c r="G48" s="38">
        <f t="shared" si="15"/>
        <v>0.35177363833890779</v>
      </c>
      <c r="H48" s="38">
        <f t="shared" si="15"/>
        <v>0.34527309747437479</v>
      </c>
      <c r="I48" s="38">
        <f t="shared" si="15"/>
        <v>0.40092712493334931</v>
      </c>
      <c r="J48" s="38">
        <f t="shared" si="15"/>
        <v>0.43874094304056643</v>
      </c>
      <c r="K48" s="38">
        <f t="shared" si="15"/>
        <v>0.44152314507341051</v>
      </c>
      <c r="L48" s="38">
        <f t="shared" si="15"/>
        <v>0.34705465985057016</v>
      </c>
      <c r="M48" s="38">
        <f t="shared" si="15"/>
        <v>0.44065119174722683</v>
      </c>
      <c r="N48" s="38">
        <f t="shared" si="15"/>
        <v>0.45725204213477</v>
      </c>
      <c r="O48" s="38">
        <f t="shared" si="15"/>
        <v>0.45669902719329464</v>
      </c>
      <c r="P48" s="38">
        <f t="shared" si="15"/>
        <v>0.43201745006629316</v>
      </c>
      <c r="Q48" s="38">
        <f t="shared" si="15"/>
        <v>0.41202470401382757</v>
      </c>
    </row>
    <row r="49" spans="1:17" x14ac:dyDescent="0.25">
      <c r="A49" s="11" t="s">
        <v>761</v>
      </c>
      <c r="B49" s="21">
        <v>44.668999999999997</v>
      </c>
      <c r="C49" s="21">
        <v>34.930999999999997</v>
      </c>
      <c r="D49" s="21">
        <v>23.370999999999999</v>
      </c>
      <c r="E49" s="21">
        <v>25.613</v>
      </c>
      <c r="F49" s="21">
        <v>28.675999999999998</v>
      </c>
      <c r="G49" s="21">
        <v>33.402000000000001</v>
      </c>
      <c r="H49" s="21">
        <v>36.619</v>
      </c>
      <c r="I49" s="21">
        <v>51.747999999999998</v>
      </c>
      <c r="J49" s="21">
        <v>62.521000000000001</v>
      </c>
      <c r="K49" s="21">
        <v>68.543999999999997</v>
      </c>
      <c r="L49" s="21">
        <v>47.116</v>
      </c>
      <c r="M49" s="21">
        <v>60.537999999999997</v>
      </c>
      <c r="N49" s="21">
        <v>45.283999999999999</v>
      </c>
      <c r="O49" s="21">
        <v>59.341000000000001</v>
      </c>
      <c r="P49" s="21">
        <v>65.040000000000006</v>
      </c>
      <c r="Q49" s="21">
        <v>62.939</v>
      </c>
    </row>
    <row r="50" spans="1:17" x14ac:dyDescent="0.25">
      <c r="A50" s="14" t="str">
        <f>$A$16</f>
        <v>As percentage of nominal GDP</v>
      </c>
      <c r="B50" s="38">
        <f t="shared" ref="B50:N50" si="16">B$49/B$11</f>
        <v>0.22634061808029265</v>
      </c>
      <c r="C50" s="38">
        <f t="shared" si="16"/>
        <v>0.1694881536363945</v>
      </c>
      <c r="D50" s="38">
        <f t="shared" si="16"/>
        <v>0.10862250067392334</v>
      </c>
      <c r="E50" s="38">
        <f t="shared" si="16"/>
        <v>0.11689188880826226</v>
      </c>
      <c r="F50" s="38">
        <f t="shared" si="16"/>
        <v>0.12101722668152161</v>
      </c>
      <c r="G50" s="38">
        <f t="shared" si="16"/>
        <v>0.1359097678279339</v>
      </c>
      <c r="H50" s="38">
        <f t="shared" si="16"/>
        <v>0.14148060287373421</v>
      </c>
      <c r="I50" s="38">
        <f t="shared" si="16"/>
        <v>0.18770289926040387</v>
      </c>
      <c r="J50" s="38">
        <f t="shared" si="16"/>
        <v>0.21158343232111979</v>
      </c>
      <c r="K50" s="38">
        <f t="shared" si="16"/>
        <v>0.22098564031801504</v>
      </c>
      <c r="L50" s="38">
        <f t="shared" si="16"/>
        <v>0.14822178529296107</v>
      </c>
      <c r="M50" s="38">
        <f t="shared" si="16"/>
        <v>0.17611618117234298</v>
      </c>
      <c r="N50" s="38">
        <f t="shared" si="16"/>
        <v>0.12396250793859362</v>
      </c>
      <c r="O50" s="38">
        <f>O$49/O$11</f>
        <v>0.14767798082259281</v>
      </c>
      <c r="P50" s="38">
        <f>P$49/P$11</f>
        <v>0.15454143677915116</v>
      </c>
      <c r="Q50" s="38">
        <f>Q$49/Q$11</f>
        <v>0.14466374453824776</v>
      </c>
    </row>
    <row r="51" spans="1:17" x14ac:dyDescent="0.25">
      <c r="A51" s="11" t="s">
        <v>762</v>
      </c>
      <c r="B51" s="21">
        <v>69.733000000000004</v>
      </c>
      <c r="C51" s="21">
        <v>90.245000000000005</v>
      </c>
      <c r="D51" s="21">
        <v>100.53400000000001</v>
      </c>
      <c r="E51" s="21">
        <v>100.087</v>
      </c>
      <c r="F51" s="21">
        <v>103.419</v>
      </c>
      <c r="G51" s="21">
        <v>112.58</v>
      </c>
      <c r="H51" s="21">
        <v>113.956</v>
      </c>
      <c r="I51" s="21">
        <v>111.806</v>
      </c>
      <c r="J51" s="21">
        <v>115.652</v>
      </c>
      <c r="K51" s="21">
        <v>110.248</v>
      </c>
      <c r="L51" s="21">
        <v>152.71700000000001</v>
      </c>
      <c r="M51" s="21">
        <v>162.56</v>
      </c>
      <c r="N51" s="21">
        <v>203.965</v>
      </c>
      <c r="O51" s="21">
        <v>226.755</v>
      </c>
      <c r="P51" s="21">
        <v>250.94300000000001</v>
      </c>
      <c r="Q51" s="21">
        <v>272.08499999999998</v>
      </c>
    </row>
    <row r="52" spans="1:17" x14ac:dyDescent="0.25">
      <c r="A52" s="14" t="str">
        <f>$A$16</f>
        <v>As percentage of nominal GDP</v>
      </c>
      <c r="B52" s="38">
        <f>B$51/B$11</f>
        <v>0.35334147441386754</v>
      </c>
      <c r="C52" s="38">
        <f t="shared" ref="C52:Q52" si="17">C$51/C$11</f>
        <v>0.43787633978175328</v>
      </c>
      <c r="D52" s="38">
        <f t="shared" si="17"/>
        <v>0.46725662071593904</v>
      </c>
      <c r="E52" s="38">
        <f t="shared" si="17"/>
        <v>0.45677423476955237</v>
      </c>
      <c r="F52" s="38">
        <f t="shared" si="17"/>
        <v>0.43644443319069204</v>
      </c>
      <c r="G52" s="38">
        <f t="shared" si="17"/>
        <v>0.45807800916318775</v>
      </c>
      <c r="H52" s="38">
        <f t="shared" si="17"/>
        <v>0.44027864171821335</v>
      </c>
      <c r="I52" s="38">
        <f t="shared" si="17"/>
        <v>0.40554824060270378</v>
      </c>
      <c r="J52" s="38">
        <f t="shared" si="17"/>
        <v>0.39138924704982558</v>
      </c>
      <c r="K52" s="38">
        <f t="shared" si="17"/>
        <v>0.35543920509133586</v>
      </c>
      <c r="L52" s="38">
        <f t="shared" si="17"/>
        <v>0.48043098702320097</v>
      </c>
      <c r="M52" s="38">
        <f t="shared" si="17"/>
        <v>0.47291695152426699</v>
      </c>
      <c r="N52" s="38">
        <f t="shared" si="17"/>
        <v>0.5583431881391937</v>
      </c>
      <c r="O52" s="38">
        <f t="shared" si="17"/>
        <v>0.56431001401100478</v>
      </c>
      <c r="P52" s="38">
        <f t="shared" si="17"/>
        <v>0.59626524861117058</v>
      </c>
      <c r="Q52" s="38">
        <f t="shared" si="17"/>
        <v>0.62538068499164501</v>
      </c>
    </row>
    <row r="53" spans="1:17" x14ac:dyDescent="0.25">
      <c r="A53" s="12"/>
    </row>
    <row r="54" spans="1:17" ht="16.5" x14ac:dyDescent="0.25">
      <c r="A54" s="63" t="s">
        <v>763</v>
      </c>
      <c r="B54" s="12"/>
      <c r="C54" s="12"/>
      <c r="D54" s="12"/>
      <c r="E54" s="12"/>
      <c r="F54" s="12"/>
      <c r="G54" s="12"/>
      <c r="H54" s="12"/>
      <c r="I54" s="12"/>
      <c r="J54" s="12"/>
      <c r="K54" s="12"/>
      <c r="L54" s="12"/>
      <c r="M54" s="12"/>
      <c r="N54" s="12"/>
      <c r="O54" s="12"/>
      <c r="P54" s="12"/>
      <c r="Q54" s="12"/>
    </row>
    <row r="55" spans="1:17" x14ac:dyDescent="0.25">
      <c r="A55" s="12" t="s">
        <v>764</v>
      </c>
      <c r="B55" s="20">
        <v>20.814</v>
      </c>
      <c r="C55" s="20">
        <v>21.724</v>
      </c>
      <c r="D55" s="20">
        <v>21.956</v>
      </c>
      <c r="E55" s="20">
        <v>22.459</v>
      </c>
      <c r="F55" s="20">
        <v>23.026</v>
      </c>
      <c r="G55" s="20">
        <v>23.523</v>
      </c>
      <c r="H55" s="20">
        <v>24.081</v>
      </c>
      <c r="I55" s="20">
        <v>25.294</v>
      </c>
      <c r="J55" s="20">
        <v>25.998999999999999</v>
      </c>
      <c r="K55" s="20">
        <v>28.74</v>
      </c>
      <c r="L55" s="20">
        <v>44.027999999999999</v>
      </c>
      <c r="M55" s="20">
        <v>36.759</v>
      </c>
      <c r="N55" s="20">
        <v>42.86</v>
      </c>
      <c r="O55" s="20">
        <v>41.514000000000003</v>
      </c>
      <c r="P55" s="20">
        <v>44.588999999999999</v>
      </c>
      <c r="Q55" s="20">
        <v>47.503</v>
      </c>
    </row>
    <row r="56" spans="1:17" x14ac:dyDescent="0.25">
      <c r="A56" s="12" t="s">
        <v>445</v>
      </c>
      <c r="B56" s="20">
        <v>13.128</v>
      </c>
      <c r="C56" s="20">
        <v>13.753</v>
      </c>
      <c r="D56" s="20">
        <v>14.16</v>
      </c>
      <c r="E56" s="20">
        <v>14.497999999999999</v>
      </c>
      <c r="F56" s="20">
        <v>14.898</v>
      </c>
      <c r="G56" s="20">
        <v>15.058</v>
      </c>
      <c r="H56" s="20">
        <v>15.625999999999999</v>
      </c>
      <c r="I56" s="20">
        <v>16.222999999999999</v>
      </c>
      <c r="J56" s="20">
        <v>17.158999999999999</v>
      </c>
      <c r="K56" s="20">
        <v>18.268000000000001</v>
      </c>
      <c r="L56" s="20">
        <v>19.890999999999998</v>
      </c>
      <c r="M56" s="20">
        <v>22.783999999999999</v>
      </c>
      <c r="N56" s="20">
        <v>27.780999999999999</v>
      </c>
      <c r="O56" s="20">
        <v>28.489000000000001</v>
      </c>
      <c r="P56" s="20">
        <v>29.998999999999999</v>
      </c>
      <c r="Q56" s="20">
        <v>30.311</v>
      </c>
    </row>
    <row r="57" spans="1:17" x14ac:dyDescent="0.25">
      <c r="A57" s="12" t="s">
        <v>468</v>
      </c>
      <c r="B57" s="20">
        <v>11.724</v>
      </c>
      <c r="C57" s="20">
        <v>11.65</v>
      </c>
      <c r="D57" s="20">
        <v>11.654</v>
      </c>
      <c r="E57" s="20">
        <v>12.504</v>
      </c>
      <c r="F57" s="20">
        <v>12.3</v>
      </c>
      <c r="G57" s="20">
        <v>12.879</v>
      </c>
      <c r="H57" s="20">
        <v>13.157999999999999</v>
      </c>
      <c r="I57" s="20">
        <v>13.281000000000001</v>
      </c>
      <c r="J57" s="20">
        <v>13.629</v>
      </c>
      <c r="K57" s="20">
        <v>14.292999999999999</v>
      </c>
      <c r="L57" s="20">
        <v>16.321999999999999</v>
      </c>
      <c r="M57" s="20">
        <v>16.039000000000001</v>
      </c>
      <c r="N57" s="20">
        <v>18.023</v>
      </c>
      <c r="O57" s="20">
        <v>18.402999999999999</v>
      </c>
      <c r="P57" s="20">
        <v>20.222999999999999</v>
      </c>
      <c r="Q57" s="20">
        <v>20.895</v>
      </c>
    </row>
    <row r="58" spans="1:17" x14ac:dyDescent="0.25">
      <c r="A58" s="12" t="s">
        <v>718</v>
      </c>
      <c r="B58" s="20">
        <v>2.9740000000000002</v>
      </c>
      <c r="C58" s="20">
        <v>5.5629999999999997</v>
      </c>
      <c r="D58" s="20">
        <v>5.4279999999999999</v>
      </c>
      <c r="E58" s="20">
        <v>4.2939999999999996</v>
      </c>
      <c r="F58" s="20">
        <v>4.5019999999999998</v>
      </c>
      <c r="G58" s="20">
        <v>4.1340000000000003</v>
      </c>
      <c r="H58" s="20">
        <v>4.1020000000000003</v>
      </c>
      <c r="I58" s="20">
        <v>3.9569999999999999</v>
      </c>
      <c r="J58" s="20">
        <v>4.67</v>
      </c>
      <c r="K58" s="20">
        <v>5.1660000000000004</v>
      </c>
      <c r="L58" s="20">
        <v>6.0830000000000002</v>
      </c>
      <c r="M58" s="20">
        <v>5.7539999999999996</v>
      </c>
      <c r="N58" s="20">
        <v>5.72</v>
      </c>
      <c r="O58" s="20">
        <v>6.806</v>
      </c>
      <c r="P58" s="20">
        <v>8.468</v>
      </c>
      <c r="Q58" s="20">
        <v>7.9080000000000004</v>
      </c>
    </row>
    <row r="59" spans="1:17" x14ac:dyDescent="0.25">
      <c r="A59" s="12" t="s">
        <v>765</v>
      </c>
      <c r="B59" s="20">
        <v>3.1030000000000002</v>
      </c>
      <c r="C59" s="20">
        <v>3.3119999999999998</v>
      </c>
      <c r="D59" s="20">
        <v>3.3380000000000001</v>
      </c>
      <c r="E59" s="20">
        <v>3.3940000000000001</v>
      </c>
      <c r="F59" s="20">
        <v>3.4630000000000001</v>
      </c>
      <c r="G59" s="20">
        <v>3.5150000000000001</v>
      </c>
      <c r="H59" s="20">
        <v>3.6480000000000001</v>
      </c>
      <c r="I59" s="20">
        <v>3.8820000000000001</v>
      </c>
      <c r="J59" s="20">
        <v>4.1840000000000002</v>
      </c>
      <c r="K59" s="20">
        <v>4.625</v>
      </c>
      <c r="L59" s="20">
        <v>4.9109999999999996</v>
      </c>
      <c r="M59" s="20">
        <v>5.202</v>
      </c>
      <c r="N59" s="20">
        <v>5.444</v>
      </c>
      <c r="O59" s="20">
        <v>6.165</v>
      </c>
      <c r="P59" s="20">
        <v>6.5270000000000001</v>
      </c>
      <c r="Q59" s="20">
        <v>6.734</v>
      </c>
    </row>
    <row r="60" spans="1:17" x14ac:dyDescent="0.25">
      <c r="A60" s="12" t="s">
        <v>766</v>
      </c>
      <c r="B60" s="20">
        <v>2.3450000000000002</v>
      </c>
      <c r="C60" s="20">
        <v>2.2810000000000001</v>
      </c>
      <c r="D60" s="20">
        <v>2.2320000000000002</v>
      </c>
      <c r="E60" s="20">
        <v>2.2549999999999999</v>
      </c>
      <c r="F60" s="20">
        <v>2.2370000000000001</v>
      </c>
      <c r="G60" s="20">
        <v>2.2909999999999999</v>
      </c>
      <c r="H60" s="20">
        <v>2.1779999999999999</v>
      </c>
      <c r="I60" s="20">
        <v>2.1760000000000002</v>
      </c>
      <c r="J60" s="20">
        <v>2.5590000000000002</v>
      </c>
      <c r="K60" s="20">
        <v>2.8889999999999998</v>
      </c>
      <c r="L60" s="20">
        <v>3.1789999999999998</v>
      </c>
      <c r="M60" s="20">
        <v>5.6559999999999997</v>
      </c>
      <c r="N60" s="20">
        <v>4.657</v>
      </c>
      <c r="O60" s="20">
        <v>5.4720000000000004</v>
      </c>
      <c r="P60" s="20">
        <v>5.4870000000000001</v>
      </c>
      <c r="Q60" s="20">
        <v>5.4720000000000004</v>
      </c>
    </row>
    <row r="61" spans="1:17" x14ac:dyDescent="0.25">
      <c r="A61" s="12" t="s">
        <v>720</v>
      </c>
      <c r="B61" s="20">
        <v>2.806</v>
      </c>
      <c r="C61" s="20">
        <v>2.5419999999999998</v>
      </c>
      <c r="D61" s="20">
        <v>2.073</v>
      </c>
      <c r="E61" s="20">
        <v>1.978</v>
      </c>
      <c r="F61" s="20">
        <v>2.0579999999999998</v>
      </c>
      <c r="G61" s="20">
        <v>2.2280000000000002</v>
      </c>
      <c r="H61" s="20">
        <v>2.1070000000000002</v>
      </c>
      <c r="I61" s="20">
        <v>2.544</v>
      </c>
      <c r="J61" s="20">
        <v>2.7320000000000002</v>
      </c>
      <c r="K61" s="20">
        <v>3.0059999999999998</v>
      </c>
      <c r="L61" s="20">
        <v>3.988</v>
      </c>
      <c r="M61" s="20">
        <v>4.4809999999999999</v>
      </c>
      <c r="N61" s="20">
        <v>8.0779999999999994</v>
      </c>
      <c r="O61" s="20">
        <v>3.69</v>
      </c>
      <c r="P61" s="20">
        <v>4.01</v>
      </c>
      <c r="Q61" s="20">
        <v>3.5139999999999998</v>
      </c>
    </row>
    <row r="62" spans="1:17" x14ac:dyDescent="0.25">
      <c r="A62" s="12" t="s">
        <v>767</v>
      </c>
      <c r="B62" s="20">
        <v>1.8140000000000001</v>
      </c>
      <c r="C62" s="20">
        <v>1.8089999999999999</v>
      </c>
      <c r="D62" s="20">
        <v>1.736</v>
      </c>
      <c r="E62" s="20">
        <v>1.804</v>
      </c>
      <c r="F62" s="20">
        <v>1.8109999999999999</v>
      </c>
      <c r="G62" s="20">
        <v>1.9610000000000001</v>
      </c>
      <c r="H62" s="20">
        <v>2.0259999999999998</v>
      </c>
      <c r="I62" s="20">
        <v>2.1459999999999999</v>
      </c>
      <c r="J62" s="20">
        <v>2.2509999999999999</v>
      </c>
      <c r="K62" s="20">
        <v>2.395</v>
      </c>
      <c r="L62" s="20">
        <v>2.4990000000000001</v>
      </c>
      <c r="M62" s="20">
        <v>2.6640000000000001</v>
      </c>
      <c r="N62" s="20">
        <v>2.8319999999999999</v>
      </c>
      <c r="O62" s="20">
        <v>2.8860000000000001</v>
      </c>
      <c r="P62" s="20">
        <v>3.1629999999999998</v>
      </c>
      <c r="Q62" s="20">
        <v>3.2709999999999999</v>
      </c>
    </row>
    <row r="63" spans="1:17" x14ac:dyDescent="0.25">
      <c r="A63" s="12" t="s">
        <v>722</v>
      </c>
      <c r="B63" s="20">
        <v>0.63</v>
      </c>
      <c r="C63" s="20">
        <v>0.74099999999999999</v>
      </c>
      <c r="D63" s="20">
        <v>0.86299999999999999</v>
      </c>
      <c r="E63" s="20">
        <v>0.80400000000000005</v>
      </c>
      <c r="F63" s="20">
        <v>0.84199999999999997</v>
      </c>
      <c r="G63" s="20">
        <v>0.77800000000000002</v>
      </c>
      <c r="H63" s="20">
        <v>0.78700000000000003</v>
      </c>
      <c r="I63" s="20">
        <v>0.85</v>
      </c>
      <c r="J63" s="20">
        <v>0.85</v>
      </c>
      <c r="K63" s="20">
        <v>0.91800000000000004</v>
      </c>
      <c r="L63" s="20">
        <v>1.1060000000000001</v>
      </c>
      <c r="M63" s="20">
        <v>1.42</v>
      </c>
      <c r="N63" s="20">
        <v>1.468</v>
      </c>
      <c r="O63" s="20">
        <v>1.5369999999999999</v>
      </c>
      <c r="P63" s="20">
        <v>1.504</v>
      </c>
      <c r="Q63" s="20">
        <v>1.4570000000000001</v>
      </c>
    </row>
    <row r="64" spans="1:17" x14ac:dyDescent="0.25">
      <c r="A64" s="12" t="s">
        <v>723</v>
      </c>
      <c r="B64" s="20">
        <v>0.50700000000000001</v>
      </c>
      <c r="C64" s="20">
        <v>0.70599999999999996</v>
      </c>
      <c r="D64" s="20">
        <v>0.64800000000000002</v>
      </c>
      <c r="E64" s="20">
        <v>0.65900000000000003</v>
      </c>
      <c r="F64" s="20">
        <v>0.67600000000000005</v>
      </c>
      <c r="G64" s="20">
        <v>0.66700000000000004</v>
      </c>
      <c r="H64" s="20">
        <v>0.749</v>
      </c>
      <c r="I64" s="20">
        <v>0.64400000000000002</v>
      </c>
      <c r="J64" s="20">
        <v>0.80700000000000005</v>
      </c>
      <c r="K64" s="20">
        <v>0.96</v>
      </c>
      <c r="L64" s="20">
        <v>0.96099999999999997</v>
      </c>
      <c r="M64" s="20">
        <v>1.0149999999999999</v>
      </c>
      <c r="N64" s="20">
        <v>0.94899999999999995</v>
      </c>
      <c r="O64" s="20">
        <v>1.1559999999999999</v>
      </c>
      <c r="P64" s="20">
        <v>1.0620000000000001</v>
      </c>
      <c r="Q64" s="20">
        <v>0.996</v>
      </c>
    </row>
    <row r="65" spans="1:17" x14ac:dyDescent="0.25">
      <c r="A65" s="12" t="s">
        <v>724</v>
      </c>
      <c r="B65" s="20">
        <v>0.33900000000000002</v>
      </c>
      <c r="C65" s="20">
        <v>0.94299999999999995</v>
      </c>
      <c r="D65" s="20">
        <v>-4.5999999999999999E-2</v>
      </c>
      <c r="E65" s="20">
        <v>0.28299999999999997</v>
      </c>
      <c r="F65" s="20">
        <v>0.34699999999999998</v>
      </c>
      <c r="G65" s="20">
        <v>0.32</v>
      </c>
      <c r="H65" s="20">
        <v>0.55800000000000005</v>
      </c>
      <c r="I65" s="20">
        <v>0.53900000000000003</v>
      </c>
      <c r="J65" s="20">
        <v>0.55200000000000005</v>
      </c>
      <c r="K65" s="20">
        <v>0.72699999999999998</v>
      </c>
      <c r="L65" s="20">
        <v>1.0149999999999999</v>
      </c>
      <c r="M65" s="20">
        <v>1.8129999999999999</v>
      </c>
      <c r="N65" s="20">
        <v>2.0329999999999999</v>
      </c>
      <c r="O65" s="20">
        <v>2.3119999999999998</v>
      </c>
      <c r="P65" s="20">
        <v>2.512</v>
      </c>
      <c r="Q65" s="20">
        <v>2.15</v>
      </c>
    </row>
    <row r="66" spans="1:17" x14ac:dyDescent="0.25">
      <c r="A66" s="12" t="s">
        <v>725</v>
      </c>
      <c r="B66" s="20">
        <v>0.65100000000000002</v>
      </c>
      <c r="C66" s="20">
        <v>1.2250000000000001</v>
      </c>
      <c r="D66" s="20">
        <v>0.76900000000000002</v>
      </c>
      <c r="E66" s="20">
        <v>0.53</v>
      </c>
      <c r="F66" s="20">
        <v>0.53300000000000003</v>
      </c>
      <c r="G66" s="20">
        <v>0.72299999999999998</v>
      </c>
      <c r="H66" s="20">
        <v>0.58699999999999997</v>
      </c>
      <c r="I66" s="20">
        <v>0.871</v>
      </c>
      <c r="J66" s="20">
        <v>1.238</v>
      </c>
      <c r="K66" s="20">
        <v>1.119</v>
      </c>
      <c r="L66" s="20">
        <v>1.4850000000000001</v>
      </c>
      <c r="M66" s="20">
        <v>1.9059999999999999</v>
      </c>
      <c r="N66" s="20">
        <v>2.5489999999999999</v>
      </c>
      <c r="O66" s="20">
        <v>2.3809999999999998</v>
      </c>
      <c r="P66" s="20">
        <v>2.2970000000000002</v>
      </c>
      <c r="Q66" s="20">
        <v>2.41</v>
      </c>
    </row>
    <row r="67" spans="1:17" x14ac:dyDescent="0.25">
      <c r="A67" s="12" t="s">
        <v>768</v>
      </c>
      <c r="B67" s="20">
        <v>0.32800000000000001</v>
      </c>
      <c r="C67" s="20">
        <v>0.30499999999999999</v>
      </c>
      <c r="D67" s="20">
        <v>0.192</v>
      </c>
      <c r="E67" s="20">
        <v>0.27800000000000002</v>
      </c>
      <c r="F67" s="20">
        <v>0.28199999999999997</v>
      </c>
      <c r="G67" s="20">
        <v>0.35799999999999998</v>
      </c>
      <c r="H67" s="20">
        <v>0.27100000000000002</v>
      </c>
      <c r="I67" s="20">
        <v>0.217</v>
      </c>
      <c r="J67" s="20">
        <v>0.15</v>
      </c>
      <c r="K67" s="20">
        <v>6.6000000000000003E-2</v>
      </c>
      <c r="L67" s="20">
        <v>7.2999999999999995E-2</v>
      </c>
      <c r="M67" s="20">
        <v>9.9000000000000005E-2</v>
      </c>
      <c r="N67" s="20">
        <v>9.4E-2</v>
      </c>
      <c r="O67" s="20">
        <v>6.0999999999999999E-2</v>
      </c>
      <c r="P67" s="20">
        <v>6.9000000000000006E-2</v>
      </c>
      <c r="Q67" s="20">
        <v>6.5000000000000002E-2</v>
      </c>
    </row>
    <row r="68" spans="1:17" x14ac:dyDescent="0.25">
      <c r="A68" s="12" t="s">
        <v>769</v>
      </c>
      <c r="B68" s="20">
        <v>0.08</v>
      </c>
      <c r="C68" s="20">
        <v>0.47899999999999998</v>
      </c>
      <c r="D68" s="20">
        <v>0.42499999999999999</v>
      </c>
      <c r="E68" s="20">
        <v>0.60299999999999998</v>
      </c>
      <c r="F68" s="20">
        <v>0.57899999999999996</v>
      </c>
      <c r="G68" s="20">
        <v>0.14499999999999999</v>
      </c>
      <c r="H68" s="20">
        <v>0.46100000000000002</v>
      </c>
      <c r="I68" s="20">
        <v>0.18099999999999999</v>
      </c>
      <c r="J68" s="20">
        <v>0.29899999999999999</v>
      </c>
      <c r="K68" s="20">
        <v>9.6000000000000002E-2</v>
      </c>
      <c r="L68" s="20">
        <v>6.3E-2</v>
      </c>
      <c r="M68" s="20">
        <v>0.254</v>
      </c>
      <c r="N68" s="20">
        <v>0.26900000000000002</v>
      </c>
      <c r="O68" s="20">
        <v>0.13300000000000001</v>
      </c>
      <c r="P68" s="20">
        <v>0.14499999999999999</v>
      </c>
      <c r="Q68" s="20">
        <v>0.127</v>
      </c>
    </row>
    <row r="69" spans="1:17" x14ac:dyDescent="0.25">
      <c r="A69" s="12" t="s">
        <v>770</v>
      </c>
      <c r="B69" s="20">
        <v>2.3109999999999999</v>
      </c>
      <c r="C69" s="20">
        <v>3.0659999999999998</v>
      </c>
      <c r="D69" s="20">
        <v>3.5110000000000001</v>
      </c>
      <c r="E69" s="20">
        <v>3.6190000000000002</v>
      </c>
      <c r="F69" s="20">
        <v>3.62</v>
      </c>
      <c r="G69" s="20">
        <v>3.7829999999999999</v>
      </c>
      <c r="H69" s="20">
        <v>3.59</v>
      </c>
      <c r="I69" s="20">
        <v>3.5339999999999998</v>
      </c>
      <c r="J69" s="20">
        <v>3.4969999999999999</v>
      </c>
      <c r="K69" s="20">
        <v>3.6909999999999998</v>
      </c>
      <c r="L69" s="20">
        <v>3.2280000000000002</v>
      </c>
      <c r="M69" s="20">
        <v>1.9179999999999999</v>
      </c>
      <c r="N69" s="20">
        <v>2.8839999999999999</v>
      </c>
      <c r="O69" s="20">
        <v>6.569</v>
      </c>
      <c r="P69" s="20">
        <v>8.9429999999999996</v>
      </c>
      <c r="Q69" s="20">
        <v>8.8620000000000001</v>
      </c>
    </row>
    <row r="70" spans="1:17" x14ac:dyDescent="0.25">
      <c r="A70" s="11" t="s">
        <v>771</v>
      </c>
      <c r="B70" s="59">
        <f>SUM(B$55:B$69)</f>
        <v>63.554000000000002</v>
      </c>
      <c r="C70" s="59">
        <f t="shared" ref="C70:Q70" si="18">SUM(C$55:C$69)</f>
        <v>70.099000000000004</v>
      </c>
      <c r="D70" s="59">
        <f t="shared" si="18"/>
        <v>68.938999999999979</v>
      </c>
      <c r="E70" s="59">
        <f t="shared" si="18"/>
        <v>69.962000000000003</v>
      </c>
      <c r="F70" s="59">
        <f t="shared" si="18"/>
        <v>71.174000000000007</v>
      </c>
      <c r="G70" s="59">
        <f t="shared" si="18"/>
        <v>72.363</v>
      </c>
      <c r="H70" s="59">
        <f t="shared" si="18"/>
        <v>73.929000000000016</v>
      </c>
      <c r="I70" s="59">
        <f t="shared" si="18"/>
        <v>76.338999999999984</v>
      </c>
      <c r="J70" s="59">
        <f t="shared" si="18"/>
        <v>80.576000000000022</v>
      </c>
      <c r="K70" s="59">
        <f t="shared" si="18"/>
        <v>86.959000000000003</v>
      </c>
      <c r="L70" s="59">
        <f t="shared" si="18"/>
        <v>108.83199999999998</v>
      </c>
      <c r="M70" s="59">
        <f t="shared" si="18"/>
        <v>107.76400000000002</v>
      </c>
      <c r="N70" s="59">
        <f t="shared" si="18"/>
        <v>125.64099999999999</v>
      </c>
      <c r="O70" s="59">
        <f t="shared" si="18"/>
        <v>127.57400000000001</v>
      </c>
      <c r="P70" s="59">
        <f t="shared" si="18"/>
        <v>138.99800000000002</v>
      </c>
      <c r="Q70" s="59">
        <f t="shared" si="18"/>
        <v>141.67499999999998</v>
      </c>
    </row>
    <row r="71" spans="1:17" x14ac:dyDescent="0.25">
      <c r="A71" s="14" t="str">
        <f>$A$16</f>
        <v>As percentage of nominal GDP</v>
      </c>
      <c r="B71" s="38">
        <f>B$70/B$11</f>
        <v>0.32203209477433836</v>
      </c>
      <c r="C71" s="38">
        <f t="shared" ref="C71:Q71" si="19">C$70/C$11</f>
        <v>0.34012625123121637</v>
      </c>
      <c r="D71" s="38">
        <f t="shared" si="19"/>
        <v>0.32041104676563265</v>
      </c>
      <c r="E71" s="38">
        <f t="shared" si="19"/>
        <v>0.31929060730112224</v>
      </c>
      <c r="F71" s="38">
        <f t="shared" si="19"/>
        <v>0.30036546560993932</v>
      </c>
      <c r="G71" s="38">
        <f t="shared" si="19"/>
        <v>0.29443861233856594</v>
      </c>
      <c r="H71" s="38">
        <f t="shared" si="19"/>
        <v>0.28563094267599598</v>
      </c>
      <c r="I71" s="38">
        <f t="shared" si="19"/>
        <v>0.27690058797711931</v>
      </c>
      <c r="J71" s="38">
        <f t="shared" si="19"/>
        <v>0.27268512408161338</v>
      </c>
      <c r="K71" s="38">
        <f t="shared" si="19"/>
        <v>0.28035554237299065</v>
      </c>
      <c r="L71" s="38">
        <f t="shared" si="19"/>
        <v>0.34237357451828543</v>
      </c>
      <c r="M71" s="38">
        <f t="shared" si="19"/>
        <v>0.31350530489702955</v>
      </c>
      <c r="N71" s="38">
        <f t="shared" si="19"/>
        <v>0.34393546197139918</v>
      </c>
      <c r="O71" s="38">
        <f t="shared" si="19"/>
        <v>0.31748488777508732</v>
      </c>
      <c r="P71" s="38">
        <f t="shared" si="19"/>
        <v>0.33027291865664909</v>
      </c>
      <c r="Q71" s="38">
        <f t="shared" si="19"/>
        <v>0.32563650530603044</v>
      </c>
    </row>
  </sheetData>
  <phoneticPr fontId="3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8C6B7-3AA1-497D-B969-DB05564511DA}">
  <dimension ref="A1:AC21"/>
  <sheetViews>
    <sheetView zoomScaleNormal="100" workbookViewId="0">
      <pane xSplit="2" ySplit="5" topLeftCell="N6" activePane="bottomRight" state="frozen"/>
      <selection activeCell="AB17" sqref="AB17"/>
      <selection pane="topRight" activeCell="AB17" sqref="AB17"/>
      <selection pane="bottomLeft" activeCell="AB17" sqref="AB17"/>
      <selection pane="bottomRight"/>
    </sheetView>
  </sheetViews>
  <sheetFormatPr defaultRowHeight="15" x14ac:dyDescent="0.25"/>
  <cols>
    <col min="1" max="1" width="85.7109375" customWidth="1"/>
    <col min="2" max="2" width="5.7109375" customWidth="1"/>
    <col min="3" max="29" width="10.7109375" customWidth="1"/>
  </cols>
  <sheetData>
    <row r="1" spans="1:29" x14ac:dyDescent="0.25">
      <c r="A1" s="11" t="s">
        <v>772</v>
      </c>
      <c r="B1" s="11"/>
    </row>
    <row r="2" spans="1:29" x14ac:dyDescent="0.25">
      <c r="A2" s="14" t="s">
        <v>773</v>
      </c>
      <c r="B2" s="14"/>
    </row>
    <row r="3" spans="1:29" x14ac:dyDescent="0.25">
      <c r="A3" s="12"/>
      <c r="B3" s="12"/>
      <c r="Y3" s="64" t="s">
        <v>1452</v>
      </c>
    </row>
    <row r="4" spans="1:29" x14ac:dyDescent="0.25">
      <c r="A4" s="11" t="s">
        <v>341</v>
      </c>
      <c r="B4" s="11"/>
      <c r="C4" s="15" t="s">
        <v>774</v>
      </c>
      <c r="D4" s="15" t="s">
        <v>342</v>
      </c>
      <c r="E4" s="15" t="s">
        <v>343</v>
      </c>
      <c r="F4" s="15" t="s">
        <v>344</v>
      </c>
      <c r="G4" s="15" t="s">
        <v>345</v>
      </c>
      <c r="H4" s="15" t="s">
        <v>346</v>
      </c>
      <c r="I4" s="15" t="s">
        <v>347</v>
      </c>
      <c r="J4" s="15" t="s">
        <v>348</v>
      </c>
      <c r="K4" s="15" t="s">
        <v>349</v>
      </c>
      <c r="L4" s="15" t="s">
        <v>350</v>
      </c>
      <c r="M4" s="15" t="s">
        <v>351</v>
      </c>
      <c r="N4" s="15" t="s">
        <v>352</v>
      </c>
      <c r="O4" s="15" t="s">
        <v>353</v>
      </c>
      <c r="P4" s="15" t="s">
        <v>354</v>
      </c>
      <c r="Q4" s="15" t="s">
        <v>355</v>
      </c>
      <c r="R4" s="15" t="s">
        <v>356</v>
      </c>
      <c r="S4" s="15" t="s">
        <v>357</v>
      </c>
      <c r="T4" s="15" t="s">
        <v>358</v>
      </c>
      <c r="U4" s="15" t="s">
        <v>359</v>
      </c>
      <c r="V4" s="15" t="s">
        <v>360</v>
      </c>
      <c r="W4" s="15" t="s">
        <v>361</v>
      </c>
      <c r="X4" s="15" t="s">
        <v>362</v>
      </c>
      <c r="Y4" s="65" t="s">
        <v>363</v>
      </c>
      <c r="Z4" s="65" t="s">
        <v>364</v>
      </c>
      <c r="AA4" s="65" t="s">
        <v>365</v>
      </c>
      <c r="AB4" s="65" t="s">
        <v>366</v>
      </c>
      <c r="AC4" s="65" t="s">
        <v>367</v>
      </c>
    </row>
    <row r="5" spans="1:29" x14ac:dyDescent="0.25">
      <c r="A5" s="12"/>
      <c r="B5" s="12"/>
      <c r="C5" s="11">
        <v>2005</v>
      </c>
      <c r="D5" s="11">
        <v>2006</v>
      </c>
      <c r="E5" s="11">
        <v>2007</v>
      </c>
      <c r="F5" s="11">
        <v>2008</v>
      </c>
      <c r="G5" s="11">
        <v>2009</v>
      </c>
      <c r="H5" s="11">
        <v>2010</v>
      </c>
      <c r="I5" s="11">
        <v>2011</v>
      </c>
      <c r="J5" s="11">
        <v>2012</v>
      </c>
      <c r="K5" s="11">
        <v>2013</v>
      </c>
      <c r="L5" s="11">
        <v>2014</v>
      </c>
      <c r="M5" s="11">
        <v>2015</v>
      </c>
      <c r="N5" s="11">
        <v>2016</v>
      </c>
      <c r="O5" s="11">
        <v>2017</v>
      </c>
      <c r="P5" s="11">
        <v>2018</v>
      </c>
      <c r="Q5" s="11">
        <v>2019</v>
      </c>
      <c r="R5" s="11">
        <v>2020</v>
      </c>
      <c r="S5" s="11">
        <v>2021</v>
      </c>
      <c r="T5" s="11">
        <v>2022</v>
      </c>
      <c r="U5" s="11">
        <v>2023</v>
      </c>
      <c r="V5" s="11">
        <v>2024</v>
      </c>
      <c r="W5" s="11">
        <v>2025</v>
      </c>
      <c r="X5" s="11">
        <v>2026</v>
      </c>
      <c r="Y5" s="64">
        <v>2027</v>
      </c>
      <c r="Z5" s="64">
        <v>2028</v>
      </c>
      <c r="AA5" s="64">
        <v>2029</v>
      </c>
      <c r="AB5" s="64">
        <v>2030</v>
      </c>
      <c r="AC5" s="64">
        <v>2031</v>
      </c>
    </row>
    <row r="6" spans="1:29" x14ac:dyDescent="0.25">
      <c r="A6" s="11" t="s">
        <v>775</v>
      </c>
      <c r="B6" s="11"/>
      <c r="C6" s="20">
        <v>181.41300000000001</v>
      </c>
      <c r="D6" s="20">
        <v>186.89400000000001</v>
      </c>
      <c r="E6" s="20">
        <v>192.76300000000001</v>
      </c>
      <c r="F6" s="20">
        <v>197.03899999999999</v>
      </c>
      <c r="G6" s="20">
        <v>193.91200000000001</v>
      </c>
      <c r="H6" s="20">
        <v>196.09100000000001</v>
      </c>
      <c r="I6" s="20">
        <v>197.965</v>
      </c>
      <c r="J6" s="20">
        <v>203.26300000000001</v>
      </c>
      <c r="K6" s="20">
        <v>207.66499999999999</v>
      </c>
      <c r="L6" s="20">
        <v>213.333</v>
      </c>
      <c r="M6" s="20">
        <v>222.072</v>
      </c>
      <c r="N6" s="20">
        <v>230.44900000000001</v>
      </c>
      <c r="O6" s="20">
        <v>238.57300000000001</v>
      </c>
      <c r="P6" s="20">
        <v>246.684</v>
      </c>
      <c r="Q6" s="20">
        <v>254.292</v>
      </c>
      <c r="R6" s="20">
        <v>252.36600000000001</v>
      </c>
      <c r="S6" s="20">
        <v>268.197</v>
      </c>
      <c r="T6" s="20">
        <v>269.44099999999997</v>
      </c>
      <c r="U6" s="20">
        <v>280.19900000000001</v>
      </c>
      <c r="V6" s="20">
        <v>283.19900000000001</v>
      </c>
      <c r="W6" s="20">
        <v>280.02600000000001</v>
      </c>
      <c r="X6" s="20">
        <v>284.452</v>
      </c>
      <c r="Y6" s="48">
        <v>290.95600000000002</v>
      </c>
      <c r="Z6" s="48">
        <v>299.44799999999998</v>
      </c>
      <c r="AA6" s="48">
        <v>307.44</v>
      </c>
      <c r="AB6" s="48">
        <v>315.48</v>
      </c>
      <c r="AC6" s="48">
        <v>323.28500000000003</v>
      </c>
    </row>
    <row r="7" spans="1:29" x14ac:dyDescent="0.25">
      <c r="A7" s="11" t="s">
        <v>776</v>
      </c>
      <c r="B7" s="11"/>
      <c r="C7" s="20">
        <v>156.81</v>
      </c>
      <c r="D7" s="20">
        <v>164.46299999999999</v>
      </c>
      <c r="E7" s="20">
        <v>175.358</v>
      </c>
      <c r="F7" s="20">
        <v>188.90199999999999</v>
      </c>
      <c r="G7" s="20">
        <v>189.821</v>
      </c>
      <c r="H7" s="20">
        <v>197.35300000000001</v>
      </c>
      <c r="I7" s="20">
        <v>206.09700000000001</v>
      </c>
      <c r="J7" s="20">
        <v>215.15799999999999</v>
      </c>
      <c r="K7" s="20">
        <v>219.11699999999999</v>
      </c>
      <c r="L7" s="20">
        <v>236.958</v>
      </c>
      <c r="M7" s="20">
        <v>245.76599999999999</v>
      </c>
      <c r="N7" s="20">
        <v>258.827</v>
      </c>
      <c r="O7" s="20">
        <v>275.69099999999997</v>
      </c>
      <c r="P7" s="20">
        <v>295.49099999999999</v>
      </c>
      <c r="Q7" s="20">
        <v>310.17399999999998</v>
      </c>
      <c r="R7" s="20">
        <v>317.875</v>
      </c>
      <c r="S7" s="20">
        <v>343.73899999999998</v>
      </c>
      <c r="T7" s="20">
        <v>365.30399999999997</v>
      </c>
      <c r="U7" s="20">
        <v>401.827</v>
      </c>
      <c r="V7" s="20">
        <v>420.858</v>
      </c>
      <c r="W7" s="20">
        <v>435.07100000000003</v>
      </c>
      <c r="X7" s="20">
        <v>455.88200000000001</v>
      </c>
      <c r="Y7" s="48">
        <v>480.11900000000003</v>
      </c>
      <c r="Z7" s="48">
        <v>507.50099999999998</v>
      </c>
      <c r="AA7" s="48">
        <v>532.34699999999998</v>
      </c>
      <c r="AB7" s="48">
        <v>557.351</v>
      </c>
      <c r="AC7" s="48">
        <v>582.35799999999995</v>
      </c>
    </row>
    <row r="8" spans="1:29" x14ac:dyDescent="0.25">
      <c r="A8" s="11" t="s">
        <v>777</v>
      </c>
      <c r="B8" s="11"/>
      <c r="C8" s="20">
        <v>2.1385000000000001</v>
      </c>
      <c r="D8" s="20">
        <v>2.1983000000000001</v>
      </c>
      <c r="E8" s="20">
        <v>2.2328000000000001</v>
      </c>
      <c r="F8" s="20">
        <v>2.2585000000000002</v>
      </c>
      <c r="G8" s="20">
        <v>2.2808000000000002</v>
      </c>
      <c r="H8" s="20">
        <v>2.2854999999999999</v>
      </c>
      <c r="I8" s="20">
        <v>2.3130000000000002</v>
      </c>
      <c r="J8" s="20">
        <v>2.3353000000000002</v>
      </c>
      <c r="K8" s="20">
        <v>2.3384999999999998</v>
      </c>
      <c r="L8" s="20">
        <v>2.4015</v>
      </c>
      <c r="M8" s="20">
        <v>2.484</v>
      </c>
      <c r="N8" s="20">
        <v>2.5434999999999999</v>
      </c>
      <c r="O8" s="20">
        <v>2.6718000000000002</v>
      </c>
      <c r="P8" s="20">
        <v>2.7538</v>
      </c>
      <c r="Q8" s="20">
        <v>2.7928000000000002</v>
      </c>
      <c r="R8" s="20">
        <v>2.831</v>
      </c>
      <c r="S8" s="20">
        <v>2.8598000000000003</v>
      </c>
      <c r="T8" s="20">
        <v>2.8898000000000001</v>
      </c>
      <c r="U8" s="20">
        <v>2.9653</v>
      </c>
      <c r="V8" s="20">
        <v>3.0393000000000003</v>
      </c>
      <c r="W8" s="20">
        <v>3.0343</v>
      </c>
      <c r="X8" s="20">
        <v>3.0533000000000001</v>
      </c>
      <c r="Y8" s="48">
        <v>3.1035999999999997</v>
      </c>
      <c r="Z8" s="48">
        <v>3.1566999999999998</v>
      </c>
      <c r="AA8" s="48">
        <v>3.2050000000000001</v>
      </c>
      <c r="AB8" s="48">
        <v>3.2505999999999999</v>
      </c>
      <c r="AC8" s="48">
        <v>3.2938000000000001</v>
      </c>
    </row>
    <row r="9" spans="1:29" x14ac:dyDescent="0.25">
      <c r="A9" s="11" t="s">
        <v>778</v>
      </c>
      <c r="B9" s="11"/>
      <c r="C9" s="20">
        <v>3.1745999999999999</v>
      </c>
      <c r="D9" s="20">
        <v>3.2250999999999999</v>
      </c>
      <c r="E9" s="20">
        <v>3.2725999999999997</v>
      </c>
      <c r="F9" s="20">
        <v>3.3045999999999998</v>
      </c>
      <c r="G9" s="20">
        <v>3.3358000000000003</v>
      </c>
      <c r="H9" s="20">
        <v>3.3767</v>
      </c>
      <c r="I9" s="20">
        <v>3.4116</v>
      </c>
      <c r="J9" s="20">
        <v>3.4369999999999998</v>
      </c>
      <c r="K9" s="20">
        <v>3.4639000000000002</v>
      </c>
      <c r="L9" s="20">
        <v>3.5153000000000003</v>
      </c>
      <c r="M9" s="20">
        <v>3.5958000000000001</v>
      </c>
      <c r="N9" s="20">
        <v>3.6896999999999998</v>
      </c>
      <c r="O9" s="20">
        <v>3.7873999999999999</v>
      </c>
      <c r="P9" s="20">
        <v>3.8691</v>
      </c>
      <c r="Q9" s="20">
        <v>3.9419</v>
      </c>
      <c r="R9" s="20">
        <v>4.0198</v>
      </c>
      <c r="S9" s="20">
        <v>4.0667</v>
      </c>
      <c r="T9" s="20">
        <v>4.0703000000000005</v>
      </c>
      <c r="U9" s="20">
        <v>4.1178999999999997</v>
      </c>
      <c r="V9" s="20">
        <v>4.2371999999999996</v>
      </c>
      <c r="W9" s="20">
        <v>4.2868999999999993</v>
      </c>
      <c r="X9" s="20">
        <v>4.3319999999999999</v>
      </c>
      <c r="Y9" s="48">
        <v>4.3866999999999994</v>
      </c>
      <c r="Z9" s="48">
        <v>4.4423000000000004</v>
      </c>
      <c r="AA9" s="48">
        <v>4.5003000000000002</v>
      </c>
      <c r="AB9" s="48">
        <v>4.5590000000000002</v>
      </c>
      <c r="AC9" s="48">
        <v>4.6177999999999999</v>
      </c>
    </row>
    <row r="10" spans="1:29" x14ac:dyDescent="0.25">
      <c r="A10" s="11" t="s">
        <v>779</v>
      </c>
      <c r="B10" s="11"/>
      <c r="C10" s="20">
        <v>4.1189</v>
      </c>
      <c r="D10" s="20">
        <v>4.1669</v>
      </c>
      <c r="E10" s="20">
        <v>4.2119999999999997</v>
      </c>
      <c r="F10" s="20">
        <v>4.2488999999999999</v>
      </c>
      <c r="G10" s="20">
        <v>4.2865000000000002</v>
      </c>
      <c r="H10" s="20">
        <v>4.3365</v>
      </c>
      <c r="I10" s="20">
        <v>4.3757999999999999</v>
      </c>
      <c r="J10" s="20">
        <v>4.4015000000000004</v>
      </c>
      <c r="K10" s="20">
        <v>4.4298999999999999</v>
      </c>
      <c r="L10" s="20">
        <v>4.4882</v>
      </c>
      <c r="M10" s="20">
        <v>4.5765000000000002</v>
      </c>
      <c r="N10" s="20">
        <v>4.6772</v>
      </c>
      <c r="O10" s="20">
        <v>4.7797000000000001</v>
      </c>
      <c r="P10" s="20">
        <v>4.8706000000000005</v>
      </c>
      <c r="Q10" s="20">
        <v>4.9462000000000002</v>
      </c>
      <c r="R10" s="20">
        <v>5.0406000000000004</v>
      </c>
      <c r="S10" s="20">
        <v>5.0821000000000005</v>
      </c>
      <c r="T10" s="20">
        <v>5.0838000000000001</v>
      </c>
      <c r="U10" s="20">
        <v>5.1452</v>
      </c>
      <c r="V10" s="20">
        <v>5.2688000000000006</v>
      </c>
      <c r="W10" s="20">
        <v>5.3117999999999999</v>
      </c>
      <c r="X10" s="20">
        <v>5.3451000000000004</v>
      </c>
      <c r="Y10" s="48">
        <v>5.3923000000000005</v>
      </c>
      <c r="Z10" s="48">
        <v>5.4530000000000003</v>
      </c>
      <c r="AA10" s="48">
        <v>5.5176999999999996</v>
      </c>
      <c r="AB10" s="48">
        <v>5.5833999999999993</v>
      </c>
      <c r="AC10" s="48">
        <v>5.6493000000000002</v>
      </c>
    </row>
    <row r="11" spans="1:29" x14ac:dyDescent="0.25">
      <c r="A11" s="11" t="s">
        <v>780</v>
      </c>
      <c r="B11" s="11"/>
      <c r="C11" s="17">
        <v>3.8300000000000001E-2</v>
      </c>
      <c r="D11" s="17">
        <v>3.8300000000000001E-2</v>
      </c>
      <c r="E11" s="17">
        <v>3.7999999999999999E-2</v>
      </c>
      <c r="F11" s="17">
        <v>3.6499999999999998E-2</v>
      </c>
      <c r="G11" s="17">
        <v>4.8300000000000003E-2</v>
      </c>
      <c r="H11" s="17">
        <v>6.3299999999999995E-2</v>
      </c>
      <c r="I11" s="17">
        <v>6.0999999999999999E-2</v>
      </c>
      <c r="J11" s="17">
        <v>6.2300000000000001E-2</v>
      </c>
      <c r="K11" s="17">
        <v>6.2E-2</v>
      </c>
      <c r="L11" s="17">
        <v>5.5999999999999994E-2</v>
      </c>
      <c r="M11" s="17">
        <v>5.45E-2</v>
      </c>
      <c r="N11" s="17">
        <v>5.28E-2</v>
      </c>
      <c r="O11" s="17">
        <v>5.0300000000000004E-2</v>
      </c>
      <c r="P11" s="17">
        <v>4.5499999999999999E-2</v>
      </c>
      <c r="Q11" s="17">
        <v>4.1500000000000002E-2</v>
      </c>
      <c r="R11" s="17">
        <v>4.1299999999999996E-2</v>
      </c>
      <c r="S11" s="17">
        <v>4.6799999999999994E-2</v>
      </c>
      <c r="T11" s="17">
        <v>3.2799999999999996E-2</v>
      </c>
      <c r="U11" s="17">
        <v>3.4799999999999998E-2</v>
      </c>
      <c r="V11" s="17">
        <v>4.2500000000000003E-2</v>
      </c>
      <c r="W11" s="17">
        <v>5.0999999999999997E-2</v>
      </c>
      <c r="X11" s="17">
        <v>5.4299999999999994E-2</v>
      </c>
      <c r="Y11" s="66">
        <v>5.4199999999999998E-2</v>
      </c>
      <c r="Z11" s="66">
        <v>4.87E-2</v>
      </c>
      <c r="AA11" s="66">
        <v>4.5599999999999995E-2</v>
      </c>
      <c r="AB11" s="66">
        <v>4.3499999999999997E-2</v>
      </c>
      <c r="AC11" s="66">
        <v>4.3200000000000002E-2</v>
      </c>
    </row>
    <row r="12" spans="1:29" x14ac:dyDescent="0.25">
      <c r="A12" s="11" t="s">
        <v>781</v>
      </c>
      <c r="B12" s="11"/>
      <c r="C12" s="67">
        <v>34.799999999999997</v>
      </c>
      <c r="D12" s="67">
        <v>34.520000000000003</v>
      </c>
      <c r="E12" s="67">
        <v>34.33</v>
      </c>
      <c r="F12" s="67">
        <v>33.94</v>
      </c>
      <c r="G12" s="67">
        <v>33.58</v>
      </c>
      <c r="H12" s="67">
        <v>33.450000000000003</v>
      </c>
      <c r="I12" s="67">
        <v>33.54</v>
      </c>
      <c r="J12" s="67">
        <v>33.409999999999997</v>
      </c>
      <c r="K12" s="67">
        <v>33.67</v>
      </c>
      <c r="L12" s="67">
        <v>33.68</v>
      </c>
      <c r="M12" s="67">
        <v>33.520000000000003</v>
      </c>
      <c r="N12" s="67">
        <v>33.74</v>
      </c>
      <c r="O12" s="67">
        <v>33.700000000000003</v>
      </c>
      <c r="P12" s="67">
        <v>33.93</v>
      </c>
      <c r="Q12" s="67">
        <v>34.11</v>
      </c>
      <c r="R12" s="67">
        <v>33.18</v>
      </c>
      <c r="S12" s="67">
        <v>34.119999999999997</v>
      </c>
      <c r="T12" s="67">
        <v>32.94</v>
      </c>
      <c r="U12" s="67">
        <v>33.72</v>
      </c>
      <c r="V12" s="67">
        <v>33.549999999999997</v>
      </c>
      <c r="W12" s="67">
        <v>33.03</v>
      </c>
      <c r="X12" s="67">
        <v>33.299999999999997</v>
      </c>
      <c r="Y12" s="68">
        <v>33.28</v>
      </c>
      <c r="Z12" s="68">
        <v>33.26</v>
      </c>
      <c r="AA12" s="68">
        <v>33.25</v>
      </c>
      <c r="AB12" s="68">
        <v>33.229999999999997</v>
      </c>
      <c r="AC12" s="68">
        <v>33.22</v>
      </c>
    </row>
    <row r="13" spans="1:29" x14ac:dyDescent="0.25">
      <c r="A13" s="11" t="s">
        <v>782</v>
      </c>
      <c r="B13" s="11"/>
      <c r="C13" s="17">
        <v>7.1000000000000004E-3</v>
      </c>
      <c r="D13" s="17">
        <v>1.03E-2</v>
      </c>
      <c r="E13" s="17">
        <v>2.07E-2</v>
      </c>
      <c r="F13" s="17">
        <v>2.0400000000000001E-2</v>
      </c>
      <c r="G13" s="17">
        <v>-2.7000000000000001E-3</v>
      </c>
      <c r="H13" s="17">
        <v>2.9399999999999999E-2</v>
      </c>
      <c r="I13" s="17">
        <v>-7.4000000000000003E-3</v>
      </c>
      <c r="J13" s="17">
        <v>2.18E-2</v>
      </c>
      <c r="K13" s="17">
        <v>1.2800000000000001E-2</v>
      </c>
      <c r="L13" s="17">
        <v>-6.4999999999999997E-3</v>
      </c>
      <c r="M13" s="17">
        <v>9.9000000000000008E-3</v>
      </c>
      <c r="N13" s="17">
        <v>4.3E-3</v>
      </c>
      <c r="O13" s="17">
        <v>-1.5900000000000001E-2</v>
      </c>
      <c r="P13" s="17">
        <v>-8.3999999999999995E-3</v>
      </c>
      <c r="Q13" s="17">
        <v>6.7000000000000002E-3</v>
      </c>
      <c r="R13" s="17">
        <v>6.4000000000000003E-3</v>
      </c>
      <c r="S13" s="17">
        <v>2.93E-2</v>
      </c>
      <c r="T13" s="17">
        <v>1.49E-2</v>
      </c>
      <c r="U13" s="17">
        <v>-8.6E-3</v>
      </c>
      <c r="V13" s="17">
        <v>-2.9999999999999997E-4</v>
      </c>
      <c r="W13" s="17">
        <v>1.46E-2</v>
      </c>
      <c r="X13" s="17">
        <v>4.7000000000000002E-3</v>
      </c>
      <c r="Y13" s="66">
        <v>7.1000000000000004E-3</v>
      </c>
      <c r="Z13" s="66">
        <v>6.4999999999999997E-3</v>
      </c>
      <c r="AA13" s="66">
        <v>8.3000000000000001E-3</v>
      </c>
      <c r="AB13" s="66">
        <v>9.9000000000000008E-3</v>
      </c>
      <c r="AC13" s="66">
        <v>1.14E-2</v>
      </c>
    </row>
    <row r="14" spans="1:29" x14ac:dyDescent="0.25">
      <c r="A14" s="11" t="s">
        <v>783</v>
      </c>
      <c r="B14" s="11"/>
      <c r="C14" s="56">
        <v>784.4</v>
      </c>
      <c r="D14" s="56">
        <v>815.7</v>
      </c>
      <c r="E14" s="56">
        <v>832</v>
      </c>
      <c r="F14" s="56">
        <v>865.4</v>
      </c>
      <c r="G14" s="56">
        <v>881.7</v>
      </c>
      <c r="H14" s="56">
        <v>896.4</v>
      </c>
      <c r="I14" s="56">
        <v>943.7</v>
      </c>
      <c r="J14" s="56">
        <v>952.7</v>
      </c>
      <c r="K14" s="56">
        <v>959.2</v>
      </c>
      <c r="L14" s="56">
        <v>974.7</v>
      </c>
      <c r="M14" s="56">
        <v>978.8</v>
      </c>
      <c r="N14" s="56">
        <v>982.9</v>
      </c>
      <c r="O14" s="56">
        <v>1000</v>
      </c>
      <c r="P14" s="56">
        <v>1015</v>
      </c>
      <c r="Q14" s="56">
        <v>1032</v>
      </c>
      <c r="R14" s="56">
        <v>1047</v>
      </c>
      <c r="S14" s="56">
        <v>1082</v>
      </c>
      <c r="T14" s="56">
        <v>1161</v>
      </c>
      <c r="U14" s="56">
        <v>1231</v>
      </c>
      <c r="V14" s="56">
        <v>1272</v>
      </c>
      <c r="W14" s="56">
        <v>1306</v>
      </c>
      <c r="X14" s="56">
        <v>1359</v>
      </c>
      <c r="Y14" s="69">
        <v>1384.2</v>
      </c>
      <c r="Z14" s="69">
        <v>1411.8</v>
      </c>
      <c r="AA14" s="69">
        <v>1441.3</v>
      </c>
      <c r="AB14" s="69">
        <v>1471.1</v>
      </c>
      <c r="AC14" s="69">
        <v>1500.7</v>
      </c>
    </row>
    <row r="15" spans="1:29" x14ac:dyDescent="0.25">
      <c r="A15" s="11" t="s">
        <v>784</v>
      </c>
      <c r="B15" s="11"/>
      <c r="C15" s="17">
        <v>3.2099999999999997E-2</v>
      </c>
      <c r="D15" s="17">
        <v>4.9799999999999997E-2</v>
      </c>
      <c r="E15" s="17">
        <v>4.8099999999999997E-2</v>
      </c>
      <c r="F15" s="17">
        <v>4.58E-2</v>
      </c>
      <c r="G15" s="17">
        <v>5.2999999999999999E-2</v>
      </c>
      <c r="H15" s="17">
        <v>2.18E-2</v>
      </c>
      <c r="I15" s="17">
        <v>2.47E-2</v>
      </c>
      <c r="J15" s="17">
        <v>2.9700000000000001E-2</v>
      </c>
      <c r="K15" s="17">
        <v>2.6100000000000002E-2</v>
      </c>
      <c r="L15" s="17">
        <v>2.5999999999999999E-2</v>
      </c>
      <c r="M15" s="17">
        <v>2.64E-2</v>
      </c>
      <c r="N15" s="17">
        <v>2.23E-2</v>
      </c>
      <c r="O15" s="17">
        <v>2.24E-2</v>
      </c>
      <c r="P15" s="17">
        <v>2.76E-2</v>
      </c>
      <c r="Q15" s="17">
        <v>3.3700000000000001E-2</v>
      </c>
      <c r="R15" s="17">
        <v>3.3300000000000003E-2</v>
      </c>
      <c r="S15" s="17">
        <v>4.1200000000000001E-2</v>
      </c>
      <c r="T15" s="17">
        <v>4.5999999999999999E-2</v>
      </c>
      <c r="U15" s="17">
        <v>7.2900000000000006E-2</v>
      </c>
      <c r="V15" s="17">
        <v>5.96E-2</v>
      </c>
      <c r="W15" s="17">
        <v>4.2799999999999998E-2</v>
      </c>
      <c r="X15" s="17">
        <v>3.2800000000000003E-2</v>
      </c>
      <c r="Y15" s="66">
        <v>3.1600000000000003E-2</v>
      </c>
      <c r="Z15" s="66">
        <v>3.09E-2</v>
      </c>
      <c r="AA15" s="66">
        <v>3.2800000000000003E-2</v>
      </c>
      <c r="AB15" s="66">
        <v>3.4200000000000001E-2</v>
      </c>
      <c r="AC15" s="66">
        <v>3.5099999999999999E-2</v>
      </c>
    </row>
    <row r="16" spans="1:29" x14ac:dyDescent="0.25">
      <c r="A16" s="11" t="s">
        <v>785</v>
      </c>
      <c r="B16" s="11"/>
      <c r="C16" s="17">
        <v>6.0199999999999997E-2</v>
      </c>
      <c r="D16" s="17">
        <v>5.79E-2</v>
      </c>
      <c r="E16" s="17">
        <v>5.96E-2</v>
      </c>
      <c r="F16" s="17">
        <v>6.4100000000000004E-2</v>
      </c>
      <c r="G16" s="17">
        <v>5.4299999999999994E-2</v>
      </c>
      <c r="H16" s="17">
        <v>5.8200000000000002E-2</v>
      </c>
      <c r="I16" s="17">
        <v>5.4199999999999998E-2</v>
      </c>
      <c r="J16" s="17">
        <v>4.1399999999999999E-2</v>
      </c>
      <c r="K16" s="17">
        <v>3.5699999999999996E-2</v>
      </c>
      <c r="L16" s="17">
        <v>4.5499999999999999E-2</v>
      </c>
      <c r="M16" s="17">
        <v>3.7699999999999997E-2</v>
      </c>
      <c r="N16" s="17">
        <v>3.1600000000000003E-2</v>
      </c>
      <c r="O16" s="17">
        <v>2.86E-2</v>
      </c>
      <c r="P16" s="17">
        <v>2.8799999999999999E-2</v>
      </c>
      <c r="Q16" s="17">
        <v>2.3099999999999999E-2</v>
      </c>
      <c r="R16" s="17">
        <v>1.1899999999999999E-2</v>
      </c>
      <c r="S16" s="17">
        <v>1.1599999999999999E-2</v>
      </c>
      <c r="T16" s="17">
        <v>2.6499999999999999E-2</v>
      </c>
      <c r="U16" s="17">
        <v>4.1500000000000002E-2</v>
      </c>
      <c r="V16" s="17">
        <v>4.8499999999999995E-2</v>
      </c>
      <c r="W16" s="17">
        <v>4.4999999999999998E-2</v>
      </c>
      <c r="X16" s="17">
        <v>4.4600000000000001E-2</v>
      </c>
      <c r="Y16" s="66">
        <v>4.7E-2</v>
      </c>
      <c r="Z16" s="66">
        <v>4.7E-2</v>
      </c>
      <c r="AA16" s="66">
        <v>4.7E-2</v>
      </c>
      <c r="AB16" s="66">
        <v>4.7E-2</v>
      </c>
      <c r="AC16" s="66">
        <v>4.7E-2</v>
      </c>
    </row>
    <row r="17" spans="1:29" x14ac:dyDescent="0.25">
      <c r="A17" s="11" t="s">
        <v>786</v>
      </c>
      <c r="B17" s="11"/>
      <c r="C17" s="70">
        <v>11.3</v>
      </c>
      <c r="D17" s="70">
        <v>13.6</v>
      </c>
      <c r="E17" s="70">
        <v>14.7</v>
      </c>
      <c r="F17" s="70">
        <v>12.5</v>
      </c>
      <c r="G17" s="70">
        <v>16</v>
      </c>
      <c r="H17" s="70">
        <v>8.9</v>
      </c>
      <c r="I17" s="70">
        <v>-9.3000000000000007</v>
      </c>
      <c r="J17" s="70">
        <v>-14.9</v>
      </c>
      <c r="K17" s="70">
        <v>1.2</v>
      </c>
      <c r="L17" s="70">
        <v>33.9</v>
      </c>
      <c r="M17" s="70">
        <v>53.6</v>
      </c>
      <c r="N17" s="70">
        <v>64.8</v>
      </c>
      <c r="O17" s="70">
        <v>59.6</v>
      </c>
      <c r="P17" s="70">
        <v>49</v>
      </c>
      <c r="Q17" s="70">
        <v>52.8</v>
      </c>
      <c r="R17" s="70">
        <v>75.5</v>
      </c>
      <c r="S17" s="70">
        <v>-6.6</v>
      </c>
      <c r="T17" s="70">
        <v>-17.7</v>
      </c>
      <c r="U17" s="70">
        <v>111.7</v>
      </c>
      <c r="V17" s="70">
        <v>69.599999999999994</v>
      </c>
      <c r="W17" s="70">
        <v>10.199999999999999</v>
      </c>
      <c r="X17" s="70">
        <v>17.600000000000001</v>
      </c>
      <c r="Y17" s="71">
        <v>31.9</v>
      </c>
      <c r="Z17" s="71">
        <v>37.1</v>
      </c>
      <c r="AA17" s="71">
        <v>39.299999999999997</v>
      </c>
      <c r="AB17" s="71">
        <v>39.799999999999997</v>
      </c>
      <c r="AC17" s="71">
        <v>40</v>
      </c>
    </row>
    <row r="18" spans="1:29" x14ac:dyDescent="0.25">
      <c r="A18" s="11" t="s">
        <v>787</v>
      </c>
      <c r="B18" s="11"/>
      <c r="C18" s="72">
        <v>752.5</v>
      </c>
      <c r="D18" s="72">
        <v>778.67</v>
      </c>
      <c r="E18" s="72">
        <v>826.88</v>
      </c>
      <c r="F18" s="72">
        <v>855.43</v>
      </c>
      <c r="G18" s="72">
        <v>899.3</v>
      </c>
      <c r="H18" s="72">
        <v>932.25</v>
      </c>
      <c r="I18" s="72">
        <v>963.99</v>
      </c>
      <c r="J18" s="72">
        <v>995.36</v>
      </c>
      <c r="K18" s="72">
        <v>1021.57</v>
      </c>
      <c r="L18" s="72">
        <v>1048.06</v>
      </c>
      <c r="M18" s="72">
        <v>1079.03</v>
      </c>
      <c r="N18" s="72">
        <v>1113.2</v>
      </c>
      <c r="O18" s="72">
        <v>1137.1099999999999</v>
      </c>
      <c r="P18" s="72">
        <v>1172.6300000000001</v>
      </c>
      <c r="Q18" s="72">
        <v>1205.79</v>
      </c>
      <c r="R18" s="72">
        <v>1241.4100000000001</v>
      </c>
      <c r="S18" s="72">
        <v>1287.81</v>
      </c>
      <c r="T18" s="72">
        <v>1360.1</v>
      </c>
      <c r="U18" s="72">
        <v>1462.81</v>
      </c>
      <c r="V18" s="72">
        <v>1556.16</v>
      </c>
      <c r="W18" s="72">
        <v>1622.73</v>
      </c>
      <c r="X18" s="72">
        <v>1681.06</v>
      </c>
      <c r="Y18" s="73">
        <v>1729.05</v>
      </c>
      <c r="Z18" s="73">
        <v>1777.06</v>
      </c>
      <c r="AA18" s="73">
        <v>1832.62</v>
      </c>
      <c r="AB18" s="73">
        <v>1893.64</v>
      </c>
      <c r="AC18" s="73">
        <v>1959.15</v>
      </c>
    </row>
    <row r="19" spans="1:29" x14ac:dyDescent="0.25">
      <c r="A19" s="11" t="s">
        <v>788</v>
      </c>
      <c r="B19" s="11"/>
      <c r="C19" s="72">
        <v>597.66999999999996</v>
      </c>
      <c r="D19" s="72">
        <v>614.05999999999995</v>
      </c>
      <c r="E19" s="72">
        <v>645.82000000000005</v>
      </c>
      <c r="F19" s="72">
        <v>664.02</v>
      </c>
      <c r="G19" s="72">
        <v>723.19</v>
      </c>
      <c r="H19" s="72">
        <v>741.53</v>
      </c>
      <c r="I19" s="72">
        <v>792.36</v>
      </c>
      <c r="J19" s="72">
        <v>813.32</v>
      </c>
      <c r="K19" s="72">
        <v>833.14</v>
      </c>
      <c r="L19" s="72">
        <v>855.33</v>
      </c>
      <c r="M19" s="72">
        <v>873.01</v>
      </c>
      <c r="N19" s="72">
        <v>896.89</v>
      </c>
      <c r="O19" s="72">
        <v>909.56</v>
      </c>
      <c r="P19" s="72">
        <v>934.42</v>
      </c>
      <c r="Q19" s="72">
        <v>958.37</v>
      </c>
      <c r="R19" s="72">
        <v>987.95</v>
      </c>
      <c r="S19" s="72">
        <v>1018.53</v>
      </c>
      <c r="T19" s="72">
        <v>1066.06</v>
      </c>
      <c r="U19" s="72">
        <v>1132.5999999999999</v>
      </c>
      <c r="V19" s="72">
        <v>1192.4000000000001</v>
      </c>
      <c r="W19" s="72">
        <v>1255.05</v>
      </c>
      <c r="X19" s="72">
        <v>1291.58</v>
      </c>
      <c r="Y19" s="73">
        <v>1321.5</v>
      </c>
      <c r="Z19" s="73">
        <v>1352.79</v>
      </c>
      <c r="AA19" s="73">
        <v>1389.2</v>
      </c>
      <c r="AB19" s="73">
        <v>1428.97</v>
      </c>
      <c r="AC19" s="73">
        <v>1471.49</v>
      </c>
    </row>
    <row r="20" spans="1:29" x14ac:dyDescent="0.25">
      <c r="A20" s="11" t="s">
        <v>789</v>
      </c>
      <c r="B20" s="11"/>
      <c r="C20" s="72">
        <v>235.16</v>
      </c>
      <c r="D20" s="72">
        <v>243.06</v>
      </c>
      <c r="E20" s="72">
        <v>255.7</v>
      </c>
      <c r="F20" s="72">
        <v>264.37</v>
      </c>
      <c r="G20" s="72">
        <v>273.63</v>
      </c>
      <c r="H20" s="72">
        <v>280.62</v>
      </c>
      <c r="I20" s="72">
        <v>294.08000000000004</v>
      </c>
      <c r="J20" s="72">
        <v>302.39999999999998</v>
      </c>
      <c r="K20" s="72">
        <v>310.33999999999997</v>
      </c>
      <c r="L20" s="72">
        <v>319.23</v>
      </c>
      <c r="M20" s="72">
        <v>326.3</v>
      </c>
      <c r="N20" s="72">
        <v>335.74</v>
      </c>
      <c r="O20" s="72">
        <v>340.8</v>
      </c>
      <c r="P20" s="72">
        <v>350.76</v>
      </c>
      <c r="Q20" s="72">
        <v>360.42</v>
      </c>
      <c r="R20" s="72">
        <v>372.27</v>
      </c>
      <c r="S20" s="72">
        <v>384.46</v>
      </c>
      <c r="T20" s="72">
        <v>408.66</v>
      </c>
      <c r="U20" s="72">
        <v>439.79</v>
      </c>
      <c r="V20" s="72">
        <v>461.41</v>
      </c>
      <c r="W20" s="72">
        <v>476.47</v>
      </c>
      <c r="X20" s="72">
        <v>492.14</v>
      </c>
      <c r="Y20" s="73">
        <v>510.24</v>
      </c>
      <c r="Z20" s="73">
        <v>519.77</v>
      </c>
      <c r="AA20" s="73">
        <v>531.32000000000005</v>
      </c>
      <c r="AB20" s="73">
        <v>546.11</v>
      </c>
      <c r="AC20" s="73">
        <v>563.11</v>
      </c>
    </row>
    <row r="21" spans="1:29" x14ac:dyDescent="0.25">
      <c r="A21" s="11" t="s">
        <v>790</v>
      </c>
      <c r="B21" s="11"/>
      <c r="C21" s="72">
        <v>196.78</v>
      </c>
      <c r="D21" s="72">
        <v>203</v>
      </c>
      <c r="E21" s="72">
        <v>213.12</v>
      </c>
      <c r="F21" s="72">
        <v>219.9</v>
      </c>
      <c r="G21" s="72">
        <v>239.19</v>
      </c>
      <c r="H21" s="72">
        <v>244.71</v>
      </c>
      <c r="I21" s="72">
        <v>261.48</v>
      </c>
      <c r="J21" s="72">
        <v>268.39999999999998</v>
      </c>
      <c r="K21" s="72">
        <v>274.94</v>
      </c>
      <c r="L21" s="72">
        <v>282.26</v>
      </c>
      <c r="M21" s="72">
        <v>288.10000000000002</v>
      </c>
      <c r="N21" s="72">
        <v>295.97000000000003</v>
      </c>
      <c r="O21" s="72">
        <v>300.14999999999998</v>
      </c>
      <c r="P21" s="72">
        <v>308.36</v>
      </c>
      <c r="Q21" s="72">
        <v>316.27</v>
      </c>
      <c r="R21" s="72">
        <v>326.02</v>
      </c>
      <c r="S21" s="72">
        <v>336.11</v>
      </c>
      <c r="T21" s="72">
        <v>356.11</v>
      </c>
      <c r="U21" s="72">
        <v>381.82</v>
      </c>
      <c r="V21" s="72">
        <v>399.59</v>
      </c>
      <c r="W21" s="72">
        <v>414.17</v>
      </c>
      <c r="X21" s="72">
        <v>427.04</v>
      </c>
      <c r="Y21" s="73">
        <v>441.99</v>
      </c>
      <c r="Z21" s="73">
        <v>449.95</v>
      </c>
      <c r="AA21" s="73">
        <v>459.4</v>
      </c>
      <c r="AB21" s="73">
        <v>471.56</v>
      </c>
      <c r="AC21" s="73">
        <v>485.59</v>
      </c>
    </row>
  </sheetData>
  <phoneticPr fontId="30"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B1BD5-4A29-46CE-9BD4-F7F26F261E56}">
  <dimension ref="A1:P415"/>
  <sheetViews>
    <sheetView workbookViewId="0"/>
  </sheetViews>
  <sheetFormatPr defaultRowHeight="15" x14ac:dyDescent="0.25"/>
  <cols>
    <col min="1" max="1" width="90.7109375" customWidth="1"/>
    <col min="2" max="2" width="7.7109375" customWidth="1"/>
    <col min="3" max="14" width="10.7109375" customWidth="1"/>
  </cols>
  <sheetData>
    <row r="1" spans="1:16" x14ac:dyDescent="0.25">
      <c r="A1" s="11" t="s">
        <v>858</v>
      </c>
      <c r="B1" s="11"/>
      <c r="C1" s="12"/>
      <c r="D1" s="12"/>
      <c r="E1" s="12"/>
      <c r="F1" s="12"/>
      <c r="G1" s="12"/>
      <c r="H1" s="12"/>
      <c r="I1" s="12"/>
      <c r="J1" s="12"/>
      <c r="K1" s="12"/>
      <c r="L1" s="12"/>
      <c r="M1" s="12"/>
      <c r="N1" s="12"/>
    </row>
    <row r="2" spans="1:16" x14ac:dyDescent="0.25">
      <c r="A2" s="14" t="s">
        <v>773</v>
      </c>
      <c r="B2" s="12"/>
      <c r="C2" s="12"/>
      <c r="D2" s="12"/>
      <c r="E2" s="12"/>
      <c r="F2" s="12"/>
      <c r="G2" s="12"/>
      <c r="H2" s="12"/>
      <c r="I2" s="12"/>
      <c r="J2" s="12"/>
      <c r="K2" s="12"/>
      <c r="L2" s="12"/>
      <c r="M2" s="12"/>
      <c r="N2" s="12"/>
    </row>
    <row r="3" spans="1:16" x14ac:dyDescent="0.25">
      <c r="A3" s="14" t="s">
        <v>859</v>
      </c>
      <c r="B3" s="12"/>
      <c r="C3" s="12"/>
      <c r="D3" s="12"/>
      <c r="E3" s="12"/>
      <c r="F3" s="12"/>
      <c r="G3" s="12"/>
      <c r="H3" s="12"/>
      <c r="I3" s="12"/>
      <c r="J3" s="12"/>
      <c r="K3" s="11" t="s">
        <v>1465</v>
      </c>
      <c r="L3" s="12"/>
      <c r="M3" s="12"/>
      <c r="N3" s="12"/>
    </row>
    <row r="4" spans="1:16" x14ac:dyDescent="0.25">
      <c r="A4" s="14" t="s">
        <v>860</v>
      </c>
      <c r="B4" s="12"/>
      <c r="C4" s="12"/>
      <c r="D4" s="12"/>
      <c r="E4" s="12"/>
      <c r="F4" s="12"/>
      <c r="G4" s="12"/>
      <c r="H4" s="12"/>
      <c r="I4" s="12"/>
      <c r="J4" s="12"/>
      <c r="K4" s="11" t="s">
        <v>1466</v>
      </c>
      <c r="L4" s="12"/>
      <c r="M4" s="12"/>
      <c r="N4" s="12"/>
    </row>
    <row r="5" spans="1:16" x14ac:dyDescent="0.25">
      <c r="A5" s="14" t="s">
        <v>709</v>
      </c>
      <c r="B5" s="12"/>
      <c r="C5" s="12"/>
      <c r="D5" s="64"/>
      <c r="E5" s="64"/>
      <c r="F5" s="64"/>
      <c r="G5" s="64"/>
      <c r="H5" s="64"/>
      <c r="I5" s="64"/>
      <c r="J5" s="64"/>
      <c r="K5" s="11" t="s">
        <v>1467</v>
      </c>
      <c r="L5" s="64" t="s">
        <v>1452</v>
      </c>
      <c r="M5" s="12"/>
      <c r="N5" s="12"/>
    </row>
    <row r="6" spans="1:16" x14ac:dyDescent="0.25">
      <c r="A6" s="11" t="s">
        <v>341</v>
      </c>
      <c r="B6" s="11"/>
      <c r="C6" s="12"/>
      <c r="D6" s="15" t="s">
        <v>355</v>
      </c>
      <c r="E6" s="15" t="s">
        <v>356</v>
      </c>
      <c r="F6" s="15" t="s">
        <v>357</v>
      </c>
      <c r="G6" s="15" t="s">
        <v>358</v>
      </c>
      <c r="H6" s="15" t="s">
        <v>359</v>
      </c>
      <c r="I6" s="15" t="s">
        <v>360</v>
      </c>
      <c r="J6" s="15" t="s">
        <v>361</v>
      </c>
      <c r="K6" s="15" t="s">
        <v>362</v>
      </c>
      <c r="L6" s="65" t="s">
        <v>363</v>
      </c>
      <c r="M6" s="65" t="s">
        <v>364</v>
      </c>
      <c r="N6" s="65" t="s">
        <v>365</v>
      </c>
      <c r="O6" s="65" t="s">
        <v>366</v>
      </c>
      <c r="P6" s="65" t="s">
        <v>367</v>
      </c>
    </row>
    <row r="7" spans="1:16" x14ac:dyDescent="0.25">
      <c r="A7" s="12"/>
      <c r="B7" s="12"/>
      <c r="C7" s="12"/>
      <c r="D7" s="11">
        <v>2019</v>
      </c>
      <c r="E7" s="11">
        <v>2020</v>
      </c>
      <c r="F7" s="11">
        <v>2021</v>
      </c>
      <c r="G7" s="11">
        <v>2022</v>
      </c>
      <c r="H7" s="11">
        <v>2023</v>
      </c>
      <c r="I7" s="11">
        <v>2024</v>
      </c>
      <c r="J7" s="11">
        <v>2025</v>
      </c>
      <c r="K7" s="11">
        <v>2026</v>
      </c>
      <c r="L7" s="64">
        <v>2027</v>
      </c>
      <c r="M7" s="64">
        <v>2028</v>
      </c>
      <c r="N7" s="64">
        <v>2029</v>
      </c>
      <c r="O7" s="64">
        <v>2030</v>
      </c>
      <c r="P7" s="64">
        <v>2031</v>
      </c>
    </row>
    <row r="8" spans="1:16" x14ac:dyDescent="0.25">
      <c r="A8" s="11" t="s">
        <v>861</v>
      </c>
      <c r="B8" s="11"/>
      <c r="C8" s="11"/>
      <c r="D8" s="64"/>
      <c r="E8" s="64"/>
      <c r="F8" s="64"/>
      <c r="G8" s="64"/>
      <c r="H8" s="64"/>
      <c r="I8" s="64"/>
      <c r="J8" s="64"/>
      <c r="K8" s="64"/>
      <c r="L8" s="64"/>
      <c r="M8" s="64"/>
      <c r="N8" s="64"/>
    </row>
    <row r="9" spans="1:16" x14ac:dyDescent="0.25">
      <c r="A9" s="12" t="s">
        <v>862</v>
      </c>
      <c r="B9" s="12" t="s">
        <v>863</v>
      </c>
      <c r="C9" s="20"/>
      <c r="D9" s="20">
        <v>85.722999999999999</v>
      </c>
      <c r="E9" s="20">
        <v>84.521000000000001</v>
      </c>
      <c r="F9" s="20">
        <v>97.361999999999995</v>
      </c>
      <c r="G9" s="20">
        <v>107.873</v>
      </c>
      <c r="H9" s="20">
        <v>111.712</v>
      </c>
      <c r="I9" s="20">
        <v>119.9</v>
      </c>
      <c r="J9" s="20">
        <v>121.05800000000001</v>
      </c>
      <c r="K9" s="20">
        <v>124.999</v>
      </c>
      <c r="L9" s="48">
        <v>136.316</v>
      </c>
      <c r="M9" s="48">
        <v>143.60599999999999</v>
      </c>
      <c r="N9" s="48">
        <v>152.166</v>
      </c>
      <c r="O9" s="48">
        <v>160.49700000000001</v>
      </c>
      <c r="P9" s="48">
        <v>168.45099999999999</v>
      </c>
    </row>
    <row r="10" spans="1:16" x14ac:dyDescent="0.25">
      <c r="A10" s="12" t="s">
        <v>864</v>
      </c>
      <c r="B10" s="12" t="s">
        <v>865</v>
      </c>
      <c r="C10" s="20"/>
      <c r="D10" s="20">
        <v>6.0279999999999996</v>
      </c>
      <c r="E10" s="20">
        <v>6.2690000000000001</v>
      </c>
      <c r="F10" s="20">
        <v>7.0380000000000003</v>
      </c>
      <c r="G10" s="20">
        <v>8.8940000000000001</v>
      </c>
      <c r="H10" s="20">
        <v>8.407</v>
      </c>
      <c r="I10" s="20">
        <v>9.4260000000000002</v>
      </c>
      <c r="J10" s="20">
        <v>9.7680000000000007</v>
      </c>
      <c r="K10" s="20">
        <v>10.302</v>
      </c>
      <c r="L10" s="48">
        <v>10.911</v>
      </c>
      <c r="M10" s="48">
        <v>11.522</v>
      </c>
      <c r="N10" s="48">
        <v>11.723000000000001</v>
      </c>
      <c r="O10" s="48">
        <v>12.202999999999999</v>
      </c>
      <c r="P10" s="48">
        <v>12.422000000000001</v>
      </c>
    </row>
    <row r="11" spans="1:16" x14ac:dyDescent="0.25">
      <c r="A11" s="12" t="s">
        <v>866</v>
      </c>
      <c r="B11" s="12" t="str">
        <f>$B$10</f>
        <v>UIM</v>
      </c>
      <c r="C11" s="20"/>
      <c r="D11" s="20">
        <v>19.795999999999999</v>
      </c>
      <c r="E11" s="20">
        <v>18.437000000000001</v>
      </c>
      <c r="F11" s="20">
        <v>18.5</v>
      </c>
      <c r="G11" s="20">
        <v>17.442</v>
      </c>
      <c r="H11" s="20">
        <v>21.954000000000001</v>
      </c>
      <c r="I11" s="20">
        <v>25.135000000000002</v>
      </c>
      <c r="J11" s="20">
        <v>26.085000000000001</v>
      </c>
      <c r="K11" s="20">
        <v>25.22</v>
      </c>
      <c r="L11" s="48">
        <v>26.960999999999999</v>
      </c>
      <c r="M11" s="48">
        <v>27.52</v>
      </c>
      <c r="N11" s="48">
        <v>28.155999999999999</v>
      </c>
      <c r="O11" s="48">
        <v>29.151</v>
      </c>
      <c r="P11" s="48">
        <v>29.815999999999999</v>
      </c>
    </row>
    <row r="12" spans="1:16" x14ac:dyDescent="0.25">
      <c r="A12" s="12" t="s">
        <v>867</v>
      </c>
      <c r="B12" s="12" t="str">
        <f>$B$9</f>
        <v>NAC</v>
      </c>
      <c r="C12" s="20"/>
      <c r="D12" s="20">
        <v>2.6459999999999999</v>
      </c>
      <c r="E12" s="20">
        <v>2.2999999999999998</v>
      </c>
      <c r="F12" s="20">
        <v>1.9430000000000001</v>
      </c>
      <c r="G12" s="20">
        <v>2.2919999999999998</v>
      </c>
      <c r="H12" s="20">
        <v>5.0119999999999996</v>
      </c>
      <c r="I12" s="20">
        <v>7.12</v>
      </c>
      <c r="J12" s="20">
        <v>7.0389999999999997</v>
      </c>
      <c r="K12" s="20">
        <v>5.984</v>
      </c>
      <c r="L12" s="48">
        <v>6.4859999999999998</v>
      </c>
      <c r="M12" s="48">
        <v>7.2030000000000003</v>
      </c>
      <c r="N12" s="48">
        <v>7.9169999999999998</v>
      </c>
      <c r="O12" s="48">
        <v>8.9260000000000002</v>
      </c>
      <c r="P12" s="48">
        <v>9.3989999999999991</v>
      </c>
    </row>
    <row r="13" spans="1:16" x14ac:dyDescent="0.25">
      <c r="A13" s="12" t="s">
        <v>868</v>
      </c>
      <c r="B13" s="12" t="str">
        <f>$B$10</f>
        <v>UIM</v>
      </c>
      <c r="C13" s="20"/>
      <c r="D13" s="20">
        <v>4.9489999999999998</v>
      </c>
      <c r="E13" s="20">
        <v>4.476</v>
      </c>
      <c r="F13" s="20">
        <v>4.492</v>
      </c>
      <c r="G13" s="20">
        <v>5.1260000000000003</v>
      </c>
      <c r="H13" s="20">
        <v>5.9260000000000002</v>
      </c>
      <c r="I13" s="20">
        <v>5.766</v>
      </c>
      <c r="J13" s="20">
        <v>5.8609999999999998</v>
      </c>
      <c r="K13" s="20">
        <v>5.8289999999999997</v>
      </c>
      <c r="L13" s="48">
        <v>5.1829999999999998</v>
      </c>
      <c r="M13" s="48">
        <v>5.3680000000000003</v>
      </c>
      <c r="N13" s="48">
        <v>5.67</v>
      </c>
      <c r="O13" s="48">
        <v>5.9039999999999999</v>
      </c>
      <c r="P13" s="48">
        <v>6.0339999999999998</v>
      </c>
    </row>
    <row r="14" spans="1:16" x14ac:dyDescent="0.25">
      <c r="A14" s="60" t="s">
        <v>869</v>
      </c>
      <c r="B14" s="12" t="str">
        <f>$B$9</f>
        <v>NAC</v>
      </c>
      <c r="C14" s="20"/>
      <c r="D14" s="77">
        <f t="shared" ref="D14:P14" si="0">SUM(D$9:D$13)</f>
        <v>119.142</v>
      </c>
      <c r="E14" s="77">
        <f t="shared" si="0"/>
        <v>116.003</v>
      </c>
      <c r="F14" s="77">
        <f t="shared" si="0"/>
        <v>129.33499999999998</v>
      </c>
      <c r="G14" s="77">
        <f t="shared" si="0"/>
        <v>141.62700000000001</v>
      </c>
      <c r="H14" s="77">
        <f t="shared" si="0"/>
        <v>153.011</v>
      </c>
      <c r="I14" s="77">
        <f t="shared" si="0"/>
        <v>167.34699999999998</v>
      </c>
      <c r="J14" s="77">
        <f t="shared" si="0"/>
        <v>169.81100000000001</v>
      </c>
      <c r="K14" s="77">
        <f t="shared" si="0"/>
        <v>172.334</v>
      </c>
      <c r="L14" s="77">
        <f t="shared" si="0"/>
        <v>185.85699999999997</v>
      </c>
      <c r="M14" s="77">
        <f t="shared" si="0"/>
        <v>195.21899999999999</v>
      </c>
      <c r="N14" s="77">
        <f t="shared" si="0"/>
        <v>205.63200000000001</v>
      </c>
      <c r="O14" s="77">
        <f t="shared" si="0"/>
        <v>216.68100000000001</v>
      </c>
      <c r="P14" s="77">
        <f t="shared" si="0"/>
        <v>226.12199999999999</v>
      </c>
    </row>
    <row r="15" spans="1:16" x14ac:dyDescent="0.25">
      <c r="A15" s="12" t="s">
        <v>870</v>
      </c>
      <c r="B15" s="12" t="str">
        <f t="shared" ref="B15:B23" si="1">$B$9</f>
        <v>NAC</v>
      </c>
      <c r="C15" s="20"/>
      <c r="D15" s="20">
        <v>28.085999999999999</v>
      </c>
      <c r="E15" s="20">
        <v>42.606999999999999</v>
      </c>
      <c r="F15" s="20">
        <v>35.427</v>
      </c>
      <c r="G15" s="20">
        <v>44.087000000000003</v>
      </c>
      <c r="H15" s="20">
        <v>38.802999999999997</v>
      </c>
      <c r="I15" s="20">
        <v>41.936999999999998</v>
      </c>
      <c r="J15" s="20">
        <v>44.679000000000002</v>
      </c>
      <c r="K15" s="20">
        <v>46.676000000000002</v>
      </c>
      <c r="L15" s="48">
        <v>49.509</v>
      </c>
      <c r="M15" s="48">
        <v>51.204999999999998</v>
      </c>
      <c r="N15" s="48">
        <v>52.445</v>
      </c>
      <c r="O15" s="48">
        <v>54.341000000000001</v>
      </c>
      <c r="P15" s="48">
        <v>56.542000000000002</v>
      </c>
    </row>
    <row r="16" spans="1:16" x14ac:dyDescent="0.25">
      <c r="A16" s="12" t="s">
        <v>871</v>
      </c>
      <c r="B16" s="12" t="str">
        <f t="shared" si="1"/>
        <v>NAC</v>
      </c>
      <c r="C16" s="20"/>
      <c r="D16" s="20">
        <v>25.933</v>
      </c>
      <c r="E16" s="20">
        <v>27.774999999999999</v>
      </c>
      <c r="F16" s="20">
        <v>29.817</v>
      </c>
      <c r="G16" s="20">
        <v>32.648000000000003</v>
      </c>
      <c r="H16" s="20">
        <v>36.052</v>
      </c>
      <c r="I16" s="20">
        <v>39.082999999999998</v>
      </c>
      <c r="J16" s="20">
        <v>38.771000000000001</v>
      </c>
      <c r="K16" s="20">
        <v>40.433</v>
      </c>
      <c r="L16" s="48">
        <v>41.912999999999997</v>
      </c>
      <c r="M16" s="48">
        <v>42.014000000000003</v>
      </c>
      <c r="N16" s="48">
        <v>42.067999999999998</v>
      </c>
      <c r="O16" s="48">
        <v>42.101999999999997</v>
      </c>
      <c r="P16" s="48">
        <v>42.323999999999998</v>
      </c>
    </row>
    <row r="17" spans="1:16" x14ac:dyDescent="0.25">
      <c r="A17" s="12" t="s">
        <v>872</v>
      </c>
      <c r="B17" s="12" t="str">
        <f t="shared" si="1"/>
        <v>NAC</v>
      </c>
      <c r="C17" s="20"/>
      <c r="D17" s="20">
        <v>4.5540000000000003</v>
      </c>
      <c r="E17" s="20">
        <v>5.2939999999999996</v>
      </c>
      <c r="F17" s="20">
        <v>5.5659999999999998</v>
      </c>
      <c r="G17" s="20">
        <v>6.1520000000000001</v>
      </c>
      <c r="H17" s="20">
        <v>6.601</v>
      </c>
      <c r="I17" s="20">
        <v>7.6210000000000004</v>
      </c>
      <c r="J17" s="20">
        <v>8.2940000000000005</v>
      </c>
      <c r="K17" s="20">
        <v>8.6809999999999992</v>
      </c>
      <c r="L17" s="48">
        <v>8.9619999999999997</v>
      </c>
      <c r="M17" s="48">
        <v>9.2750000000000004</v>
      </c>
      <c r="N17" s="48">
        <v>9.4580000000000002</v>
      </c>
      <c r="O17" s="48">
        <v>9.8339999999999996</v>
      </c>
      <c r="P17" s="48">
        <v>9.9480000000000004</v>
      </c>
    </row>
    <row r="18" spans="1:16" x14ac:dyDescent="0.25">
      <c r="A18" s="12" t="s">
        <v>873</v>
      </c>
      <c r="B18" s="12" t="str">
        <f t="shared" si="1"/>
        <v>NAC</v>
      </c>
      <c r="C18" s="20"/>
      <c r="D18" s="20">
        <v>42.692999999999998</v>
      </c>
      <c r="E18" s="20">
        <v>52.582999999999998</v>
      </c>
      <c r="F18" s="20">
        <v>53.802</v>
      </c>
      <c r="G18" s="20">
        <v>58.273000000000003</v>
      </c>
      <c r="H18" s="20">
        <v>64.134</v>
      </c>
      <c r="I18" s="20">
        <v>70.62</v>
      </c>
      <c r="J18" s="20">
        <v>69.826999999999998</v>
      </c>
      <c r="K18" s="20">
        <v>67.600999999999999</v>
      </c>
      <c r="L18" s="48">
        <v>74.823999999999998</v>
      </c>
      <c r="M18" s="48">
        <v>70.37</v>
      </c>
      <c r="N18" s="48">
        <v>70.56</v>
      </c>
      <c r="O18" s="48">
        <v>70.534000000000006</v>
      </c>
      <c r="P18" s="48">
        <v>70.494</v>
      </c>
    </row>
    <row r="19" spans="1:16" x14ac:dyDescent="0.25">
      <c r="A19" s="12" t="s">
        <v>874</v>
      </c>
      <c r="B19" s="12" t="str">
        <f t="shared" si="1"/>
        <v>NAC</v>
      </c>
      <c r="C19" s="20"/>
      <c r="D19" s="20">
        <v>4.298</v>
      </c>
      <c r="E19" s="20">
        <v>3.754</v>
      </c>
      <c r="F19" s="20">
        <v>2.2719999999999998</v>
      </c>
      <c r="G19" s="20">
        <v>3.3490000000000002</v>
      </c>
      <c r="H19" s="20">
        <v>7.4480000000000004</v>
      </c>
      <c r="I19" s="20">
        <v>10.374000000000001</v>
      </c>
      <c r="J19" s="20">
        <v>10.39</v>
      </c>
      <c r="K19" s="20">
        <v>10.247999999999999</v>
      </c>
      <c r="L19" s="48">
        <v>11.657999999999999</v>
      </c>
      <c r="M19" s="48">
        <v>13.081</v>
      </c>
      <c r="N19" s="48">
        <v>14.595000000000001</v>
      </c>
      <c r="O19" s="48">
        <v>15.983000000000001</v>
      </c>
      <c r="P19" s="48">
        <v>16.5</v>
      </c>
    </row>
    <row r="20" spans="1:16" x14ac:dyDescent="0.25">
      <c r="A20" s="12" t="s">
        <v>875</v>
      </c>
      <c r="B20" s="12" t="str">
        <f t="shared" si="1"/>
        <v>NAC</v>
      </c>
      <c r="C20" s="20"/>
      <c r="D20" s="20">
        <v>5.8120000000000003</v>
      </c>
      <c r="E20" s="20">
        <v>6.9029999999999996</v>
      </c>
      <c r="F20" s="20">
        <v>6.8380000000000001</v>
      </c>
      <c r="G20" s="20">
        <v>6.4470000000000001</v>
      </c>
      <c r="H20" s="20">
        <v>8.7840000000000007</v>
      </c>
      <c r="I20" s="20">
        <v>10.426</v>
      </c>
      <c r="J20" s="20">
        <v>11.541</v>
      </c>
      <c r="K20" s="20">
        <v>9.0519999999999996</v>
      </c>
      <c r="L20" s="48">
        <v>8.9489999999999998</v>
      </c>
      <c r="M20" s="48">
        <v>9.6180000000000003</v>
      </c>
      <c r="N20" s="48">
        <v>9.6809999999999992</v>
      </c>
      <c r="O20" s="48">
        <v>10.023</v>
      </c>
      <c r="P20" s="48">
        <v>11.425000000000001</v>
      </c>
    </row>
    <row r="21" spans="1:16" x14ac:dyDescent="0.25">
      <c r="A21" s="12" t="s">
        <v>876</v>
      </c>
      <c r="B21" s="12" t="str">
        <f t="shared" si="1"/>
        <v>NAC</v>
      </c>
      <c r="C21" s="20"/>
      <c r="D21" s="20">
        <v>0</v>
      </c>
      <c r="E21" s="20">
        <v>0</v>
      </c>
      <c r="F21" s="20">
        <v>0</v>
      </c>
      <c r="G21" s="20">
        <v>0</v>
      </c>
      <c r="H21" s="20">
        <v>0</v>
      </c>
      <c r="I21" s="20">
        <v>0</v>
      </c>
      <c r="J21" s="20">
        <v>0</v>
      </c>
      <c r="K21" s="20">
        <v>0</v>
      </c>
      <c r="L21" s="48">
        <v>1.258</v>
      </c>
      <c r="M21" s="48">
        <v>2.968</v>
      </c>
      <c r="N21" s="48">
        <v>5.0250000000000004</v>
      </c>
      <c r="O21" s="48">
        <v>7.7830000000000004</v>
      </c>
      <c r="P21" s="48">
        <v>10.116</v>
      </c>
    </row>
    <row r="22" spans="1:16" x14ac:dyDescent="0.25">
      <c r="A22" s="12" t="s">
        <v>711</v>
      </c>
      <c r="B22" s="12" t="str">
        <f>$B$10</f>
        <v>UIM</v>
      </c>
      <c r="C22" s="20"/>
      <c r="D22" s="20">
        <v>0</v>
      </c>
      <c r="E22" s="20">
        <v>0</v>
      </c>
      <c r="F22" s="20">
        <v>0</v>
      </c>
      <c r="G22" s="20">
        <v>0</v>
      </c>
      <c r="H22" s="20">
        <v>0</v>
      </c>
      <c r="I22" s="20">
        <v>0</v>
      </c>
      <c r="J22" s="20">
        <v>0</v>
      </c>
      <c r="K22" s="20">
        <v>0</v>
      </c>
      <c r="L22" s="48">
        <v>-2.6</v>
      </c>
      <c r="M22" s="48">
        <v>-0.8</v>
      </c>
      <c r="N22" s="48">
        <v>-0.65</v>
      </c>
      <c r="O22" s="48">
        <v>-0.65</v>
      </c>
      <c r="P22" s="48">
        <v>-0.65</v>
      </c>
    </row>
    <row r="23" spans="1:16" x14ac:dyDescent="0.25">
      <c r="A23" s="60" t="s">
        <v>877</v>
      </c>
      <c r="B23" s="12" t="str">
        <f t="shared" si="1"/>
        <v>NAC</v>
      </c>
      <c r="C23" s="20"/>
      <c r="D23" s="77">
        <f t="shared" ref="D23:P23" si="2">SUM(D$15:D$22)</f>
        <v>111.37599999999999</v>
      </c>
      <c r="E23" s="77">
        <f t="shared" si="2"/>
        <v>138.916</v>
      </c>
      <c r="F23" s="77">
        <f t="shared" si="2"/>
        <v>133.72200000000001</v>
      </c>
      <c r="G23" s="77">
        <f t="shared" si="2"/>
        <v>150.95600000000002</v>
      </c>
      <c r="H23" s="77">
        <f t="shared" si="2"/>
        <v>161.82199999999997</v>
      </c>
      <c r="I23" s="77">
        <f t="shared" si="2"/>
        <v>180.06099999999998</v>
      </c>
      <c r="J23" s="77">
        <f t="shared" si="2"/>
        <v>183.50200000000001</v>
      </c>
      <c r="K23" s="77">
        <f t="shared" si="2"/>
        <v>182.691</v>
      </c>
      <c r="L23" s="77">
        <f t="shared" si="2"/>
        <v>194.47300000000001</v>
      </c>
      <c r="M23" s="77">
        <f t="shared" si="2"/>
        <v>197.73099999999997</v>
      </c>
      <c r="N23" s="77">
        <f t="shared" si="2"/>
        <v>203.18200000000002</v>
      </c>
      <c r="O23" s="77">
        <f t="shared" si="2"/>
        <v>209.95</v>
      </c>
      <c r="P23" s="77">
        <f t="shared" si="2"/>
        <v>216.69899999999998</v>
      </c>
    </row>
    <row r="24" spans="1:16" x14ac:dyDescent="0.25">
      <c r="A24" s="12" t="s">
        <v>878</v>
      </c>
      <c r="B24" s="12" t="str">
        <f>$B$10</f>
        <v>UIM</v>
      </c>
      <c r="C24" s="20"/>
      <c r="D24" s="20">
        <v>4.444</v>
      </c>
      <c r="E24" s="20">
        <v>-1.35</v>
      </c>
      <c r="F24" s="20">
        <v>14.154</v>
      </c>
      <c r="G24" s="20">
        <v>-9.6869999999999994</v>
      </c>
      <c r="H24" s="20">
        <v>7.7110000000000003</v>
      </c>
      <c r="I24" s="20">
        <v>11.41</v>
      </c>
      <c r="J24" s="20">
        <v>9.2720000000000002</v>
      </c>
      <c r="K24" s="20">
        <v>13.231999999999999</v>
      </c>
      <c r="L24" s="48">
        <v>5.6539999999999999</v>
      </c>
      <c r="M24" s="48">
        <v>6.1859999999999999</v>
      </c>
      <c r="N24" s="48">
        <v>6.67</v>
      </c>
      <c r="O24" s="48">
        <v>7.1619999999999999</v>
      </c>
      <c r="P24" s="48">
        <v>7.8049999999999997</v>
      </c>
    </row>
    <row r="25" spans="1:16" x14ac:dyDescent="0.25">
      <c r="A25" s="12" t="s">
        <v>879</v>
      </c>
      <c r="B25" s="12" t="str">
        <f>$B$10</f>
        <v>UIM</v>
      </c>
      <c r="C25" s="20"/>
      <c r="D25" s="20">
        <v>-11.574999999999999</v>
      </c>
      <c r="E25" s="20">
        <v>-7.3719999999999999</v>
      </c>
      <c r="F25" s="20">
        <v>6.8689999999999998</v>
      </c>
      <c r="G25" s="20">
        <v>2.9649999999999999</v>
      </c>
      <c r="H25" s="20">
        <v>6.9470000000000001</v>
      </c>
      <c r="I25" s="20">
        <v>-6.7430000000000003</v>
      </c>
      <c r="J25" s="20">
        <v>-0.40200000000000002</v>
      </c>
      <c r="K25" s="20">
        <v>-1.98</v>
      </c>
      <c r="L25" s="48">
        <v>-5.8999999999999997E-2</v>
      </c>
      <c r="M25" s="48">
        <v>0</v>
      </c>
      <c r="N25" s="48">
        <v>0</v>
      </c>
      <c r="O25" s="48">
        <v>0</v>
      </c>
      <c r="P25" s="48">
        <v>0</v>
      </c>
    </row>
    <row r="26" spans="1:16" x14ac:dyDescent="0.25">
      <c r="A26" s="60" t="s">
        <v>880</v>
      </c>
      <c r="B26" s="12" t="str">
        <f>$B$9</f>
        <v>NAC</v>
      </c>
      <c r="C26" s="20"/>
      <c r="D26" s="77">
        <f>SUM(D$24:D$25)</f>
        <v>-7.1309999999999993</v>
      </c>
      <c r="E26" s="77">
        <f t="shared" ref="E26:P26" si="3">SUM(E$24:E$25)</f>
        <v>-8.7219999999999995</v>
      </c>
      <c r="F26" s="77">
        <f t="shared" si="3"/>
        <v>21.023</v>
      </c>
      <c r="G26" s="77">
        <f t="shared" si="3"/>
        <v>-6.7219999999999995</v>
      </c>
      <c r="H26" s="77">
        <f t="shared" si="3"/>
        <v>14.658000000000001</v>
      </c>
      <c r="I26" s="77">
        <f t="shared" si="3"/>
        <v>4.6669999999999998</v>
      </c>
      <c r="J26" s="77">
        <f t="shared" si="3"/>
        <v>8.870000000000001</v>
      </c>
      <c r="K26" s="77">
        <f t="shared" si="3"/>
        <v>11.251999999999999</v>
      </c>
      <c r="L26" s="77">
        <f t="shared" si="3"/>
        <v>5.5949999999999998</v>
      </c>
      <c r="M26" s="77">
        <f t="shared" si="3"/>
        <v>6.1859999999999999</v>
      </c>
      <c r="N26" s="77">
        <f t="shared" si="3"/>
        <v>6.67</v>
      </c>
      <c r="O26" s="77">
        <f t="shared" si="3"/>
        <v>7.1619999999999999</v>
      </c>
      <c r="P26" s="77">
        <f t="shared" si="3"/>
        <v>7.8049999999999997</v>
      </c>
    </row>
    <row r="27" spans="1:16" x14ac:dyDescent="0.25">
      <c r="A27" s="12" t="s">
        <v>881</v>
      </c>
      <c r="B27" s="12" t="str">
        <f>$B$10</f>
        <v>UIM</v>
      </c>
      <c r="C27" s="20"/>
      <c r="D27" s="20">
        <v>0.20599999999999999</v>
      </c>
      <c r="E27" s="20">
        <v>1.1930000000000001</v>
      </c>
      <c r="F27" s="20">
        <v>-0.36</v>
      </c>
      <c r="G27" s="20">
        <v>-0.126</v>
      </c>
      <c r="H27" s="20">
        <v>2.9000000000000001E-2</v>
      </c>
      <c r="I27" s="20">
        <v>0.12</v>
      </c>
      <c r="J27" s="20">
        <v>0.214</v>
      </c>
      <c r="K27" s="20">
        <v>0.27400000000000002</v>
      </c>
      <c r="L27" s="48">
        <v>0.26500000000000001</v>
      </c>
      <c r="M27" s="48">
        <v>0.252</v>
      </c>
      <c r="N27" s="48">
        <v>0.22</v>
      </c>
      <c r="O27" s="48">
        <v>0.127</v>
      </c>
      <c r="P27" s="48">
        <v>7.0000000000000007E-2</v>
      </c>
    </row>
    <row r="28" spans="1:16" x14ac:dyDescent="0.25">
      <c r="A28" s="12" t="s">
        <v>882</v>
      </c>
      <c r="B28" s="12" t="str">
        <f>$B$10</f>
        <v>UIM</v>
      </c>
      <c r="C28" s="20"/>
      <c r="D28" s="20">
        <v>0.45200000000000001</v>
      </c>
      <c r="E28" s="20">
        <v>-0.40200000000000002</v>
      </c>
      <c r="F28" s="20">
        <v>0.11700000000000001</v>
      </c>
      <c r="G28" s="20">
        <v>0.755</v>
      </c>
      <c r="H28" s="20">
        <v>0.55500000000000005</v>
      </c>
      <c r="I28" s="20">
        <v>0.438</v>
      </c>
      <c r="J28" s="20">
        <v>-0.20699999999999999</v>
      </c>
      <c r="K28" s="20">
        <v>3.3000000000000002E-2</v>
      </c>
      <c r="L28" s="48">
        <v>0.20699999999999999</v>
      </c>
      <c r="M28" s="48">
        <v>0.44900000000000001</v>
      </c>
      <c r="N28" s="48">
        <v>0.438</v>
      </c>
      <c r="O28" s="48">
        <v>0.47699999999999998</v>
      </c>
      <c r="P28" s="48">
        <v>0.60499999999999998</v>
      </c>
    </row>
    <row r="29" spans="1:16" x14ac:dyDescent="0.25">
      <c r="A29" s="60" t="s">
        <v>883</v>
      </c>
      <c r="B29" s="12" t="str">
        <f>$B$9</f>
        <v>NAC</v>
      </c>
      <c r="C29" s="20"/>
      <c r="D29" s="21">
        <v>0.38900000000000001</v>
      </c>
      <c r="E29" s="21">
        <v>-30.04</v>
      </c>
      <c r="F29" s="21">
        <v>16.158999999999999</v>
      </c>
      <c r="G29" s="21">
        <v>-16.931999999999999</v>
      </c>
      <c r="H29" s="21">
        <v>5.3209999999999997</v>
      </c>
      <c r="I29" s="21">
        <v>-8.3650000000000002</v>
      </c>
      <c r="J29" s="21">
        <v>-4.4000000000000004</v>
      </c>
      <c r="K29" s="21">
        <v>1.1359999999999999</v>
      </c>
      <c r="L29" s="47">
        <v>-2.9630000000000001</v>
      </c>
      <c r="M29" s="47">
        <v>3.4769999999999999</v>
      </c>
      <c r="N29" s="47">
        <v>8.9019999999999992</v>
      </c>
      <c r="O29" s="47">
        <v>13.542999999999999</v>
      </c>
      <c r="P29" s="47">
        <v>16.693000000000001</v>
      </c>
    </row>
    <row r="30" spans="1:16" x14ac:dyDescent="0.25">
      <c r="A30" s="60" t="s">
        <v>884</v>
      </c>
      <c r="B30" s="12"/>
      <c r="C30" s="20"/>
      <c r="D30" s="78" t="str">
        <f t="shared" ref="D30:P30" si="4">IF(ROUND(D$29-(D$14-D$23+D$26+D$27-D$28),3)=0,"OK","ERROR")</f>
        <v>OK</v>
      </c>
      <c r="E30" s="78" t="str">
        <f t="shared" si="4"/>
        <v>OK</v>
      </c>
      <c r="F30" s="78" t="str">
        <f t="shared" si="4"/>
        <v>OK</v>
      </c>
      <c r="G30" s="78" t="str">
        <f t="shared" si="4"/>
        <v>OK</v>
      </c>
      <c r="H30" s="78" t="str">
        <f t="shared" si="4"/>
        <v>OK</v>
      </c>
      <c r="I30" s="78" t="str">
        <f t="shared" si="4"/>
        <v>OK</v>
      </c>
      <c r="J30" s="78" t="str">
        <f t="shared" si="4"/>
        <v>OK</v>
      </c>
      <c r="K30" s="78" t="str">
        <f t="shared" si="4"/>
        <v>OK</v>
      </c>
      <c r="L30" s="78" t="str">
        <f t="shared" si="4"/>
        <v>OK</v>
      </c>
      <c r="M30" s="78" t="str">
        <f t="shared" si="4"/>
        <v>OK</v>
      </c>
      <c r="N30" s="78" t="str">
        <f t="shared" si="4"/>
        <v>OK</v>
      </c>
      <c r="O30" s="78" t="str">
        <f t="shared" si="4"/>
        <v>OK</v>
      </c>
      <c r="P30" s="78" t="str">
        <f t="shared" si="4"/>
        <v>OK</v>
      </c>
    </row>
    <row r="31" spans="1:16" x14ac:dyDescent="0.25">
      <c r="A31" s="60" t="s">
        <v>885</v>
      </c>
      <c r="B31" s="20"/>
      <c r="C31" s="20"/>
      <c r="D31" s="77">
        <f t="shared" ref="D31:P31" si="5">SUM(D$14,-D$23,D$26,D$27)</f>
        <v>0.84100000000000597</v>
      </c>
      <c r="E31" s="77">
        <f t="shared" si="5"/>
        <v>-30.441999999999997</v>
      </c>
      <c r="F31" s="77">
        <f t="shared" si="5"/>
        <v>16.275999999999971</v>
      </c>
      <c r="G31" s="77">
        <f t="shared" si="5"/>
        <v>-16.17700000000001</v>
      </c>
      <c r="H31" s="77">
        <f t="shared" si="5"/>
        <v>5.8760000000000225</v>
      </c>
      <c r="I31" s="77">
        <f t="shared" si="5"/>
        <v>-7.9269999999999987</v>
      </c>
      <c r="J31" s="77">
        <f t="shared" si="5"/>
        <v>-4.6070000000000011</v>
      </c>
      <c r="K31" s="77">
        <f t="shared" si="5"/>
        <v>1.1689999999999996</v>
      </c>
      <c r="L31" s="77">
        <f t="shared" si="5"/>
        <v>-2.7560000000000424</v>
      </c>
      <c r="M31" s="77">
        <f t="shared" si="5"/>
        <v>3.9260000000000277</v>
      </c>
      <c r="N31" s="77">
        <f t="shared" si="5"/>
        <v>9.3399999999999892</v>
      </c>
      <c r="O31" s="77">
        <f t="shared" si="5"/>
        <v>14.020000000000023</v>
      </c>
      <c r="P31" s="77">
        <f t="shared" si="5"/>
        <v>17.298000000000002</v>
      </c>
    </row>
    <row r="32" spans="1:16" x14ac:dyDescent="0.25">
      <c r="A32" s="12" t="s">
        <v>886</v>
      </c>
      <c r="B32" s="12" t="str">
        <f>$B$10</f>
        <v>UIM</v>
      </c>
      <c r="C32" s="20"/>
      <c r="D32" s="20">
        <v>0.115</v>
      </c>
      <c r="E32" s="20">
        <v>-0.54600000000000004</v>
      </c>
      <c r="F32" s="20">
        <v>-5.6000000000000001E-2</v>
      </c>
      <c r="G32" s="20">
        <v>0.39300000000000002</v>
      </c>
      <c r="H32" s="20">
        <v>-0.08</v>
      </c>
      <c r="I32" s="20">
        <v>0.29799999999999999</v>
      </c>
      <c r="J32" s="20">
        <v>-0.48899999999999999</v>
      </c>
      <c r="K32" s="20">
        <v>-0.34899999999999998</v>
      </c>
      <c r="L32" s="48">
        <v>9.2999999999999999E-2</v>
      </c>
      <c r="M32" s="48">
        <v>2.3E-2</v>
      </c>
      <c r="N32" s="48">
        <v>0.05</v>
      </c>
      <c r="O32" s="48">
        <v>5.6000000000000001E-2</v>
      </c>
      <c r="P32" s="48">
        <v>6.0999999999999999E-2</v>
      </c>
    </row>
    <row r="33" spans="1:16" x14ac:dyDescent="0.25">
      <c r="A33" s="60" t="s">
        <v>887</v>
      </c>
      <c r="B33" s="12" t="str">
        <f>$B$9</f>
        <v>NAC</v>
      </c>
      <c r="C33" s="20"/>
      <c r="D33" s="21">
        <v>7.4290000000000003</v>
      </c>
      <c r="E33" s="21">
        <v>-23.056999999999999</v>
      </c>
      <c r="F33" s="21">
        <v>-4.5599999999999996</v>
      </c>
      <c r="G33" s="21">
        <v>-9.6910000000000007</v>
      </c>
      <c r="H33" s="21">
        <v>-9.4459999999999997</v>
      </c>
      <c r="I33" s="21">
        <v>-12.853999999999999</v>
      </c>
      <c r="J33" s="21">
        <v>-13.973000000000001</v>
      </c>
      <c r="K33" s="21">
        <v>-10.739000000000001</v>
      </c>
      <c r="L33" s="47">
        <v>-8.73</v>
      </c>
      <c r="M33" s="47">
        <v>-2.9380000000000002</v>
      </c>
      <c r="N33" s="47">
        <v>2.0619999999999998</v>
      </c>
      <c r="O33" s="47">
        <v>6.31</v>
      </c>
      <c r="P33" s="47">
        <v>8.8789999999999996</v>
      </c>
    </row>
    <row r="34" spans="1:16" x14ac:dyDescent="0.25">
      <c r="A34" s="60" t="s">
        <v>888</v>
      </c>
      <c r="B34" s="12"/>
      <c r="C34" s="20"/>
      <c r="D34" s="78" t="str">
        <f>IF(ROUND(D$33-(D$29-D$26-D$27+D$32),3)=0,"OK","ERROR")</f>
        <v>OK</v>
      </c>
      <c r="E34" s="78" t="str">
        <f t="shared" ref="E34:P34" si="6">IF(ROUND(E$33-(E$29-E$26-E$27+E$32),3)=0,"OK","ERROR")</f>
        <v>OK</v>
      </c>
      <c r="F34" s="78" t="str">
        <f t="shared" si="6"/>
        <v>OK</v>
      </c>
      <c r="G34" s="78" t="str">
        <f t="shared" si="6"/>
        <v>OK</v>
      </c>
      <c r="H34" s="78" t="str">
        <f t="shared" si="6"/>
        <v>OK</v>
      </c>
      <c r="I34" s="78" t="str">
        <f t="shared" si="6"/>
        <v>OK</v>
      </c>
      <c r="J34" s="78" t="str">
        <f t="shared" si="6"/>
        <v>OK</v>
      </c>
      <c r="K34" s="78" t="str">
        <f t="shared" si="6"/>
        <v>OK</v>
      </c>
      <c r="L34" s="78" t="str">
        <f t="shared" si="6"/>
        <v>OK</v>
      </c>
      <c r="M34" s="78" t="str">
        <f t="shared" si="6"/>
        <v>OK</v>
      </c>
      <c r="N34" s="78" t="str">
        <f t="shared" si="6"/>
        <v>OK</v>
      </c>
      <c r="O34" s="78" t="str">
        <f t="shared" si="6"/>
        <v>OK</v>
      </c>
      <c r="P34" s="78" t="str">
        <f t="shared" si="6"/>
        <v>OK</v>
      </c>
    </row>
    <row r="35" spans="1:16" x14ac:dyDescent="0.25">
      <c r="A35" s="12" t="s">
        <v>889</v>
      </c>
      <c r="B35" s="12" t="str">
        <f>$B$10</f>
        <v>UIM</v>
      </c>
      <c r="C35" s="20"/>
      <c r="D35" s="20">
        <v>5.827</v>
      </c>
      <c r="E35" s="20">
        <v>5.73</v>
      </c>
      <c r="F35" s="20">
        <v>6.1950000000000003</v>
      </c>
      <c r="G35" s="20">
        <v>6.625</v>
      </c>
      <c r="H35" s="20">
        <v>7.39</v>
      </c>
      <c r="I35" s="20">
        <v>7.9290000000000003</v>
      </c>
      <c r="J35" s="20">
        <v>8.548</v>
      </c>
      <c r="K35" s="20">
        <v>8.9429999999999996</v>
      </c>
      <c r="L35" s="48">
        <v>9.5489999999999995</v>
      </c>
      <c r="M35" s="48">
        <v>10.170999999999999</v>
      </c>
      <c r="N35" s="48">
        <v>10.502000000000001</v>
      </c>
      <c r="O35" s="48">
        <v>11.176</v>
      </c>
      <c r="P35" s="48">
        <v>11.611000000000001</v>
      </c>
    </row>
    <row r="36" spans="1:16" x14ac:dyDescent="0.25">
      <c r="A36" s="12" t="s">
        <v>890</v>
      </c>
      <c r="B36" s="12" t="str">
        <f>$B$10</f>
        <v>UIM</v>
      </c>
      <c r="C36" s="20"/>
      <c r="D36" s="20">
        <v>6.9020000000000001</v>
      </c>
      <c r="E36" s="20">
        <v>7.8849999999999998</v>
      </c>
      <c r="F36" s="20">
        <v>8.1959999999999997</v>
      </c>
      <c r="G36" s="20">
        <v>7.6520000000000001</v>
      </c>
      <c r="H36" s="20">
        <v>9.6370000000000005</v>
      </c>
      <c r="I36" s="20">
        <v>12.01</v>
      </c>
      <c r="J36" s="20">
        <v>13.215</v>
      </c>
      <c r="K36" s="20">
        <v>11.041</v>
      </c>
      <c r="L36" s="48">
        <v>11.529</v>
      </c>
      <c r="M36" s="48">
        <v>12.275</v>
      </c>
      <c r="N36" s="48">
        <v>12.456</v>
      </c>
      <c r="O36" s="48">
        <v>12.923</v>
      </c>
      <c r="P36" s="48">
        <v>14.425000000000001</v>
      </c>
    </row>
    <row r="37" spans="1:16" x14ac:dyDescent="0.25">
      <c r="A37" s="11" t="s">
        <v>891</v>
      </c>
      <c r="B37" s="12" t="str">
        <f>$B$9</f>
        <v>NAC</v>
      </c>
      <c r="C37" s="20"/>
      <c r="D37" s="21">
        <v>8.5039999999999996</v>
      </c>
      <c r="E37" s="21">
        <v>-20.902000000000001</v>
      </c>
      <c r="F37" s="21">
        <v>-2.5590000000000002</v>
      </c>
      <c r="G37" s="21">
        <v>-8.6639999999999997</v>
      </c>
      <c r="H37" s="21">
        <v>-7.1989999999999998</v>
      </c>
      <c r="I37" s="21">
        <v>-8.7729999999999997</v>
      </c>
      <c r="J37" s="21">
        <v>-9.3059999999999992</v>
      </c>
      <c r="K37" s="21">
        <v>-8.641</v>
      </c>
      <c r="L37" s="47">
        <v>-6.75</v>
      </c>
      <c r="M37" s="47">
        <v>-0.83399999999999996</v>
      </c>
      <c r="N37" s="47">
        <v>4.016</v>
      </c>
      <c r="O37" s="47">
        <v>8.0570000000000004</v>
      </c>
      <c r="P37" s="47">
        <v>11.693</v>
      </c>
    </row>
    <row r="38" spans="1:16" x14ac:dyDescent="0.25">
      <c r="A38" s="60" t="s">
        <v>892</v>
      </c>
      <c r="B38" s="12"/>
      <c r="C38" s="20"/>
      <c r="D38" s="78" t="str">
        <f>IF(ROUND(D$37-(D$33-(D$35-D$36)),3)=0,"OK","ERROR")</f>
        <v>OK</v>
      </c>
      <c r="E38" s="78" t="str">
        <f t="shared" ref="E38:P38" si="7">IF(ROUND(E$37-(E$33-(E$35-E$36)),3)=0,"OK","ERROR")</f>
        <v>OK</v>
      </c>
      <c r="F38" s="78" t="str">
        <f t="shared" si="7"/>
        <v>OK</v>
      </c>
      <c r="G38" s="78" t="str">
        <f t="shared" si="7"/>
        <v>OK</v>
      </c>
      <c r="H38" s="78" t="str">
        <f t="shared" si="7"/>
        <v>OK</v>
      </c>
      <c r="I38" s="78" t="str">
        <f t="shared" si="7"/>
        <v>OK</v>
      </c>
      <c r="J38" s="78" t="str">
        <f t="shared" si="7"/>
        <v>OK</v>
      </c>
      <c r="K38" s="78" t="str">
        <f t="shared" si="7"/>
        <v>OK</v>
      </c>
      <c r="L38" s="78" t="str">
        <f t="shared" si="7"/>
        <v>OK</v>
      </c>
      <c r="M38" s="78" t="str">
        <f t="shared" si="7"/>
        <v>OK</v>
      </c>
      <c r="N38" s="78" t="str">
        <f t="shared" si="7"/>
        <v>OK</v>
      </c>
      <c r="O38" s="78" t="str">
        <f t="shared" si="7"/>
        <v>OK</v>
      </c>
      <c r="P38" s="78" t="str">
        <f t="shared" si="7"/>
        <v>OK</v>
      </c>
    </row>
    <row r="39" spans="1:16" x14ac:dyDescent="0.25">
      <c r="A39" s="60" t="s">
        <v>893</v>
      </c>
      <c r="B39" s="12"/>
      <c r="C39" s="20"/>
      <c r="D39" s="20"/>
      <c r="E39" s="20"/>
      <c r="F39" s="20"/>
      <c r="G39" s="20"/>
      <c r="H39" s="20"/>
      <c r="I39" s="20"/>
      <c r="J39" s="20"/>
      <c r="K39" s="20"/>
      <c r="L39" s="20"/>
      <c r="M39" s="20"/>
      <c r="N39" s="20"/>
      <c r="O39" s="20"/>
      <c r="P39" s="20"/>
    </row>
    <row r="40" spans="1:16" x14ac:dyDescent="0.25">
      <c r="A40" s="12" t="s">
        <v>764</v>
      </c>
      <c r="B40" s="12" t="str">
        <f>$B$10</f>
        <v>UIM</v>
      </c>
      <c r="C40" s="20"/>
      <c r="D40" s="20">
        <v>33.902000000000001</v>
      </c>
      <c r="E40" s="20">
        <v>49.9</v>
      </c>
      <c r="F40" s="20">
        <v>42.892000000000003</v>
      </c>
      <c r="G40" s="20">
        <v>48.302999999999997</v>
      </c>
      <c r="H40" s="20">
        <v>48.844999999999999</v>
      </c>
      <c r="I40" s="20">
        <v>53.996000000000002</v>
      </c>
      <c r="J40" s="20">
        <v>57.634999999999998</v>
      </c>
      <c r="K40" s="20">
        <v>58.037999999999997</v>
      </c>
      <c r="L40" s="48">
        <v>61.235999999999997</v>
      </c>
      <c r="M40" s="48">
        <v>63.616</v>
      </c>
      <c r="N40" s="48">
        <v>64.981999999999999</v>
      </c>
      <c r="O40" s="48">
        <v>66.945999999999998</v>
      </c>
      <c r="P40" s="48">
        <v>70.519000000000005</v>
      </c>
    </row>
    <row r="41" spans="1:16" x14ac:dyDescent="0.25">
      <c r="A41" s="12" t="s">
        <v>445</v>
      </c>
      <c r="B41" s="12" t="str">
        <f t="shared" ref="B41:B53" si="8">$B$10</f>
        <v>UIM</v>
      </c>
      <c r="C41" s="20"/>
      <c r="D41" s="20">
        <v>18.66</v>
      </c>
      <c r="E41" s="20">
        <v>20.469000000000001</v>
      </c>
      <c r="F41" s="20">
        <v>22.597999999999999</v>
      </c>
      <c r="G41" s="20">
        <v>27.658000000000001</v>
      </c>
      <c r="H41" s="20">
        <v>29.824000000000002</v>
      </c>
      <c r="I41" s="20">
        <v>29.84</v>
      </c>
      <c r="J41" s="20">
        <v>29.853000000000002</v>
      </c>
      <c r="K41" s="20">
        <v>31.789000000000001</v>
      </c>
      <c r="L41" s="48">
        <v>33.75</v>
      </c>
      <c r="M41" s="48">
        <v>33.049999999999997</v>
      </c>
      <c r="N41" s="48">
        <v>32.851999999999997</v>
      </c>
      <c r="O41" s="48">
        <v>32.619999999999997</v>
      </c>
      <c r="P41" s="48">
        <v>32.451999999999998</v>
      </c>
    </row>
    <row r="42" spans="1:16" x14ac:dyDescent="0.25">
      <c r="A42" s="12" t="s">
        <v>468</v>
      </c>
      <c r="B42" s="12" t="str">
        <f t="shared" si="8"/>
        <v>UIM</v>
      </c>
      <c r="C42" s="20"/>
      <c r="D42" s="20">
        <v>15.28</v>
      </c>
      <c r="E42" s="20">
        <v>17.581</v>
      </c>
      <c r="F42" s="20">
        <v>17.384</v>
      </c>
      <c r="G42" s="20">
        <v>18.911000000000001</v>
      </c>
      <c r="H42" s="20">
        <v>19.609000000000002</v>
      </c>
      <c r="I42" s="20">
        <v>21.186</v>
      </c>
      <c r="J42" s="20">
        <v>22.308</v>
      </c>
      <c r="K42" s="20">
        <v>22.850999999999999</v>
      </c>
      <c r="L42" s="48">
        <v>23.771000000000001</v>
      </c>
      <c r="M42" s="48">
        <v>23.777999999999999</v>
      </c>
      <c r="N42" s="48">
        <v>23.667999999999999</v>
      </c>
      <c r="O42" s="48">
        <v>23.712</v>
      </c>
      <c r="P42" s="48">
        <v>23.826000000000001</v>
      </c>
    </row>
    <row r="43" spans="1:16" x14ac:dyDescent="0.25">
      <c r="A43" s="12" t="s">
        <v>718</v>
      </c>
      <c r="B43" s="12" t="str">
        <f t="shared" si="8"/>
        <v>UIM</v>
      </c>
      <c r="C43" s="20"/>
      <c r="D43" s="20">
        <v>4.7320000000000002</v>
      </c>
      <c r="E43" s="20">
        <v>5.8689999999999998</v>
      </c>
      <c r="F43" s="20">
        <v>5.6020000000000003</v>
      </c>
      <c r="G43" s="20">
        <v>5.4260000000000002</v>
      </c>
      <c r="H43" s="20">
        <v>6.6630000000000003</v>
      </c>
      <c r="I43" s="20">
        <v>8.1780000000000008</v>
      </c>
      <c r="J43" s="20">
        <v>7.7750000000000004</v>
      </c>
      <c r="K43" s="20">
        <v>5.6</v>
      </c>
      <c r="L43" s="48">
        <v>6.1420000000000003</v>
      </c>
      <c r="M43" s="48">
        <v>5.984</v>
      </c>
      <c r="N43" s="48">
        <v>6.1669999999999998</v>
      </c>
      <c r="O43" s="48">
        <v>6.1909999999999998</v>
      </c>
      <c r="P43" s="48">
        <v>6.1319999999999997</v>
      </c>
    </row>
    <row r="44" spans="1:16" x14ac:dyDescent="0.25">
      <c r="A44" s="12" t="s">
        <v>765</v>
      </c>
      <c r="B44" s="12" t="str">
        <f t="shared" si="8"/>
        <v>UIM</v>
      </c>
      <c r="C44" s="20"/>
      <c r="D44" s="20">
        <v>5.05</v>
      </c>
      <c r="E44" s="20">
        <v>5.3040000000000003</v>
      </c>
      <c r="F44" s="20">
        <v>5.5330000000000004</v>
      </c>
      <c r="G44" s="20">
        <v>5.9210000000000003</v>
      </c>
      <c r="H44" s="20">
        <v>6.6660000000000004</v>
      </c>
      <c r="I44" s="20">
        <v>7.0720000000000001</v>
      </c>
      <c r="J44" s="20">
        <v>7.3090000000000002</v>
      </c>
      <c r="K44" s="20">
        <v>7.6340000000000003</v>
      </c>
      <c r="L44" s="48">
        <v>8.4649999999999999</v>
      </c>
      <c r="M44" s="48">
        <v>8.2680000000000007</v>
      </c>
      <c r="N44" s="48">
        <v>8.0830000000000002</v>
      </c>
      <c r="O44" s="48">
        <v>8.1440000000000001</v>
      </c>
      <c r="P44" s="48">
        <v>8.2080000000000002</v>
      </c>
    </row>
    <row r="45" spans="1:16" x14ac:dyDescent="0.25">
      <c r="A45" s="12" t="s">
        <v>766</v>
      </c>
      <c r="B45" s="12" t="str">
        <f t="shared" si="8"/>
        <v>UIM</v>
      </c>
      <c r="C45" s="20"/>
      <c r="D45" s="20">
        <v>8.4290000000000003</v>
      </c>
      <c r="E45" s="20">
        <v>12.962</v>
      </c>
      <c r="F45" s="20">
        <v>10.335000000000001</v>
      </c>
      <c r="G45" s="20">
        <v>9.5280000000000005</v>
      </c>
      <c r="H45" s="20">
        <v>14.428000000000001</v>
      </c>
      <c r="I45" s="20">
        <v>16.733000000000001</v>
      </c>
      <c r="J45" s="20">
        <v>15.83</v>
      </c>
      <c r="K45" s="20">
        <v>17.46</v>
      </c>
      <c r="L45" s="48">
        <v>17.536999999999999</v>
      </c>
      <c r="M45" s="48">
        <v>16.969000000000001</v>
      </c>
      <c r="N45" s="48">
        <v>17.106000000000002</v>
      </c>
      <c r="O45" s="48">
        <v>17.669</v>
      </c>
      <c r="P45" s="48">
        <v>17.748999999999999</v>
      </c>
    </row>
    <row r="46" spans="1:16" x14ac:dyDescent="0.25">
      <c r="A46" s="12" t="s">
        <v>720</v>
      </c>
      <c r="B46" s="12" t="str">
        <f t="shared" si="8"/>
        <v>UIM</v>
      </c>
      <c r="C46" s="20"/>
      <c r="D46" s="20">
        <v>10.433</v>
      </c>
      <c r="E46" s="20">
        <v>11.246</v>
      </c>
      <c r="F46" s="20">
        <v>13.429</v>
      </c>
      <c r="G46" s="20">
        <v>16.672999999999998</v>
      </c>
      <c r="H46" s="20">
        <v>12.384</v>
      </c>
      <c r="I46" s="20">
        <v>16.007999999999999</v>
      </c>
      <c r="J46" s="20">
        <v>16.152999999999999</v>
      </c>
      <c r="K46" s="20">
        <v>12.811999999999999</v>
      </c>
      <c r="L46" s="48">
        <v>15.704000000000001</v>
      </c>
      <c r="M46" s="48">
        <v>14.314</v>
      </c>
      <c r="N46" s="48">
        <v>14.819000000000001</v>
      </c>
      <c r="O46" s="48">
        <v>15.06</v>
      </c>
      <c r="P46" s="48">
        <v>15.331</v>
      </c>
    </row>
    <row r="47" spans="1:16" x14ac:dyDescent="0.25">
      <c r="A47" s="12" t="s">
        <v>767</v>
      </c>
      <c r="B47" s="12" t="str">
        <f t="shared" si="8"/>
        <v>UIM</v>
      </c>
      <c r="C47" s="20"/>
      <c r="D47" s="20">
        <v>2.39</v>
      </c>
      <c r="E47" s="20">
        <v>2.4820000000000002</v>
      </c>
      <c r="F47" s="20">
        <v>2.6480000000000001</v>
      </c>
      <c r="G47" s="20">
        <v>2.8029999999999999</v>
      </c>
      <c r="H47" s="20">
        <v>2.8380000000000001</v>
      </c>
      <c r="I47" s="20">
        <v>3.125</v>
      </c>
      <c r="J47" s="20">
        <v>3.226</v>
      </c>
      <c r="K47" s="20">
        <v>3.484</v>
      </c>
      <c r="L47" s="48">
        <v>3.835</v>
      </c>
      <c r="M47" s="48">
        <v>3.8140000000000001</v>
      </c>
      <c r="N47" s="48">
        <v>3.8559999999999999</v>
      </c>
      <c r="O47" s="48">
        <v>3.8919999999999999</v>
      </c>
      <c r="P47" s="48">
        <v>3.9039999999999999</v>
      </c>
    </row>
    <row r="48" spans="1:16" x14ac:dyDescent="0.25">
      <c r="A48" s="12" t="s">
        <v>722</v>
      </c>
      <c r="B48" s="12" t="str">
        <f t="shared" si="8"/>
        <v>UIM</v>
      </c>
      <c r="C48" s="20"/>
      <c r="D48" s="20">
        <v>2.5030000000000001</v>
      </c>
      <c r="E48" s="20">
        <v>2.9039999999999999</v>
      </c>
      <c r="F48" s="20">
        <v>3.0230000000000001</v>
      </c>
      <c r="G48" s="20">
        <v>3.26</v>
      </c>
      <c r="H48" s="20">
        <v>3.4169999999999998</v>
      </c>
      <c r="I48" s="20">
        <v>3.6080000000000001</v>
      </c>
      <c r="J48" s="20">
        <v>3.3809999999999998</v>
      </c>
      <c r="K48" s="20">
        <v>3.5270000000000001</v>
      </c>
      <c r="L48" s="48">
        <v>3.528</v>
      </c>
      <c r="M48" s="48">
        <v>3.4950000000000001</v>
      </c>
      <c r="N48" s="48">
        <v>3.5459999999999998</v>
      </c>
      <c r="O48" s="48">
        <v>3.5680000000000001</v>
      </c>
      <c r="P48" s="48">
        <v>3.5990000000000002</v>
      </c>
    </row>
    <row r="49" spans="1:16" x14ac:dyDescent="0.25">
      <c r="A49" s="12" t="s">
        <v>723</v>
      </c>
      <c r="B49" s="12" t="str">
        <f t="shared" si="8"/>
        <v>UIM</v>
      </c>
      <c r="C49" s="20"/>
      <c r="D49" s="20">
        <v>2.395</v>
      </c>
      <c r="E49" s="20">
        <v>2.4300000000000002</v>
      </c>
      <c r="F49" s="20">
        <v>2.3980000000000001</v>
      </c>
      <c r="G49" s="20">
        <v>2.302</v>
      </c>
      <c r="H49" s="20">
        <v>2.74</v>
      </c>
      <c r="I49" s="20">
        <v>2.6360000000000001</v>
      </c>
      <c r="J49" s="20">
        <v>2.5249999999999999</v>
      </c>
      <c r="K49" s="20">
        <v>2.4449999999999998</v>
      </c>
      <c r="L49" s="48">
        <v>2.7530000000000001</v>
      </c>
      <c r="M49" s="48">
        <v>2.3940000000000001</v>
      </c>
      <c r="N49" s="48">
        <v>2.2040000000000002</v>
      </c>
      <c r="O49" s="48">
        <v>2.2759999999999998</v>
      </c>
      <c r="P49" s="48">
        <v>2.2250000000000001</v>
      </c>
    </row>
    <row r="50" spans="1:16" x14ac:dyDescent="0.25">
      <c r="A50" s="12" t="s">
        <v>724</v>
      </c>
      <c r="B50" s="12" t="str">
        <f t="shared" si="8"/>
        <v>UIM</v>
      </c>
      <c r="C50" s="20"/>
      <c r="D50" s="20">
        <v>2.02</v>
      </c>
      <c r="E50" s="20">
        <v>2.3929999999999998</v>
      </c>
      <c r="F50" s="20">
        <v>3.351</v>
      </c>
      <c r="G50" s="20">
        <v>3.9350000000000001</v>
      </c>
      <c r="H50" s="20">
        <v>4.3959999999999999</v>
      </c>
      <c r="I50" s="20">
        <v>4.7889999999999997</v>
      </c>
      <c r="J50" s="20">
        <v>4.5069999999999997</v>
      </c>
      <c r="K50" s="20">
        <v>4.0339999999999998</v>
      </c>
      <c r="L50" s="48">
        <v>4.266</v>
      </c>
      <c r="M50" s="48">
        <v>3.915</v>
      </c>
      <c r="N50" s="48">
        <v>3.8740000000000001</v>
      </c>
      <c r="O50" s="48">
        <v>3.7850000000000001</v>
      </c>
      <c r="P50" s="48">
        <v>3.786</v>
      </c>
    </row>
    <row r="51" spans="1:16" x14ac:dyDescent="0.25">
      <c r="A51" s="12" t="s">
        <v>725</v>
      </c>
      <c r="B51" s="12" t="str">
        <f t="shared" si="8"/>
        <v>UIM</v>
      </c>
      <c r="C51" s="20"/>
      <c r="D51" s="20">
        <v>1.1080000000000001</v>
      </c>
      <c r="E51" s="20">
        <v>1.472</v>
      </c>
      <c r="F51" s="20">
        <v>1.889</v>
      </c>
      <c r="G51" s="20">
        <v>2.5350000000000001</v>
      </c>
      <c r="H51" s="20">
        <v>2.3530000000000002</v>
      </c>
      <c r="I51" s="20">
        <v>2.2770000000000001</v>
      </c>
      <c r="J51" s="20">
        <v>2.4</v>
      </c>
      <c r="K51" s="20">
        <v>2.5099999999999998</v>
      </c>
      <c r="L51" s="48">
        <v>2.9060000000000001</v>
      </c>
      <c r="M51" s="48">
        <v>2.7480000000000002</v>
      </c>
      <c r="N51" s="48">
        <v>2.7229999999999999</v>
      </c>
      <c r="O51" s="48">
        <v>2.641</v>
      </c>
      <c r="P51" s="48">
        <v>2.673</v>
      </c>
    </row>
    <row r="52" spans="1:16" x14ac:dyDescent="0.25">
      <c r="A52" s="12" t="s">
        <v>768</v>
      </c>
      <c r="B52" s="12" t="str">
        <f t="shared" si="8"/>
        <v>UIM</v>
      </c>
      <c r="C52" s="20"/>
      <c r="D52" s="20">
        <v>0.08</v>
      </c>
      <c r="E52" s="20">
        <v>8.6999999999999994E-2</v>
      </c>
      <c r="F52" s="20">
        <v>0.114</v>
      </c>
      <c r="G52" s="20">
        <v>0.11</v>
      </c>
      <c r="H52" s="20">
        <v>7.8E-2</v>
      </c>
      <c r="I52" s="20">
        <v>9.4E-2</v>
      </c>
      <c r="J52" s="20">
        <v>8.3000000000000004E-2</v>
      </c>
      <c r="K52" s="20">
        <v>7.0000000000000007E-2</v>
      </c>
      <c r="L52" s="48">
        <v>5.3999999999999999E-2</v>
      </c>
      <c r="M52" s="48">
        <v>5.6000000000000001E-2</v>
      </c>
      <c r="N52" s="48">
        <v>5.5E-2</v>
      </c>
      <c r="O52" s="48">
        <v>5.3999999999999999E-2</v>
      </c>
      <c r="P52" s="48">
        <v>5.2999999999999999E-2</v>
      </c>
    </row>
    <row r="53" spans="1:16" x14ac:dyDescent="0.25">
      <c r="A53" s="12" t="s">
        <v>769</v>
      </c>
      <c r="B53" s="12" t="str">
        <f t="shared" si="8"/>
        <v>UIM</v>
      </c>
      <c r="C53" s="20"/>
      <c r="D53" s="20">
        <v>9.6000000000000002E-2</v>
      </c>
      <c r="E53" s="20">
        <v>6.3E-2</v>
      </c>
      <c r="F53" s="20">
        <v>0.254</v>
      </c>
      <c r="G53" s="20">
        <v>0.24199999999999999</v>
      </c>
      <c r="H53" s="20">
        <v>0.13300000000000001</v>
      </c>
      <c r="I53" s="20">
        <v>0.14499999999999999</v>
      </c>
      <c r="J53" s="20">
        <v>0.127</v>
      </c>
      <c r="K53" s="20">
        <v>0.189</v>
      </c>
      <c r="L53" s="48">
        <v>0.21</v>
      </c>
      <c r="M53" s="48">
        <v>8.1000000000000003E-2</v>
      </c>
      <c r="N53" s="48">
        <v>0.27700000000000002</v>
      </c>
      <c r="O53" s="48">
        <v>0.27600000000000002</v>
      </c>
      <c r="P53" s="48">
        <v>0.27600000000000002</v>
      </c>
    </row>
    <row r="54" spans="1:16" x14ac:dyDescent="0.25">
      <c r="A54" s="12" t="s">
        <v>770</v>
      </c>
      <c r="B54" s="12" t="str">
        <f>$B$9</f>
        <v>NAC</v>
      </c>
      <c r="C54" s="20"/>
      <c r="D54" s="20">
        <v>4.298</v>
      </c>
      <c r="E54" s="20">
        <v>3.754</v>
      </c>
      <c r="F54" s="20">
        <v>2.2719999999999998</v>
      </c>
      <c r="G54" s="20">
        <v>3.3490000000000002</v>
      </c>
      <c r="H54" s="20">
        <v>7.4480000000000004</v>
      </c>
      <c r="I54" s="20">
        <v>10.374000000000001</v>
      </c>
      <c r="J54" s="20">
        <v>10.39</v>
      </c>
      <c r="K54" s="20">
        <v>10.247999999999999</v>
      </c>
      <c r="L54" s="48">
        <v>11.657999999999999</v>
      </c>
      <c r="M54" s="48">
        <v>13.081</v>
      </c>
      <c r="N54" s="48">
        <v>14.595000000000001</v>
      </c>
      <c r="O54" s="48">
        <v>15.983000000000001</v>
      </c>
      <c r="P54" s="48">
        <v>16.5</v>
      </c>
    </row>
    <row r="55" spans="1:16" x14ac:dyDescent="0.25">
      <c r="A55" s="60" t="s">
        <v>894</v>
      </c>
      <c r="B55" s="20"/>
      <c r="C55" s="20"/>
      <c r="D55" s="77">
        <f t="shared" ref="D55:P55" si="9">SUM(D$21:D$22,D$40:D$54)</f>
        <v>111.37599999999999</v>
      </c>
      <c r="E55" s="77">
        <f t="shared" si="9"/>
        <v>138.916</v>
      </c>
      <c r="F55" s="77">
        <f t="shared" si="9"/>
        <v>133.72200000000001</v>
      </c>
      <c r="G55" s="77">
        <f t="shared" si="9"/>
        <v>150.95599999999999</v>
      </c>
      <c r="H55" s="77">
        <f t="shared" si="9"/>
        <v>161.822</v>
      </c>
      <c r="I55" s="77">
        <f t="shared" si="9"/>
        <v>180.06099999999998</v>
      </c>
      <c r="J55" s="77">
        <f t="shared" si="9"/>
        <v>183.50200000000001</v>
      </c>
      <c r="K55" s="77">
        <f t="shared" si="9"/>
        <v>182.69099999999995</v>
      </c>
      <c r="L55" s="77">
        <f t="shared" si="9"/>
        <v>194.47300000000001</v>
      </c>
      <c r="M55" s="77">
        <f t="shared" si="9"/>
        <v>197.73099999999997</v>
      </c>
      <c r="N55" s="77">
        <f t="shared" si="9"/>
        <v>203.18199999999999</v>
      </c>
      <c r="O55" s="77">
        <f t="shared" si="9"/>
        <v>209.95000000000002</v>
      </c>
      <c r="P55" s="77">
        <f t="shared" si="9"/>
        <v>216.69899999999998</v>
      </c>
    </row>
    <row r="56" spans="1:16" x14ac:dyDescent="0.25">
      <c r="A56" s="60" t="s">
        <v>895</v>
      </c>
      <c r="B56" s="12"/>
      <c r="C56" s="20"/>
      <c r="D56" s="20"/>
      <c r="E56" s="20"/>
      <c r="F56" s="20"/>
      <c r="G56" s="20"/>
      <c r="H56" s="20"/>
      <c r="I56" s="20"/>
      <c r="J56" s="20"/>
      <c r="K56" s="20"/>
      <c r="L56" s="20"/>
      <c r="M56" s="20"/>
      <c r="N56" s="20"/>
      <c r="O56" s="20"/>
      <c r="P56" s="20"/>
    </row>
    <row r="57" spans="1:16" x14ac:dyDescent="0.25">
      <c r="A57" s="12" t="s">
        <v>764</v>
      </c>
      <c r="B57" s="12" t="str">
        <f t="shared" ref="B57:B70" si="10">$B$10</f>
        <v>UIM</v>
      </c>
      <c r="C57" s="20"/>
      <c r="D57" s="20">
        <v>28.74</v>
      </c>
      <c r="E57" s="20">
        <v>44.027999999999999</v>
      </c>
      <c r="F57" s="20">
        <v>36.759</v>
      </c>
      <c r="G57" s="20">
        <v>42.86</v>
      </c>
      <c r="H57" s="20">
        <v>41.514000000000003</v>
      </c>
      <c r="I57" s="20">
        <v>44.588999999999999</v>
      </c>
      <c r="J57" s="20">
        <v>47.503</v>
      </c>
      <c r="K57" s="20">
        <v>50.223999999999997</v>
      </c>
      <c r="L57" s="48">
        <v>53.390999999999998</v>
      </c>
      <c r="M57" s="48">
        <v>55.097999999999999</v>
      </c>
      <c r="N57" s="48">
        <v>56.384</v>
      </c>
      <c r="O57" s="48">
        <v>58.048000000000002</v>
      </c>
      <c r="P57" s="48">
        <v>60.286000000000001</v>
      </c>
    </row>
    <row r="58" spans="1:16" x14ac:dyDescent="0.25">
      <c r="A58" s="12" t="s">
        <v>445</v>
      </c>
      <c r="B58" s="12" t="str">
        <f t="shared" si="10"/>
        <v>UIM</v>
      </c>
      <c r="C58" s="20"/>
      <c r="D58" s="20">
        <v>18.268000000000001</v>
      </c>
      <c r="E58" s="20">
        <v>19.890999999999998</v>
      </c>
      <c r="F58" s="20">
        <v>22.783999999999999</v>
      </c>
      <c r="G58" s="20">
        <v>27.780999999999999</v>
      </c>
      <c r="H58" s="20">
        <v>28.489000000000001</v>
      </c>
      <c r="I58" s="20">
        <v>29.998999999999999</v>
      </c>
      <c r="J58" s="20">
        <v>30.311</v>
      </c>
      <c r="K58" s="20">
        <v>32.917000000000002</v>
      </c>
      <c r="L58" s="48">
        <v>34.472000000000001</v>
      </c>
      <c r="M58" s="48">
        <v>34.094000000000001</v>
      </c>
      <c r="N58" s="48">
        <v>34.209000000000003</v>
      </c>
      <c r="O58" s="48">
        <v>34.293999999999997</v>
      </c>
      <c r="P58" s="48">
        <v>34.451999999999998</v>
      </c>
    </row>
    <row r="59" spans="1:16" x14ac:dyDescent="0.25">
      <c r="A59" s="12" t="s">
        <v>468</v>
      </c>
      <c r="B59" s="12" t="str">
        <f t="shared" si="10"/>
        <v>UIM</v>
      </c>
      <c r="C59" s="20"/>
      <c r="D59" s="20">
        <v>14.292999999999999</v>
      </c>
      <c r="E59" s="20">
        <v>16.321999999999999</v>
      </c>
      <c r="F59" s="20">
        <v>16.039000000000001</v>
      </c>
      <c r="G59" s="20">
        <v>18.023</v>
      </c>
      <c r="H59" s="20">
        <v>18.402999999999999</v>
      </c>
      <c r="I59" s="20">
        <v>20.222999999999999</v>
      </c>
      <c r="J59" s="20">
        <v>20.895</v>
      </c>
      <c r="K59" s="20">
        <v>21.206</v>
      </c>
      <c r="L59" s="48">
        <v>22.187000000000001</v>
      </c>
      <c r="M59" s="48">
        <v>22.068999999999999</v>
      </c>
      <c r="N59" s="48">
        <v>21.948</v>
      </c>
      <c r="O59" s="48">
        <v>21.952000000000002</v>
      </c>
      <c r="P59" s="48">
        <v>22.018999999999998</v>
      </c>
    </row>
    <row r="60" spans="1:16" x14ac:dyDescent="0.25">
      <c r="A60" s="12" t="s">
        <v>718</v>
      </c>
      <c r="B60" s="12" t="str">
        <f t="shared" si="10"/>
        <v>UIM</v>
      </c>
      <c r="C60" s="20"/>
      <c r="D60" s="20">
        <v>5.1660000000000004</v>
      </c>
      <c r="E60" s="20">
        <v>6.0830000000000002</v>
      </c>
      <c r="F60" s="20">
        <v>5.7539999999999996</v>
      </c>
      <c r="G60" s="20">
        <v>5.72</v>
      </c>
      <c r="H60" s="20">
        <v>6.806</v>
      </c>
      <c r="I60" s="20">
        <v>8.468</v>
      </c>
      <c r="J60" s="20">
        <v>7.9080000000000004</v>
      </c>
      <c r="K60" s="20">
        <v>5.98</v>
      </c>
      <c r="L60" s="48">
        <v>6.657</v>
      </c>
      <c r="M60" s="48">
        <v>6.3869999999999996</v>
      </c>
      <c r="N60" s="48">
        <v>6.3289999999999997</v>
      </c>
      <c r="O60" s="48">
        <v>6.327</v>
      </c>
      <c r="P60" s="48">
        <v>6.2629999999999999</v>
      </c>
    </row>
    <row r="61" spans="1:16" x14ac:dyDescent="0.25">
      <c r="A61" s="12" t="s">
        <v>765</v>
      </c>
      <c r="B61" s="12" t="str">
        <f t="shared" si="10"/>
        <v>UIM</v>
      </c>
      <c r="C61" s="20"/>
      <c r="D61" s="20">
        <v>4.625</v>
      </c>
      <c r="E61" s="20">
        <v>4.9109999999999996</v>
      </c>
      <c r="F61" s="20">
        <v>5.202</v>
      </c>
      <c r="G61" s="20">
        <v>5.444</v>
      </c>
      <c r="H61" s="20">
        <v>6.165</v>
      </c>
      <c r="I61" s="20">
        <v>6.5270000000000001</v>
      </c>
      <c r="J61" s="20">
        <v>6.734</v>
      </c>
      <c r="K61" s="20">
        <v>7.077</v>
      </c>
      <c r="L61" s="48">
        <v>7.7619999999999996</v>
      </c>
      <c r="M61" s="48">
        <v>7.4859999999999998</v>
      </c>
      <c r="N61" s="48">
        <v>7.34</v>
      </c>
      <c r="O61" s="48">
        <v>7.3689999999999998</v>
      </c>
      <c r="P61" s="48">
        <v>7.4039999999999999</v>
      </c>
    </row>
    <row r="62" spans="1:16" x14ac:dyDescent="0.25">
      <c r="A62" s="12" t="s">
        <v>766</v>
      </c>
      <c r="B62" s="12" t="str">
        <f t="shared" si="10"/>
        <v>UIM</v>
      </c>
      <c r="C62" s="20"/>
      <c r="D62" s="20">
        <v>2.8889999999999998</v>
      </c>
      <c r="E62" s="20">
        <v>3.1789999999999998</v>
      </c>
      <c r="F62" s="20">
        <v>5.6559999999999997</v>
      </c>
      <c r="G62" s="20">
        <v>4.657</v>
      </c>
      <c r="H62" s="20">
        <v>5.4720000000000004</v>
      </c>
      <c r="I62" s="20">
        <v>5.4870000000000001</v>
      </c>
      <c r="J62" s="20">
        <v>5.4720000000000004</v>
      </c>
      <c r="K62" s="20">
        <v>6.0350000000000001</v>
      </c>
      <c r="L62" s="48">
        <v>5.3330000000000002</v>
      </c>
      <c r="M62" s="48">
        <v>5.4080000000000004</v>
      </c>
      <c r="N62" s="48">
        <v>5.65</v>
      </c>
      <c r="O62" s="48">
        <v>5.5910000000000002</v>
      </c>
      <c r="P62" s="48">
        <v>5.6349999999999998</v>
      </c>
    </row>
    <row r="63" spans="1:16" x14ac:dyDescent="0.25">
      <c r="A63" s="12" t="s">
        <v>720</v>
      </c>
      <c r="B63" s="12" t="str">
        <f t="shared" si="10"/>
        <v>UIM</v>
      </c>
      <c r="C63" s="20"/>
      <c r="D63" s="20">
        <v>3.0059999999999998</v>
      </c>
      <c r="E63" s="20">
        <v>3.988</v>
      </c>
      <c r="F63" s="20">
        <v>4.4809999999999999</v>
      </c>
      <c r="G63" s="20">
        <v>8.0779999999999994</v>
      </c>
      <c r="H63" s="20">
        <v>3.69</v>
      </c>
      <c r="I63" s="20">
        <v>4.01</v>
      </c>
      <c r="J63" s="20">
        <v>3.5139999999999998</v>
      </c>
      <c r="K63" s="20">
        <v>3.012</v>
      </c>
      <c r="L63" s="48">
        <v>3.7679999999999998</v>
      </c>
      <c r="M63" s="48">
        <v>3.0430000000000001</v>
      </c>
      <c r="N63" s="48">
        <v>3.2330000000000001</v>
      </c>
      <c r="O63" s="48">
        <v>3.2650000000000001</v>
      </c>
      <c r="P63" s="48">
        <v>3.294</v>
      </c>
    </row>
    <row r="64" spans="1:16" x14ac:dyDescent="0.25">
      <c r="A64" s="12" t="s">
        <v>767</v>
      </c>
      <c r="B64" s="12" t="str">
        <f t="shared" si="10"/>
        <v>UIM</v>
      </c>
      <c r="C64" s="20"/>
      <c r="D64" s="20">
        <v>2.395</v>
      </c>
      <c r="E64" s="20">
        <v>2.4990000000000001</v>
      </c>
      <c r="F64" s="20">
        <v>2.6640000000000001</v>
      </c>
      <c r="G64" s="20">
        <v>2.8319999999999999</v>
      </c>
      <c r="H64" s="20">
        <v>2.8860000000000001</v>
      </c>
      <c r="I64" s="20">
        <v>3.1629999999999998</v>
      </c>
      <c r="J64" s="20">
        <v>3.2709999999999999</v>
      </c>
      <c r="K64" s="20">
        <v>3.5249999999999999</v>
      </c>
      <c r="L64" s="48">
        <v>3.8780000000000001</v>
      </c>
      <c r="M64" s="48">
        <v>3.8580000000000001</v>
      </c>
      <c r="N64" s="48">
        <v>3.9</v>
      </c>
      <c r="O64" s="48">
        <v>3.9359999999999999</v>
      </c>
      <c r="P64" s="48">
        <v>3.948</v>
      </c>
    </row>
    <row r="65" spans="1:16" x14ac:dyDescent="0.25">
      <c r="A65" s="12" t="s">
        <v>722</v>
      </c>
      <c r="B65" s="12" t="str">
        <f t="shared" si="10"/>
        <v>UIM</v>
      </c>
      <c r="C65" s="20"/>
      <c r="D65" s="20">
        <v>0.91800000000000004</v>
      </c>
      <c r="E65" s="20">
        <v>1.1060000000000001</v>
      </c>
      <c r="F65" s="20">
        <v>1.42</v>
      </c>
      <c r="G65" s="20">
        <v>1.468</v>
      </c>
      <c r="H65" s="20">
        <v>1.5369999999999999</v>
      </c>
      <c r="I65" s="20">
        <v>1.504</v>
      </c>
      <c r="J65" s="20">
        <v>1.4570000000000001</v>
      </c>
      <c r="K65" s="20">
        <v>1.4390000000000001</v>
      </c>
      <c r="L65" s="48">
        <v>1.4419999999999999</v>
      </c>
      <c r="M65" s="48">
        <v>1.4119999999999999</v>
      </c>
      <c r="N65" s="48">
        <v>1.3959999999999999</v>
      </c>
      <c r="O65" s="48">
        <v>1.365</v>
      </c>
      <c r="P65" s="48">
        <v>1.357</v>
      </c>
    </row>
    <row r="66" spans="1:16" x14ac:dyDescent="0.25">
      <c r="A66" s="12" t="s">
        <v>723</v>
      </c>
      <c r="B66" s="12" t="str">
        <f t="shared" si="10"/>
        <v>UIM</v>
      </c>
      <c r="C66" s="20"/>
      <c r="D66" s="20">
        <v>0.96</v>
      </c>
      <c r="E66" s="20">
        <v>0.96099999999999997</v>
      </c>
      <c r="F66" s="20">
        <v>1.0149999999999999</v>
      </c>
      <c r="G66" s="20">
        <v>0.94899999999999995</v>
      </c>
      <c r="H66" s="20">
        <v>1.1559999999999999</v>
      </c>
      <c r="I66" s="20">
        <v>1.0620000000000001</v>
      </c>
      <c r="J66" s="20">
        <v>0.996</v>
      </c>
      <c r="K66" s="20">
        <v>1.03</v>
      </c>
      <c r="L66" s="48">
        <v>1.351</v>
      </c>
      <c r="M66" s="48">
        <v>1.1359999999999999</v>
      </c>
      <c r="N66" s="48">
        <v>1.1259999999999999</v>
      </c>
      <c r="O66" s="48">
        <v>1.18</v>
      </c>
      <c r="P66" s="48">
        <v>1.0980000000000001</v>
      </c>
    </row>
    <row r="67" spans="1:16" x14ac:dyDescent="0.25">
      <c r="A67" s="12" t="s">
        <v>724</v>
      </c>
      <c r="B67" s="12" t="str">
        <f t="shared" si="10"/>
        <v>UIM</v>
      </c>
      <c r="C67" s="20"/>
      <c r="D67" s="20">
        <v>0.72699999999999998</v>
      </c>
      <c r="E67" s="20">
        <v>1.0149999999999999</v>
      </c>
      <c r="F67" s="20">
        <v>1.8129999999999999</v>
      </c>
      <c r="G67" s="20">
        <v>2.0329999999999999</v>
      </c>
      <c r="H67" s="20">
        <v>2.3119999999999998</v>
      </c>
      <c r="I67" s="20">
        <v>2.512</v>
      </c>
      <c r="J67" s="20">
        <v>2.15</v>
      </c>
      <c r="K67" s="20">
        <v>1.958</v>
      </c>
      <c r="L67" s="48">
        <v>2.2890000000000001</v>
      </c>
      <c r="M67" s="48">
        <v>1.9079999999999999</v>
      </c>
      <c r="N67" s="48">
        <v>1.8520000000000001</v>
      </c>
      <c r="O67" s="48">
        <v>1.7490000000000001</v>
      </c>
      <c r="P67" s="48">
        <v>1.7949999999999999</v>
      </c>
    </row>
    <row r="68" spans="1:16" x14ac:dyDescent="0.25">
      <c r="A68" s="12" t="s">
        <v>725</v>
      </c>
      <c r="B68" s="12" t="str">
        <f t="shared" si="10"/>
        <v>UIM</v>
      </c>
      <c r="C68" s="20"/>
      <c r="D68" s="20">
        <v>1.119</v>
      </c>
      <c r="E68" s="20">
        <v>1.4850000000000001</v>
      </c>
      <c r="F68" s="20">
        <v>1.9059999999999999</v>
      </c>
      <c r="G68" s="20">
        <v>2.5489999999999999</v>
      </c>
      <c r="H68" s="20">
        <v>2.3809999999999998</v>
      </c>
      <c r="I68" s="20">
        <v>2.2970000000000002</v>
      </c>
      <c r="J68" s="20">
        <v>2.41</v>
      </c>
      <c r="K68" s="20">
        <v>2.5089999999999999</v>
      </c>
      <c r="L68" s="48">
        <v>2.8740000000000001</v>
      </c>
      <c r="M68" s="48">
        <v>2.7160000000000002</v>
      </c>
      <c r="N68" s="48">
        <v>2.6909999999999998</v>
      </c>
      <c r="O68" s="48">
        <v>2.609</v>
      </c>
      <c r="P68" s="48">
        <v>2.641</v>
      </c>
    </row>
    <row r="69" spans="1:16" x14ac:dyDescent="0.25">
      <c r="A69" s="12" t="s">
        <v>768</v>
      </c>
      <c r="B69" s="12" t="str">
        <f t="shared" si="10"/>
        <v>UIM</v>
      </c>
      <c r="C69" s="20"/>
      <c r="D69" s="20">
        <v>6.6000000000000003E-2</v>
      </c>
      <c r="E69" s="20">
        <v>7.2999999999999995E-2</v>
      </c>
      <c r="F69" s="20">
        <v>9.9000000000000005E-2</v>
      </c>
      <c r="G69" s="20">
        <v>9.4E-2</v>
      </c>
      <c r="H69" s="20">
        <v>6.0999999999999999E-2</v>
      </c>
      <c r="I69" s="20">
        <v>6.9000000000000006E-2</v>
      </c>
      <c r="J69" s="20">
        <v>6.5000000000000002E-2</v>
      </c>
      <c r="K69" s="20">
        <v>6.0999999999999999E-2</v>
      </c>
      <c r="L69" s="48">
        <v>4.5999999999999999E-2</v>
      </c>
      <c r="M69" s="48">
        <v>4.8000000000000001E-2</v>
      </c>
      <c r="N69" s="48">
        <v>4.7E-2</v>
      </c>
      <c r="O69" s="48">
        <v>4.5999999999999999E-2</v>
      </c>
      <c r="P69" s="48">
        <v>4.4999999999999998E-2</v>
      </c>
    </row>
    <row r="70" spans="1:16" x14ac:dyDescent="0.25">
      <c r="A70" s="12" t="s">
        <v>769</v>
      </c>
      <c r="B70" s="12" t="str">
        <f t="shared" si="10"/>
        <v>UIM</v>
      </c>
      <c r="C70" s="20"/>
      <c r="D70" s="20">
        <v>9.7000000000000003E-2</v>
      </c>
      <c r="E70" s="20">
        <v>6.3E-2</v>
      </c>
      <c r="F70" s="20">
        <v>0.254</v>
      </c>
      <c r="G70" s="20">
        <v>0.26900000000000002</v>
      </c>
      <c r="H70" s="20">
        <v>0.13300000000000001</v>
      </c>
      <c r="I70" s="20">
        <v>0.14499999999999999</v>
      </c>
      <c r="J70" s="20">
        <v>0.127</v>
      </c>
      <c r="K70" s="20">
        <v>0.189</v>
      </c>
      <c r="L70" s="48">
        <v>0.21</v>
      </c>
      <c r="M70" s="48">
        <v>8.1000000000000003E-2</v>
      </c>
      <c r="N70" s="48">
        <v>0.27700000000000002</v>
      </c>
      <c r="O70" s="48">
        <v>0.27600000000000002</v>
      </c>
      <c r="P70" s="48">
        <v>0.27600000000000002</v>
      </c>
    </row>
    <row r="71" spans="1:16" x14ac:dyDescent="0.25">
      <c r="A71" s="12" t="s">
        <v>770</v>
      </c>
      <c r="B71" s="12" t="str">
        <f>$B$9</f>
        <v>NAC</v>
      </c>
      <c r="C71" s="20"/>
      <c r="D71" s="20">
        <v>3.6909999999999998</v>
      </c>
      <c r="E71" s="20">
        <v>3.2280000000000002</v>
      </c>
      <c r="F71" s="20">
        <v>1.9179999999999999</v>
      </c>
      <c r="G71" s="20">
        <v>2.8839999999999999</v>
      </c>
      <c r="H71" s="20">
        <v>6.569</v>
      </c>
      <c r="I71" s="20">
        <v>8.9429999999999996</v>
      </c>
      <c r="J71" s="20">
        <v>8.8620000000000001</v>
      </c>
      <c r="K71" s="20">
        <v>9.0570000000000004</v>
      </c>
      <c r="L71" s="48">
        <v>10.291</v>
      </c>
      <c r="M71" s="48">
        <v>11.396000000000001</v>
      </c>
      <c r="N71" s="48">
        <v>12.481</v>
      </c>
      <c r="O71" s="48">
        <v>13.502000000000001</v>
      </c>
      <c r="P71" s="48">
        <v>13.689</v>
      </c>
    </row>
    <row r="72" spans="1:16" x14ac:dyDescent="0.25">
      <c r="A72" s="60" t="s">
        <v>896</v>
      </c>
      <c r="B72" s="20"/>
      <c r="C72" s="20"/>
      <c r="D72" s="77">
        <f t="shared" ref="D72:P72" si="11">SUM(D$21:D$22,D$57:D$71)</f>
        <v>86.96</v>
      </c>
      <c r="E72" s="77">
        <f t="shared" si="11"/>
        <v>108.83199999999998</v>
      </c>
      <c r="F72" s="77">
        <f t="shared" si="11"/>
        <v>107.76400000000002</v>
      </c>
      <c r="G72" s="77">
        <f t="shared" si="11"/>
        <v>125.64099999999999</v>
      </c>
      <c r="H72" s="77">
        <f t="shared" si="11"/>
        <v>127.57400000000001</v>
      </c>
      <c r="I72" s="77">
        <f t="shared" si="11"/>
        <v>138.99800000000002</v>
      </c>
      <c r="J72" s="77">
        <f t="shared" si="11"/>
        <v>141.67499999999998</v>
      </c>
      <c r="K72" s="77">
        <f t="shared" si="11"/>
        <v>146.21899999999997</v>
      </c>
      <c r="L72" s="77">
        <f t="shared" si="11"/>
        <v>154.60899999999998</v>
      </c>
      <c r="M72" s="77">
        <f t="shared" si="11"/>
        <v>158.30799999999999</v>
      </c>
      <c r="N72" s="77">
        <f t="shared" si="11"/>
        <v>163.23799999999997</v>
      </c>
      <c r="O72" s="77">
        <f t="shared" si="11"/>
        <v>168.64200000000002</v>
      </c>
      <c r="P72" s="77">
        <f t="shared" si="11"/>
        <v>173.66799999999998</v>
      </c>
    </row>
    <row r="73" spans="1:16" x14ac:dyDescent="0.25">
      <c r="A73" s="11" t="s">
        <v>897</v>
      </c>
      <c r="B73" s="12"/>
      <c r="C73" s="20"/>
      <c r="D73" s="56"/>
      <c r="E73" s="56"/>
      <c r="F73" s="56"/>
      <c r="G73" s="56"/>
      <c r="H73" s="56"/>
      <c r="I73" s="56"/>
      <c r="J73" s="56"/>
      <c r="K73" s="56"/>
      <c r="L73" s="56"/>
      <c r="M73" s="56"/>
      <c r="N73" s="56"/>
      <c r="O73" s="56"/>
      <c r="P73" s="56"/>
    </row>
    <row r="74" spans="1:16" x14ac:dyDescent="0.25">
      <c r="A74" s="12" t="s">
        <v>898</v>
      </c>
      <c r="B74" s="12" t="str">
        <f>$B$10</f>
        <v>UIM</v>
      </c>
      <c r="C74" s="20"/>
      <c r="D74" s="20">
        <v>83.016999999999996</v>
      </c>
      <c r="E74" s="20">
        <v>83.156000000000006</v>
      </c>
      <c r="F74" s="20">
        <v>95.382000000000005</v>
      </c>
      <c r="G74" s="20">
        <v>102.712</v>
      </c>
      <c r="H74" s="20">
        <v>110.78700000000001</v>
      </c>
      <c r="I74" s="20">
        <v>116.042</v>
      </c>
      <c r="J74" s="20">
        <v>121.18300000000001</v>
      </c>
      <c r="K74" s="20">
        <v>125.98</v>
      </c>
      <c r="L74" s="48">
        <v>131.61600000000001</v>
      </c>
      <c r="M74" s="48">
        <v>141.738</v>
      </c>
      <c r="N74" s="48">
        <v>150.571</v>
      </c>
      <c r="O74" s="48">
        <v>158.84200000000001</v>
      </c>
      <c r="P74" s="48">
        <v>166.84700000000001</v>
      </c>
    </row>
    <row r="75" spans="1:16" x14ac:dyDescent="0.25">
      <c r="A75" s="12" t="s">
        <v>899</v>
      </c>
      <c r="B75" s="12" t="str">
        <f>$B$10</f>
        <v>UIM</v>
      </c>
      <c r="C75" s="20"/>
      <c r="D75" s="20">
        <v>5.1870000000000003</v>
      </c>
      <c r="E75" s="20">
        <v>5.2939999999999996</v>
      </c>
      <c r="F75" s="20">
        <v>6.4240000000000004</v>
      </c>
      <c r="G75" s="20">
        <v>7.8029999999999999</v>
      </c>
      <c r="H75" s="20">
        <v>7.6310000000000002</v>
      </c>
      <c r="I75" s="20">
        <v>7.484</v>
      </c>
      <c r="J75" s="20">
        <v>7.8780000000000001</v>
      </c>
      <c r="K75" s="20">
        <v>8.1029999999999998</v>
      </c>
      <c r="L75" s="48">
        <v>8.9359999999999999</v>
      </c>
      <c r="M75" s="48">
        <v>9.6539999999999999</v>
      </c>
      <c r="N75" s="48">
        <v>9.6620000000000008</v>
      </c>
      <c r="O75" s="48">
        <v>10.074999999999999</v>
      </c>
      <c r="P75" s="48">
        <v>10.387</v>
      </c>
    </row>
    <row r="76" spans="1:16" x14ac:dyDescent="0.25">
      <c r="A76" s="12" t="s">
        <v>866</v>
      </c>
      <c r="B76" s="12" t="str">
        <f>$B$10</f>
        <v>UIM</v>
      </c>
      <c r="C76" s="20"/>
      <c r="D76" s="20">
        <v>19.763999999999999</v>
      </c>
      <c r="E76" s="20">
        <v>18.289000000000001</v>
      </c>
      <c r="F76" s="20">
        <v>17.731999999999999</v>
      </c>
      <c r="G76" s="20">
        <v>17.834</v>
      </c>
      <c r="H76" s="20">
        <v>22.283999999999999</v>
      </c>
      <c r="I76" s="20">
        <v>24.359000000000002</v>
      </c>
      <c r="J76" s="20">
        <v>26.960999999999999</v>
      </c>
      <c r="K76" s="20">
        <v>25.895</v>
      </c>
      <c r="L76" s="48">
        <v>26.574000000000002</v>
      </c>
      <c r="M76" s="48">
        <v>27.469000000000001</v>
      </c>
      <c r="N76" s="48">
        <v>28.12</v>
      </c>
      <c r="O76" s="48">
        <v>29.117000000000001</v>
      </c>
      <c r="P76" s="48">
        <v>29.824999999999999</v>
      </c>
    </row>
    <row r="77" spans="1:16" x14ac:dyDescent="0.25">
      <c r="A77" s="12" t="s">
        <v>900</v>
      </c>
      <c r="B77" s="12" t="str">
        <f>$B$10</f>
        <v>UIM</v>
      </c>
      <c r="C77" s="20"/>
      <c r="D77" s="20">
        <v>2.528</v>
      </c>
      <c r="E77" s="20">
        <v>2.3069999999999999</v>
      </c>
      <c r="F77" s="20">
        <v>1.67</v>
      </c>
      <c r="G77" s="20">
        <v>1.9610000000000001</v>
      </c>
      <c r="H77" s="20">
        <v>3.6110000000000002</v>
      </c>
      <c r="I77" s="20">
        <v>5.2830000000000004</v>
      </c>
      <c r="J77" s="20">
        <v>6.7910000000000004</v>
      </c>
      <c r="K77" s="20">
        <v>5.9459999999999997</v>
      </c>
      <c r="L77" s="48">
        <v>4.7480000000000002</v>
      </c>
      <c r="M77" s="48">
        <v>4.3109999999999999</v>
      </c>
      <c r="N77" s="48">
        <v>5.5739999999999998</v>
      </c>
      <c r="O77" s="48">
        <v>6.4790000000000001</v>
      </c>
      <c r="P77" s="48">
        <v>6.8319999999999999</v>
      </c>
    </row>
    <row r="78" spans="1:16" x14ac:dyDescent="0.25">
      <c r="A78" s="12" t="s">
        <v>901</v>
      </c>
      <c r="B78" s="12" t="str">
        <f>$B$10</f>
        <v>UIM</v>
      </c>
      <c r="C78" s="20"/>
      <c r="D78" s="20">
        <v>4.5629999999999997</v>
      </c>
      <c r="E78" s="20">
        <v>4.5439999999999996</v>
      </c>
      <c r="F78" s="20">
        <v>4.8140000000000001</v>
      </c>
      <c r="G78" s="20">
        <v>4.8019999999999996</v>
      </c>
      <c r="H78" s="20">
        <v>4.9219999999999997</v>
      </c>
      <c r="I78" s="20">
        <v>6.5350000000000001</v>
      </c>
      <c r="J78" s="20">
        <v>6.3719999999999999</v>
      </c>
      <c r="K78" s="20">
        <v>6.8550000000000004</v>
      </c>
      <c r="L78" s="48">
        <v>6.1289999999999996</v>
      </c>
      <c r="M78" s="48">
        <v>6.391</v>
      </c>
      <c r="N78" s="48">
        <v>6.7439999999999998</v>
      </c>
      <c r="O78" s="48">
        <v>6.9459999999999997</v>
      </c>
      <c r="P78" s="48">
        <v>7.1710000000000003</v>
      </c>
    </row>
    <row r="79" spans="1:16" x14ac:dyDescent="0.25">
      <c r="A79" s="60" t="s">
        <v>902</v>
      </c>
      <c r="B79" s="12" t="str">
        <f>$B$9</f>
        <v>NAC</v>
      </c>
      <c r="C79" s="20"/>
      <c r="D79" s="77">
        <f t="shared" ref="D79:P79" si="12">SUM(D$74:D$78)</f>
        <v>115.059</v>
      </c>
      <c r="E79" s="77">
        <f t="shared" si="12"/>
        <v>113.59</v>
      </c>
      <c r="F79" s="77">
        <f t="shared" si="12"/>
        <v>126.02200000000002</v>
      </c>
      <c r="G79" s="77">
        <f t="shared" si="12"/>
        <v>135.11199999999999</v>
      </c>
      <c r="H79" s="77">
        <f t="shared" si="12"/>
        <v>149.23499999999999</v>
      </c>
      <c r="I79" s="77">
        <f t="shared" si="12"/>
        <v>159.70299999999997</v>
      </c>
      <c r="J79" s="77">
        <f t="shared" si="12"/>
        <v>169.185</v>
      </c>
      <c r="K79" s="77">
        <f t="shared" si="12"/>
        <v>172.779</v>
      </c>
      <c r="L79" s="77">
        <f t="shared" si="12"/>
        <v>178.00300000000001</v>
      </c>
      <c r="M79" s="77">
        <f t="shared" si="12"/>
        <v>189.56299999999999</v>
      </c>
      <c r="N79" s="77">
        <f t="shared" si="12"/>
        <v>200.67100000000002</v>
      </c>
      <c r="O79" s="77">
        <f t="shared" si="12"/>
        <v>211.459</v>
      </c>
      <c r="P79" s="77">
        <f t="shared" si="12"/>
        <v>221.06199999999998</v>
      </c>
    </row>
    <row r="80" spans="1:16" x14ac:dyDescent="0.25">
      <c r="A80" s="12" t="s">
        <v>870</v>
      </c>
      <c r="B80" s="12" t="str">
        <f>$B$10</f>
        <v>UIM</v>
      </c>
      <c r="C80" s="20"/>
      <c r="D80" s="20">
        <v>27.981999999999999</v>
      </c>
      <c r="E80" s="20">
        <v>42.945</v>
      </c>
      <c r="F80" s="20">
        <v>35.515000000000001</v>
      </c>
      <c r="G80" s="20">
        <v>44.273000000000003</v>
      </c>
      <c r="H80" s="20">
        <v>39.17</v>
      </c>
      <c r="I80" s="20">
        <v>42.335000000000001</v>
      </c>
      <c r="J80" s="20">
        <v>45.927999999999997</v>
      </c>
      <c r="K80" s="20">
        <v>47.884</v>
      </c>
      <c r="L80" s="48">
        <v>50.165999999999997</v>
      </c>
      <c r="M80" s="48">
        <v>51.54</v>
      </c>
      <c r="N80" s="48">
        <v>52.911999999999999</v>
      </c>
      <c r="O80" s="48">
        <v>54.81</v>
      </c>
      <c r="P80" s="48">
        <v>57.018000000000001</v>
      </c>
    </row>
    <row r="81" spans="1:16" x14ac:dyDescent="0.25">
      <c r="A81" s="12" t="s">
        <v>903</v>
      </c>
      <c r="B81" s="12" t="str">
        <f>$B$10</f>
        <v>UIM</v>
      </c>
      <c r="C81" s="20"/>
      <c r="D81" s="20">
        <v>72.078999999999994</v>
      </c>
      <c r="E81" s="20">
        <v>77.191999999999993</v>
      </c>
      <c r="F81" s="20">
        <v>84.256</v>
      </c>
      <c r="G81" s="20">
        <v>92.965000000000003</v>
      </c>
      <c r="H81" s="20">
        <v>99.414000000000001</v>
      </c>
      <c r="I81" s="20">
        <v>111.095</v>
      </c>
      <c r="J81" s="20">
        <v>113.733</v>
      </c>
      <c r="K81" s="20">
        <v>114.075</v>
      </c>
      <c r="L81" s="48">
        <v>123.211</v>
      </c>
      <c r="M81" s="48">
        <v>117.145</v>
      </c>
      <c r="N81" s="48">
        <v>116.874</v>
      </c>
      <c r="O81" s="48">
        <v>116.79900000000001</v>
      </c>
      <c r="P81" s="48">
        <v>117.83199999999999</v>
      </c>
    </row>
    <row r="82" spans="1:16" x14ac:dyDescent="0.25">
      <c r="A82" s="12" t="s">
        <v>904</v>
      </c>
      <c r="B82" s="12" t="str">
        <f>$B$10</f>
        <v>UIM</v>
      </c>
      <c r="C82" s="20"/>
      <c r="D82" s="20">
        <v>4.0250000000000004</v>
      </c>
      <c r="E82" s="20">
        <v>3.8490000000000002</v>
      </c>
      <c r="F82" s="20">
        <v>3.1469999999999998</v>
      </c>
      <c r="G82" s="20">
        <v>3.2509999999999999</v>
      </c>
      <c r="H82" s="20">
        <v>6.1260000000000003</v>
      </c>
      <c r="I82" s="20">
        <v>8.5790000000000006</v>
      </c>
      <c r="J82" s="20">
        <v>8.8249999999999993</v>
      </c>
      <c r="K82" s="20">
        <v>8.2880000000000003</v>
      </c>
      <c r="L82" s="48">
        <v>9.7680000000000007</v>
      </c>
      <c r="M82" s="48">
        <v>11.063000000000001</v>
      </c>
      <c r="N82" s="48">
        <v>12.731</v>
      </c>
      <c r="O82" s="48">
        <v>13.933</v>
      </c>
      <c r="P82" s="48">
        <v>14.291</v>
      </c>
    </row>
    <row r="83" spans="1:16" x14ac:dyDescent="0.25">
      <c r="A83" s="60" t="s">
        <v>905</v>
      </c>
      <c r="B83" s="12" t="str">
        <f>$B$9</f>
        <v>NAC</v>
      </c>
      <c r="C83" s="20"/>
      <c r="D83" s="77">
        <f t="shared" ref="D83:P83" si="13">SUM(D$21:D$22,D$80:D$82)</f>
        <v>104.086</v>
      </c>
      <c r="E83" s="77">
        <f t="shared" si="13"/>
        <v>123.986</v>
      </c>
      <c r="F83" s="77">
        <f t="shared" si="13"/>
        <v>122.91800000000001</v>
      </c>
      <c r="G83" s="77">
        <f t="shared" si="13"/>
        <v>140.489</v>
      </c>
      <c r="H83" s="77">
        <f t="shared" si="13"/>
        <v>144.71</v>
      </c>
      <c r="I83" s="77">
        <f t="shared" si="13"/>
        <v>162.00900000000001</v>
      </c>
      <c r="J83" s="77">
        <f t="shared" si="13"/>
        <v>168.48599999999999</v>
      </c>
      <c r="K83" s="77">
        <f t="shared" si="13"/>
        <v>170.24700000000001</v>
      </c>
      <c r="L83" s="77">
        <f t="shared" si="13"/>
        <v>181.803</v>
      </c>
      <c r="M83" s="77">
        <f t="shared" si="13"/>
        <v>181.916</v>
      </c>
      <c r="N83" s="77">
        <f t="shared" si="13"/>
        <v>186.892</v>
      </c>
      <c r="O83" s="77">
        <f t="shared" si="13"/>
        <v>192.67500000000001</v>
      </c>
      <c r="P83" s="77">
        <f t="shared" si="13"/>
        <v>198.60699999999997</v>
      </c>
    </row>
    <row r="84" spans="1:16" x14ac:dyDescent="0.25">
      <c r="A84" s="60" t="s">
        <v>906</v>
      </c>
      <c r="B84" s="12" t="str">
        <f>$B$9</f>
        <v>NAC</v>
      </c>
      <c r="C84" s="20"/>
      <c r="D84" s="77">
        <f t="shared" ref="D84:P84" si="14">SUM(D$79,-D$83)</f>
        <v>10.972999999999999</v>
      </c>
      <c r="E84" s="77">
        <f t="shared" si="14"/>
        <v>-10.396000000000001</v>
      </c>
      <c r="F84" s="77">
        <f t="shared" si="14"/>
        <v>3.1040000000000134</v>
      </c>
      <c r="G84" s="77">
        <f t="shared" si="14"/>
        <v>-5.3770000000000095</v>
      </c>
      <c r="H84" s="77">
        <f t="shared" si="14"/>
        <v>4.5249999999999773</v>
      </c>
      <c r="I84" s="77">
        <f t="shared" si="14"/>
        <v>-2.30600000000004</v>
      </c>
      <c r="J84" s="77">
        <f t="shared" si="14"/>
        <v>0.69900000000001228</v>
      </c>
      <c r="K84" s="77">
        <f t="shared" si="14"/>
        <v>2.5319999999999823</v>
      </c>
      <c r="L84" s="77">
        <f t="shared" si="14"/>
        <v>-3.7999999999999829</v>
      </c>
      <c r="M84" s="77">
        <f t="shared" si="14"/>
        <v>7.6469999999999914</v>
      </c>
      <c r="N84" s="77">
        <f t="shared" si="14"/>
        <v>13.779000000000025</v>
      </c>
      <c r="O84" s="77">
        <f t="shared" si="14"/>
        <v>18.783999999999992</v>
      </c>
      <c r="P84" s="77">
        <f t="shared" si="14"/>
        <v>22.455000000000013</v>
      </c>
    </row>
    <row r="85" spans="1:16" x14ac:dyDescent="0.25">
      <c r="A85" s="12" t="s">
        <v>907</v>
      </c>
      <c r="B85" s="12" t="str">
        <f>$B$10</f>
        <v>UIM</v>
      </c>
      <c r="C85" s="20"/>
      <c r="D85" s="20">
        <v>-8.4640000000000004</v>
      </c>
      <c r="E85" s="20">
        <v>-9.0709999999999997</v>
      </c>
      <c r="F85" s="20">
        <v>-9.3930000000000007</v>
      </c>
      <c r="G85" s="20">
        <v>-10.571999999999999</v>
      </c>
      <c r="H85" s="20">
        <v>-14.271000000000001</v>
      </c>
      <c r="I85" s="20">
        <v>-16.948</v>
      </c>
      <c r="J85" s="20">
        <v>-14.054</v>
      </c>
      <c r="K85" s="20">
        <v>-14.308999999999999</v>
      </c>
      <c r="L85" s="48">
        <v>-16.707000000000001</v>
      </c>
      <c r="M85" s="48">
        <v>-17.111999999999998</v>
      </c>
      <c r="N85" s="48">
        <v>-15.180999999999999</v>
      </c>
      <c r="O85" s="48">
        <v>-13.492000000000001</v>
      </c>
      <c r="P85" s="48">
        <v>-13.242000000000001</v>
      </c>
    </row>
    <row r="86" spans="1:16" x14ac:dyDescent="0.25">
      <c r="A86" s="12" t="s">
        <v>908</v>
      </c>
      <c r="B86" s="12" t="str">
        <f>$B$10</f>
        <v>UIM</v>
      </c>
      <c r="C86" s="20"/>
      <c r="D86" s="20">
        <v>3.8039999999999998</v>
      </c>
      <c r="E86" s="20">
        <v>-14.148999999999999</v>
      </c>
      <c r="F86" s="20">
        <v>4.1890000000000001</v>
      </c>
      <c r="G86" s="20">
        <v>-4.9859999999999998</v>
      </c>
      <c r="H86" s="20">
        <v>-4.9059999999999997</v>
      </c>
      <c r="I86" s="20">
        <v>-10.231999999999999</v>
      </c>
      <c r="J86" s="20">
        <v>-9.7810000000000006</v>
      </c>
      <c r="K86" s="20">
        <v>-3.504</v>
      </c>
      <c r="L86" s="48">
        <v>3.746</v>
      </c>
      <c r="M86" s="48">
        <v>-1.909</v>
      </c>
      <c r="N86" s="48">
        <v>-2.5790000000000002</v>
      </c>
      <c r="O86" s="48">
        <v>-2.3109999999999999</v>
      </c>
      <c r="P86" s="48">
        <v>-0.222</v>
      </c>
    </row>
    <row r="87" spans="1:16" x14ac:dyDescent="0.25">
      <c r="A87" s="12" t="s">
        <v>909</v>
      </c>
      <c r="B87" s="12" t="str">
        <f>$B$10</f>
        <v>UIM</v>
      </c>
      <c r="C87" s="20"/>
      <c r="D87" s="20">
        <v>-0.79100000000000004</v>
      </c>
      <c r="E87" s="20">
        <v>-0.85499999999999998</v>
      </c>
      <c r="F87" s="20">
        <v>-0.89800000000000002</v>
      </c>
      <c r="G87" s="20">
        <v>-0.71</v>
      </c>
      <c r="H87" s="20">
        <v>-0.86799999999999999</v>
      </c>
      <c r="I87" s="20">
        <v>-0.86</v>
      </c>
      <c r="J87" s="20">
        <v>-0.65500000000000003</v>
      </c>
      <c r="K87" s="20">
        <v>-0.64300000000000002</v>
      </c>
      <c r="L87" s="48">
        <v>-0.75900000000000001</v>
      </c>
      <c r="M87" s="48">
        <v>-0.73799999999999999</v>
      </c>
      <c r="N87" s="48">
        <v>-0.70799999999999996</v>
      </c>
      <c r="O87" s="48">
        <v>-0.70399999999999996</v>
      </c>
      <c r="P87" s="48">
        <v>-0.68500000000000005</v>
      </c>
    </row>
    <row r="88" spans="1:16" x14ac:dyDescent="0.25">
      <c r="A88" s="12" t="s">
        <v>910</v>
      </c>
      <c r="B88" s="12" t="str">
        <f>$B$10</f>
        <v>UIM</v>
      </c>
      <c r="C88" s="20"/>
      <c r="D88" s="20">
        <v>-1.9019999999999999</v>
      </c>
      <c r="E88" s="20">
        <v>-1.29</v>
      </c>
      <c r="F88" s="20">
        <v>-5.6630000000000003</v>
      </c>
      <c r="G88" s="20">
        <v>-12.958</v>
      </c>
      <c r="H88" s="20">
        <v>-8.2149999999999999</v>
      </c>
      <c r="I88" s="20">
        <v>0.151</v>
      </c>
      <c r="J88" s="20">
        <v>5.8879999999999999</v>
      </c>
      <c r="K88" s="20">
        <v>3.6070000000000002</v>
      </c>
      <c r="L88" s="48">
        <v>-3.653</v>
      </c>
      <c r="M88" s="48">
        <v>-5.1550000000000002</v>
      </c>
      <c r="N88" s="48">
        <v>-5.5149999999999997</v>
      </c>
      <c r="O88" s="48">
        <v>-5.9749999999999996</v>
      </c>
      <c r="P88" s="48">
        <v>-6.2590000000000003</v>
      </c>
    </row>
    <row r="89" spans="1:16" x14ac:dyDescent="0.25">
      <c r="A89" s="12" t="s">
        <v>911</v>
      </c>
      <c r="B89" s="12" t="str">
        <f>$B$10</f>
        <v>UIM</v>
      </c>
      <c r="C89" s="20"/>
      <c r="D89" s="20">
        <v>0.13600000000000001</v>
      </c>
      <c r="E89" s="20">
        <v>-0.28599999999999998</v>
      </c>
      <c r="F89" s="20">
        <v>-0.39200000000000002</v>
      </c>
      <c r="G89" s="20">
        <v>-0.44800000000000001</v>
      </c>
      <c r="H89" s="20">
        <v>-0.20200000000000001</v>
      </c>
      <c r="I89" s="20">
        <v>-0.39700000000000002</v>
      </c>
      <c r="J89" s="20">
        <v>-0.40400000000000003</v>
      </c>
      <c r="K89" s="20">
        <v>-0.44700000000000001</v>
      </c>
      <c r="L89" s="48">
        <v>-0.30599999999999999</v>
      </c>
      <c r="M89" s="48">
        <v>-0.14399999999999999</v>
      </c>
      <c r="N89" s="48">
        <v>-4.5999999999999999E-2</v>
      </c>
      <c r="O89" s="48">
        <v>-4.5999999999999999E-2</v>
      </c>
      <c r="P89" s="48">
        <v>-4.4999999999999998E-2</v>
      </c>
    </row>
    <row r="90" spans="1:16" x14ac:dyDescent="0.25">
      <c r="A90" s="60" t="s">
        <v>912</v>
      </c>
      <c r="B90" s="12" t="str">
        <f>$B$9</f>
        <v>NAC</v>
      </c>
      <c r="C90" s="20"/>
      <c r="D90" s="77">
        <f t="shared" ref="D90:P90" si="15">SUM(D$85:D$89)-SUM(D$131-C$131,D$132-C$132)</f>
        <v>-7.2170000000000005</v>
      </c>
      <c r="E90" s="77">
        <f t="shared" si="15"/>
        <v>-25.651</v>
      </c>
      <c r="F90" s="77">
        <f t="shared" si="15"/>
        <v>-12.157</v>
      </c>
      <c r="G90" s="77">
        <f t="shared" si="15"/>
        <v>-29.673999999999999</v>
      </c>
      <c r="H90" s="77">
        <f t="shared" si="15"/>
        <v>-28.462</v>
      </c>
      <c r="I90" s="77">
        <f t="shared" si="15"/>
        <v>-28.285999999999998</v>
      </c>
      <c r="J90" s="77">
        <f t="shared" si="15"/>
        <v>-19.006000000000004</v>
      </c>
      <c r="K90" s="77">
        <f t="shared" si="15"/>
        <v>-15.295999999999999</v>
      </c>
      <c r="L90" s="77">
        <f t="shared" si="15"/>
        <v>-17.673000000000002</v>
      </c>
      <c r="M90" s="77">
        <f t="shared" si="15"/>
        <v>-27.444999999999997</v>
      </c>
      <c r="N90" s="77">
        <f t="shared" si="15"/>
        <v>-27.656999999999996</v>
      </c>
      <c r="O90" s="77">
        <f t="shared" si="15"/>
        <v>-26.908000000000001</v>
      </c>
      <c r="P90" s="77">
        <f t="shared" si="15"/>
        <v>-25.621000000000002</v>
      </c>
    </row>
    <row r="91" spans="1:16" x14ac:dyDescent="0.25">
      <c r="A91" s="60" t="s">
        <v>913</v>
      </c>
      <c r="B91" s="12" t="str">
        <f>$B$9</f>
        <v>NAC</v>
      </c>
      <c r="C91" s="20"/>
      <c r="D91" s="77">
        <f t="shared" ref="D91:P91" si="16">SUM(D$84,D$90)</f>
        <v>3.7559999999999985</v>
      </c>
      <c r="E91" s="77">
        <f t="shared" si="16"/>
        <v>-36.046999999999997</v>
      </c>
      <c r="F91" s="77">
        <f t="shared" si="16"/>
        <v>-9.0529999999999866</v>
      </c>
      <c r="G91" s="77">
        <f t="shared" si="16"/>
        <v>-35.051000000000009</v>
      </c>
      <c r="H91" s="77">
        <f t="shared" si="16"/>
        <v>-23.937000000000022</v>
      </c>
      <c r="I91" s="77">
        <f t="shared" si="16"/>
        <v>-30.592000000000038</v>
      </c>
      <c r="J91" s="77">
        <f t="shared" si="16"/>
        <v>-18.306999999999992</v>
      </c>
      <c r="K91" s="77">
        <f t="shared" si="16"/>
        <v>-12.764000000000017</v>
      </c>
      <c r="L91" s="77">
        <f t="shared" si="16"/>
        <v>-21.472999999999985</v>
      </c>
      <c r="M91" s="77">
        <f t="shared" si="16"/>
        <v>-19.798000000000005</v>
      </c>
      <c r="N91" s="77">
        <f t="shared" si="16"/>
        <v>-13.877999999999972</v>
      </c>
      <c r="O91" s="77">
        <f t="shared" si="16"/>
        <v>-8.1240000000000094</v>
      </c>
      <c r="P91" s="77">
        <f t="shared" si="16"/>
        <v>-3.1659999999999897</v>
      </c>
    </row>
    <row r="92" spans="1:16" x14ac:dyDescent="0.25">
      <c r="A92" s="12" t="s">
        <v>914</v>
      </c>
      <c r="B92" s="12" t="str">
        <f t="shared" ref="B92:B97" si="17">$B$10</f>
        <v>UIM</v>
      </c>
      <c r="C92" s="20"/>
      <c r="D92" s="20">
        <v>0.437</v>
      </c>
      <c r="E92" s="20">
        <v>1.2090000000000001</v>
      </c>
      <c r="F92" s="20">
        <v>0.23400000000000001</v>
      </c>
      <c r="G92" s="20">
        <v>0.80500000000000005</v>
      </c>
      <c r="H92" s="20">
        <v>-5.8999999999999997E-2</v>
      </c>
      <c r="I92" s="20">
        <v>-2.4E-2</v>
      </c>
      <c r="J92" s="20">
        <v>0.17499999999999999</v>
      </c>
      <c r="K92" s="20">
        <v>1.1100000000000001</v>
      </c>
      <c r="L92" s="48">
        <v>-0.45600000000000002</v>
      </c>
      <c r="M92" s="48">
        <v>9.8000000000000004E-2</v>
      </c>
      <c r="N92" s="48">
        <v>9.9000000000000005E-2</v>
      </c>
      <c r="O92" s="48">
        <v>0.1</v>
      </c>
      <c r="P92" s="48">
        <v>0.10100000000000001</v>
      </c>
    </row>
    <row r="93" spans="1:16" x14ac:dyDescent="0.25">
      <c r="A93" s="12" t="s">
        <v>915</v>
      </c>
      <c r="B93" s="12" t="str">
        <f t="shared" si="17"/>
        <v>UIM</v>
      </c>
      <c r="C93" s="20"/>
      <c r="D93" s="20">
        <v>-3.536</v>
      </c>
      <c r="E93" s="20">
        <v>7.5979999999999999</v>
      </c>
      <c r="F93" s="20">
        <v>1.1579999999999999</v>
      </c>
      <c r="G93" s="20">
        <v>18.373000000000001</v>
      </c>
      <c r="H93" s="20">
        <v>15.744</v>
      </c>
      <c r="I93" s="20">
        <v>26.422000000000001</v>
      </c>
      <c r="J93" s="20">
        <v>31.541</v>
      </c>
      <c r="K93" s="20">
        <v>21.529</v>
      </c>
      <c r="L93" s="48">
        <v>18.989000000000001</v>
      </c>
      <c r="M93" s="48">
        <v>11.407999999999999</v>
      </c>
      <c r="N93" s="48">
        <v>8.8960000000000008</v>
      </c>
      <c r="O93" s="48">
        <v>1.633</v>
      </c>
      <c r="P93" s="48">
        <v>-5.8310000000000004</v>
      </c>
    </row>
    <row r="94" spans="1:16" x14ac:dyDescent="0.25">
      <c r="A94" s="12" t="s">
        <v>916</v>
      </c>
      <c r="B94" s="12" t="str">
        <f t="shared" si="17"/>
        <v>UIM</v>
      </c>
      <c r="C94" s="20"/>
      <c r="D94" s="20">
        <v>1.4870000000000001</v>
      </c>
      <c r="E94" s="20">
        <v>1.1919999999999999</v>
      </c>
      <c r="F94" s="20">
        <v>0.34799999999999998</v>
      </c>
      <c r="G94" s="20">
        <v>2.2589999999999999</v>
      </c>
      <c r="H94" s="20">
        <v>-0.113</v>
      </c>
      <c r="I94" s="20">
        <v>0.65100000000000002</v>
      </c>
      <c r="J94" s="20">
        <v>6.2910000000000004</v>
      </c>
      <c r="K94" s="20">
        <v>-2.2490000000000001</v>
      </c>
      <c r="L94" s="48">
        <v>1.1859999999999999</v>
      </c>
      <c r="M94" s="48">
        <v>-0.47699999999999998</v>
      </c>
      <c r="N94" s="48">
        <v>0.13600000000000001</v>
      </c>
      <c r="O94" s="48">
        <v>0.30099999999999999</v>
      </c>
      <c r="P94" s="48">
        <v>-0.114</v>
      </c>
    </row>
    <row r="95" spans="1:16" x14ac:dyDescent="0.25">
      <c r="A95" s="12" t="s">
        <v>917</v>
      </c>
      <c r="B95" s="12" t="str">
        <f t="shared" si="17"/>
        <v>UIM</v>
      </c>
      <c r="C95" s="20"/>
      <c r="D95" s="20">
        <v>-0.53</v>
      </c>
      <c r="E95" s="20">
        <v>27.366</v>
      </c>
      <c r="F95" s="20">
        <v>5.8470000000000004</v>
      </c>
      <c r="G95" s="20">
        <v>11.879</v>
      </c>
      <c r="H95" s="20">
        <v>9.298</v>
      </c>
      <c r="I95" s="20">
        <v>1.5149999999999999</v>
      </c>
      <c r="J95" s="20">
        <v>-12.148999999999999</v>
      </c>
      <c r="K95" s="20">
        <v>-2.835</v>
      </c>
      <c r="L95" s="48">
        <v>2.6349999999999998</v>
      </c>
      <c r="M95" s="48">
        <v>9.0399999999999991</v>
      </c>
      <c r="N95" s="48">
        <v>5.5609999999999999</v>
      </c>
      <c r="O95" s="48">
        <v>6.5739999999999998</v>
      </c>
      <c r="P95" s="48">
        <v>9.2119999999999997</v>
      </c>
    </row>
    <row r="96" spans="1:16" x14ac:dyDescent="0.25">
      <c r="A96" s="12" t="s">
        <v>918</v>
      </c>
      <c r="B96" s="12" t="str">
        <f t="shared" si="17"/>
        <v>UIM</v>
      </c>
      <c r="C96" s="20"/>
      <c r="D96" s="20">
        <v>0</v>
      </c>
      <c r="E96" s="20">
        <v>0</v>
      </c>
      <c r="F96" s="20">
        <v>0</v>
      </c>
      <c r="G96" s="20">
        <v>0.89800000000000002</v>
      </c>
      <c r="H96" s="20">
        <v>0</v>
      </c>
      <c r="I96" s="20">
        <v>0</v>
      </c>
      <c r="J96" s="20">
        <v>0.251</v>
      </c>
      <c r="K96" s="20">
        <v>0.189</v>
      </c>
      <c r="L96" s="48">
        <v>-0.246</v>
      </c>
      <c r="M96" s="48">
        <v>0</v>
      </c>
      <c r="N96" s="48">
        <v>0</v>
      </c>
      <c r="O96" s="48">
        <v>-0.251</v>
      </c>
      <c r="P96" s="48">
        <v>0</v>
      </c>
    </row>
    <row r="97" spans="1:16" x14ac:dyDescent="0.25">
      <c r="A97" s="12" t="s">
        <v>919</v>
      </c>
      <c r="B97" s="12" t="str">
        <f t="shared" si="17"/>
        <v>UIM</v>
      </c>
      <c r="C97" s="20"/>
      <c r="D97" s="20">
        <v>-0.504</v>
      </c>
      <c r="E97" s="20">
        <v>-0.47899999999999998</v>
      </c>
      <c r="F97" s="20">
        <v>-0.373</v>
      </c>
      <c r="G97" s="20">
        <v>-0.30399999999999999</v>
      </c>
      <c r="H97" s="20">
        <v>-0.372</v>
      </c>
      <c r="I97" s="20">
        <v>-0.505</v>
      </c>
      <c r="J97" s="20">
        <v>-0.40899999999999997</v>
      </c>
      <c r="K97" s="20">
        <v>-0.40600000000000003</v>
      </c>
      <c r="L97" s="48">
        <v>-0.46100000000000002</v>
      </c>
      <c r="M97" s="48">
        <v>-0.49099999999999999</v>
      </c>
      <c r="N97" s="48">
        <v>-0.54100000000000004</v>
      </c>
      <c r="O97" s="48">
        <v>-0.60199999999999998</v>
      </c>
      <c r="P97" s="48">
        <v>-0.63300000000000001</v>
      </c>
    </row>
    <row r="98" spans="1:16" x14ac:dyDescent="0.25">
      <c r="A98" s="60" t="s">
        <v>920</v>
      </c>
      <c r="B98" s="12" t="str">
        <f>$B$9</f>
        <v>NAC</v>
      </c>
      <c r="C98" s="20"/>
      <c r="D98" s="77">
        <f t="shared" ref="D98:P98" si="18">SUM(D$92:D$97)</f>
        <v>-2.6460000000000004</v>
      </c>
      <c r="E98" s="77">
        <f t="shared" si="18"/>
        <v>36.886000000000003</v>
      </c>
      <c r="F98" s="77">
        <f t="shared" si="18"/>
        <v>7.2139999999999995</v>
      </c>
      <c r="G98" s="77">
        <f t="shared" si="18"/>
        <v>33.910000000000004</v>
      </c>
      <c r="H98" s="77">
        <f t="shared" si="18"/>
        <v>24.498000000000001</v>
      </c>
      <c r="I98" s="77">
        <f t="shared" si="18"/>
        <v>28.059000000000001</v>
      </c>
      <c r="J98" s="77">
        <f t="shared" si="18"/>
        <v>25.700000000000006</v>
      </c>
      <c r="K98" s="77">
        <f t="shared" si="18"/>
        <v>17.338000000000001</v>
      </c>
      <c r="L98" s="77">
        <f t="shared" si="18"/>
        <v>21.647000000000002</v>
      </c>
      <c r="M98" s="77">
        <f t="shared" si="18"/>
        <v>19.577999999999999</v>
      </c>
      <c r="N98" s="77">
        <f t="shared" si="18"/>
        <v>14.151</v>
      </c>
      <c r="O98" s="77">
        <f t="shared" si="18"/>
        <v>7.7550000000000008</v>
      </c>
      <c r="P98" s="77">
        <f t="shared" si="18"/>
        <v>2.7349999999999994</v>
      </c>
    </row>
    <row r="99" spans="1:16" x14ac:dyDescent="0.25">
      <c r="A99" s="60" t="s">
        <v>921</v>
      </c>
      <c r="B99" s="12" t="str">
        <f>$B$9</f>
        <v>NAC</v>
      </c>
      <c r="C99" s="20"/>
      <c r="D99" s="77">
        <f t="shared" ref="D99:P99" si="19">SUM(D$91,D$98)</f>
        <v>1.1099999999999981</v>
      </c>
      <c r="E99" s="77">
        <f t="shared" si="19"/>
        <v>0.83900000000000574</v>
      </c>
      <c r="F99" s="77">
        <f t="shared" si="19"/>
        <v>-1.8389999999999871</v>
      </c>
      <c r="G99" s="77">
        <f t="shared" si="19"/>
        <v>-1.1410000000000053</v>
      </c>
      <c r="H99" s="77">
        <f t="shared" si="19"/>
        <v>0.56099999999997863</v>
      </c>
      <c r="I99" s="77">
        <f t="shared" si="19"/>
        <v>-2.5330000000000368</v>
      </c>
      <c r="J99" s="77">
        <f t="shared" si="19"/>
        <v>7.3930000000000149</v>
      </c>
      <c r="K99" s="77">
        <f t="shared" si="19"/>
        <v>4.5739999999999839</v>
      </c>
      <c r="L99" s="77">
        <f t="shared" si="19"/>
        <v>0.17400000000001725</v>
      </c>
      <c r="M99" s="77">
        <f t="shared" si="19"/>
        <v>-0.22000000000000597</v>
      </c>
      <c r="N99" s="77">
        <f t="shared" si="19"/>
        <v>0.27300000000002811</v>
      </c>
      <c r="O99" s="77">
        <f t="shared" si="19"/>
        <v>-0.36900000000000865</v>
      </c>
      <c r="P99" s="77">
        <f t="shared" si="19"/>
        <v>-0.43099999999999028</v>
      </c>
    </row>
    <row r="100" spans="1:16" x14ac:dyDescent="0.25">
      <c r="A100" s="12" t="s">
        <v>922</v>
      </c>
      <c r="B100" s="12" t="str">
        <f>$B$9</f>
        <v>NAC</v>
      </c>
      <c r="C100" s="20"/>
      <c r="D100" s="20">
        <v>0.24399999999999999</v>
      </c>
      <c r="E100" s="20">
        <v>0.84</v>
      </c>
      <c r="F100" s="20">
        <v>-1.333</v>
      </c>
      <c r="G100" s="20">
        <v>0.221</v>
      </c>
      <c r="H100" s="20">
        <v>0.39500000000000002</v>
      </c>
      <c r="I100" s="20">
        <v>-4.5999999999999999E-2</v>
      </c>
      <c r="J100" s="20">
        <v>6.3E-2</v>
      </c>
      <c r="K100" s="20">
        <v>0.40400000000000003</v>
      </c>
      <c r="L100" s="48">
        <v>7.8E-2</v>
      </c>
      <c r="M100" s="48">
        <v>0</v>
      </c>
      <c r="N100" s="48">
        <v>0</v>
      </c>
      <c r="O100" s="48">
        <v>0</v>
      </c>
      <c r="P100" s="48">
        <v>0</v>
      </c>
    </row>
    <row r="101" spans="1:16" x14ac:dyDescent="0.25">
      <c r="A101" s="60" t="s">
        <v>923</v>
      </c>
      <c r="B101" s="12"/>
      <c r="C101" s="20"/>
      <c r="D101" s="78" t="str">
        <f t="shared" ref="D101:I101" si="20">IF(ROUND(D$120-C$120-SUM(D$99:D$100),3)=0,"OK","ERROR")</f>
        <v>OK</v>
      </c>
      <c r="E101" s="78" t="str">
        <f t="shared" si="20"/>
        <v>OK</v>
      </c>
      <c r="F101" s="78" t="str">
        <f t="shared" si="20"/>
        <v>OK</v>
      </c>
      <c r="G101" s="78" t="str">
        <f t="shared" si="20"/>
        <v>OK</v>
      </c>
      <c r="H101" s="78" t="str">
        <f t="shared" si="20"/>
        <v>OK</v>
      </c>
      <c r="I101" s="78" t="str">
        <f t="shared" si="20"/>
        <v>OK</v>
      </c>
      <c r="J101" s="78" t="str">
        <f t="shared" ref="J101:P101" si="21">IF(ROUND(J$120-I$120-SUM(J$99:J$100),3)=0,"OK","ERROR")</f>
        <v>OK</v>
      </c>
      <c r="K101" s="78" t="str">
        <f t="shared" si="21"/>
        <v>OK</v>
      </c>
      <c r="L101" s="78" t="str">
        <f t="shared" si="21"/>
        <v>OK</v>
      </c>
      <c r="M101" s="78" t="str">
        <f t="shared" si="21"/>
        <v>OK</v>
      </c>
      <c r="N101" s="78" t="str">
        <f t="shared" si="21"/>
        <v>OK</v>
      </c>
      <c r="O101" s="78" t="str">
        <f t="shared" si="21"/>
        <v>OK</v>
      </c>
      <c r="P101" s="78" t="str">
        <f t="shared" si="21"/>
        <v>OK</v>
      </c>
    </row>
    <row r="102" spans="1:16" x14ac:dyDescent="0.25">
      <c r="A102" s="11" t="s">
        <v>924</v>
      </c>
      <c r="B102" s="12"/>
      <c r="C102" s="20"/>
      <c r="D102" s="48"/>
      <c r="E102" s="48"/>
      <c r="F102" s="48"/>
      <c r="G102" s="48"/>
      <c r="H102" s="48"/>
      <c r="I102" s="48"/>
      <c r="J102" s="48"/>
      <c r="K102" s="48"/>
      <c r="L102" s="48"/>
      <c r="M102" s="48"/>
      <c r="N102" s="48"/>
      <c r="O102" s="48"/>
      <c r="P102" s="48"/>
    </row>
    <row r="103" spans="1:16" x14ac:dyDescent="0.25">
      <c r="A103" s="60" t="s">
        <v>925</v>
      </c>
      <c r="B103" s="12" t="str">
        <f>$B$9</f>
        <v>NAC</v>
      </c>
      <c r="C103" s="20"/>
      <c r="D103" s="77">
        <f t="shared" ref="D103:P103" si="22">SUM(D$84,D$26,D$27,-D$28)</f>
        <v>3.5960000000000001</v>
      </c>
      <c r="E103" s="77">
        <f t="shared" si="22"/>
        <v>-17.523</v>
      </c>
      <c r="F103" s="77">
        <f t="shared" si="22"/>
        <v>23.650000000000013</v>
      </c>
      <c r="G103" s="77">
        <f t="shared" si="22"/>
        <v>-12.980000000000009</v>
      </c>
      <c r="H103" s="77">
        <f t="shared" si="22"/>
        <v>18.656999999999979</v>
      </c>
      <c r="I103" s="77">
        <f t="shared" si="22"/>
        <v>2.0429999999999597</v>
      </c>
      <c r="J103" s="77">
        <f t="shared" si="22"/>
        <v>9.9900000000000144</v>
      </c>
      <c r="K103" s="77">
        <f t="shared" si="22"/>
        <v>14.024999999999983</v>
      </c>
      <c r="L103" s="77">
        <f t="shared" si="22"/>
        <v>1.8530000000000169</v>
      </c>
      <c r="M103" s="77">
        <f t="shared" si="22"/>
        <v>13.635999999999992</v>
      </c>
      <c r="N103" s="77">
        <f t="shared" si="22"/>
        <v>20.231000000000027</v>
      </c>
      <c r="O103" s="77">
        <f t="shared" si="22"/>
        <v>25.595999999999989</v>
      </c>
      <c r="P103" s="77">
        <f t="shared" si="22"/>
        <v>29.725000000000012</v>
      </c>
    </row>
    <row r="104" spans="1:16" x14ac:dyDescent="0.25">
      <c r="A104" s="12" t="s">
        <v>926</v>
      </c>
      <c r="B104" s="12" t="str">
        <f t="shared" ref="B104:B109" si="23">$B$10</f>
        <v>UIM</v>
      </c>
      <c r="C104" s="20"/>
      <c r="D104" s="20">
        <v>1.5799999999999996</v>
      </c>
      <c r="E104" s="20">
        <v>-2.726</v>
      </c>
      <c r="F104" s="20">
        <v>-1.0489999999999999</v>
      </c>
      <c r="G104" s="20">
        <v>0.26900000000000002</v>
      </c>
      <c r="H104" s="20">
        <v>-0.73399999999999999</v>
      </c>
      <c r="I104" s="20">
        <v>-1.1950000000000001</v>
      </c>
      <c r="J104" s="20">
        <v>-0.97499999999999998</v>
      </c>
      <c r="K104" s="20">
        <v>-1.589</v>
      </c>
      <c r="L104" s="48">
        <v>-0.871</v>
      </c>
      <c r="M104" s="48">
        <v>-0.89200000000000002</v>
      </c>
      <c r="N104" s="48">
        <v>-0.91400000000000003</v>
      </c>
      <c r="O104" s="48">
        <v>-0.878</v>
      </c>
      <c r="P104" s="48">
        <v>-0.85699999999999998</v>
      </c>
    </row>
    <row r="105" spans="1:16" x14ac:dyDescent="0.25">
      <c r="A105" s="12" t="s">
        <v>927</v>
      </c>
      <c r="B105" s="12" t="str">
        <f t="shared" si="23"/>
        <v>UIM</v>
      </c>
      <c r="C105" s="20"/>
      <c r="D105" s="20">
        <v>-0.76300000000000001</v>
      </c>
      <c r="E105" s="20">
        <v>-1.2789999999999999</v>
      </c>
      <c r="F105" s="20">
        <v>-1.0389999999999999</v>
      </c>
      <c r="G105" s="20">
        <v>-0.85799999999999998</v>
      </c>
      <c r="H105" s="20">
        <v>-0.73799999999999999</v>
      </c>
      <c r="I105" s="20">
        <v>-0.71899999999999997</v>
      </c>
      <c r="J105" s="20">
        <v>-0.66100000000000003</v>
      </c>
      <c r="K105" s="20">
        <v>-0.82699999999999996</v>
      </c>
      <c r="L105" s="48">
        <v>-0.78500000000000003</v>
      </c>
      <c r="M105" s="48">
        <v>-0.84799999999999998</v>
      </c>
      <c r="N105" s="48">
        <v>-0.92200000000000004</v>
      </c>
      <c r="O105" s="48">
        <v>-0.89200000000000002</v>
      </c>
      <c r="P105" s="48">
        <v>-0.92200000000000004</v>
      </c>
    </row>
    <row r="106" spans="1:16" x14ac:dyDescent="0.25">
      <c r="A106" s="12" t="s">
        <v>928</v>
      </c>
      <c r="B106" s="12" t="str">
        <f t="shared" si="23"/>
        <v>UIM</v>
      </c>
      <c r="C106" s="20"/>
      <c r="D106" s="20">
        <v>-4.1000000000000002E-2</v>
      </c>
      <c r="E106" s="20">
        <v>-5.2999999999999999E-2</v>
      </c>
      <c r="F106" s="20">
        <v>-1E-3</v>
      </c>
      <c r="G106" s="20">
        <v>-3.7999999999999999E-2</v>
      </c>
      <c r="H106" s="20">
        <v>-9.7000000000000003E-2</v>
      </c>
      <c r="I106" s="20">
        <v>-0.123</v>
      </c>
      <c r="J106" s="20">
        <v>-6.4000000000000001E-2</v>
      </c>
      <c r="K106" s="20">
        <v>-7.6999999999999999E-2</v>
      </c>
      <c r="L106" s="48">
        <v>3.3000000000000002E-2</v>
      </c>
      <c r="M106" s="48">
        <v>-3.4000000000000002E-2</v>
      </c>
      <c r="N106" s="48">
        <v>-4.2999999999999997E-2</v>
      </c>
      <c r="O106" s="48">
        <v>-4.5999999999999999E-2</v>
      </c>
      <c r="P106" s="48">
        <v>-5.1999999999999998E-2</v>
      </c>
    </row>
    <row r="107" spans="1:16" x14ac:dyDescent="0.25">
      <c r="A107" s="12" t="s">
        <v>929</v>
      </c>
      <c r="B107" s="12" t="str">
        <f t="shared" si="23"/>
        <v>UIM</v>
      </c>
      <c r="C107" s="20"/>
      <c r="D107" s="20">
        <v>-1.768</v>
      </c>
      <c r="E107" s="20">
        <v>-2.351</v>
      </c>
      <c r="F107" s="20">
        <v>-1.8680000000000001</v>
      </c>
      <c r="G107" s="20">
        <v>-1.696</v>
      </c>
      <c r="H107" s="20">
        <v>-3.5249999999999999</v>
      </c>
      <c r="I107" s="20">
        <v>-3.8380000000000001</v>
      </c>
      <c r="J107" s="20">
        <v>-4.3390000000000004</v>
      </c>
      <c r="K107" s="20">
        <v>-1.9279999999999999</v>
      </c>
      <c r="L107" s="48">
        <v>-1.6359999999999999</v>
      </c>
      <c r="M107" s="48">
        <v>-1.998</v>
      </c>
      <c r="N107" s="48">
        <v>-2.1019999999999999</v>
      </c>
      <c r="O107" s="48">
        <v>-2.2869999999999999</v>
      </c>
      <c r="P107" s="48">
        <v>-2.4569999999999999</v>
      </c>
    </row>
    <row r="108" spans="1:16" x14ac:dyDescent="0.25">
      <c r="A108" s="12" t="s">
        <v>1475</v>
      </c>
      <c r="B108" s="12" t="str">
        <f t="shared" si="23"/>
        <v>UIM</v>
      </c>
      <c r="C108" s="20"/>
      <c r="D108" s="20">
        <v>0</v>
      </c>
      <c r="E108" s="20">
        <v>0</v>
      </c>
      <c r="F108" s="20">
        <v>0</v>
      </c>
      <c r="G108" s="20">
        <v>0</v>
      </c>
      <c r="H108" s="20">
        <v>0.39500000000000002</v>
      </c>
      <c r="I108" s="20">
        <v>0.61399999999999999</v>
      </c>
      <c r="J108" s="20">
        <v>0.755</v>
      </c>
      <c r="K108" s="20">
        <v>0.41899999999999998</v>
      </c>
      <c r="L108" s="48">
        <v>0.63200000000000001</v>
      </c>
      <c r="M108" s="48">
        <v>0.57299999999999995</v>
      </c>
      <c r="N108" s="48">
        <v>0.46200000000000002</v>
      </c>
      <c r="O108" s="48">
        <v>0.35299999999999998</v>
      </c>
      <c r="P108" s="48">
        <v>0.21199999999999999</v>
      </c>
    </row>
    <row r="109" spans="1:16" x14ac:dyDescent="0.25">
      <c r="A109" s="12" t="s">
        <v>930</v>
      </c>
      <c r="B109" s="12" t="str">
        <f t="shared" si="23"/>
        <v>UIM</v>
      </c>
      <c r="C109" s="20"/>
      <c r="D109" s="20">
        <v>0.57099999999999995</v>
      </c>
      <c r="E109" s="20">
        <v>-0.80400000000000005</v>
      </c>
      <c r="F109" s="20">
        <v>0.73299999999999998</v>
      </c>
      <c r="G109" s="20">
        <v>0.79</v>
      </c>
      <c r="H109" s="20">
        <v>6.0999999999999999E-2</v>
      </c>
      <c r="I109" s="20">
        <v>6.0999999999999999E-2</v>
      </c>
      <c r="J109" s="20">
        <v>-4.9000000000000002E-2</v>
      </c>
      <c r="K109" s="20">
        <v>-0.32300000000000001</v>
      </c>
      <c r="L109" s="48">
        <v>-4.5999999999999999E-2</v>
      </c>
      <c r="M109" s="48">
        <v>-4.8000000000000001E-2</v>
      </c>
      <c r="N109" s="48">
        <v>-4.7E-2</v>
      </c>
      <c r="O109" s="48">
        <v>-4.5999999999999999E-2</v>
      </c>
      <c r="P109" s="48">
        <v>-4.4999999999999998E-2</v>
      </c>
    </row>
    <row r="110" spans="1:16" x14ac:dyDescent="0.25">
      <c r="A110" s="60" t="s">
        <v>931</v>
      </c>
      <c r="B110" s="12" t="str">
        <f>$B$9</f>
        <v>NAC</v>
      </c>
      <c r="C110" s="20"/>
      <c r="D110" s="77">
        <f t="shared" ref="D110:P110" si="24">SUM(-D$17,D$104:D$109)</f>
        <v>-4.9750000000000005</v>
      </c>
      <c r="E110" s="77">
        <f t="shared" si="24"/>
        <v>-12.507</v>
      </c>
      <c r="F110" s="77">
        <f t="shared" si="24"/>
        <v>-8.7899999999999991</v>
      </c>
      <c r="G110" s="77">
        <f t="shared" si="24"/>
        <v>-7.6849999999999996</v>
      </c>
      <c r="H110" s="77">
        <f t="shared" si="24"/>
        <v>-11.239000000000001</v>
      </c>
      <c r="I110" s="77">
        <f t="shared" si="24"/>
        <v>-12.820999999999998</v>
      </c>
      <c r="J110" s="77">
        <f t="shared" si="24"/>
        <v>-13.626999999999999</v>
      </c>
      <c r="K110" s="77">
        <f t="shared" si="24"/>
        <v>-13.006</v>
      </c>
      <c r="L110" s="77">
        <f t="shared" si="24"/>
        <v>-11.635</v>
      </c>
      <c r="M110" s="77">
        <f t="shared" si="24"/>
        <v>-12.522</v>
      </c>
      <c r="N110" s="77">
        <f t="shared" si="24"/>
        <v>-13.024000000000001</v>
      </c>
      <c r="O110" s="77">
        <f t="shared" si="24"/>
        <v>-13.629999999999997</v>
      </c>
      <c r="P110" s="77">
        <f t="shared" si="24"/>
        <v>-14.069000000000001</v>
      </c>
    </row>
    <row r="111" spans="1:16" x14ac:dyDescent="0.25">
      <c r="A111" s="12" t="s">
        <v>932</v>
      </c>
      <c r="B111" s="12" t="str">
        <f t="shared" ref="B111:B116" si="25">$B$10</f>
        <v>UIM</v>
      </c>
      <c r="C111" s="20"/>
      <c r="D111" s="20">
        <v>4.1879999999999997</v>
      </c>
      <c r="E111" s="20">
        <v>0.63100000000000001</v>
      </c>
      <c r="F111" s="20">
        <v>1.4810000000000001</v>
      </c>
      <c r="G111" s="20">
        <v>5.0270000000000001</v>
      </c>
      <c r="H111" s="20">
        <v>1.155</v>
      </c>
      <c r="I111" s="20">
        <v>3.3050000000000002</v>
      </c>
      <c r="J111" s="20">
        <v>-1.62</v>
      </c>
      <c r="K111" s="20">
        <v>-0.81599999999999995</v>
      </c>
      <c r="L111" s="48">
        <v>4.8789999999999996</v>
      </c>
      <c r="M111" s="48">
        <v>1.446</v>
      </c>
      <c r="N111" s="48">
        <v>1.375</v>
      </c>
      <c r="O111" s="48">
        <v>1.5720000000000001</v>
      </c>
      <c r="P111" s="48">
        <v>0.52500000000000002</v>
      </c>
    </row>
    <row r="112" spans="1:16" x14ac:dyDescent="0.25">
      <c r="A112" s="12" t="s">
        <v>933</v>
      </c>
      <c r="B112" s="12" t="str">
        <f t="shared" si="25"/>
        <v>UIM</v>
      </c>
      <c r="C112" s="20"/>
      <c r="D112" s="20">
        <v>3.6999999999999998E-2</v>
      </c>
      <c r="E112" s="20">
        <v>2.1000000000000001E-2</v>
      </c>
      <c r="F112" s="20">
        <v>1.1259999999999999</v>
      </c>
      <c r="G112" s="20">
        <v>0.19700000000000001</v>
      </c>
      <c r="H112" s="20">
        <v>0.183</v>
      </c>
      <c r="I112" s="20">
        <v>0.21099999999999999</v>
      </c>
      <c r="J112" s="20">
        <v>-0.98499999999999999</v>
      </c>
      <c r="K112" s="20">
        <v>-1.9179999999999999</v>
      </c>
      <c r="L112" s="48">
        <v>-0.16200000000000001</v>
      </c>
      <c r="M112" s="48">
        <v>0.75700000000000001</v>
      </c>
      <c r="N112" s="48">
        <v>0.33500000000000002</v>
      </c>
      <c r="O112" s="48">
        <v>0.24199999999999999</v>
      </c>
      <c r="P112" s="48">
        <v>0.22800000000000001</v>
      </c>
    </row>
    <row r="113" spans="1:16" x14ac:dyDescent="0.25">
      <c r="A113" s="12" t="s">
        <v>934</v>
      </c>
      <c r="B113" s="12" t="str">
        <f t="shared" si="25"/>
        <v>UIM</v>
      </c>
      <c r="C113" s="20"/>
      <c r="D113" s="20">
        <v>0.17499999999999999</v>
      </c>
      <c r="E113" s="20">
        <v>0.254</v>
      </c>
      <c r="F113" s="20">
        <v>0.42099999999999999</v>
      </c>
      <c r="G113" s="20">
        <v>0.874</v>
      </c>
      <c r="H113" s="20">
        <v>-2.7E-2</v>
      </c>
      <c r="I113" s="20">
        <v>-0.18</v>
      </c>
      <c r="J113" s="20">
        <v>0.23899999999999999</v>
      </c>
      <c r="K113" s="20">
        <v>0.16500000000000001</v>
      </c>
      <c r="L113" s="48">
        <v>-0.154</v>
      </c>
      <c r="M113" s="48">
        <v>-8.1000000000000003E-2</v>
      </c>
      <c r="N113" s="48">
        <v>0.02</v>
      </c>
      <c r="O113" s="48">
        <v>2.9000000000000001E-2</v>
      </c>
      <c r="P113" s="48">
        <v>-1.2E-2</v>
      </c>
    </row>
    <row r="114" spans="1:16" x14ac:dyDescent="0.25">
      <c r="A114" s="12" t="s">
        <v>935</v>
      </c>
      <c r="B114" s="12" t="str">
        <f t="shared" si="25"/>
        <v>UIM</v>
      </c>
      <c r="C114" s="20"/>
      <c r="D114" s="20">
        <v>3.5999999999999997E-2</v>
      </c>
      <c r="E114" s="20">
        <v>0.108</v>
      </c>
      <c r="F114" s="20">
        <v>6.3E-2</v>
      </c>
      <c r="G114" s="20">
        <v>0.30299999999999999</v>
      </c>
      <c r="H114" s="20">
        <v>0.113</v>
      </c>
      <c r="I114" s="20">
        <v>0.30499999999999999</v>
      </c>
      <c r="J114" s="20">
        <v>0.32800000000000001</v>
      </c>
      <c r="K114" s="20">
        <v>0.183</v>
      </c>
      <c r="L114" s="48">
        <v>0.14699999999999999</v>
      </c>
      <c r="M114" s="48">
        <v>-3.3000000000000002E-2</v>
      </c>
      <c r="N114" s="48">
        <v>0.01</v>
      </c>
      <c r="O114" s="48">
        <v>2E-3</v>
      </c>
      <c r="P114" s="48">
        <v>-6.0000000000000001E-3</v>
      </c>
    </row>
    <row r="115" spans="1:16" x14ac:dyDescent="0.25">
      <c r="A115" s="12" t="s">
        <v>936</v>
      </c>
      <c r="B115" s="12" t="str">
        <f t="shared" si="25"/>
        <v>UIM</v>
      </c>
      <c r="C115" s="20"/>
      <c r="D115" s="20">
        <v>-9.7000000000000003E-2</v>
      </c>
      <c r="E115" s="20">
        <v>-6.8000000000000005E-2</v>
      </c>
      <c r="F115" s="20">
        <v>0.04</v>
      </c>
      <c r="G115" s="20">
        <v>-0.81899999999999995</v>
      </c>
      <c r="H115" s="20">
        <v>-0.24399999999999999</v>
      </c>
      <c r="I115" s="20">
        <v>0.158</v>
      </c>
      <c r="J115" s="20">
        <v>-7.3999999999999996E-2</v>
      </c>
      <c r="K115" s="20">
        <v>-0.27900000000000003</v>
      </c>
      <c r="L115" s="48">
        <v>0.10299999999999999</v>
      </c>
      <c r="M115" s="48">
        <v>3.9E-2</v>
      </c>
      <c r="N115" s="48">
        <v>-2.9000000000000001E-2</v>
      </c>
      <c r="O115" s="48">
        <v>-5.8000000000000003E-2</v>
      </c>
      <c r="P115" s="48">
        <v>-9.6000000000000002E-2</v>
      </c>
    </row>
    <row r="116" spans="1:16" x14ac:dyDescent="0.25">
      <c r="A116" s="12" t="s">
        <v>937</v>
      </c>
      <c r="B116" s="12" t="str">
        <f t="shared" si="25"/>
        <v>UIM</v>
      </c>
      <c r="C116" s="20"/>
      <c r="D116" s="20">
        <v>-2.5710000000000002</v>
      </c>
      <c r="E116" s="20">
        <v>-0.95599999999999996</v>
      </c>
      <c r="F116" s="20">
        <v>-1.8320000000000001</v>
      </c>
      <c r="G116" s="20">
        <v>-1.849</v>
      </c>
      <c r="H116" s="20">
        <v>-3.2770000000000001</v>
      </c>
      <c r="I116" s="20">
        <v>-1.3859999999999999</v>
      </c>
      <c r="J116" s="20">
        <v>1.349</v>
      </c>
      <c r="K116" s="20">
        <v>2.782</v>
      </c>
      <c r="L116" s="48">
        <v>2.0059999999999998</v>
      </c>
      <c r="M116" s="48">
        <v>0.23499999999999999</v>
      </c>
      <c r="N116" s="48">
        <v>-1.6E-2</v>
      </c>
      <c r="O116" s="48">
        <v>-0.21</v>
      </c>
      <c r="P116" s="48">
        <v>0.39800000000000002</v>
      </c>
    </row>
    <row r="117" spans="1:16" x14ac:dyDescent="0.25">
      <c r="A117" s="60" t="s">
        <v>938</v>
      </c>
      <c r="B117" s="12" t="str">
        <f>$B$9</f>
        <v>NAC</v>
      </c>
      <c r="C117" s="20"/>
      <c r="D117" s="77">
        <f>SUM(D$111:D$116)</f>
        <v>1.7679999999999985</v>
      </c>
      <c r="E117" s="77">
        <f t="shared" ref="E117:P117" si="26">SUM(E$111:E$116)</f>
        <v>-1.0000000000000009E-2</v>
      </c>
      <c r="F117" s="77">
        <f t="shared" si="26"/>
        <v>1.2990000000000002</v>
      </c>
      <c r="G117" s="77">
        <f t="shared" si="26"/>
        <v>3.7329999999999997</v>
      </c>
      <c r="H117" s="77">
        <f t="shared" si="26"/>
        <v>-2.097</v>
      </c>
      <c r="I117" s="77">
        <f t="shared" si="26"/>
        <v>2.4130000000000003</v>
      </c>
      <c r="J117" s="77">
        <f t="shared" si="26"/>
        <v>-0.76300000000000012</v>
      </c>
      <c r="K117" s="77">
        <f t="shared" si="26"/>
        <v>0.11699999999999999</v>
      </c>
      <c r="L117" s="77">
        <f t="shared" si="26"/>
        <v>6.8189999999999991</v>
      </c>
      <c r="M117" s="77">
        <f t="shared" si="26"/>
        <v>2.363</v>
      </c>
      <c r="N117" s="77">
        <f t="shared" si="26"/>
        <v>1.6950000000000001</v>
      </c>
      <c r="O117" s="77">
        <f t="shared" si="26"/>
        <v>1.577</v>
      </c>
      <c r="P117" s="77">
        <f t="shared" si="26"/>
        <v>1.0369999999999999</v>
      </c>
    </row>
    <row r="118" spans="1:16" x14ac:dyDescent="0.25">
      <c r="A118" s="60" t="s">
        <v>939</v>
      </c>
      <c r="B118" s="12"/>
      <c r="C118" s="20"/>
      <c r="D118" s="78" t="str">
        <f t="shared" ref="D118:P118" si="27">IF(ROUND(D$29-(D$103+D$110+D$117),3)=0,"OK","ERROR")</f>
        <v>OK</v>
      </c>
      <c r="E118" s="78" t="str">
        <f t="shared" si="27"/>
        <v>OK</v>
      </c>
      <c r="F118" s="78" t="str">
        <f t="shared" si="27"/>
        <v>OK</v>
      </c>
      <c r="G118" s="78" t="str">
        <f t="shared" si="27"/>
        <v>OK</v>
      </c>
      <c r="H118" s="78" t="str">
        <f t="shared" si="27"/>
        <v>OK</v>
      </c>
      <c r="I118" s="78" t="str">
        <f t="shared" si="27"/>
        <v>OK</v>
      </c>
      <c r="J118" s="78" t="str">
        <f t="shared" si="27"/>
        <v>OK</v>
      </c>
      <c r="K118" s="78" t="str">
        <f t="shared" si="27"/>
        <v>OK</v>
      </c>
      <c r="L118" s="78" t="str">
        <f t="shared" si="27"/>
        <v>OK</v>
      </c>
      <c r="M118" s="78" t="str">
        <f t="shared" si="27"/>
        <v>OK</v>
      </c>
      <c r="N118" s="78" t="str">
        <f t="shared" si="27"/>
        <v>OK</v>
      </c>
      <c r="O118" s="78" t="str">
        <f t="shared" si="27"/>
        <v>OK</v>
      </c>
      <c r="P118" s="78" t="str">
        <f t="shared" si="27"/>
        <v>OK</v>
      </c>
    </row>
    <row r="119" spans="1:16" x14ac:dyDescent="0.25">
      <c r="A119" s="11" t="s">
        <v>940</v>
      </c>
      <c r="B119" s="12"/>
      <c r="C119" s="20"/>
      <c r="D119" s="48"/>
      <c r="E119" s="48"/>
      <c r="F119" s="48"/>
      <c r="G119" s="48"/>
      <c r="H119" s="48"/>
      <c r="I119" s="48"/>
      <c r="J119" s="48"/>
      <c r="K119" s="48"/>
      <c r="L119" s="48"/>
      <c r="M119" s="48"/>
      <c r="N119" s="48"/>
      <c r="O119" s="48"/>
      <c r="P119" s="48"/>
    </row>
    <row r="120" spans="1:16" x14ac:dyDescent="0.25">
      <c r="A120" s="12" t="s">
        <v>941</v>
      </c>
      <c r="B120" s="12" t="str">
        <f t="shared" ref="B120:B127" si="28">$B$10</f>
        <v>UIM</v>
      </c>
      <c r="C120" s="21">
        <v>18.893999999999998</v>
      </c>
      <c r="D120" s="20">
        <v>20.248000000000001</v>
      </c>
      <c r="E120" s="20">
        <v>21.927</v>
      </c>
      <c r="F120" s="20">
        <v>18.754999999999999</v>
      </c>
      <c r="G120" s="20">
        <v>17.835000000000001</v>
      </c>
      <c r="H120" s="20">
        <v>18.791</v>
      </c>
      <c r="I120" s="20">
        <v>16.212</v>
      </c>
      <c r="J120" s="20">
        <v>23.667999999999999</v>
      </c>
      <c r="K120" s="20">
        <v>28.646000000000001</v>
      </c>
      <c r="L120" s="48">
        <v>28.898</v>
      </c>
      <c r="M120" s="48">
        <v>28.678000000000001</v>
      </c>
      <c r="N120" s="48">
        <v>28.951000000000001</v>
      </c>
      <c r="O120" s="48">
        <v>28.582000000000001</v>
      </c>
      <c r="P120" s="48">
        <v>28.151</v>
      </c>
    </row>
    <row r="121" spans="1:16" x14ac:dyDescent="0.25">
      <c r="A121" s="12" t="s">
        <v>942</v>
      </c>
      <c r="B121" s="12" t="str">
        <f t="shared" si="28"/>
        <v>UIM</v>
      </c>
      <c r="C121" s="20"/>
      <c r="D121" s="20">
        <v>23.327000000000002</v>
      </c>
      <c r="E121" s="20">
        <v>24.742999999999999</v>
      </c>
      <c r="F121" s="20">
        <v>26.829000000000001</v>
      </c>
      <c r="G121" s="20">
        <v>35.134999999999998</v>
      </c>
      <c r="H121" s="20">
        <v>33.548000000000002</v>
      </c>
      <c r="I121" s="20">
        <v>37.231999999999999</v>
      </c>
      <c r="J121" s="20">
        <v>34.76</v>
      </c>
      <c r="K121" s="20">
        <v>36.582000000000001</v>
      </c>
      <c r="L121" s="48">
        <v>38.957000000000001</v>
      </c>
      <c r="M121" s="48">
        <v>40.423999999999999</v>
      </c>
      <c r="N121" s="48">
        <v>41.817999999999998</v>
      </c>
      <c r="O121" s="48">
        <v>43.411999999999999</v>
      </c>
      <c r="P121" s="48">
        <v>43.962000000000003</v>
      </c>
    </row>
    <row r="122" spans="1:16" x14ac:dyDescent="0.25">
      <c r="A122" s="12" t="s">
        <v>943</v>
      </c>
      <c r="B122" s="12" t="str">
        <f t="shared" si="28"/>
        <v>UIM</v>
      </c>
      <c r="C122" s="20"/>
      <c r="D122" s="20">
        <v>43.616</v>
      </c>
      <c r="E122" s="20">
        <v>61.005000000000003</v>
      </c>
      <c r="F122" s="20">
        <v>56.783000000000001</v>
      </c>
      <c r="G122" s="20">
        <v>65.456000000000003</v>
      </c>
      <c r="H122" s="20">
        <v>66.489999999999995</v>
      </c>
      <c r="I122" s="20">
        <v>73.646000000000001</v>
      </c>
      <c r="J122" s="20">
        <v>82.543999999999997</v>
      </c>
      <c r="K122" s="20">
        <v>89.466999999999999</v>
      </c>
      <c r="L122" s="48">
        <v>87.414000000000001</v>
      </c>
      <c r="M122" s="48">
        <v>92.775000000000006</v>
      </c>
      <c r="N122" s="48">
        <v>98.364999999999995</v>
      </c>
      <c r="O122" s="48">
        <v>103.245</v>
      </c>
      <c r="P122" s="48">
        <v>105.999</v>
      </c>
    </row>
    <row r="123" spans="1:16" x14ac:dyDescent="0.25">
      <c r="A123" s="12" t="s">
        <v>944</v>
      </c>
      <c r="B123" s="12" t="str">
        <f t="shared" si="28"/>
        <v>UIM</v>
      </c>
      <c r="C123" s="20"/>
      <c r="D123" s="20">
        <v>39.552</v>
      </c>
      <c r="E123" s="20">
        <v>33.790999999999997</v>
      </c>
      <c r="F123" s="20">
        <v>48.539000000000001</v>
      </c>
      <c r="G123" s="20">
        <v>46.261000000000003</v>
      </c>
      <c r="H123" s="20">
        <v>48.045999999999999</v>
      </c>
      <c r="I123" s="20">
        <v>53.494999999999997</v>
      </c>
      <c r="J123" s="20">
        <v>59.573</v>
      </c>
      <c r="K123" s="20">
        <v>67.221000000000004</v>
      </c>
      <c r="L123" s="48">
        <v>69.888999999999996</v>
      </c>
      <c r="M123" s="48">
        <v>74.350999999999999</v>
      </c>
      <c r="N123" s="48">
        <v>77.135000000000005</v>
      </c>
      <c r="O123" s="48">
        <v>80.966999999999999</v>
      </c>
      <c r="P123" s="48">
        <v>85.147000000000006</v>
      </c>
    </row>
    <row r="124" spans="1:16" x14ac:dyDescent="0.25">
      <c r="A124" s="12" t="s">
        <v>945</v>
      </c>
      <c r="B124" s="12" t="str">
        <f t="shared" si="28"/>
        <v>UIM</v>
      </c>
      <c r="C124" s="20"/>
      <c r="D124" s="20">
        <v>33.69</v>
      </c>
      <c r="E124" s="20">
        <v>37.628999999999998</v>
      </c>
      <c r="F124" s="20">
        <v>45.612000000000002</v>
      </c>
      <c r="G124" s="20">
        <v>54.658999999999999</v>
      </c>
      <c r="H124" s="20">
        <v>66.489000000000004</v>
      </c>
      <c r="I124" s="20">
        <v>69.378</v>
      </c>
      <c r="J124" s="20">
        <v>64.911000000000001</v>
      </c>
      <c r="K124" s="20">
        <v>60.273000000000003</v>
      </c>
      <c r="L124" s="48">
        <v>63.731000000000002</v>
      </c>
      <c r="M124" s="48">
        <v>68.614000000000004</v>
      </c>
      <c r="N124" s="48">
        <v>73.834999999999994</v>
      </c>
      <c r="O124" s="48">
        <v>79.558000000000007</v>
      </c>
      <c r="P124" s="48">
        <v>85.57</v>
      </c>
    </row>
    <row r="125" spans="1:16" x14ac:dyDescent="0.25">
      <c r="A125" s="12" t="s">
        <v>946</v>
      </c>
      <c r="B125" s="12" t="str">
        <f t="shared" si="28"/>
        <v>UIM</v>
      </c>
      <c r="C125" s="20"/>
      <c r="D125" s="20">
        <v>3.6880000000000002</v>
      </c>
      <c r="E125" s="20">
        <v>4.22</v>
      </c>
      <c r="F125" s="20">
        <v>4.718</v>
      </c>
      <c r="G125" s="20">
        <v>6.0960000000000001</v>
      </c>
      <c r="H125" s="20">
        <v>7.3170000000000002</v>
      </c>
      <c r="I125" s="20">
        <v>7.1740000000000004</v>
      </c>
      <c r="J125" s="20">
        <v>8.093</v>
      </c>
      <c r="K125" s="20">
        <v>10.503</v>
      </c>
      <c r="L125" s="48">
        <v>11.324999999999999</v>
      </c>
      <c r="M125" s="48">
        <v>12.249000000000001</v>
      </c>
      <c r="N125" s="48">
        <v>13.202999999999999</v>
      </c>
      <c r="O125" s="48">
        <v>14.228</v>
      </c>
      <c r="P125" s="48">
        <v>15.332000000000001</v>
      </c>
    </row>
    <row r="126" spans="1:16" x14ac:dyDescent="0.25">
      <c r="A126" s="12" t="s">
        <v>947</v>
      </c>
      <c r="B126" s="12" t="str">
        <f t="shared" si="28"/>
        <v>UIM</v>
      </c>
      <c r="C126" s="20"/>
      <c r="D126" s="20">
        <v>1.5169999999999999</v>
      </c>
      <c r="E126" s="20">
        <v>1.7729999999999999</v>
      </c>
      <c r="F126" s="20">
        <v>2.194</v>
      </c>
      <c r="G126" s="20">
        <v>3.0680000000000001</v>
      </c>
      <c r="H126" s="20">
        <v>3.0409999999999999</v>
      </c>
      <c r="I126" s="20">
        <v>2.8610000000000002</v>
      </c>
      <c r="J126" s="20">
        <v>3.1</v>
      </c>
      <c r="K126" s="20">
        <v>3.2650000000000001</v>
      </c>
      <c r="L126" s="48">
        <v>3.1110000000000002</v>
      </c>
      <c r="M126" s="48">
        <v>3.03</v>
      </c>
      <c r="N126" s="48">
        <v>3.05</v>
      </c>
      <c r="O126" s="48">
        <v>3.0790000000000002</v>
      </c>
      <c r="P126" s="48">
        <v>3.0670000000000002</v>
      </c>
    </row>
    <row r="127" spans="1:16" x14ac:dyDescent="0.25">
      <c r="A127" s="12" t="s">
        <v>948</v>
      </c>
      <c r="B127" s="12" t="str">
        <f t="shared" si="28"/>
        <v>UIM</v>
      </c>
      <c r="C127" s="20"/>
      <c r="D127" s="20">
        <v>2.8279999999999998</v>
      </c>
      <c r="E127" s="20">
        <v>3.61</v>
      </c>
      <c r="F127" s="20">
        <v>3.9279999999999999</v>
      </c>
      <c r="G127" s="20">
        <v>4.2080000000000002</v>
      </c>
      <c r="H127" s="20">
        <v>4.6120000000000001</v>
      </c>
      <c r="I127" s="20">
        <v>5.0449999999999999</v>
      </c>
      <c r="J127" s="20">
        <v>5.157</v>
      </c>
      <c r="K127" s="20">
        <v>5.55</v>
      </c>
      <c r="L127" s="48">
        <v>5.6280000000000001</v>
      </c>
      <c r="M127" s="48">
        <v>5.5730000000000004</v>
      </c>
      <c r="N127" s="48">
        <v>5.3250000000000002</v>
      </c>
      <c r="O127" s="48">
        <v>5.3239999999999998</v>
      </c>
      <c r="P127" s="48">
        <v>5.3129999999999997</v>
      </c>
    </row>
    <row r="128" spans="1:16" x14ac:dyDescent="0.25">
      <c r="A128" s="12" t="s">
        <v>949</v>
      </c>
      <c r="B128" s="12" t="str">
        <f>$B$9</f>
        <v>NAC</v>
      </c>
      <c r="C128" s="20"/>
      <c r="D128" s="20">
        <v>177.625</v>
      </c>
      <c r="E128" s="20">
        <v>186.50200000000001</v>
      </c>
      <c r="F128" s="20">
        <v>213.21600000000001</v>
      </c>
      <c r="G128" s="20">
        <v>249.18199999999999</v>
      </c>
      <c r="H128" s="20">
        <v>267.39</v>
      </c>
      <c r="I128" s="20">
        <v>283.79000000000002</v>
      </c>
      <c r="J128" s="20">
        <v>292.601</v>
      </c>
      <c r="K128" s="20">
        <v>295.96699999999998</v>
      </c>
      <c r="L128" s="48">
        <v>303.17700000000002</v>
      </c>
      <c r="M128" s="48">
        <v>310.65300000000002</v>
      </c>
      <c r="N128" s="48">
        <v>316.47699999999998</v>
      </c>
      <c r="O128" s="48">
        <v>319.89400000000001</v>
      </c>
      <c r="P128" s="48">
        <v>322.71100000000001</v>
      </c>
    </row>
    <row r="129" spans="1:16" x14ac:dyDescent="0.25">
      <c r="A129" s="12" t="s">
        <v>950</v>
      </c>
      <c r="B129" s="12" t="str">
        <f>$B$10</f>
        <v>UIM</v>
      </c>
      <c r="C129" s="20"/>
      <c r="D129" s="20">
        <v>14.65</v>
      </c>
      <c r="E129" s="20">
        <v>14.308</v>
      </c>
      <c r="F129" s="20">
        <v>14.420999999999999</v>
      </c>
      <c r="G129" s="20">
        <v>16.247</v>
      </c>
      <c r="H129" s="20">
        <v>17.033999999999999</v>
      </c>
      <c r="I129" s="20">
        <v>17.951000000000001</v>
      </c>
      <c r="J129" s="20">
        <v>19.478000000000002</v>
      </c>
      <c r="K129" s="20">
        <v>18.126999999999999</v>
      </c>
      <c r="L129" s="48">
        <v>18.913</v>
      </c>
      <c r="M129" s="48">
        <v>19.36</v>
      </c>
      <c r="N129" s="48">
        <v>19.609000000000002</v>
      </c>
      <c r="O129" s="48">
        <v>19.724</v>
      </c>
      <c r="P129" s="48">
        <v>19.824999999999999</v>
      </c>
    </row>
    <row r="130" spans="1:16" x14ac:dyDescent="0.25">
      <c r="A130" s="12" t="s">
        <v>951</v>
      </c>
      <c r="B130" s="12" t="str">
        <f>$B$9</f>
        <v>NAC</v>
      </c>
      <c r="C130" s="20"/>
      <c r="D130" s="20">
        <v>3.911</v>
      </c>
      <c r="E130" s="20">
        <v>3.8919999999999999</v>
      </c>
      <c r="F130" s="20">
        <v>3.601</v>
      </c>
      <c r="G130" s="20">
        <v>3.6970000000000001</v>
      </c>
      <c r="H130" s="20">
        <v>3.9079999999999999</v>
      </c>
      <c r="I130" s="20">
        <v>4.0839999999999996</v>
      </c>
      <c r="J130" s="20">
        <v>4.0910000000000002</v>
      </c>
      <c r="K130" s="20">
        <v>3.964</v>
      </c>
      <c r="L130" s="48">
        <v>4.03</v>
      </c>
      <c r="M130" s="48">
        <v>3.9550000000000001</v>
      </c>
      <c r="N130" s="48">
        <v>3.9060000000000001</v>
      </c>
      <c r="O130" s="48">
        <v>3.9249999999999998</v>
      </c>
      <c r="P130" s="48">
        <v>3.9329999999999998</v>
      </c>
    </row>
    <row r="131" spans="1:16" x14ac:dyDescent="0.25">
      <c r="A131" s="12" t="s">
        <v>952</v>
      </c>
      <c r="B131" s="12" t="str">
        <f>$B$10</f>
        <v>UIM</v>
      </c>
      <c r="C131" s="20"/>
      <c r="D131" s="20">
        <v>0</v>
      </c>
      <c r="E131" s="20">
        <v>0</v>
      </c>
      <c r="F131" s="20">
        <v>0</v>
      </c>
      <c r="G131" s="20">
        <v>0</v>
      </c>
      <c r="H131" s="20">
        <v>0</v>
      </c>
      <c r="I131" s="20">
        <v>0</v>
      </c>
      <c r="J131" s="20">
        <v>0</v>
      </c>
      <c r="K131" s="20">
        <v>0</v>
      </c>
      <c r="L131" s="48">
        <v>1.994</v>
      </c>
      <c r="M131" s="48">
        <v>5.0810000000000004</v>
      </c>
      <c r="N131" s="48">
        <v>8.8089999999999993</v>
      </c>
      <c r="O131" s="48">
        <v>13.289</v>
      </c>
      <c r="P131" s="48">
        <v>18.556999999999999</v>
      </c>
    </row>
    <row r="132" spans="1:16" x14ac:dyDescent="0.25">
      <c r="A132" s="12" t="s">
        <v>953</v>
      </c>
      <c r="B132" s="12" t="str">
        <f>$B$10</f>
        <v>UIM</v>
      </c>
      <c r="C132" s="20"/>
      <c r="D132" s="20">
        <v>0</v>
      </c>
      <c r="E132" s="20">
        <v>0</v>
      </c>
      <c r="F132" s="20">
        <v>0</v>
      </c>
      <c r="G132" s="20">
        <v>0</v>
      </c>
      <c r="H132" s="20">
        <v>0</v>
      </c>
      <c r="I132" s="20">
        <v>0</v>
      </c>
      <c r="J132" s="20">
        <v>0</v>
      </c>
      <c r="K132" s="20">
        <v>0</v>
      </c>
      <c r="L132" s="48">
        <v>-2</v>
      </c>
      <c r="M132" s="48">
        <v>-2.7</v>
      </c>
      <c r="N132" s="48">
        <v>-2.8</v>
      </c>
      <c r="O132" s="48">
        <v>-2.9</v>
      </c>
      <c r="P132" s="48">
        <v>-3</v>
      </c>
    </row>
    <row r="133" spans="1:16" x14ac:dyDescent="0.25">
      <c r="A133" s="60" t="s">
        <v>954</v>
      </c>
      <c r="B133" s="12" t="str">
        <f>$B$9</f>
        <v>NAC</v>
      </c>
      <c r="C133" s="20"/>
      <c r="D133" s="77">
        <f t="shared" ref="D133:P133" si="29">SUM(D$120:D$132)</f>
        <v>364.65199999999999</v>
      </c>
      <c r="E133" s="77">
        <f t="shared" si="29"/>
        <v>393.40000000000003</v>
      </c>
      <c r="F133" s="77">
        <f t="shared" si="29"/>
        <v>438.59599999999995</v>
      </c>
      <c r="G133" s="77">
        <f t="shared" si="29"/>
        <v>501.84399999999999</v>
      </c>
      <c r="H133" s="77">
        <f t="shared" si="29"/>
        <v>536.66599999999994</v>
      </c>
      <c r="I133" s="77">
        <f t="shared" si="29"/>
        <v>570.86800000000005</v>
      </c>
      <c r="J133" s="77">
        <f t="shared" si="29"/>
        <v>597.976</v>
      </c>
      <c r="K133" s="77">
        <f t="shared" si="29"/>
        <v>619.56499999999994</v>
      </c>
      <c r="L133" s="77">
        <f t="shared" si="29"/>
        <v>635.06700000000001</v>
      </c>
      <c r="M133" s="77">
        <f t="shared" si="29"/>
        <v>662.04300000000001</v>
      </c>
      <c r="N133" s="77">
        <f t="shared" si="29"/>
        <v>687.68299999999988</v>
      </c>
      <c r="O133" s="77">
        <f t="shared" si="29"/>
        <v>712.327</v>
      </c>
      <c r="P133" s="77">
        <f t="shared" si="29"/>
        <v>734.56700000000001</v>
      </c>
    </row>
    <row r="134" spans="1:16" x14ac:dyDescent="0.25">
      <c r="A134" s="12" t="s">
        <v>955</v>
      </c>
      <c r="B134" s="12" t="str">
        <f>$B$10</f>
        <v>UIM</v>
      </c>
      <c r="C134" s="20"/>
      <c r="D134" s="20">
        <v>6.8129999999999997</v>
      </c>
      <c r="E134" s="20">
        <v>8.0220000000000002</v>
      </c>
      <c r="F134" s="20">
        <v>8.2560000000000002</v>
      </c>
      <c r="G134" s="20">
        <v>9.0609999999999999</v>
      </c>
      <c r="H134" s="20">
        <v>9.0020000000000007</v>
      </c>
      <c r="I134" s="20">
        <v>8.9770000000000003</v>
      </c>
      <c r="J134" s="20">
        <v>9.1519999999999992</v>
      </c>
      <c r="K134" s="20">
        <v>10.262</v>
      </c>
      <c r="L134" s="48">
        <v>9.8059999999999992</v>
      </c>
      <c r="M134" s="48">
        <v>9.9039999999999999</v>
      </c>
      <c r="N134" s="48">
        <v>10.003</v>
      </c>
      <c r="O134" s="48">
        <v>10.103</v>
      </c>
      <c r="P134" s="48">
        <v>10.204000000000001</v>
      </c>
    </row>
    <row r="135" spans="1:16" x14ac:dyDescent="0.25">
      <c r="A135" s="12" t="s">
        <v>956</v>
      </c>
      <c r="B135" s="12" t="str">
        <f>$B$10</f>
        <v>UIM</v>
      </c>
      <c r="C135" s="20"/>
      <c r="D135" s="20">
        <v>16.742000000000001</v>
      </c>
      <c r="E135" s="20">
        <v>16.971</v>
      </c>
      <c r="F135" s="20">
        <v>17.577000000000002</v>
      </c>
      <c r="G135" s="20">
        <v>21.42</v>
      </c>
      <c r="H135" s="20">
        <v>18.725999999999999</v>
      </c>
      <c r="I135" s="20">
        <v>19.863</v>
      </c>
      <c r="J135" s="20">
        <v>21.957000000000001</v>
      </c>
      <c r="K135" s="20">
        <v>20.308</v>
      </c>
      <c r="L135" s="48">
        <v>20.341000000000001</v>
      </c>
      <c r="M135" s="48">
        <v>22.204999999999998</v>
      </c>
      <c r="N135" s="48">
        <v>21.843</v>
      </c>
      <c r="O135" s="48">
        <v>22.009</v>
      </c>
      <c r="P135" s="48">
        <v>22.122</v>
      </c>
    </row>
    <row r="136" spans="1:16" x14ac:dyDescent="0.25">
      <c r="A136" s="12" t="s">
        <v>957</v>
      </c>
      <c r="B136" s="12" t="str">
        <f>$B$10</f>
        <v>UIM</v>
      </c>
      <c r="C136" s="20"/>
      <c r="D136" s="20">
        <v>2.5230000000000001</v>
      </c>
      <c r="E136" s="20">
        <v>2.59</v>
      </c>
      <c r="F136" s="20">
        <v>2.5489999999999999</v>
      </c>
      <c r="G136" s="20">
        <v>3.3679999999999999</v>
      </c>
      <c r="H136" s="20">
        <v>3.61</v>
      </c>
      <c r="I136" s="20">
        <v>3.4529999999999998</v>
      </c>
      <c r="J136" s="20">
        <v>3.5270000000000001</v>
      </c>
      <c r="K136" s="20">
        <v>3.806</v>
      </c>
      <c r="L136" s="48">
        <v>3.7029999999999998</v>
      </c>
      <c r="M136" s="48">
        <v>3.6640000000000001</v>
      </c>
      <c r="N136" s="48">
        <v>3.6930000000000001</v>
      </c>
      <c r="O136" s="48">
        <v>3.7509999999999999</v>
      </c>
      <c r="P136" s="48">
        <v>3.847</v>
      </c>
    </row>
    <row r="137" spans="1:16" x14ac:dyDescent="0.25">
      <c r="A137" s="12" t="s">
        <v>958</v>
      </c>
      <c r="B137" s="12" t="str">
        <f>$B$10</f>
        <v>UIM</v>
      </c>
      <c r="C137" s="20"/>
      <c r="D137" s="20">
        <v>110.248</v>
      </c>
      <c r="E137" s="20">
        <v>152.71700000000001</v>
      </c>
      <c r="F137" s="20">
        <v>162.56</v>
      </c>
      <c r="G137" s="20">
        <v>203.965</v>
      </c>
      <c r="H137" s="20">
        <v>226.755</v>
      </c>
      <c r="I137" s="20">
        <v>250.94300000000001</v>
      </c>
      <c r="J137" s="20">
        <v>272.08499999999998</v>
      </c>
      <c r="K137" s="20">
        <v>293.99900000000002</v>
      </c>
      <c r="L137" s="48">
        <v>314.43099999999998</v>
      </c>
      <c r="M137" s="48">
        <v>335.178</v>
      </c>
      <c r="N137" s="48">
        <v>350.851</v>
      </c>
      <c r="O137" s="48">
        <v>360.36200000000002</v>
      </c>
      <c r="P137" s="48">
        <v>363.75400000000002</v>
      </c>
    </row>
    <row r="138" spans="1:16" x14ac:dyDescent="0.25">
      <c r="A138" s="12" t="s">
        <v>1476</v>
      </c>
      <c r="B138" s="12" t="str">
        <f>$B$10</f>
        <v>UIM</v>
      </c>
      <c r="C138" s="21">
        <v>2.5409999999999999</v>
      </c>
      <c r="D138" s="20">
        <v>2.8839999999999999</v>
      </c>
      <c r="E138" s="20">
        <v>3.8039999999999998</v>
      </c>
      <c r="F138" s="20">
        <v>5.8239999999999998</v>
      </c>
      <c r="G138" s="20">
        <v>11.308</v>
      </c>
      <c r="H138" s="20">
        <v>6.125</v>
      </c>
      <c r="I138" s="20">
        <v>6.6260000000000003</v>
      </c>
      <c r="J138" s="20">
        <v>7.1559999999999997</v>
      </c>
      <c r="K138" s="20">
        <v>6.2789999999999999</v>
      </c>
      <c r="L138" s="48">
        <v>5.7809999999999997</v>
      </c>
      <c r="M138" s="48">
        <v>5.4080000000000004</v>
      </c>
      <c r="N138" s="48">
        <v>5.0949999999999998</v>
      </c>
      <c r="O138" s="48">
        <v>4.8460000000000001</v>
      </c>
      <c r="P138" s="48">
        <v>4.6710000000000003</v>
      </c>
    </row>
    <row r="139" spans="1:16" x14ac:dyDescent="0.25">
      <c r="A139" s="12" t="s">
        <v>959</v>
      </c>
      <c r="B139" s="12" t="str">
        <f>$B$9</f>
        <v>NAC</v>
      </c>
      <c r="C139" s="20"/>
      <c r="D139" s="20">
        <v>58.216000000000001</v>
      </c>
      <c r="E139" s="20">
        <v>66.69</v>
      </c>
      <c r="F139" s="20">
        <v>60.335999999999999</v>
      </c>
      <c r="G139" s="20">
        <v>55.301000000000002</v>
      </c>
      <c r="H139" s="20">
        <v>57.511000000000003</v>
      </c>
      <c r="I139" s="20">
        <v>66.575000000000003</v>
      </c>
      <c r="J139" s="20">
        <v>70.325999999999993</v>
      </c>
      <c r="K139" s="20">
        <v>74.543999999999997</v>
      </c>
      <c r="L139" s="48">
        <v>64.055000000000007</v>
      </c>
      <c r="M139" s="48">
        <v>66.052999999999997</v>
      </c>
      <c r="N139" s="48">
        <v>68.155000000000001</v>
      </c>
      <c r="O139" s="48">
        <v>70.441999999999993</v>
      </c>
      <c r="P139" s="48">
        <v>72.900000000000006</v>
      </c>
    </row>
    <row r="140" spans="1:16" x14ac:dyDescent="0.25">
      <c r="A140" s="12" t="s">
        <v>960</v>
      </c>
      <c r="B140" s="12" t="str">
        <f>$B$10</f>
        <v>UIM</v>
      </c>
      <c r="C140" s="20"/>
      <c r="D140" s="20">
        <v>13.179</v>
      </c>
      <c r="E140" s="20">
        <v>13.983000000000001</v>
      </c>
      <c r="F140" s="20">
        <v>11.038</v>
      </c>
      <c r="G140" s="20">
        <v>8.7690000000000001</v>
      </c>
      <c r="H140" s="20">
        <v>8.0389999999999997</v>
      </c>
      <c r="I140" s="20">
        <v>7.3369999999999997</v>
      </c>
      <c r="J140" s="20">
        <v>6.6609999999999996</v>
      </c>
      <c r="K140" s="20">
        <v>6.2480000000000002</v>
      </c>
      <c r="L140" s="48">
        <v>5.6340000000000003</v>
      </c>
      <c r="M140" s="48">
        <v>5.1310000000000002</v>
      </c>
      <c r="N140" s="48">
        <v>4.6390000000000002</v>
      </c>
      <c r="O140" s="48">
        <v>4.165</v>
      </c>
      <c r="P140" s="48">
        <v>3.7080000000000002</v>
      </c>
    </row>
    <row r="141" spans="1:16" x14ac:dyDescent="0.25">
      <c r="A141" s="12" t="s">
        <v>961</v>
      </c>
      <c r="B141" s="12" t="str">
        <f>$B$10</f>
        <v>UIM</v>
      </c>
      <c r="C141" s="20"/>
      <c r="D141" s="20">
        <v>10.708</v>
      </c>
      <c r="E141" s="20">
        <v>12.68</v>
      </c>
      <c r="F141" s="20">
        <v>13.263</v>
      </c>
      <c r="G141" s="20">
        <v>14.333</v>
      </c>
      <c r="H141" s="20">
        <v>15.426</v>
      </c>
      <c r="I141" s="20">
        <v>16.045000000000002</v>
      </c>
      <c r="J141" s="20">
        <v>17.984000000000002</v>
      </c>
      <c r="K141" s="20">
        <v>16.405000000000001</v>
      </c>
      <c r="L141" s="48">
        <v>14.760999999999999</v>
      </c>
      <c r="M141" s="48">
        <v>14.428000000000001</v>
      </c>
      <c r="N141" s="48">
        <v>14.282999999999999</v>
      </c>
      <c r="O141" s="48">
        <v>14.246</v>
      </c>
      <c r="P141" s="48">
        <v>14.132999999999999</v>
      </c>
    </row>
    <row r="142" spans="1:16" x14ac:dyDescent="0.25">
      <c r="A142" s="60" t="s">
        <v>962</v>
      </c>
      <c r="B142" s="12" t="str">
        <f>$B$9</f>
        <v>NAC</v>
      </c>
      <c r="C142" s="20"/>
      <c r="D142" s="77">
        <f t="shared" ref="D142:P142" si="30">SUM(D$134:D$141)</f>
        <v>221.31299999999999</v>
      </c>
      <c r="E142" s="77">
        <f t="shared" si="30"/>
        <v>277.45699999999999</v>
      </c>
      <c r="F142" s="77">
        <f t="shared" si="30"/>
        <v>281.40300000000002</v>
      </c>
      <c r="G142" s="77">
        <f t="shared" si="30"/>
        <v>327.52500000000003</v>
      </c>
      <c r="H142" s="77">
        <f t="shared" si="30"/>
        <v>345.19400000000002</v>
      </c>
      <c r="I142" s="77">
        <f t="shared" si="30"/>
        <v>379.81899999999996</v>
      </c>
      <c r="J142" s="77">
        <f t="shared" si="30"/>
        <v>408.84799999999996</v>
      </c>
      <c r="K142" s="77">
        <f t="shared" si="30"/>
        <v>431.851</v>
      </c>
      <c r="L142" s="77">
        <f t="shared" si="30"/>
        <v>438.51200000000006</v>
      </c>
      <c r="M142" s="77">
        <f t="shared" si="30"/>
        <v>461.971</v>
      </c>
      <c r="N142" s="77">
        <f t="shared" si="30"/>
        <v>478.56200000000001</v>
      </c>
      <c r="O142" s="77">
        <f t="shared" si="30"/>
        <v>489.92400000000004</v>
      </c>
      <c r="P142" s="77">
        <f t="shared" si="30"/>
        <v>495.33900000000006</v>
      </c>
    </row>
    <row r="143" spans="1:16" x14ac:dyDescent="0.25">
      <c r="A143" s="60" t="s">
        <v>963</v>
      </c>
      <c r="B143" s="12" t="str">
        <f>$B$9</f>
        <v>NAC</v>
      </c>
      <c r="C143" s="20"/>
      <c r="D143" s="21">
        <v>143.339</v>
      </c>
      <c r="E143" s="21">
        <v>115.943</v>
      </c>
      <c r="F143" s="21">
        <v>157.19300000000001</v>
      </c>
      <c r="G143" s="21">
        <v>174.31899999999999</v>
      </c>
      <c r="H143" s="21">
        <v>191.47200000000001</v>
      </c>
      <c r="I143" s="21">
        <v>191.04900000000001</v>
      </c>
      <c r="J143" s="21">
        <v>189.12799999999999</v>
      </c>
      <c r="K143" s="21">
        <v>187.714</v>
      </c>
      <c r="L143" s="47">
        <v>196.55500000000001</v>
      </c>
      <c r="M143" s="47">
        <v>200.072</v>
      </c>
      <c r="N143" s="47">
        <v>209.12100000000001</v>
      </c>
      <c r="O143" s="47">
        <v>222.40299999999999</v>
      </c>
      <c r="P143" s="47">
        <v>239.22800000000001</v>
      </c>
    </row>
    <row r="144" spans="1:16" x14ac:dyDescent="0.25">
      <c r="A144" s="60" t="s">
        <v>964</v>
      </c>
      <c r="B144" s="12"/>
      <c r="C144" s="20"/>
      <c r="D144" s="78" t="str">
        <f t="shared" ref="D144:P144" si="31">IF(ROUND(D$143-(D$133-D$142),3)=0,"OK","ERROR")</f>
        <v>OK</v>
      </c>
      <c r="E144" s="78" t="str">
        <f t="shared" si="31"/>
        <v>OK</v>
      </c>
      <c r="F144" s="78" t="str">
        <f t="shared" si="31"/>
        <v>OK</v>
      </c>
      <c r="G144" s="78" t="str">
        <f t="shared" si="31"/>
        <v>OK</v>
      </c>
      <c r="H144" s="78" t="str">
        <f t="shared" si="31"/>
        <v>OK</v>
      </c>
      <c r="I144" s="78" t="str">
        <f t="shared" si="31"/>
        <v>OK</v>
      </c>
      <c r="J144" s="78" t="str">
        <f t="shared" si="31"/>
        <v>OK</v>
      </c>
      <c r="K144" s="78" t="str">
        <f t="shared" si="31"/>
        <v>OK</v>
      </c>
      <c r="L144" s="78" t="str">
        <f t="shared" si="31"/>
        <v>OK</v>
      </c>
      <c r="M144" s="78" t="str">
        <f t="shared" si="31"/>
        <v>OK</v>
      </c>
      <c r="N144" s="78" t="str">
        <f t="shared" si="31"/>
        <v>OK</v>
      </c>
      <c r="O144" s="78" t="str">
        <f t="shared" si="31"/>
        <v>OK</v>
      </c>
      <c r="P144" s="78" t="str">
        <f t="shared" si="31"/>
        <v>OK</v>
      </c>
    </row>
    <row r="145" spans="1:16" x14ac:dyDescent="0.25">
      <c r="A145" s="60" t="s">
        <v>965</v>
      </c>
      <c r="B145" s="12" t="str">
        <f>$B$10</f>
        <v>UIM</v>
      </c>
      <c r="C145" s="20"/>
      <c r="D145" s="20">
        <v>6.39</v>
      </c>
      <c r="E145" s="20">
        <v>5.6230000000000002</v>
      </c>
      <c r="F145" s="20">
        <v>5.7240000000000002</v>
      </c>
      <c r="G145" s="20">
        <v>7.2830000000000004</v>
      </c>
      <c r="H145" s="20">
        <v>7.9580000000000002</v>
      </c>
      <c r="I145" s="20">
        <v>9.2309999999999999</v>
      </c>
      <c r="J145" s="20">
        <v>9.8680000000000003</v>
      </c>
      <c r="K145" s="20">
        <v>10.510999999999999</v>
      </c>
      <c r="L145" s="48">
        <v>10.034000000000001</v>
      </c>
      <c r="M145" s="48">
        <v>9.9979999999999993</v>
      </c>
      <c r="N145" s="48">
        <v>9.9629999999999992</v>
      </c>
      <c r="O145" s="48">
        <v>9.6080000000000005</v>
      </c>
      <c r="P145" s="48">
        <v>9.61</v>
      </c>
    </row>
    <row r="146" spans="1:16" x14ac:dyDescent="0.25">
      <c r="A146" s="11" t="s">
        <v>966</v>
      </c>
      <c r="B146" s="12"/>
      <c r="C146" s="20"/>
      <c r="D146" s="48"/>
      <c r="E146" s="48"/>
      <c r="F146" s="48"/>
      <c r="G146" s="48"/>
      <c r="H146" s="48"/>
      <c r="I146" s="48"/>
      <c r="J146" s="48"/>
      <c r="K146" s="48"/>
      <c r="L146" s="48"/>
      <c r="M146" s="48"/>
      <c r="N146" s="48"/>
      <c r="O146" s="48"/>
      <c r="P146" s="48"/>
    </row>
    <row r="147" spans="1:16" x14ac:dyDescent="0.25">
      <c r="A147" s="12" t="s">
        <v>967</v>
      </c>
      <c r="B147" s="12" t="str">
        <f t="shared" ref="B147:B153" si="32">$B$10</f>
        <v>UIM</v>
      </c>
      <c r="C147" s="20"/>
      <c r="D147" s="20">
        <v>91.51</v>
      </c>
      <c r="E147" s="20">
        <v>126.34099999999999</v>
      </c>
      <c r="F147" s="20">
        <v>132.54300000000001</v>
      </c>
      <c r="G147" s="20">
        <v>168.98599999999999</v>
      </c>
      <c r="H147" s="20">
        <v>191.029</v>
      </c>
      <c r="I147" s="20">
        <v>216.34899999999999</v>
      </c>
      <c r="J147" s="20">
        <v>238.96700000000001</v>
      </c>
      <c r="K147" s="20">
        <v>256.83699999999999</v>
      </c>
      <c r="L147" s="48">
        <v>272.78500000000003</v>
      </c>
      <c r="M147" s="48">
        <v>288.827</v>
      </c>
      <c r="N147" s="48">
        <v>299.25400000000002</v>
      </c>
      <c r="O147" s="48">
        <v>302.637</v>
      </c>
      <c r="P147" s="48">
        <v>298.476</v>
      </c>
    </row>
    <row r="148" spans="1:16" x14ac:dyDescent="0.25">
      <c r="A148" s="12" t="s">
        <v>968</v>
      </c>
      <c r="B148" s="12" t="str">
        <f t="shared" si="32"/>
        <v>UIM</v>
      </c>
      <c r="C148" s="20"/>
      <c r="D148" s="20">
        <v>0.251</v>
      </c>
      <c r="E148" s="20">
        <v>5.5E-2</v>
      </c>
      <c r="F148" s="20">
        <v>2.1000000000000001E-2</v>
      </c>
      <c r="G148" s="20">
        <v>0.20799999999999999</v>
      </c>
      <c r="H148" s="20">
        <v>0.96199999999999997</v>
      </c>
      <c r="I148" s="20">
        <v>0.84699999999999998</v>
      </c>
      <c r="J148" s="20">
        <v>0.46700000000000003</v>
      </c>
      <c r="K148" s="20">
        <v>0.50700000000000001</v>
      </c>
      <c r="L148" s="48">
        <v>0.42099999999999999</v>
      </c>
      <c r="M148" s="48">
        <v>1.792</v>
      </c>
      <c r="N148" s="48">
        <v>1.0980000000000001</v>
      </c>
      <c r="O148" s="48">
        <v>0.76200000000000001</v>
      </c>
      <c r="P148" s="48">
        <v>0.60799999999999998</v>
      </c>
    </row>
    <row r="149" spans="1:16" x14ac:dyDescent="0.25">
      <c r="A149" s="12" t="s">
        <v>969</v>
      </c>
      <c r="B149" s="12" t="str">
        <f t="shared" si="32"/>
        <v>UIM</v>
      </c>
      <c r="C149" s="20"/>
      <c r="D149" s="20">
        <v>0.90300000000000002</v>
      </c>
      <c r="E149" s="20">
        <v>2.6749999999999998</v>
      </c>
      <c r="F149" s="20">
        <v>2.2170000000000001</v>
      </c>
      <c r="G149" s="20">
        <v>9.99</v>
      </c>
      <c r="H149" s="20">
        <v>3.093</v>
      </c>
      <c r="I149" s="20">
        <v>2.754</v>
      </c>
      <c r="J149" s="20">
        <v>2.7149999999999999</v>
      </c>
      <c r="K149" s="20">
        <v>4.415</v>
      </c>
      <c r="L149" s="48">
        <v>4.3499999999999996</v>
      </c>
      <c r="M149" s="48">
        <v>5.7210000000000001</v>
      </c>
      <c r="N149" s="48">
        <v>5.0469999999999997</v>
      </c>
      <c r="O149" s="48">
        <v>4.7359999999999998</v>
      </c>
      <c r="P149" s="48">
        <v>4.5789999999999997</v>
      </c>
    </row>
    <row r="150" spans="1:16" x14ac:dyDescent="0.25">
      <c r="A150" s="12" t="s">
        <v>970</v>
      </c>
      <c r="B150" s="12" t="str">
        <f t="shared" si="32"/>
        <v>UIM</v>
      </c>
      <c r="C150" s="20"/>
      <c r="D150" s="20">
        <v>92.590999999999994</v>
      </c>
      <c r="E150" s="20">
        <v>101.77800000000001</v>
      </c>
      <c r="F150" s="20">
        <v>108.423</v>
      </c>
      <c r="G150" s="20">
        <v>121.13800000000001</v>
      </c>
      <c r="H150" s="20">
        <v>135.595</v>
      </c>
      <c r="I150" s="20">
        <v>154.9</v>
      </c>
      <c r="J150" s="20">
        <v>173.536</v>
      </c>
      <c r="K150" s="20">
        <v>187.077</v>
      </c>
      <c r="L150" s="48">
        <v>192.446</v>
      </c>
      <c r="M150" s="48">
        <v>204.63399999999999</v>
      </c>
      <c r="N150" s="48">
        <v>215.44399999999999</v>
      </c>
      <c r="O150" s="48">
        <v>225.17400000000001</v>
      </c>
      <c r="P150" s="48">
        <v>231.40600000000001</v>
      </c>
    </row>
    <row r="151" spans="1:16" x14ac:dyDescent="0.25">
      <c r="A151" s="12" t="s">
        <v>971</v>
      </c>
      <c r="B151" s="12" t="str">
        <f t="shared" si="32"/>
        <v>UIM</v>
      </c>
      <c r="C151" s="20"/>
      <c r="D151" s="20">
        <v>0.66900000000000004</v>
      </c>
      <c r="E151" s="20">
        <v>1.9E-2</v>
      </c>
      <c r="F151" s="20">
        <v>5.6000000000000001E-2</v>
      </c>
      <c r="G151" s="20">
        <v>0.55100000000000005</v>
      </c>
      <c r="H151" s="20">
        <v>2.5649999999999999</v>
      </c>
      <c r="I151" s="20">
        <v>3.278</v>
      </c>
      <c r="J151" s="20">
        <v>2.2450000000000001</v>
      </c>
      <c r="K151" s="20">
        <v>5.1029999999999998</v>
      </c>
      <c r="L151" s="48">
        <v>2.6880000000000002</v>
      </c>
      <c r="M151" s="48">
        <v>2.7130000000000001</v>
      </c>
      <c r="N151" s="48">
        <v>2.738</v>
      </c>
      <c r="O151" s="48">
        <v>2.7669999999999999</v>
      </c>
      <c r="P151" s="48">
        <v>2.7970000000000002</v>
      </c>
    </row>
    <row r="152" spans="1:16" x14ac:dyDescent="0.25">
      <c r="A152" s="12" t="s">
        <v>972</v>
      </c>
      <c r="B152" s="12" t="str">
        <f t="shared" si="32"/>
        <v>UIM</v>
      </c>
      <c r="C152" s="20"/>
      <c r="D152" s="20">
        <v>46.292999999999999</v>
      </c>
      <c r="E152" s="20">
        <v>46.895000000000003</v>
      </c>
      <c r="F152" s="20">
        <v>61.483999999999995</v>
      </c>
      <c r="G152" s="20">
        <v>65.254999999999995</v>
      </c>
      <c r="H152" s="20">
        <v>67.994000000000014</v>
      </c>
      <c r="I152" s="20">
        <v>78.811999999999998</v>
      </c>
      <c r="J152" s="20">
        <v>86.921999999999997</v>
      </c>
      <c r="K152" s="20">
        <v>98.022999999999996</v>
      </c>
      <c r="L152" s="48">
        <v>105.09699999999999</v>
      </c>
      <c r="M152" s="48">
        <v>112.59399999999999</v>
      </c>
      <c r="N152" s="48">
        <v>118.619</v>
      </c>
      <c r="O152" s="48">
        <v>125.54</v>
      </c>
      <c r="P152" s="48">
        <v>133.102</v>
      </c>
    </row>
    <row r="153" spans="1:16" x14ac:dyDescent="0.25">
      <c r="A153" s="12" t="s">
        <v>973</v>
      </c>
      <c r="B153" s="12" t="str">
        <f t="shared" si="32"/>
        <v>UIM</v>
      </c>
      <c r="C153" s="20"/>
      <c r="D153" s="20">
        <v>13.845000000000001</v>
      </c>
      <c r="E153" s="20">
        <v>14.555999999999999</v>
      </c>
      <c r="F153" s="20">
        <v>18.728000000000002</v>
      </c>
      <c r="G153" s="20">
        <v>26.103000000000002</v>
      </c>
      <c r="H153" s="20">
        <v>36.540999999999997</v>
      </c>
      <c r="I153" s="20">
        <v>40.387999999999998</v>
      </c>
      <c r="J153" s="20">
        <v>34.311</v>
      </c>
      <c r="K153" s="20">
        <v>27.931000000000001</v>
      </c>
      <c r="L153" s="48">
        <v>30.812000000000001</v>
      </c>
      <c r="M153" s="48">
        <v>32.81</v>
      </c>
      <c r="N153" s="48">
        <v>34.792000000000002</v>
      </c>
      <c r="O153" s="48">
        <v>36.500999999999998</v>
      </c>
      <c r="P153" s="48">
        <v>36.365000000000002</v>
      </c>
    </row>
    <row r="154" spans="1:16" x14ac:dyDescent="0.25">
      <c r="A154" s="60" t="s">
        <v>974</v>
      </c>
      <c r="B154" s="12" t="str">
        <f>$B$9</f>
        <v>NAC</v>
      </c>
      <c r="C154" s="20"/>
      <c r="D154" s="77">
        <f>SUM(D$147,D$148,D$152,D$153)-SUM(D$149,D$150,D$151)</f>
        <v>57.736000000000004</v>
      </c>
      <c r="E154" s="77">
        <f>SUM(E$147,E$148,E$152,E$153)-SUM(E$149,E$150,E$151)</f>
        <v>83.375</v>
      </c>
      <c r="F154" s="77">
        <f>SUM(F$147,F$148,F$152,F$153)-SUM(F$149,F$150,F$151)</f>
        <v>102.08000000000001</v>
      </c>
      <c r="G154" s="77">
        <f>SUM(G$147,G$148,G$152,G$153)-SUM(G$149,G$150,G$151)</f>
        <v>128.87299999999996</v>
      </c>
      <c r="H154" s="77">
        <f>SUM(H$147,H$148,H$152,H$153)-SUM(H$149,H$150,H$151)</f>
        <v>155.27300000000002</v>
      </c>
      <c r="I154" s="77">
        <f t="shared" ref="I154:P154" si="33">SUM(I$147,I$148,I$152,I$153)-SUM(I$149,I$150,I$151)</f>
        <v>175.46399999999997</v>
      </c>
      <c r="J154" s="77">
        <f t="shared" si="33"/>
        <v>182.17099999999996</v>
      </c>
      <c r="K154" s="77">
        <f t="shared" si="33"/>
        <v>186.70299999999995</v>
      </c>
      <c r="L154" s="77">
        <f t="shared" si="33"/>
        <v>209.63100000000003</v>
      </c>
      <c r="M154" s="77">
        <f t="shared" si="33"/>
        <v>222.95499999999998</v>
      </c>
      <c r="N154" s="77">
        <f t="shared" si="33"/>
        <v>230.53400000000005</v>
      </c>
      <c r="O154" s="77">
        <f t="shared" si="33"/>
        <v>232.76300000000001</v>
      </c>
      <c r="P154" s="77">
        <f t="shared" si="33"/>
        <v>229.76900000000003</v>
      </c>
    </row>
    <row r="155" spans="1:16" x14ac:dyDescent="0.25">
      <c r="A155" s="12" t="s">
        <v>975</v>
      </c>
      <c r="B155" s="12" t="str">
        <f>$B$10</f>
        <v>UIM</v>
      </c>
      <c r="C155" s="20"/>
      <c r="D155" s="20">
        <v>6.931</v>
      </c>
      <c r="E155" s="20">
        <v>11.111000000000001</v>
      </c>
      <c r="F155" s="20">
        <v>11.836</v>
      </c>
      <c r="G155" s="20">
        <v>14.345000000000001</v>
      </c>
      <c r="H155" s="20">
        <v>48.11</v>
      </c>
      <c r="I155" s="20">
        <v>56.47</v>
      </c>
      <c r="J155" s="20">
        <v>61.85</v>
      </c>
      <c r="K155" s="20">
        <v>66.849000000000004</v>
      </c>
      <c r="L155" s="48">
        <v>72.600999999999999</v>
      </c>
      <c r="M155" s="48">
        <v>78.403000000000006</v>
      </c>
      <c r="N155" s="48">
        <v>84.54</v>
      </c>
      <c r="O155" s="48">
        <v>91.457999999999998</v>
      </c>
      <c r="P155" s="48">
        <v>97.852999999999994</v>
      </c>
    </row>
    <row r="156" spans="1:16" x14ac:dyDescent="0.25">
      <c r="A156" s="12" t="s">
        <v>976</v>
      </c>
      <c r="B156" s="12" t="str">
        <f>$B$10</f>
        <v>UIM</v>
      </c>
      <c r="C156" s="20"/>
      <c r="D156" s="20">
        <v>0</v>
      </c>
      <c r="E156" s="20">
        <v>0</v>
      </c>
      <c r="F156" s="20">
        <v>0</v>
      </c>
      <c r="G156" s="20">
        <v>0</v>
      </c>
      <c r="H156" s="20">
        <v>30.574000000000002</v>
      </c>
      <c r="I156" s="20">
        <v>33.290999999999997</v>
      </c>
      <c r="J156" s="20">
        <v>36.783999999999999</v>
      </c>
      <c r="K156" s="20">
        <v>40.920999999999999</v>
      </c>
      <c r="L156" s="48">
        <v>44.921999999999997</v>
      </c>
      <c r="M156" s="48">
        <v>49.701000000000001</v>
      </c>
      <c r="N156" s="48">
        <v>55.195999999999998</v>
      </c>
      <c r="O156" s="48">
        <v>61.332999999999998</v>
      </c>
      <c r="P156" s="48">
        <v>67.436000000000007</v>
      </c>
    </row>
    <row r="157" spans="1:16" x14ac:dyDescent="0.25">
      <c r="A157" s="60" t="s">
        <v>977</v>
      </c>
      <c r="B157" s="12" t="str">
        <f>$B$9</f>
        <v>NAC</v>
      </c>
      <c r="C157" s="20"/>
      <c r="D157" s="77">
        <f>SUM(D$154,D$155)-SUM(D$156,D$153)</f>
        <v>50.822000000000003</v>
      </c>
      <c r="E157" s="77">
        <f t="shared" ref="E157:P157" si="34">SUM(E$154,E$155)-SUM(E$156,E$153)</f>
        <v>79.930000000000007</v>
      </c>
      <c r="F157" s="77">
        <f t="shared" si="34"/>
        <v>95.188000000000017</v>
      </c>
      <c r="G157" s="77">
        <f t="shared" si="34"/>
        <v>117.11499999999995</v>
      </c>
      <c r="H157" s="77">
        <f t="shared" si="34"/>
        <v>136.26800000000003</v>
      </c>
      <c r="I157" s="77">
        <f t="shared" si="34"/>
        <v>158.25499999999997</v>
      </c>
      <c r="J157" s="77">
        <f t="shared" si="34"/>
        <v>172.92599999999996</v>
      </c>
      <c r="K157" s="77">
        <f t="shared" si="34"/>
        <v>184.69999999999996</v>
      </c>
      <c r="L157" s="77">
        <f t="shared" si="34"/>
        <v>206.49800000000005</v>
      </c>
      <c r="M157" s="77">
        <f t="shared" si="34"/>
        <v>218.84700000000001</v>
      </c>
      <c r="N157" s="77">
        <f t="shared" si="34"/>
        <v>225.08600000000007</v>
      </c>
      <c r="O157" s="77">
        <f t="shared" si="34"/>
        <v>226.387</v>
      </c>
      <c r="P157" s="77">
        <f t="shared" si="34"/>
        <v>223.821</v>
      </c>
    </row>
    <row r="158" spans="1:16" x14ac:dyDescent="0.25">
      <c r="A158" s="60" t="s">
        <v>746</v>
      </c>
      <c r="B158" s="12" t="str">
        <f>$B$9</f>
        <v>NAC</v>
      </c>
      <c r="C158" s="20"/>
      <c r="D158" s="21">
        <v>5.4320000000000004</v>
      </c>
      <c r="E158" s="21">
        <v>35.71</v>
      </c>
      <c r="F158" s="21">
        <v>35.920999999999999</v>
      </c>
      <c r="G158" s="21">
        <v>61.85</v>
      </c>
      <c r="H158" s="21">
        <v>71.367000000000004</v>
      </c>
      <c r="I158" s="21">
        <v>82.197000000000003</v>
      </c>
      <c r="J158" s="21">
        <v>88.718999999999994</v>
      </c>
      <c r="K158" s="21">
        <v>91.091999999999999</v>
      </c>
      <c r="L158" s="47">
        <v>105.751</v>
      </c>
      <c r="M158" s="47">
        <v>111.974</v>
      </c>
      <c r="N158" s="47">
        <v>111.514</v>
      </c>
      <c r="O158" s="47">
        <v>105.583</v>
      </c>
      <c r="P158" s="47">
        <v>95.298000000000002</v>
      </c>
    </row>
    <row r="159" spans="1:16" x14ac:dyDescent="0.25">
      <c r="A159" s="60" t="s">
        <v>978</v>
      </c>
      <c r="B159" s="12"/>
      <c r="C159" s="20"/>
      <c r="D159" s="78" t="str">
        <f>IF(ROUND(D$158-(D$157+D$149-D$152),3)=0,"OK","ERROR")</f>
        <v>OK</v>
      </c>
      <c r="E159" s="78" t="str">
        <f>IF(ROUND(E$158-(E$157+E$149-E$152),3)=0,"OK","ERROR")</f>
        <v>OK</v>
      </c>
      <c r="F159" s="78" t="str">
        <f>IF(ROUND(F$158-(F$157+F$149-F$152),3)=0,"OK","ERROR")</f>
        <v>OK</v>
      </c>
      <c r="G159" s="78" t="str">
        <f>IF(ROUND(G$158-(G$157+G$149-G$152),3)=0,"OK","ERROR")</f>
        <v>OK</v>
      </c>
      <c r="H159" s="78" t="str">
        <f>IF(ROUND(H$158-(H$157+H$149-H$152),3)=0,"OK","ERROR")</f>
        <v>OK</v>
      </c>
      <c r="I159" s="78" t="str">
        <f t="shared" ref="I159:P159" si="35">IF(ROUND(I$158-(I$157+I$149-I$152),3)=0,"OK","ERROR")</f>
        <v>OK</v>
      </c>
      <c r="J159" s="78" t="str">
        <f t="shared" si="35"/>
        <v>OK</v>
      </c>
      <c r="K159" s="78" t="str">
        <f t="shared" si="35"/>
        <v>OK</v>
      </c>
      <c r="L159" s="78" t="str">
        <f t="shared" si="35"/>
        <v>OK</v>
      </c>
      <c r="M159" s="78" t="str">
        <f t="shared" si="35"/>
        <v>OK</v>
      </c>
      <c r="N159" s="78" t="str">
        <f t="shared" si="35"/>
        <v>OK</v>
      </c>
      <c r="O159" s="78" t="str">
        <f t="shared" si="35"/>
        <v>OK</v>
      </c>
      <c r="P159" s="78" t="str">
        <f t="shared" si="35"/>
        <v>OK</v>
      </c>
    </row>
    <row r="160" spans="1:16" x14ac:dyDescent="0.25">
      <c r="A160" s="12" t="s">
        <v>979</v>
      </c>
      <c r="B160" s="12" t="str">
        <f>$B$10</f>
        <v>UIM</v>
      </c>
      <c r="C160" s="20"/>
      <c r="D160" s="20">
        <v>6.4809999999999999</v>
      </c>
      <c r="E160" s="20">
        <v>21.887999999999998</v>
      </c>
      <c r="F160" s="20">
        <v>30.420999999999999</v>
      </c>
      <c r="G160" s="20">
        <v>45.088000000000001</v>
      </c>
      <c r="H160" s="20">
        <v>53.109000000000002</v>
      </c>
      <c r="I160" s="20">
        <v>38.475999999999999</v>
      </c>
      <c r="J160" s="20">
        <v>33.030999999999999</v>
      </c>
      <c r="K160" s="20">
        <v>25.481000000000002</v>
      </c>
      <c r="L160" s="48">
        <v>25.431000000000001</v>
      </c>
      <c r="M160" s="48">
        <v>25.486000000000001</v>
      </c>
      <c r="N160" s="48">
        <v>25.486000000000001</v>
      </c>
      <c r="O160" s="48">
        <v>25.486000000000001</v>
      </c>
      <c r="P160" s="48">
        <v>25.486000000000001</v>
      </c>
    </row>
    <row r="161" spans="1:16" x14ac:dyDescent="0.25">
      <c r="A161" s="60" t="s">
        <v>756</v>
      </c>
      <c r="B161" s="20"/>
      <c r="C161" s="20"/>
      <c r="D161" s="77">
        <f>SUM(D$147,D$148)-SUM(D$149,D$160)</f>
        <v>84.37700000000001</v>
      </c>
      <c r="E161" s="77">
        <f>SUM(E$147,E$148)-SUM(E$149,E$160)</f>
        <v>101.833</v>
      </c>
      <c r="F161" s="77">
        <f>SUM(F$147,F$148)-SUM(F$149,F$160)</f>
        <v>99.925999999999988</v>
      </c>
      <c r="G161" s="77">
        <f>SUM(G$147,G$148)-SUM(G$149,G$160)</f>
        <v>114.11599999999999</v>
      </c>
      <c r="H161" s="77">
        <f>SUM(H$147,H$148)-SUM(H$149,H$160)</f>
        <v>135.78899999999999</v>
      </c>
      <c r="I161" s="77">
        <f t="shared" ref="I161:P161" si="36">SUM(I$147,I$148)-SUM(I$149,I$160)</f>
        <v>175.96600000000001</v>
      </c>
      <c r="J161" s="77">
        <f t="shared" si="36"/>
        <v>203.68800000000005</v>
      </c>
      <c r="K161" s="77">
        <f t="shared" si="36"/>
        <v>227.44799999999998</v>
      </c>
      <c r="L161" s="77">
        <f t="shared" si="36"/>
        <v>243.42500000000001</v>
      </c>
      <c r="M161" s="77">
        <f t="shared" si="36"/>
        <v>259.41199999999998</v>
      </c>
      <c r="N161" s="77">
        <f t="shared" si="36"/>
        <v>269.81900000000002</v>
      </c>
      <c r="O161" s="77">
        <f t="shared" si="36"/>
        <v>273.17700000000002</v>
      </c>
      <c r="P161" s="77">
        <f t="shared" si="36"/>
        <v>269.01900000000001</v>
      </c>
    </row>
    <row r="162" spans="1:16" x14ac:dyDescent="0.25">
      <c r="A162" s="11" t="s">
        <v>980</v>
      </c>
      <c r="B162" s="12"/>
      <c r="C162" s="20"/>
      <c r="D162" s="48"/>
      <c r="E162" s="48"/>
      <c r="F162" s="48"/>
      <c r="G162" s="48"/>
      <c r="H162" s="48"/>
      <c r="I162" s="48"/>
      <c r="J162" s="48"/>
      <c r="K162" s="48"/>
      <c r="L162" s="48"/>
      <c r="M162" s="48"/>
      <c r="N162" s="48"/>
      <c r="O162" s="48"/>
      <c r="P162" s="48"/>
    </row>
    <row r="163" spans="1:16" x14ac:dyDescent="0.25">
      <c r="A163" s="12" t="s">
        <v>862</v>
      </c>
      <c r="B163" s="12" t="str">
        <f>$B$10</f>
        <v>UIM</v>
      </c>
      <c r="C163" s="20"/>
      <c r="D163" s="20">
        <v>86.468000000000004</v>
      </c>
      <c r="E163" s="20">
        <v>85.102000000000004</v>
      </c>
      <c r="F163" s="20">
        <v>97.983000000000004</v>
      </c>
      <c r="G163" s="20">
        <v>108.458</v>
      </c>
      <c r="H163" s="20">
        <v>112.358</v>
      </c>
      <c r="I163" s="20">
        <v>120.566</v>
      </c>
      <c r="J163" s="20">
        <v>121.69799999999999</v>
      </c>
      <c r="K163" s="20">
        <v>125.884</v>
      </c>
      <c r="L163" s="48">
        <v>137.185</v>
      </c>
      <c r="M163" s="48">
        <v>144.49299999999999</v>
      </c>
      <c r="N163" s="48">
        <v>153.15600000000001</v>
      </c>
      <c r="O163" s="48">
        <v>161.62</v>
      </c>
      <c r="P163" s="48">
        <v>169.672</v>
      </c>
    </row>
    <row r="164" spans="1:16" x14ac:dyDescent="0.25">
      <c r="A164" s="12" t="s">
        <v>864</v>
      </c>
      <c r="B164" s="12" t="str">
        <f>$B$10</f>
        <v>UIM</v>
      </c>
      <c r="C164" s="20"/>
      <c r="D164" s="20">
        <v>1.9770000000000001</v>
      </c>
      <c r="E164" s="20">
        <v>2.12</v>
      </c>
      <c r="F164" s="20">
        <v>2.7450000000000001</v>
      </c>
      <c r="G164" s="20">
        <v>4.327</v>
      </c>
      <c r="H164" s="20">
        <v>3.2919999999999998</v>
      </c>
      <c r="I164" s="20">
        <v>3.589</v>
      </c>
      <c r="J164" s="20">
        <v>3.7</v>
      </c>
      <c r="K164" s="20">
        <v>3.8239999999999998</v>
      </c>
      <c r="L164" s="48">
        <v>4.0910000000000002</v>
      </c>
      <c r="M164" s="48">
        <v>4.1630000000000003</v>
      </c>
      <c r="N164" s="48">
        <v>4.1840000000000002</v>
      </c>
      <c r="O164" s="48">
        <v>4.1159999999999997</v>
      </c>
      <c r="P164" s="48">
        <v>4.024</v>
      </c>
    </row>
    <row r="165" spans="1:16" x14ac:dyDescent="0.25">
      <c r="A165" s="12" t="s">
        <v>866</v>
      </c>
      <c r="B165" s="12" t="str">
        <f>$B$10</f>
        <v>UIM</v>
      </c>
      <c r="C165" s="20"/>
      <c r="D165" s="20">
        <v>1.583</v>
      </c>
      <c r="E165" s="20">
        <v>1.5529999999999999</v>
      </c>
      <c r="F165" s="20">
        <v>1.5429999999999999</v>
      </c>
      <c r="G165" s="20">
        <v>1.3859999999999999</v>
      </c>
      <c r="H165" s="20">
        <v>1.631</v>
      </c>
      <c r="I165" s="20">
        <v>1.798</v>
      </c>
      <c r="J165" s="20">
        <v>2.004</v>
      </c>
      <c r="K165" s="20">
        <v>2.3359999999999999</v>
      </c>
      <c r="L165" s="48">
        <v>2.9159999999999999</v>
      </c>
      <c r="M165" s="48">
        <v>2.9790000000000001</v>
      </c>
      <c r="N165" s="48">
        <v>3.0310000000000001</v>
      </c>
      <c r="O165" s="48">
        <v>3.02</v>
      </c>
      <c r="P165" s="48">
        <v>3.0350000000000001</v>
      </c>
    </row>
    <row r="166" spans="1:16" x14ac:dyDescent="0.25">
      <c r="A166" s="12" t="s">
        <v>867</v>
      </c>
      <c r="B166" s="12" t="str">
        <f>$B$10</f>
        <v>UIM</v>
      </c>
      <c r="C166" s="20"/>
      <c r="D166" s="20">
        <v>1.06</v>
      </c>
      <c r="E166" s="20">
        <v>0.85</v>
      </c>
      <c r="F166" s="20">
        <v>0.71599999999999997</v>
      </c>
      <c r="G166" s="20">
        <v>0.85799999999999998</v>
      </c>
      <c r="H166" s="20">
        <v>2.8620000000000001</v>
      </c>
      <c r="I166" s="20">
        <v>4.4409999999999998</v>
      </c>
      <c r="J166" s="20">
        <v>4.1890000000000001</v>
      </c>
      <c r="K166" s="20">
        <v>3.5190000000000001</v>
      </c>
      <c r="L166" s="48">
        <v>4.0289999999999999</v>
      </c>
      <c r="M166" s="48">
        <v>4.4560000000000004</v>
      </c>
      <c r="N166" s="48">
        <v>4.7089999999999996</v>
      </c>
      <c r="O166" s="48">
        <v>5.2030000000000003</v>
      </c>
      <c r="P166" s="48">
        <v>5.2480000000000002</v>
      </c>
    </row>
    <row r="167" spans="1:16" x14ac:dyDescent="0.25">
      <c r="A167" s="12" t="s">
        <v>868</v>
      </c>
      <c r="B167" s="12" t="str">
        <f>$B$10</f>
        <v>UIM</v>
      </c>
      <c r="C167" s="20"/>
      <c r="D167" s="20">
        <v>2.3860000000000001</v>
      </c>
      <c r="E167" s="20">
        <v>2.298</v>
      </c>
      <c r="F167" s="20">
        <v>1.9810000000000001</v>
      </c>
      <c r="G167" s="20">
        <v>2.4860000000000002</v>
      </c>
      <c r="H167" s="20">
        <v>3.2549999999999999</v>
      </c>
      <c r="I167" s="20">
        <v>2.8260000000000001</v>
      </c>
      <c r="J167" s="20">
        <v>2.82</v>
      </c>
      <c r="K167" s="20">
        <v>3.0859999999999999</v>
      </c>
      <c r="L167" s="48">
        <v>2.2490000000000001</v>
      </c>
      <c r="M167" s="48">
        <v>2.3420000000000001</v>
      </c>
      <c r="N167" s="48">
        <v>2.677</v>
      </c>
      <c r="O167" s="48">
        <v>2.8439999999999999</v>
      </c>
      <c r="P167" s="48">
        <v>3.03</v>
      </c>
    </row>
    <row r="168" spans="1:16" x14ac:dyDescent="0.25">
      <c r="A168" s="60" t="s">
        <v>750</v>
      </c>
      <c r="B168" s="12" t="str">
        <f>$B$9</f>
        <v>NAC</v>
      </c>
      <c r="C168" s="20"/>
      <c r="D168" s="21">
        <v>93.474000000000004</v>
      </c>
      <c r="E168" s="21">
        <v>91.923000000000002</v>
      </c>
      <c r="F168" s="21">
        <v>104.968</v>
      </c>
      <c r="G168" s="21">
        <v>117.515</v>
      </c>
      <c r="H168" s="21">
        <v>123.398</v>
      </c>
      <c r="I168" s="21">
        <v>133.22</v>
      </c>
      <c r="J168" s="21">
        <v>134.411</v>
      </c>
      <c r="K168" s="21">
        <v>138.649</v>
      </c>
      <c r="L168" s="47">
        <v>150.47</v>
      </c>
      <c r="M168" s="47">
        <v>158.43299999999999</v>
      </c>
      <c r="N168" s="47">
        <v>167.75700000000001</v>
      </c>
      <c r="O168" s="47">
        <v>176.803</v>
      </c>
      <c r="P168" s="47">
        <v>185.00899999999999</v>
      </c>
    </row>
    <row r="169" spans="1:16" x14ac:dyDescent="0.25">
      <c r="A169" s="60" t="s">
        <v>981</v>
      </c>
      <c r="B169" s="12"/>
      <c r="C169" s="20"/>
      <c r="D169" s="78" t="str">
        <f t="shared" ref="D169:P169" si="37">IF(ROUND(D$168-SUM(D$163:D$167),3)=0,"OK","ERROR")</f>
        <v>OK</v>
      </c>
      <c r="E169" s="78" t="str">
        <f t="shared" si="37"/>
        <v>OK</v>
      </c>
      <c r="F169" s="78" t="str">
        <f t="shared" si="37"/>
        <v>OK</v>
      </c>
      <c r="G169" s="78" t="str">
        <f t="shared" si="37"/>
        <v>OK</v>
      </c>
      <c r="H169" s="78" t="str">
        <f t="shared" si="37"/>
        <v>OK</v>
      </c>
      <c r="I169" s="78" t="str">
        <f t="shared" si="37"/>
        <v>OK</v>
      </c>
      <c r="J169" s="78" t="str">
        <f t="shared" si="37"/>
        <v>OK</v>
      </c>
      <c r="K169" s="78" t="str">
        <f t="shared" si="37"/>
        <v>OK</v>
      </c>
      <c r="L169" s="78" t="str">
        <f t="shared" si="37"/>
        <v>OK</v>
      </c>
      <c r="M169" s="78" t="str">
        <f t="shared" si="37"/>
        <v>OK</v>
      </c>
      <c r="N169" s="78" t="str">
        <f t="shared" si="37"/>
        <v>OK</v>
      </c>
      <c r="O169" s="78" t="str">
        <f t="shared" si="37"/>
        <v>OK</v>
      </c>
      <c r="P169" s="78" t="str">
        <f t="shared" si="37"/>
        <v>OK</v>
      </c>
    </row>
    <row r="170" spans="1:16" x14ac:dyDescent="0.25">
      <c r="A170" s="12" t="s">
        <v>982</v>
      </c>
      <c r="B170" s="12" t="str">
        <f>$B$10</f>
        <v>UIM</v>
      </c>
      <c r="C170" s="20"/>
      <c r="D170" s="20">
        <v>29.015000000000001</v>
      </c>
      <c r="E170" s="20">
        <v>43.616</v>
      </c>
      <c r="F170" s="20">
        <v>36.521000000000001</v>
      </c>
      <c r="G170" s="20">
        <v>45.265999999999998</v>
      </c>
      <c r="H170" s="20">
        <v>40.003</v>
      </c>
      <c r="I170" s="20">
        <v>43.265000000000001</v>
      </c>
      <c r="J170" s="20">
        <v>46.238999999999997</v>
      </c>
      <c r="K170" s="20">
        <v>48.417000000000002</v>
      </c>
      <c r="L170" s="48">
        <v>51.131</v>
      </c>
      <c r="M170" s="48">
        <v>52.792000000000002</v>
      </c>
      <c r="N170" s="48">
        <v>54.014000000000003</v>
      </c>
      <c r="O170" s="48">
        <v>55.95</v>
      </c>
      <c r="P170" s="48">
        <v>58.197000000000003</v>
      </c>
    </row>
    <row r="171" spans="1:16" x14ac:dyDescent="0.25">
      <c r="A171" s="12" t="s">
        <v>983</v>
      </c>
      <c r="B171" s="12" t="str">
        <f>$B$10</f>
        <v>UIM</v>
      </c>
      <c r="C171" s="20"/>
      <c r="D171" s="20">
        <v>7.7939999999999996</v>
      </c>
      <c r="E171" s="20">
        <v>8.48</v>
      </c>
      <c r="F171" s="20">
        <v>9.3580000000000005</v>
      </c>
      <c r="G171" s="20">
        <v>9.9450000000000003</v>
      </c>
      <c r="H171" s="20">
        <v>10.449</v>
      </c>
      <c r="I171" s="20">
        <v>11.26</v>
      </c>
      <c r="J171" s="20">
        <v>11.185</v>
      </c>
      <c r="K171" s="20">
        <v>11.682</v>
      </c>
      <c r="L171" s="48">
        <v>12.255000000000001</v>
      </c>
      <c r="M171" s="48">
        <v>12.164999999999999</v>
      </c>
      <c r="N171" s="48">
        <v>12.157999999999999</v>
      </c>
      <c r="O171" s="48">
        <v>12.071</v>
      </c>
      <c r="P171" s="48">
        <v>12.128</v>
      </c>
    </row>
    <row r="172" spans="1:16" x14ac:dyDescent="0.25">
      <c r="A172" s="12" t="s">
        <v>984</v>
      </c>
      <c r="B172" s="12" t="str">
        <f>$B$9</f>
        <v>NAC</v>
      </c>
      <c r="C172" s="20"/>
      <c r="D172" s="20">
        <v>46.46</v>
      </c>
      <c r="E172" s="20">
        <v>53.508000000000003</v>
      </c>
      <c r="F172" s="20">
        <v>59.966000000000001</v>
      </c>
      <c r="G172" s="20">
        <v>67.545000000000002</v>
      </c>
      <c r="H172" s="20">
        <v>70.55</v>
      </c>
      <c r="I172" s="20">
        <v>75.528000000000006</v>
      </c>
      <c r="J172" s="20">
        <v>75.385999999999996</v>
      </c>
      <c r="K172" s="20">
        <v>77.061000000000007</v>
      </c>
      <c r="L172" s="48">
        <v>82.274000000000001</v>
      </c>
      <c r="M172" s="48">
        <v>79.787000000000006</v>
      </c>
      <c r="N172" s="48">
        <v>80.209999999999994</v>
      </c>
      <c r="O172" s="48">
        <v>79.986000000000004</v>
      </c>
      <c r="P172" s="48">
        <v>80.188000000000002</v>
      </c>
    </row>
    <row r="173" spans="1:16" x14ac:dyDescent="0.25">
      <c r="A173" s="12" t="s">
        <v>874</v>
      </c>
      <c r="B173" s="12" t="str">
        <f>$B$10</f>
        <v>UIM</v>
      </c>
      <c r="C173" s="20"/>
      <c r="D173" s="20">
        <v>3.69</v>
      </c>
      <c r="E173" s="20">
        <v>3.2280000000000002</v>
      </c>
      <c r="F173" s="20">
        <v>1.9179999999999999</v>
      </c>
      <c r="G173" s="20">
        <v>2.8839999999999999</v>
      </c>
      <c r="H173" s="20">
        <v>6.569</v>
      </c>
      <c r="I173" s="20">
        <v>8.9429999999999996</v>
      </c>
      <c r="J173" s="20">
        <v>8.8620000000000001</v>
      </c>
      <c r="K173" s="20">
        <v>9.0570000000000004</v>
      </c>
      <c r="L173" s="48">
        <v>10.291</v>
      </c>
      <c r="M173" s="48">
        <v>11.396000000000001</v>
      </c>
      <c r="N173" s="48">
        <v>12.481</v>
      </c>
      <c r="O173" s="48">
        <v>13.502000000000001</v>
      </c>
      <c r="P173" s="48">
        <v>13.689</v>
      </c>
    </row>
    <row r="174" spans="1:16" x14ac:dyDescent="0.25">
      <c r="A174" s="12" t="s">
        <v>875</v>
      </c>
      <c r="B174" s="12" t="str">
        <f>$B$10</f>
        <v>UIM</v>
      </c>
      <c r="C174" s="20"/>
      <c r="D174" s="20">
        <v>0</v>
      </c>
      <c r="E174" s="20">
        <v>0</v>
      </c>
      <c r="F174" s="20">
        <v>1E-3</v>
      </c>
      <c r="G174" s="20">
        <v>1E-3</v>
      </c>
      <c r="H174" s="20">
        <v>3.0000000000000001E-3</v>
      </c>
      <c r="I174" s="20">
        <v>2E-3</v>
      </c>
      <c r="J174" s="20">
        <v>3.0000000000000001E-3</v>
      </c>
      <c r="K174" s="20">
        <v>2E-3</v>
      </c>
      <c r="L174" s="48">
        <v>0</v>
      </c>
      <c r="M174" s="48">
        <v>0</v>
      </c>
      <c r="N174" s="48">
        <v>0</v>
      </c>
      <c r="O174" s="48">
        <v>0</v>
      </c>
      <c r="P174" s="48">
        <v>0</v>
      </c>
    </row>
    <row r="175" spans="1:16" x14ac:dyDescent="0.25">
      <c r="A175" s="60" t="s">
        <v>751</v>
      </c>
      <c r="B175" s="12" t="str">
        <f>$B$9</f>
        <v>NAC</v>
      </c>
      <c r="C175" s="20"/>
      <c r="D175" s="21">
        <v>86.959000000000003</v>
      </c>
      <c r="E175" s="21">
        <v>108.83199999999999</v>
      </c>
      <c r="F175" s="21">
        <v>107.764</v>
      </c>
      <c r="G175" s="21">
        <v>125.64100000000001</v>
      </c>
      <c r="H175" s="21">
        <v>127.574</v>
      </c>
      <c r="I175" s="21">
        <v>138.99799999999999</v>
      </c>
      <c r="J175" s="21">
        <v>141.67500000000001</v>
      </c>
      <c r="K175" s="21">
        <v>146.21899999999999</v>
      </c>
      <c r="L175" s="47">
        <v>154.60900000000001</v>
      </c>
      <c r="M175" s="47">
        <v>158.30799999999999</v>
      </c>
      <c r="N175" s="47">
        <v>163.238</v>
      </c>
      <c r="O175" s="47">
        <v>168.642</v>
      </c>
      <c r="P175" s="47">
        <v>173.66800000000001</v>
      </c>
    </row>
    <row r="176" spans="1:16" x14ac:dyDescent="0.25">
      <c r="A176" s="60" t="s">
        <v>985</v>
      </c>
      <c r="B176" s="12"/>
      <c r="C176" s="20"/>
      <c r="D176" s="78" t="str">
        <f t="shared" ref="D176:P176" si="38">IF(ROUND(D$175-SUM(D$21:D$22,D$170:D$174),3)=0,"OK","ERROR")</f>
        <v>OK</v>
      </c>
      <c r="E176" s="78" t="str">
        <f t="shared" si="38"/>
        <v>OK</v>
      </c>
      <c r="F176" s="78" t="str">
        <f t="shared" si="38"/>
        <v>OK</v>
      </c>
      <c r="G176" s="78" t="str">
        <f t="shared" si="38"/>
        <v>OK</v>
      </c>
      <c r="H176" s="78" t="str">
        <f t="shared" si="38"/>
        <v>OK</v>
      </c>
      <c r="I176" s="78" t="str">
        <f t="shared" si="38"/>
        <v>OK</v>
      </c>
      <c r="J176" s="78" t="str">
        <f t="shared" si="38"/>
        <v>OK</v>
      </c>
      <c r="K176" s="78" t="str">
        <f t="shared" si="38"/>
        <v>OK</v>
      </c>
      <c r="L176" s="78" t="str">
        <f t="shared" si="38"/>
        <v>OK</v>
      </c>
      <c r="M176" s="78" t="str">
        <f t="shared" si="38"/>
        <v>OK</v>
      </c>
      <c r="N176" s="78" t="str">
        <f t="shared" si="38"/>
        <v>OK</v>
      </c>
      <c r="O176" s="78" t="str">
        <f t="shared" si="38"/>
        <v>OK</v>
      </c>
      <c r="P176" s="78" t="str">
        <f t="shared" si="38"/>
        <v>OK</v>
      </c>
    </row>
    <row r="177" spans="1:16" x14ac:dyDescent="0.25">
      <c r="A177" s="79" t="s">
        <v>986</v>
      </c>
      <c r="B177" s="12" t="str">
        <f>$B$10</f>
        <v>UIM</v>
      </c>
      <c r="C177" s="20"/>
      <c r="D177" s="20">
        <v>3.1920000000000002</v>
      </c>
      <c r="E177" s="20">
        <v>-3.9740000000000002</v>
      </c>
      <c r="F177" s="20">
        <v>7.5</v>
      </c>
      <c r="G177" s="20">
        <v>-11.406000000000001</v>
      </c>
      <c r="H177" s="20">
        <v>12.468999999999999</v>
      </c>
      <c r="I177" s="20">
        <v>7.8840000000000003</v>
      </c>
      <c r="J177" s="20">
        <v>7.6870000000000003</v>
      </c>
      <c r="K177" s="20">
        <v>11.977</v>
      </c>
      <c r="L177" s="48">
        <v>5.1769999999999996</v>
      </c>
      <c r="M177" s="48">
        <v>5.5439999999999996</v>
      </c>
      <c r="N177" s="48">
        <v>5.8970000000000002</v>
      </c>
      <c r="O177" s="48">
        <v>6.3390000000000004</v>
      </c>
      <c r="P177" s="48">
        <v>6.8090000000000002</v>
      </c>
    </row>
    <row r="178" spans="1:16" x14ac:dyDescent="0.25">
      <c r="A178" s="60" t="s">
        <v>752</v>
      </c>
      <c r="B178" s="12" t="str">
        <f>$B$9</f>
        <v>NAC</v>
      </c>
      <c r="C178" s="20"/>
      <c r="D178" s="21">
        <v>9.7070000000000007</v>
      </c>
      <c r="E178" s="21">
        <v>-20.882999999999999</v>
      </c>
      <c r="F178" s="21">
        <v>4.7039999999999997</v>
      </c>
      <c r="G178" s="21">
        <v>-19.532</v>
      </c>
      <c r="H178" s="21">
        <v>8.2929999999999993</v>
      </c>
      <c r="I178" s="21">
        <v>2.1059999999999999</v>
      </c>
      <c r="J178" s="21">
        <v>0.42299999999999999</v>
      </c>
      <c r="K178" s="21">
        <v>4.407</v>
      </c>
      <c r="L178" s="47">
        <v>1.038</v>
      </c>
      <c r="M178" s="47">
        <v>5.6689999999999996</v>
      </c>
      <c r="N178" s="47">
        <v>10.416</v>
      </c>
      <c r="O178" s="47">
        <v>14.5</v>
      </c>
      <c r="P178" s="47">
        <v>18.149999999999999</v>
      </c>
    </row>
    <row r="179" spans="1:16" x14ac:dyDescent="0.25">
      <c r="A179" s="60" t="s">
        <v>987</v>
      </c>
      <c r="B179" s="12"/>
      <c r="C179" s="20"/>
      <c r="D179" s="78" t="str">
        <f t="shared" ref="D179:P179" si="39">IF(ROUND(D$178-(D$168-D$175+D$177),3)=0,"OK","ERROR")</f>
        <v>OK</v>
      </c>
      <c r="E179" s="78" t="str">
        <f t="shared" si="39"/>
        <v>OK</v>
      </c>
      <c r="F179" s="78" t="str">
        <f t="shared" si="39"/>
        <v>OK</v>
      </c>
      <c r="G179" s="78" t="str">
        <f t="shared" si="39"/>
        <v>OK</v>
      </c>
      <c r="H179" s="78" t="str">
        <f t="shared" si="39"/>
        <v>OK</v>
      </c>
      <c r="I179" s="78" t="str">
        <f t="shared" si="39"/>
        <v>OK</v>
      </c>
      <c r="J179" s="78" t="str">
        <f t="shared" si="39"/>
        <v>OK</v>
      </c>
      <c r="K179" s="78" t="str">
        <f t="shared" si="39"/>
        <v>OK</v>
      </c>
      <c r="L179" s="78" t="str">
        <f t="shared" si="39"/>
        <v>OK</v>
      </c>
      <c r="M179" s="78" t="str">
        <f t="shared" si="39"/>
        <v>OK</v>
      </c>
      <c r="N179" s="78" t="str">
        <f t="shared" si="39"/>
        <v>OK</v>
      </c>
      <c r="O179" s="78" t="str">
        <f t="shared" si="39"/>
        <v>OK</v>
      </c>
      <c r="P179" s="78" t="str">
        <f t="shared" si="39"/>
        <v>OK</v>
      </c>
    </row>
    <row r="180" spans="1:16" x14ac:dyDescent="0.25">
      <c r="A180" s="12" t="s">
        <v>941</v>
      </c>
      <c r="B180" s="12" t="str">
        <f>$B$10</f>
        <v>UIM</v>
      </c>
      <c r="C180" s="20"/>
      <c r="D180" s="20">
        <v>17.378</v>
      </c>
      <c r="E180" s="20">
        <v>18.181000000000001</v>
      </c>
      <c r="F180" s="20">
        <v>13.129</v>
      </c>
      <c r="G180" s="20">
        <v>11.407999999999999</v>
      </c>
      <c r="H180" s="20">
        <v>10.973000000000001</v>
      </c>
      <c r="I180" s="20">
        <v>9.1110000000000007</v>
      </c>
      <c r="J180" s="20">
        <v>16.062000000000001</v>
      </c>
      <c r="K180" s="20">
        <v>20.079999999999998</v>
      </c>
      <c r="L180" s="48">
        <v>21.222999999999999</v>
      </c>
      <c r="M180" s="48">
        <v>21.5</v>
      </c>
      <c r="N180" s="48">
        <v>21.721</v>
      </c>
      <c r="O180" s="48">
        <v>21.591000000000001</v>
      </c>
      <c r="P180" s="48">
        <v>21.273</v>
      </c>
    </row>
    <row r="181" spans="1:16" x14ac:dyDescent="0.25">
      <c r="A181" s="12" t="s">
        <v>942</v>
      </c>
      <c r="B181" s="12" t="str">
        <f>$B$10</f>
        <v>UIM</v>
      </c>
      <c r="C181" s="20"/>
      <c r="D181" s="20">
        <v>16.573</v>
      </c>
      <c r="E181" s="20">
        <v>18.100000000000001</v>
      </c>
      <c r="F181" s="20">
        <v>20.236999999999998</v>
      </c>
      <c r="G181" s="20">
        <v>28.288</v>
      </c>
      <c r="H181" s="20">
        <v>25.673999999999999</v>
      </c>
      <c r="I181" s="20">
        <v>28.638999999999999</v>
      </c>
      <c r="J181" s="20">
        <v>26.274999999999999</v>
      </c>
      <c r="K181" s="20">
        <v>28.106999999999999</v>
      </c>
      <c r="L181" s="48">
        <v>29.439</v>
      </c>
      <c r="M181" s="48">
        <v>30.559000000000001</v>
      </c>
      <c r="N181" s="48">
        <v>31.381</v>
      </c>
      <c r="O181" s="48">
        <v>32.283000000000001</v>
      </c>
      <c r="P181" s="48">
        <v>33.229999999999997</v>
      </c>
    </row>
    <row r="182" spans="1:16" x14ac:dyDescent="0.25">
      <c r="A182" s="12" t="s">
        <v>943</v>
      </c>
      <c r="B182" s="12" t="str">
        <f>$B$10</f>
        <v>UIM</v>
      </c>
      <c r="C182" s="20"/>
      <c r="D182" s="20">
        <v>27.405999999999999</v>
      </c>
      <c r="E182" s="20">
        <v>43.665999999999997</v>
      </c>
      <c r="F182" s="20">
        <v>37.732999999999997</v>
      </c>
      <c r="G182" s="20">
        <v>43.764000000000003</v>
      </c>
      <c r="H182" s="20">
        <v>44.414999999999999</v>
      </c>
      <c r="I182" s="20">
        <v>51.970999999999997</v>
      </c>
      <c r="J182" s="20">
        <v>62.113999999999997</v>
      </c>
      <c r="K182" s="20">
        <v>68.587000000000003</v>
      </c>
      <c r="L182" s="48">
        <v>65.733000000000004</v>
      </c>
      <c r="M182" s="48">
        <v>70.475999999999999</v>
      </c>
      <c r="N182" s="48">
        <v>75.415999999999997</v>
      </c>
      <c r="O182" s="48">
        <v>78.789000000000001</v>
      </c>
      <c r="P182" s="48">
        <v>80.266000000000005</v>
      </c>
    </row>
    <row r="183" spans="1:16" x14ac:dyDescent="0.25">
      <c r="A183" s="12" t="s">
        <v>944</v>
      </c>
      <c r="B183" s="12" t="str">
        <f>$B$10</f>
        <v>UIM</v>
      </c>
      <c r="C183" s="20"/>
      <c r="D183" s="20">
        <v>26.395</v>
      </c>
      <c r="E183" s="20">
        <v>17.86</v>
      </c>
      <c r="F183" s="20">
        <v>28.643999999999998</v>
      </c>
      <c r="G183" s="20">
        <v>29.152999999999999</v>
      </c>
      <c r="H183" s="20">
        <v>28.998000000000001</v>
      </c>
      <c r="I183" s="20">
        <v>37.338000000000001</v>
      </c>
      <c r="J183" s="20">
        <v>42.984999999999999</v>
      </c>
      <c r="K183" s="20">
        <v>50.753</v>
      </c>
      <c r="L183" s="48">
        <v>54.131999999999998</v>
      </c>
      <c r="M183" s="48">
        <v>58.375999999999998</v>
      </c>
      <c r="N183" s="48">
        <v>61.085999999999999</v>
      </c>
      <c r="O183" s="48">
        <v>64.843000000000004</v>
      </c>
      <c r="P183" s="48">
        <v>68.947000000000003</v>
      </c>
    </row>
    <row r="184" spans="1:16" x14ac:dyDescent="0.25">
      <c r="A184" s="12" t="s">
        <v>946</v>
      </c>
      <c r="B184" s="12" t="str">
        <f>$B$9</f>
        <v>NAC</v>
      </c>
      <c r="C184" s="20"/>
      <c r="D184" s="20">
        <v>3.6880000000000002</v>
      </c>
      <c r="E184" s="20">
        <v>4.22</v>
      </c>
      <c r="F184" s="20">
        <v>4.718</v>
      </c>
      <c r="G184" s="20">
        <v>6.0960000000000001</v>
      </c>
      <c r="H184" s="20">
        <v>7.3170000000000002</v>
      </c>
      <c r="I184" s="20">
        <v>7.1740000000000004</v>
      </c>
      <c r="J184" s="20">
        <v>8.093</v>
      </c>
      <c r="K184" s="20">
        <v>10.503</v>
      </c>
      <c r="L184" s="48">
        <v>11.324999999999999</v>
      </c>
      <c r="M184" s="48">
        <v>12.249000000000001</v>
      </c>
      <c r="N184" s="48">
        <v>13.202999999999999</v>
      </c>
      <c r="O184" s="48">
        <v>14.228</v>
      </c>
      <c r="P184" s="48">
        <v>15.332000000000001</v>
      </c>
    </row>
    <row r="185" spans="1:16" x14ac:dyDescent="0.25">
      <c r="A185" s="12" t="s">
        <v>945</v>
      </c>
      <c r="B185" s="12" t="str">
        <f>$B$10</f>
        <v>UIM</v>
      </c>
      <c r="C185" s="20"/>
      <c r="D185" s="20">
        <v>15.848000000000001</v>
      </c>
      <c r="E185" s="20">
        <v>18.242000000000001</v>
      </c>
      <c r="F185" s="20">
        <v>24.199000000000002</v>
      </c>
      <c r="G185" s="20">
        <v>30.716999999999999</v>
      </c>
      <c r="H185" s="20">
        <v>43.892000000000003</v>
      </c>
      <c r="I185" s="20">
        <v>49.305999999999997</v>
      </c>
      <c r="J185" s="20">
        <v>44.281999999999996</v>
      </c>
      <c r="K185" s="20">
        <v>37.154000000000003</v>
      </c>
      <c r="L185" s="48">
        <v>40.033000000000001</v>
      </c>
      <c r="M185" s="48">
        <v>42.033000000000001</v>
      </c>
      <c r="N185" s="48">
        <v>44.018000000000001</v>
      </c>
      <c r="O185" s="48">
        <v>45.722999999999999</v>
      </c>
      <c r="P185" s="48">
        <v>45.588000000000001</v>
      </c>
    </row>
    <row r="186" spans="1:16" x14ac:dyDescent="0.25">
      <c r="A186" s="12" t="s">
        <v>949</v>
      </c>
      <c r="B186" s="12" t="str">
        <f>$B$10</f>
        <v>UIM</v>
      </c>
      <c r="C186" s="21">
        <v>41.279000000000003</v>
      </c>
      <c r="D186" s="20">
        <v>43.683999999999997</v>
      </c>
      <c r="E186" s="20">
        <v>45.167000000000002</v>
      </c>
      <c r="F186" s="20">
        <v>51.92</v>
      </c>
      <c r="G186" s="20">
        <v>56.518999999999998</v>
      </c>
      <c r="H186" s="20">
        <v>63.033999999999999</v>
      </c>
      <c r="I186" s="20">
        <v>67.997</v>
      </c>
      <c r="J186" s="20">
        <v>67.518000000000001</v>
      </c>
      <c r="K186" s="20">
        <v>65.867999999999995</v>
      </c>
      <c r="L186" s="48">
        <v>67.391000000000005</v>
      </c>
      <c r="M186" s="48">
        <v>68.777000000000001</v>
      </c>
      <c r="N186" s="48">
        <v>69.62</v>
      </c>
      <c r="O186" s="48">
        <v>69.459000000000003</v>
      </c>
      <c r="P186" s="48">
        <v>69.108000000000004</v>
      </c>
    </row>
    <row r="187" spans="1:16" x14ac:dyDescent="0.25">
      <c r="A187" s="12" t="s">
        <v>950</v>
      </c>
      <c r="B187" s="12" t="str">
        <f>$B$10</f>
        <v>UIM</v>
      </c>
      <c r="C187" s="20"/>
      <c r="D187" s="20">
        <v>46.601999999999997</v>
      </c>
      <c r="E187" s="20">
        <v>49.604999999999997</v>
      </c>
      <c r="F187" s="20">
        <v>53.877000000000002</v>
      </c>
      <c r="G187" s="20">
        <v>57.801000000000002</v>
      </c>
      <c r="H187" s="20">
        <v>64.816999999999993</v>
      </c>
      <c r="I187" s="20">
        <v>69.174000000000007</v>
      </c>
      <c r="J187" s="20">
        <v>74.98</v>
      </c>
      <c r="K187" s="20">
        <v>79.525999999999996</v>
      </c>
      <c r="L187" s="48">
        <v>85.882999999999996</v>
      </c>
      <c r="M187" s="48">
        <v>91.435000000000002</v>
      </c>
      <c r="N187" s="48">
        <v>95.393000000000001</v>
      </c>
      <c r="O187" s="48">
        <v>98.093000000000004</v>
      </c>
      <c r="P187" s="48">
        <v>100.002</v>
      </c>
    </row>
    <row r="188" spans="1:16" x14ac:dyDescent="0.25">
      <c r="A188" s="12" t="s">
        <v>951</v>
      </c>
      <c r="B188" s="12" t="str">
        <f>$B$10</f>
        <v>UIM</v>
      </c>
      <c r="C188" s="20"/>
      <c r="D188" s="20">
        <v>1.681</v>
      </c>
      <c r="E188" s="20">
        <v>1.57</v>
      </c>
      <c r="F188" s="20">
        <v>1.637</v>
      </c>
      <c r="G188" s="20">
        <v>1.4650000000000001</v>
      </c>
      <c r="H188" s="20">
        <v>1.583</v>
      </c>
      <c r="I188" s="20">
        <v>1.577</v>
      </c>
      <c r="J188" s="20">
        <v>1.53</v>
      </c>
      <c r="K188" s="20">
        <v>1.4570000000000001</v>
      </c>
      <c r="L188" s="48">
        <v>1.4379999999999999</v>
      </c>
      <c r="M188" s="48">
        <v>1.389</v>
      </c>
      <c r="N188" s="48">
        <v>1.294</v>
      </c>
      <c r="O188" s="48">
        <v>1.224</v>
      </c>
      <c r="P188" s="48">
        <v>1.163</v>
      </c>
    </row>
    <row r="189" spans="1:16" x14ac:dyDescent="0.25">
      <c r="A189" s="12" t="s">
        <v>988</v>
      </c>
      <c r="B189" s="12" t="str">
        <f>$B$10</f>
        <v>UIM</v>
      </c>
      <c r="C189" s="20"/>
      <c r="D189" s="20">
        <v>2.169</v>
      </c>
      <c r="E189" s="20">
        <v>3.21</v>
      </c>
      <c r="F189" s="20">
        <v>3.2610000000000001</v>
      </c>
      <c r="G189" s="20">
        <v>4.109</v>
      </c>
      <c r="H189" s="20">
        <v>3.9910000000000001</v>
      </c>
      <c r="I189" s="20">
        <v>4.4539999999999997</v>
      </c>
      <c r="J189" s="20">
        <v>4.5389999999999997</v>
      </c>
      <c r="K189" s="20">
        <v>4.649</v>
      </c>
      <c r="L189" s="48">
        <v>4.8410000000000002</v>
      </c>
      <c r="M189" s="48">
        <v>4.6740000000000004</v>
      </c>
      <c r="N189" s="48">
        <v>4.4880000000000004</v>
      </c>
      <c r="O189" s="48">
        <v>4.4450000000000003</v>
      </c>
      <c r="P189" s="48">
        <v>4.3979999999999997</v>
      </c>
    </row>
    <row r="190" spans="1:16" x14ac:dyDescent="0.25">
      <c r="A190" s="60" t="s">
        <v>989</v>
      </c>
      <c r="B190" s="12" t="str">
        <f>$B$9</f>
        <v>NAC</v>
      </c>
      <c r="C190" s="20"/>
      <c r="D190" s="21">
        <v>201.42400000000001</v>
      </c>
      <c r="E190" s="21">
        <v>219.821</v>
      </c>
      <c r="F190" s="21">
        <v>239.35499999999999</v>
      </c>
      <c r="G190" s="21">
        <v>269.32</v>
      </c>
      <c r="H190" s="21">
        <v>294.69400000000002</v>
      </c>
      <c r="I190" s="21">
        <v>326.74099999999999</v>
      </c>
      <c r="J190" s="21">
        <v>348.37799999999999</v>
      </c>
      <c r="K190" s="21">
        <v>366.68400000000003</v>
      </c>
      <c r="L190" s="47">
        <v>381.43200000000002</v>
      </c>
      <c r="M190" s="47">
        <v>403.84899999999999</v>
      </c>
      <c r="N190" s="47">
        <v>423.62900000000002</v>
      </c>
      <c r="O190" s="47">
        <v>441.06700000000001</v>
      </c>
      <c r="P190" s="47">
        <v>454.86399999999998</v>
      </c>
    </row>
    <row r="191" spans="1:16" x14ac:dyDescent="0.25">
      <c r="A191" s="60" t="s">
        <v>990</v>
      </c>
      <c r="B191" s="12"/>
      <c r="C191" s="20"/>
      <c r="D191" s="78" t="str">
        <f t="shared" ref="D191:P191" si="40">IF(ROUND(D$190-SUM(D$131:D$132,D$180:D$189),3)=0,"OK","ERROR")</f>
        <v>OK</v>
      </c>
      <c r="E191" s="78" t="str">
        <f t="shared" si="40"/>
        <v>OK</v>
      </c>
      <c r="F191" s="78" t="str">
        <f t="shared" si="40"/>
        <v>OK</v>
      </c>
      <c r="G191" s="78" t="str">
        <f t="shared" si="40"/>
        <v>OK</v>
      </c>
      <c r="H191" s="78" t="str">
        <f t="shared" si="40"/>
        <v>OK</v>
      </c>
      <c r="I191" s="78" t="str">
        <f t="shared" si="40"/>
        <v>OK</v>
      </c>
      <c r="J191" s="78" t="str">
        <f t="shared" si="40"/>
        <v>OK</v>
      </c>
      <c r="K191" s="78" t="str">
        <f t="shared" si="40"/>
        <v>OK</v>
      </c>
      <c r="L191" s="78" t="str">
        <f t="shared" si="40"/>
        <v>OK</v>
      </c>
      <c r="M191" s="78" t="str">
        <f t="shared" si="40"/>
        <v>OK</v>
      </c>
      <c r="N191" s="78" t="str">
        <f t="shared" si="40"/>
        <v>OK</v>
      </c>
      <c r="O191" s="78" t="str">
        <f t="shared" si="40"/>
        <v>OK</v>
      </c>
      <c r="P191" s="78" t="str">
        <f t="shared" si="40"/>
        <v>OK</v>
      </c>
    </row>
    <row r="192" spans="1:16" x14ac:dyDescent="0.25">
      <c r="A192" s="12" t="s">
        <v>956</v>
      </c>
      <c r="B192" s="12" t="str">
        <f t="shared" ref="B192:B197" si="41">$B$10</f>
        <v>UIM</v>
      </c>
      <c r="C192" s="20"/>
      <c r="D192" s="20">
        <v>10.465999999999999</v>
      </c>
      <c r="E192" s="20">
        <v>10.85</v>
      </c>
      <c r="F192" s="20">
        <v>12.038</v>
      </c>
      <c r="G192" s="20">
        <v>16.306999999999999</v>
      </c>
      <c r="H192" s="20">
        <v>12.336</v>
      </c>
      <c r="I192" s="20">
        <v>12.795999999999999</v>
      </c>
      <c r="J192" s="20">
        <v>11.993</v>
      </c>
      <c r="K192" s="20">
        <v>12.038</v>
      </c>
      <c r="L192" s="48">
        <v>11.718999999999999</v>
      </c>
      <c r="M192" s="48">
        <v>13.505000000000001</v>
      </c>
      <c r="N192" s="48">
        <v>13.26</v>
      </c>
      <c r="O192" s="48">
        <v>13.444000000000001</v>
      </c>
      <c r="P192" s="48">
        <v>13.814</v>
      </c>
    </row>
    <row r="193" spans="1:16" x14ac:dyDescent="0.25">
      <c r="A193" s="12" t="s">
        <v>957</v>
      </c>
      <c r="B193" s="12" t="str">
        <f t="shared" si="41"/>
        <v>UIM</v>
      </c>
      <c r="C193" s="20"/>
      <c r="D193" s="20">
        <v>0.44900000000000001</v>
      </c>
      <c r="E193" s="20">
        <v>0.39800000000000002</v>
      </c>
      <c r="F193" s="20">
        <v>0.505</v>
      </c>
      <c r="G193" s="20">
        <v>0.56999999999999995</v>
      </c>
      <c r="H193" s="20">
        <v>0.504</v>
      </c>
      <c r="I193" s="20">
        <v>0.498</v>
      </c>
      <c r="J193" s="20">
        <v>0.47599999999999998</v>
      </c>
      <c r="K193" s="20">
        <v>0.441</v>
      </c>
      <c r="L193" s="48">
        <v>0.4</v>
      </c>
      <c r="M193" s="48">
        <v>0.35899999999999999</v>
      </c>
      <c r="N193" s="48">
        <v>0.318</v>
      </c>
      <c r="O193" s="48">
        <v>0.27700000000000002</v>
      </c>
      <c r="P193" s="48">
        <v>0.23599999999999999</v>
      </c>
    </row>
    <row r="194" spans="1:16" x14ac:dyDescent="0.25">
      <c r="A194" s="12" t="s">
        <v>1476</v>
      </c>
      <c r="B194" s="12" t="str">
        <f t="shared" si="41"/>
        <v>UIM</v>
      </c>
      <c r="C194" s="20"/>
      <c r="D194" s="20">
        <v>2.8839999999999999</v>
      </c>
      <c r="E194" s="20">
        <v>3.8039999999999998</v>
      </c>
      <c r="F194" s="20">
        <v>5.8239999999999998</v>
      </c>
      <c r="G194" s="20">
        <v>11.461</v>
      </c>
      <c r="H194" s="20">
        <v>6.093</v>
      </c>
      <c r="I194" s="20">
        <v>6.8659999999999997</v>
      </c>
      <c r="J194" s="20">
        <v>7.3860000000000001</v>
      </c>
      <c r="K194" s="20">
        <v>6.407</v>
      </c>
      <c r="L194" s="48">
        <v>5.8460000000000001</v>
      </c>
      <c r="M194" s="48">
        <v>5.4980000000000002</v>
      </c>
      <c r="N194" s="48">
        <v>5.1710000000000003</v>
      </c>
      <c r="O194" s="48">
        <v>4.9290000000000003</v>
      </c>
      <c r="P194" s="48">
        <v>4.7519999999999998</v>
      </c>
    </row>
    <row r="195" spans="1:16" x14ac:dyDescent="0.25">
      <c r="A195" s="12" t="s">
        <v>959</v>
      </c>
      <c r="B195" s="12" t="str">
        <f t="shared" si="41"/>
        <v>UIM</v>
      </c>
      <c r="C195" s="20"/>
      <c r="D195" s="20">
        <v>4.0000000000000001E-3</v>
      </c>
      <c r="E195" s="20">
        <v>5.0000000000000001E-3</v>
      </c>
      <c r="F195" s="20">
        <v>4.0000000000000001E-3</v>
      </c>
      <c r="G195" s="20">
        <v>2E-3</v>
      </c>
      <c r="H195" s="20">
        <v>3.0000000000000001E-3</v>
      </c>
      <c r="I195" s="20">
        <v>2E-3</v>
      </c>
      <c r="J195" s="20">
        <v>2E-3</v>
      </c>
      <c r="K195" s="20">
        <v>2E-3</v>
      </c>
      <c r="L195" s="48">
        <v>2E-3</v>
      </c>
      <c r="M195" s="48">
        <v>2E-3</v>
      </c>
      <c r="N195" s="48">
        <v>2E-3</v>
      </c>
      <c r="O195" s="48">
        <v>2E-3</v>
      </c>
      <c r="P195" s="48">
        <v>2E-3</v>
      </c>
    </row>
    <row r="196" spans="1:16" x14ac:dyDescent="0.25">
      <c r="A196" s="12" t="s">
        <v>960</v>
      </c>
      <c r="B196" s="12" t="str">
        <f t="shared" si="41"/>
        <v>UIM</v>
      </c>
      <c r="C196" s="20"/>
      <c r="D196" s="20">
        <v>13.164999999999999</v>
      </c>
      <c r="E196" s="20">
        <v>13.976000000000001</v>
      </c>
      <c r="F196" s="20">
        <v>11.039</v>
      </c>
      <c r="G196" s="20">
        <v>8.7650000000000006</v>
      </c>
      <c r="H196" s="20">
        <v>8.0380000000000003</v>
      </c>
      <c r="I196" s="20">
        <v>7.3339999999999996</v>
      </c>
      <c r="J196" s="20">
        <v>6.6589999999999998</v>
      </c>
      <c r="K196" s="20">
        <v>6.2460000000000004</v>
      </c>
      <c r="L196" s="48">
        <v>5.633</v>
      </c>
      <c r="M196" s="48">
        <v>5.1289999999999996</v>
      </c>
      <c r="N196" s="48">
        <v>4.6379999999999999</v>
      </c>
      <c r="O196" s="48">
        <v>4.1639999999999997</v>
      </c>
      <c r="P196" s="48">
        <v>3.706</v>
      </c>
    </row>
    <row r="197" spans="1:16" x14ac:dyDescent="0.25">
      <c r="A197" s="12" t="s">
        <v>961</v>
      </c>
      <c r="B197" s="12" t="str">
        <f t="shared" si="41"/>
        <v>UIM</v>
      </c>
      <c r="C197" s="20"/>
      <c r="D197" s="20">
        <v>7.5890000000000004</v>
      </c>
      <c r="E197" s="20">
        <v>9.3089999999999993</v>
      </c>
      <c r="F197" s="20">
        <v>8.6080000000000005</v>
      </c>
      <c r="G197" s="20">
        <v>8.8840000000000003</v>
      </c>
      <c r="H197" s="20">
        <v>8.3480000000000008</v>
      </c>
      <c r="I197" s="20">
        <v>8.8789999999999996</v>
      </c>
      <c r="J197" s="20">
        <v>10.804</v>
      </c>
      <c r="K197" s="20">
        <v>9.7899999999999991</v>
      </c>
      <c r="L197" s="48">
        <v>9.3849999999999998</v>
      </c>
      <c r="M197" s="48">
        <v>8.9979999999999993</v>
      </c>
      <c r="N197" s="48">
        <v>8.8490000000000002</v>
      </c>
      <c r="O197" s="48">
        <v>8.8049999999999997</v>
      </c>
      <c r="P197" s="48">
        <v>8.7669999999999995</v>
      </c>
    </row>
    <row r="198" spans="1:16" x14ac:dyDescent="0.25">
      <c r="A198" s="60" t="s">
        <v>991</v>
      </c>
      <c r="B198" s="12" t="str">
        <f>$B$9</f>
        <v>NAC</v>
      </c>
      <c r="C198" s="20"/>
      <c r="D198" s="21">
        <v>132.88</v>
      </c>
      <c r="E198" s="21">
        <v>172.70500000000001</v>
      </c>
      <c r="F198" s="21">
        <v>178.81700000000001</v>
      </c>
      <c r="G198" s="21">
        <v>224.036</v>
      </c>
      <c r="H198" s="21">
        <v>235.35300000000001</v>
      </c>
      <c r="I198" s="21">
        <v>261.70100000000002</v>
      </c>
      <c r="J198" s="21">
        <v>285.43900000000002</v>
      </c>
      <c r="K198" s="21">
        <v>302.02300000000002</v>
      </c>
      <c r="L198" s="47">
        <v>315.57600000000002</v>
      </c>
      <c r="M198" s="47">
        <v>332.22199999999998</v>
      </c>
      <c r="N198" s="47">
        <v>341.495</v>
      </c>
      <c r="O198" s="47">
        <v>344.36099999999999</v>
      </c>
      <c r="P198" s="47">
        <v>339.95699999999999</v>
      </c>
    </row>
    <row r="199" spans="1:16" x14ac:dyDescent="0.25">
      <c r="A199" s="60" t="s">
        <v>992</v>
      </c>
      <c r="B199" s="12"/>
      <c r="C199" s="20"/>
      <c r="D199" s="78" t="str">
        <f t="shared" ref="D199:P199" si="42">IF(ROUND(D$198-SUM(D$134,D$147,D$192:D$197),3)=0,"OK","ERROR")</f>
        <v>OK</v>
      </c>
      <c r="E199" s="78" t="str">
        <f t="shared" si="42"/>
        <v>OK</v>
      </c>
      <c r="F199" s="78" t="str">
        <f t="shared" si="42"/>
        <v>OK</v>
      </c>
      <c r="G199" s="78" t="str">
        <f t="shared" si="42"/>
        <v>OK</v>
      </c>
      <c r="H199" s="78" t="str">
        <f t="shared" si="42"/>
        <v>OK</v>
      </c>
      <c r="I199" s="78" t="str">
        <f t="shared" si="42"/>
        <v>OK</v>
      </c>
      <c r="J199" s="78" t="str">
        <f t="shared" si="42"/>
        <v>OK</v>
      </c>
      <c r="K199" s="78" t="str">
        <f t="shared" si="42"/>
        <v>OK</v>
      </c>
      <c r="L199" s="78" t="str">
        <f t="shared" si="42"/>
        <v>OK</v>
      </c>
      <c r="M199" s="78" t="str">
        <f t="shared" si="42"/>
        <v>OK</v>
      </c>
      <c r="N199" s="78" t="str">
        <f t="shared" si="42"/>
        <v>OK</v>
      </c>
      <c r="O199" s="78" t="str">
        <f t="shared" si="42"/>
        <v>OK</v>
      </c>
      <c r="P199" s="78" t="str">
        <f t="shared" si="42"/>
        <v>OK</v>
      </c>
    </row>
    <row r="200" spans="1:16" x14ac:dyDescent="0.25">
      <c r="A200" s="60" t="s">
        <v>761</v>
      </c>
      <c r="B200" s="12" t="str">
        <f>$B$9</f>
        <v>NAC</v>
      </c>
      <c r="C200" s="20"/>
      <c r="D200" s="77">
        <f t="shared" ref="D200:P200" si="43">D$190-D$198</f>
        <v>68.544000000000011</v>
      </c>
      <c r="E200" s="77">
        <f t="shared" si="43"/>
        <v>47.115999999999985</v>
      </c>
      <c r="F200" s="77">
        <f t="shared" si="43"/>
        <v>60.537999999999982</v>
      </c>
      <c r="G200" s="77">
        <f t="shared" si="43"/>
        <v>45.283999999999992</v>
      </c>
      <c r="H200" s="77">
        <f t="shared" si="43"/>
        <v>59.341000000000008</v>
      </c>
      <c r="I200" s="77">
        <f t="shared" si="43"/>
        <v>65.039999999999964</v>
      </c>
      <c r="J200" s="77">
        <f t="shared" si="43"/>
        <v>62.938999999999965</v>
      </c>
      <c r="K200" s="77">
        <f t="shared" si="43"/>
        <v>64.661000000000001</v>
      </c>
      <c r="L200" s="77">
        <f t="shared" si="43"/>
        <v>65.855999999999995</v>
      </c>
      <c r="M200" s="77">
        <f t="shared" si="43"/>
        <v>71.62700000000001</v>
      </c>
      <c r="N200" s="77">
        <f t="shared" si="43"/>
        <v>82.134000000000015</v>
      </c>
      <c r="O200" s="77">
        <f t="shared" si="43"/>
        <v>96.706000000000017</v>
      </c>
      <c r="P200" s="77">
        <f t="shared" si="43"/>
        <v>114.90699999999998</v>
      </c>
    </row>
    <row r="201" spans="1:16" x14ac:dyDescent="0.25">
      <c r="A201" s="60"/>
      <c r="B201" s="60"/>
      <c r="C201" s="60"/>
      <c r="D201" s="20"/>
      <c r="E201" s="20"/>
      <c r="F201" s="20"/>
      <c r="G201" s="20"/>
      <c r="H201" s="20"/>
      <c r="I201" s="20"/>
      <c r="J201" s="20"/>
      <c r="K201" s="20"/>
      <c r="L201" s="20"/>
      <c r="M201" s="20"/>
      <c r="N201" s="20"/>
      <c r="O201" s="20"/>
      <c r="P201" s="20"/>
    </row>
    <row r="202" spans="1:16" x14ac:dyDescent="0.25">
      <c r="A202" s="11" t="s">
        <v>993</v>
      </c>
      <c r="B202" s="12"/>
      <c r="C202" s="20"/>
      <c r="D202" s="20"/>
      <c r="E202" s="20"/>
      <c r="F202" s="20"/>
      <c r="G202" s="20"/>
      <c r="H202" s="20"/>
      <c r="I202" s="20"/>
      <c r="J202" s="20"/>
      <c r="K202" s="20"/>
      <c r="L202" s="20"/>
      <c r="M202" s="20"/>
      <c r="N202" s="20"/>
      <c r="O202" s="20"/>
      <c r="P202" s="20"/>
    </row>
    <row r="203" spans="1:16" x14ac:dyDescent="0.25">
      <c r="A203" s="12" t="s">
        <v>994</v>
      </c>
      <c r="B203" s="12" t="str">
        <f>$B$10</f>
        <v>UIM</v>
      </c>
      <c r="C203" s="20"/>
      <c r="D203" s="20">
        <v>5.8070000000000004</v>
      </c>
      <c r="E203" s="20">
        <v>6.8959999999999999</v>
      </c>
      <c r="F203" s="20">
        <v>6.8310000000000004</v>
      </c>
      <c r="G203" s="20">
        <v>6.44</v>
      </c>
      <c r="H203" s="20">
        <v>8.7729999999999997</v>
      </c>
      <c r="I203" s="20">
        <v>10.413</v>
      </c>
      <c r="J203" s="20">
        <v>11.526999999999999</v>
      </c>
      <c r="K203" s="20">
        <v>9.0389999999999997</v>
      </c>
      <c r="L203" s="48">
        <v>8.9380000000000006</v>
      </c>
      <c r="M203" s="48">
        <v>9.6059999999999999</v>
      </c>
      <c r="N203" s="48">
        <v>9.6690000000000005</v>
      </c>
      <c r="O203" s="48">
        <v>10.01</v>
      </c>
      <c r="P203" s="48">
        <v>11.411</v>
      </c>
    </row>
    <row r="204" spans="1:16" x14ac:dyDescent="0.25">
      <c r="A204" s="12" t="s">
        <v>995</v>
      </c>
      <c r="B204" s="12" t="str">
        <f>$B$10</f>
        <v>UIM</v>
      </c>
      <c r="C204" s="20"/>
      <c r="D204" s="20">
        <v>5.0000000000000001E-3</v>
      </c>
      <c r="E204" s="20">
        <v>7.0000000000000001E-3</v>
      </c>
      <c r="F204" s="20">
        <v>6.0000000000000001E-3</v>
      </c>
      <c r="G204" s="20">
        <v>6.0000000000000001E-3</v>
      </c>
      <c r="H204" s="20">
        <v>8.0000000000000002E-3</v>
      </c>
      <c r="I204" s="20">
        <v>1.0999999999999999E-2</v>
      </c>
      <c r="J204" s="20">
        <v>1.0999999999999999E-2</v>
      </c>
      <c r="K204" s="20">
        <v>1.0999999999999999E-2</v>
      </c>
      <c r="L204" s="48">
        <v>1.0999999999999999E-2</v>
      </c>
      <c r="M204" s="48">
        <v>1.2E-2</v>
      </c>
      <c r="N204" s="48">
        <v>1.2E-2</v>
      </c>
      <c r="O204" s="48">
        <v>1.2999999999999999E-2</v>
      </c>
      <c r="P204" s="48">
        <v>1.4E-2</v>
      </c>
    </row>
    <row r="205" spans="1:16" x14ac:dyDescent="0.25">
      <c r="A205" s="60" t="s">
        <v>996</v>
      </c>
      <c r="B205" s="12"/>
      <c r="C205" s="20"/>
      <c r="D205" s="78" t="str">
        <f t="shared" ref="D205:P205" si="44">IF(ROUND(D$20-SUM(D$174,D$203:D$204),3)=0,"OK","ERROR")</f>
        <v>OK</v>
      </c>
      <c r="E205" s="78" t="str">
        <f t="shared" si="44"/>
        <v>OK</v>
      </c>
      <c r="F205" s="78" t="str">
        <f t="shared" si="44"/>
        <v>OK</v>
      </c>
      <c r="G205" s="78" t="str">
        <f t="shared" si="44"/>
        <v>OK</v>
      </c>
      <c r="H205" s="78" t="str">
        <f t="shared" si="44"/>
        <v>OK</v>
      </c>
      <c r="I205" s="78" t="str">
        <f t="shared" si="44"/>
        <v>OK</v>
      </c>
      <c r="J205" s="78" t="str">
        <f t="shared" si="44"/>
        <v>OK</v>
      </c>
      <c r="K205" s="78" t="str">
        <f t="shared" si="44"/>
        <v>OK</v>
      </c>
      <c r="L205" s="78" t="str">
        <f t="shared" si="44"/>
        <v>OK</v>
      </c>
      <c r="M205" s="78" t="str">
        <f t="shared" si="44"/>
        <v>OK</v>
      </c>
      <c r="N205" s="78" t="str">
        <f t="shared" si="44"/>
        <v>OK</v>
      </c>
      <c r="O205" s="78" t="str">
        <f t="shared" si="44"/>
        <v>OK</v>
      </c>
      <c r="P205" s="78" t="str">
        <f t="shared" si="44"/>
        <v>OK</v>
      </c>
    </row>
    <row r="206" spans="1:16" x14ac:dyDescent="0.25">
      <c r="A206" s="12" t="s">
        <v>997</v>
      </c>
      <c r="B206" s="12" t="str">
        <f>$B$10</f>
        <v>UIM</v>
      </c>
      <c r="C206" s="20"/>
      <c r="D206" s="20">
        <v>6.6790000000000003</v>
      </c>
      <c r="E206" s="20">
        <v>7.6630000000000003</v>
      </c>
      <c r="F206" s="20">
        <v>7.968</v>
      </c>
      <c r="G206" s="20">
        <v>7.3879999999999999</v>
      </c>
      <c r="H206" s="20">
        <v>9.3290000000000006</v>
      </c>
      <c r="I206" s="20">
        <v>11.634</v>
      </c>
      <c r="J206" s="20">
        <v>12.760999999999999</v>
      </c>
      <c r="K206" s="20">
        <v>10.669</v>
      </c>
      <c r="L206" s="48">
        <v>11.167</v>
      </c>
      <c r="M206" s="48">
        <v>11.887</v>
      </c>
      <c r="N206" s="48">
        <v>12.044</v>
      </c>
      <c r="O206" s="48">
        <v>12.486000000000001</v>
      </c>
      <c r="P206" s="48">
        <v>13.964</v>
      </c>
    </row>
    <row r="207" spans="1:16" x14ac:dyDescent="0.25">
      <c r="A207" s="12" t="s">
        <v>998</v>
      </c>
      <c r="B207" s="12" t="str">
        <f t="shared" ref="B207:B217" si="45">$B$10</f>
        <v>UIM</v>
      </c>
      <c r="C207" s="20"/>
      <c r="D207" s="20">
        <v>16.579000000000001</v>
      </c>
      <c r="E207" s="20">
        <v>17.788</v>
      </c>
      <c r="F207" s="20">
        <v>18.856000000000002</v>
      </c>
      <c r="G207" s="20">
        <v>22.004999999999999</v>
      </c>
      <c r="H207" s="20">
        <v>27.765999999999998</v>
      </c>
      <c r="I207" s="20">
        <v>27.89</v>
      </c>
      <c r="J207" s="20">
        <v>27.827000000000002</v>
      </c>
      <c r="K207" s="20">
        <v>29.77</v>
      </c>
      <c r="L207" s="48">
        <v>31.096</v>
      </c>
      <c r="M207" s="48">
        <v>30.754999999999999</v>
      </c>
      <c r="N207" s="48">
        <v>30.608000000000001</v>
      </c>
      <c r="O207" s="48">
        <v>30.402999999999999</v>
      </c>
      <c r="P207" s="48">
        <v>30.282</v>
      </c>
    </row>
    <row r="208" spans="1:16" x14ac:dyDescent="0.25">
      <c r="A208" s="12" t="s">
        <v>999</v>
      </c>
      <c r="B208" s="12" t="str">
        <f t="shared" si="45"/>
        <v>UIM</v>
      </c>
      <c r="C208" s="20"/>
      <c r="D208" s="20">
        <v>11.428000000000001</v>
      </c>
      <c r="E208" s="20">
        <v>13.705</v>
      </c>
      <c r="F208" s="20">
        <v>12.840999999999999</v>
      </c>
      <c r="G208" s="20">
        <v>13.805</v>
      </c>
      <c r="H208" s="20">
        <v>14.166</v>
      </c>
      <c r="I208" s="20">
        <v>15.346</v>
      </c>
      <c r="J208" s="20">
        <v>16.091999999999999</v>
      </c>
      <c r="K208" s="20">
        <v>16.541</v>
      </c>
      <c r="L208" s="48">
        <v>17.132000000000001</v>
      </c>
      <c r="M208" s="48">
        <v>17.181999999999999</v>
      </c>
      <c r="N208" s="48">
        <v>16.97</v>
      </c>
      <c r="O208" s="48">
        <v>17.021000000000001</v>
      </c>
      <c r="P208" s="48">
        <v>17.047999999999998</v>
      </c>
    </row>
    <row r="209" spans="1:16" x14ac:dyDescent="0.25">
      <c r="A209" s="12" t="s">
        <v>1000</v>
      </c>
      <c r="B209" s="12" t="str">
        <f t="shared" si="45"/>
        <v>UIM</v>
      </c>
      <c r="C209" s="20"/>
      <c r="D209" s="20">
        <v>3.21</v>
      </c>
      <c r="E209" s="20">
        <v>3.8239999999999998</v>
      </c>
      <c r="F209" s="20">
        <v>4.2590000000000003</v>
      </c>
      <c r="G209" s="20">
        <v>4.5030000000000001</v>
      </c>
      <c r="H209" s="20">
        <v>6.1050000000000004</v>
      </c>
      <c r="I209" s="20">
        <v>6.6280000000000001</v>
      </c>
      <c r="J209" s="20">
        <v>5.9779999999999998</v>
      </c>
      <c r="K209" s="20">
        <v>6.0049999999999999</v>
      </c>
      <c r="L209" s="48">
        <v>7.1070000000000002</v>
      </c>
      <c r="M209" s="48">
        <v>6.2469999999999999</v>
      </c>
      <c r="N209" s="48">
        <v>6.1429999999999998</v>
      </c>
      <c r="O209" s="48">
        <v>6.085</v>
      </c>
      <c r="P209" s="48">
        <v>6.2039999999999997</v>
      </c>
    </row>
    <row r="210" spans="1:16" x14ac:dyDescent="0.25">
      <c r="A210" s="12" t="s">
        <v>1001</v>
      </c>
      <c r="B210" s="12" t="str">
        <f t="shared" si="45"/>
        <v>UIM</v>
      </c>
      <c r="C210" s="20"/>
      <c r="D210" s="20">
        <v>5.4009999999999998</v>
      </c>
      <c r="E210" s="20">
        <v>8.9149999999999991</v>
      </c>
      <c r="F210" s="20">
        <v>5.8360000000000003</v>
      </c>
      <c r="G210" s="20">
        <v>4.8730000000000002</v>
      </c>
      <c r="H210" s="20">
        <v>8.5990000000000002</v>
      </c>
      <c r="I210" s="20">
        <v>10.317</v>
      </c>
      <c r="J210" s="20">
        <v>10.045999999999999</v>
      </c>
      <c r="K210" s="20">
        <v>10.468999999999999</v>
      </c>
      <c r="L210" s="48">
        <v>10.717000000000001</v>
      </c>
      <c r="M210" s="48">
        <v>10.779</v>
      </c>
      <c r="N210" s="48">
        <v>11.085000000000001</v>
      </c>
      <c r="O210" s="48">
        <v>11.627000000000001</v>
      </c>
      <c r="P210" s="48">
        <v>11.731999999999999</v>
      </c>
    </row>
    <row r="211" spans="1:16" x14ac:dyDescent="0.25">
      <c r="A211" s="12" t="s">
        <v>1002</v>
      </c>
      <c r="B211" s="12" t="str">
        <f t="shared" si="45"/>
        <v>UIM</v>
      </c>
      <c r="C211" s="20"/>
      <c r="D211" s="20">
        <v>6.7160000000000002</v>
      </c>
      <c r="E211" s="20">
        <v>7.5140000000000002</v>
      </c>
      <c r="F211" s="20">
        <v>8.0459999999999994</v>
      </c>
      <c r="G211" s="20">
        <v>8.5389999999999997</v>
      </c>
      <c r="H211" s="20">
        <v>10.163</v>
      </c>
      <c r="I211" s="20">
        <v>10.747999999999999</v>
      </c>
      <c r="J211" s="20">
        <v>10.837999999999999</v>
      </c>
      <c r="K211" s="20">
        <v>10.319000000000001</v>
      </c>
      <c r="L211" s="48">
        <v>9.8490000000000002</v>
      </c>
      <c r="M211" s="48">
        <v>9.5570000000000004</v>
      </c>
      <c r="N211" s="48">
        <v>9.7430000000000003</v>
      </c>
      <c r="O211" s="48">
        <v>9.9640000000000004</v>
      </c>
      <c r="P211" s="48">
        <v>10.074999999999999</v>
      </c>
    </row>
    <row r="212" spans="1:16" x14ac:dyDescent="0.25">
      <c r="A212" s="12" t="s">
        <v>1003</v>
      </c>
      <c r="B212" s="12" t="str">
        <f t="shared" si="45"/>
        <v>UIM</v>
      </c>
      <c r="C212" s="20"/>
      <c r="D212" s="20">
        <v>8.64</v>
      </c>
      <c r="E212" s="20">
        <v>8.3070000000000004</v>
      </c>
      <c r="F212" s="20">
        <v>10.321999999999999</v>
      </c>
      <c r="G212" s="20">
        <v>9.5259999999999998</v>
      </c>
      <c r="H212" s="20">
        <v>8.5609999999999999</v>
      </c>
      <c r="I212" s="20">
        <v>12.183</v>
      </c>
      <c r="J212" s="20">
        <v>12.195</v>
      </c>
      <c r="K212" s="20">
        <v>9.9339999999999993</v>
      </c>
      <c r="L212" s="48">
        <v>11.852</v>
      </c>
      <c r="M212" s="48">
        <v>11.510999999999999</v>
      </c>
      <c r="N212" s="48">
        <v>11.73</v>
      </c>
      <c r="O212" s="48">
        <v>12.061999999999999</v>
      </c>
      <c r="P212" s="48">
        <v>12.221</v>
      </c>
    </row>
    <row r="213" spans="1:16" x14ac:dyDescent="0.25">
      <c r="A213" s="12" t="s">
        <v>1004</v>
      </c>
      <c r="B213" s="12" t="str">
        <f t="shared" si="45"/>
        <v>UIM</v>
      </c>
      <c r="C213" s="20"/>
      <c r="D213" s="20">
        <v>-3.629</v>
      </c>
      <c r="E213" s="20">
        <v>-3.7549999999999999</v>
      </c>
      <c r="F213" s="20">
        <v>-4.7350000000000003</v>
      </c>
      <c r="G213" s="20">
        <v>-4.2939999999999996</v>
      </c>
      <c r="H213" s="20">
        <v>-4.1829999999999998</v>
      </c>
      <c r="I213" s="20">
        <v>-4.7560000000000002</v>
      </c>
      <c r="J213" s="20">
        <v>-4.1790000000000003</v>
      </c>
      <c r="K213" s="20">
        <v>-4.7279999999999998</v>
      </c>
      <c r="L213" s="48">
        <v>-4.1150000000000002</v>
      </c>
      <c r="M213" s="48">
        <v>-4.0739999999999998</v>
      </c>
      <c r="N213" s="48">
        <v>-4.0599999999999996</v>
      </c>
      <c r="O213" s="48">
        <v>-4.2610000000000001</v>
      </c>
      <c r="P213" s="48">
        <v>-4.2300000000000004</v>
      </c>
    </row>
    <row r="214" spans="1:16" x14ac:dyDescent="0.25">
      <c r="A214" s="12" t="s">
        <v>1005</v>
      </c>
      <c r="B214" s="12" t="str">
        <f t="shared" si="45"/>
        <v>UIM</v>
      </c>
      <c r="C214" s="20"/>
      <c r="D214" s="20">
        <v>33.838000000000001</v>
      </c>
      <c r="E214" s="20">
        <v>34.494</v>
      </c>
      <c r="F214" s="20">
        <v>33.545999999999999</v>
      </c>
      <c r="G214" s="20">
        <v>31.513000000000002</v>
      </c>
      <c r="H214" s="20">
        <v>34.506</v>
      </c>
      <c r="I214" s="20">
        <v>39.212000000000003</v>
      </c>
      <c r="J214" s="20">
        <v>44.944000000000003</v>
      </c>
      <c r="K214" s="20">
        <v>47.911000000000001</v>
      </c>
      <c r="L214" s="48">
        <v>48.524999999999999</v>
      </c>
      <c r="M214" s="48">
        <v>49.545999999999999</v>
      </c>
      <c r="N214" s="48">
        <v>50.540999999999997</v>
      </c>
      <c r="O214" s="48">
        <v>52.61</v>
      </c>
      <c r="P214" s="48">
        <v>54.841999999999999</v>
      </c>
    </row>
    <row r="215" spans="1:16" x14ac:dyDescent="0.25">
      <c r="A215" s="12" t="s">
        <v>1006</v>
      </c>
      <c r="B215" s="12" t="str">
        <f t="shared" si="45"/>
        <v>UIM</v>
      </c>
      <c r="C215" s="20"/>
      <c r="D215" s="20">
        <v>3.3879999999999999</v>
      </c>
      <c r="E215" s="20">
        <v>3.88</v>
      </c>
      <c r="F215" s="20">
        <v>3.3250000000000002</v>
      </c>
      <c r="G215" s="20">
        <v>5.3479999999999999</v>
      </c>
      <c r="H215" s="20">
        <v>3.9380000000000002</v>
      </c>
      <c r="I215" s="20">
        <v>2.9710000000000001</v>
      </c>
      <c r="J215" s="20">
        <v>2.6240000000000001</v>
      </c>
      <c r="K215" s="20">
        <v>2.4279999999999999</v>
      </c>
      <c r="L215" s="48">
        <v>2.3250000000000002</v>
      </c>
      <c r="M215" s="48">
        <v>2.4729999999999999</v>
      </c>
      <c r="N215" s="48">
        <v>2.6179999999999999</v>
      </c>
      <c r="O215" s="48">
        <v>2.7669999999999999</v>
      </c>
      <c r="P215" s="48">
        <v>2.6669999999999998</v>
      </c>
    </row>
    <row r="216" spans="1:16" x14ac:dyDescent="0.25">
      <c r="A216" s="12" t="s">
        <v>1007</v>
      </c>
      <c r="B216" s="12" t="str">
        <f t="shared" si="45"/>
        <v>UIM</v>
      </c>
      <c r="C216" s="20"/>
      <c r="D216" s="20">
        <v>14.254</v>
      </c>
      <c r="E216" s="20">
        <v>17.135000000000002</v>
      </c>
      <c r="F216" s="20">
        <v>21.521999999999998</v>
      </c>
      <c r="G216" s="20">
        <v>18.613</v>
      </c>
      <c r="H216" s="20">
        <v>19.635000000000002</v>
      </c>
      <c r="I216" s="20">
        <v>16.818999999999999</v>
      </c>
      <c r="J216" s="20">
        <v>17.253</v>
      </c>
      <c r="K216" s="20">
        <v>17.209</v>
      </c>
      <c r="L216" s="48">
        <v>16.515999999999998</v>
      </c>
      <c r="M216" s="48">
        <v>16.759</v>
      </c>
      <c r="N216" s="48">
        <v>16.863</v>
      </c>
      <c r="O216" s="48">
        <v>16.975000000000001</v>
      </c>
      <c r="P216" s="48">
        <v>17.091000000000001</v>
      </c>
    </row>
    <row r="217" spans="1:16" x14ac:dyDescent="0.25">
      <c r="A217" s="12" t="s">
        <v>1008</v>
      </c>
      <c r="B217" s="12" t="str">
        <f t="shared" si="45"/>
        <v>UIM</v>
      </c>
      <c r="C217" s="20"/>
      <c r="D217" s="20">
        <v>0.27900000000000003</v>
      </c>
      <c r="E217" s="20">
        <v>3.7999999999999999E-2</v>
      </c>
      <c r="F217" s="20">
        <v>3.7999999999999999E-2</v>
      </c>
      <c r="G217" s="20">
        <v>3.4000000000000002E-2</v>
      </c>
      <c r="H217" s="20">
        <v>3.5999999999999997E-2</v>
      </c>
      <c r="I217" s="20">
        <v>3.2000000000000001E-2</v>
      </c>
      <c r="J217" s="20">
        <v>0.04</v>
      </c>
      <c r="K217" s="20">
        <v>4.2000000000000003E-2</v>
      </c>
      <c r="L217" s="48">
        <v>4.2000000000000003E-2</v>
      </c>
      <c r="M217" s="48">
        <v>4.2000000000000003E-2</v>
      </c>
      <c r="N217" s="48">
        <v>4.2000000000000003E-2</v>
      </c>
      <c r="O217" s="48">
        <v>4.2000000000000003E-2</v>
      </c>
      <c r="P217" s="48">
        <v>4.2000000000000003E-2</v>
      </c>
    </row>
    <row r="218" spans="1:16" x14ac:dyDescent="0.25">
      <c r="A218" s="11" t="s">
        <v>1009</v>
      </c>
      <c r="B218" s="12"/>
      <c r="C218" s="20"/>
      <c r="D218" s="20"/>
      <c r="E218" s="20"/>
      <c r="F218" s="20"/>
      <c r="G218" s="20"/>
      <c r="H218" s="20"/>
      <c r="I218" s="20"/>
      <c r="J218" s="20"/>
      <c r="K218" s="20"/>
      <c r="L218" s="20"/>
      <c r="M218" s="20"/>
      <c r="N218" s="20"/>
      <c r="O218" s="20"/>
      <c r="P218" s="20"/>
    </row>
    <row r="219" spans="1:16" x14ac:dyDescent="0.25">
      <c r="A219" s="60" t="s">
        <v>1010</v>
      </c>
      <c r="B219" s="12"/>
      <c r="C219" s="20"/>
      <c r="D219" s="48"/>
      <c r="E219" s="48"/>
      <c r="F219" s="48"/>
      <c r="G219" s="48"/>
      <c r="H219" s="48"/>
      <c r="I219" s="48"/>
      <c r="J219" s="48"/>
      <c r="K219" s="48"/>
      <c r="L219" s="48"/>
      <c r="M219" s="48"/>
      <c r="N219" s="48"/>
      <c r="O219" s="48"/>
      <c r="P219" s="48"/>
    </row>
    <row r="220" spans="1:16" x14ac:dyDescent="0.25">
      <c r="A220" s="12" t="s">
        <v>678</v>
      </c>
      <c r="B220" s="12" t="str">
        <f t="shared" ref="B220:B225" si="46">$B$10</f>
        <v>UIM</v>
      </c>
      <c r="C220" s="20"/>
      <c r="D220" s="20">
        <v>32.878999999999998</v>
      </c>
      <c r="E220" s="20">
        <v>34.963000000000001</v>
      </c>
      <c r="F220" s="20">
        <v>38.164000000000001</v>
      </c>
      <c r="G220" s="20">
        <v>42.448</v>
      </c>
      <c r="H220" s="20">
        <v>47.386000000000003</v>
      </c>
      <c r="I220" s="20">
        <v>52.283000000000001</v>
      </c>
      <c r="J220" s="20">
        <v>52.46</v>
      </c>
      <c r="K220" s="20">
        <v>54.756</v>
      </c>
      <c r="L220" s="48">
        <v>58.030999999999999</v>
      </c>
      <c r="M220" s="48">
        <v>61.448</v>
      </c>
      <c r="N220" s="48">
        <v>65.171999999999997</v>
      </c>
      <c r="O220" s="48">
        <v>69.072999999999993</v>
      </c>
      <c r="P220" s="48">
        <v>73.194000000000003</v>
      </c>
    </row>
    <row r="221" spans="1:16" x14ac:dyDescent="0.25">
      <c r="A221" s="12" t="s">
        <v>1011</v>
      </c>
      <c r="B221" s="12" t="str">
        <f t="shared" si="46"/>
        <v>UIM</v>
      </c>
      <c r="C221" s="20"/>
      <c r="D221" s="20">
        <v>8.3160000000000007</v>
      </c>
      <c r="E221" s="20">
        <v>8.1910000000000007</v>
      </c>
      <c r="F221" s="20">
        <v>10.183999999999999</v>
      </c>
      <c r="G221" s="20">
        <v>12.015000000000001</v>
      </c>
      <c r="H221" s="20">
        <v>11.71</v>
      </c>
      <c r="I221" s="20">
        <v>14.042999999999999</v>
      </c>
      <c r="J221" s="20">
        <v>13.896000000000001</v>
      </c>
      <c r="K221" s="20">
        <v>13.583</v>
      </c>
      <c r="L221" s="48">
        <v>14.44</v>
      </c>
      <c r="M221" s="48">
        <v>15.914</v>
      </c>
      <c r="N221" s="48">
        <v>16.79</v>
      </c>
      <c r="O221" s="48">
        <v>17.603000000000002</v>
      </c>
      <c r="P221" s="48">
        <v>18.367000000000001</v>
      </c>
    </row>
    <row r="222" spans="1:16" x14ac:dyDescent="0.25">
      <c r="A222" s="12" t="s">
        <v>680</v>
      </c>
      <c r="B222" s="12" t="str">
        <f t="shared" si="46"/>
        <v>UIM</v>
      </c>
      <c r="C222" s="20"/>
      <c r="D222" s="20">
        <v>15.199</v>
      </c>
      <c r="E222" s="20">
        <v>12.103999999999999</v>
      </c>
      <c r="F222" s="20">
        <v>15.768000000000001</v>
      </c>
      <c r="G222" s="20">
        <v>19.896000000000001</v>
      </c>
      <c r="H222" s="20">
        <v>17.978000000000002</v>
      </c>
      <c r="I222" s="20">
        <v>16.908999999999999</v>
      </c>
      <c r="J222" s="20">
        <v>17.495999999999999</v>
      </c>
      <c r="K222" s="20">
        <v>17.736999999999998</v>
      </c>
      <c r="L222" s="48">
        <v>22.251000000000001</v>
      </c>
      <c r="M222" s="48">
        <v>22.193000000000001</v>
      </c>
      <c r="N222" s="48">
        <v>23.693000000000001</v>
      </c>
      <c r="O222" s="48">
        <v>24.581</v>
      </c>
      <c r="P222" s="48">
        <v>25.527999999999999</v>
      </c>
    </row>
    <row r="223" spans="1:16" x14ac:dyDescent="0.25">
      <c r="A223" s="12" t="s">
        <v>1012</v>
      </c>
      <c r="B223" s="12" t="str">
        <f t="shared" si="46"/>
        <v>UIM</v>
      </c>
      <c r="C223" s="20"/>
      <c r="D223" s="20">
        <v>21.861999999999998</v>
      </c>
      <c r="E223" s="20">
        <v>21.748999999999999</v>
      </c>
      <c r="F223" s="20">
        <v>25.562000000000001</v>
      </c>
      <c r="G223" s="20">
        <v>26.123999999999999</v>
      </c>
      <c r="H223" s="20">
        <v>28.13</v>
      </c>
      <c r="I223" s="20">
        <v>29.277999999999999</v>
      </c>
      <c r="J223" s="20">
        <v>29.55</v>
      </c>
      <c r="K223" s="20">
        <v>31.206</v>
      </c>
      <c r="L223" s="48">
        <v>33.792999999999999</v>
      </c>
      <c r="M223" s="48">
        <v>36.033999999999999</v>
      </c>
      <c r="N223" s="48">
        <v>37.880000000000003</v>
      </c>
      <c r="O223" s="48">
        <v>39.923000000000002</v>
      </c>
      <c r="P223" s="48">
        <v>41.601999999999997</v>
      </c>
    </row>
    <row r="224" spans="1:16" x14ac:dyDescent="0.25">
      <c r="A224" s="12" t="s">
        <v>682</v>
      </c>
      <c r="B224" s="12" t="str">
        <f t="shared" si="46"/>
        <v>UIM</v>
      </c>
      <c r="C224" s="20"/>
      <c r="D224" s="20">
        <v>3.8820000000000001</v>
      </c>
      <c r="E224" s="20">
        <v>3.819</v>
      </c>
      <c r="F224" s="20">
        <v>4.306</v>
      </c>
      <c r="G224" s="20">
        <v>3.823</v>
      </c>
      <c r="H224" s="20">
        <v>2.976</v>
      </c>
      <c r="I224" s="20">
        <v>4.0730000000000004</v>
      </c>
      <c r="J224" s="20">
        <v>4.3179999999999996</v>
      </c>
      <c r="K224" s="20">
        <v>4.5419999999999998</v>
      </c>
      <c r="L224" s="48">
        <v>4.6970000000000001</v>
      </c>
      <c r="M224" s="48">
        <v>4.9770000000000003</v>
      </c>
      <c r="N224" s="48">
        <v>5.6440000000000001</v>
      </c>
      <c r="O224" s="48">
        <v>6.359</v>
      </c>
      <c r="P224" s="48">
        <v>6.83</v>
      </c>
    </row>
    <row r="225" spans="1:16" x14ac:dyDescent="0.25">
      <c r="A225" s="12" t="s">
        <v>1013</v>
      </c>
      <c r="B225" s="12" t="str">
        <f t="shared" si="46"/>
        <v>UIM</v>
      </c>
      <c r="C225" s="20"/>
      <c r="D225" s="20">
        <v>3.585</v>
      </c>
      <c r="E225" s="20">
        <v>3.6949999999999998</v>
      </c>
      <c r="F225" s="20">
        <v>3.3780000000000001</v>
      </c>
      <c r="G225" s="20">
        <v>3.5670000000000002</v>
      </c>
      <c r="H225" s="20">
        <v>3.532</v>
      </c>
      <c r="I225" s="20">
        <v>3.3140000000000001</v>
      </c>
      <c r="J225" s="20">
        <v>3.3380000000000001</v>
      </c>
      <c r="K225" s="20">
        <v>3.1749999999999998</v>
      </c>
      <c r="L225" s="48">
        <v>3.1040000000000001</v>
      </c>
      <c r="M225" s="48">
        <v>3.04</v>
      </c>
      <c r="N225" s="48">
        <v>2.9870000000000001</v>
      </c>
      <c r="O225" s="48">
        <v>2.9580000000000002</v>
      </c>
      <c r="P225" s="48">
        <v>2.93</v>
      </c>
    </row>
    <row r="226" spans="1:16" x14ac:dyDescent="0.25">
      <c r="A226" s="60" t="s">
        <v>1014</v>
      </c>
      <c r="B226" s="12"/>
      <c r="C226" s="20"/>
      <c r="D226" s="78" t="str">
        <f t="shared" ref="D226:P226" si="47">IF(ROUND(D$9-SUM(D$220:D$225),3)=0,"OK","ERROR")</f>
        <v>OK</v>
      </c>
      <c r="E226" s="78" t="str">
        <f t="shared" si="47"/>
        <v>OK</v>
      </c>
      <c r="F226" s="78" t="str">
        <f t="shared" si="47"/>
        <v>OK</v>
      </c>
      <c r="G226" s="78" t="str">
        <f t="shared" si="47"/>
        <v>OK</v>
      </c>
      <c r="H226" s="78" t="str">
        <f t="shared" si="47"/>
        <v>OK</v>
      </c>
      <c r="I226" s="78" t="str">
        <f t="shared" si="47"/>
        <v>OK</v>
      </c>
      <c r="J226" s="78" t="str">
        <f t="shared" si="47"/>
        <v>OK</v>
      </c>
      <c r="K226" s="78" t="str">
        <f t="shared" si="47"/>
        <v>OK</v>
      </c>
      <c r="L226" s="78" t="str">
        <f t="shared" si="47"/>
        <v>OK</v>
      </c>
      <c r="M226" s="78" t="str">
        <f t="shared" si="47"/>
        <v>OK</v>
      </c>
      <c r="N226" s="78" t="str">
        <f t="shared" si="47"/>
        <v>OK</v>
      </c>
      <c r="O226" s="78" t="str">
        <f t="shared" si="47"/>
        <v>OK</v>
      </c>
      <c r="P226" s="78" t="str">
        <f t="shared" si="47"/>
        <v>OK</v>
      </c>
    </row>
    <row r="227" spans="1:16" x14ac:dyDescent="0.25">
      <c r="A227" s="60" t="s">
        <v>1015</v>
      </c>
      <c r="B227" s="12"/>
      <c r="C227" s="20"/>
      <c r="D227" s="20"/>
      <c r="E227" s="20"/>
      <c r="F227" s="20"/>
      <c r="G227" s="20"/>
      <c r="H227" s="20"/>
      <c r="I227" s="20"/>
      <c r="J227" s="20"/>
      <c r="K227" s="20"/>
      <c r="L227" s="20"/>
      <c r="M227" s="20"/>
      <c r="N227" s="20"/>
      <c r="O227" s="20"/>
      <c r="P227" s="20"/>
    </row>
    <row r="228" spans="1:16" x14ac:dyDescent="0.25">
      <c r="A228" s="12" t="s">
        <v>1016</v>
      </c>
      <c r="B228" s="12" t="str">
        <f>$B$10</f>
        <v>UIM</v>
      </c>
      <c r="C228" s="20"/>
      <c r="D228" s="20">
        <v>3.0139999999999998</v>
      </c>
      <c r="E228" s="20">
        <v>3.032</v>
      </c>
      <c r="F228" s="20">
        <v>3.27</v>
      </c>
      <c r="G228" s="20">
        <v>3.4609999999999999</v>
      </c>
      <c r="H228" s="20">
        <v>3.855</v>
      </c>
      <c r="I228" s="20">
        <v>4.1449999999999996</v>
      </c>
      <c r="J228" s="20">
        <v>4.2439999999999998</v>
      </c>
      <c r="K228" s="20">
        <v>4.5010000000000003</v>
      </c>
      <c r="L228" s="48">
        <v>4.97</v>
      </c>
      <c r="M228" s="48">
        <v>5.3630000000000004</v>
      </c>
      <c r="N228" s="48">
        <v>5.4489999999999998</v>
      </c>
      <c r="O228" s="48">
        <v>5.8540000000000001</v>
      </c>
      <c r="P228" s="48">
        <v>5.9859999999999998</v>
      </c>
    </row>
    <row r="229" spans="1:16" x14ac:dyDescent="0.25">
      <c r="A229" s="12" t="s">
        <v>1017</v>
      </c>
      <c r="B229" s="12" t="str">
        <f>$B$10</f>
        <v>UIM</v>
      </c>
      <c r="C229" s="20"/>
      <c r="D229" s="20">
        <v>0.84599999999999997</v>
      </c>
      <c r="E229" s="20">
        <v>1.0429999999999999</v>
      </c>
      <c r="F229" s="20">
        <v>1.6339999999999999</v>
      </c>
      <c r="G229" s="20">
        <v>3.0059999999999998</v>
      </c>
      <c r="H229" s="20">
        <v>1.5820000000000001</v>
      </c>
      <c r="I229" s="20">
        <v>1.69</v>
      </c>
      <c r="J229" s="20">
        <v>1.774</v>
      </c>
      <c r="K229" s="20">
        <v>1.706</v>
      </c>
      <c r="L229" s="48">
        <v>1.786</v>
      </c>
      <c r="M229" s="48">
        <v>1.754</v>
      </c>
      <c r="N229" s="48">
        <v>1.73</v>
      </c>
      <c r="O229" s="48">
        <v>1.6439999999999999</v>
      </c>
      <c r="P229" s="48">
        <v>1.5589999999999999</v>
      </c>
    </row>
    <row r="230" spans="1:16" x14ac:dyDescent="0.25">
      <c r="A230" s="12" t="s">
        <v>1018</v>
      </c>
      <c r="B230" s="12" t="str">
        <f>$B$9</f>
        <v>NAC</v>
      </c>
      <c r="C230" s="20"/>
      <c r="D230" s="20">
        <v>2.1680000000000001</v>
      </c>
      <c r="E230" s="20">
        <v>2.194</v>
      </c>
      <c r="F230" s="20">
        <v>2.1339999999999999</v>
      </c>
      <c r="G230" s="20">
        <v>2.427</v>
      </c>
      <c r="H230" s="20">
        <v>2.97</v>
      </c>
      <c r="I230" s="20">
        <v>3.5910000000000002</v>
      </c>
      <c r="J230" s="20">
        <v>3.75</v>
      </c>
      <c r="K230" s="20">
        <v>4.0949999999999998</v>
      </c>
      <c r="L230" s="48">
        <v>4.1550000000000002</v>
      </c>
      <c r="M230" s="48">
        <v>4.4050000000000002</v>
      </c>
      <c r="N230" s="48">
        <v>4.5439999999999996</v>
      </c>
      <c r="O230" s="48">
        <v>4.7050000000000001</v>
      </c>
      <c r="P230" s="48">
        <v>4.8769999999999998</v>
      </c>
    </row>
    <row r="231" spans="1:16" x14ac:dyDescent="0.25">
      <c r="A231" s="60" t="s">
        <v>1019</v>
      </c>
      <c r="B231" s="12"/>
      <c r="C231" s="20"/>
      <c r="D231" s="78" t="str">
        <f t="shared" ref="D231:P231" si="48">IF(ROUND(D$10-SUM(D$228:D$230),3)=0,"OK","ERROR")</f>
        <v>OK</v>
      </c>
      <c r="E231" s="78" t="str">
        <f t="shared" si="48"/>
        <v>OK</v>
      </c>
      <c r="F231" s="78" t="str">
        <f t="shared" si="48"/>
        <v>OK</v>
      </c>
      <c r="G231" s="78" t="str">
        <f t="shared" si="48"/>
        <v>OK</v>
      </c>
      <c r="H231" s="78" t="str">
        <f t="shared" si="48"/>
        <v>OK</v>
      </c>
      <c r="I231" s="78" t="str">
        <f t="shared" si="48"/>
        <v>OK</v>
      </c>
      <c r="J231" s="78" t="str">
        <f t="shared" si="48"/>
        <v>OK</v>
      </c>
      <c r="K231" s="78" t="str">
        <f t="shared" si="48"/>
        <v>OK</v>
      </c>
      <c r="L231" s="78" t="str">
        <f t="shared" si="48"/>
        <v>OK</v>
      </c>
      <c r="M231" s="78" t="str">
        <f t="shared" si="48"/>
        <v>OK</v>
      </c>
      <c r="N231" s="78" t="str">
        <f t="shared" si="48"/>
        <v>OK</v>
      </c>
      <c r="O231" s="78" t="str">
        <f t="shared" si="48"/>
        <v>OK</v>
      </c>
      <c r="P231" s="78" t="str">
        <f t="shared" si="48"/>
        <v>OK</v>
      </c>
    </row>
    <row r="232" spans="1:16" x14ac:dyDescent="0.25">
      <c r="A232" s="60" t="s">
        <v>867</v>
      </c>
      <c r="B232" s="12"/>
      <c r="C232" s="20"/>
      <c r="D232" s="48"/>
      <c r="E232" s="48"/>
      <c r="F232" s="48"/>
      <c r="G232" s="48"/>
      <c r="H232" s="48"/>
      <c r="I232" s="48"/>
      <c r="J232" s="48"/>
      <c r="K232" s="48"/>
      <c r="L232" s="48"/>
      <c r="M232" s="48"/>
      <c r="N232" s="48"/>
      <c r="O232" s="48"/>
      <c r="P232" s="48"/>
    </row>
    <row r="233" spans="1:16" x14ac:dyDescent="0.25">
      <c r="A233" s="12" t="s">
        <v>1020</v>
      </c>
      <c r="B233" s="12" t="str">
        <f>$B$10</f>
        <v>UIM</v>
      </c>
      <c r="C233" s="20"/>
      <c r="D233" s="20">
        <v>1.016</v>
      </c>
      <c r="E233" s="20">
        <v>0.94699999999999995</v>
      </c>
      <c r="F233" s="20">
        <v>0.78500000000000003</v>
      </c>
      <c r="G233" s="20">
        <v>0.82699999999999996</v>
      </c>
      <c r="H233" s="20">
        <v>2.097</v>
      </c>
      <c r="I233" s="20">
        <v>3.56</v>
      </c>
      <c r="J233" s="20">
        <v>4.0990000000000002</v>
      </c>
      <c r="K233" s="20">
        <v>3.9359999999999999</v>
      </c>
      <c r="L233" s="48">
        <v>4.0650000000000004</v>
      </c>
      <c r="M233" s="48">
        <v>4.51</v>
      </c>
      <c r="N233" s="48">
        <v>5.0789999999999997</v>
      </c>
      <c r="O233" s="48">
        <v>5.67</v>
      </c>
      <c r="P233" s="48">
        <v>6.1879999999999997</v>
      </c>
    </row>
    <row r="234" spans="1:16" x14ac:dyDescent="0.25">
      <c r="A234" s="12" t="s">
        <v>1021</v>
      </c>
      <c r="B234" s="12" t="str">
        <f>$B$10</f>
        <v>UIM</v>
      </c>
      <c r="C234" s="20"/>
      <c r="D234" s="20">
        <v>1.014</v>
      </c>
      <c r="E234" s="20">
        <v>0.95299999999999996</v>
      </c>
      <c r="F234" s="20">
        <v>0.79100000000000004</v>
      </c>
      <c r="G234" s="20">
        <v>0.95699999999999996</v>
      </c>
      <c r="H234" s="20">
        <v>0.67500000000000004</v>
      </c>
      <c r="I234" s="20">
        <v>0.22800000000000001</v>
      </c>
      <c r="J234" s="20">
        <v>0.16200000000000001</v>
      </c>
      <c r="K234" s="20">
        <v>0.114</v>
      </c>
      <c r="L234" s="48">
        <v>7.8E-2</v>
      </c>
      <c r="M234" s="48">
        <v>8.4000000000000005E-2</v>
      </c>
      <c r="N234" s="48">
        <v>8.6999999999999994E-2</v>
      </c>
      <c r="O234" s="48">
        <v>9.4E-2</v>
      </c>
      <c r="P234" s="48">
        <v>0.106</v>
      </c>
    </row>
    <row r="235" spans="1:16" x14ac:dyDescent="0.25">
      <c r="A235" s="12" t="s">
        <v>1022</v>
      </c>
      <c r="B235" s="12" t="str">
        <f>$B$10</f>
        <v>UIM</v>
      </c>
      <c r="C235" s="20"/>
      <c r="D235" s="20">
        <v>-0.44400000000000001</v>
      </c>
      <c r="E235" s="20">
        <v>-0.45</v>
      </c>
      <c r="F235" s="20">
        <v>-0.34899999999999998</v>
      </c>
      <c r="G235" s="20">
        <v>-0.35</v>
      </c>
      <c r="H235" s="20">
        <v>-0.622</v>
      </c>
      <c r="I235" s="20">
        <v>-1.109</v>
      </c>
      <c r="J235" s="20">
        <v>-1.411</v>
      </c>
      <c r="K235" s="20">
        <v>-1.585</v>
      </c>
      <c r="L235" s="48">
        <v>-1.6859999999999999</v>
      </c>
      <c r="M235" s="48">
        <v>-1.847</v>
      </c>
      <c r="N235" s="48">
        <v>-1.958</v>
      </c>
      <c r="O235" s="48">
        <v>-2.0409999999999999</v>
      </c>
      <c r="P235" s="48">
        <v>-2.1429999999999998</v>
      </c>
    </row>
    <row r="236" spans="1:16" x14ac:dyDescent="0.25">
      <c r="A236" s="60" t="s">
        <v>1023</v>
      </c>
      <c r="B236" s="12"/>
      <c r="C236" s="20"/>
      <c r="D236" s="78" t="str">
        <f t="shared" ref="D236:P236" si="49">IF(ROUND(D$12-SUM(D$166,D$233:D$235),3)=0,"OK","ERROR")</f>
        <v>OK</v>
      </c>
      <c r="E236" s="78" t="str">
        <f t="shared" si="49"/>
        <v>OK</v>
      </c>
      <c r="F236" s="78" t="str">
        <f t="shared" si="49"/>
        <v>OK</v>
      </c>
      <c r="G236" s="78" t="str">
        <f t="shared" si="49"/>
        <v>OK</v>
      </c>
      <c r="H236" s="78" t="str">
        <f t="shared" si="49"/>
        <v>OK</v>
      </c>
      <c r="I236" s="78" t="str">
        <f t="shared" si="49"/>
        <v>OK</v>
      </c>
      <c r="J236" s="78" t="str">
        <f t="shared" si="49"/>
        <v>OK</v>
      </c>
      <c r="K236" s="78" t="str">
        <f t="shared" si="49"/>
        <v>OK</v>
      </c>
      <c r="L236" s="78" t="str">
        <f t="shared" si="49"/>
        <v>OK</v>
      </c>
      <c r="M236" s="78" t="str">
        <f t="shared" si="49"/>
        <v>OK</v>
      </c>
      <c r="N236" s="78" t="str">
        <f t="shared" si="49"/>
        <v>OK</v>
      </c>
      <c r="O236" s="78" t="str">
        <f t="shared" si="49"/>
        <v>OK</v>
      </c>
      <c r="P236" s="78" t="str">
        <f t="shared" si="49"/>
        <v>OK</v>
      </c>
    </row>
    <row r="237" spans="1:16" x14ac:dyDescent="0.25">
      <c r="A237" s="60" t="s">
        <v>1024</v>
      </c>
      <c r="B237" s="12" t="str">
        <f>$B$9</f>
        <v>NAC</v>
      </c>
      <c r="C237" s="20"/>
      <c r="D237" s="20">
        <v>1.07</v>
      </c>
      <c r="E237" s="20">
        <v>0.90600000000000003</v>
      </c>
      <c r="F237" s="20">
        <v>0.90300000000000002</v>
      </c>
      <c r="G237" s="20">
        <v>1.248</v>
      </c>
      <c r="H237" s="20">
        <v>1.343</v>
      </c>
      <c r="I237" s="20">
        <v>1.43</v>
      </c>
      <c r="J237" s="20">
        <v>1.6359999999999999</v>
      </c>
      <c r="K237" s="20">
        <v>1.484</v>
      </c>
      <c r="L237" s="48">
        <v>1.3440000000000001</v>
      </c>
      <c r="M237" s="48">
        <v>1.3939999999999999</v>
      </c>
      <c r="N237" s="48">
        <v>1.4730000000000001</v>
      </c>
      <c r="O237" s="48">
        <v>1.5529999999999999</v>
      </c>
      <c r="P237" s="48">
        <v>1.643</v>
      </c>
    </row>
    <row r="238" spans="1:16" x14ac:dyDescent="0.25">
      <c r="A238" s="12" t="s">
        <v>1025</v>
      </c>
      <c r="B238" s="12" t="str">
        <f>$B$10</f>
        <v>UIM</v>
      </c>
      <c r="C238" s="20"/>
      <c r="D238" s="20">
        <v>1.4630000000000001</v>
      </c>
      <c r="E238" s="20">
        <v>1.3360000000000001</v>
      </c>
      <c r="F238" s="20">
        <v>1.0940000000000001</v>
      </c>
      <c r="G238" s="20">
        <v>1.391</v>
      </c>
      <c r="H238" s="20">
        <v>2.0880000000000001</v>
      </c>
      <c r="I238" s="20">
        <v>1.708</v>
      </c>
      <c r="J238" s="20">
        <v>1.704</v>
      </c>
      <c r="K238" s="20">
        <v>1.782</v>
      </c>
      <c r="L238" s="48">
        <v>1.6910000000000001</v>
      </c>
      <c r="M238" s="48">
        <v>1.796</v>
      </c>
      <c r="N238" s="48">
        <v>1.9670000000000001</v>
      </c>
      <c r="O238" s="48">
        <v>2.1440000000000001</v>
      </c>
      <c r="P238" s="48">
        <v>2.3290000000000002</v>
      </c>
    </row>
    <row r="239" spans="1:16" x14ac:dyDescent="0.25">
      <c r="A239" s="12" t="s">
        <v>1020</v>
      </c>
      <c r="B239" s="12" t="str">
        <f>$B$10</f>
        <v>UIM</v>
      </c>
      <c r="C239" s="20"/>
      <c r="D239" s="20">
        <v>0.42399999999999999</v>
      </c>
      <c r="E239" s="20">
        <v>0.39500000000000002</v>
      </c>
      <c r="F239" s="20">
        <v>0.44700000000000001</v>
      </c>
      <c r="G239" s="20">
        <v>0.52200000000000002</v>
      </c>
      <c r="H239" s="20">
        <v>0.60499999999999998</v>
      </c>
      <c r="I239" s="20">
        <v>0.63</v>
      </c>
      <c r="J239" s="20">
        <v>0.72499999999999998</v>
      </c>
      <c r="K239" s="20">
        <v>0.47799999999999998</v>
      </c>
      <c r="L239" s="48">
        <v>0.38900000000000001</v>
      </c>
      <c r="M239" s="48">
        <v>0.38900000000000001</v>
      </c>
      <c r="N239" s="48">
        <v>0.39300000000000002</v>
      </c>
      <c r="O239" s="48">
        <v>0.40100000000000002</v>
      </c>
      <c r="P239" s="48">
        <v>0.41199999999999998</v>
      </c>
    </row>
    <row r="240" spans="1:16" x14ac:dyDescent="0.25">
      <c r="A240" s="12" t="s">
        <v>1022</v>
      </c>
      <c r="B240" s="12" t="str">
        <f>$B$10</f>
        <v>UIM</v>
      </c>
      <c r="C240" s="20"/>
      <c r="D240" s="20">
        <v>-0.81699999999999995</v>
      </c>
      <c r="E240" s="20">
        <v>-0.82499999999999996</v>
      </c>
      <c r="F240" s="20">
        <v>-0.63800000000000001</v>
      </c>
      <c r="G240" s="20">
        <v>-0.66500000000000004</v>
      </c>
      <c r="H240" s="20">
        <v>-1.35</v>
      </c>
      <c r="I240" s="20">
        <v>-0.90800000000000003</v>
      </c>
      <c r="J240" s="20">
        <v>-0.79300000000000004</v>
      </c>
      <c r="K240" s="20">
        <v>-0.77600000000000002</v>
      </c>
      <c r="L240" s="48">
        <v>-0.73599999999999999</v>
      </c>
      <c r="M240" s="48">
        <v>-0.79100000000000004</v>
      </c>
      <c r="N240" s="48">
        <v>-0.88700000000000001</v>
      </c>
      <c r="O240" s="48">
        <v>-0.99199999999999999</v>
      </c>
      <c r="P240" s="48">
        <v>-1.0980000000000001</v>
      </c>
    </row>
    <row r="241" spans="1:16" x14ac:dyDescent="0.25">
      <c r="A241" s="60" t="s">
        <v>1026</v>
      </c>
      <c r="B241" s="12"/>
      <c r="C241" s="20"/>
      <c r="D241" s="78" t="str">
        <f t="shared" ref="D241:P241" si="50">IF(ROUND(D$237-SUM(D$238:D$240),3)=0,"OK","ERROR")</f>
        <v>OK</v>
      </c>
      <c r="E241" s="78" t="str">
        <f t="shared" si="50"/>
        <v>OK</v>
      </c>
      <c r="F241" s="78" t="str">
        <f t="shared" si="50"/>
        <v>OK</v>
      </c>
      <c r="G241" s="78" t="str">
        <f t="shared" si="50"/>
        <v>OK</v>
      </c>
      <c r="H241" s="78" t="str">
        <f t="shared" si="50"/>
        <v>OK</v>
      </c>
      <c r="I241" s="78" t="str">
        <f t="shared" si="50"/>
        <v>OK</v>
      </c>
      <c r="J241" s="78" t="str">
        <f t="shared" si="50"/>
        <v>OK</v>
      </c>
      <c r="K241" s="78" t="str">
        <f t="shared" si="50"/>
        <v>OK</v>
      </c>
      <c r="L241" s="78" t="str">
        <f t="shared" si="50"/>
        <v>OK</v>
      </c>
      <c r="M241" s="78" t="str">
        <f t="shared" si="50"/>
        <v>OK</v>
      </c>
      <c r="N241" s="78" t="str">
        <f t="shared" si="50"/>
        <v>OK</v>
      </c>
      <c r="O241" s="78" t="str">
        <f t="shared" si="50"/>
        <v>OK</v>
      </c>
      <c r="P241" s="78" t="str">
        <f t="shared" si="50"/>
        <v>OK</v>
      </c>
    </row>
    <row r="242" spans="1:16" x14ac:dyDescent="0.25">
      <c r="A242" s="60" t="s">
        <v>870</v>
      </c>
      <c r="B242" s="12"/>
      <c r="C242" s="20"/>
      <c r="D242" s="48"/>
      <c r="E242" s="48"/>
      <c r="F242" s="48"/>
      <c r="G242" s="48"/>
      <c r="H242" s="48"/>
      <c r="I242" s="48"/>
      <c r="J242" s="48"/>
      <c r="K242" s="48"/>
      <c r="L242" s="48"/>
      <c r="M242" s="48"/>
      <c r="N242" s="48"/>
      <c r="O242" s="48"/>
      <c r="P242" s="48"/>
    </row>
    <row r="243" spans="1:16" x14ac:dyDescent="0.25">
      <c r="A243" s="12" t="s">
        <v>1027</v>
      </c>
      <c r="B243" s="12" t="str">
        <f t="shared" ref="B243:B252" si="51">$B$10</f>
        <v>UIM</v>
      </c>
      <c r="C243" s="20"/>
      <c r="D243" s="20">
        <v>14.561999999999999</v>
      </c>
      <c r="E243" s="20">
        <v>15.521000000000001</v>
      </c>
      <c r="F243" s="20">
        <v>16.568999999999999</v>
      </c>
      <c r="G243" s="20">
        <v>17.763999999999999</v>
      </c>
      <c r="H243" s="20">
        <v>19.516999999999999</v>
      </c>
      <c r="I243" s="20">
        <v>21.574000000000002</v>
      </c>
      <c r="J243" s="20">
        <v>23.190999999999999</v>
      </c>
      <c r="K243" s="20">
        <v>24.721</v>
      </c>
      <c r="L243" s="48">
        <v>26.48</v>
      </c>
      <c r="M243" s="48">
        <v>28.321000000000002</v>
      </c>
      <c r="N243" s="48">
        <v>29.706</v>
      </c>
      <c r="O243" s="48">
        <v>31.236999999999998</v>
      </c>
      <c r="P243" s="48">
        <v>32.887999999999998</v>
      </c>
    </row>
    <row r="244" spans="1:16" x14ac:dyDescent="0.25">
      <c r="A244" s="12" t="s">
        <v>687</v>
      </c>
      <c r="B244" s="12" t="str">
        <f t="shared" si="51"/>
        <v>UIM</v>
      </c>
      <c r="C244" s="20"/>
      <c r="D244" s="20">
        <v>1.8540000000000001</v>
      </c>
      <c r="E244" s="20">
        <v>2.2850000000000001</v>
      </c>
      <c r="F244" s="20">
        <v>3.2240000000000002</v>
      </c>
      <c r="G244" s="20">
        <v>3.33</v>
      </c>
      <c r="H244" s="20">
        <v>3.4729999999999999</v>
      </c>
      <c r="I244" s="20">
        <v>4.0620000000000003</v>
      </c>
      <c r="J244" s="20">
        <v>4.641</v>
      </c>
      <c r="K244" s="20">
        <v>4.9260000000000002</v>
      </c>
      <c r="L244" s="48">
        <v>5.0309999999999997</v>
      </c>
      <c r="M244" s="48">
        <v>5.0110000000000001</v>
      </c>
      <c r="N244" s="48">
        <v>4.9039999999999999</v>
      </c>
      <c r="O244" s="48">
        <v>5.0010000000000003</v>
      </c>
      <c r="P244" s="48">
        <v>5.109</v>
      </c>
    </row>
    <row r="245" spans="1:16" x14ac:dyDescent="0.25">
      <c r="A245" s="12" t="s">
        <v>688</v>
      </c>
      <c r="B245" s="12" t="str">
        <f t="shared" si="51"/>
        <v>UIM</v>
      </c>
      <c r="C245" s="20"/>
      <c r="D245" s="20">
        <v>1.556</v>
      </c>
      <c r="E245" s="20">
        <v>1.65</v>
      </c>
      <c r="F245" s="20">
        <v>1.8260000000000001</v>
      </c>
      <c r="G245" s="20">
        <v>2.0470000000000002</v>
      </c>
      <c r="H245" s="20">
        <v>2.3109999999999999</v>
      </c>
      <c r="I245" s="20">
        <v>2.5299999999999998</v>
      </c>
      <c r="J245" s="20">
        <v>2.6680000000000001</v>
      </c>
      <c r="K245" s="20">
        <v>2.8260000000000001</v>
      </c>
      <c r="L245" s="48">
        <v>3.0059999999999998</v>
      </c>
      <c r="M245" s="48">
        <v>3.19</v>
      </c>
      <c r="N245" s="48">
        <v>3.286</v>
      </c>
      <c r="O245" s="48">
        <v>3.4340000000000002</v>
      </c>
      <c r="P245" s="48">
        <v>3.581</v>
      </c>
    </row>
    <row r="246" spans="1:16" x14ac:dyDescent="0.25">
      <c r="A246" s="12" t="s">
        <v>689</v>
      </c>
      <c r="B246" s="12" t="str">
        <f t="shared" si="51"/>
        <v>UIM</v>
      </c>
      <c r="C246" s="20"/>
      <c r="D246" s="20">
        <v>1.115</v>
      </c>
      <c r="E246" s="20">
        <v>1.2310000000000001</v>
      </c>
      <c r="F246" s="20">
        <v>1.4550000000000001</v>
      </c>
      <c r="G246" s="20">
        <v>1.704</v>
      </c>
      <c r="H246" s="20">
        <v>1.917</v>
      </c>
      <c r="I246" s="20">
        <v>2.097</v>
      </c>
      <c r="J246" s="20">
        <v>2.2549999999999999</v>
      </c>
      <c r="K246" s="20">
        <v>2.3860000000000001</v>
      </c>
      <c r="L246" s="48">
        <v>2.4380000000000002</v>
      </c>
      <c r="M246" s="48">
        <v>2.3919999999999999</v>
      </c>
      <c r="N246" s="48">
        <v>2.234</v>
      </c>
      <c r="O246" s="48">
        <v>2.2400000000000002</v>
      </c>
      <c r="P246" s="48">
        <v>2.2839999999999998</v>
      </c>
    </row>
    <row r="247" spans="1:16" x14ac:dyDescent="0.25">
      <c r="A247" s="12" t="s">
        <v>690</v>
      </c>
      <c r="B247" s="12" t="str">
        <f t="shared" si="51"/>
        <v>UIM</v>
      </c>
      <c r="C247" s="20"/>
      <c r="D247" s="20">
        <v>2.766</v>
      </c>
      <c r="E247" s="20">
        <v>2.83</v>
      </c>
      <c r="F247" s="20">
        <v>2.6880000000000002</v>
      </c>
      <c r="G247" s="20">
        <v>2.536</v>
      </c>
      <c r="H247" s="20">
        <v>2.6269999999999998</v>
      </c>
      <c r="I247" s="20">
        <v>2.7450000000000001</v>
      </c>
      <c r="J247" s="20">
        <v>2.9950000000000001</v>
      </c>
      <c r="K247" s="20">
        <v>3.0579999999999998</v>
      </c>
      <c r="L247" s="48">
        <v>3.4169999999999998</v>
      </c>
      <c r="M247" s="48">
        <v>3.2130000000000001</v>
      </c>
      <c r="N247" s="48">
        <v>3.2549999999999999</v>
      </c>
      <c r="O247" s="48">
        <v>3.194</v>
      </c>
      <c r="P247" s="48">
        <v>3.226</v>
      </c>
    </row>
    <row r="248" spans="1:16" x14ac:dyDescent="0.25">
      <c r="A248" s="12" t="s">
        <v>691</v>
      </c>
      <c r="B248" s="12" t="str">
        <f t="shared" si="51"/>
        <v>UIM</v>
      </c>
      <c r="C248" s="20"/>
      <c r="D248" s="20">
        <v>1.64</v>
      </c>
      <c r="E248" s="20">
        <v>1.923</v>
      </c>
      <c r="F248" s="20">
        <v>2.302</v>
      </c>
      <c r="G248" s="20">
        <v>2.3860000000000001</v>
      </c>
      <c r="H248" s="20">
        <v>2.3490000000000002</v>
      </c>
      <c r="I248" s="20">
        <v>2.411</v>
      </c>
      <c r="J248" s="20">
        <v>2.2320000000000002</v>
      </c>
      <c r="K248" s="20">
        <v>2.306</v>
      </c>
      <c r="L248" s="48">
        <v>2.2330000000000001</v>
      </c>
      <c r="M248" s="48">
        <v>2.33</v>
      </c>
      <c r="N248" s="48">
        <v>2.2210000000000001</v>
      </c>
      <c r="O248" s="48">
        <v>2.2469999999999999</v>
      </c>
      <c r="P248" s="48">
        <v>2.2829999999999999</v>
      </c>
    </row>
    <row r="249" spans="1:16" x14ac:dyDescent="0.25">
      <c r="A249" s="12" t="s">
        <v>692</v>
      </c>
      <c r="B249" s="12" t="str">
        <f t="shared" si="51"/>
        <v>UIM</v>
      </c>
      <c r="C249" s="20"/>
      <c r="D249" s="20">
        <v>2.351</v>
      </c>
      <c r="E249" s="20">
        <v>14.971</v>
      </c>
      <c r="F249" s="20">
        <v>5.0529999999999999</v>
      </c>
      <c r="G249" s="20">
        <v>11.973000000000001</v>
      </c>
      <c r="H249" s="20">
        <v>4.1159999999999997</v>
      </c>
      <c r="I249" s="20">
        <v>3.7759999999999998</v>
      </c>
      <c r="J249" s="20">
        <v>4.1500000000000004</v>
      </c>
      <c r="K249" s="20">
        <v>4.3860000000000001</v>
      </c>
      <c r="L249" s="48">
        <v>4.5549999999999997</v>
      </c>
      <c r="M249" s="48">
        <v>4.5350000000000001</v>
      </c>
      <c r="N249" s="48">
        <v>4.617</v>
      </c>
      <c r="O249" s="48">
        <v>4.7519999999999998</v>
      </c>
      <c r="P249" s="48">
        <v>4.9109999999999996</v>
      </c>
    </row>
    <row r="250" spans="1:16" x14ac:dyDescent="0.25">
      <c r="A250" s="12" t="s">
        <v>693</v>
      </c>
      <c r="B250" s="12" t="str">
        <f t="shared" si="51"/>
        <v>UIM</v>
      </c>
      <c r="C250" s="20"/>
      <c r="D250" s="20">
        <v>0.58299999999999996</v>
      </c>
      <c r="E250" s="20">
        <v>0.56699999999999995</v>
      </c>
      <c r="F250" s="20">
        <v>0.59</v>
      </c>
      <c r="G250" s="20">
        <v>0.55600000000000005</v>
      </c>
      <c r="H250" s="20">
        <v>0.52500000000000002</v>
      </c>
      <c r="I250" s="20">
        <v>0.52600000000000002</v>
      </c>
      <c r="J250" s="20">
        <v>0.57399999999999995</v>
      </c>
      <c r="K250" s="20">
        <v>0.64100000000000001</v>
      </c>
      <c r="L250" s="48">
        <v>0.70399999999999996</v>
      </c>
      <c r="M250" s="48">
        <v>0.71499999999999997</v>
      </c>
      <c r="N250" s="48">
        <v>0.69899999999999995</v>
      </c>
      <c r="O250" s="48">
        <v>0.68899999999999995</v>
      </c>
      <c r="P250" s="48">
        <v>0.68899999999999995</v>
      </c>
    </row>
    <row r="251" spans="1:16" x14ac:dyDescent="0.25">
      <c r="A251" s="12" t="s">
        <v>1028</v>
      </c>
      <c r="B251" s="12" t="str">
        <f t="shared" si="51"/>
        <v>UIM</v>
      </c>
      <c r="C251" s="20"/>
      <c r="D251" s="20">
        <v>0.95099999999999996</v>
      </c>
      <c r="E251" s="20">
        <v>0.89300000000000002</v>
      </c>
      <c r="F251" s="20">
        <v>0.91600000000000004</v>
      </c>
      <c r="G251" s="20">
        <v>0.96399999999999997</v>
      </c>
      <c r="H251" s="20">
        <v>0.997</v>
      </c>
      <c r="I251" s="20">
        <v>1.014</v>
      </c>
      <c r="J251" s="20">
        <v>1.02</v>
      </c>
      <c r="K251" s="20">
        <v>0.47</v>
      </c>
      <c r="L251" s="48">
        <v>0.49399999999999999</v>
      </c>
      <c r="M251" s="48">
        <v>0.51600000000000001</v>
      </c>
      <c r="N251" s="48">
        <v>0.54100000000000004</v>
      </c>
      <c r="O251" s="48">
        <v>0.56499999999999995</v>
      </c>
      <c r="P251" s="48">
        <v>0.58899999999999997</v>
      </c>
    </row>
    <row r="252" spans="1:16" x14ac:dyDescent="0.25">
      <c r="A252" s="12" t="s">
        <v>1029</v>
      </c>
      <c r="B252" s="12" t="str">
        <f t="shared" si="51"/>
        <v>UIM</v>
      </c>
      <c r="C252" s="20"/>
      <c r="D252" s="20">
        <v>0.70799999999999996</v>
      </c>
      <c r="E252" s="20">
        <v>0.73599999999999999</v>
      </c>
      <c r="F252" s="20">
        <v>0.80400000000000005</v>
      </c>
      <c r="G252" s="20">
        <v>0.82699999999999996</v>
      </c>
      <c r="H252" s="20">
        <v>0.97099999999999997</v>
      </c>
      <c r="I252" s="20">
        <v>1.202</v>
      </c>
      <c r="J252" s="20">
        <v>0.95299999999999996</v>
      </c>
      <c r="K252" s="20">
        <v>0.95599999999999996</v>
      </c>
      <c r="L252" s="48">
        <v>1.151</v>
      </c>
      <c r="M252" s="48">
        <v>0.98199999999999998</v>
      </c>
      <c r="N252" s="48">
        <v>0.98199999999999998</v>
      </c>
      <c r="O252" s="48">
        <v>0.98199999999999998</v>
      </c>
      <c r="P252" s="48">
        <v>0.98199999999999998</v>
      </c>
    </row>
    <row r="253" spans="1:16" x14ac:dyDescent="0.25">
      <c r="A253" s="60" t="s">
        <v>1030</v>
      </c>
      <c r="B253" s="12"/>
      <c r="C253" s="20"/>
      <c r="D253" s="78" t="str">
        <f t="shared" ref="D253:P253" si="52">IF(ROUND(D$15-SUM(D$243:D$252),3)=0,"OK","ERROR")</f>
        <v>OK</v>
      </c>
      <c r="E253" s="78" t="str">
        <f t="shared" si="52"/>
        <v>OK</v>
      </c>
      <c r="F253" s="78" t="str">
        <f t="shared" si="52"/>
        <v>OK</v>
      </c>
      <c r="G253" s="78" t="str">
        <f t="shared" si="52"/>
        <v>OK</v>
      </c>
      <c r="H253" s="78" t="str">
        <f t="shared" si="52"/>
        <v>OK</v>
      </c>
      <c r="I253" s="78" t="str">
        <f t="shared" si="52"/>
        <v>OK</v>
      </c>
      <c r="J253" s="78" t="str">
        <f t="shared" si="52"/>
        <v>OK</v>
      </c>
      <c r="K253" s="78" t="str">
        <f t="shared" si="52"/>
        <v>OK</v>
      </c>
      <c r="L253" s="78" t="str">
        <f t="shared" si="52"/>
        <v>OK</v>
      </c>
      <c r="M253" s="78" t="str">
        <f t="shared" si="52"/>
        <v>OK</v>
      </c>
      <c r="N253" s="78" t="str">
        <f t="shared" si="52"/>
        <v>OK</v>
      </c>
      <c r="O253" s="78" t="str">
        <f t="shared" si="52"/>
        <v>OK</v>
      </c>
      <c r="P253" s="78" t="str">
        <f t="shared" si="52"/>
        <v>OK</v>
      </c>
    </row>
    <row r="254" spans="1:16" x14ac:dyDescent="0.25">
      <c r="A254" s="60" t="s">
        <v>871</v>
      </c>
      <c r="B254" s="12"/>
      <c r="C254" s="20"/>
      <c r="D254" s="48"/>
      <c r="E254" s="48"/>
      <c r="F254" s="48"/>
      <c r="G254" s="48"/>
      <c r="H254" s="48"/>
      <c r="I254" s="48"/>
      <c r="J254" s="48"/>
      <c r="K254" s="48"/>
      <c r="L254" s="48"/>
      <c r="M254" s="48"/>
      <c r="N254" s="48"/>
      <c r="O254" s="48"/>
      <c r="P254" s="48"/>
    </row>
    <row r="255" spans="1:16" x14ac:dyDescent="0.25">
      <c r="A255" s="12" t="s">
        <v>1020</v>
      </c>
      <c r="B255" s="12" t="str">
        <f>$B$10</f>
        <v>UIM</v>
      </c>
      <c r="C255" s="20"/>
      <c r="D255" s="20">
        <v>15.085000000000001</v>
      </c>
      <c r="E255" s="20">
        <v>16.317</v>
      </c>
      <c r="F255" s="20">
        <v>17.928999999999998</v>
      </c>
      <c r="G255" s="20">
        <v>19.896999999999998</v>
      </c>
      <c r="H255" s="20">
        <v>22.326000000000001</v>
      </c>
      <c r="I255" s="20">
        <v>24.337</v>
      </c>
      <c r="J255" s="20">
        <v>23.951000000000001</v>
      </c>
      <c r="K255" s="20">
        <v>25.045000000000002</v>
      </c>
      <c r="L255" s="48">
        <v>25.934999999999999</v>
      </c>
      <c r="M255" s="48">
        <v>25.988</v>
      </c>
      <c r="N255" s="48">
        <v>25.992999999999999</v>
      </c>
      <c r="O255" s="48">
        <v>26.021999999999998</v>
      </c>
      <c r="P255" s="48">
        <v>26.100999999999999</v>
      </c>
    </row>
    <row r="256" spans="1:16" x14ac:dyDescent="0.25">
      <c r="A256" s="12" t="s">
        <v>1021</v>
      </c>
      <c r="B256" s="12" t="str">
        <f>$B$10</f>
        <v>UIM</v>
      </c>
      <c r="C256" s="20"/>
      <c r="D256" s="20">
        <v>3.0960000000000001</v>
      </c>
      <c r="E256" s="20">
        <v>3.0230000000000001</v>
      </c>
      <c r="F256" s="20">
        <v>2.5819999999999999</v>
      </c>
      <c r="G256" s="20">
        <v>2.8610000000000002</v>
      </c>
      <c r="H256" s="20">
        <v>3.33</v>
      </c>
      <c r="I256" s="20">
        <v>3.5459999999999998</v>
      </c>
      <c r="J256" s="20">
        <v>3.6970000000000001</v>
      </c>
      <c r="K256" s="20">
        <v>3.78</v>
      </c>
      <c r="L256" s="48">
        <v>3.78</v>
      </c>
      <c r="M256" s="48">
        <v>3.919</v>
      </c>
      <c r="N256" s="48">
        <v>3.9769999999999999</v>
      </c>
      <c r="O256" s="48">
        <v>4.069</v>
      </c>
      <c r="P256" s="48">
        <v>4.1559999999999997</v>
      </c>
    </row>
    <row r="257" spans="1:16" x14ac:dyDescent="0.25">
      <c r="A257" s="12" t="s">
        <v>1022</v>
      </c>
      <c r="B257" s="12" t="str">
        <f>$B$10</f>
        <v>UIM</v>
      </c>
      <c r="C257" s="20"/>
      <c r="D257" s="20">
        <v>-4.2000000000000003E-2</v>
      </c>
      <c r="E257" s="20">
        <v>-4.4999999999999998E-2</v>
      </c>
      <c r="F257" s="20">
        <v>-5.1999999999999998E-2</v>
      </c>
      <c r="G257" s="20">
        <v>-5.5E-2</v>
      </c>
      <c r="H257" s="20">
        <v>-5.2999999999999999E-2</v>
      </c>
      <c r="I257" s="20">
        <v>-0.06</v>
      </c>
      <c r="J257" s="20">
        <v>-6.2E-2</v>
      </c>
      <c r="K257" s="20">
        <v>-7.3999999999999996E-2</v>
      </c>
      <c r="L257" s="48">
        <v>-5.7000000000000002E-2</v>
      </c>
      <c r="M257" s="48">
        <v>-5.8000000000000003E-2</v>
      </c>
      <c r="N257" s="48">
        <v>-0.06</v>
      </c>
      <c r="O257" s="48">
        <v>-0.06</v>
      </c>
      <c r="P257" s="48">
        <v>-6.0999999999999999E-2</v>
      </c>
    </row>
    <row r="258" spans="1:16" x14ac:dyDescent="0.25">
      <c r="A258" s="60" t="s">
        <v>1031</v>
      </c>
      <c r="B258" s="12"/>
      <c r="C258" s="20"/>
      <c r="D258" s="78" t="str">
        <f t="shared" ref="D258:P258" si="53">IF(ROUND(D$16-SUM(D$171,D$255:D$257),3)=0,"OK","ERROR")</f>
        <v>OK</v>
      </c>
      <c r="E258" s="78" t="str">
        <f t="shared" si="53"/>
        <v>OK</v>
      </c>
      <c r="F258" s="78" t="str">
        <f t="shared" si="53"/>
        <v>OK</v>
      </c>
      <c r="G258" s="78" t="str">
        <f t="shared" si="53"/>
        <v>OK</v>
      </c>
      <c r="H258" s="78" t="str">
        <f t="shared" si="53"/>
        <v>OK</v>
      </c>
      <c r="I258" s="78" t="str">
        <f t="shared" si="53"/>
        <v>OK</v>
      </c>
      <c r="J258" s="78" t="str">
        <f t="shared" si="53"/>
        <v>OK</v>
      </c>
      <c r="K258" s="78" t="str">
        <f t="shared" si="53"/>
        <v>OK</v>
      </c>
      <c r="L258" s="78" t="str">
        <f t="shared" si="53"/>
        <v>OK</v>
      </c>
      <c r="M258" s="78" t="str">
        <f t="shared" si="53"/>
        <v>OK</v>
      </c>
      <c r="N258" s="78" t="str">
        <f t="shared" si="53"/>
        <v>OK</v>
      </c>
      <c r="O258" s="78" t="str">
        <f t="shared" si="53"/>
        <v>OK</v>
      </c>
      <c r="P258" s="78" t="str">
        <f t="shared" si="53"/>
        <v>OK</v>
      </c>
    </row>
    <row r="259" spans="1:16" x14ac:dyDescent="0.25">
      <c r="A259" s="60" t="s">
        <v>872</v>
      </c>
      <c r="B259" s="12"/>
      <c r="C259" s="20"/>
      <c r="D259" s="48"/>
      <c r="E259" s="48"/>
      <c r="F259" s="48"/>
      <c r="G259" s="48"/>
      <c r="H259" s="48"/>
      <c r="I259" s="48"/>
      <c r="J259" s="48"/>
      <c r="K259" s="48"/>
      <c r="L259" s="48"/>
      <c r="M259" s="48"/>
      <c r="N259" s="48"/>
      <c r="O259" s="48"/>
      <c r="P259" s="48"/>
    </row>
    <row r="260" spans="1:16" x14ac:dyDescent="0.25">
      <c r="A260" s="12" t="s">
        <v>1025</v>
      </c>
      <c r="B260" s="12" t="str">
        <f>$B$10</f>
        <v>UIM</v>
      </c>
      <c r="C260" s="20"/>
      <c r="D260" s="20">
        <v>1.5009999999999999</v>
      </c>
      <c r="E260" s="20">
        <v>1.675</v>
      </c>
      <c r="F260" s="20">
        <v>1.8820000000000001</v>
      </c>
      <c r="G260" s="20">
        <v>2.0019999999999998</v>
      </c>
      <c r="H260" s="20">
        <v>2.4</v>
      </c>
      <c r="I260" s="20">
        <v>2.8080000000000003</v>
      </c>
      <c r="J260" s="20">
        <f>2.715+0.001</f>
        <v>2.7159999999999997</v>
      </c>
      <c r="K260" s="20">
        <v>2.7269999999999999</v>
      </c>
      <c r="L260" s="48">
        <v>2.706</v>
      </c>
      <c r="M260" s="48">
        <v>2.8039999999999998</v>
      </c>
      <c r="N260" s="48">
        <v>2.879</v>
      </c>
      <c r="O260" s="48">
        <v>2.867</v>
      </c>
      <c r="P260" s="48">
        <v>2.7930000000000001</v>
      </c>
    </row>
    <row r="261" spans="1:16" x14ac:dyDescent="0.25">
      <c r="A261" s="12" t="s">
        <v>1020</v>
      </c>
      <c r="B261" s="12" t="str">
        <f>$B$10</f>
        <v>UIM</v>
      </c>
      <c r="C261" s="20"/>
      <c r="D261" s="20">
        <v>1.587</v>
      </c>
      <c r="E261" s="20">
        <v>1.776</v>
      </c>
      <c r="F261" s="20">
        <v>1.954</v>
      </c>
      <c r="G261" s="20">
        <v>2.2509999999999999</v>
      </c>
      <c r="H261" s="20">
        <v>2.5110000000000001</v>
      </c>
      <c r="I261" s="20">
        <v>2.9019999999999997</v>
      </c>
      <c r="J261" s="20">
        <f>2.988-0.001</f>
        <v>2.9870000000000001</v>
      </c>
      <c r="K261" s="20">
        <v>3.306</v>
      </c>
      <c r="L261" s="48">
        <v>3.4129999999999998</v>
      </c>
      <c r="M261" s="48">
        <v>3.5979999999999999</v>
      </c>
      <c r="N261" s="48">
        <v>3.661</v>
      </c>
      <c r="O261" s="48">
        <v>3.7090000000000001</v>
      </c>
      <c r="P261" s="48">
        <v>3.7679999999999998</v>
      </c>
    </row>
    <row r="262" spans="1:16" x14ac:dyDescent="0.25">
      <c r="A262" s="12" t="s">
        <v>1021</v>
      </c>
      <c r="B262" s="12" t="str">
        <f>$B$10</f>
        <v>UIM</v>
      </c>
      <c r="C262" s="20"/>
      <c r="D262" s="20">
        <v>1.466</v>
      </c>
      <c r="E262" s="20">
        <v>1.843</v>
      </c>
      <c r="F262" s="20">
        <v>1.73</v>
      </c>
      <c r="G262" s="20">
        <v>1.899</v>
      </c>
      <c r="H262" s="20">
        <v>1.69</v>
      </c>
      <c r="I262" s="20">
        <v>1.911</v>
      </c>
      <c r="J262" s="20">
        <v>2.5910000000000002</v>
      </c>
      <c r="K262" s="20">
        <v>2.6480000000000001</v>
      </c>
      <c r="L262" s="48">
        <v>2.843</v>
      </c>
      <c r="M262" s="48">
        <v>2.8730000000000002</v>
      </c>
      <c r="N262" s="48">
        <v>2.9180000000000001</v>
      </c>
      <c r="O262" s="48">
        <v>3.258</v>
      </c>
      <c r="P262" s="48">
        <v>3.387</v>
      </c>
    </row>
    <row r="263" spans="1:16" x14ac:dyDescent="0.25">
      <c r="A263" s="60" t="s">
        <v>1032</v>
      </c>
      <c r="B263" s="12"/>
      <c r="C263" s="20"/>
      <c r="D263" s="78" t="str">
        <f t="shared" ref="D263:P263" si="54">IF(ROUND(D$17-SUM(D$260:D$262),3)=0,"OK","ERROR")</f>
        <v>OK</v>
      </c>
      <c r="E263" s="78" t="str">
        <f t="shared" si="54"/>
        <v>OK</v>
      </c>
      <c r="F263" s="78" t="str">
        <f t="shared" si="54"/>
        <v>OK</v>
      </c>
      <c r="G263" s="78" t="str">
        <f t="shared" si="54"/>
        <v>OK</v>
      </c>
      <c r="H263" s="78" t="str">
        <f t="shared" si="54"/>
        <v>OK</v>
      </c>
      <c r="I263" s="78" t="str">
        <f t="shared" si="54"/>
        <v>OK</v>
      </c>
      <c r="J263" s="78" t="str">
        <f t="shared" si="54"/>
        <v>OK</v>
      </c>
      <c r="K263" s="78" t="str">
        <f t="shared" si="54"/>
        <v>OK</v>
      </c>
      <c r="L263" s="78" t="str">
        <f t="shared" si="54"/>
        <v>OK</v>
      </c>
      <c r="M263" s="78" t="str">
        <f t="shared" si="54"/>
        <v>OK</v>
      </c>
      <c r="N263" s="78" t="str">
        <f t="shared" si="54"/>
        <v>OK</v>
      </c>
      <c r="O263" s="78" t="str">
        <f t="shared" si="54"/>
        <v>OK</v>
      </c>
      <c r="P263" s="78" t="str">
        <f t="shared" si="54"/>
        <v>OK</v>
      </c>
    </row>
    <row r="264" spans="1:16" x14ac:dyDescent="0.25">
      <c r="A264" s="60" t="s">
        <v>1033</v>
      </c>
      <c r="B264" s="12"/>
      <c r="C264" s="20"/>
      <c r="D264" s="80"/>
      <c r="E264" s="80"/>
      <c r="F264" s="80"/>
      <c r="G264" s="80"/>
      <c r="H264" s="80"/>
      <c r="I264" s="80"/>
      <c r="J264" s="80"/>
      <c r="K264" s="80"/>
      <c r="L264" s="80"/>
      <c r="M264" s="80"/>
      <c r="N264" s="80"/>
      <c r="O264" s="80"/>
      <c r="P264" s="80"/>
    </row>
    <row r="265" spans="1:16" x14ac:dyDescent="0.25">
      <c r="A265" s="12" t="s">
        <v>1025</v>
      </c>
      <c r="B265" s="12" t="str">
        <f>$B$10</f>
        <v>UIM</v>
      </c>
      <c r="C265" s="20"/>
      <c r="D265" s="20">
        <v>0.29399999999999998</v>
      </c>
      <c r="E265" s="20">
        <v>0.57399999999999995</v>
      </c>
      <c r="F265" s="20">
        <v>0.37</v>
      </c>
      <c r="G265" s="20">
        <v>0.316</v>
      </c>
      <c r="H265" s="20">
        <v>0.29399999999999998</v>
      </c>
      <c r="I265" s="20">
        <v>0.33</v>
      </c>
      <c r="J265" s="20">
        <v>0.34799999999999998</v>
      </c>
      <c r="K265" s="20">
        <v>0.34699999999999998</v>
      </c>
      <c r="L265" s="48">
        <v>0.34899999999999998</v>
      </c>
      <c r="M265" s="48">
        <v>0.371</v>
      </c>
      <c r="N265" s="48">
        <v>0.39200000000000002</v>
      </c>
      <c r="O265" s="48">
        <v>0.375</v>
      </c>
      <c r="P265" s="48">
        <v>0.37</v>
      </c>
    </row>
    <row r="266" spans="1:16" x14ac:dyDescent="0.25">
      <c r="A266" s="12" t="s">
        <v>1020</v>
      </c>
      <c r="B266" s="12" t="str">
        <f>$B$9</f>
        <v>NAC</v>
      </c>
      <c r="C266" s="20"/>
      <c r="D266" s="20">
        <v>0.31900000000000001</v>
      </c>
      <c r="E266" s="20">
        <v>0.34</v>
      </c>
      <c r="F266" s="20">
        <v>0.34399999999999997</v>
      </c>
      <c r="G266" s="20">
        <v>0.39900000000000002</v>
      </c>
      <c r="H266" s="20">
        <v>0.40100000000000002</v>
      </c>
      <c r="I266" s="20">
        <v>0.55400000000000005</v>
      </c>
      <c r="J266" s="20">
        <v>0.34499999999999997</v>
      </c>
      <c r="K266" s="20">
        <v>0.30299999999999999</v>
      </c>
      <c r="L266" s="48">
        <v>0.34200000000000003</v>
      </c>
      <c r="M266" s="48">
        <v>0.35099999999999998</v>
      </c>
      <c r="N266" s="48">
        <v>0.35299999999999998</v>
      </c>
      <c r="O266" s="48">
        <v>0.36399999999999999</v>
      </c>
      <c r="P266" s="48">
        <v>0.371</v>
      </c>
    </row>
    <row r="267" spans="1:16" x14ac:dyDescent="0.25">
      <c r="A267" s="12" t="s">
        <v>1021</v>
      </c>
      <c r="B267" s="12" t="str">
        <f>$B$9</f>
        <v>NAC</v>
      </c>
      <c r="C267" s="20"/>
      <c r="D267" s="20">
        <v>0.32100000000000001</v>
      </c>
      <c r="E267" s="20">
        <v>1.4610000000000001</v>
      </c>
      <c r="F267" s="20">
        <v>0.48399999999999999</v>
      </c>
      <c r="G267" s="20">
        <v>-0.93900000000000006</v>
      </c>
      <c r="H267" s="20">
        <v>0.36699999999999999</v>
      </c>
      <c r="I267" s="20">
        <v>0.157</v>
      </c>
      <c r="J267" s="20">
        <v>0.20200000000000001</v>
      </c>
      <c r="K267" s="20">
        <v>0.21</v>
      </c>
      <c r="L267" s="48">
        <v>0.18</v>
      </c>
      <c r="M267" s="48">
        <v>0.17</v>
      </c>
      <c r="N267" s="48">
        <v>0.16900000000000001</v>
      </c>
      <c r="O267" s="48">
        <v>0.13900000000000001</v>
      </c>
      <c r="P267" s="48">
        <v>0.11600000000000001</v>
      </c>
    </row>
    <row r="268" spans="1:16" x14ac:dyDescent="0.25">
      <c r="A268" s="60" t="s">
        <v>1034</v>
      </c>
      <c r="B268" s="12"/>
      <c r="C268" s="20"/>
      <c r="D268" s="77">
        <f t="shared" ref="D268:L268" si="55">SUM(D$265:D$267)</f>
        <v>0.93399999999999994</v>
      </c>
      <c r="E268" s="77">
        <f t="shared" si="55"/>
        <v>2.375</v>
      </c>
      <c r="F268" s="77">
        <f t="shared" si="55"/>
        <v>1.198</v>
      </c>
      <c r="G268" s="77">
        <f t="shared" si="55"/>
        <v>-0.22399999999999998</v>
      </c>
      <c r="H268" s="77">
        <f t="shared" si="55"/>
        <v>1.0620000000000001</v>
      </c>
      <c r="I268" s="77">
        <f t="shared" si="55"/>
        <v>1.0410000000000001</v>
      </c>
      <c r="J268" s="77">
        <f t="shared" si="55"/>
        <v>0.89500000000000002</v>
      </c>
      <c r="K268" s="77">
        <f t="shared" si="55"/>
        <v>0.85999999999999988</v>
      </c>
      <c r="L268" s="77">
        <f t="shared" si="55"/>
        <v>0.871</v>
      </c>
      <c r="M268" s="77">
        <f>SUM(M$265:M$267)</f>
        <v>0.89200000000000002</v>
      </c>
      <c r="N268" s="77">
        <f>SUM(N$265:N$267)</f>
        <v>0.91400000000000003</v>
      </c>
      <c r="O268" s="77">
        <f>SUM(O$265:O$267)</f>
        <v>0.878</v>
      </c>
      <c r="P268" s="77">
        <f>SUM(P$265:P$267)</f>
        <v>0.85699999999999998</v>
      </c>
    </row>
    <row r="269" spans="1:16" x14ac:dyDescent="0.25">
      <c r="A269" s="60" t="s">
        <v>1035</v>
      </c>
      <c r="B269" s="12"/>
      <c r="C269" s="20"/>
      <c r="D269" s="20"/>
      <c r="E269" s="20"/>
      <c r="F269" s="20"/>
      <c r="G269" s="20"/>
      <c r="H269" s="20"/>
      <c r="I269" s="20"/>
      <c r="J269" s="20"/>
      <c r="K269" s="20"/>
      <c r="L269" s="20"/>
      <c r="M269" s="20"/>
      <c r="N269" s="20"/>
      <c r="O269" s="20"/>
      <c r="P269" s="20"/>
    </row>
    <row r="270" spans="1:16" x14ac:dyDescent="0.25">
      <c r="A270" s="12" t="s">
        <v>1025</v>
      </c>
      <c r="B270" s="12" t="str">
        <f>$B$10</f>
        <v>UIM</v>
      </c>
      <c r="C270" s="20"/>
      <c r="D270" s="20">
        <v>44.959000000000003</v>
      </c>
      <c r="E270" s="20">
        <v>51.832999999999998</v>
      </c>
      <c r="F270" s="20">
        <v>58.084000000000003</v>
      </c>
      <c r="G270" s="20">
        <v>65.543000000000006</v>
      </c>
      <c r="H270" s="20">
        <v>68.150000000000006</v>
      </c>
      <c r="I270" s="20">
        <v>72.72</v>
      </c>
      <c r="J270" s="20">
        <v>72.67</v>
      </c>
      <c r="K270" s="20">
        <v>74.334000000000003</v>
      </c>
      <c r="L270" s="48">
        <v>79.567999999999998</v>
      </c>
      <c r="M270" s="48">
        <v>76.983000000000004</v>
      </c>
      <c r="N270" s="48">
        <v>77.331000000000003</v>
      </c>
      <c r="O270" s="48">
        <v>77.119</v>
      </c>
      <c r="P270" s="48">
        <v>77.394999999999996</v>
      </c>
    </row>
    <row r="271" spans="1:16" x14ac:dyDescent="0.25">
      <c r="A271" s="12" t="s">
        <v>1020</v>
      </c>
      <c r="B271" s="12" t="str">
        <f>$B$10</f>
        <v>UIM</v>
      </c>
      <c r="C271" s="20"/>
      <c r="D271" s="20">
        <v>22.132999999999999</v>
      </c>
      <c r="E271" s="20">
        <v>25.504999999999999</v>
      </c>
      <c r="F271" s="20">
        <v>25.257000000000001</v>
      </c>
      <c r="G271" s="20">
        <v>27.652000000000001</v>
      </c>
      <c r="H271" s="20">
        <v>33.918999999999997</v>
      </c>
      <c r="I271" s="20">
        <v>34.594999999999999</v>
      </c>
      <c r="J271" s="20">
        <v>34.951000000000001</v>
      </c>
      <c r="K271" s="20">
        <v>35.914000000000001</v>
      </c>
      <c r="L271" s="48">
        <v>38.064999999999998</v>
      </c>
      <c r="M271" s="48">
        <v>36.436</v>
      </c>
      <c r="N271" s="48">
        <v>36.185000000000002</v>
      </c>
      <c r="O271" s="48">
        <v>36.218000000000004</v>
      </c>
      <c r="P271" s="48">
        <v>36.292999999999999</v>
      </c>
    </row>
    <row r="272" spans="1:16" x14ac:dyDescent="0.25">
      <c r="A272" s="12" t="s">
        <v>1021</v>
      </c>
      <c r="B272" s="12" t="str">
        <f>$B$10</f>
        <v>UIM</v>
      </c>
      <c r="C272" s="20"/>
      <c r="D272" s="20">
        <v>9.4740000000000002</v>
      </c>
      <c r="E272" s="20">
        <v>12.164999999999999</v>
      </c>
      <c r="F272" s="20">
        <v>11.702999999999999</v>
      </c>
      <c r="G272" s="20">
        <v>9.8040000000000003</v>
      </c>
      <c r="H272" s="20">
        <v>12.132</v>
      </c>
      <c r="I272" s="20">
        <v>16.550999999999998</v>
      </c>
      <c r="J272" s="20">
        <v>15.942</v>
      </c>
      <c r="K272" s="20">
        <v>13.926</v>
      </c>
      <c r="L272" s="48">
        <v>15.935</v>
      </c>
      <c r="M272" s="48">
        <v>15.486000000000001</v>
      </c>
      <c r="N272" s="48">
        <v>15.907999999999999</v>
      </c>
      <c r="O272" s="48">
        <v>16.349</v>
      </c>
      <c r="P272" s="48">
        <v>16.396000000000001</v>
      </c>
    </row>
    <row r="273" spans="1:16" x14ac:dyDescent="0.25">
      <c r="A273" s="12" t="s">
        <v>1022</v>
      </c>
      <c r="B273" s="12" t="str">
        <f>$B$10</f>
        <v>UIM</v>
      </c>
      <c r="C273" s="20"/>
      <c r="D273" s="20">
        <v>-33.872999999999998</v>
      </c>
      <c r="E273" s="20">
        <v>-36.92</v>
      </c>
      <c r="F273" s="20">
        <v>-41.241999999999997</v>
      </c>
      <c r="G273" s="20">
        <v>-44.725999999999999</v>
      </c>
      <c r="H273" s="20">
        <v>-50.067</v>
      </c>
      <c r="I273" s="20">
        <v>-53.246000000000002</v>
      </c>
      <c r="J273" s="20">
        <v>-53.735999999999997</v>
      </c>
      <c r="K273" s="20">
        <v>-56.573</v>
      </c>
      <c r="L273" s="48">
        <v>-58.744</v>
      </c>
      <c r="M273" s="48">
        <v>-58.534999999999997</v>
      </c>
      <c r="N273" s="48">
        <v>-58.863999999999997</v>
      </c>
      <c r="O273" s="48">
        <v>-59.152000000000001</v>
      </c>
      <c r="P273" s="48">
        <v>-59.59</v>
      </c>
    </row>
    <row r="274" spans="1:16" x14ac:dyDescent="0.25">
      <c r="A274" s="60" t="s">
        <v>1036</v>
      </c>
      <c r="B274" s="12"/>
      <c r="C274" s="20"/>
      <c r="D274" s="78" t="str">
        <f t="shared" ref="D274:P274" si="56">IF(ROUND(D$18-SUM(D$270:D$273),3)=0,"OK","ERROR")</f>
        <v>OK</v>
      </c>
      <c r="E274" s="78" t="str">
        <f t="shared" si="56"/>
        <v>OK</v>
      </c>
      <c r="F274" s="78" t="str">
        <f t="shared" si="56"/>
        <v>OK</v>
      </c>
      <c r="G274" s="78" t="str">
        <f t="shared" si="56"/>
        <v>OK</v>
      </c>
      <c r="H274" s="78" t="str">
        <f t="shared" si="56"/>
        <v>OK</v>
      </c>
      <c r="I274" s="78" t="str">
        <f t="shared" si="56"/>
        <v>OK</v>
      </c>
      <c r="J274" s="78" t="str">
        <f t="shared" si="56"/>
        <v>OK</v>
      </c>
      <c r="K274" s="78" t="str">
        <f t="shared" si="56"/>
        <v>OK</v>
      </c>
      <c r="L274" s="78" t="str">
        <f t="shared" si="56"/>
        <v>OK</v>
      </c>
      <c r="M274" s="78" t="str">
        <f t="shared" si="56"/>
        <v>OK</v>
      </c>
      <c r="N274" s="78" t="str">
        <f t="shared" si="56"/>
        <v>OK</v>
      </c>
      <c r="O274" s="78" t="str">
        <f t="shared" si="56"/>
        <v>OK</v>
      </c>
      <c r="P274" s="78" t="str">
        <f t="shared" si="56"/>
        <v>OK</v>
      </c>
    </row>
    <row r="275" spans="1:16" x14ac:dyDescent="0.25">
      <c r="A275" s="60" t="s">
        <v>1037</v>
      </c>
      <c r="B275" s="12"/>
      <c r="C275" s="20"/>
      <c r="D275" s="48"/>
      <c r="E275" s="48"/>
      <c r="F275" s="48"/>
      <c r="G275" s="48"/>
      <c r="H275" s="48"/>
      <c r="I275" s="48"/>
      <c r="J275" s="48"/>
      <c r="K275" s="48"/>
      <c r="L275" s="48"/>
      <c r="M275" s="48"/>
      <c r="N275" s="48"/>
      <c r="O275" s="48"/>
      <c r="P275" s="48"/>
    </row>
    <row r="276" spans="1:16" x14ac:dyDescent="0.25">
      <c r="A276" s="12" t="s">
        <v>1020</v>
      </c>
      <c r="B276" s="12" t="str">
        <f>$B$10</f>
        <v>UIM</v>
      </c>
      <c r="C276" s="20"/>
      <c r="D276" s="20">
        <v>0.11700000000000001</v>
      </c>
      <c r="E276" s="20">
        <v>0.16400000000000001</v>
      </c>
      <c r="F276" s="20">
        <v>0.218</v>
      </c>
      <c r="G276" s="20">
        <v>0.30099999999999999</v>
      </c>
      <c r="H276" s="20">
        <v>0.872</v>
      </c>
      <c r="I276" s="20">
        <v>1.9690000000000001</v>
      </c>
      <c r="J276" s="20">
        <v>2.387</v>
      </c>
      <c r="K276" s="20">
        <v>2.2010000000000001</v>
      </c>
      <c r="L276" s="48">
        <v>2.4409999999999998</v>
      </c>
      <c r="M276" s="48">
        <v>2.8340000000000001</v>
      </c>
      <c r="N276" s="48">
        <v>3.27</v>
      </c>
      <c r="O276" s="48">
        <v>3.6720000000000002</v>
      </c>
      <c r="P276" s="48">
        <v>4.0439999999999996</v>
      </c>
    </row>
    <row r="277" spans="1:16" x14ac:dyDescent="0.25">
      <c r="A277" s="12" t="s">
        <v>1021</v>
      </c>
      <c r="B277" s="12" t="str">
        <f>$B$10</f>
        <v>UIM</v>
      </c>
      <c r="C277" s="20"/>
      <c r="D277" s="20">
        <v>1.0449999999999999</v>
      </c>
      <c r="E277" s="20">
        <v>0.90100000000000002</v>
      </c>
      <c r="F277" s="20">
        <v>0.59199999999999997</v>
      </c>
      <c r="G277" s="20">
        <v>0.66</v>
      </c>
      <c r="H277" s="20">
        <v>0.68200000000000005</v>
      </c>
      <c r="I277" s="20">
        <v>0.57999999999999996</v>
      </c>
      <c r="J277" s="20">
        <v>0.57199999999999995</v>
      </c>
      <c r="K277" s="20">
        <v>0.57699999999999996</v>
      </c>
      <c r="L277" s="48">
        <v>0.64900000000000002</v>
      </c>
      <c r="M277" s="48">
        <v>0.74099999999999999</v>
      </c>
      <c r="N277" s="48">
        <v>0.84499999999999997</v>
      </c>
      <c r="O277" s="48">
        <v>0.89400000000000002</v>
      </c>
      <c r="P277" s="48">
        <v>0.95599999999999996</v>
      </c>
    </row>
    <row r="278" spans="1:16" x14ac:dyDescent="0.25">
      <c r="A278" s="12" t="s">
        <v>1022</v>
      </c>
      <c r="B278" s="12" t="str">
        <f>$B$10</f>
        <v>UIM</v>
      </c>
      <c r="C278" s="20"/>
      <c r="D278" s="20">
        <v>-0.55400000000000005</v>
      </c>
      <c r="E278" s="20">
        <v>-0.53900000000000003</v>
      </c>
      <c r="F278" s="20">
        <v>-0.45600000000000002</v>
      </c>
      <c r="G278" s="20">
        <v>-0.496</v>
      </c>
      <c r="H278" s="20">
        <v>-0.67500000000000004</v>
      </c>
      <c r="I278" s="20">
        <v>-1.1179999999999999</v>
      </c>
      <c r="J278" s="20">
        <v>-1.431</v>
      </c>
      <c r="K278" s="20">
        <v>-1.587</v>
      </c>
      <c r="L278" s="48">
        <v>-1.7230000000000001</v>
      </c>
      <c r="M278" s="48">
        <v>-1.89</v>
      </c>
      <c r="N278" s="48">
        <v>-2.0009999999999999</v>
      </c>
      <c r="O278" s="48">
        <v>-2.085</v>
      </c>
      <c r="P278" s="48">
        <v>-2.1890000000000001</v>
      </c>
    </row>
    <row r="279" spans="1:16" x14ac:dyDescent="0.25">
      <c r="A279" s="60" t="s">
        <v>1038</v>
      </c>
      <c r="B279" s="12"/>
      <c r="C279" s="20"/>
      <c r="D279" s="78" t="str">
        <f t="shared" ref="D279:P279" si="57">IF(ROUND(D$19-SUM(D$173,D$276:D$278),3)=0,"OK","ERROR")</f>
        <v>OK</v>
      </c>
      <c r="E279" s="78" t="str">
        <f t="shared" si="57"/>
        <v>OK</v>
      </c>
      <c r="F279" s="78" t="str">
        <f t="shared" si="57"/>
        <v>OK</v>
      </c>
      <c r="G279" s="78" t="str">
        <f t="shared" si="57"/>
        <v>OK</v>
      </c>
      <c r="H279" s="78" t="str">
        <f t="shared" si="57"/>
        <v>OK</v>
      </c>
      <c r="I279" s="78" t="str">
        <f t="shared" si="57"/>
        <v>OK</v>
      </c>
      <c r="J279" s="78" t="str">
        <f t="shared" si="57"/>
        <v>OK</v>
      </c>
      <c r="K279" s="78" t="str">
        <f t="shared" si="57"/>
        <v>OK</v>
      </c>
      <c r="L279" s="78" t="str">
        <f t="shared" si="57"/>
        <v>OK</v>
      </c>
      <c r="M279" s="78" t="str">
        <f t="shared" si="57"/>
        <v>OK</v>
      </c>
      <c r="N279" s="78" t="str">
        <f t="shared" si="57"/>
        <v>OK</v>
      </c>
      <c r="O279" s="78" t="str">
        <f t="shared" si="57"/>
        <v>OK</v>
      </c>
      <c r="P279" s="78" t="str">
        <f t="shared" si="57"/>
        <v>OK</v>
      </c>
    </row>
    <row r="280" spans="1:16" x14ac:dyDescent="0.25">
      <c r="A280" s="60" t="s">
        <v>875</v>
      </c>
      <c r="B280" s="12"/>
      <c r="C280" s="20"/>
      <c r="D280" s="80"/>
      <c r="E280" s="80"/>
      <c r="F280" s="80"/>
      <c r="G280" s="80"/>
      <c r="H280" s="80"/>
      <c r="I280" s="80"/>
      <c r="J280" s="80"/>
      <c r="K280" s="80"/>
      <c r="L280" s="80"/>
      <c r="M280" s="80"/>
      <c r="N280" s="80"/>
      <c r="O280" s="80"/>
      <c r="P280" s="80"/>
    </row>
    <row r="281" spans="1:16" x14ac:dyDescent="0.25">
      <c r="A281" s="12" t="s">
        <v>1039</v>
      </c>
      <c r="B281" s="12" t="str">
        <f>$B$10</f>
        <v>UIM</v>
      </c>
      <c r="C281" s="20"/>
      <c r="D281" s="20">
        <v>5.3620000000000001</v>
      </c>
      <c r="E281" s="20">
        <v>6.2460000000000004</v>
      </c>
      <c r="F281" s="20">
        <v>6.5389999999999997</v>
      </c>
      <c r="G281" s="20">
        <v>5.8330000000000002</v>
      </c>
      <c r="H281" s="20">
        <v>7.6189999999999998</v>
      </c>
      <c r="I281" s="20">
        <v>9.7720000000000002</v>
      </c>
      <c r="J281" s="20">
        <v>10.771000000000001</v>
      </c>
      <c r="K281" s="20">
        <v>8.5489999999999995</v>
      </c>
      <c r="L281" s="48">
        <v>8.3699999999999992</v>
      </c>
      <c r="M281" s="48">
        <v>8.9890000000000008</v>
      </c>
      <c r="N281" s="48">
        <v>9.0329999999999995</v>
      </c>
      <c r="O281" s="48">
        <v>9.3610000000000007</v>
      </c>
      <c r="P281" s="48">
        <v>10.737</v>
      </c>
    </row>
    <row r="282" spans="1:16" x14ac:dyDescent="0.25">
      <c r="A282" s="12" t="s">
        <v>1040</v>
      </c>
      <c r="B282" s="12" t="str">
        <f>$B$10</f>
        <v>UIM</v>
      </c>
      <c r="C282" s="20"/>
      <c r="D282" s="20">
        <v>0.47599999999999998</v>
      </c>
      <c r="E282" s="20">
        <v>0.61399999999999999</v>
      </c>
      <c r="F282" s="20">
        <v>0.16700000000000001</v>
      </c>
      <c r="G282" s="20">
        <v>0.496</v>
      </c>
      <c r="H282" s="20">
        <v>1.1339999999999999</v>
      </c>
      <c r="I282" s="20">
        <v>0.57799999999999996</v>
      </c>
      <c r="J282" s="20">
        <v>0.65900000000000003</v>
      </c>
      <c r="K282" s="20">
        <v>0.47599999999999998</v>
      </c>
      <c r="L282" s="48">
        <v>0.57199999999999995</v>
      </c>
      <c r="M282" s="48">
        <v>0.61699999999999999</v>
      </c>
      <c r="N282" s="48">
        <v>0.63200000000000001</v>
      </c>
      <c r="O282" s="48">
        <v>0.64500000000000002</v>
      </c>
      <c r="P282" s="48">
        <v>0.66800000000000004</v>
      </c>
    </row>
    <row r="283" spans="1:16" x14ac:dyDescent="0.25">
      <c r="A283" s="12" t="s">
        <v>1041</v>
      </c>
      <c r="B283" s="12" t="str">
        <f>$B$10</f>
        <v>UIM</v>
      </c>
      <c r="C283" s="20"/>
      <c r="D283" s="20">
        <v>-2.5999999999999999E-2</v>
      </c>
      <c r="E283" s="20">
        <v>4.2999999999999997E-2</v>
      </c>
      <c r="F283" s="20">
        <v>0.13200000000000001</v>
      </c>
      <c r="G283" s="20">
        <v>0.11799999999999999</v>
      </c>
      <c r="H283" s="20">
        <v>3.1E-2</v>
      </c>
      <c r="I283" s="20">
        <v>7.5999999999999998E-2</v>
      </c>
      <c r="J283" s="20">
        <v>0.111</v>
      </c>
      <c r="K283" s="20">
        <v>2.7E-2</v>
      </c>
      <c r="L283" s="48">
        <v>7.0000000000000001E-3</v>
      </c>
      <c r="M283" s="48">
        <v>1.2E-2</v>
      </c>
      <c r="N283" s="48">
        <v>1.6E-2</v>
      </c>
      <c r="O283" s="48">
        <v>1.7000000000000001E-2</v>
      </c>
      <c r="P283" s="48">
        <v>0.02</v>
      </c>
    </row>
    <row r="284" spans="1:16" x14ac:dyDescent="0.25">
      <c r="A284" s="60" t="s">
        <v>1042</v>
      </c>
      <c r="B284" s="12"/>
      <c r="C284" s="20"/>
      <c r="D284" s="78" t="str">
        <f t="shared" ref="D284:P284" si="58">IF(ROUND(D$20-SUM(D$281:D$283),3)=0,"OK","ERROR")</f>
        <v>OK</v>
      </c>
      <c r="E284" s="78" t="str">
        <f t="shared" si="58"/>
        <v>OK</v>
      </c>
      <c r="F284" s="78" t="str">
        <f t="shared" si="58"/>
        <v>OK</v>
      </c>
      <c r="G284" s="78" t="str">
        <f t="shared" si="58"/>
        <v>OK</v>
      </c>
      <c r="H284" s="78" t="str">
        <f t="shared" si="58"/>
        <v>OK</v>
      </c>
      <c r="I284" s="78" t="str">
        <f t="shared" si="58"/>
        <v>OK</v>
      </c>
      <c r="J284" s="78" t="str">
        <f t="shared" si="58"/>
        <v>OK</v>
      </c>
      <c r="K284" s="78" t="str">
        <f t="shared" si="58"/>
        <v>OK</v>
      </c>
      <c r="L284" s="78" t="str">
        <f t="shared" si="58"/>
        <v>OK</v>
      </c>
      <c r="M284" s="78" t="str">
        <f t="shared" si="58"/>
        <v>OK</v>
      </c>
      <c r="N284" s="78" t="str">
        <f t="shared" si="58"/>
        <v>OK</v>
      </c>
      <c r="O284" s="78" t="str">
        <f t="shared" si="58"/>
        <v>OK</v>
      </c>
      <c r="P284" s="78" t="str">
        <f t="shared" si="58"/>
        <v>OK</v>
      </c>
    </row>
    <row r="285" spans="1:16" x14ac:dyDescent="0.25">
      <c r="A285" s="60" t="s">
        <v>876</v>
      </c>
      <c r="B285" s="12"/>
      <c r="C285" s="20"/>
      <c r="D285" s="48"/>
      <c r="E285" s="48"/>
      <c r="F285" s="48"/>
      <c r="G285" s="48"/>
      <c r="H285" s="48"/>
      <c r="I285" s="48"/>
      <c r="J285" s="48"/>
      <c r="K285" s="48"/>
      <c r="L285" s="48"/>
      <c r="M285" s="48"/>
      <c r="N285" s="48"/>
      <c r="O285" s="48"/>
      <c r="P285" s="48"/>
    </row>
    <row r="286" spans="1:16" x14ac:dyDescent="0.25">
      <c r="A286" s="12" t="s">
        <v>1478</v>
      </c>
      <c r="B286" s="12" t="str">
        <f>$B$10</f>
        <v>UIM</v>
      </c>
      <c r="C286" s="20"/>
      <c r="D286" s="20">
        <v>0</v>
      </c>
      <c r="E286" s="20">
        <v>0</v>
      </c>
      <c r="F286" s="20">
        <v>0</v>
      </c>
      <c r="G286" s="20">
        <v>0</v>
      </c>
      <c r="H286" s="20">
        <v>0</v>
      </c>
      <c r="I286" s="20">
        <v>0</v>
      </c>
      <c r="J286" s="20">
        <v>0</v>
      </c>
      <c r="K286" s="20">
        <v>0</v>
      </c>
      <c r="L286" s="48">
        <v>1.258</v>
      </c>
      <c r="M286" s="48">
        <v>0.96099999999999997</v>
      </c>
      <c r="N286" s="48">
        <v>1.0109999999999999</v>
      </c>
      <c r="O286" s="48">
        <v>1.369</v>
      </c>
      <c r="P286" s="48">
        <v>1.302</v>
      </c>
    </row>
    <row r="287" spans="1:16" x14ac:dyDescent="0.25">
      <c r="A287" s="12" t="s">
        <v>1456</v>
      </c>
      <c r="B287" s="12"/>
      <c r="C287" s="20"/>
      <c r="D287" s="20">
        <v>0</v>
      </c>
      <c r="E287" s="20">
        <v>0</v>
      </c>
      <c r="F287" s="20">
        <v>0</v>
      </c>
      <c r="G287" s="20">
        <v>0</v>
      </c>
      <c r="H287" s="20">
        <v>0</v>
      </c>
      <c r="I287" s="20">
        <v>0</v>
      </c>
      <c r="J287" s="20">
        <v>0</v>
      </c>
      <c r="K287" s="20">
        <v>0</v>
      </c>
      <c r="L287" s="48">
        <v>0</v>
      </c>
      <c r="M287" s="48">
        <v>-0.39300000000000002</v>
      </c>
      <c r="N287" s="48">
        <v>-0.78600000000000003</v>
      </c>
      <c r="O287" s="48">
        <v>-0.78600000000000003</v>
      </c>
      <c r="P287" s="48">
        <v>-0.78600000000000003</v>
      </c>
    </row>
    <row r="288" spans="1:16" x14ac:dyDescent="0.25">
      <c r="A288" s="12" t="s">
        <v>1043</v>
      </c>
      <c r="B288" s="12" t="str">
        <f>$B$10</f>
        <v>UIM</v>
      </c>
      <c r="C288" s="20"/>
      <c r="D288" s="20">
        <v>0</v>
      </c>
      <c r="E288" s="20">
        <v>0</v>
      </c>
      <c r="F288" s="20">
        <v>0</v>
      </c>
      <c r="G288" s="20">
        <v>0</v>
      </c>
      <c r="H288" s="20">
        <v>0</v>
      </c>
      <c r="I288" s="20">
        <v>0</v>
      </c>
      <c r="J288" s="20">
        <v>0</v>
      </c>
      <c r="K288" s="20">
        <v>0</v>
      </c>
      <c r="L288" s="48">
        <v>0</v>
      </c>
      <c r="M288" s="48">
        <v>2.4</v>
      </c>
      <c r="N288" s="48">
        <v>2.4</v>
      </c>
      <c r="O288" s="48">
        <v>2.4</v>
      </c>
      <c r="P288" s="48">
        <v>2.4</v>
      </c>
    </row>
    <row r="289" spans="1:16" x14ac:dyDescent="0.25">
      <c r="A289" s="12" t="s">
        <v>1044</v>
      </c>
      <c r="B289" s="12" t="str">
        <f>$B$10</f>
        <v>UIM</v>
      </c>
      <c r="C289" s="20"/>
      <c r="D289" s="20">
        <v>0</v>
      </c>
      <c r="E289" s="20">
        <v>0</v>
      </c>
      <c r="F289" s="20">
        <v>0</v>
      </c>
      <c r="G289" s="20">
        <v>0</v>
      </c>
      <c r="H289" s="20">
        <v>0</v>
      </c>
      <c r="I289" s="20">
        <v>0</v>
      </c>
      <c r="J289" s="20">
        <v>0</v>
      </c>
      <c r="K289" s="20">
        <v>0</v>
      </c>
      <c r="L289" s="48">
        <v>0</v>
      </c>
      <c r="M289" s="48">
        <v>0</v>
      </c>
      <c r="N289" s="48">
        <v>2.4</v>
      </c>
      <c r="O289" s="48">
        <v>2.4</v>
      </c>
      <c r="P289" s="48">
        <v>2.4</v>
      </c>
    </row>
    <row r="290" spans="1:16" x14ac:dyDescent="0.25">
      <c r="A290" s="12" t="s">
        <v>1045</v>
      </c>
      <c r="B290" s="12" t="str">
        <f>$B$10</f>
        <v>UIM</v>
      </c>
      <c r="C290" s="20"/>
      <c r="D290" s="20">
        <v>0</v>
      </c>
      <c r="E290" s="20">
        <v>0</v>
      </c>
      <c r="F290" s="20">
        <v>0</v>
      </c>
      <c r="G290" s="20">
        <v>0</v>
      </c>
      <c r="H290" s="20">
        <v>0</v>
      </c>
      <c r="I290" s="20">
        <v>0</v>
      </c>
      <c r="J290" s="20">
        <v>0</v>
      </c>
      <c r="K290" s="20">
        <v>0</v>
      </c>
      <c r="L290" s="48">
        <v>0</v>
      </c>
      <c r="M290" s="48">
        <v>0</v>
      </c>
      <c r="N290" s="48">
        <v>0</v>
      </c>
      <c r="O290" s="48">
        <v>2.4</v>
      </c>
      <c r="P290" s="48">
        <v>2.4</v>
      </c>
    </row>
    <row r="291" spans="1:16" x14ac:dyDescent="0.25">
      <c r="A291" s="12" t="s">
        <v>1046</v>
      </c>
      <c r="B291" s="12" t="str">
        <f>$B$10</f>
        <v>UIM</v>
      </c>
      <c r="C291" s="20"/>
      <c r="D291" s="20">
        <v>0</v>
      </c>
      <c r="E291" s="20">
        <v>0</v>
      </c>
      <c r="F291" s="20">
        <v>0</v>
      </c>
      <c r="G291" s="20">
        <v>0</v>
      </c>
      <c r="H291" s="20">
        <v>0</v>
      </c>
      <c r="I291" s="20">
        <v>0</v>
      </c>
      <c r="J291" s="20">
        <v>0</v>
      </c>
      <c r="K291" s="20">
        <v>0</v>
      </c>
      <c r="L291" s="48">
        <v>0</v>
      </c>
      <c r="M291" s="48">
        <v>0</v>
      </c>
      <c r="N291" s="48">
        <v>0</v>
      </c>
      <c r="O291" s="48">
        <v>0</v>
      </c>
      <c r="P291" s="48">
        <v>2.4</v>
      </c>
    </row>
    <row r="292" spans="1:16" x14ac:dyDescent="0.25">
      <c r="A292" s="60" t="s">
        <v>1047</v>
      </c>
      <c r="B292" s="12"/>
      <c r="C292" s="20"/>
      <c r="D292" s="78" t="str">
        <f t="shared" ref="D292:P292" si="59">IF(ROUND(D$21-SUM(D$286:D$291),3)=0,"OK","ERROR")</f>
        <v>OK</v>
      </c>
      <c r="E292" s="78" t="str">
        <f t="shared" si="59"/>
        <v>OK</v>
      </c>
      <c r="F292" s="78" t="str">
        <f t="shared" si="59"/>
        <v>OK</v>
      </c>
      <c r="G292" s="78" t="str">
        <f t="shared" si="59"/>
        <v>OK</v>
      </c>
      <c r="H292" s="78" t="str">
        <f t="shared" si="59"/>
        <v>OK</v>
      </c>
      <c r="I292" s="78" t="str">
        <f t="shared" si="59"/>
        <v>OK</v>
      </c>
      <c r="J292" s="78" t="str">
        <f t="shared" si="59"/>
        <v>OK</v>
      </c>
      <c r="K292" s="78" t="str">
        <f t="shared" si="59"/>
        <v>OK</v>
      </c>
      <c r="L292" s="78" t="str">
        <f t="shared" si="59"/>
        <v>OK</v>
      </c>
      <c r="M292" s="78" t="str">
        <f t="shared" si="59"/>
        <v>OK</v>
      </c>
      <c r="N292" s="78" t="str">
        <f t="shared" si="59"/>
        <v>OK</v>
      </c>
      <c r="O292" s="78" t="str">
        <f t="shared" si="59"/>
        <v>OK</v>
      </c>
      <c r="P292" s="78" t="str">
        <f t="shared" si="59"/>
        <v>OK</v>
      </c>
    </row>
    <row r="293" spans="1:16" x14ac:dyDescent="0.25">
      <c r="A293" s="60" t="s">
        <v>1048</v>
      </c>
      <c r="B293" s="12"/>
      <c r="C293" s="20"/>
      <c r="D293" s="48"/>
      <c r="E293" s="48"/>
      <c r="F293" s="48"/>
      <c r="G293" s="48"/>
      <c r="H293" s="48"/>
      <c r="I293" s="48"/>
      <c r="J293" s="48"/>
      <c r="K293" s="48"/>
      <c r="L293" s="48"/>
      <c r="M293" s="48"/>
      <c r="N293" s="48"/>
      <c r="O293" s="48"/>
      <c r="P293" s="48"/>
    </row>
    <row r="294" spans="1:16" x14ac:dyDescent="0.25">
      <c r="A294" s="12" t="s">
        <v>1049</v>
      </c>
      <c r="B294" s="12" t="str">
        <f>$B$10</f>
        <v>UIM</v>
      </c>
      <c r="C294" s="20"/>
      <c r="D294" s="20">
        <v>0</v>
      </c>
      <c r="E294" s="20">
        <v>0</v>
      </c>
      <c r="F294" s="20">
        <v>0</v>
      </c>
      <c r="G294" s="20">
        <v>0</v>
      </c>
      <c r="H294" s="20">
        <v>0</v>
      </c>
      <c r="I294" s="20">
        <v>0</v>
      </c>
      <c r="J294" s="20">
        <v>0</v>
      </c>
      <c r="K294" s="20">
        <v>0</v>
      </c>
      <c r="L294" s="48">
        <v>1.8939999999999999</v>
      </c>
      <c r="M294" s="48">
        <v>1.8620000000000001</v>
      </c>
      <c r="N294" s="48">
        <v>1.278</v>
      </c>
      <c r="O294" s="48">
        <v>0.80500000000000005</v>
      </c>
      <c r="P294" s="48">
        <v>0.71799999999999997</v>
      </c>
    </row>
    <row r="295" spans="1:16" x14ac:dyDescent="0.25">
      <c r="A295" s="12" t="s">
        <v>1050</v>
      </c>
      <c r="B295" s="12"/>
      <c r="C295" s="20"/>
      <c r="D295" s="20">
        <v>0</v>
      </c>
      <c r="E295" s="20">
        <v>0</v>
      </c>
      <c r="F295" s="20">
        <v>0</v>
      </c>
      <c r="G295" s="20">
        <v>0</v>
      </c>
      <c r="H295" s="20">
        <v>0</v>
      </c>
      <c r="I295" s="20">
        <v>0</v>
      </c>
      <c r="J295" s="20">
        <v>0</v>
      </c>
      <c r="K295" s="20">
        <v>0</v>
      </c>
      <c r="L295" s="48">
        <v>0.1</v>
      </c>
      <c r="M295" s="48">
        <v>1.2250000000000001</v>
      </c>
      <c r="N295" s="48">
        <v>1.2250000000000001</v>
      </c>
      <c r="O295" s="48">
        <v>0.7</v>
      </c>
      <c r="P295" s="48">
        <v>0.35</v>
      </c>
    </row>
    <row r="296" spans="1:16" x14ac:dyDescent="0.25">
      <c r="A296" s="12" t="s">
        <v>1051</v>
      </c>
      <c r="B296" s="12"/>
      <c r="C296" s="20"/>
      <c r="D296" s="20">
        <v>0</v>
      </c>
      <c r="E296" s="20">
        <v>0</v>
      </c>
      <c r="F296" s="20">
        <v>0</v>
      </c>
      <c r="G296" s="20">
        <v>0</v>
      </c>
      <c r="H296" s="20">
        <v>0</v>
      </c>
      <c r="I296" s="20">
        <v>0</v>
      </c>
      <c r="J296" s="20">
        <v>0</v>
      </c>
      <c r="K296" s="20">
        <v>0</v>
      </c>
      <c r="L296" s="48">
        <v>0</v>
      </c>
      <c r="M296" s="48">
        <v>0</v>
      </c>
      <c r="N296" s="48">
        <v>1.2250000000000001</v>
      </c>
      <c r="O296" s="48">
        <v>1.2250000000000001</v>
      </c>
      <c r="P296" s="48">
        <v>0.7</v>
      </c>
    </row>
    <row r="297" spans="1:16" x14ac:dyDescent="0.25">
      <c r="A297" s="12" t="s">
        <v>1052</v>
      </c>
      <c r="B297" s="12"/>
      <c r="C297" s="20"/>
      <c r="D297" s="20">
        <v>0</v>
      </c>
      <c r="E297" s="20">
        <v>0</v>
      </c>
      <c r="F297" s="20">
        <v>0</v>
      </c>
      <c r="G297" s="20">
        <v>0</v>
      </c>
      <c r="H297" s="20">
        <v>0</v>
      </c>
      <c r="I297" s="20">
        <v>0</v>
      </c>
      <c r="J297" s="20">
        <v>0</v>
      </c>
      <c r="K297" s="20">
        <v>0</v>
      </c>
      <c r="L297" s="48">
        <v>0</v>
      </c>
      <c r="M297" s="48">
        <v>0</v>
      </c>
      <c r="N297" s="48">
        <v>0</v>
      </c>
      <c r="O297" s="48">
        <v>1.75</v>
      </c>
      <c r="P297" s="48">
        <v>1.75</v>
      </c>
    </row>
    <row r="298" spans="1:16" x14ac:dyDescent="0.25">
      <c r="A298" s="12" t="s">
        <v>1053</v>
      </c>
      <c r="B298" s="12"/>
      <c r="C298" s="20"/>
      <c r="D298" s="20">
        <v>0</v>
      </c>
      <c r="E298" s="20">
        <v>0</v>
      </c>
      <c r="F298" s="20">
        <v>0</v>
      </c>
      <c r="G298" s="20">
        <v>0</v>
      </c>
      <c r="H298" s="20">
        <v>0</v>
      </c>
      <c r="I298" s="20">
        <v>0</v>
      </c>
      <c r="J298" s="20">
        <v>0</v>
      </c>
      <c r="K298" s="20">
        <v>0</v>
      </c>
      <c r="L298" s="48">
        <v>0</v>
      </c>
      <c r="M298" s="48">
        <v>0</v>
      </c>
      <c r="N298" s="48">
        <v>0</v>
      </c>
      <c r="O298" s="48">
        <v>0</v>
      </c>
      <c r="P298" s="48">
        <v>1.75</v>
      </c>
    </row>
    <row r="299" spans="1:16" x14ac:dyDescent="0.25">
      <c r="A299" s="60" t="s">
        <v>1054</v>
      </c>
      <c r="B299" s="12"/>
      <c r="C299" s="20"/>
      <c r="D299" s="78" t="str">
        <f>IF(ROUND(D$131-SUM($C$294:D$298),3)=0,"OK","ERROR")</f>
        <v>OK</v>
      </c>
      <c r="E299" s="78" t="str">
        <f>IF(ROUND(E$131-SUM($C$294:E$298),3)=0,"OK","ERROR")</f>
        <v>OK</v>
      </c>
      <c r="F299" s="78" t="str">
        <f>IF(ROUND(F$131-SUM($C$294:F$298),3)=0,"OK","ERROR")</f>
        <v>OK</v>
      </c>
      <c r="G299" s="78" t="str">
        <f>IF(ROUND(G$131-SUM($C$294:G$298),3)=0,"OK","ERROR")</f>
        <v>OK</v>
      </c>
      <c r="H299" s="78" t="str">
        <f>IF(ROUND(H$131-SUM($C$294:H$298),3)=0,"OK","ERROR")</f>
        <v>OK</v>
      </c>
      <c r="I299" s="78" t="str">
        <f>IF(ROUND(I$131-SUM($C$294:I$298),3)=0,"OK","ERROR")</f>
        <v>OK</v>
      </c>
      <c r="J299" s="78" t="str">
        <f>IF(ROUND(J$131-SUM($C$294:J$298),3)=0,"OK","ERROR")</f>
        <v>OK</v>
      </c>
      <c r="K299" s="78" t="str">
        <f>IF(ROUND(K$131-SUM($C$294:K$298),3)=0,"OK","ERROR")</f>
        <v>OK</v>
      </c>
      <c r="L299" s="78" t="str">
        <f>IF(ROUND(L$131-SUM($C$294:L$298),3)=0,"OK","ERROR")</f>
        <v>OK</v>
      </c>
      <c r="M299" s="78" t="str">
        <f>IF(ROUND(M$131-SUM($C$294:M$298),3)=0,"OK","ERROR")</f>
        <v>OK</v>
      </c>
      <c r="N299" s="78" t="str">
        <f>IF(ROUND(N$131-SUM($C$294:N$298),3)=0,"OK","ERROR")</f>
        <v>OK</v>
      </c>
      <c r="O299" s="78" t="str">
        <f>IF(ROUND(O$131-SUM($C$294:O$298),3)=0,"OK","ERROR")</f>
        <v>OK</v>
      </c>
      <c r="P299" s="78" t="str">
        <f>IF(ROUND(P$131-SUM($C$294:P$298),3)=0,"OK","ERROR")</f>
        <v>OK</v>
      </c>
    </row>
    <row r="300" spans="1:16" x14ac:dyDescent="0.25">
      <c r="A300" s="60" t="s">
        <v>1055</v>
      </c>
      <c r="B300" s="12"/>
      <c r="C300" s="20"/>
      <c r="D300" s="48"/>
      <c r="E300" s="48"/>
      <c r="F300" s="48"/>
      <c r="G300" s="48"/>
      <c r="H300" s="48"/>
      <c r="I300" s="48"/>
      <c r="J300" s="48"/>
      <c r="K300" s="48"/>
      <c r="L300" s="48"/>
      <c r="M300" s="48"/>
      <c r="N300" s="48"/>
      <c r="O300" s="48"/>
      <c r="P300" s="48"/>
    </row>
    <row r="301" spans="1:16" x14ac:dyDescent="0.25">
      <c r="A301" s="12" t="s">
        <v>1025</v>
      </c>
      <c r="B301" s="12" t="str">
        <f>$B$10</f>
        <v>UIM</v>
      </c>
      <c r="C301" s="20"/>
      <c r="D301" s="20">
        <v>3.472</v>
      </c>
      <c r="E301" s="20">
        <v>-2.7559999999999998</v>
      </c>
      <c r="F301" s="20">
        <v>9.0109999999999992</v>
      </c>
      <c r="G301" s="20">
        <v>-6.5270000000000001</v>
      </c>
      <c r="H301" s="20">
        <v>6.766</v>
      </c>
      <c r="I301" s="20">
        <v>9.1890000000000001</v>
      </c>
      <c r="J301" s="20">
        <v>8.7170000000000005</v>
      </c>
      <c r="K301" s="20">
        <v>11.548</v>
      </c>
      <c r="L301" s="48">
        <v>5.181</v>
      </c>
      <c r="M301" s="48">
        <v>5.53</v>
      </c>
      <c r="N301" s="48">
        <v>5.8869999999999996</v>
      </c>
      <c r="O301" s="48">
        <v>6.3280000000000003</v>
      </c>
      <c r="P301" s="48">
        <v>6.8</v>
      </c>
    </row>
    <row r="302" spans="1:16" x14ac:dyDescent="0.25">
      <c r="A302" s="12" t="s">
        <v>1020</v>
      </c>
      <c r="B302" s="12" t="str">
        <f>$B$10</f>
        <v>UIM</v>
      </c>
      <c r="C302" s="20"/>
      <c r="D302" s="20">
        <v>3.5529999999999999</v>
      </c>
      <c r="E302" s="20">
        <v>1.8129999999999999</v>
      </c>
      <c r="F302" s="20">
        <v>3.972</v>
      </c>
      <c r="G302" s="20">
        <v>-5.3049999999999997</v>
      </c>
      <c r="H302" s="20">
        <v>1.837</v>
      </c>
      <c r="I302" s="20">
        <v>2.0579999999999998</v>
      </c>
      <c r="J302" s="20">
        <v>2.3849999999999998</v>
      </c>
      <c r="K302" s="20">
        <v>3.4929999999999999</v>
      </c>
      <c r="L302" s="48">
        <v>0.38300000000000001</v>
      </c>
      <c r="M302" s="48">
        <v>0.71199999999999997</v>
      </c>
      <c r="N302" s="48">
        <v>0.80900000000000005</v>
      </c>
      <c r="O302" s="48">
        <v>0.91</v>
      </c>
      <c r="P302" s="48">
        <v>1.0069999999999999</v>
      </c>
    </row>
    <row r="303" spans="1:16" x14ac:dyDescent="0.25">
      <c r="A303" s="12" t="s">
        <v>1056</v>
      </c>
      <c r="B303" s="12" t="str">
        <f>$B$10</f>
        <v>UIM</v>
      </c>
      <c r="C303" s="20"/>
      <c r="D303" s="20">
        <v>0.1</v>
      </c>
      <c r="E303" s="20">
        <v>-5.0000000000000001E-3</v>
      </c>
      <c r="F303" s="20">
        <v>0.29599999999999999</v>
      </c>
      <c r="G303" s="20">
        <v>0.26700000000000002</v>
      </c>
      <c r="H303" s="20">
        <v>-0.30099999999999999</v>
      </c>
      <c r="I303" s="20">
        <v>0.49399999999999999</v>
      </c>
      <c r="J303" s="20">
        <v>-1.073</v>
      </c>
      <c r="K303" s="20">
        <v>-0.71399999999999997</v>
      </c>
      <c r="L303" s="48">
        <v>0.159</v>
      </c>
      <c r="M303" s="48">
        <v>5.7000000000000002E-2</v>
      </c>
      <c r="N303" s="48">
        <v>0.10199999999999999</v>
      </c>
      <c r="O303" s="48">
        <v>9.1999999999999998E-2</v>
      </c>
      <c r="P303" s="48">
        <v>9.5000000000000001E-2</v>
      </c>
    </row>
    <row r="304" spans="1:16" x14ac:dyDescent="0.25">
      <c r="A304" s="12" t="s">
        <v>1022</v>
      </c>
      <c r="B304" s="12" t="str">
        <f>$B$9</f>
        <v>NAC</v>
      </c>
      <c r="C304" s="20"/>
      <c r="D304" s="20">
        <v>-2.681</v>
      </c>
      <c r="E304" s="20">
        <v>-0.40200000000000002</v>
      </c>
      <c r="F304" s="20">
        <v>0.875</v>
      </c>
      <c r="G304" s="20">
        <v>1.8779999999999999</v>
      </c>
      <c r="H304" s="20">
        <v>-0.59099999999999997</v>
      </c>
      <c r="I304" s="20">
        <v>-0.33100000000000002</v>
      </c>
      <c r="J304" s="20">
        <v>-0.75700000000000001</v>
      </c>
      <c r="K304" s="20">
        <v>-1.095</v>
      </c>
      <c r="L304" s="48">
        <v>-6.9000000000000006E-2</v>
      </c>
      <c r="M304" s="48">
        <v>-0.11299999999999999</v>
      </c>
      <c r="N304" s="48">
        <v>-0.128</v>
      </c>
      <c r="O304" s="48">
        <v>-0.16799999999999998</v>
      </c>
      <c r="P304" s="48">
        <v>-9.7000000000000003E-2</v>
      </c>
    </row>
    <row r="305" spans="1:16" x14ac:dyDescent="0.25">
      <c r="A305" s="60" t="s">
        <v>1057</v>
      </c>
      <c r="B305" s="12"/>
      <c r="C305" s="20"/>
      <c r="D305" s="78" t="str">
        <f t="shared" ref="D305:P305" si="60">IF(ROUND(D$24-SUM(D$301:D$304),3)=0,"OK","ERROR")</f>
        <v>OK</v>
      </c>
      <c r="E305" s="78" t="str">
        <f t="shared" si="60"/>
        <v>OK</v>
      </c>
      <c r="F305" s="78" t="str">
        <f t="shared" si="60"/>
        <v>OK</v>
      </c>
      <c r="G305" s="78" t="str">
        <f t="shared" si="60"/>
        <v>OK</v>
      </c>
      <c r="H305" s="78" t="str">
        <f t="shared" si="60"/>
        <v>OK</v>
      </c>
      <c r="I305" s="78" t="str">
        <f t="shared" si="60"/>
        <v>OK</v>
      </c>
      <c r="J305" s="78" t="str">
        <f t="shared" si="60"/>
        <v>OK</v>
      </c>
      <c r="K305" s="78" t="str">
        <f t="shared" si="60"/>
        <v>OK</v>
      </c>
      <c r="L305" s="78" t="str">
        <f t="shared" si="60"/>
        <v>OK</v>
      </c>
      <c r="M305" s="78" t="str">
        <f t="shared" si="60"/>
        <v>OK</v>
      </c>
      <c r="N305" s="78" t="str">
        <f t="shared" si="60"/>
        <v>OK</v>
      </c>
      <c r="O305" s="78" t="str">
        <f t="shared" si="60"/>
        <v>OK</v>
      </c>
      <c r="P305" s="78" t="str">
        <f t="shared" si="60"/>
        <v>OK</v>
      </c>
    </row>
    <row r="306" spans="1:16" x14ac:dyDescent="0.25">
      <c r="A306" s="60" t="s">
        <v>1058</v>
      </c>
      <c r="B306" s="12"/>
      <c r="C306" s="20"/>
      <c r="D306" s="80"/>
      <c r="E306" s="80"/>
      <c r="F306" s="80"/>
      <c r="G306" s="80"/>
      <c r="H306" s="80"/>
      <c r="I306" s="80"/>
      <c r="J306" s="80"/>
      <c r="K306" s="80"/>
      <c r="L306" s="80"/>
      <c r="M306" s="80"/>
      <c r="N306" s="80"/>
      <c r="O306" s="80"/>
      <c r="P306" s="80"/>
    </row>
    <row r="307" spans="1:16" x14ac:dyDescent="0.25">
      <c r="A307" s="12" t="s">
        <v>1025</v>
      </c>
      <c r="B307" s="12" t="str">
        <f>$B$10</f>
        <v>UIM</v>
      </c>
      <c r="C307" s="20"/>
      <c r="D307" s="20">
        <v>-0.28399999999999997</v>
      </c>
      <c r="E307" s="20">
        <v>-1.1759999999999999</v>
      </c>
      <c r="F307" s="20">
        <v>-1.4790000000000001</v>
      </c>
      <c r="G307" s="20">
        <v>-4.6920000000000002</v>
      </c>
      <c r="H307" s="20">
        <v>5.798</v>
      </c>
      <c r="I307" s="20">
        <v>-1.2949999999999999</v>
      </c>
      <c r="J307" s="20">
        <v>-0.97299999999999998</v>
      </c>
      <c r="K307" s="20">
        <v>0.46100000000000002</v>
      </c>
      <c r="L307" s="48">
        <v>-8.0000000000000002E-3</v>
      </c>
      <c r="M307" s="48">
        <v>-1E-3</v>
      </c>
      <c r="N307" s="48">
        <v>-1E-3</v>
      </c>
      <c r="O307" s="48">
        <v>-1E-3</v>
      </c>
      <c r="P307" s="48">
        <v>-1E-3</v>
      </c>
    </row>
    <row r="308" spans="1:16" x14ac:dyDescent="0.25">
      <c r="A308" s="12" t="s">
        <v>1020</v>
      </c>
      <c r="B308" s="12" t="str">
        <f>$B$10</f>
        <v>UIM</v>
      </c>
      <c r="C308" s="20"/>
      <c r="D308" s="20">
        <v>-11.445</v>
      </c>
      <c r="E308" s="20">
        <v>-6.133</v>
      </c>
      <c r="F308" s="20">
        <v>8.3219999999999992</v>
      </c>
      <c r="G308" s="20">
        <v>6.6340000000000003</v>
      </c>
      <c r="H308" s="20">
        <v>1.163</v>
      </c>
      <c r="I308" s="20">
        <v>-5.4729999999999999</v>
      </c>
      <c r="J308" s="20">
        <v>0.56000000000000005</v>
      </c>
      <c r="K308" s="20">
        <v>-2.2949999999999999</v>
      </c>
      <c r="L308" s="48">
        <v>2E-3</v>
      </c>
      <c r="M308" s="48">
        <v>-7.0000000000000001E-3</v>
      </c>
      <c r="N308" s="48">
        <v>-7.0000000000000001E-3</v>
      </c>
      <c r="O308" s="48">
        <v>-7.0000000000000001E-3</v>
      </c>
      <c r="P308" s="48">
        <v>-7.0000000000000001E-3</v>
      </c>
    </row>
    <row r="309" spans="1:16" x14ac:dyDescent="0.25">
      <c r="A309" s="12" t="s">
        <v>1056</v>
      </c>
      <c r="B309" s="12" t="str">
        <f>$B$10</f>
        <v>UIM</v>
      </c>
      <c r="C309" s="20"/>
      <c r="D309" s="20">
        <v>0.154</v>
      </c>
      <c r="E309" s="20">
        <v>-6.4000000000000001E-2</v>
      </c>
      <c r="F309" s="20">
        <v>-6.4000000000000001E-2</v>
      </c>
      <c r="G309" s="20">
        <v>0.59199999999999997</v>
      </c>
      <c r="H309" s="20">
        <v>0.16300000000000001</v>
      </c>
      <c r="I309" s="20">
        <v>-2.9000000000000001E-2</v>
      </c>
      <c r="J309" s="20">
        <v>2E-3</v>
      </c>
      <c r="K309" s="20">
        <v>-0.10299999999999999</v>
      </c>
      <c r="L309" s="48">
        <v>-3.9E-2</v>
      </c>
      <c r="M309" s="48">
        <v>0</v>
      </c>
      <c r="N309" s="48">
        <v>7.0000000000000001E-3</v>
      </c>
      <c r="O309" s="48">
        <v>1.4E-2</v>
      </c>
      <c r="P309" s="48">
        <v>1.6E-2</v>
      </c>
    </row>
    <row r="310" spans="1:16" x14ac:dyDescent="0.25">
      <c r="A310" s="12" t="s">
        <v>1022</v>
      </c>
      <c r="B310" s="12" t="str">
        <f>$B$9</f>
        <v>NAC</v>
      </c>
      <c r="C310" s="20"/>
      <c r="D310" s="20">
        <v>0</v>
      </c>
      <c r="E310" s="20">
        <v>1E-3</v>
      </c>
      <c r="F310" s="20">
        <v>0.09</v>
      </c>
      <c r="G310" s="20">
        <v>0.43099999999999999</v>
      </c>
      <c r="H310" s="20">
        <v>-0.17699999999999999</v>
      </c>
      <c r="I310" s="20">
        <v>5.3999999999999999E-2</v>
      </c>
      <c r="J310" s="20">
        <v>8.9999999999999993E-3</v>
      </c>
      <c r="K310" s="20">
        <v>-4.2999999999999997E-2</v>
      </c>
      <c r="L310" s="48">
        <v>-1.4E-2</v>
      </c>
      <c r="M310" s="48">
        <v>8.0000000000000002E-3</v>
      </c>
      <c r="N310" s="48">
        <v>1E-3</v>
      </c>
      <c r="O310" s="48">
        <v>-6.0000000000000001E-3</v>
      </c>
      <c r="P310" s="48">
        <v>-8.0000000000000002E-3</v>
      </c>
    </row>
    <row r="311" spans="1:16" x14ac:dyDescent="0.25">
      <c r="A311" s="60" t="s">
        <v>1059</v>
      </c>
      <c r="B311" s="12"/>
      <c r="C311" s="20"/>
      <c r="D311" s="78" t="str">
        <f t="shared" ref="D311:P311" si="61">IF(ROUND(D$25-SUM(D$307:D$310),3)=0,"OK","ERROR")</f>
        <v>OK</v>
      </c>
      <c r="E311" s="78" t="str">
        <f t="shared" si="61"/>
        <v>OK</v>
      </c>
      <c r="F311" s="78" t="str">
        <f t="shared" si="61"/>
        <v>OK</v>
      </c>
      <c r="G311" s="78" t="str">
        <f t="shared" si="61"/>
        <v>OK</v>
      </c>
      <c r="H311" s="78" t="str">
        <f t="shared" si="61"/>
        <v>OK</v>
      </c>
      <c r="I311" s="78" t="str">
        <f t="shared" si="61"/>
        <v>OK</v>
      </c>
      <c r="J311" s="78" t="str">
        <f t="shared" si="61"/>
        <v>OK</v>
      </c>
      <c r="K311" s="78" t="str">
        <f t="shared" si="61"/>
        <v>OK</v>
      </c>
      <c r="L311" s="78" t="str">
        <f t="shared" si="61"/>
        <v>OK</v>
      </c>
      <c r="M311" s="78" t="str">
        <f t="shared" si="61"/>
        <v>OK</v>
      </c>
      <c r="N311" s="78" t="str">
        <f t="shared" si="61"/>
        <v>OK</v>
      </c>
      <c r="O311" s="78" t="str">
        <f t="shared" si="61"/>
        <v>OK</v>
      </c>
      <c r="P311" s="78" t="str">
        <f t="shared" si="61"/>
        <v>OK</v>
      </c>
    </row>
    <row r="312" spans="1:16" x14ac:dyDescent="0.25">
      <c r="A312" s="60" t="s">
        <v>1060</v>
      </c>
      <c r="B312" s="12"/>
      <c r="C312" s="20"/>
      <c r="D312" s="80"/>
      <c r="E312" s="80"/>
      <c r="F312" s="80"/>
      <c r="G312" s="80"/>
      <c r="H312" s="80"/>
      <c r="I312" s="80"/>
      <c r="J312" s="80"/>
      <c r="K312" s="80"/>
      <c r="L312" s="80"/>
      <c r="M312" s="80"/>
      <c r="N312" s="80"/>
      <c r="O312" s="80"/>
      <c r="P312" s="80"/>
    </row>
    <row r="313" spans="1:16" x14ac:dyDescent="0.25">
      <c r="A313" s="12" t="s">
        <v>1025</v>
      </c>
      <c r="B313" s="12" t="str">
        <f>$B$9</f>
        <v>NAC</v>
      </c>
      <c r="C313" s="20"/>
      <c r="D313" s="20">
        <v>9.7070000000000007</v>
      </c>
      <c r="E313" s="20">
        <v>-20.882999999999999</v>
      </c>
      <c r="F313" s="20">
        <v>4.7039999999999997</v>
      </c>
      <c r="G313" s="20">
        <v>-19.532</v>
      </c>
      <c r="H313" s="20">
        <v>8.2929999999999993</v>
      </c>
      <c r="I313" s="20">
        <v>2.1059999999999999</v>
      </c>
      <c r="J313" s="20">
        <v>0.42299999999999999</v>
      </c>
      <c r="K313" s="20">
        <v>4.407</v>
      </c>
      <c r="L313" s="48">
        <v>1.038</v>
      </c>
      <c r="M313" s="48">
        <v>5.6689999999999996</v>
      </c>
      <c r="N313" s="48">
        <v>10.416</v>
      </c>
      <c r="O313" s="48">
        <v>14.5</v>
      </c>
      <c r="P313" s="48">
        <v>18.149999999999999</v>
      </c>
    </row>
    <row r="314" spans="1:16" x14ac:dyDescent="0.25">
      <c r="A314" s="12" t="s">
        <v>1020</v>
      </c>
      <c r="B314" s="12" t="str">
        <f>$B$9</f>
        <v>NAC</v>
      </c>
      <c r="C314" s="20"/>
      <c r="D314" s="20">
        <v>-9.1809999999999992</v>
      </c>
      <c r="E314" s="20">
        <v>-7.1959999999999997</v>
      </c>
      <c r="F314" s="20">
        <v>9.7899999999999991</v>
      </c>
      <c r="G314" s="20">
        <v>-0.72299999999999998</v>
      </c>
      <c r="H314" s="20">
        <v>-1.6559999999999999</v>
      </c>
      <c r="I314" s="20">
        <v>-9.3490000000000002</v>
      </c>
      <c r="J314" s="20">
        <v>-2.8210000000000002</v>
      </c>
      <c r="K314" s="20">
        <v>-1.419</v>
      </c>
      <c r="L314" s="48">
        <v>-3.0409999999999999</v>
      </c>
      <c r="M314" s="48">
        <v>-1.7549999999999999</v>
      </c>
      <c r="N314" s="48">
        <v>-0.78900000000000003</v>
      </c>
      <c r="O314" s="48">
        <v>-0.108</v>
      </c>
      <c r="P314" s="48">
        <v>-0.64100000000000001</v>
      </c>
    </row>
    <row r="315" spans="1:16" x14ac:dyDescent="0.25">
      <c r="A315" s="12" t="s">
        <v>1056</v>
      </c>
      <c r="B315" s="12" t="str">
        <f>$B$9</f>
        <v>NAC</v>
      </c>
      <c r="C315" s="20"/>
      <c r="D315" s="20">
        <v>3.363</v>
      </c>
      <c r="E315" s="20">
        <v>-0.34100000000000003</v>
      </c>
      <c r="F315" s="20">
        <v>0.254</v>
      </c>
      <c r="G315" s="20">
        <v>1.748</v>
      </c>
      <c r="H315" s="20">
        <v>1.276</v>
      </c>
      <c r="I315" s="20">
        <v>-0.128</v>
      </c>
      <c r="J315" s="20">
        <v>-1.0999999999999999E-2</v>
      </c>
      <c r="K315" s="20">
        <v>0.443</v>
      </c>
      <c r="L315" s="48">
        <v>0.186</v>
      </c>
      <c r="M315" s="48">
        <v>0.45300000000000001</v>
      </c>
      <c r="N315" s="48">
        <v>0.34200000000000003</v>
      </c>
      <c r="O315" s="48">
        <v>0.39900000000000002</v>
      </c>
      <c r="P315" s="48">
        <v>0.38900000000000001</v>
      </c>
    </row>
    <row r="316" spans="1:16" x14ac:dyDescent="0.25">
      <c r="A316" s="12" t="s">
        <v>1022</v>
      </c>
      <c r="B316" s="12" t="str">
        <f>$B$9</f>
        <v>NAC</v>
      </c>
      <c r="C316" s="20"/>
      <c r="D316" s="20">
        <v>-3.5</v>
      </c>
      <c r="E316" s="20">
        <v>-1.62</v>
      </c>
      <c r="F316" s="20">
        <v>1.411</v>
      </c>
      <c r="G316" s="20">
        <v>1.575</v>
      </c>
      <c r="H316" s="20">
        <v>-2.5920000000000001</v>
      </c>
      <c r="I316" s="20">
        <v>-0.99399999999999999</v>
      </c>
      <c r="J316" s="20">
        <v>-1.9910000000000001</v>
      </c>
      <c r="K316" s="20">
        <v>-2.2949999999999999</v>
      </c>
      <c r="L316" s="48">
        <v>-1.1459999999999999</v>
      </c>
      <c r="M316" s="48">
        <v>-0.89</v>
      </c>
      <c r="N316" s="48">
        <v>-1.0669999999999999</v>
      </c>
      <c r="O316" s="48">
        <v>-1.248</v>
      </c>
      <c r="P316" s="48">
        <v>-1.2050000000000001</v>
      </c>
    </row>
    <row r="317" spans="1:16" x14ac:dyDescent="0.25">
      <c r="A317" s="60" t="s">
        <v>1061</v>
      </c>
      <c r="B317" s="12"/>
      <c r="C317" s="20"/>
      <c r="D317" s="78" t="str">
        <f t="shared" ref="D317:P317" si="62">IF(ROUND(D$29-SUM(D$313:D$316),3)=0,"OK","ERROR")</f>
        <v>OK</v>
      </c>
      <c r="E317" s="78" t="str">
        <f t="shared" si="62"/>
        <v>OK</v>
      </c>
      <c r="F317" s="78" t="str">
        <f t="shared" si="62"/>
        <v>OK</v>
      </c>
      <c r="G317" s="78" t="str">
        <f t="shared" si="62"/>
        <v>OK</v>
      </c>
      <c r="H317" s="78" t="str">
        <f t="shared" si="62"/>
        <v>OK</v>
      </c>
      <c r="I317" s="78" t="str">
        <f t="shared" si="62"/>
        <v>OK</v>
      </c>
      <c r="J317" s="78" t="str">
        <f t="shared" si="62"/>
        <v>OK</v>
      </c>
      <c r="K317" s="78" t="str">
        <f t="shared" si="62"/>
        <v>OK</v>
      </c>
      <c r="L317" s="78" t="str">
        <f t="shared" si="62"/>
        <v>OK</v>
      </c>
      <c r="M317" s="78" t="str">
        <f t="shared" si="62"/>
        <v>OK</v>
      </c>
      <c r="N317" s="78" t="str">
        <f t="shared" si="62"/>
        <v>OK</v>
      </c>
      <c r="O317" s="78" t="str">
        <f t="shared" si="62"/>
        <v>OK</v>
      </c>
      <c r="P317" s="78" t="str">
        <f t="shared" si="62"/>
        <v>OK</v>
      </c>
    </row>
    <row r="318" spans="1:16" x14ac:dyDescent="0.25">
      <c r="A318" s="60" t="s">
        <v>1062</v>
      </c>
      <c r="B318" s="12"/>
      <c r="C318" s="20"/>
      <c r="D318" s="48"/>
      <c r="E318" s="48"/>
      <c r="F318" s="48"/>
      <c r="G318" s="48"/>
      <c r="H318" s="48"/>
      <c r="I318" s="48"/>
      <c r="J318" s="48"/>
      <c r="K318" s="48"/>
      <c r="L318" s="48"/>
      <c r="M318" s="48"/>
      <c r="N318" s="48"/>
      <c r="O318" s="48"/>
      <c r="P318" s="48"/>
    </row>
    <row r="319" spans="1:16" x14ac:dyDescent="0.25">
      <c r="A319" s="12" t="s">
        <v>1063</v>
      </c>
      <c r="B319" s="12" t="str">
        <f>$B$10</f>
        <v>UIM</v>
      </c>
      <c r="C319" s="20"/>
      <c r="D319" s="20">
        <v>13.763999999999999</v>
      </c>
      <c r="E319" s="20">
        <v>14.29</v>
      </c>
      <c r="F319" s="20">
        <v>15.641999999999999</v>
      </c>
      <c r="G319" s="20">
        <v>20.076000000000001</v>
      </c>
      <c r="H319" s="20">
        <v>20.298999999999999</v>
      </c>
      <c r="I319" s="20">
        <v>22.413</v>
      </c>
      <c r="J319" s="20">
        <v>20.936</v>
      </c>
      <c r="K319" s="20">
        <v>19.382999999999999</v>
      </c>
      <c r="L319" s="48">
        <v>23.151</v>
      </c>
      <c r="M319" s="48">
        <v>24.097999999999999</v>
      </c>
      <c r="N319" s="48">
        <v>24.632999999999999</v>
      </c>
      <c r="O319" s="48">
        <v>25.231000000000002</v>
      </c>
      <c r="P319" s="48">
        <v>25.943000000000001</v>
      </c>
    </row>
    <row r="320" spans="1:16" x14ac:dyDescent="0.25">
      <c r="A320" s="12" t="s">
        <v>1064</v>
      </c>
      <c r="B320" s="12" t="str">
        <f>$B$9</f>
        <v>NAC</v>
      </c>
      <c r="C320" s="20"/>
      <c r="D320" s="20">
        <v>9.5630000000000006</v>
      </c>
      <c r="E320" s="20">
        <v>10.452999999999999</v>
      </c>
      <c r="F320" s="20">
        <v>11.186999999999999</v>
      </c>
      <c r="G320" s="20">
        <v>15.058999999999999</v>
      </c>
      <c r="H320" s="20">
        <v>13.249000000000001</v>
      </c>
      <c r="I320" s="20">
        <v>14.819000000000001</v>
      </c>
      <c r="J320" s="20">
        <v>13.824</v>
      </c>
      <c r="K320" s="20">
        <v>17.199000000000002</v>
      </c>
      <c r="L320" s="48">
        <v>15.805999999999999</v>
      </c>
      <c r="M320" s="48">
        <v>16.326000000000001</v>
      </c>
      <c r="N320" s="48">
        <v>17.184999999999999</v>
      </c>
      <c r="O320" s="48">
        <v>18.181000000000001</v>
      </c>
      <c r="P320" s="48">
        <v>18.018999999999998</v>
      </c>
    </row>
    <row r="321" spans="1:16" x14ac:dyDescent="0.25">
      <c r="A321" s="60" t="s">
        <v>1065</v>
      </c>
      <c r="B321" s="12"/>
      <c r="C321" s="20"/>
      <c r="D321" s="78" t="str">
        <f t="shared" ref="D321:P321" si="63">IF(ROUND(D$121-SUM(D$319:D$320),3)=0,"OK","ERROR")</f>
        <v>OK</v>
      </c>
      <c r="E321" s="78" t="str">
        <f t="shared" si="63"/>
        <v>OK</v>
      </c>
      <c r="F321" s="78" t="str">
        <f t="shared" si="63"/>
        <v>OK</v>
      </c>
      <c r="G321" s="78" t="str">
        <f t="shared" si="63"/>
        <v>OK</v>
      </c>
      <c r="H321" s="78" t="str">
        <f t="shared" si="63"/>
        <v>OK</v>
      </c>
      <c r="I321" s="78" t="str">
        <f t="shared" si="63"/>
        <v>OK</v>
      </c>
      <c r="J321" s="78" t="str">
        <f t="shared" si="63"/>
        <v>OK</v>
      </c>
      <c r="K321" s="78" t="str">
        <f t="shared" si="63"/>
        <v>OK</v>
      </c>
      <c r="L321" s="78" t="str">
        <f t="shared" si="63"/>
        <v>OK</v>
      </c>
      <c r="M321" s="78" t="str">
        <f t="shared" si="63"/>
        <v>OK</v>
      </c>
      <c r="N321" s="78" t="str">
        <f t="shared" si="63"/>
        <v>OK</v>
      </c>
      <c r="O321" s="78" t="str">
        <f t="shared" si="63"/>
        <v>OK</v>
      </c>
      <c r="P321" s="78" t="str">
        <f t="shared" si="63"/>
        <v>OK</v>
      </c>
    </row>
    <row r="322" spans="1:16" x14ac:dyDescent="0.25">
      <c r="A322" s="60" t="s">
        <v>1066</v>
      </c>
      <c r="B322" s="12"/>
      <c r="C322" s="20"/>
      <c r="D322" s="80"/>
      <c r="E322" s="80"/>
      <c r="F322" s="80"/>
      <c r="G322" s="80"/>
      <c r="H322" s="80"/>
      <c r="I322" s="80"/>
      <c r="J322" s="80"/>
      <c r="K322" s="80"/>
      <c r="L322" s="80"/>
      <c r="M322" s="80"/>
      <c r="N322" s="80"/>
      <c r="O322" s="80"/>
      <c r="P322" s="80"/>
    </row>
    <row r="323" spans="1:16" x14ac:dyDescent="0.25">
      <c r="A323" s="12" t="s">
        <v>316</v>
      </c>
      <c r="B323" s="12" t="str">
        <f>$B$9</f>
        <v>NAC</v>
      </c>
      <c r="C323" s="20"/>
      <c r="D323" s="20">
        <v>10.731</v>
      </c>
      <c r="E323" s="20">
        <v>10.395</v>
      </c>
      <c r="F323" s="20">
        <v>10.840999999999999</v>
      </c>
      <c r="G323" s="20">
        <v>9.2089999999999996</v>
      </c>
      <c r="H323" s="20">
        <v>9.3729999999999993</v>
      </c>
      <c r="I323" s="20">
        <v>9.5960000000000001</v>
      </c>
      <c r="J323" s="20">
        <v>10.054</v>
      </c>
      <c r="K323" s="20">
        <v>10.545</v>
      </c>
      <c r="L323" s="48">
        <v>10.648</v>
      </c>
      <c r="M323" s="48">
        <v>10.73</v>
      </c>
      <c r="N323" s="48">
        <v>10.746</v>
      </c>
      <c r="O323" s="48">
        <v>10.714</v>
      </c>
      <c r="P323" s="48">
        <v>10.643000000000001</v>
      </c>
    </row>
    <row r="324" spans="1:16" x14ac:dyDescent="0.25">
      <c r="A324" s="12" t="s">
        <v>1067</v>
      </c>
      <c r="B324" s="12" t="str">
        <f>$B$10</f>
        <v>UIM</v>
      </c>
      <c r="C324" s="20"/>
      <c r="D324" s="20">
        <v>20.411000000000001</v>
      </c>
      <c r="E324" s="20">
        <v>22.189</v>
      </c>
      <c r="F324" s="20">
        <v>25.206</v>
      </c>
      <c r="G324" s="20">
        <v>27.786000000000001</v>
      </c>
      <c r="H324" s="20">
        <v>29.785</v>
      </c>
      <c r="I324" s="20">
        <v>32.487000000000002</v>
      </c>
      <c r="J324" s="20">
        <v>35.942</v>
      </c>
      <c r="K324" s="20">
        <v>38.999000000000002</v>
      </c>
      <c r="L324" s="48">
        <v>42.354999999999997</v>
      </c>
      <c r="M324" s="48">
        <v>46.854999999999997</v>
      </c>
      <c r="N324" s="48">
        <v>52.057000000000002</v>
      </c>
      <c r="O324" s="48">
        <v>57.710999999999999</v>
      </c>
      <c r="P324" s="48">
        <v>63.762999999999998</v>
      </c>
    </row>
    <row r="325" spans="1:16" x14ac:dyDescent="0.25">
      <c r="A325" s="60" t="s">
        <v>316</v>
      </c>
      <c r="B325" s="12"/>
      <c r="C325" s="20"/>
      <c r="D325" s="48"/>
      <c r="E325" s="48"/>
      <c r="F325" s="48"/>
      <c r="G325" s="48"/>
      <c r="H325" s="48"/>
      <c r="I325" s="48"/>
      <c r="J325" s="48"/>
      <c r="K325" s="48"/>
      <c r="L325" s="48"/>
      <c r="M325" s="48"/>
      <c r="N325" s="48"/>
      <c r="O325" s="48"/>
      <c r="P325" s="48"/>
    </row>
    <row r="326" spans="1:16" x14ac:dyDescent="0.25">
      <c r="A326" s="12" t="s">
        <v>532</v>
      </c>
      <c r="B326" s="12" t="str">
        <f t="shared" ref="B326:B331" si="64">$B$10</f>
        <v>UIM</v>
      </c>
      <c r="C326" s="20"/>
      <c r="D326" s="20">
        <v>1.361</v>
      </c>
      <c r="E326" s="20">
        <v>1.413</v>
      </c>
      <c r="F326" s="20">
        <v>1.43</v>
      </c>
      <c r="G326" s="20">
        <v>1.2949999999999999</v>
      </c>
      <c r="H326" s="20">
        <v>1.2709999999999999</v>
      </c>
      <c r="I326" s="20">
        <v>1.3480000000000001</v>
      </c>
      <c r="J326" s="20">
        <v>1.7090000000000001</v>
      </c>
      <c r="K326" s="20">
        <v>2.0089999999999999</v>
      </c>
      <c r="L326" s="48">
        <v>2.1560000000000001</v>
      </c>
      <c r="M326" s="48">
        <v>2.1890000000000001</v>
      </c>
      <c r="N326" s="48">
        <v>2.1920000000000002</v>
      </c>
      <c r="O326" s="48">
        <v>2.2149999999999999</v>
      </c>
      <c r="P326" s="48">
        <v>2.2530000000000001</v>
      </c>
    </row>
    <row r="327" spans="1:16" x14ac:dyDescent="0.25">
      <c r="A327" s="12" t="s">
        <v>533</v>
      </c>
      <c r="B327" s="12" t="str">
        <f t="shared" si="64"/>
        <v>UIM</v>
      </c>
      <c r="C327" s="20"/>
      <c r="D327" s="20">
        <v>3.5999999999999997E-2</v>
      </c>
      <c r="E327" s="20">
        <v>3.5999999999999997E-2</v>
      </c>
      <c r="F327" s="20">
        <v>3.7999999999999999E-2</v>
      </c>
      <c r="G327" s="20">
        <v>3.7999999999999999E-2</v>
      </c>
      <c r="H327" s="20">
        <v>0.03</v>
      </c>
      <c r="I327" s="20">
        <v>2.8000000000000001E-2</v>
      </c>
      <c r="J327" s="20">
        <v>2.5999999999999999E-2</v>
      </c>
      <c r="K327" s="20">
        <v>2.8000000000000001E-2</v>
      </c>
      <c r="L327" s="48">
        <v>3.4000000000000002E-2</v>
      </c>
      <c r="M327" s="48">
        <v>3.4000000000000002E-2</v>
      </c>
      <c r="N327" s="48">
        <v>3.4000000000000002E-2</v>
      </c>
      <c r="O327" s="48">
        <v>3.6999999999999998E-2</v>
      </c>
      <c r="P327" s="48">
        <v>3.7999999999999999E-2</v>
      </c>
    </row>
    <row r="328" spans="1:16" x14ac:dyDescent="0.25">
      <c r="A328" s="12" t="s">
        <v>1068</v>
      </c>
      <c r="B328" s="12" t="str">
        <f t="shared" si="64"/>
        <v>UIM</v>
      </c>
      <c r="C328" s="20"/>
      <c r="D328" s="20">
        <v>0.56299999999999994</v>
      </c>
      <c r="E328" s="20">
        <v>0.50600000000000001</v>
      </c>
      <c r="F328" s="20">
        <v>0.46899999999999997</v>
      </c>
      <c r="G328" s="20">
        <v>0.48899999999999999</v>
      </c>
      <c r="H328" s="20">
        <v>0.55100000000000005</v>
      </c>
      <c r="I328" s="20">
        <v>0.54400000000000004</v>
      </c>
      <c r="J328" s="20">
        <v>0.58499999999999996</v>
      </c>
      <c r="K328" s="20">
        <v>0.76300000000000001</v>
      </c>
      <c r="L328" s="48">
        <v>0.72399999999999998</v>
      </c>
      <c r="M328" s="48">
        <v>0.78600000000000003</v>
      </c>
      <c r="N328" s="48">
        <v>0.82099999999999995</v>
      </c>
      <c r="O328" s="48">
        <v>0.85299999999999998</v>
      </c>
      <c r="P328" s="48">
        <v>0.88300000000000001</v>
      </c>
    </row>
    <row r="329" spans="1:16" x14ac:dyDescent="0.25">
      <c r="A329" s="12" t="s">
        <v>1069</v>
      </c>
      <c r="B329" s="12" t="str">
        <f t="shared" si="64"/>
        <v>UIM</v>
      </c>
      <c r="C329" s="20"/>
      <c r="D329" s="20">
        <v>1.371</v>
      </c>
      <c r="E329" s="20">
        <v>1.4770000000000001</v>
      </c>
      <c r="F329" s="20">
        <v>1.4950000000000001</v>
      </c>
      <c r="G329" s="20">
        <v>1.605</v>
      </c>
      <c r="H329" s="20">
        <v>1.6339999999999999</v>
      </c>
      <c r="I329" s="20">
        <v>1.5980000000000001</v>
      </c>
      <c r="J329" s="20">
        <v>1.5620000000000001</v>
      </c>
      <c r="K329" s="20">
        <v>1.6279999999999999</v>
      </c>
      <c r="L329" s="48">
        <v>1.726</v>
      </c>
      <c r="M329" s="48">
        <v>1.8009999999999999</v>
      </c>
      <c r="N329" s="48">
        <v>1.863</v>
      </c>
      <c r="O329" s="48">
        <v>1.9319999999999999</v>
      </c>
      <c r="P329" s="48">
        <v>2.0049999999999999</v>
      </c>
    </row>
    <row r="330" spans="1:16" x14ac:dyDescent="0.25">
      <c r="A330" s="12" t="s">
        <v>536</v>
      </c>
      <c r="B330" s="12" t="str">
        <f t="shared" si="64"/>
        <v>UIM</v>
      </c>
      <c r="C330" s="20"/>
      <c r="D330" s="20">
        <v>0.39400000000000002</v>
      </c>
      <c r="E330" s="20">
        <v>0.33100000000000002</v>
      </c>
      <c r="F330" s="20">
        <v>0.23499999999999999</v>
      </c>
      <c r="G330" s="20">
        <v>0.28000000000000003</v>
      </c>
      <c r="H330" s="20">
        <v>0.57699999999999996</v>
      </c>
      <c r="I330" s="20">
        <v>0.63400000000000001</v>
      </c>
      <c r="J330" s="20">
        <v>0.49199999999999999</v>
      </c>
      <c r="K330" s="20">
        <v>0.311</v>
      </c>
      <c r="L330" s="48">
        <v>0.36299999999999999</v>
      </c>
      <c r="M330" s="48">
        <v>0.44600000000000001</v>
      </c>
      <c r="N330" s="48">
        <v>0.47399999999999998</v>
      </c>
      <c r="O330" s="48">
        <v>0.501</v>
      </c>
      <c r="P330" s="48">
        <v>0.52600000000000002</v>
      </c>
    </row>
    <row r="331" spans="1:16" x14ac:dyDescent="0.25">
      <c r="A331" s="12" t="s">
        <v>1070</v>
      </c>
      <c r="B331" s="12" t="str">
        <f t="shared" si="64"/>
        <v>UIM</v>
      </c>
      <c r="C331" s="20"/>
      <c r="D331" s="20">
        <v>0.94499999999999995</v>
      </c>
      <c r="E331" s="20">
        <v>-0.13300000000000001</v>
      </c>
      <c r="F331" s="20">
        <v>0.70699999999999996</v>
      </c>
      <c r="G331" s="20">
        <v>-1.151</v>
      </c>
      <c r="H331" s="20">
        <v>0.47099999999999997</v>
      </c>
      <c r="I331" s="20">
        <v>0.35499999999999998</v>
      </c>
      <c r="J331" s="20">
        <v>0.378</v>
      </c>
      <c r="K331" s="20">
        <v>0.53400000000000003</v>
      </c>
      <c r="L331" s="48">
        <v>0</v>
      </c>
      <c r="M331" s="48">
        <v>0</v>
      </c>
      <c r="N331" s="48">
        <v>0</v>
      </c>
      <c r="O331" s="48">
        <v>0</v>
      </c>
      <c r="P331" s="48">
        <v>0</v>
      </c>
    </row>
    <row r="332" spans="1:16" x14ac:dyDescent="0.25">
      <c r="A332" s="12" t="s">
        <v>1071</v>
      </c>
      <c r="B332" s="12" t="str">
        <f>$B$9</f>
        <v>NAC</v>
      </c>
      <c r="C332" s="21">
        <v>9.9290000000000003</v>
      </c>
      <c r="D332" s="77">
        <f>SUM(C$332,D$326,D$327,-D$328,-D$329,D$330,D$331)</f>
        <v>10.731</v>
      </c>
      <c r="E332" s="77">
        <f t="shared" ref="E332:P332" si="65">SUM(D$332,E$326,E$327,-E$328,-E$329,E$330,E$331)</f>
        <v>10.395</v>
      </c>
      <c r="F332" s="77">
        <f t="shared" si="65"/>
        <v>10.841000000000001</v>
      </c>
      <c r="G332" s="77">
        <f t="shared" si="65"/>
        <v>9.2089999999999996</v>
      </c>
      <c r="H332" s="77">
        <f t="shared" si="65"/>
        <v>9.3729999999999993</v>
      </c>
      <c r="I332" s="77">
        <f t="shared" si="65"/>
        <v>9.5960000000000001</v>
      </c>
      <c r="J332" s="77">
        <f t="shared" si="65"/>
        <v>10.053999999999998</v>
      </c>
      <c r="K332" s="77">
        <f t="shared" si="65"/>
        <v>10.545</v>
      </c>
      <c r="L332" s="77">
        <f t="shared" si="65"/>
        <v>10.648</v>
      </c>
      <c r="M332" s="77">
        <f t="shared" si="65"/>
        <v>10.73</v>
      </c>
      <c r="N332" s="77">
        <f t="shared" si="65"/>
        <v>10.746000000000002</v>
      </c>
      <c r="O332" s="77">
        <f t="shared" si="65"/>
        <v>10.714000000000002</v>
      </c>
      <c r="P332" s="77">
        <f t="shared" si="65"/>
        <v>10.643000000000004</v>
      </c>
    </row>
    <row r="333" spans="1:16" x14ac:dyDescent="0.25">
      <c r="A333" s="60" t="s">
        <v>1072</v>
      </c>
      <c r="B333" s="12"/>
      <c r="C333" s="20"/>
      <c r="D333" s="78" t="str">
        <f t="shared" ref="D333:P333" si="66">IF(ROUND(D$323-D$332,3)=0,"OK","ERROR")</f>
        <v>OK</v>
      </c>
      <c r="E333" s="78" t="str">
        <f t="shared" si="66"/>
        <v>OK</v>
      </c>
      <c r="F333" s="78" t="str">
        <f t="shared" si="66"/>
        <v>OK</v>
      </c>
      <c r="G333" s="78" t="str">
        <f t="shared" si="66"/>
        <v>OK</v>
      </c>
      <c r="H333" s="78" t="str">
        <f t="shared" si="66"/>
        <v>OK</v>
      </c>
      <c r="I333" s="78" t="str">
        <f t="shared" si="66"/>
        <v>OK</v>
      </c>
      <c r="J333" s="78" t="str">
        <f t="shared" si="66"/>
        <v>OK</v>
      </c>
      <c r="K333" s="78" t="str">
        <f t="shared" si="66"/>
        <v>OK</v>
      </c>
      <c r="L333" s="78" t="str">
        <f t="shared" si="66"/>
        <v>OK</v>
      </c>
      <c r="M333" s="78" t="str">
        <f t="shared" si="66"/>
        <v>OK</v>
      </c>
      <c r="N333" s="78" t="str">
        <f t="shared" si="66"/>
        <v>OK</v>
      </c>
      <c r="O333" s="78" t="str">
        <f t="shared" si="66"/>
        <v>OK</v>
      </c>
      <c r="P333" s="78" t="str">
        <f t="shared" si="66"/>
        <v>OK</v>
      </c>
    </row>
    <row r="334" spans="1:16" x14ac:dyDescent="0.25">
      <c r="A334" s="60" t="s">
        <v>1073</v>
      </c>
      <c r="B334" s="12"/>
      <c r="C334" s="20"/>
      <c r="D334" s="48"/>
      <c r="E334" s="48"/>
      <c r="F334" s="48"/>
      <c r="G334" s="48"/>
      <c r="H334" s="48"/>
      <c r="I334" s="48"/>
      <c r="J334" s="48"/>
      <c r="K334" s="48"/>
      <c r="L334" s="48"/>
      <c r="M334" s="48"/>
      <c r="N334" s="48"/>
      <c r="O334" s="48"/>
      <c r="P334" s="48"/>
    </row>
    <row r="335" spans="1:16" x14ac:dyDescent="0.25">
      <c r="A335" s="12" t="s">
        <v>1020</v>
      </c>
      <c r="B335" s="12" t="str">
        <f>$B$10</f>
        <v>UIM</v>
      </c>
      <c r="C335" s="20"/>
      <c r="D335" s="20">
        <v>93.730999999999995</v>
      </c>
      <c r="E335" s="20">
        <v>101.509</v>
      </c>
      <c r="F335" s="20">
        <v>119.682</v>
      </c>
      <c r="G335" s="20">
        <v>145.18600000000001</v>
      </c>
      <c r="H335" s="20">
        <v>151.042</v>
      </c>
      <c r="I335" s="20">
        <v>158.06800000000001</v>
      </c>
      <c r="J335" s="20">
        <v>164.292</v>
      </c>
      <c r="K335" s="20">
        <v>165.83799999999999</v>
      </c>
      <c r="L335" s="48">
        <v>169.78800000000001</v>
      </c>
      <c r="M335" s="48">
        <v>173.96600000000001</v>
      </c>
      <c r="N335" s="48">
        <v>177.459</v>
      </c>
      <c r="O335" s="48">
        <v>179.83199999999999</v>
      </c>
      <c r="P335" s="48">
        <v>181.584</v>
      </c>
    </row>
    <row r="336" spans="1:16" x14ac:dyDescent="0.25">
      <c r="A336" s="12" t="s">
        <v>1056</v>
      </c>
      <c r="B336" s="12" t="str">
        <f>$B$10</f>
        <v>UIM</v>
      </c>
      <c r="C336" s="20"/>
      <c r="D336" s="20">
        <v>40.21</v>
      </c>
      <c r="E336" s="20">
        <v>39.828000000000003</v>
      </c>
      <c r="F336" s="20">
        <v>41.613999999999997</v>
      </c>
      <c r="G336" s="20">
        <v>47.475999999999999</v>
      </c>
      <c r="H336" s="20">
        <v>53.314</v>
      </c>
      <c r="I336" s="20">
        <v>57.723999999999997</v>
      </c>
      <c r="J336" s="20">
        <v>60.790999999999997</v>
      </c>
      <c r="K336" s="20">
        <v>64.260999999999996</v>
      </c>
      <c r="L336" s="48">
        <v>65.998000000000005</v>
      </c>
      <c r="M336" s="48">
        <v>67.91</v>
      </c>
      <c r="N336" s="48">
        <v>69.397999999999996</v>
      </c>
      <c r="O336" s="48">
        <v>70.602999999999994</v>
      </c>
      <c r="P336" s="48">
        <v>72.019000000000005</v>
      </c>
    </row>
    <row r="337" spans="1:16" x14ac:dyDescent="0.25">
      <c r="A337" s="12" t="s">
        <v>1022</v>
      </c>
      <c r="B337" s="12" t="str">
        <f>$B$10</f>
        <v>UIM</v>
      </c>
      <c r="C337" s="20"/>
      <c r="D337" s="20">
        <v>0</v>
      </c>
      <c r="E337" s="20">
        <v>-2E-3</v>
      </c>
      <c r="F337" s="20">
        <v>0</v>
      </c>
      <c r="G337" s="20">
        <v>1E-3</v>
      </c>
      <c r="H337" s="20">
        <v>0</v>
      </c>
      <c r="I337" s="20">
        <v>1E-3</v>
      </c>
      <c r="J337" s="20">
        <v>0</v>
      </c>
      <c r="K337" s="20">
        <v>0</v>
      </c>
      <c r="L337" s="48">
        <v>0</v>
      </c>
      <c r="M337" s="48">
        <v>0</v>
      </c>
      <c r="N337" s="48">
        <v>0</v>
      </c>
      <c r="O337" s="48">
        <v>0</v>
      </c>
      <c r="P337" s="48">
        <v>0</v>
      </c>
    </row>
    <row r="338" spans="1:16" x14ac:dyDescent="0.25">
      <c r="A338" s="60" t="s">
        <v>1074</v>
      </c>
      <c r="B338" s="12"/>
      <c r="C338" s="20"/>
      <c r="D338" s="78" t="str">
        <f t="shared" ref="D338:P338" si="67">IF(ROUND(D$128-SUM(D$186,D$335:D$337),3)=0,"OK","ERROR")</f>
        <v>OK</v>
      </c>
      <c r="E338" s="78" t="str">
        <f t="shared" si="67"/>
        <v>OK</v>
      </c>
      <c r="F338" s="78" t="str">
        <f t="shared" si="67"/>
        <v>OK</v>
      </c>
      <c r="G338" s="78" t="str">
        <f t="shared" si="67"/>
        <v>OK</v>
      </c>
      <c r="H338" s="78" t="str">
        <f t="shared" si="67"/>
        <v>OK</v>
      </c>
      <c r="I338" s="78" t="str">
        <f t="shared" si="67"/>
        <v>OK</v>
      </c>
      <c r="J338" s="78" t="str">
        <f t="shared" si="67"/>
        <v>OK</v>
      </c>
      <c r="K338" s="78" t="str">
        <f t="shared" si="67"/>
        <v>OK</v>
      </c>
      <c r="L338" s="78" t="str">
        <f t="shared" si="67"/>
        <v>OK</v>
      </c>
      <c r="M338" s="78" t="str">
        <f t="shared" si="67"/>
        <v>OK</v>
      </c>
      <c r="N338" s="78" t="str">
        <f t="shared" si="67"/>
        <v>OK</v>
      </c>
      <c r="O338" s="78" t="str">
        <f t="shared" si="67"/>
        <v>OK</v>
      </c>
      <c r="P338" s="78" t="str">
        <f t="shared" si="67"/>
        <v>OK</v>
      </c>
    </row>
    <row r="339" spans="1:16" x14ac:dyDescent="0.25">
      <c r="A339" s="60" t="s">
        <v>1075</v>
      </c>
      <c r="B339" s="12"/>
      <c r="C339" s="20"/>
      <c r="D339" s="48"/>
      <c r="E339" s="48"/>
      <c r="F339" s="48"/>
      <c r="G339" s="48"/>
      <c r="H339" s="48"/>
      <c r="I339" s="48"/>
      <c r="J339" s="48"/>
      <c r="K339" s="48"/>
      <c r="L339" s="48"/>
      <c r="M339" s="48"/>
      <c r="N339" s="48"/>
      <c r="O339" s="48"/>
      <c r="P339" s="48"/>
    </row>
    <row r="340" spans="1:16" x14ac:dyDescent="0.25">
      <c r="A340" s="12" t="s">
        <v>1076</v>
      </c>
      <c r="B340" s="12" t="str">
        <f>$B$9</f>
        <v>NAC</v>
      </c>
      <c r="C340" s="20"/>
      <c r="D340" s="20">
        <v>9.4619999999999997</v>
      </c>
      <c r="E340" s="20">
        <v>9.5679999999999996</v>
      </c>
      <c r="F340" s="20">
        <v>10.762</v>
      </c>
      <c r="G340" s="20">
        <v>12.88</v>
      </c>
      <c r="H340" s="20">
        <v>14.881</v>
      </c>
      <c r="I340" s="20">
        <v>17.866</v>
      </c>
      <c r="J340" s="20">
        <v>14.958</v>
      </c>
      <c r="K340" s="20">
        <v>18.102</v>
      </c>
      <c r="L340" s="48">
        <v>18.202999999999999</v>
      </c>
      <c r="M340" s="48">
        <v>17.904</v>
      </c>
      <c r="N340" s="48">
        <v>16.213999999999999</v>
      </c>
      <c r="O340" s="48">
        <v>14.148</v>
      </c>
      <c r="P340" s="48">
        <v>13.34</v>
      </c>
    </row>
    <row r="341" spans="1:16" x14ac:dyDescent="0.25">
      <c r="A341" s="12" t="s">
        <v>1077</v>
      </c>
      <c r="B341" s="12" t="str">
        <f t="shared" ref="B341:B350" si="68">$B$9</f>
        <v>NAC</v>
      </c>
      <c r="C341" s="20"/>
      <c r="D341" s="20">
        <v>-1.157</v>
      </c>
      <c r="E341" s="20">
        <v>-1.202</v>
      </c>
      <c r="F341" s="20">
        <v>-1.101</v>
      </c>
      <c r="G341" s="20">
        <v>-2.0110000000000001</v>
      </c>
      <c r="H341" s="20">
        <v>-1.474</v>
      </c>
      <c r="I341" s="20">
        <v>-1.397</v>
      </c>
      <c r="J341" s="20">
        <v>-1.7010000000000001</v>
      </c>
      <c r="K341" s="20">
        <v>-4.08</v>
      </c>
      <c r="L341" s="48">
        <v>-2.2320000000000002</v>
      </c>
      <c r="M341" s="48">
        <v>-1.3149999999999999</v>
      </c>
      <c r="N341" s="48">
        <v>-1.117</v>
      </c>
      <c r="O341" s="48">
        <v>-1.089</v>
      </c>
      <c r="P341" s="48">
        <v>-0.78200000000000003</v>
      </c>
    </row>
    <row r="342" spans="1:16" x14ac:dyDescent="0.25">
      <c r="A342" s="12" t="s">
        <v>1078</v>
      </c>
      <c r="B342" s="12" t="str">
        <f t="shared" si="68"/>
        <v>NAC</v>
      </c>
      <c r="C342" s="20"/>
      <c r="D342" s="20">
        <v>9.6240000000000006</v>
      </c>
      <c r="E342" s="20">
        <v>2.4769999999999999</v>
      </c>
      <c r="F342" s="20">
        <v>16.131</v>
      </c>
      <c r="G342" s="20">
        <v>26.271000000000001</v>
      </c>
      <c r="H342" s="20">
        <v>5.335</v>
      </c>
      <c r="I342" s="20">
        <v>2.7919999999999998</v>
      </c>
      <c r="J342" s="20">
        <v>-3.7170000000000001</v>
      </c>
      <c r="K342" s="20">
        <v>-7.9349999999999996</v>
      </c>
      <c r="L342" s="48">
        <v>0.01</v>
      </c>
      <c r="M342" s="48">
        <v>0</v>
      </c>
      <c r="N342" s="48">
        <v>0</v>
      </c>
      <c r="O342" s="48">
        <v>0</v>
      </c>
      <c r="P342" s="48">
        <v>0</v>
      </c>
    </row>
    <row r="343" spans="1:16" x14ac:dyDescent="0.25">
      <c r="A343" s="12" t="s">
        <v>1079</v>
      </c>
      <c r="B343" s="12" t="str">
        <f t="shared" si="68"/>
        <v>NAC</v>
      </c>
      <c r="C343" s="20"/>
      <c r="D343" s="20">
        <v>-0.14000000000000001</v>
      </c>
      <c r="E343" s="20">
        <v>2.0379999999999998</v>
      </c>
      <c r="F343" s="20">
        <v>-0.247</v>
      </c>
      <c r="G343" s="20">
        <v>-0.30299999999999999</v>
      </c>
      <c r="H343" s="20">
        <v>0.96399999999999997</v>
      </c>
      <c r="I343" s="20">
        <v>-0.40699999999999997</v>
      </c>
      <c r="J343" s="20">
        <v>-0.439</v>
      </c>
      <c r="K343" s="20">
        <v>-0.79500000000000004</v>
      </c>
      <c r="L343" s="48">
        <v>-6.0000000000000001E-3</v>
      </c>
      <c r="M343" s="48">
        <v>-1.0999999999999999E-2</v>
      </c>
      <c r="N343" s="48">
        <v>0.01</v>
      </c>
      <c r="O343" s="48">
        <v>3.0000000000000001E-3</v>
      </c>
      <c r="P343" s="48">
        <v>4.0000000000000001E-3</v>
      </c>
    </row>
    <row r="344" spans="1:16" x14ac:dyDescent="0.25">
      <c r="A344" s="60" t="s">
        <v>1080</v>
      </c>
      <c r="B344" s="12" t="str">
        <f t="shared" si="68"/>
        <v>NAC</v>
      </c>
      <c r="C344" s="21">
        <v>175.01900000000001</v>
      </c>
      <c r="D344" s="77">
        <f>SUM(C$344,D$340:D$343)</f>
        <v>192.80799999999999</v>
      </c>
      <c r="E344" s="77">
        <f t="shared" ref="E344:P344" si="69">SUM(D$344,E$340:E$343)</f>
        <v>205.68900000000002</v>
      </c>
      <c r="F344" s="77">
        <f t="shared" si="69"/>
        <v>231.23400000000001</v>
      </c>
      <c r="G344" s="77">
        <f t="shared" si="69"/>
        <v>268.07100000000003</v>
      </c>
      <c r="H344" s="77">
        <f t="shared" si="69"/>
        <v>287.77699999999999</v>
      </c>
      <c r="I344" s="77">
        <f t="shared" si="69"/>
        <v>306.63099999999997</v>
      </c>
      <c r="J344" s="77">
        <f t="shared" si="69"/>
        <v>315.73199999999997</v>
      </c>
      <c r="K344" s="77">
        <f t="shared" si="69"/>
        <v>321.02399999999994</v>
      </c>
      <c r="L344" s="77">
        <f t="shared" si="69"/>
        <v>336.99899999999991</v>
      </c>
      <c r="M344" s="77">
        <f t="shared" si="69"/>
        <v>353.57699999999988</v>
      </c>
      <c r="N344" s="77">
        <f t="shared" si="69"/>
        <v>368.68399999999986</v>
      </c>
      <c r="O344" s="77">
        <f t="shared" si="69"/>
        <v>381.74599999999987</v>
      </c>
      <c r="P344" s="77">
        <f t="shared" si="69"/>
        <v>394.30799999999988</v>
      </c>
    </row>
    <row r="345" spans="1:16" x14ac:dyDescent="0.25">
      <c r="A345" s="12" t="s">
        <v>1081</v>
      </c>
      <c r="B345" s="12" t="str">
        <f t="shared" si="68"/>
        <v>NAC</v>
      </c>
      <c r="C345" s="20"/>
      <c r="D345" s="20">
        <v>-0.78900000000000003</v>
      </c>
      <c r="E345" s="20">
        <v>-0.68600000000000005</v>
      </c>
      <c r="F345" s="20">
        <v>-0.63600000000000001</v>
      </c>
      <c r="G345" s="20">
        <v>-0.94899999999999995</v>
      </c>
      <c r="H345" s="20">
        <v>-1.0069999999999999</v>
      </c>
      <c r="I345" s="20">
        <v>-0.70899999999999996</v>
      </c>
      <c r="J345" s="20">
        <v>-0.97699999999999998</v>
      </c>
      <c r="K345" s="20">
        <v>-1.54</v>
      </c>
      <c r="L345" s="48">
        <v>-0.17</v>
      </c>
      <c r="M345" s="48">
        <v>-0.17299999999999999</v>
      </c>
      <c r="N345" s="48">
        <v>-0.17</v>
      </c>
      <c r="O345" s="48">
        <v>-0.187</v>
      </c>
      <c r="P345" s="48">
        <v>-0.19600000000000001</v>
      </c>
    </row>
    <row r="346" spans="1:16" x14ac:dyDescent="0.25">
      <c r="A346" s="12" t="s">
        <v>1082</v>
      </c>
      <c r="B346" s="12" t="str">
        <f t="shared" si="68"/>
        <v>NAC</v>
      </c>
      <c r="C346" s="20"/>
      <c r="D346" s="20">
        <v>-2.452</v>
      </c>
      <c r="E346" s="20">
        <v>-2.0859999999999999</v>
      </c>
      <c r="F346" s="20">
        <v>-5.9790000000000001</v>
      </c>
      <c r="G346" s="20">
        <v>-3.3769999999999998</v>
      </c>
      <c r="H346" s="20">
        <v>-5.54</v>
      </c>
      <c r="I346" s="20">
        <v>-4.7750000000000004</v>
      </c>
      <c r="J346" s="20">
        <v>-6.8390000000000004</v>
      </c>
      <c r="K346" s="20">
        <v>-5.258</v>
      </c>
      <c r="L346" s="48">
        <v>0</v>
      </c>
      <c r="M346" s="48">
        <v>0</v>
      </c>
      <c r="N346" s="48">
        <v>0</v>
      </c>
      <c r="O346" s="48">
        <v>0</v>
      </c>
      <c r="P346" s="48">
        <v>0</v>
      </c>
    </row>
    <row r="347" spans="1:16" x14ac:dyDescent="0.25">
      <c r="A347" s="12" t="s">
        <v>1083</v>
      </c>
      <c r="B347" s="12" t="str">
        <f t="shared" si="68"/>
        <v>NAC</v>
      </c>
      <c r="C347" s="20"/>
      <c r="D347" s="20">
        <v>-2.516</v>
      </c>
      <c r="E347" s="20">
        <v>1.1930000000000001</v>
      </c>
      <c r="F347" s="20">
        <v>-5.8000000000000003E-2</v>
      </c>
      <c r="G347" s="20">
        <v>-0.85099999999999998</v>
      </c>
      <c r="H347" s="20">
        <v>0.22</v>
      </c>
      <c r="I347" s="20">
        <v>8.2000000000000003E-2</v>
      </c>
      <c r="J347" s="20">
        <v>7.9000000000000001E-2</v>
      </c>
      <c r="K347" s="20">
        <v>3.6999999999999998E-2</v>
      </c>
      <c r="L347" s="48">
        <v>0</v>
      </c>
      <c r="M347" s="48">
        <v>0</v>
      </c>
      <c r="N347" s="48">
        <v>0</v>
      </c>
      <c r="O347" s="48">
        <v>0</v>
      </c>
      <c r="P347" s="48">
        <v>0</v>
      </c>
    </row>
    <row r="348" spans="1:16" x14ac:dyDescent="0.25">
      <c r="A348" s="12" t="s">
        <v>1084</v>
      </c>
      <c r="B348" s="12" t="str">
        <f>$B$10</f>
        <v>UIM</v>
      </c>
      <c r="C348" s="20"/>
      <c r="D348" s="20">
        <v>4.5540000000000003</v>
      </c>
      <c r="E348" s="20">
        <v>5.2939999999999996</v>
      </c>
      <c r="F348" s="20">
        <v>5.5659999999999998</v>
      </c>
      <c r="G348" s="20">
        <v>6.1520000000000001</v>
      </c>
      <c r="H348" s="20">
        <v>6.601</v>
      </c>
      <c r="I348" s="20">
        <v>7.6210000000000004</v>
      </c>
      <c r="J348" s="20">
        <v>8.2940000000000005</v>
      </c>
      <c r="K348" s="20">
        <v>8.6809999999999992</v>
      </c>
      <c r="L348" s="48">
        <v>8.9619999999999997</v>
      </c>
      <c r="M348" s="48">
        <v>9.2750000000000004</v>
      </c>
      <c r="N348" s="48">
        <v>9.4580000000000002</v>
      </c>
      <c r="O348" s="48">
        <v>9.8339999999999996</v>
      </c>
      <c r="P348" s="48">
        <v>9.9480000000000004</v>
      </c>
    </row>
    <row r="349" spans="1:16" x14ac:dyDescent="0.25">
      <c r="A349" s="12" t="s">
        <v>1079</v>
      </c>
      <c r="B349" s="12" t="str">
        <f t="shared" si="68"/>
        <v>NAC</v>
      </c>
      <c r="C349" s="20"/>
      <c r="D349" s="20">
        <v>0.03</v>
      </c>
      <c r="E349" s="20">
        <v>0.28299999999999997</v>
      </c>
      <c r="F349" s="20">
        <v>-6.2E-2</v>
      </c>
      <c r="G349" s="20">
        <v>-0.104</v>
      </c>
      <c r="H349" s="20">
        <v>1.224</v>
      </c>
      <c r="I349" s="20">
        <v>0.23499999999999999</v>
      </c>
      <c r="J349" s="20">
        <v>-0.26700000000000002</v>
      </c>
      <c r="K349" s="20">
        <v>6.0000000000000001E-3</v>
      </c>
      <c r="L349" s="48">
        <v>-2.7E-2</v>
      </c>
      <c r="M349" s="48">
        <v>0</v>
      </c>
      <c r="N349" s="48">
        <v>-5.0000000000000001E-3</v>
      </c>
      <c r="O349" s="48">
        <v>-2E-3</v>
      </c>
      <c r="P349" s="48">
        <v>-7.0000000000000001E-3</v>
      </c>
    </row>
    <row r="350" spans="1:16" x14ac:dyDescent="0.25">
      <c r="A350" s="60" t="s">
        <v>1085</v>
      </c>
      <c r="B350" s="12" t="str">
        <f t="shared" si="68"/>
        <v>NAC</v>
      </c>
      <c r="C350" s="21">
        <v>16.361999999999998</v>
      </c>
      <c r="D350" s="77">
        <f>SUM(C$350,D$345:D$349)</f>
        <v>15.188999999999998</v>
      </c>
      <c r="E350" s="77">
        <f t="shared" ref="E350:P350" si="70">SUM(D$350,E$345:E$349)</f>
        <v>19.186999999999998</v>
      </c>
      <c r="F350" s="77">
        <f t="shared" si="70"/>
        <v>18.017999999999997</v>
      </c>
      <c r="G350" s="77">
        <f t="shared" si="70"/>
        <v>18.888999999999999</v>
      </c>
      <c r="H350" s="77">
        <f t="shared" si="70"/>
        <v>20.387</v>
      </c>
      <c r="I350" s="77">
        <f t="shared" si="70"/>
        <v>22.841000000000001</v>
      </c>
      <c r="J350" s="77">
        <f t="shared" si="70"/>
        <v>23.131000000000004</v>
      </c>
      <c r="K350" s="77">
        <f t="shared" si="70"/>
        <v>25.057000000000002</v>
      </c>
      <c r="L350" s="77">
        <f t="shared" si="70"/>
        <v>33.822000000000003</v>
      </c>
      <c r="M350" s="77">
        <f t="shared" si="70"/>
        <v>42.923999999999999</v>
      </c>
      <c r="N350" s="77">
        <f t="shared" si="70"/>
        <v>52.206999999999994</v>
      </c>
      <c r="O350" s="77">
        <f t="shared" si="70"/>
        <v>61.851999999999997</v>
      </c>
      <c r="P350" s="77">
        <f t="shared" si="70"/>
        <v>71.596999999999994</v>
      </c>
    </row>
    <row r="351" spans="1:16" x14ac:dyDescent="0.25">
      <c r="A351" s="60" t="s">
        <v>1086</v>
      </c>
      <c r="B351" s="12"/>
      <c r="C351" s="20"/>
      <c r="D351" s="81" t="str">
        <f>IF(ROUND(D$128-(D$344-D$350)-0.006,3)=0,"OK","ERROR")</f>
        <v>OK</v>
      </c>
      <c r="E351" s="78" t="str">
        <f t="shared" ref="E351:P351" si="71">IF(ROUND(E$128-(E$344-E$350),3)=0,"OK","ERROR")</f>
        <v>OK</v>
      </c>
      <c r="F351" s="78" t="str">
        <f t="shared" si="71"/>
        <v>OK</v>
      </c>
      <c r="G351" s="78" t="str">
        <f t="shared" si="71"/>
        <v>OK</v>
      </c>
      <c r="H351" s="78" t="str">
        <f t="shared" si="71"/>
        <v>OK</v>
      </c>
      <c r="I351" s="78" t="str">
        <f t="shared" si="71"/>
        <v>OK</v>
      </c>
      <c r="J351" s="78" t="str">
        <f t="shared" si="71"/>
        <v>OK</v>
      </c>
      <c r="K351" s="78" t="str">
        <f t="shared" si="71"/>
        <v>OK</v>
      </c>
      <c r="L351" s="78" t="str">
        <f t="shared" si="71"/>
        <v>OK</v>
      </c>
      <c r="M351" s="78" t="str">
        <f t="shared" si="71"/>
        <v>OK</v>
      </c>
      <c r="N351" s="78" t="str">
        <f t="shared" si="71"/>
        <v>OK</v>
      </c>
      <c r="O351" s="78" t="str">
        <f t="shared" si="71"/>
        <v>OK</v>
      </c>
      <c r="P351" s="78" t="str">
        <f t="shared" si="71"/>
        <v>OK</v>
      </c>
    </row>
    <row r="352" spans="1:16" x14ac:dyDescent="0.25">
      <c r="A352" s="60" t="s">
        <v>951</v>
      </c>
      <c r="B352" s="12"/>
      <c r="C352" s="20"/>
      <c r="D352" s="48"/>
      <c r="E352" s="48"/>
      <c r="F352" s="48"/>
      <c r="G352" s="48"/>
      <c r="H352" s="48"/>
      <c r="I352" s="48"/>
      <c r="J352" s="48"/>
      <c r="K352" s="48"/>
      <c r="L352" s="48"/>
      <c r="M352" s="48"/>
      <c r="N352" s="48"/>
      <c r="O352" s="48"/>
      <c r="P352" s="48"/>
    </row>
    <row r="353" spans="1:16" x14ac:dyDescent="0.25">
      <c r="A353" s="12" t="s">
        <v>1020</v>
      </c>
      <c r="B353" s="12" t="str">
        <f>$B$10</f>
        <v>UIM</v>
      </c>
      <c r="C353" s="20"/>
      <c r="D353" s="20">
        <v>0.69299999999999995</v>
      </c>
      <c r="E353" s="20">
        <v>0.81599999999999995</v>
      </c>
      <c r="F353" s="20">
        <v>0.83299999999999996</v>
      </c>
      <c r="G353" s="20">
        <v>0.72799999999999998</v>
      </c>
      <c r="H353" s="20">
        <v>0.98099999999999998</v>
      </c>
      <c r="I353" s="20">
        <v>1.008</v>
      </c>
      <c r="J353" s="20">
        <v>0.97899999999999998</v>
      </c>
      <c r="K353" s="20">
        <v>0.88400000000000001</v>
      </c>
      <c r="L353" s="48">
        <v>0.86899999999999999</v>
      </c>
      <c r="M353" s="48">
        <v>0.94099999999999995</v>
      </c>
      <c r="N353" s="48">
        <v>1.016</v>
      </c>
      <c r="O353" s="48">
        <v>1.0840000000000001</v>
      </c>
      <c r="P353" s="48">
        <v>1.1120000000000001</v>
      </c>
    </row>
    <row r="354" spans="1:16" x14ac:dyDescent="0.25">
      <c r="A354" s="12" t="s">
        <v>1056</v>
      </c>
      <c r="B354" s="12" t="str">
        <f>$B$10</f>
        <v>UIM</v>
      </c>
      <c r="C354" s="20"/>
      <c r="D354" s="20">
        <v>1.5569999999999999</v>
      </c>
      <c r="E354" s="20">
        <v>1.526</v>
      </c>
      <c r="F354" s="20">
        <v>1.3640000000000001</v>
      </c>
      <c r="G354" s="20">
        <v>1.772</v>
      </c>
      <c r="H354" s="20">
        <v>1.593</v>
      </c>
      <c r="I354" s="20">
        <v>1.7649999999999999</v>
      </c>
      <c r="J354" s="20">
        <v>1.825</v>
      </c>
      <c r="K354" s="20">
        <v>1.79</v>
      </c>
      <c r="L354" s="48">
        <v>1.8859999999999999</v>
      </c>
      <c r="M354" s="48">
        <v>1.7969999999999999</v>
      </c>
      <c r="N354" s="48">
        <v>1.7669999999999999</v>
      </c>
      <c r="O354" s="48">
        <v>1.7889999999999999</v>
      </c>
      <c r="P354" s="48">
        <v>1.8280000000000001</v>
      </c>
    </row>
    <row r="355" spans="1:16" x14ac:dyDescent="0.25">
      <c r="A355" s="12" t="s">
        <v>1022</v>
      </c>
      <c r="B355" s="12" t="str">
        <f>$B$10</f>
        <v>UIM</v>
      </c>
      <c r="C355" s="20"/>
      <c r="D355" s="20">
        <v>-0.02</v>
      </c>
      <c r="E355" s="20">
        <v>-0.02</v>
      </c>
      <c r="F355" s="20">
        <v>-0.23300000000000004</v>
      </c>
      <c r="G355" s="20">
        <v>-0.26800000000000002</v>
      </c>
      <c r="H355" s="20">
        <v>-0.249</v>
      </c>
      <c r="I355" s="20">
        <v>-0.26600000000000001</v>
      </c>
      <c r="J355" s="20">
        <v>-0.24299999999999999</v>
      </c>
      <c r="K355" s="20">
        <v>-0.16700000000000001</v>
      </c>
      <c r="L355" s="48">
        <v>-0.16300000000000001</v>
      </c>
      <c r="M355" s="48">
        <v>-0.17199999999999999</v>
      </c>
      <c r="N355" s="48">
        <v>-0.17100000000000001</v>
      </c>
      <c r="O355" s="48">
        <v>-0.17199999999999999</v>
      </c>
      <c r="P355" s="48">
        <v>-0.17</v>
      </c>
    </row>
    <row r="356" spans="1:16" x14ac:dyDescent="0.25">
      <c r="A356" s="60" t="s">
        <v>1087</v>
      </c>
      <c r="B356" s="12"/>
      <c r="C356" s="20"/>
      <c r="D356" s="78" t="str">
        <f t="shared" ref="D356:P356" si="72">IF(ROUND(D$130-SUM(D$188,D$353:D$355),3)=0,"OK","ERROR")</f>
        <v>OK</v>
      </c>
      <c r="E356" s="78" t="str">
        <f t="shared" si="72"/>
        <v>OK</v>
      </c>
      <c r="F356" s="78" t="str">
        <f t="shared" si="72"/>
        <v>OK</v>
      </c>
      <c r="G356" s="78" t="str">
        <f t="shared" si="72"/>
        <v>OK</v>
      </c>
      <c r="H356" s="78" t="str">
        <f t="shared" si="72"/>
        <v>OK</v>
      </c>
      <c r="I356" s="78" t="str">
        <f t="shared" si="72"/>
        <v>OK</v>
      </c>
      <c r="J356" s="78" t="str">
        <f t="shared" si="72"/>
        <v>OK</v>
      </c>
      <c r="K356" s="78" t="str">
        <f t="shared" si="72"/>
        <v>OK</v>
      </c>
      <c r="L356" s="78" t="str">
        <f t="shared" si="72"/>
        <v>OK</v>
      </c>
      <c r="M356" s="78" t="str">
        <f t="shared" si="72"/>
        <v>OK</v>
      </c>
      <c r="N356" s="78" t="str">
        <f t="shared" si="72"/>
        <v>OK</v>
      </c>
      <c r="O356" s="78" t="str">
        <f t="shared" si="72"/>
        <v>OK</v>
      </c>
      <c r="P356" s="78" t="str">
        <f t="shared" si="72"/>
        <v>OK</v>
      </c>
    </row>
    <row r="357" spans="1:16" x14ac:dyDescent="0.25">
      <c r="A357" s="60" t="s">
        <v>1088</v>
      </c>
      <c r="B357" s="12"/>
      <c r="C357" s="20"/>
      <c r="D357" s="20"/>
      <c r="E357" s="20"/>
      <c r="F357" s="20"/>
      <c r="G357" s="20"/>
      <c r="H357" s="20"/>
      <c r="I357" s="20"/>
      <c r="J357" s="20"/>
      <c r="K357" s="20"/>
      <c r="L357" s="20"/>
      <c r="M357" s="20"/>
      <c r="N357" s="20"/>
      <c r="O357" s="20"/>
      <c r="P357" s="20"/>
    </row>
    <row r="358" spans="1:16" x14ac:dyDescent="0.25">
      <c r="A358" s="12" t="s">
        <v>524</v>
      </c>
      <c r="B358" s="12" t="str">
        <f t="shared" ref="B358:B363" si="73">$B$10</f>
        <v>UIM</v>
      </c>
      <c r="C358" s="20"/>
      <c r="D358" s="20">
        <v>0.98199999999999998</v>
      </c>
      <c r="E358" s="20">
        <v>0.80300000000000005</v>
      </c>
      <c r="F358" s="20">
        <v>0.74199999999999999</v>
      </c>
      <c r="G358" s="20">
        <v>1.077</v>
      </c>
      <c r="H358" s="20">
        <v>1.32</v>
      </c>
      <c r="I358" s="20">
        <v>1.659</v>
      </c>
      <c r="J358" s="20">
        <v>1.784</v>
      </c>
      <c r="K358" s="20">
        <v>1.794</v>
      </c>
      <c r="L358" s="48">
        <v>1.7829999999999999</v>
      </c>
      <c r="M358" s="48">
        <v>1.8460000000000001</v>
      </c>
      <c r="N358" s="48">
        <v>1.9339999999999999</v>
      </c>
      <c r="O358" s="48">
        <v>2.0230000000000001</v>
      </c>
      <c r="P358" s="48">
        <v>2.117</v>
      </c>
    </row>
    <row r="359" spans="1:16" x14ac:dyDescent="0.25">
      <c r="A359" s="12" t="s">
        <v>1089</v>
      </c>
      <c r="B359" s="12" t="str">
        <f t="shared" si="73"/>
        <v>UIM</v>
      </c>
      <c r="C359" s="20"/>
      <c r="D359" s="20">
        <v>0.504</v>
      </c>
      <c r="E359" s="20">
        <v>0.44800000000000001</v>
      </c>
      <c r="F359" s="20">
        <v>2.1560000000000001</v>
      </c>
      <c r="G359" s="20">
        <v>3.5000000000000003E-2</v>
      </c>
      <c r="H359" s="20">
        <v>0.127</v>
      </c>
      <c r="I359" s="20">
        <v>1.29</v>
      </c>
      <c r="J359" s="20">
        <v>1.7549999999999999</v>
      </c>
      <c r="K359" s="20">
        <v>1.196</v>
      </c>
      <c r="L359" s="48">
        <v>1.1910000000000001</v>
      </c>
      <c r="M359" s="48">
        <v>1.2689999999999999</v>
      </c>
      <c r="N359" s="48">
        <v>1.351</v>
      </c>
      <c r="O359" s="48">
        <v>1.4419999999999999</v>
      </c>
      <c r="P359" s="48">
        <v>1.54</v>
      </c>
    </row>
    <row r="360" spans="1:16" x14ac:dyDescent="0.25">
      <c r="A360" s="12" t="s">
        <v>1090</v>
      </c>
      <c r="B360" s="12" t="str">
        <f t="shared" si="73"/>
        <v>UIM</v>
      </c>
      <c r="C360" s="20"/>
      <c r="D360" s="20">
        <v>0.13</v>
      </c>
      <c r="E360" s="20">
        <v>0.15</v>
      </c>
      <c r="F360" s="20">
        <v>0.125</v>
      </c>
      <c r="G360" s="20">
        <v>-0.51700000000000002</v>
      </c>
      <c r="H360" s="20">
        <v>1.054</v>
      </c>
      <c r="I360" s="20">
        <v>0.189</v>
      </c>
      <c r="J360" s="20">
        <v>0.193</v>
      </c>
      <c r="K360" s="20">
        <v>0.215</v>
      </c>
      <c r="L360" s="48">
        <v>0.32200000000000001</v>
      </c>
      <c r="M360" s="48">
        <v>0.33600000000000002</v>
      </c>
      <c r="N360" s="48">
        <v>0.35199999999999998</v>
      </c>
      <c r="O360" s="48">
        <v>0.371</v>
      </c>
      <c r="P360" s="48">
        <v>0.39100000000000001</v>
      </c>
    </row>
    <row r="361" spans="1:16" x14ac:dyDescent="0.25">
      <c r="A361" s="12" t="s">
        <v>1091</v>
      </c>
      <c r="B361" s="12" t="str">
        <f t="shared" si="73"/>
        <v>UIM</v>
      </c>
      <c r="C361" s="20"/>
      <c r="D361" s="20">
        <v>1.9550000000000001</v>
      </c>
      <c r="E361" s="20">
        <v>1.7000000000000001E-2</v>
      </c>
      <c r="F361" s="20">
        <v>12.786</v>
      </c>
      <c r="G361" s="20">
        <v>-5.133</v>
      </c>
      <c r="H361" s="20">
        <v>5.766</v>
      </c>
      <c r="I361" s="20">
        <v>8.3520000000000003</v>
      </c>
      <c r="J361" s="20">
        <v>7.3129999999999997</v>
      </c>
      <c r="K361" s="20">
        <v>10.266999999999999</v>
      </c>
      <c r="L361" s="48">
        <v>5.2359999999999998</v>
      </c>
      <c r="M361" s="48">
        <v>5.6260000000000003</v>
      </c>
      <c r="N361" s="48">
        <v>6.0119999999999996</v>
      </c>
      <c r="O361" s="48">
        <v>6.4580000000000002</v>
      </c>
      <c r="P361" s="48">
        <v>6.9329999999999998</v>
      </c>
    </row>
    <row r="362" spans="1:16" x14ac:dyDescent="0.25">
      <c r="A362" s="12" t="s">
        <v>1092</v>
      </c>
      <c r="B362" s="12" t="str">
        <f t="shared" si="73"/>
        <v>UIM</v>
      </c>
      <c r="C362" s="20"/>
      <c r="D362" s="20">
        <v>1</v>
      </c>
      <c r="E362" s="20">
        <v>1.46</v>
      </c>
      <c r="F362" s="20">
        <v>2.12</v>
      </c>
      <c r="G362" s="20">
        <v>2.42</v>
      </c>
      <c r="H362" s="20">
        <v>2.5579999999999998</v>
      </c>
      <c r="I362" s="20">
        <v>1.6140000000000001</v>
      </c>
      <c r="J362" s="20">
        <v>0.879</v>
      </c>
      <c r="K362" s="20">
        <v>0</v>
      </c>
      <c r="L362" s="48">
        <v>0.56200000000000006</v>
      </c>
      <c r="M362" s="48">
        <v>0.155</v>
      </c>
      <c r="N362" s="48">
        <v>0.35</v>
      </c>
      <c r="O362" s="48">
        <v>0.44900000000000001</v>
      </c>
      <c r="P362" s="48">
        <v>0.47299999999999998</v>
      </c>
    </row>
    <row r="363" spans="1:16" x14ac:dyDescent="0.25">
      <c r="A363" s="12" t="s">
        <v>529</v>
      </c>
      <c r="B363" s="12" t="str">
        <f t="shared" si="73"/>
        <v>UIM</v>
      </c>
      <c r="C363" s="20"/>
      <c r="D363" s="20">
        <v>8.8999999999999996E-2</v>
      </c>
      <c r="E363" s="20">
        <v>-0.13</v>
      </c>
      <c r="F363" s="20">
        <v>1E-3</v>
      </c>
      <c r="G363" s="20">
        <v>-1E-3</v>
      </c>
      <c r="H363" s="20">
        <v>0</v>
      </c>
      <c r="I363" s="20">
        <v>0</v>
      </c>
      <c r="J363" s="20">
        <v>0</v>
      </c>
      <c r="K363" s="20">
        <v>0</v>
      </c>
      <c r="L363" s="48">
        <v>0</v>
      </c>
      <c r="M363" s="48">
        <v>0</v>
      </c>
      <c r="N363" s="48">
        <v>0</v>
      </c>
      <c r="O363" s="48">
        <v>0</v>
      </c>
      <c r="P363" s="48">
        <v>0</v>
      </c>
    </row>
    <row r="364" spans="1:16" x14ac:dyDescent="0.25">
      <c r="A364" s="60" t="s">
        <v>1093</v>
      </c>
      <c r="B364" s="12" t="str">
        <f>$B$9</f>
        <v>NAC</v>
      </c>
      <c r="C364" s="21">
        <v>39.052999999999997</v>
      </c>
      <c r="D364" s="77">
        <f>SUM(C$364,D$358,-D$359,-D$360,D$361,D$362,D$363)</f>
        <v>42.444999999999993</v>
      </c>
      <c r="E364" s="77">
        <f t="shared" ref="E364:P364" si="74">SUM(D$364,E$358,-E$359,-E$360,E$361,E$362,E$363)</f>
        <v>43.996999999999993</v>
      </c>
      <c r="F364" s="77">
        <f t="shared" si="74"/>
        <v>57.364999999999988</v>
      </c>
      <c r="G364" s="77">
        <f t="shared" si="74"/>
        <v>56.209999999999994</v>
      </c>
      <c r="H364" s="77">
        <f t="shared" si="74"/>
        <v>64.672999999999988</v>
      </c>
      <c r="I364" s="77">
        <f t="shared" si="74"/>
        <v>74.819000000000003</v>
      </c>
      <c r="J364" s="77">
        <f t="shared" si="74"/>
        <v>82.847000000000023</v>
      </c>
      <c r="K364" s="77">
        <f t="shared" si="74"/>
        <v>93.497000000000014</v>
      </c>
      <c r="L364" s="77">
        <f t="shared" si="74"/>
        <v>99.565000000000012</v>
      </c>
      <c r="M364" s="77">
        <f t="shared" si="74"/>
        <v>105.58700000000002</v>
      </c>
      <c r="N364" s="77">
        <f t="shared" si="74"/>
        <v>112.18</v>
      </c>
      <c r="O364" s="77">
        <f t="shared" si="74"/>
        <v>119.29700000000001</v>
      </c>
      <c r="P364" s="77">
        <f t="shared" si="74"/>
        <v>126.889</v>
      </c>
    </row>
    <row r="365" spans="1:16" x14ac:dyDescent="0.25">
      <c r="A365" s="12" t="s">
        <v>1094</v>
      </c>
      <c r="B365" s="12" t="str">
        <f>$B$10</f>
        <v>UIM</v>
      </c>
      <c r="C365" s="20"/>
      <c r="D365" s="20">
        <v>44.307000000000002</v>
      </c>
      <c r="E365" s="20">
        <v>48.220999999999997</v>
      </c>
      <c r="F365" s="20">
        <v>62.311999999999998</v>
      </c>
      <c r="G365" s="20">
        <v>65.411000000000001</v>
      </c>
      <c r="H365" s="20">
        <v>68.233999999999995</v>
      </c>
      <c r="I365" s="20">
        <v>79.058000000000007</v>
      </c>
      <c r="J365" s="20">
        <v>87.295000000000002</v>
      </c>
      <c r="K365" s="20">
        <v>98.241</v>
      </c>
      <c r="L365" s="48">
        <v>105.30500000000001</v>
      </c>
      <c r="M365" s="48">
        <v>112.79900000000001</v>
      </c>
      <c r="N365" s="48">
        <v>118.80200000000001</v>
      </c>
      <c r="O365" s="48">
        <v>125.7</v>
      </c>
      <c r="P365" s="48">
        <v>133.26300000000001</v>
      </c>
    </row>
    <row r="366" spans="1:16" x14ac:dyDescent="0.25">
      <c r="A366" s="12" t="s">
        <v>1095</v>
      </c>
      <c r="B366" s="12" t="str">
        <f>$B$10</f>
        <v>UIM</v>
      </c>
      <c r="C366" s="20"/>
      <c r="D366" s="20">
        <v>-1.9910000000000001</v>
      </c>
      <c r="E366" s="20">
        <v>-4.226</v>
      </c>
      <c r="F366" s="20">
        <v>-4.9489999999999998</v>
      </c>
      <c r="G366" s="20">
        <v>-9.1020000000000003</v>
      </c>
      <c r="H366" s="20">
        <v>-3.5009999999999999</v>
      </c>
      <c r="I366" s="20">
        <v>-4.2350000000000003</v>
      </c>
      <c r="J366" s="20">
        <v>-4.5149999999999997</v>
      </c>
      <c r="K366" s="20">
        <v>-4.7569999999999997</v>
      </c>
      <c r="L366" s="48">
        <v>-5.7220000000000004</v>
      </c>
      <c r="M366" s="48">
        <v>-7.1920000000000002</v>
      </c>
      <c r="N366" s="48">
        <v>-6.5979999999999999</v>
      </c>
      <c r="O366" s="48">
        <v>-6.3760000000000003</v>
      </c>
      <c r="P366" s="48">
        <v>-6.343</v>
      </c>
    </row>
    <row r="367" spans="1:16" x14ac:dyDescent="0.25">
      <c r="A367" s="12" t="s">
        <v>1096</v>
      </c>
      <c r="B367" s="12" t="str">
        <f>$B$10</f>
        <v>UIM</v>
      </c>
      <c r="C367" s="20"/>
      <c r="D367" s="20">
        <v>0</v>
      </c>
      <c r="E367" s="20">
        <v>2E-3</v>
      </c>
      <c r="F367" s="20">
        <v>2E-3</v>
      </c>
      <c r="G367" s="20">
        <v>-9.9000000000000005E-2</v>
      </c>
      <c r="H367" s="20">
        <v>-0.06</v>
      </c>
      <c r="I367" s="20">
        <v>-4.0000000000000001E-3</v>
      </c>
      <c r="J367" s="20">
        <v>6.7000000000000004E-2</v>
      </c>
      <c r="K367" s="20">
        <v>1.2999999999999999E-2</v>
      </c>
      <c r="L367" s="48">
        <v>-1.7999999999999999E-2</v>
      </c>
      <c r="M367" s="48">
        <v>-0.02</v>
      </c>
      <c r="N367" s="48">
        <v>-2.4E-2</v>
      </c>
      <c r="O367" s="48">
        <v>-2.7E-2</v>
      </c>
      <c r="P367" s="48">
        <v>-3.1E-2</v>
      </c>
    </row>
    <row r="368" spans="1:16" x14ac:dyDescent="0.25">
      <c r="A368" s="60" t="s">
        <v>1097</v>
      </c>
      <c r="B368" s="12"/>
      <c r="C368" s="20"/>
      <c r="D368" s="81" t="str">
        <f>IF(ROUND(D$364-SUM(D$365:D$367)-0.129,3)=0,"OK","ERROR")</f>
        <v>OK</v>
      </c>
      <c r="E368" s="78" t="str">
        <f t="shared" ref="E368:P368" si="75">IF(ROUND(E$364-SUM(E$365:E$367),3)=0,"OK","ERROR")</f>
        <v>OK</v>
      </c>
      <c r="F368" s="78" t="str">
        <f t="shared" si="75"/>
        <v>OK</v>
      </c>
      <c r="G368" s="78" t="str">
        <f t="shared" si="75"/>
        <v>OK</v>
      </c>
      <c r="H368" s="78" t="str">
        <f t="shared" si="75"/>
        <v>OK</v>
      </c>
      <c r="I368" s="78" t="str">
        <f t="shared" si="75"/>
        <v>OK</v>
      </c>
      <c r="J368" s="78" t="str">
        <f t="shared" si="75"/>
        <v>OK</v>
      </c>
      <c r="K368" s="78" t="str">
        <f t="shared" si="75"/>
        <v>OK</v>
      </c>
      <c r="L368" s="78" t="str">
        <f t="shared" si="75"/>
        <v>OK</v>
      </c>
      <c r="M368" s="78" t="str">
        <f t="shared" si="75"/>
        <v>OK</v>
      </c>
      <c r="N368" s="78" t="str">
        <f t="shared" si="75"/>
        <v>OK</v>
      </c>
      <c r="O368" s="78" t="str">
        <f t="shared" si="75"/>
        <v>OK</v>
      </c>
      <c r="P368" s="78" t="str">
        <f t="shared" si="75"/>
        <v>OK</v>
      </c>
    </row>
    <row r="369" spans="1:16" x14ac:dyDescent="0.25">
      <c r="A369" s="60" t="s">
        <v>956</v>
      </c>
      <c r="B369" s="12"/>
      <c r="C369" s="20"/>
      <c r="D369" s="48"/>
      <c r="E369" s="48"/>
      <c r="F369" s="48"/>
      <c r="G369" s="48"/>
      <c r="H369" s="48"/>
      <c r="I369" s="48"/>
      <c r="J369" s="48"/>
      <c r="K369" s="48"/>
      <c r="L369" s="48"/>
      <c r="M369" s="48"/>
      <c r="N369" s="48"/>
      <c r="O369" s="48"/>
      <c r="P369" s="48"/>
    </row>
    <row r="370" spans="1:16" x14ac:dyDescent="0.25">
      <c r="A370" s="12" t="s">
        <v>1098</v>
      </c>
      <c r="B370" s="12" t="str">
        <f>$B$9</f>
        <v>NAC</v>
      </c>
      <c r="C370" s="20"/>
      <c r="D370" s="20">
        <v>10.449</v>
      </c>
      <c r="E370" s="20">
        <v>11.928000000000001</v>
      </c>
      <c r="F370" s="20">
        <v>12.179</v>
      </c>
      <c r="G370" s="20">
        <v>15.933</v>
      </c>
      <c r="H370" s="20">
        <v>12.52</v>
      </c>
      <c r="I370" s="20">
        <v>13.212999999999999</v>
      </c>
      <c r="J370" s="20">
        <v>14.933</v>
      </c>
      <c r="K370" s="20">
        <v>13.538</v>
      </c>
      <c r="L370" s="48">
        <v>13.33</v>
      </c>
      <c r="M370" s="48">
        <v>14.852</v>
      </c>
      <c r="N370" s="48">
        <v>14.295999999999999</v>
      </c>
      <c r="O370" s="48">
        <v>14.228</v>
      </c>
      <c r="P370" s="48">
        <v>13.928000000000001</v>
      </c>
    </row>
    <row r="371" spans="1:16" x14ac:dyDescent="0.25">
      <c r="A371" s="12" t="s">
        <v>1099</v>
      </c>
      <c r="B371" s="12" t="str">
        <f>$B$10</f>
        <v>UIM</v>
      </c>
      <c r="C371" s="20"/>
      <c r="D371" s="20">
        <v>6.2930000000000001</v>
      </c>
      <c r="E371" s="20">
        <v>5.0430000000000001</v>
      </c>
      <c r="F371" s="20">
        <v>5.3979999999999997</v>
      </c>
      <c r="G371" s="20">
        <v>5.4870000000000001</v>
      </c>
      <c r="H371" s="20">
        <v>6.2060000000000004</v>
      </c>
      <c r="I371" s="20">
        <v>6.65</v>
      </c>
      <c r="J371" s="20">
        <v>7.024</v>
      </c>
      <c r="K371" s="20">
        <v>6.77</v>
      </c>
      <c r="L371" s="48">
        <v>7.0110000000000001</v>
      </c>
      <c r="M371" s="48">
        <v>7.3529999999999998</v>
      </c>
      <c r="N371" s="48">
        <v>7.5469999999999997</v>
      </c>
      <c r="O371" s="48">
        <v>7.7809999999999997</v>
      </c>
      <c r="P371" s="48">
        <v>8.1940000000000008</v>
      </c>
    </row>
    <row r="372" spans="1:16" x14ac:dyDescent="0.25">
      <c r="A372" s="60" t="s">
        <v>1100</v>
      </c>
      <c r="B372" s="12"/>
      <c r="C372" s="20"/>
      <c r="D372" s="78" t="str">
        <f t="shared" ref="D372:P372" si="76">IF(ROUND(D$135-SUM(D$370:D$371),3)=0,"OK","ERROR")</f>
        <v>OK</v>
      </c>
      <c r="E372" s="78" t="str">
        <f t="shared" si="76"/>
        <v>OK</v>
      </c>
      <c r="F372" s="78" t="str">
        <f t="shared" si="76"/>
        <v>OK</v>
      </c>
      <c r="G372" s="78" t="str">
        <f t="shared" si="76"/>
        <v>OK</v>
      </c>
      <c r="H372" s="78" t="str">
        <f t="shared" si="76"/>
        <v>OK</v>
      </c>
      <c r="I372" s="78" t="str">
        <f t="shared" si="76"/>
        <v>OK</v>
      </c>
      <c r="J372" s="78" t="str">
        <f t="shared" si="76"/>
        <v>OK</v>
      </c>
      <c r="K372" s="78" t="str">
        <f t="shared" si="76"/>
        <v>OK</v>
      </c>
      <c r="L372" s="78" t="str">
        <f t="shared" si="76"/>
        <v>OK</v>
      </c>
      <c r="M372" s="78" t="str">
        <f t="shared" si="76"/>
        <v>OK</v>
      </c>
      <c r="N372" s="78" t="str">
        <f t="shared" si="76"/>
        <v>OK</v>
      </c>
      <c r="O372" s="78" t="str">
        <f t="shared" si="76"/>
        <v>OK</v>
      </c>
      <c r="P372" s="78" t="str">
        <f t="shared" si="76"/>
        <v>OK</v>
      </c>
    </row>
    <row r="373" spans="1:16" x14ac:dyDescent="0.25">
      <c r="A373" s="60" t="s">
        <v>1101</v>
      </c>
      <c r="B373" s="12"/>
      <c r="C373" s="20"/>
      <c r="D373" s="20"/>
      <c r="E373" s="20"/>
      <c r="F373" s="20"/>
      <c r="G373" s="20"/>
      <c r="H373" s="20"/>
      <c r="I373" s="20"/>
      <c r="J373" s="20"/>
      <c r="K373" s="20"/>
      <c r="L373" s="20"/>
      <c r="M373" s="20"/>
      <c r="N373" s="20"/>
      <c r="O373" s="20"/>
      <c r="P373" s="20"/>
    </row>
    <row r="374" spans="1:16" x14ac:dyDescent="0.25">
      <c r="A374" s="12" t="s">
        <v>1102</v>
      </c>
      <c r="B374" s="12" t="str">
        <f>$B$10</f>
        <v>UIM</v>
      </c>
      <c r="C374" s="20"/>
      <c r="D374" s="20">
        <v>0</v>
      </c>
      <c r="E374" s="20">
        <v>0</v>
      </c>
      <c r="F374" s="20">
        <v>0.33600000000000002</v>
      </c>
      <c r="G374" s="20">
        <v>2.0960000000000001</v>
      </c>
      <c r="H374" s="20">
        <v>0.83199999999999996</v>
      </c>
      <c r="I374" s="20">
        <v>0.21</v>
      </c>
      <c r="J374" s="20">
        <v>0.26700000000000002</v>
      </c>
      <c r="K374" s="20">
        <v>4.0000000000000001E-3</v>
      </c>
      <c r="L374" s="48">
        <v>0.12</v>
      </c>
      <c r="M374" s="48">
        <v>0.2</v>
      </c>
      <c r="N374" s="48">
        <v>0.14899999999999999</v>
      </c>
      <c r="O374" s="48">
        <v>0.104</v>
      </c>
      <c r="P374" s="48">
        <v>3.6999999999999998E-2</v>
      </c>
    </row>
    <row r="375" spans="1:16" x14ac:dyDescent="0.25">
      <c r="A375" s="12" t="s">
        <v>1103</v>
      </c>
      <c r="B375" s="12" t="str">
        <f>$B$9</f>
        <v>NAC</v>
      </c>
      <c r="C375" s="20"/>
      <c r="D375" s="20">
        <v>0.42499999999999999</v>
      </c>
      <c r="E375" s="20">
        <v>0.82699999999999996</v>
      </c>
      <c r="F375" s="20">
        <v>1.5149999999999999</v>
      </c>
      <c r="G375" s="20">
        <v>3.0059999999999998</v>
      </c>
      <c r="H375" s="20">
        <v>1.583</v>
      </c>
      <c r="I375" s="20">
        <v>1.69</v>
      </c>
      <c r="J375" s="20">
        <v>1.774</v>
      </c>
      <c r="K375" s="20">
        <v>1.706</v>
      </c>
      <c r="L375" s="48">
        <v>1.786</v>
      </c>
      <c r="M375" s="48">
        <v>1.754</v>
      </c>
      <c r="N375" s="48">
        <v>1.73</v>
      </c>
      <c r="O375" s="48">
        <v>1.6439999999999999</v>
      </c>
      <c r="P375" s="48">
        <v>1.5589999999999999</v>
      </c>
    </row>
    <row r="376" spans="1:16" x14ac:dyDescent="0.25">
      <c r="A376" s="12" t="s">
        <v>1104</v>
      </c>
      <c r="B376" s="12" t="str">
        <f>$B$10</f>
        <v>UIM</v>
      </c>
      <c r="C376" s="20"/>
      <c r="D376" s="20">
        <v>0.54300000000000004</v>
      </c>
      <c r="E376" s="20">
        <v>0.65</v>
      </c>
      <c r="F376" s="20">
        <v>1.853</v>
      </c>
      <c r="G376" s="20">
        <v>1.4890000000000001</v>
      </c>
      <c r="H376" s="20">
        <v>1.103</v>
      </c>
      <c r="I376" s="20">
        <v>0.83399999999999996</v>
      </c>
      <c r="J376" s="20">
        <v>1.075</v>
      </c>
      <c r="K376" s="20">
        <v>1.2929999999999999</v>
      </c>
      <c r="L376" s="48">
        <v>1.23</v>
      </c>
      <c r="M376" s="48">
        <v>1.304</v>
      </c>
      <c r="N376" s="48">
        <v>1.369</v>
      </c>
      <c r="O376" s="48">
        <v>1.4179999999999999</v>
      </c>
      <c r="P376" s="48">
        <v>1.446</v>
      </c>
    </row>
    <row r="377" spans="1:16" x14ac:dyDescent="0.25">
      <c r="A377" s="12" t="s">
        <v>1105</v>
      </c>
      <c r="B377" s="12" t="str">
        <f>$B$9</f>
        <v>NAC</v>
      </c>
      <c r="C377" s="20"/>
      <c r="D377" s="20">
        <v>-0.22500000000000001</v>
      </c>
      <c r="E377" s="20">
        <v>-1.097</v>
      </c>
      <c r="F377" s="20">
        <v>-1.4890000000000001</v>
      </c>
      <c r="G377" s="20">
        <v>-4.9169999999999998</v>
      </c>
      <c r="H377" s="20">
        <v>5.62</v>
      </c>
      <c r="I377" s="20">
        <v>-1.17</v>
      </c>
      <c r="J377" s="20">
        <v>-1.018</v>
      </c>
      <c r="K377" s="20">
        <v>0.46200000000000002</v>
      </c>
      <c r="L377" s="48">
        <v>-1.4E-2</v>
      </c>
      <c r="M377" s="48">
        <v>0</v>
      </c>
      <c r="N377" s="48">
        <v>0</v>
      </c>
      <c r="O377" s="48">
        <v>0</v>
      </c>
      <c r="P377" s="48">
        <v>0</v>
      </c>
    </row>
    <row r="378" spans="1:16" x14ac:dyDescent="0.25">
      <c r="A378" s="12" t="s">
        <v>1106</v>
      </c>
      <c r="B378" s="12" t="str">
        <f>$B$9</f>
        <v>NAC</v>
      </c>
      <c r="C378" s="20"/>
      <c r="D378" s="20">
        <v>0</v>
      </c>
      <c r="E378" s="20">
        <v>0</v>
      </c>
      <c r="F378" s="20">
        <v>-0.14299999999999999</v>
      </c>
      <c r="G378" s="20">
        <v>-1.2E-2</v>
      </c>
      <c r="H378" s="20">
        <v>8.5000000000000006E-2</v>
      </c>
      <c r="I378" s="20">
        <v>-2.3E-2</v>
      </c>
      <c r="J378" s="20">
        <v>-5.6000000000000001E-2</v>
      </c>
      <c r="K378" s="20">
        <v>-6.0000000000000001E-3</v>
      </c>
      <c r="L378" s="48">
        <v>-7.5999999999999998E-2</v>
      </c>
      <c r="M378" s="48">
        <v>-0.123</v>
      </c>
      <c r="N378" s="48">
        <v>-0.10100000000000001</v>
      </c>
      <c r="O378" s="48">
        <v>-0.127</v>
      </c>
      <c r="P378" s="48">
        <v>-9.9000000000000005E-2</v>
      </c>
    </row>
    <row r="379" spans="1:16" x14ac:dyDescent="0.25">
      <c r="A379" s="60" t="s">
        <v>1107</v>
      </c>
      <c r="B379" s="12"/>
      <c r="C379" s="20"/>
      <c r="D379" s="78" t="str">
        <f t="shared" ref="D379:P379" si="77">IF(ROUND(D$138-SUM(C$138,D$374,-D$375,D$376,-D$377,D$378),3)=0,"OK","ERROR")</f>
        <v>OK</v>
      </c>
      <c r="E379" s="78" t="str">
        <f t="shared" si="77"/>
        <v>OK</v>
      </c>
      <c r="F379" s="78" t="str">
        <f t="shared" si="77"/>
        <v>OK</v>
      </c>
      <c r="G379" s="78" t="str">
        <f t="shared" si="77"/>
        <v>OK</v>
      </c>
      <c r="H379" s="78" t="str">
        <f t="shared" si="77"/>
        <v>OK</v>
      </c>
      <c r="I379" s="78" t="str">
        <f t="shared" si="77"/>
        <v>OK</v>
      </c>
      <c r="J379" s="78" t="str">
        <f t="shared" si="77"/>
        <v>OK</v>
      </c>
      <c r="K379" s="78" t="str">
        <f t="shared" si="77"/>
        <v>OK</v>
      </c>
      <c r="L379" s="78" t="str">
        <f t="shared" si="77"/>
        <v>OK</v>
      </c>
      <c r="M379" s="78" t="str">
        <f t="shared" si="77"/>
        <v>OK</v>
      </c>
      <c r="N379" s="78" t="str">
        <f t="shared" si="77"/>
        <v>OK</v>
      </c>
      <c r="O379" s="78" t="str">
        <f t="shared" si="77"/>
        <v>OK</v>
      </c>
      <c r="P379" s="78" t="str">
        <f t="shared" si="77"/>
        <v>OK</v>
      </c>
    </row>
    <row r="380" spans="1:16" x14ac:dyDescent="0.25">
      <c r="A380" s="60" t="s">
        <v>959</v>
      </c>
      <c r="B380" s="12"/>
      <c r="C380" s="20"/>
      <c r="D380" s="48"/>
      <c r="E380" s="48"/>
      <c r="F380" s="48"/>
      <c r="G380" s="48"/>
      <c r="H380" s="48"/>
      <c r="I380" s="48"/>
      <c r="J380" s="48"/>
      <c r="K380" s="48"/>
      <c r="L380" s="48"/>
      <c r="M380" s="48"/>
      <c r="N380" s="48"/>
      <c r="O380" s="48"/>
      <c r="P380" s="48"/>
    </row>
    <row r="381" spans="1:16" x14ac:dyDescent="0.25">
      <c r="A381" s="12" t="s">
        <v>1039</v>
      </c>
      <c r="B381" s="12" t="str">
        <f>$B$10</f>
        <v>UIM</v>
      </c>
      <c r="C381" s="20"/>
      <c r="D381" s="20">
        <v>56.610999999999997</v>
      </c>
      <c r="E381" s="20">
        <v>64.945999999999998</v>
      </c>
      <c r="F381" s="20">
        <v>59.133000000000003</v>
      </c>
      <c r="G381" s="20">
        <v>54.115000000000002</v>
      </c>
      <c r="H381" s="20">
        <v>55.664000000000001</v>
      </c>
      <c r="I381" s="20">
        <v>65.049000000000007</v>
      </c>
      <c r="J381" s="20">
        <v>68.766000000000005</v>
      </c>
      <c r="K381" s="20">
        <v>73.116</v>
      </c>
      <c r="L381" s="48">
        <v>62.813000000000002</v>
      </c>
      <c r="M381" s="48">
        <v>64.894000000000005</v>
      </c>
      <c r="N381" s="48">
        <v>67.055999999999997</v>
      </c>
      <c r="O381" s="48">
        <v>69.384</v>
      </c>
      <c r="P381" s="48">
        <v>71.867999999999995</v>
      </c>
    </row>
    <row r="382" spans="1:16" x14ac:dyDescent="0.25">
      <c r="A382" s="12" t="s">
        <v>1040</v>
      </c>
      <c r="B382" s="12" t="str">
        <f>$B$10</f>
        <v>UIM</v>
      </c>
      <c r="C382" s="20"/>
      <c r="D382" s="20">
        <v>1.3420000000000001</v>
      </c>
      <c r="E382" s="20">
        <v>1.528</v>
      </c>
      <c r="F382" s="20">
        <v>0.80300000000000005</v>
      </c>
      <c r="G382" s="20">
        <v>0.86299999999999999</v>
      </c>
      <c r="H382" s="20">
        <v>1.617</v>
      </c>
      <c r="I382" s="20">
        <v>1.3009999999999999</v>
      </c>
      <c r="J382" s="20">
        <v>1.2729999999999999</v>
      </c>
      <c r="K382" s="20">
        <v>1.137</v>
      </c>
      <c r="L382" s="48">
        <v>1.002</v>
      </c>
      <c r="M382" s="48">
        <v>0.94299999999999995</v>
      </c>
      <c r="N382" s="48">
        <v>0.89900000000000002</v>
      </c>
      <c r="O382" s="48">
        <v>0.86899999999999999</v>
      </c>
      <c r="P382" s="48">
        <v>0.85099999999999998</v>
      </c>
    </row>
    <row r="383" spans="1:16" x14ac:dyDescent="0.25">
      <c r="A383" s="12" t="s">
        <v>1108</v>
      </c>
      <c r="B383" s="12" t="str">
        <f>$B$10</f>
        <v>UIM</v>
      </c>
      <c r="C383" s="20"/>
      <c r="D383" s="20">
        <v>0.26300000000000001</v>
      </c>
      <c r="E383" s="20">
        <v>0.216</v>
      </c>
      <c r="F383" s="20">
        <v>0.4</v>
      </c>
      <c r="G383" s="20">
        <v>0.32300000000000001</v>
      </c>
      <c r="H383" s="20">
        <v>0.23</v>
      </c>
      <c r="I383" s="20">
        <v>0.22500000000000001</v>
      </c>
      <c r="J383" s="20">
        <v>0.28699999999999998</v>
      </c>
      <c r="K383" s="20">
        <v>0.29099999999999998</v>
      </c>
      <c r="L383" s="48">
        <v>0.24</v>
      </c>
      <c r="M383" s="48">
        <v>0.216</v>
      </c>
      <c r="N383" s="48">
        <v>0.2</v>
      </c>
      <c r="O383" s="48">
        <v>0.189</v>
      </c>
      <c r="P383" s="48">
        <v>0.18099999999999999</v>
      </c>
    </row>
    <row r="384" spans="1:16" x14ac:dyDescent="0.25">
      <c r="A384" s="60" t="s">
        <v>1109</v>
      </c>
      <c r="B384" s="12"/>
      <c r="C384" s="20"/>
      <c r="D384" s="78" t="str">
        <f t="shared" ref="D384:P384" si="78">IF(ROUND(D$139-SUM(D$381:D$383),3)=0,"OK","ERROR")</f>
        <v>OK</v>
      </c>
      <c r="E384" s="78" t="str">
        <f t="shared" si="78"/>
        <v>OK</v>
      </c>
      <c r="F384" s="78" t="str">
        <f t="shared" si="78"/>
        <v>OK</v>
      </c>
      <c r="G384" s="78" t="str">
        <f t="shared" si="78"/>
        <v>OK</v>
      </c>
      <c r="H384" s="78" t="str">
        <f t="shared" si="78"/>
        <v>OK</v>
      </c>
      <c r="I384" s="78" t="str">
        <f t="shared" si="78"/>
        <v>OK</v>
      </c>
      <c r="J384" s="78" t="str">
        <f t="shared" si="78"/>
        <v>OK</v>
      </c>
      <c r="K384" s="78" t="str">
        <f t="shared" si="78"/>
        <v>OK</v>
      </c>
      <c r="L384" s="78" t="str">
        <f t="shared" si="78"/>
        <v>OK</v>
      </c>
      <c r="M384" s="78" t="str">
        <f t="shared" si="78"/>
        <v>OK</v>
      </c>
      <c r="N384" s="78" t="str">
        <f t="shared" si="78"/>
        <v>OK</v>
      </c>
      <c r="O384" s="78" t="str">
        <f t="shared" si="78"/>
        <v>OK</v>
      </c>
      <c r="P384" s="78" t="str">
        <f t="shared" si="78"/>
        <v>OK</v>
      </c>
    </row>
    <row r="385" spans="1:16" x14ac:dyDescent="0.25">
      <c r="A385" s="2"/>
      <c r="B385" s="12"/>
      <c r="C385" s="20"/>
      <c r="D385" s="48"/>
      <c r="E385" s="48"/>
      <c r="F385" s="48"/>
      <c r="G385" s="48"/>
      <c r="H385" s="48"/>
      <c r="I385" s="48"/>
      <c r="J385" s="48"/>
      <c r="K385" s="48"/>
      <c r="L385" s="48"/>
      <c r="M385" s="48"/>
      <c r="N385" s="48"/>
      <c r="O385" s="48"/>
      <c r="P385" s="48"/>
    </row>
    <row r="386" spans="1:16" x14ac:dyDescent="0.25">
      <c r="A386" s="60" t="s">
        <v>1110</v>
      </c>
      <c r="B386" s="12"/>
      <c r="C386" s="20"/>
      <c r="D386" s="48"/>
      <c r="E386" s="48"/>
      <c r="F386" s="48"/>
      <c r="G386" s="48"/>
      <c r="H386" s="48"/>
      <c r="I386" s="48"/>
      <c r="J386" s="48"/>
      <c r="K386" s="48"/>
      <c r="L386" s="48"/>
      <c r="M386" s="48"/>
      <c r="N386" s="48"/>
      <c r="O386" s="48"/>
      <c r="P386" s="48"/>
    </row>
    <row r="387" spans="1:16" x14ac:dyDescent="0.25">
      <c r="A387" s="12" t="s">
        <v>1111</v>
      </c>
      <c r="B387" s="12" t="str">
        <f t="shared" ref="B387:B393" si="79">$B$10</f>
        <v>UIM</v>
      </c>
      <c r="C387" s="20"/>
      <c r="D387" s="20">
        <v>83.715999999999994</v>
      </c>
      <c r="E387" s="20">
        <v>84.31</v>
      </c>
      <c r="F387" s="20">
        <v>96.551000000000002</v>
      </c>
      <c r="G387" s="20">
        <v>105.48699999999999</v>
      </c>
      <c r="H387" s="20">
        <v>111.292</v>
      </c>
      <c r="I387" s="20">
        <v>116.73699999999999</v>
      </c>
      <c r="J387" s="20">
        <v>123.536</v>
      </c>
      <c r="K387" s="20">
        <v>129.00200000000001</v>
      </c>
      <c r="L387" s="48">
        <v>132.791</v>
      </c>
      <c r="M387" s="48">
        <v>143.83000000000001</v>
      </c>
      <c r="N387" s="48">
        <v>152.727</v>
      </c>
      <c r="O387" s="48">
        <v>161.23400000000001</v>
      </c>
      <c r="P387" s="48">
        <v>169.50700000000001</v>
      </c>
    </row>
    <row r="388" spans="1:16" x14ac:dyDescent="0.25">
      <c r="A388" s="12" t="s">
        <v>899</v>
      </c>
      <c r="B388" s="12" t="str">
        <f t="shared" si="79"/>
        <v>UIM</v>
      </c>
      <c r="C388" s="20"/>
      <c r="D388" s="20">
        <v>1.359</v>
      </c>
      <c r="E388" s="20">
        <v>1.226</v>
      </c>
      <c r="F388" s="20">
        <v>2.2869999999999999</v>
      </c>
      <c r="G388" s="20">
        <v>3.3639999999999999</v>
      </c>
      <c r="H388" s="20">
        <v>2.492</v>
      </c>
      <c r="I388" s="20">
        <v>1.79</v>
      </c>
      <c r="J388" s="20">
        <v>1.9159999999999999</v>
      </c>
      <c r="K388" s="20">
        <v>1.829</v>
      </c>
      <c r="L388" s="48">
        <v>2.0750000000000002</v>
      </c>
      <c r="M388" s="48">
        <v>2.3180000000000001</v>
      </c>
      <c r="N388" s="48">
        <v>2.2839999999999998</v>
      </c>
      <c r="O388" s="48">
        <v>2.2469999999999999</v>
      </c>
      <c r="P388" s="48">
        <v>2.1859999999999999</v>
      </c>
    </row>
    <row r="389" spans="1:16" x14ac:dyDescent="0.25">
      <c r="A389" s="12" t="s">
        <v>900</v>
      </c>
      <c r="B389" s="12" t="str">
        <f t="shared" si="79"/>
        <v>UIM</v>
      </c>
      <c r="C389" s="20"/>
      <c r="D389" s="20">
        <v>0.71199999999999997</v>
      </c>
      <c r="E389" s="20">
        <v>0.42799999999999999</v>
      </c>
      <c r="F389" s="20">
        <v>0.249</v>
      </c>
      <c r="G389" s="20">
        <v>0.39300000000000002</v>
      </c>
      <c r="H389" s="20">
        <v>0.98199999999999998</v>
      </c>
      <c r="I389" s="20">
        <v>1.8779999999999999</v>
      </c>
      <c r="J389" s="20">
        <v>3.3290000000000002</v>
      </c>
      <c r="K389" s="20">
        <v>2.9820000000000002</v>
      </c>
      <c r="L389" s="48">
        <v>1.5740000000000001</v>
      </c>
      <c r="M389" s="48">
        <v>0.9</v>
      </c>
      <c r="N389" s="48">
        <v>1.7070000000000001</v>
      </c>
      <c r="O389" s="48">
        <v>2.1059999999999999</v>
      </c>
      <c r="P389" s="48">
        <v>2.0499999999999998</v>
      </c>
    </row>
    <row r="390" spans="1:16" x14ac:dyDescent="0.25">
      <c r="A390" s="12" t="s">
        <v>1112</v>
      </c>
      <c r="B390" s="12" t="str">
        <f t="shared" si="79"/>
        <v>UIM</v>
      </c>
      <c r="C390" s="20"/>
      <c r="D390" s="20">
        <v>3.2</v>
      </c>
      <c r="E390" s="20">
        <v>3.2429999999999999</v>
      </c>
      <c r="F390" s="20">
        <v>2.98</v>
      </c>
      <c r="G390" s="20">
        <v>2.883</v>
      </c>
      <c r="H390" s="20">
        <v>3.9540000000000002</v>
      </c>
      <c r="I390" s="20">
        <v>3.7789999999999999</v>
      </c>
      <c r="J390" s="20">
        <v>3.7040000000000002</v>
      </c>
      <c r="K390" s="20">
        <v>4.173</v>
      </c>
      <c r="L390" s="48">
        <v>3.956</v>
      </c>
      <c r="M390" s="48">
        <v>4.133</v>
      </c>
      <c r="N390" s="48">
        <v>4.359</v>
      </c>
      <c r="O390" s="48">
        <v>4.4089999999999998</v>
      </c>
      <c r="P390" s="48">
        <v>4.5069999999999997</v>
      </c>
    </row>
    <row r="391" spans="1:16" x14ac:dyDescent="0.25">
      <c r="A391" s="12" t="s">
        <v>1113</v>
      </c>
      <c r="B391" s="12" t="str">
        <f t="shared" si="79"/>
        <v>UIM</v>
      </c>
      <c r="C391" s="20"/>
      <c r="D391" s="20">
        <v>28.91</v>
      </c>
      <c r="E391" s="20">
        <v>43.915999999999997</v>
      </c>
      <c r="F391" s="20">
        <v>36.573999999999998</v>
      </c>
      <c r="G391" s="20">
        <v>45.44</v>
      </c>
      <c r="H391" s="20">
        <v>40.417000000000002</v>
      </c>
      <c r="I391" s="20">
        <v>43.494999999999997</v>
      </c>
      <c r="J391" s="20">
        <v>47.421999999999997</v>
      </c>
      <c r="K391" s="20">
        <v>49.707000000000001</v>
      </c>
      <c r="L391" s="48">
        <v>51.792999999999999</v>
      </c>
      <c r="M391" s="48">
        <v>53.119</v>
      </c>
      <c r="N391" s="48">
        <v>54.475999999999999</v>
      </c>
      <c r="O391" s="48">
        <v>56.414999999999999</v>
      </c>
      <c r="P391" s="48">
        <v>58.664999999999999</v>
      </c>
    </row>
    <row r="392" spans="1:16" x14ac:dyDescent="0.25">
      <c r="A392" s="12" t="s">
        <v>1114</v>
      </c>
      <c r="B392" s="12" t="str">
        <f t="shared" si="79"/>
        <v>UIM</v>
      </c>
      <c r="C392" s="20"/>
      <c r="D392" s="20">
        <v>50.591000000000001</v>
      </c>
      <c r="E392" s="20">
        <v>56.582999999999998</v>
      </c>
      <c r="F392" s="20">
        <v>63.893999999999998</v>
      </c>
      <c r="G392" s="20">
        <v>71.98</v>
      </c>
      <c r="H392" s="20">
        <v>76.433999999999997</v>
      </c>
      <c r="I392" s="20">
        <v>79.747</v>
      </c>
      <c r="J392" s="20">
        <v>79.742000000000004</v>
      </c>
      <c r="K392" s="20">
        <v>83.323999999999998</v>
      </c>
      <c r="L392" s="48">
        <v>89.21</v>
      </c>
      <c r="M392" s="48">
        <v>85.76</v>
      </c>
      <c r="N392" s="48">
        <v>85.373999999999995</v>
      </c>
      <c r="O392" s="48">
        <v>84.783000000000001</v>
      </c>
      <c r="P392" s="48">
        <v>85.192999999999998</v>
      </c>
    </row>
    <row r="393" spans="1:16" x14ac:dyDescent="0.25">
      <c r="A393" s="12" t="s">
        <v>1115</v>
      </c>
      <c r="B393" s="12" t="str">
        <f t="shared" si="79"/>
        <v>UIM</v>
      </c>
      <c r="C393" s="20"/>
      <c r="D393" s="20">
        <v>3.45</v>
      </c>
      <c r="E393" s="20">
        <v>3.016</v>
      </c>
      <c r="F393" s="20">
        <v>2.6419999999999999</v>
      </c>
      <c r="G393" s="20">
        <v>2.8410000000000002</v>
      </c>
      <c r="H393" s="20">
        <v>5.3049999999999997</v>
      </c>
      <c r="I393" s="20">
        <v>7.0439999999999996</v>
      </c>
      <c r="J393" s="20">
        <v>7.0010000000000003</v>
      </c>
      <c r="K393" s="20">
        <v>7.1029999999999998</v>
      </c>
      <c r="L393" s="48">
        <v>8.2070000000000007</v>
      </c>
      <c r="M393" s="48">
        <v>9.19</v>
      </c>
      <c r="N393" s="48">
        <v>10.423999999999999</v>
      </c>
      <c r="O393" s="48">
        <v>11.253</v>
      </c>
      <c r="P393" s="48">
        <v>11.305</v>
      </c>
    </row>
    <row r="394" spans="1:16" x14ac:dyDescent="0.25">
      <c r="A394" s="60" t="s">
        <v>1116</v>
      </c>
      <c r="B394" s="12" t="str">
        <f>$B$9</f>
        <v>NAC</v>
      </c>
      <c r="C394" s="20"/>
      <c r="D394" s="77">
        <f t="shared" ref="D394:P394" si="80">SUM(D$387:D$390)-SUM(D$21:D$22,D$391:D$393)</f>
        <v>6.0359999999999872</v>
      </c>
      <c r="E394" s="77">
        <f t="shared" si="80"/>
        <v>-14.308000000000007</v>
      </c>
      <c r="F394" s="77">
        <f t="shared" si="80"/>
        <v>-1.0429999999999779</v>
      </c>
      <c r="G394" s="77">
        <f t="shared" si="80"/>
        <v>-8.1340000000000003</v>
      </c>
      <c r="H394" s="77">
        <f t="shared" si="80"/>
        <v>-3.436000000000007</v>
      </c>
      <c r="I394" s="77">
        <f t="shared" si="80"/>
        <v>-6.1020000000000039</v>
      </c>
      <c r="J394" s="77">
        <f t="shared" si="80"/>
        <v>-1.6799999999999784</v>
      </c>
      <c r="K394" s="77">
        <f t="shared" si="80"/>
        <v>-2.1479999999999961</v>
      </c>
      <c r="L394" s="77">
        <f t="shared" si="80"/>
        <v>-7.4720000000000084</v>
      </c>
      <c r="M394" s="77">
        <f t="shared" si="80"/>
        <v>0.94400000000004525</v>
      </c>
      <c r="N394" s="77">
        <f t="shared" si="80"/>
        <v>6.4279999999999973</v>
      </c>
      <c r="O394" s="77">
        <f t="shared" si="80"/>
        <v>10.411999999999978</v>
      </c>
      <c r="P394" s="77">
        <f t="shared" si="80"/>
        <v>13.621000000000009</v>
      </c>
    </row>
    <row r="395" spans="1:16" x14ac:dyDescent="0.25">
      <c r="A395" s="12" t="s">
        <v>1117</v>
      </c>
      <c r="B395" s="12" t="str">
        <f>$B$10</f>
        <v>UIM</v>
      </c>
      <c r="C395" s="20"/>
      <c r="D395" s="20">
        <v>-3.0019999999999998</v>
      </c>
      <c r="E395" s="20">
        <v>-2.9550000000000001</v>
      </c>
      <c r="F395" s="20">
        <v>-3.137</v>
      </c>
      <c r="G395" s="20">
        <v>-3.4740000000000002</v>
      </c>
      <c r="H395" s="20">
        <v>-4.4349999999999996</v>
      </c>
      <c r="I395" s="20">
        <v>-4.7009999999999996</v>
      </c>
      <c r="J395" s="20">
        <v>-3.669</v>
      </c>
      <c r="K395" s="20">
        <v>-3.9510000000000001</v>
      </c>
      <c r="L395" s="48">
        <v>-4.55</v>
      </c>
      <c r="M395" s="48">
        <v>-4.2439999999999998</v>
      </c>
      <c r="N395" s="48">
        <v>-3.6379999999999999</v>
      </c>
      <c r="O395" s="48">
        <v>-2.8149999999999999</v>
      </c>
      <c r="P395" s="48">
        <v>-2.7480000000000002</v>
      </c>
    </row>
    <row r="396" spans="1:16" x14ac:dyDescent="0.25">
      <c r="A396" s="12" t="s">
        <v>1118</v>
      </c>
      <c r="B396" s="12" t="str">
        <f>$B$10</f>
        <v>UIM</v>
      </c>
      <c r="C396" s="20"/>
      <c r="D396" s="20">
        <v>-8.5999999999999993E-2</v>
      </c>
      <c r="E396" s="20">
        <v>-1.798</v>
      </c>
      <c r="F396" s="20">
        <v>-3.8679999999999999</v>
      </c>
      <c r="G396" s="20">
        <v>-9.1920000000000002</v>
      </c>
      <c r="H396" s="20">
        <v>-9.1590000000000007</v>
      </c>
      <c r="I396" s="20">
        <v>-2.5329999999999999</v>
      </c>
      <c r="J396" s="20">
        <v>6.194</v>
      </c>
      <c r="K396" s="20">
        <v>5.851</v>
      </c>
      <c r="L396" s="48">
        <v>-3.1070000000000002</v>
      </c>
      <c r="M396" s="48">
        <v>-2.2669999999999999</v>
      </c>
      <c r="N396" s="48">
        <v>-2.2570000000000001</v>
      </c>
      <c r="O396" s="48">
        <v>-1.9950000000000001</v>
      </c>
      <c r="P396" s="48">
        <v>-0.17799999999999999</v>
      </c>
    </row>
    <row r="397" spans="1:16" x14ac:dyDescent="0.25">
      <c r="A397" s="12" t="s">
        <v>1119</v>
      </c>
      <c r="B397" s="12" t="str">
        <f>$B$10</f>
        <v>UIM</v>
      </c>
      <c r="C397" s="20"/>
      <c r="D397" s="20">
        <v>-2.6579999999999999</v>
      </c>
      <c r="E397" s="20">
        <v>-3.1709999999999998</v>
      </c>
      <c r="F397" s="20">
        <v>-3.5990000000000002</v>
      </c>
      <c r="G397" s="20">
        <v>-3.823</v>
      </c>
      <c r="H397" s="20">
        <v>-6.06</v>
      </c>
      <c r="I397" s="20">
        <v>-4.3520000000000003</v>
      </c>
      <c r="J397" s="20">
        <v>-5.9619999999999997</v>
      </c>
      <c r="K397" s="20">
        <v>-4.6440000000000001</v>
      </c>
      <c r="L397" s="48">
        <v>-6.3</v>
      </c>
      <c r="M397" s="48">
        <v>-5.4260000000000002</v>
      </c>
      <c r="N397" s="48">
        <v>-3.84</v>
      </c>
      <c r="O397" s="48">
        <v>-2.5550000000000002</v>
      </c>
      <c r="P397" s="48">
        <v>-1.756</v>
      </c>
    </row>
    <row r="398" spans="1:16" x14ac:dyDescent="0.25">
      <c r="A398" s="60" t="s">
        <v>1120</v>
      </c>
      <c r="B398" s="12" t="str">
        <f>$B$9</f>
        <v>NAC</v>
      </c>
      <c r="C398" s="20"/>
      <c r="D398" s="77">
        <f t="shared" ref="D398:P398" si="81">SUM(D$395:D$397)-SUM(D$362,D$131-C$131,D$132-C$132)</f>
        <v>-6.7459999999999996</v>
      </c>
      <c r="E398" s="77">
        <f t="shared" si="81"/>
        <v>-9.3840000000000003</v>
      </c>
      <c r="F398" s="77">
        <f t="shared" si="81"/>
        <v>-12.724</v>
      </c>
      <c r="G398" s="77">
        <f t="shared" si="81"/>
        <v>-18.908999999999999</v>
      </c>
      <c r="H398" s="77">
        <f t="shared" si="81"/>
        <v>-22.212</v>
      </c>
      <c r="I398" s="77">
        <f t="shared" si="81"/>
        <v>-13.200000000000001</v>
      </c>
      <c r="J398" s="77">
        <f t="shared" si="81"/>
        <v>-4.3159999999999998</v>
      </c>
      <c r="K398" s="77">
        <f t="shared" si="81"/>
        <v>-2.7440000000000002</v>
      </c>
      <c r="L398" s="77">
        <f t="shared" si="81"/>
        <v>-14.513000000000002</v>
      </c>
      <c r="M398" s="77">
        <f t="shared" si="81"/>
        <v>-14.478999999999999</v>
      </c>
      <c r="N398" s="77">
        <f t="shared" si="81"/>
        <v>-13.712999999999997</v>
      </c>
      <c r="O398" s="77">
        <f t="shared" si="81"/>
        <v>-12.194000000000001</v>
      </c>
      <c r="P398" s="77">
        <f t="shared" si="81"/>
        <v>-10.322999999999999</v>
      </c>
    </row>
    <row r="399" spans="1:16" x14ac:dyDescent="0.25">
      <c r="A399" s="60" t="s">
        <v>1121</v>
      </c>
      <c r="B399" s="12" t="str">
        <f>$B$9</f>
        <v>NAC</v>
      </c>
      <c r="C399" s="20"/>
      <c r="D399" s="21">
        <v>-0.71</v>
      </c>
      <c r="E399" s="21">
        <v>-23.692</v>
      </c>
      <c r="F399" s="21">
        <v>-13.766999999999999</v>
      </c>
      <c r="G399" s="21">
        <v>-27.042999999999999</v>
      </c>
      <c r="H399" s="21">
        <v>-25.648</v>
      </c>
      <c r="I399" s="21">
        <v>-19.302</v>
      </c>
      <c r="J399" s="21">
        <v>-5.9960000000000004</v>
      </c>
      <c r="K399" s="21">
        <v>-4.8920000000000003</v>
      </c>
      <c r="L399" s="47">
        <v>-21.984999999999999</v>
      </c>
      <c r="M399" s="47">
        <v>-13.535</v>
      </c>
      <c r="N399" s="47">
        <v>-7.2850000000000001</v>
      </c>
      <c r="O399" s="47">
        <v>-1.782</v>
      </c>
      <c r="P399" s="47">
        <v>3.298</v>
      </c>
    </row>
    <row r="400" spans="1:16" x14ac:dyDescent="0.25">
      <c r="A400" s="60" t="s">
        <v>1122</v>
      </c>
      <c r="B400" s="12"/>
      <c r="C400" s="20"/>
      <c r="D400" s="78" t="str">
        <f t="shared" ref="D400:P400" si="82">IF(ROUND(D$399-SUM(D$394,D$398),3)=0,"OK","ERROR")</f>
        <v>OK</v>
      </c>
      <c r="E400" s="78" t="str">
        <f t="shared" si="82"/>
        <v>OK</v>
      </c>
      <c r="F400" s="78" t="str">
        <f t="shared" si="82"/>
        <v>OK</v>
      </c>
      <c r="G400" s="78" t="str">
        <f t="shared" si="82"/>
        <v>OK</v>
      </c>
      <c r="H400" s="78" t="str">
        <f t="shared" si="82"/>
        <v>OK</v>
      </c>
      <c r="I400" s="78" t="str">
        <f t="shared" si="82"/>
        <v>OK</v>
      </c>
      <c r="J400" s="78" t="str">
        <f t="shared" si="82"/>
        <v>OK</v>
      </c>
      <c r="K400" s="78" t="str">
        <f t="shared" si="82"/>
        <v>OK</v>
      </c>
      <c r="L400" s="78" t="str">
        <f t="shared" si="82"/>
        <v>OK</v>
      </c>
      <c r="M400" s="78" t="str">
        <f t="shared" si="82"/>
        <v>OK</v>
      </c>
      <c r="N400" s="78" t="str">
        <f t="shared" si="82"/>
        <v>OK</v>
      </c>
      <c r="O400" s="78" t="str">
        <f t="shared" si="82"/>
        <v>OK</v>
      </c>
      <c r="P400" s="78" t="str">
        <f t="shared" si="82"/>
        <v>OK</v>
      </c>
    </row>
    <row r="401" spans="1:16" x14ac:dyDescent="0.25">
      <c r="A401" s="60" t="s">
        <v>1123</v>
      </c>
      <c r="B401" s="12" t="str">
        <f>$B$10</f>
        <v>UIM</v>
      </c>
      <c r="C401" s="20"/>
      <c r="D401" s="21">
        <v>-4.9580000000000002</v>
      </c>
      <c r="E401" s="21">
        <v>33.061999999999998</v>
      </c>
      <c r="F401" s="21">
        <v>3.8090000000000002</v>
      </c>
      <c r="G401" s="21">
        <v>28.693999999999999</v>
      </c>
      <c r="H401" s="21">
        <v>22.715</v>
      </c>
      <c r="I401" s="21">
        <v>25.202999999999999</v>
      </c>
      <c r="J401" s="21">
        <v>21.693999999999999</v>
      </c>
      <c r="K401" s="21">
        <v>11.654</v>
      </c>
      <c r="L401" s="47">
        <v>18.459</v>
      </c>
      <c r="M401" s="47">
        <v>14.315</v>
      </c>
      <c r="N401" s="47">
        <v>8.83</v>
      </c>
      <c r="O401" s="47">
        <v>1.5569999999999999</v>
      </c>
      <c r="P401" s="47">
        <v>-5.915</v>
      </c>
    </row>
    <row r="402" spans="1:16" x14ac:dyDescent="0.25">
      <c r="A402" s="12" t="s">
        <v>1124</v>
      </c>
      <c r="B402" s="12" t="str">
        <f>$B$10</f>
        <v>UIM</v>
      </c>
      <c r="C402" s="20"/>
      <c r="D402" s="20">
        <v>5.1630000000000003</v>
      </c>
      <c r="E402" s="20">
        <v>-14.911</v>
      </c>
      <c r="F402" s="20">
        <v>6.0419999999999998</v>
      </c>
      <c r="G402" s="20">
        <v>-2.8000000000000001E-2</v>
      </c>
      <c r="H402" s="20">
        <v>2.7749999999999999</v>
      </c>
      <c r="I402" s="20">
        <v>-8.4169999999999998</v>
      </c>
      <c r="J402" s="20">
        <v>-8.8219999999999992</v>
      </c>
      <c r="K402" s="20">
        <v>-3.7349999999999999</v>
      </c>
      <c r="L402" s="48">
        <v>3.702</v>
      </c>
      <c r="M402" s="48">
        <v>-0.80700000000000005</v>
      </c>
      <c r="N402" s="48">
        <v>-1.5580000000000001</v>
      </c>
      <c r="O402" s="48">
        <v>0.224</v>
      </c>
      <c r="P402" s="48">
        <v>2.6150000000000002</v>
      </c>
    </row>
    <row r="403" spans="1:16" x14ac:dyDescent="0.25">
      <c r="A403" s="12" t="s">
        <v>1125</v>
      </c>
      <c r="B403" s="12" t="str">
        <f>$B$10</f>
        <v>UIM</v>
      </c>
      <c r="C403" s="20"/>
      <c r="D403" s="20">
        <v>6.8000000000000005E-2</v>
      </c>
      <c r="E403" s="20">
        <v>4.3319999999999999</v>
      </c>
      <c r="F403" s="20">
        <v>3.6819999999999999</v>
      </c>
      <c r="G403" s="20">
        <v>-2.4279999999999999</v>
      </c>
      <c r="H403" s="20">
        <v>0.217</v>
      </c>
      <c r="I403" s="20">
        <v>2.54</v>
      </c>
      <c r="J403" s="20">
        <v>-7.0510000000000002</v>
      </c>
      <c r="K403" s="20">
        <v>-4.1369999999999996</v>
      </c>
      <c r="L403" s="48">
        <v>0.28000000000000003</v>
      </c>
      <c r="M403" s="48">
        <v>-7.0999999999999994E-2</v>
      </c>
      <c r="N403" s="48">
        <v>-8.5999999999999993E-2</v>
      </c>
      <c r="O403" s="48">
        <v>-9.9000000000000005E-2</v>
      </c>
      <c r="P403" s="48">
        <v>-9.9000000000000005E-2</v>
      </c>
    </row>
    <row r="404" spans="1:16" x14ac:dyDescent="0.25">
      <c r="A404" s="60" t="s">
        <v>1126</v>
      </c>
      <c r="B404" s="12" t="str">
        <f>$B$9</f>
        <v>NAC</v>
      </c>
      <c r="C404" s="20"/>
      <c r="D404" s="77">
        <f t="shared" ref="D404:P404" si="83">SUM(D$92,D$402:D$403)</f>
        <v>5.6680000000000001</v>
      </c>
      <c r="E404" s="77">
        <f t="shared" si="83"/>
        <v>-9.370000000000001</v>
      </c>
      <c r="F404" s="77">
        <f t="shared" si="83"/>
        <v>9.9580000000000002</v>
      </c>
      <c r="G404" s="77">
        <f t="shared" si="83"/>
        <v>-1.6509999999999998</v>
      </c>
      <c r="H404" s="77">
        <f t="shared" si="83"/>
        <v>2.9329999999999998</v>
      </c>
      <c r="I404" s="77">
        <f t="shared" si="83"/>
        <v>-5.9009999999999989</v>
      </c>
      <c r="J404" s="77">
        <f t="shared" si="83"/>
        <v>-15.697999999999999</v>
      </c>
      <c r="K404" s="77">
        <f t="shared" si="83"/>
        <v>-6.7619999999999996</v>
      </c>
      <c r="L404" s="77">
        <f t="shared" si="83"/>
        <v>3.5259999999999998</v>
      </c>
      <c r="M404" s="77">
        <f t="shared" si="83"/>
        <v>-0.78</v>
      </c>
      <c r="N404" s="77">
        <f t="shared" si="83"/>
        <v>-1.5450000000000002</v>
      </c>
      <c r="O404" s="77">
        <f t="shared" si="83"/>
        <v>0.22500000000000001</v>
      </c>
      <c r="P404" s="77">
        <f t="shared" si="83"/>
        <v>2.617</v>
      </c>
    </row>
    <row r="405" spans="1:16" x14ac:dyDescent="0.25">
      <c r="A405" s="60" t="s">
        <v>1127</v>
      </c>
      <c r="B405" s="20"/>
      <c r="C405" s="20"/>
      <c r="D405" s="77">
        <f t="shared" ref="D405:P405" si="84">SUM(D$401,D$404)</f>
        <v>0.71</v>
      </c>
      <c r="E405" s="77">
        <f t="shared" si="84"/>
        <v>23.691999999999997</v>
      </c>
      <c r="F405" s="77">
        <f t="shared" si="84"/>
        <v>13.766999999999999</v>
      </c>
      <c r="G405" s="77">
        <f t="shared" si="84"/>
        <v>27.042999999999999</v>
      </c>
      <c r="H405" s="77">
        <f t="shared" si="84"/>
        <v>25.648</v>
      </c>
      <c r="I405" s="77">
        <f t="shared" si="84"/>
        <v>19.302</v>
      </c>
      <c r="J405" s="77">
        <f t="shared" si="84"/>
        <v>5.9960000000000004</v>
      </c>
      <c r="K405" s="77">
        <f t="shared" si="84"/>
        <v>4.8920000000000003</v>
      </c>
      <c r="L405" s="77">
        <f t="shared" si="84"/>
        <v>21.984999999999999</v>
      </c>
      <c r="M405" s="77">
        <f t="shared" si="84"/>
        <v>13.535</v>
      </c>
      <c r="N405" s="77">
        <f t="shared" si="84"/>
        <v>7.2850000000000001</v>
      </c>
      <c r="O405" s="77">
        <f t="shared" si="84"/>
        <v>1.782</v>
      </c>
      <c r="P405" s="77">
        <f t="shared" si="84"/>
        <v>-3.298</v>
      </c>
    </row>
    <row r="407" spans="1:16" x14ac:dyDescent="0.25">
      <c r="A407" s="60" t="s">
        <v>1128</v>
      </c>
    </row>
    <row r="408" spans="1:16" x14ac:dyDescent="0.25">
      <c r="A408" s="12" t="s">
        <v>728</v>
      </c>
      <c r="B408" s="12" t="str">
        <f t="shared" ref="B408:B414" si="85">$B$10</f>
        <v>UIM</v>
      </c>
      <c r="D408" s="20">
        <v>1.8959999999999999</v>
      </c>
      <c r="E408" s="20">
        <v>2.0070000000000001</v>
      </c>
      <c r="F408" s="20">
        <v>2.1320000000000001</v>
      </c>
      <c r="G408" s="20">
        <v>2.2469999999999999</v>
      </c>
      <c r="H408" s="20">
        <v>2.355</v>
      </c>
      <c r="I408" s="20">
        <v>2.71</v>
      </c>
      <c r="J408" s="20">
        <v>3.0739999999999998</v>
      </c>
      <c r="K408" s="20">
        <v>3.0179999999999998</v>
      </c>
      <c r="L408" s="48">
        <v>3.1040000000000001</v>
      </c>
      <c r="M408" s="48">
        <v>3.1640000000000001</v>
      </c>
      <c r="N408" s="48">
        <v>3.222</v>
      </c>
      <c r="O408" s="48">
        <v>3.2559999999999998</v>
      </c>
      <c r="P408" s="48">
        <v>3.28</v>
      </c>
    </row>
    <row r="409" spans="1:16" x14ac:dyDescent="0.25">
      <c r="A409" s="12" t="s">
        <v>729</v>
      </c>
      <c r="B409" s="12" t="str">
        <f t="shared" si="85"/>
        <v>UIM</v>
      </c>
      <c r="D409" s="20">
        <v>3.835</v>
      </c>
      <c r="E409" s="20">
        <v>4.0129999999999999</v>
      </c>
      <c r="F409" s="20">
        <v>4.6470000000000002</v>
      </c>
      <c r="G409" s="20">
        <v>4.7329999999999997</v>
      </c>
      <c r="H409" s="20">
        <v>4.7789999999999999</v>
      </c>
      <c r="I409" s="20">
        <v>5.39</v>
      </c>
      <c r="J409" s="20">
        <v>5.5259999999999998</v>
      </c>
      <c r="K409" s="20">
        <v>5.6630000000000003</v>
      </c>
      <c r="L409" s="48">
        <v>6.2240000000000002</v>
      </c>
      <c r="M409" s="48">
        <v>6.2569999999999997</v>
      </c>
      <c r="N409" s="48">
        <v>6.157</v>
      </c>
      <c r="O409" s="48">
        <v>6.141</v>
      </c>
      <c r="P409" s="48">
        <v>6.1310000000000002</v>
      </c>
    </row>
    <row r="410" spans="1:16" x14ac:dyDescent="0.25">
      <c r="A410" s="12" t="s">
        <v>730</v>
      </c>
      <c r="B410" s="12" t="str">
        <f t="shared" si="85"/>
        <v>UIM</v>
      </c>
      <c r="D410" s="20">
        <v>2.988</v>
      </c>
      <c r="E410" s="20">
        <v>3.0950000000000002</v>
      </c>
      <c r="F410" s="20">
        <v>3.5830000000000002</v>
      </c>
      <c r="G410" s="20">
        <v>3.7450000000000001</v>
      </c>
      <c r="H410" s="20">
        <v>3.8370000000000002</v>
      </c>
      <c r="I410" s="20">
        <v>4.351</v>
      </c>
      <c r="J410" s="20">
        <v>4.4240000000000004</v>
      </c>
      <c r="K410" s="20">
        <v>4.5599999999999996</v>
      </c>
      <c r="L410" s="48">
        <v>4.99</v>
      </c>
      <c r="M410" s="48">
        <v>5.0170000000000003</v>
      </c>
      <c r="N410" s="48">
        <v>4.9359999999999999</v>
      </c>
      <c r="O410" s="48">
        <v>4.9240000000000004</v>
      </c>
      <c r="P410" s="48">
        <v>4.915</v>
      </c>
    </row>
    <row r="411" spans="1:16" x14ac:dyDescent="0.25">
      <c r="A411" s="12" t="s">
        <v>731</v>
      </c>
      <c r="B411" s="12" t="str">
        <f t="shared" si="85"/>
        <v>UIM</v>
      </c>
      <c r="D411" s="20">
        <v>2.9660000000000002</v>
      </c>
      <c r="E411" s="20">
        <v>4.548</v>
      </c>
      <c r="F411" s="20">
        <v>2.7170000000000001</v>
      </c>
      <c r="G411" s="20">
        <v>3.96</v>
      </c>
      <c r="H411" s="20">
        <v>3.8639999999999999</v>
      </c>
      <c r="I411" s="20">
        <v>3.8849999999999998</v>
      </c>
      <c r="J411" s="20">
        <v>3.9209999999999998</v>
      </c>
      <c r="K411" s="20">
        <v>3.8889999999999998</v>
      </c>
      <c r="L411" s="48">
        <v>3.9580000000000002</v>
      </c>
      <c r="M411" s="48">
        <v>3.8250000000000002</v>
      </c>
      <c r="N411" s="48">
        <v>3.7240000000000002</v>
      </c>
      <c r="O411" s="48">
        <v>3.726</v>
      </c>
      <c r="P411" s="48">
        <v>3.7269999999999999</v>
      </c>
    </row>
    <row r="412" spans="1:16" x14ac:dyDescent="0.25">
      <c r="A412" s="12" t="s">
        <v>1129</v>
      </c>
      <c r="B412" s="12" t="str">
        <f t="shared" si="85"/>
        <v>UIM</v>
      </c>
      <c r="D412" s="20">
        <v>0.58299999999999996</v>
      </c>
      <c r="E412" s="20">
        <v>0.56699999999999995</v>
      </c>
      <c r="F412" s="20">
        <v>0.59</v>
      </c>
      <c r="G412" s="20">
        <v>0.55600000000000005</v>
      </c>
      <c r="H412" s="20">
        <v>0.52500000000000002</v>
      </c>
      <c r="I412" s="20">
        <v>0.52600000000000002</v>
      </c>
      <c r="J412" s="20">
        <v>0.57399999999999995</v>
      </c>
      <c r="K412" s="20">
        <v>0.64100000000000001</v>
      </c>
      <c r="L412" s="48">
        <v>0.70399999999999996</v>
      </c>
      <c r="M412" s="48">
        <v>0.71499999999999997</v>
      </c>
      <c r="N412" s="48">
        <v>0.69899999999999995</v>
      </c>
      <c r="O412" s="48">
        <v>0.68899999999999995</v>
      </c>
      <c r="P412" s="48">
        <v>0.68899999999999995</v>
      </c>
    </row>
    <row r="413" spans="1:16" x14ac:dyDescent="0.25">
      <c r="A413" s="12" t="s">
        <v>1130</v>
      </c>
      <c r="B413" s="12" t="str">
        <f t="shared" si="85"/>
        <v>UIM</v>
      </c>
      <c r="D413" s="20">
        <v>0.56299999999999994</v>
      </c>
      <c r="E413" s="20">
        <v>0.50600000000000001</v>
      </c>
      <c r="F413" s="20">
        <v>0.21199999999999999</v>
      </c>
      <c r="G413" s="20">
        <v>0.28799999999999998</v>
      </c>
      <c r="H413" s="20">
        <v>0.27400000000000002</v>
      </c>
      <c r="I413" s="20">
        <v>0.60299999999999998</v>
      </c>
      <c r="J413" s="20">
        <v>0.67600000000000005</v>
      </c>
      <c r="K413" s="20">
        <v>0.76300000000000001</v>
      </c>
      <c r="L413" s="48">
        <v>0.72399999999999998</v>
      </c>
      <c r="M413" s="48">
        <v>0.78600000000000003</v>
      </c>
      <c r="N413" s="48">
        <v>0.82099999999999995</v>
      </c>
      <c r="O413" s="48">
        <v>0.85299999999999998</v>
      </c>
      <c r="P413" s="48">
        <v>0.88300000000000001</v>
      </c>
    </row>
    <row r="414" spans="1:16" x14ac:dyDescent="0.25">
      <c r="A414" s="12" t="s">
        <v>1131</v>
      </c>
      <c r="B414" s="12" t="str">
        <f t="shared" si="85"/>
        <v>UIM</v>
      </c>
      <c r="D414" s="20">
        <v>1.462</v>
      </c>
      <c r="E414" s="20">
        <v>1.5860000000000001</v>
      </c>
      <c r="F414" s="20">
        <v>2.1579999999999999</v>
      </c>
      <c r="G414" s="20">
        <v>2.4940000000000002</v>
      </c>
      <c r="H414" s="20">
        <v>2.7690000000000001</v>
      </c>
      <c r="I414" s="20">
        <v>2.758</v>
      </c>
      <c r="J414" s="20">
        <v>2.7</v>
      </c>
      <c r="K414" s="20">
        <v>2.6720000000000002</v>
      </c>
      <c r="L414" s="48">
        <v>2.4830000000000001</v>
      </c>
      <c r="M414" s="48">
        <v>2.3050000000000002</v>
      </c>
      <c r="N414" s="48">
        <v>2.3889999999999998</v>
      </c>
      <c r="O414" s="48">
        <v>2.363</v>
      </c>
      <c r="P414" s="48">
        <v>2.3940000000000001</v>
      </c>
    </row>
    <row r="415" spans="1:16" x14ac:dyDescent="0.25">
      <c r="A415" s="60" t="s">
        <v>1132</v>
      </c>
      <c r="D415" s="78" t="str">
        <f t="shared" ref="D415:P415" si="86">IF(ROUND(D$59-SUM(D$408:D$414),3)=0,"OK","ERROR")</f>
        <v>OK</v>
      </c>
      <c r="E415" s="78" t="str">
        <f t="shared" si="86"/>
        <v>OK</v>
      </c>
      <c r="F415" s="78" t="str">
        <f t="shared" si="86"/>
        <v>OK</v>
      </c>
      <c r="G415" s="78" t="str">
        <f t="shared" si="86"/>
        <v>OK</v>
      </c>
      <c r="H415" s="78" t="str">
        <f t="shared" si="86"/>
        <v>OK</v>
      </c>
      <c r="I415" s="78" t="str">
        <f t="shared" si="86"/>
        <v>OK</v>
      </c>
      <c r="J415" s="78" t="str">
        <f t="shared" si="86"/>
        <v>OK</v>
      </c>
      <c r="K415" s="78" t="str">
        <f t="shared" si="86"/>
        <v>OK</v>
      </c>
      <c r="L415" s="78" t="str">
        <f t="shared" si="86"/>
        <v>OK</v>
      </c>
      <c r="M415" s="78" t="str">
        <f t="shared" si="86"/>
        <v>OK</v>
      </c>
      <c r="N415" s="78" t="str">
        <f t="shared" si="86"/>
        <v>OK</v>
      </c>
      <c r="O415" s="78" t="str">
        <f t="shared" si="86"/>
        <v>OK</v>
      </c>
      <c r="P415" s="78" t="str">
        <f t="shared" si="86"/>
        <v>OK</v>
      </c>
    </row>
  </sheetData>
  <phoneticPr fontId="30" type="noConversion"/>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E0BD4-9FF0-49AA-9D31-C5E0BA417614}">
  <dimension ref="A1:G63"/>
  <sheetViews>
    <sheetView zoomScaleNormal="100" workbookViewId="0"/>
  </sheetViews>
  <sheetFormatPr defaultRowHeight="15" x14ac:dyDescent="0.25"/>
  <cols>
    <col min="1" max="1" width="115.7109375" customWidth="1"/>
    <col min="2" max="2" width="5.7109375" customWidth="1"/>
    <col min="3" max="7" width="12.7109375" customWidth="1"/>
  </cols>
  <sheetData>
    <row r="1" spans="1:7" x14ac:dyDescent="0.25">
      <c r="A1" s="11" t="s">
        <v>792</v>
      </c>
      <c r="B1" s="11"/>
    </row>
    <row r="2" spans="1:7" x14ac:dyDescent="0.25">
      <c r="A2" s="14" t="s">
        <v>793</v>
      </c>
      <c r="B2" s="14"/>
    </row>
    <row r="3" spans="1:7" x14ac:dyDescent="0.25">
      <c r="A3" s="14" t="s">
        <v>794</v>
      </c>
      <c r="B3" s="12"/>
    </row>
    <row r="4" spans="1:7" x14ac:dyDescent="0.25">
      <c r="A4" s="14" t="s">
        <v>1468</v>
      </c>
      <c r="B4" s="11"/>
    </row>
    <row r="5" spans="1:7" x14ac:dyDescent="0.25">
      <c r="A5" s="14" t="s">
        <v>795</v>
      </c>
      <c r="B5" s="12"/>
    </row>
    <row r="6" spans="1:7" x14ac:dyDescent="0.25">
      <c r="A6" s="14"/>
      <c r="B6" s="12"/>
    </row>
    <row r="7" spans="1:7" x14ac:dyDescent="0.25">
      <c r="A7" s="11" t="s">
        <v>796</v>
      </c>
      <c r="B7" s="12"/>
      <c r="C7" s="11" t="s">
        <v>798</v>
      </c>
      <c r="D7" s="11" t="s">
        <v>799</v>
      </c>
      <c r="E7" s="11" t="s">
        <v>800</v>
      </c>
      <c r="F7" s="11" t="s">
        <v>801</v>
      </c>
      <c r="G7" s="11" t="s">
        <v>797</v>
      </c>
    </row>
    <row r="8" spans="1:7" x14ac:dyDescent="0.25">
      <c r="A8" s="11" t="s">
        <v>802</v>
      </c>
      <c r="B8" s="12"/>
      <c r="C8" s="56">
        <v>2032</v>
      </c>
      <c r="D8" s="56">
        <v>2032</v>
      </c>
      <c r="E8" s="56">
        <v>2032</v>
      </c>
      <c r="F8" s="56">
        <v>2032</v>
      </c>
      <c r="G8" s="56">
        <v>2032</v>
      </c>
    </row>
    <row r="9" spans="1:7" x14ac:dyDescent="0.25">
      <c r="A9" s="11" t="s">
        <v>803</v>
      </c>
      <c r="B9" s="12"/>
      <c r="C9" s="56">
        <v>0</v>
      </c>
      <c r="D9" s="56">
        <v>0</v>
      </c>
      <c r="E9" s="56">
        <v>0</v>
      </c>
      <c r="F9" s="56">
        <v>0</v>
      </c>
      <c r="G9" s="56">
        <v>0</v>
      </c>
    </row>
    <row r="10" spans="1:7" x14ac:dyDescent="0.25">
      <c r="A10" s="11"/>
      <c r="B10" s="11"/>
      <c r="C10" s="20"/>
      <c r="D10" s="20"/>
      <c r="E10" s="20"/>
      <c r="F10" s="20"/>
      <c r="G10" s="20"/>
    </row>
    <row r="11" spans="1:7" x14ac:dyDescent="0.25">
      <c r="A11" s="11" t="s">
        <v>804</v>
      </c>
      <c r="B11" s="74" t="s">
        <v>805</v>
      </c>
    </row>
    <row r="12" spans="1:7" x14ac:dyDescent="0.25">
      <c r="A12" s="12" t="s">
        <v>780</v>
      </c>
      <c r="B12" s="11"/>
      <c r="C12" s="17">
        <v>4.2500000000000003E-2</v>
      </c>
      <c r="D12" s="17">
        <v>4.2500000000000003E-2</v>
      </c>
      <c r="E12" s="17">
        <v>4.2500000000000003E-2</v>
      </c>
      <c r="F12" s="17">
        <v>4.2500000000000003E-2</v>
      </c>
      <c r="G12" s="17">
        <v>4.2500000000000003E-2</v>
      </c>
    </row>
    <row r="13" spans="1:7" x14ac:dyDescent="0.25">
      <c r="A13" s="12" t="s">
        <v>806</v>
      </c>
      <c r="B13" s="11"/>
      <c r="C13" s="67">
        <v>33.200000000000003</v>
      </c>
      <c r="D13" s="67">
        <v>33.200000000000003</v>
      </c>
      <c r="E13" s="67">
        <v>33.200000000000003</v>
      </c>
      <c r="F13" s="67">
        <v>33.200000000000003</v>
      </c>
      <c r="G13" s="67">
        <v>33.200000000000003</v>
      </c>
    </row>
    <row r="14" spans="1:7" x14ac:dyDescent="0.25">
      <c r="A14" s="12" t="s">
        <v>807</v>
      </c>
      <c r="B14" s="11"/>
      <c r="C14" s="17">
        <v>0.01</v>
      </c>
      <c r="D14" s="17">
        <v>0.01</v>
      </c>
      <c r="E14" s="17">
        <v>0.01</v>
      </c>
      <c r="F14" s="17">
        <v>0.01</v>
      </c>
      <c r="G14" s="17">
        <v>0.01</v>
      </c>
    </row>
    <row r="15" spans="1:7" x14ac:dyDescent="0.25">
      <c r="A15" s="12" t="s">
        <v>808</v>
      </c>
      <c r="B15" s="11"/>
      <c r="C15" s="17">
        <v>0.02</v>
      </c>
      <c r="D15" s="17">
        <v>0.02</v>
      </c>
      <c r="E15" s="17">
        <v>0.02</v>
      </c>
      <c r="F15" s="17">
        <v>0.02</v>
      </c>
      <c r="G15" s="17">
        <v>0.02</v>
      </c>
    </row>
    <row r="16" spans="1:7" x14ac:dyDescent="0.25">
      <c r="A16" s="12" t="s">
        <v>809</v>
      </c>
      <c r="B16" s="11"/>
      <c r="C16" s="17">
        <v>4.7E-2</v>
      </c>
      <c r="D16" s="17">
        <v>4.7E-2</v>
      </c>
      <c r="E16" s="17">
        <v>4.7E-2</v>
      </c>
      <c r="F16" s="17">
        <v>4.7E-2</v>
      </c>
      <c r="G16" s="17">
        <v>4.7E-2</v>
      </c>
    </row>
    <row r="17" spans="1:7" x14ac:dyDescent="0.25">
      <c r="A17" s="57" t="s">
        <v>810</v>
      </c>
      <c r="B17" s="74" t="s">
        <v>1469</v>
      </c>
    </row>
    <row r="18" spans="1:7" x14ac:dyDescent="0.25">
      <c r="A18" s="12" t="s">
        <v>811</v>
      </c>
      <c r="B18" s="11"/>
      <c r="C18" s="56">
        <v>3</v>
      </c>
      <c r="D18" s="56">
        <v>3</v>
      </c>
      <c r="E18" s="56">
        <v>3</v>
      </c>
      <c r="F18" s="56">
        <v>3</v>
      </c>
      <c r="G18" s="56">
        <v>3</v>
      </c>
    </row>
    <row r="19" spans="1:7" x14ac:dyDescent="0.25">
      <c r="A19" s="12" t="s">
        <v>812</v>
      </c>
      <c r="B19" s="11"/>
      <c r="C19" s="56">
        <v>2</v>
      </c>
      <c r="D19" s="56">
        <v>2</v>
      </c>
      <c r="E19" s="56">
        <v>2</v>
      </c>
      <c r="F19" s="56">
        <v>2</v>
      </c>
      <c r="G19" s="56">
        <v>2</v>
      </c>
    </row>
    <row r="20" spans="1:7" x14ac:dyDescent="0.25">
      <c r="A20" s="12" t="s">
        <v>813</v>
      </c>
      <c r="B20" s="11"/>
      <c r="C20" s="56">
        <v>3</v>
      </c>
      <c r="D20" s="56">
        <v>3</v>
      </c>
      <c r="E20" s="56">
        <v>3</v>
      </c>
      <c r="F20" s="56">
        <v>3</v>
      </c>
      <c r="G20" s="56">
        <v>3</v>
      </c>
    </row>
    <row r="21" spans="1:7" x14ac:dyDescent="0.25">
      <c r="A21" s="12" t="s">
        <v>814</v>
      </c>
      <c r="B21" s="57"/>
      <c r="C21" s="56">
        <v>1</v>
      </c>
      <c r="D21" s="56">
        <v>1</v>
      </c>
      <c r="E21" s="56">
        <v>1</v>
      </c>
      <c r="F21" s="56">
        <v>1</v>
      </c>
      <c r="G21" s="56">
        <v>1</v>
      </c>
    </row>
    <row r="22" spans="1:7" x14ac:dyDescent="0.25">
      <c r="A22" s="12" t="s">
        <v>815</v>
      </c>
      <c r="B22" s="11"/>
      <c r="C22" s="56">
        <v>1</v>
      </c>
      <c r="D22" s="56">
        <v>1</v>
      </c>
      <c r="E22" s="56">
        <v>1</v>
      </c>
      <c r="F22" s="56">
        <v>1</v>
      </c>
      <c r="G22" s="56">
        <v>1</v>
      </c>
    </row>
    <row r="23" spans="1:7" x14ac:dyDescent="0.25">
      <c r="A23" s="12" t="s">
        <v>816</v>
      </c>
      <c r="B23" s="11"/>
      <c r="C23" s="56">
        <v>5</v>
      </c>
      <c r="D23" s="56">
        <v>5</v>
      </c>
      <c r="E23" s="56">
        <v>5</v>
      </c>
      <c r="F23" s="56">
        <v>5</v>
      </c>
      <c r="G23" s="56">
        <v>5</v>
      </c>
    </row>
    <row r="24" spans="1:7" x14ac:dyDescent="0.25">
      <c r="A24" s="12"/>
      <c r="B24" s="11"/>
      <c r="C24" s="56"/>
      <c r="D24" s="56"/>
      <c r="E24" s="56"/>
      <c r="F24" s="56"/>
      <c r="G24" s="56"/>
    </row>
    <row r="25" spans="1:7" x14ac:dyDescent="0.25">
      <c r="A25" s="11" t="s">
        <v>817</v>
      </c>
      <c r="B25" s="74" t="s">
        <v>818</v>
      </c>
    </row>
    <row r="26" spans="1:7" x14ac:dyDescent="0.25">
      <c r="A26" s="11"/>
      <c r="B26" s="74" t="s">
        <v>819</v>
      </c>
    </row>
    <row r="27" spans="1:7" x14ac:dyDescent="0.25">
      <c r="A27" s="12" t="s">
        <v>820</v>
      </c>
      <c r="B27" s="57"/>
      <c r="C27" s="56">
        <v>0</v>
      </c>
      <c r="D27" s="56">
        <v>0</v>
      </c>
      <c r="E27" s="56">
        <v>0</v>
      </c>
      <c r="F27" s="56">
        <v>0</v>
      </c>
      <c r="G27" s="56">
        <v>0</v>
      </c>
    </row>
    <row r="28" spans="1:7" x14ac:dyDescent="0.25">
      <c r="A28" s="12" t="s">
        <v>821</v>
      </c>
      <c r="B28" s="57"/>
      <c r="C28" s="67">
        <v>1.35</v>
      </c>
      <c r="D28" s="67">
        <v>1.35</v>
      </c>
      <c r="E28" s="67">
        <v>1.35</v>
      </c>
      <c r="F28" s="67">
        <v>1.35</v>
      </c>
      <c r="G28" s="67">
        <v>1.35</v>
      </c>
    </row>
    <row r="29" spans="1:7" x14ac:dyDescent="0.25">
      <c r="A29" s="12"/>
      <c r="B29" s="74" t="s">
        <v>822</v>
      </c>
    </row>
    <row r="30" spans="1:7" x14ac:dyDescent="0.25">
      <c r="A30" s="12"/>
      <c r="B30" s="74" t="s">
        <v>1470</v>
      </c>
    </row>
    <row r="31" spans="1:7" x14ac:dyDescent="0.25">
      <c r="A31" s="12" t="s">
        <v>823</v>
      </c>
      <c r="B31" s="57"/>
      <c r="C31" s="56">
        <v>10</v>
      </c>
      <c r="D31" s="56">
        <v>10</v>
      </c>
      <c r="E31" s="56">
        <v>10</v>
      </c>
      <c r="F31" s="56">
        <v>10</v>
      </c>
      <c r="G31" s="56">
        <v>10</v>
      </c>
    </row>
    <row r="32" spans="1:7" x14ac:dyDescent="0.25">
      <c r="A32" s="12" t="s">
        <v>824</v>
      </c>
      <c r="B32" s="57"/>
      <c r="C32" s="17">
        <v>5.0000000000000001E-4</v>
      </c>
      <c r="D32" s="17">
        <v>5.0000000000000001E-4</v>
      </c>
      <c r="E32" s="17">
        <v>5.0000000000000001E-4</v>
      </c>
      <c r="F32" s="17">
        <v>5.0000000000000001E-4</v>
      </c>
      <c r="G32" s="17">
        <v>5.0000000000000001E-4</v>
      </c>
    </row>
    <row r="33" spans="1:7" x14ac:dyDescent="0.25">
      <c r="A33" s="12"/>
      <c r="B33" s="74" t="s">
        <v>825</v>
      </c>
      <c r="C33" s="17"/>
      <c r="D33" s="17"/>
      <c r="E33" s="17"/>
      <c r="F33" s="17"/>
      <c r="G33" s="17"/>
    </row>
    <row r="34" spans="1:7" x14ac:dyDescent="0.25">
      <c r="A34" s="12" t="s">
        <v>826</v>
      </c>
      <c r="B34" s="74"/>
      <c r="C34" s="56">
        <v>0</v>
      </c>
      <c r="D34" s="56">
        <v>0</v>
      </c>
      <c r="E34" s="56">
        <v>0</v>
      </c>
      <c r="F34" s="56">
        <v>0</v>
      </c>
      <c r="G34" s="56">
        <v>0</v>
      </c>
    </row>
    <row r="35" spans="1:7" x14ac:dyDescent="0.25">
      <c r="A35" s="12" t="s">
        <v>827</v>
      </c>
      <c r="B35" s="11"/>
      <c r="C35" s="25">
        <v>0.66</v>
      </c>
      <c r="D35" s="25">
        <v>0.66</v>
      </c>
      <c r="E35" s="25">
        <v>0.66</v>
      </c>
      <c r="F35" s="25">
        <v>0.66</v>
      </c>
      <c r="G35" s="25">
        <v>0.66</v>
      </c>
    </row>
    <row r="36" spans="1:7" x14ac:dyDescent="0.25">
      <c r="A36" s="12" t="s">
        <v>828</v>
      </c>
      <c r="B36" s="11"/>
      <c r="C36" s="25">
        <v>0.72499999999999998</v>
      </c>
      <c r="D36" s="25">
        <v>0.72499999999999998</v>
      </c>
      <c r="E36" s="25">
        <v>0.72499999999999998</v>
      </c>
      <c r="F36" s="25">
        <v>0.72499999999999998</v>
      </c>
      <c r="G36" s="25">
        <v>0.72499999999999998</v>
      </c>
    </row>
    <row r="37" spans="1:7" x14ac:dyDescent="0.25">
      <c r="A37" s="12"/>
      <c r="B37" s="74" t="s">
        <v>1477</v>
      </c>
      <c r="C37" s="25"/>
      <c r="D37" s="25"/>
      <c r="E37" s="25"/>
      <c r="F37" s="25"/>
      <c r="G37" s="25"/>
    </row>
    <row r="38" spans="1:7" x14ac:dyDescent="0.25">
      <c r="A38" s="12" t="s">
        <v>829</v>
      </c>
      <c r="B38" s="11"/>
      <c r="C38" s="56">
        <v>5</v>
      </c>
      <c r="D38" s="56">
        <v>5</v>
      </c>
      <c r="E38" s="56">
        <v>5</v>
      </c>
      <c r="F38" s="56">
        <v>5</v>
      </c>
      <c r="G38" s="56">
        <v>5</v>
      </c>
    </row>
    <row r="39" spans="1:7" x14ac:dyDescent="0.25">
      <c r="A39" s="12"/>
      <c r="B39" s="74" t="s">
        <v>830</v>
      </c>
    </row>
    <row r="40" spans="1:7" x14ac:dyDescent="0.25">
      <c r="A40" s="12"/>
      <c r="B40" s="74" t="s">
        <v>1471</v>
      </c>
    </row>
    <row r="41" spans="1:7" x14ac:dyDescent="0.25">
      <c r="A41" s="12" t="s">
        <v>831</v>
      </c>
      <c r="C41" s="20">
        <v>2.4</v>
      </c>
      <c r="D41" s="20">
        <v>3.1</v>
      </c>
      <c r="E41" s="20">
        <v>2.4</v>
      </c>
      <c r="F41" s="20">
        <v>3.1</v>
      </c>
      <c r="G41" s="20">
        <v>2.4</v>
      </c>
    </row>
    <row r="42" spans="1:7" x14ac:dyDescent="0.25">
      <c r="A42" s="12" t="s">
        <v>832</v>
      </c>
      <c r="C42" s="25">
        <v>0.05</v>
      </c>
      <c r="D42" s="25">
        <v>0.05</v>
      </c>
      <c r="E42" s="25">
        <v>0.05</v>
      </c>
      <c r="F42" s="25">
        <v>0.05</v>
      </c>
      <c r="G42" s="25">
        <v>0.05</v>
      </c>
    </row>
    <row r="43" spans="1:7" x14ac:dyDescent="0.25">
      <c r="A43" s="12" t="s">
        <v>833</v>
      </c>
      <c r="C43" s="20">
        <v>5</v>
      </c>
      <c r="D43" s="20">
        <v>7</v>
      </c>
      <c r="E43" s="20">
        <v>5</v>
      </c>
      <c r="F43" s="20">
        <v>7</v>
      </c>
      <c r="G43" s="20">
        <v>5</v>
      </c>
    </row>
    <row r="44" spans="1:7" x14ac:dyDescent="0.25">
      <c r="A44" s="12" t="s">
        <v>834</v>
      </c>
      <c r="C44" s="25">
        <v>0.05</v>
      </c>
      <c r="D44" s="25">
        <v>0.05</v>
      </c>
      <c r="E44" s="25">
        <v>0.05</v>
      </c>
      <c r="F44" s="25">
        <v>0.05</v>
      </c>
      <c r="G44" s="25">
        <v>0.05</v>
      </c>
    </row>
    <row r="45" spans="1:7" x14ac:dyDescent="0.25">
      <c r="A45" s="12" t="s">
        <v>835</v>
      </c>
      <c r="C45" s="20">
        <v>0.69599999999999995</v>
      </c>
      <c r="D45" s="20">
        <v>0.69599999999999995</v>
      </c>
      <c r="E45" s="20">
        <v>0.69599999999999995</v>
      </c>
      <c r="F45" s="20">
        <v>0.69599999999999995</v>
      </c>
      <c r="G45" s="20">
        <v>0.69599999999999995</v>
      </c>
    </row>
    <row r="46" spans="1:7" x14ac:dyDescent="0.25">
      <c r="A46" s="57" t="s">
        <v>836</v>
      </c>
      <c r="B46" s="74" t="s">
        <v>1472</v>
      </c>
    </row>
    <row r="47" spans="1:7" x14ac:dyDescent="0.25">
      <c r="A47" s="57" t="s">
        <v>837</v>
      </c>
      <c r="B47" s="74" t="s">
        <v>1473</v>
      </c>
    </row>
    <row r="48" spans="1:7" x14ac:dyDescent="0.25">
      <c r="A48" s="12" t="s">
        <v>838</v>
      </c>
      <c r="C48" s="75">
        <v>0.42</v>
      </c>
      <c r="D48" s="75">
        <v>0.42</v>
      </c>
      <c r="E48" s="75">
        <v>0.42</v>
      </c>
      <c r="F48" s="75">
        <v>0.42</v>
      </c>
      <c r="G48" s="75">
        <v>0.42</v>
      </c>
    </row>
    <row r="49" spans="1:7" x14ac:dyDescent="0.25">
      <c r="A49" s="12" t="s">
        <v>839</v>
      </c>
      <c r="C49" s="75">
        <v>0.56999999999999995</v>
      </c>
      <c r="D49" s="75">
        <v>0.56999999999999995</v>
      </c>
      <c r="E49" s="75">
        <v>0.56999999999999995</v>
      </c>
      <c r="F49" s="75">
        <v>0.56999999999999995</v>
      </c>
      <c r="G49" s="75">
        <v>0.56999999999999995</v>
      </c>
    </row>
    <row r="50" spans="1:7" x14ac:dyDescent="0.25">
      <c r="A50" s="12" t="s">
        <v>840</v>
      </c>
      <c r="C50" s="75">
        <v>0.03</v>
      </c>
      <c r="D50" s="75">
        <v>0.03</v>
      </c>
      <c r="E50" s="75">
        <v>0.03</v>
      </c>
      <c r="F50" s="75">
        <v>0.03</v>
      </c>
      <c r="G50" s="75">
        <v>0.03</v>
      </c>
    </row>
    <row r="51" spans="1:7" x14ac:dyDescent="0.25">
      <c r="A51" s="12" t="s">
        <v>1474</v>
      </c>
      <c r="C51" s="75">
        <v>0.31</v>
      </c>
      <c r="D51" s="75">
        <v>0.31</v>
      </c>
      <c r="E51" s="75">
        <v>0.31</v>
      </c>
      <c r="F51" s="75">
        <v>0.31</v>
      </c>
      <c r="G51" s="75">
        <v>0.31</v>
      </c>
    </row>
    <row r="52" spans="1:7" x14ac:dyDescent="0.25">
      <c r="A52" s="12" t="s">
        <v>841</v>
      </c>
      <c r="C52" s="75">
        <v>0.55000000000000004</v>
      </c>
      <c r="D52" s="75">
        <v>0.55000000000000004</v>
      </c>
      <c r="E52" s="75">
        <v>0.55000000000000004</v>
      </c>
      <c r="F52" s="75">
        <v>0.55000000000000004</v>
      </c>
      <c r="G52" s="75">
        <v>0.55000000000000004</v>
      </c>
    </row>
    <row r="53" spans="1:7" x14ac:dyDescent="0.25">
      <c r="A53" s="12" t="s">
        <v>842</v>
      </c>
      <c r="C53" s="75">
        <v>0.11</v>
      </c>
      <c r="D53" s="75">
        <v>0.11</v>
      </c>
      <c r="E53" s="75">
        <v>0.11</v>
      </c>
      <c r="F53" s="75">
        <v>0.11</v>
      </c>
      <c r="G53" s="75">
        <v>0.11</v>
      </c>
    </row>
    <row r="54" spans="1:7" x14ac:dyDescent="0.25">
      <c r="A54" s="12" t="s">
        <v>843</v>
      </c>
      <c r="C54" s="75">
        <v>0.65</v>
      </c>
      <c r="D54" s="75">
        <v>0.65</v>
      </c>
      <c r="E54" s="75">
        <v>0.65</v>
      </c>
      <c r="F54" s="75">
        <v>0.65</v>
      </c>
      <c r="G54" s="75">
        <v>0.65</v>
      </c>
    </row>
    <row r="56" spans="1:7" x14ac:dyDescent="0.25">
      <c r="A56" s="57" t="s">
        <v>844</v>
      </c>
    </row>
    <row r="57" spans="1:7" x14ac:dyDescent="0.25">
      <c r="A57" s="12" t="s">
        <v>845</v>
      </c>
      <c r="C57" s="54" t="s">
        <v>846</v>
      </c>
      <c r="D57" s="54" t="s">
        <v>846</v>
      </c>
      <c r="E57" s="54" t="s">
        <v>847</v>
      </c>
      <c r="F57" s="54" t="s">
        <v>847</v>
      </c>
      <c r="G57" s="54" t="s">
        <v>846</v>
      </c>
    </row>
    <row r="58" spans="1:7" x14ac:dyDescent="0.25">
      <c r="A58" s="12" t="s">
        <v>848</v>
      </c>
      <c r="C58" s="54" t="s">
        <v>846</v>
      </c>
      <c r="D58" s="54" t="s">
        <v>846</v>
      </c>
      <c r="E58" s="54" t="s">
        <v>846</v>
      </c>
      <c r="F58" s="54" t="s">
        <v>846</v>
      </c>
      <c r="G58" s="54" t="s">
        <v>846</v>
      </c>
    </row>
    <row r="59" spans="1:7" x14ac:dyDescent="0.25">
      <c r="A59" s="12" t="s">
        <v>849</v>
      </c>
      <c r="C59" s="54" t="s">
        <v>846</v>
      </c>
      <c r="D59" s="54" t="s">
        <v>846</v>
      </c>
      <c r="E59" s="54" t="s">
        <v>847</v>
      </c>
      <c r="F59" s="54" t="s">
        <v>847</v>
      </c>
      <c r="G59" s="54" t="s">
        <v>846</v>
      </c>
    </row>
    <row r="60" spans="1:7" x14ac:dyDescent="0.25">
      <c r="A60" s="12" t="s">
        <v>850</v>
      </c>
      <c r="C60" s="56">
        <v>10</v>
      </c>
      <c r="D60" s="56">
        <v>10</v>
      </c>
      <c r="E60" s="56">
        <v>10</v>
      </c>
      <c r="F60" s="56">
        <v>10</v>
      </c>
      <c r="G60" s="56">
        <v>10</v>
      </c>
    </row>
    <row r="61" spans="1:7" x14ac:dyDescent="0.25">
      <c r="A61" s="12" t="s">
        <v>851</v>
      </c>
      <c r="C61" s="17">
        <v>5.0000000000000001E-4</v>
      </c>
      <c r="D61" s="17">
        <v>5.0000000000000001E-4</v>
      </c>
      <c r="E61" s="17">
        <v>5.0000000000000001E-4</v>
      </c>
      <c r="F61" s="17">
        <v>5.0000000000000001E-4</v>
      </c>
      <c r="G61" s="17">
        <v>5.0000000000000001E-4</v>
      </c>
    </row>
    <row r="62" spans="1:7" x14ac:dyDescent="0.25">
      <c r="A62" s="12" t="s">
        <v>852</v>
      </c>
      <c r="C62" s="17">
        <v>5.0000000000000001E-3</v>
      </c>
      <c r="D62" s="17">
        <v>5.0000000000000001E-3</v>
      </c>
      <c r="E62" s="17">
        <v>5.0000000000000001E-3</v>
      </c>
      <c r="F62" s="17">
        <v>5.0000000000000001E-3</v>
      </c>
      <c r="G62" s="17">
        <v>5.0000000000000001E-3</v>
      </c>
    </row>
    <row r="63" spans="1:7" x14ac:dyDescent="0.25">
      <c r="A63" s="12" t="s">
        <v>853</v>
      </c>
      <c r="C63" s="17">
        <v>5.0000000000000001E-3</v>
      </c>
      <c r="D63" s="17">
        <v>5.0000000000000001E-3</v>
      </c>
      <c r="E63" s="17">
        <v>5.0000000000000001E-3</v>
      </c>
      <c r="F63" s="17">
        <v>5.0000000000000001E-3</v>
      </c>
      <c r="G63" s="17">
        <v>5.0000000000000001E-3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12A6-D0E7-4633-9420-0F34621E3E95}">
  <dimension ref="A1:Z544"/>
  <sheetViews>
    <sheetView zoomScaleNormal="100" workbookViewId="0">
      <pane xSplit="2" ySplit="8" topLeftCell="K9" activePane="bottomRight" state="frozen"/>
      <selection pane="topRight" activeCell="C1" sqref="C1"/>
      <selection pane="bottomLeft" activeCell="A9" sqref="A9"/>
      <selection pane="bottomRight"/>
    </sheetView>
  </sheetViews>
  <sheetFormatPr defaultRowHeight="15" x14ac:dyDescent="0.25"/>
  <cols>
    <col min="1" max="1" width="85.7109375" customWidth="1"/>
    <col min="2" max="2" width="25.7109375" customWidth="1"/>
    <col min="3" max="3" width="7.7109375" customWidth="1"/>
    <col min="4" max="26" width="10.7109375" customWidth="1"/>
  </cols>
  <sheetData>
    <row r="1" spans="1:26" x14ac:dyDescent="0.25">
      <c r="A1" s="11" t="s">
        <v>1133</v>
      </c>
      <c r="B1" s="15" t="s">
        <v>798</v>
      </c>
      <c r="C1" s="15">
        <f>MATCH($B$1,Assumptions!$C$7:$K$7,0)</f>
        <v>1</v>
      </c>
      <c r="D1" s="14" t="s">
        <v>1134</v>
      </c>
      <c r="E1" s="12"/>
      <c r="F1" s="12"/>
      <c r="G1" s="12"/>
      <c r="H1" s="12"/>
      <c r="I1" s="12"/>
      <c r="J1" s="12"/>
      <c r="K1" s="12"/>
      <c r="L1" s="12"/>
      <c r="M1" s="12"/>
      <c r="N1" s="12"/>
      <c r="O1" s="12"/>
      <c r="P1" s="12"/>
    </row>
    <row r="2" spans="1:26" x14ac:dyDescent="0.25">
      <c r="A2" s="14" t="s">
        <v>709</v>
      </c>
      <c r="B2" s="15"/>
      <c r="C2" s="15"/>
      <c r="D2" s="14"/>
      <c r="E2" s="12"/>
      <c r="F2" s="12"/>
      <c r="G2" s="12"/>
      <c r="H2" s="12"/>
      <c r="I2" s="12"/>
      <c r="J2" s="12"/>
      <c r="K2" s="83" t="s">
        <v>1458</v>
      </c>
      <c r="L2" s="12"/>
      <c r="M2" s="12"/>
      <c r="N2" s="12"/>
      <c r="O2" s="12"/>
      <c r="P2" s="12"/>
      <c r="Q2" s="12"/>
      <c r="R2" s="12"/>
      <c r="S2" s="12"/>
      <c r="T2" s="12"/>
      <c r="U2" s="12"/>
    </row>
    <row r="3" spans="1:26" x14ac:dyDescent="0.25">
      <c r="A3" s="14"/>
      <c r="B3" s="14"/>
      <c r="C3" s="15"/>
      <c r="D3" s="83" t="s">
        <v>1135</v>
      </c>
      <c r="E3" s="83" t="s">
        <v>1135</v>
      </c>
      <c r="F3" s="83" t="s">
        <v>1135</v>
      </c>
      <c r="G3" s="83" t="s">
        <v>1135</v>
      </c>
      <c r="H3" s="83" t="s">
        <v>1135</v>
      </c>
      <c r="I3" s="83" t="s">
        <v>1135</v>
      </c>
      <c r="J3" s="83" t="s">
        <v>1135</v>
      </c>
      <c r="K3" s="83" t="s">
        <v>1135</v>
      </c>
      <c r="L3" s="64" t="s">
        <v>1455</v>
      </c>
      <c r="M3" s="12"/>
      <c r="N3" s="12"/>
      <c r="O3" s="12"/>
      <c r="P3" s="12"/>
      <c r="Q3" s="11" t="s">
        <v>1454</v>
      </c>
    </row>
    <row r="4" spans="1:26" x14ac:dyDescent="0.25">
      <c r="A4" s="12"/>
      <c r="B4" s="12"/>
      <c r="C4" s="15"/>
      <c r="D4" s="83" t="s">
        <v>1136</v>
      </c>
      <c r="E4" s="83" t="s">
        <v>1136</v>
      </c>
      <c r="F4" s="83" t="s">
        <v>1136</v>
      </c>
      <c r="G4" s="83" t="s">
        <v>1136</v>
      </c>
      <c r="H4" s="83" t="s">
        <v>1136</v>
      </c>
      <c r="I4" s="83" t="s">
        <v>1136</v>
      </c>
      <c r="J4" s="83" t="s">
        <v>1136</v>
      </c>
      <c r="K4" s="83" t="s">
        <v>1136</v>
      </c>
      <c r="L4" s="84" t="s">
        <v>1137</v>
      </c>
      <c r="M4" s="12"/>
      <c r="N4" s="12"/>
      <c r="O4" s="12"/>
      <c r="P4" s="12"/>
      <c r="Q4" s="12" t="s">
        <v>1138</v>
      </c>
    </row>
    <row r="5" spans="1:26" x14ac:dyDescent="0.25">
      <c r="A5" s="11" t="s">
        <v>739</v>
      </c>
      <c r="B5" s="11"/>
      <c r="C5" s="15"/>
      <c r="D5" s="85" t="s">
        <v>355</v>
      </c>
      <c r="E5" s="85" t="s">
        <v>356</v>
      </c>
      <c r="F5" s="85" t="s">
        <v>357</v>
      </c>
      <c r="G5" s="85" t="s">
        <v>358</v>
      </c>
      <c r="H5" s="85" t="s">
        <v>359</v>
      </c>
      <c r="I5" s="85" t="s">
        <v>360</v>
      </c>
      <c r="J5" s="85" t="s">
        <v>1139</v>
      </c>
      <c r="K5" s="85" t="s">
        <v>362</v>
      </c>
      <c r="L5" s="65" t="s">
        <v>363</v>
      </c>
      <c r="M5" s="65" t="s">
        <v>364</v>
      </c>
      <c r="N5" s="65" t="s">
        <v>365</v>
      </c>
      <c r="O5" s="65" t="s">
        <v>366</v>
      </c>
      <c r="P5" s="65" t="s">
        <v>367</v>
      </c>
      <c r="Q5" s="15" t="s">
        <v>368</v>
      </c>
      <c r="R5" s="15" t="s">
        <v>369</v>
      </c>
      <c r="S5" s="15" t="s">
        <v>370</v>
      </c>
      <c r="T5" s="15" t="s">
        <v>371</v>
      </c>
      <c r="U5" s="15" t="s">
        <v>372</v>
      </c>
      <c r="V5" s="15" t="s">
        <v>373</v>
      </c>
      <c r="W5" s="15" t="s">
        <v>374</v>
      </c>
      <c r="X5" s="15" t="s">
        <v>375</v>
      </c>
      <c r="Y5" s="15" t="s">
        <v>376</v>
      </c>
      <c r="Z5" s="15" t="s">
        <v>1451</v>
      </c>
    </row>
    <row r="6" spans="1:26" x14ac:dyDescent="0.25">
      <c r="A6" s="12"/>
      <c r="B6" s="12"/>
      <c r="C6" s="15"/>
      <c r="D6" s="83">
        <v>2019</v>
      </c>
      <c r="E6" s="83">
        <v>2020</v>
      </c>
      <c r="F6" s="83">
        <v>2021</v>
      </c>
      <c r="G6" s="83">
        <v>2022</v>
      </c>
      <c r="H6" s="83">
        <v>2023</v>
      </c>
      <c r="I6" s="83">
        <v>2024</v>
      </c>
      <c r="J6" s="83">
        <v>2025</v>
      </c>
      <c r="K6" s="83">
        <v>2026</v>
      </c>
      <c r="L6" s="64">
        <v>2027</v>
      </c>
      <c r="M6" s="64">
        <v>2028</v>
      </c>
      <c r="N6" s="64">
        <v>2029</v>
      </c>
      <c r="O6" s="64">
        <v>2030</v>
      </c>
      <c r="P6" s="64">
        <v>2031</v>
      </c>
      <c r="Q6" s="11">
        <v>2032</v>
      </c>
      <c r="R6" s="11">
        <v>2033</v>
      </c>
      <c r="S6" s="11">
        <v>2034</v>
      </c>
      <c r="T6" s="11">
        <v>2035</v>
      </c>
      <c r="U6" s="11">
        <v>2036</v>
      </c>
      <c r="V6" s="11">
        <v>2037</v>
      </c>
      <c r="W6" s="11">
        <v>2038</v>
      </c>
      <c r="X6" s="11">
        <v>2039</v>
      </c>
      <c r="Y6" s="11">
        <v>2040</v>
      </c>
      <c r="Z6" s="11">
        <v>2041</v>
      </c>
    </row>
    <row r="7" spans="1:26" x14ac:dyDescent="0.25">
      <c r="A7" s="12"/>
      <c r="B7" s="12"/>
      <c r="C7" s="15"/>
      <c r="D7" s="51">
        <f ca="1">OFFSET(D$1,Display!$C$1-1,0)</f>
        <v>57.736000000000004</v>
      </c>
      <c r="E7" s="51">
        <f ca="1">OFFSET(E$1,Display!$C$1-1,0)</f>
        <v>83.375</v>
      </c>
      <c r="F7" s="51">
        <f ca="1">OFFSET(F$1,Display!$C$1-1,0)</f>
        <v>102.08000000000001</v>
      </c>
      <c r="G7" s="51">
        <f ca="1">OFFSET(G$1,Display!$C$1-1,0)</f>
        <v>128.87299999999996</v>
      </c>
      <c r="H7" s="51">
        <f ca="1">OFFSET(H$1,Display!$C$1-1,0)</f>
        <v>155.27300000000002</v>
      </c>
      <c r="I7" s="51">
        <f ca="1">OFFSET(I$1,Display!$C$1-1,0)</f>
        <v>175.46399999999997</v>
      </c>
      <c r="J7" s="51">
        <f ca="1">OFFSET(J$1,Display!$C$1-1,0)</f>
        <v>182.17099999999996</v>
      </c>
      <c r="K7" s="51">
        <f ca="1">OFFSET(K$1,Display!$C$1-1,0)</f>
        <v>186.70299999999995</v>
      </c>
      <c r="L7" s="47">
        <f ca="1">OFFSET(L$1,Display!$C$1-1,0)</f>
        <v>209.63100000000003</v>
      </c>
      <c r="M7" s="47">
        <f ca="1">OFFSET(M$1,Display!$C$1-1,0)</f>
        <v>222.95499999999998</v>
      </c>
      <c r="N7" s="47">
        <f ca="1">OFFSET(N$1,Display!$C$1-1,0)</f>
        <v>230.53400000000005</v>
      </c>
      <c r="O7" s="47">
        <f ca="1">OFFSET(O$1,Display!$C$1-1,0)</f>
        <v>232.76300000000001</v>
      </c>
      <c r="P7" s="47">
        <f ca="1">OFFSET(P$1,Display!$C$1-1,0)</f>
        <v>229.76900000000003</v>
      </c>
      <c r="Q7" s="21">
        <f ca="1">OFFSET(Q$1,Display!$C$1-1,0)</f>
        <v>223.45846966614181</v>
      </c>
      <c r="R7" s="21">
        <f ca="1">OFFSET(R$1,Display!$C$1-1,0)</f>
        <v>215.04649008425469</v>
      </c>
      <c r="S7" s="21">
        <f ca="1">OFFSET(S$1,Display!$C$1-1,0)</f>
        <v>204.22976743571809</v>
      </c>
      <c r="T7" s="21">
        <f ca="1">OFFSET(T$1,Display!$C$1-1,0)</f>
        <v>190.66305202368596</v>
      </c>
      <c r="U7" s="21">
        <f ca="1">OFFSET(U$1,Display!$C$1-1,0)</f>
        <v>174.4384546583517</v>
      </c>
      <c r="V7" s="21">
        <f ca="1">OFFSET(V$1,Display!$C$1-1,0)</f>
        <v>155.33916690873747</v>
      </c>
      <c r="W7" s="21">
        <f ca="1">OFFSET(W$1,Display!$C$1-1,0)</f>
        <v>133.24915398791484</v>
      </c>
      <c r="X7" s="21">
        <f ca="1">OFFSET(X$1,Display!$C$1-1,0)</f>
        <v>108.05329298661019</v>
      </c>
      <c r="Y7" s="21">
        <f ca="1">OFFSET(Y$1,Display!$C$1-1,0)</f>
        <v>79.609455361439245</v>
      </c>
      <c r="Z7" s="21">
        <f ca="1">OFFSET(Z$1,Display!$C$1-1,0)</f>
        <v>47.769722158252534</v>
      </c>
    </row>
    <row r="8" spans="1:26" x14ac:dyDescent="0.25">
      <c r="A8" s="62" t="s">
        <v>1140</v>
      </c>
      <c r="B8" s="12"/>
      <c r="C8" s="15"/>
      <c r="D8" s="86">
        <f t="shared" ref="D8:Z8" ca="1" si="0">D$7/D$13</f>
        <v>0.18614068232669406</v>
      </c>
      <c r="E8" s="86">
        <f t="shared" ca="1" si="0"/>
        <v>0.26228863546991743</v>
      </c>
      <c r="F8" s="86">
        <f t="shared" ca="1" si="0"/>
        <v>0.2969695030240968</v>
      </c>
      <c r="G8" s="86">
        <f t="shared" ca="1" si="0"/>
        <v>0.35278288767711269</v>
      </c>
      <c r="H8" s="86">
        <f t="shared" ca="1" si="0"/>
        <v>0.38641753789566163</v>
      </c>
      <c r="I8" s="86">
        <f t="shared" ca="1" si="0"/>
        <v>0.41691972114109738</v>
      </c>
      <c r="J8" s="86">
        <f t="shared" ca="1" si="0"/>
        <v>0.41871556596509524</v>
      </c>
      <c r="K8" s="86">
        <f t="shared" ca="1" si="0"/>
        <v>0.40954238158119854</v>
      </c>
      <c r="L8" s="87">
        <f t="shared" ca="1" si="0"/>
        <v>0.43662300388028802</v>
      </c>
      <c r="M8" s="87">
        <f t="shared" ca="1" si="0"/>
        <v>0.43931933139048002</v>
      </c>
      <c r="N8" s="87">
        <f t="shared" ca="1" si="0"/>
        <v>0.43305212577510543</v>
      </c>
      <c r="O8" s="87">
        <f t="shared" ca="1" si="0"/>
        <v>0.41762372364990824</v>
      </c>
      <c r="P8" s="87">
        <f t="shared" ca="1" si="0"/>
        <v>0.39454940088399243</v>
      </c>
      <c r="Q8" s="88">
        <f t="shared" ca="1" si="0"/>
        <v>0.3677066340241672</v>
      </c>
      <c r="R8" s="88">
        <f t="shared" ca="1" si="0"/>
        <v>0.33941716932628946</v>
      </c>
      <c r="S8" s="88">
        <f t="shared" ca="1" si="0"/>
        <v>0.30937892503953474</v>
      </c>
      <c r="T8" s="88">
        <f t="shared" ca="1" si="0"/>
        <v>0.27740719255235957</v>
      </c>
      <c r="U8" s="88">
        <f t="shared" ca="1" si="0"/>
        <v>0.24382417328424325</v>
      </c>
      <c r="V8" s="88">
        <f t="shared" ca="1" si="0"/>
        <v>0.208646687070521</v>
      </c>
      <c r="W8" s="88">
        <f t="shared" ca="1" si="0"/>
        <v>0.17206759179168415</v>
      </c>
      <c r="X8" s="88">
        <f t="shared" ca="1" si="0"/>
        <v>0.13420223624848368</v>
      </c>
      <c r="Y8" s="88">
        <f t="shared" ca="1" si="0"/>
        <v>9.5121155367449098E-2</v>
      </c>
      <c r="Z8" s="88">
        <f t="shared" ca="1" si="0"/>
        <v>5.4924714867168947E-2</v>
      </c>
    </row>
    <row r="9" spans="1:26" ht="16.5" x14ac:dyDescent="0.25">
      <c r="A9" s="63" t="s">
        <v>1141</v>
      </c>
      <c r="B9" s="11"/>
      <c r="C9" s="15"/>
      <c r="K9" s="91"/>
      <c r="N9" s="21"/>
      <c r="O9" s="21"/>
      <c r="P9" s="21"/>
    </row>
    <row r="10" spans="1:26" x14ac:dyDescent="0.25">
      <c r="A10" s="57" t="s">
        <v>1142</v>
      </c>
      <c r="B10" s="11"/>
      <c r="C10" s="15"/>
      <c r="K10" s="91"/>
    </row>
    <row r="11" spans="1:26" x14ac:dyDescent="0.25">
      <c r="A11" s="11" t="s">
        <v>1143</v>
      </c>
      <c r="B11" s="11"/>
      <c r="C11" s="15"/>
      <c r="D11" s="50">
        <f>'Economic Forecasts'!Q$6</f>
        <v>254.292</v>
      </c>
      <c r="E11" s="50">
        <f>'Economic Forecasts'!R$6</f>
        <v>252.36600000000001</v>
      </c>
      <c r="F11" s="50">
        <f>'Economic Forecasts'!S$6</f>
        <v>268.197</v>
      </c>
      <c r="G11" s="50">
        <f>'Economic Forecasts'!T$6</f>
        <v>269.44099999999997</v>
      </c>
      <c r="H11" s="50">
        <f>'Economic Forecasts'!U$6</f>
        <v>280.19900000000001</v>
      </c>
      <c r="I11" s="50">
        <f>'Economic Forecasts'!V$6</f>
        <v>283.19900000000001</v>
      </c>
      <c r="J11" s="50">
        <f>'Economic Forecasts'!W$6</f>
        <v>280.02600000000001</v>
      </c>
      <c r="K11" s="50">
        <f>'Economic Forecasts'!X$6</f>
        <v>284.452</v>
      </c>
      <c r="L11" s="48">
        <f>'Economic Forecasts'!Y$6</f>
        <v>290.95600000000002</v>
      </c>
      <c r="M11" s="48">
        <f>'Economic Forecasts'!Z$6</f>
        <v>299.44799999999998</v>
      </c>
      <c r="N11" s="48">
        <f>'Economic Forecasts'!AA$6</f>
        <v>307.44</v>
      </c>
      <c r="O11" s="48">
        <f>'Economic Forecasts'!AB$6</f>
        <v>315.48</v>
      </c>
      <c r="P11" s="48">
        <f>'Economic Forecasts'!AC$6</f>
        <v>323.28500000000003</v>
      </c>
      <c r="Q11" s="20">
        <f t="shared" ref="Q11:Z11" ca="1" si="1">P$11*Q$16*(1-Q$23)*Q$24/(P$16*(1-P$23)*P$24)*(1+Q$25)</f>
        <v>330.74302308733979</v>
      </c>
      <c r="R11" s="20">
        <f t="shared" ca="1" si="1"/>
        <v>338.05994488997879</v>
      </c>
      <c r="S11" s="20">
        <f t="shared" ca="1" si="1"/>
        <v>345.32125444641918</v>
      </c>
      <c r="T11" s="20">
        <f t="shared" ca="1" si="1"/>
        <v>352.4874386696892</v>
      </c>
      <c r="U11" s="20">
        <f t="shared" ca="1" si="1"/>
        <v>359.71630191712956</v>
      </c>
      <c r="V11" s="20">
        <f t="shared" ca="1" si="1"/>
        <v>366.99821871357733</v>
      </c>
      <c r="W11" s="20">
        <f t="shared" ca="1" si="1"/>
        <v>374.24817053805771</v>
      </c>
      <c r="X11" s="20">
        <f t="shared" ca="1" si="1"/>
        <v>381.4805398595646</v>
      </c>
      <c r="Y11" s="20">
        <f t="shared" ca="1" si="1"/>
        <v>388.75993310147635</v>
      </c>
      <c r="Z11" s="20">
        <f t="shared" ca="1" si="1"/>
        <v>396.07615304809468</v>
      </c>
    </row>
    <row r="12" spans="1:26" x14ac:dyDescent="0.25">
      <c r="A12" s="14" t="s">
        <v>741</v>
      </c>
      <c r="B12" s="11"/>
      <c r="C12" s="15"/>
      <c r="D12" s="50"/>
      <c r="E12" s="89">
        <f t="shared" ref="E12:Z12" si="2">E$11/D$11-1</f>
        <v>-7.5739700816384037E-3</v>
      </c>
      <c r="F12" s="89">
        <f t="shared" si="2"/>
        <v>6.2730320249161808E-2</v>
      </c>
      <c r="G12" s="89">
        <f t="shared" si="2"/>
        <v>4.6383814882342556E-3</v>
      </c>
      <c r="H12" s="89">
        <f t="shared" si="2"/>
        <v>3.9927108346539786E-2</v>
      </c>
      <c r="I12" s="89">
        <f t="shared" si="2"/>
        <v>1.0706676326468045E-2</v>
      </c>
      <c r="J12" s="89">
        <f t="shared" si="2"/>
        <v>-1.1204135607823518E-2</v>
      </c>
      <c r="K12" s="89">
        <f t="shared" si="2"/>
        <v>1.5805675187303914E-2</v>
      </c>
      <c r="L12" s="66">
        <f t="shared" si="2"/>
        <v>2.2865017647968777E-2</v>
      </c>
      <c r="M12" s="66">
        <f t="shared" si="2"/>
        <v>2.9186543669833087E-2</v>
      </c>
      <c r="N12" s="66">
        <f t="shared" si="2"/>
        <v>2.6689107958643987E-2</v>
      </c>
      <c r="O12" s="66">
        <f t="shared" si="2"/>
        <v>2.615144418423121E-2</v>
      </c>
      <c r="P12" s="66">
        <f t="shared" si="2"/>
        <v>2.474007861037153E-2</v>
      </c>
      <c r="Q12" s="17">
        <f t="shared" ca="1" si="2"/>
        <v>2.3069499318990161E-2</v>
      </c>
      <c r="R12" s="17">
        <f t="shared" ca="1" si="2"/>
        <v>2.2122679215841767E-2</v>
      </c>
      <c r="S12" s="17">
        <f t="shared" ca="1" si="2"/>
        <v>2.1479354967071096E-2</v>
      </c>
      <c r="T12" s="17">
        <f t="shared" ca="1" si="2"/>
        <v>2.0752224576382039E-2</v>
      </c>
      <c r="U12" s="17">
        <f t="shared" ca="1" si="2"/>
        <v>2.0508144275218854E-2</v>
      </c>
      <c r="V12" s="17">
        <f t="shared" ca="1" si="2"/>
        <v>2.0243499551280797E-2</v>
      </c>
      <c r="W12" s="17">
        <f t="shared" ca="1" si="2"/>
        <v>1.9754733006316361E-2</v>
      </c>
      <c r="X12" s="17">
        <f t="shared" ca="1" si="2"/>
        <v>1.9325062594451436E-2</v>
      </c>
      <c r="Y12" s="17">
        <f t="shared" ca="1" si="2"/>
        <v>1.9081951715260503E-2</v>
      </c>
      <c r="Z12" s="17">
        <f t="shared" ca="1" si="2"/>
        <v>1.8819377522396596E-2</v>
      </c>
    </row>
    <row r="13" spans="1:26" x14ac:dyDescent="0.25">
      <c r="A13" s="11" t="s">
        <v>1144</v>
      </c>
      <c r="B13" s="11"/>
      <c r="C13" s="15"/>
      <c r="D13" s="51">
        <f>'Economic Forecasts'!Q$7</f>
        <v>310.17399999999998</v>
      </c>
      <c r="E13" s="51">
        <f>'Economic Forecasts'!R$7</f>
        <v>317.875</v>
      </c>
      <c r="F13" s="51">
        <f>'Economic Forecasts'!S$7</f>
        <v>343.73899999999998</v>
      </c>
      <c r="G13" s="51">
        <f>'Economic Forecasts'!T$7</f>
        <v>365.30399999999997</v>
      </c>
      <c r="H13" s="51">
        <f>'Economic Forecasts'!U$7</f>
        <v>401.827</v>
      </c>
      <c r="I13" s="51">
        <f>'Economic Forecasts'!V$7</f>
        <v>420.858</v>
      </c>
      <c r="J13" s="51">
        <f>'Economic Forecasts'!W$7</f>
        <v>435.07100000000003</v>
      </c>
      <c r="K13" s="51">
        <f>'Economic Forecasts'!X$7</f>
        <v>455.88200000000001</v>
      </c>
      <c r="L13" s="47">
        <f>'Economic Forecasts'!Y$7</f>
        <v>480.11900000000003</v>
      </c>
      <c r="M13" s="47">
        <f>'Economic Forecasts'!Z$7</f>
        <v>507.50099999999998</v>
      </c>
      <c r="N13" s="47">
        <f>'Economic Forecasts'!AA$7</f>
        <v>532.34699999999998</v>
      </c>
      <c r="O13" s="47">
        <f>'Economic Forecasts'!AB$7</f>
        <v>557.351</v>
      </c>
      <c r="P13" s="47">
        <f>'Economic Forecasts'!AC$7</f>
        <v>582.35799999999995</v>
      </c>
      <c r="Q13" s="21">
        <f t="shared" ref="Q13:Z13" ca="1" si="3">P$13*Q$11/P$11*(1+Q$29)</f>
        <v>607.70856163409655</v>
      </c>
      <c r="R13" s="21">
        <f t="shared" ca="1" si="3"/>
        <v>633.57575726384539</v>
      </c>
      <c r="S13" s="21">
        <f t="shared" ca="1" si="3"/>
        <v>660.12824696969938</v>
      </c>
      <c r="T13" s="21">
        <f t="shared" ca="1" si="3"/>
        <v>687.30392413202844</v>
      </c>
      <c r="U13" s="21">
        <f t="shared" ca="1" si="3"/>
        <v>715.42723721243317</v>
      </c>
      <c r="V13" s="21">
        <f t="shared" ca="1" si="3"/>
        <v>744.50818793127542</v>
      </c>
      <c r="W13" s="21">
        <f t="shared" ca="1" si="3"/>
        <v>774.40006337297166</v>
      </c>
      <c r="X13" s="21">
        <f t="shared" ca="1" si="3"/>
        <v>805.1527009322175</v>
      </c>
      <c r="Y13" s="21">
        <f t="shared" ca="1" si="3"/>
        <v>836.92691761271408</v>
      </c>
      <c r="Z13" s="21">
        <f t="shared" ca="1" si="3"/>
        <v>869.73090845860202</v>
      </c>
    </row>
    <row r="14" spans="1:26" x14ac:dyDescent="0.25">
      <c r="A14" s="14" t="str">
        <f>$A$12</f>
        <v>Annual percentage growth</v>
      </c>
      <c r="B14" s="11"/>
      <c r="C14" s="15"/>
      <c r="D14" s="89"/>
      <c r="E14" s="89">
        <f t="shared" ref="E14:Z14" si="4">E$13/D$13-1</f>
        <v>2.48279997678722E-2</v>
      </c>
      <c r="F14" s="89">
        <f t="shared" si="4"/>
        <v>8.13653165552497E-2</v>
      </c>
      <c r="G14" s="89">
        <f t="shared" si="4"/>
        <v>6.2736553024242303E-2</v>
      </c>
      <c r="H14" s="89">
        <f t="shared" si="4"/>
        <v>9.9979742899064972E-2</v>
      </c>
      <c r="I14" s="89">
        <f t="shared" si="4"/>
        <v>4.73611778203058E-2</v>
      </c>
      <c r="J14" s="89">
        <f t="shared" si="4"/>
        <v>3.3771485869343199E-2</v>
      </c>
      <c r="K14" s="89">
        <f t="shared" si="4"/>
        <v>4.7833571991697799E-2</v>
      </c>
      <c r="L14" s="66">
        <f t="shared" si="4"/>
        <v>5.3165073418121489E-2</v>
      </c>
      <c r="M14" s="66">
        <f t="shared" si="4"/>
        <v>5.7031694225806451E-2</v>
      </c>
      <c r="N14" s="66">
        <f t="shared" si="4"/>
        <v>4.8957538999923056E-2</v>
      </c>
      <c r="O14" s="66">
        <f t="shared" si="4"/>
        <v>4.6969363967487299E-2</v>
      </c>
      <c r="P14" s="66">
        <f t="shared" si="4"/>
        <v>4.486759690033737E-2</v>
      </c>
      <c r="Q14" s="17">
        <f t="shared" ca="1" si="4"/>
        <v>4.3530889305369858E-2</v>
      </c>
      <c r="R14" s="17">
        <f t="shared" ca="1" si="4"/>
        <v>4.2565132800158834E-2</v>
      </c>
      <c r="S14" s="17">
        <f t="shared" ca="1" si="4"/>
        <v>4.1908942066412491E-2</v>
      </c>
      <c r="T14" s="17">
        <f t="shared" ca="1" si="4"/>
        <v>4.1167269067909462E-2</v>
      </c>
      <c r="U14" s="17">
        <f t="shared" ca="1" si="4"/>
        <v>4.0918307160723089E-2</v>
      </c>
      <c r="V14" s="17">
        <f t="shared" ca="1" si="4"/>
        <v>4.0648369542306328E-2</v>
      </c>
      <c r="W14" s="17">
        <f t="shared" ca="1" si="4"/>
        <v>4.0149827666442706E-2</v>
      </c>
      <c r="X14" s="17">
        <f t="shared" ca="1" si="4"/>
        <v>3.9711563846340336E-2</v>
      </c>
      <c r="Y14" s="17">
        <f t="shared" ca="1" si="4"/>
        <v>3.9463590749565736E-2</v>
      </c>
      <c r="Z14" s="17">
        <f t="shared" ca="1" si="4"/>
        <v>3.9195765072844724E-2</v>
      </c>
    </row>
    <row r="15" spans="1:26" x14ac:dyDescent="0.25">
      <c r="A15" s="57" t="s">
        <v>1145</v>
      </c>
      <c r="B15" s="11"/>
      <c r="C15" s="15"/>
      <c r="D15" s="50"/>
      <c r="K15" s="91"/>
    </row>
    <row r="16" spans="1:26" x14ac:dyDescent="0.25">
      <c r="A16" s="11" t="s">
        <v>1146</v>
      </c>
      <c r="B16" s="11"/>
      <c r="C16" s="15"/>
      <c r="D16" s="50">
        <f>'Economic Forecasts'!Q$8</f>
        <v>2.7928000000000002</v>
      </c>
      <c r="E16" s="50">
        <f>'Economic Forecasts'!R$8</f>
        <v>2.831</v>
      </c>
      <c r="F16" s="50">
        <f>'Economic Forecasts'!S$8</f>
        <v>2.8598000000000003</v>
      </c>
      <c r="G16" s="50">
        <f>'Economic Forecasts'!T$8</f>
        <v>2.8898000000000001</v>
      </c>
      <c r="H16" s="50">
        <f>'Economic Forecasts'!U$8</f>
        <v>2.9653</v>
      </c>
      <c r="I16" s="50">
        <f>'Economic Forecasts'!V$8</f>
        <v>3.0393000000000003</v>
      </c>
      <c r="J16" s="50">
        <f>'Economic Forecasts'!W$8</f>
        <v>3.0343</v>
      </c>
      <c r="K16" s="50">
        <f>'Economic Forecasts'!X$8</f>
        <v>3.0533000000000001</v>
      </c>
      <c r="L16" s="48">
        <f>'Economic Forecasts'!Y$8</f>
        <v>3.1035999999999997</v>
      </c>
      <c r="M16" s="48">
        <f>'Economic Forecasts'!Z$8</f>
        <v>3.1566999999999998</v>
      </c>
      <c r="N16" s="48">
        <f>'Economic Forecasts'!AA$8</f>
        <v>3.2050000000000001</v>
      </c>
      <c r="O16" s="48">
        <f>'Economic Forecasts'!AB$8</f>
        <v>3.2505999999999999</v>
      </c>
      <c r="P16" s="48">
        <f>'Economic Forecasts'!AC$8</f>
        <v>3.2938000000000001</v>
      </c>
      <c r="Q16" s="20">
        <f>P$16*'Labour Force Treasury'!J$4/'Labour Force Treasury'!I$4</f>
        <v>3.3335325529278124</v>
      </c>
      <c r="R16" s="20">
        <f>Q$16*'Labour Force Treasury'!K$4/'Labour Force Treasury'!J$4</f>
        <v>3.3721792638940307</v>
      </c>
      <c r="S16" s="20">
        <f>R$16*'Labour Force Treasury'!L$4/'Labour Force Treasury'!K$4</f>
        <v>3.4096753280890426</v>
      </c>
      <c r="T16" s="20">
        <f>S$16*'Labour Force Treasury'!M$4/'Labour Force Treasury'!L$4</f>
        <v>3.4459739368614799</v>
      </c>
      <c r="U16" s="20">
        <f>T$16*'Labour Force Treasury'!N$4/'Labour Force Treasury'!M$4</f>
        <v>3.4818262054725535</v>
      </c>
      <c r="V16" s="20">
        <f>U$16*'Labour Force Treasury'!O$4/'Labour Force Treasury'!N$4</f>
        <v>3.5171391610897769</v>
      </c>
      <c r="W16" s="20">
        <f>V$16*'Labour Force Treasury'!P$4/'Labour Force Treasury'!O$4</f>
        <v>3.5511082239239253</v>
      </c>
      <c r="X16" s="20">
        <f>W$16*'Labour Force Treasury'!Q$4/'Labour Force Treasury'!P$4</f>
        <v>3.5838946659712145</v>
      </c>
      <c r="Y16" s="20">
        <f>X$16*'Labour Force Treasury'!R$4/'Labour Force Treasury'!Q$4</f>
        <v>3.6161211593463936</v>
      </c>
      <c r="Z16" s="20">
        <f>Y$16*'Labour Force Treasury'!S$4/'Labour Force Treasury'!R$4</f>
        <v>3.6476973352582767</v>
      </c>
    </row>
    <row r="17" spans="1:26" x14ac:dyDescent="0.25">
      <c r="A17" s="14" t="str">
        <f>$A$12</f>
        <v>Annual percentage growth</v>
      </c>
      <c r="B17" s="11"/>
      <c r="C17" s="15"/>
      <c r="D17" s="90"/>
      <c r="E17" s="89">
        <f t="shared" ref="E17:Z17" si="5">E$16/D$16-1</f>
        <v>1.3678029217988996E-2</v>
      </c>
      <c r="F17" s="89">
        <f t="shared" si="5"/>
        <v>1.0173083716001452E-2</v>
      </c>
      <c r="G17" s="89">
        <f t="shared" si="5"/>
        <v>1.0490244073012134E-2</v>
      </c>
      <c r="H17" s="89">
        <f t="shared" si="5"/>
        <v>2.6126375527718126E-2</v>
      </c>
      <c r="I17" s="89">
        <f t="shared" si="5"/>
        <v>2.495531649411542E-2</v>
      </c>
      <c r="J17" s="89">
        <f t="shared" si="5"/>
        <v>-1.6451156516303911E-3</v>
      </c>
      <c r="K17" s="89">
        <f t="shared" si="5"/>
        <v>6.2617407639324885E-3</v>
      </c>
      <c r="L17" s="66">
        <f t="shared" si="5"/>
        <v>1.6473978973569503E-2</v>
      </c>
      <c r="M17" s="66">
        <f t="shared" si="5"/>
        <v>1.7109163552004203E-2</v>
      </c>
      <c r="N17" s="66">
        <f t="shared" si="5"/>
        <v>1.5300788798428888E-2</v>
      </c>
      <c r="O17" s="66">
        <f t="shared" si="5"/>
        <v>1.4227769110764399E-2</v>
      </c>
      <c r="P17" s="66">
        <f t="shared" si="5"/>
        <v>1.3289854180766669E-2</v>
      </c>
      <c r="Q17" s="17">
        <f t="shared" si="5"/>
        <v>1.2062831054651779E-2</v>
      </c>
      <c r="R17" s="17">
        <f t="shared" si="5"/>
        <v>1.1593320404888585E-2</v>
      </c>
      <c r="S17" s="17">
        <f t="shared" si="5"/>
        <v>1.111923811301585E-2</v>
      </c>
      <c r="T17" s="17">
        <f t="shared" si="5"/>
        <v>1.0645766907308785E-2</v>
      </c>
      <c r="U17" s="17">
        <f t="shared" si="5"/>
        <v>1.0404103242790841E-2</v>
      </c>
      <c r="V17" s="17">
        <f t="shared" si="5"/>
        <v>1.0142078763644369E-2</v>
      </c>
      <c r="W17" s="17">
        <f t="shared" si="5"/>
        <v>9.6581514914022559E-3</v>
      </c>
      <c r="X17" s="17">
        <f t="shared" si="5"/>
        <v>9.2327352420311648E-3</v>
      </c>
      <c r="Y17" s="17">
        <f t="shared" si="5"/>
        <v>8.9920314012481573E-3</v>
      </c>
      <c r="Z17" s="17">
        <f t="shared" si="5"/>
        <v>8.7320569528677172E-3</v>
      </c>
    </row>
    <row r="18" spans="1:26" x14ac:dyDescent="0.25">
      <c r="A18" s="11" t="s">
        <v>1147</v>
      </c>
      <c r="B18" s="11"/>
      <c r="C18" s="15"/>
      <c r="D18" s="50">
        <f>'Economic Forecasts'!Q$9</f>
        <v>3.9419</v>
      </c>
      <c r="E18" s="50">
        <f>'Economic Forecasts'!R$9</f>
        <v>4.0198</v>
      </c>
      <c r="F18" s="50">
        <f>'Economic Forecasts'!S$9</f>
        <v>4.0667</v>
      </c>
      <c r="G18" s="50">
        <f>'Economic Forecasts'!T$9</f>
        <v>4.0703000000000005</v>
      </c>
      <c r="H18" s="50">
        <f>'Economic Forecasts'!U$9</f>
        <v>4.1178999999999997</v>
      </c>
      <c r="I18" s="50">
        <f>'Economic Forecasts'!V$9</f>
        <v>4.2371999999999996</v>
      </c>
      <c r="J18" s="50">
        <f>'Economic Forecasts'!W$9</f>
        <v>4.2868999999999993</v>
      </c>
      <c r="K18" s="50">
        <f>'Economic Forecasts'!X$9</f>
        <v>4.3319999999999999</v>
      </c>
      <c r="L18" s="48">
        <f>'Economic Forecasts'!Y$9</f>
        <v>4.3866999999999994</v>
      </c>
      <c r="M18" s="48">
        <f>'Economic Forecasts'!Z$9</f>
        <v>4.4423000000000004</v>
      </c>
      <c r="N18" s="48">
        <f>'Economic Forecasts'!AA$9</f>
        <v>4.5003000000000002</v>
      </c>
      <c r="O18" s="48">
        <f>'Economic Forecasts'!AB$9</f>
        <v>4.5590000000000002</v>
      </c>
      <c r="P18" s="48">
        <f>'Economic Forecasts'!AC$9</f>
        <v>4.6177999999999999</v>
      </c>
      <c r="Q18" s="20">
        <f>P$18*'Population Treasury'!AB$6/'Population Treasury'!AA$6</f>
        <v>4.6771358808609396</v>
      </c>
      <c r="R18" s="20">
        <f>Q$18*'Population Treasury'!AC$6/'Population Treasury'!AB$6</f>
        <v>4.7345664681015647</v>
      </c>
      <c r="S18" s="20">
        <f>R$18*'Population Treasury'!AD$6/'Population Treasury'!AC$6</f>
        <v>4.7911242127851628</v>
      </c>
      <c r="T18" s="20">
        <f>S$18*'Population Treasury'!AE$6/'Population Treasury'!AD$6</f>
        <v>4.8453742127851633</v>
      </c>
      <c r="U18" s="20">
        <f>T$18*'Population Treasury'!AF$6/'Population Treasury'!AE$6</f>
        <v>4.8998342127851631</v>
      </c>
      <c r="V18" s="20">
        <f>U$18*'Population Treasury'!AG$6/'Population Treasury'!AF$6</f>
        <v>4.9531442127851628</v>
      </c>
      <c r="W18" s="20">
        <f>V$18*'Population Treasury'!AH$6/'Population Treasury'!AG$6</f>
        <v>5.0015842127851631</v>
      </c>
      <c r="X18" s="20">
        <f>W$18*'Population Treasury'!AI$6/'Population Treasury'!AH$6</f>
        <v>5.0492242127851625</v>
      </c>
      <c r="Y18" s="20">
        <f>X$18*'Population Treasury'!AJ$6/'Population Treasury'!AI$6</f>
        <v>5.0974042127851638</v>
      </c>
      <c r="Z18" s="20">
        <f>Y$18*'Population Treasury'!AK$6/'Population Treasury'!AJ$6</f>
        <v>5.1449142127851628</v>
      </c>
    </row>
    <row r="19" spans="1:26" x14ac:dyDescent="0.25">
      <c r="A19" s="14" t="str">
        <f>$A$12</f>
        <v>Annual percentage growth</v>
      </c>
      <c r="B19" s="11"/>
      <c r="C19" s="15"/>
      <c r="D19" s="89"/>
      <c r="E19" s="89">
        <f t="shared" ref="E19:Z19" si="6">E$18/D$18-1</f>
        <v>1.9762043684517616E-2</v>
      </c>
      <c r="F19" s="89">
        <f t="shared" si="6"/>
        <v>1.1667247126722735E-2</v>
      </c>
      <c r="G19" s="89">
        <f t="shared" si="6"/>
        <v>8.852386455850958E-4</v>
      </c>
      <c r="H19" s="89">
        <f t="shared" si="6"/>
        <v>1.1694469695108234E-2</v>
      </c>
      <c r="I19" s="89">
        <f t="shared" si="6"/>
        <v>2.8971077490954178E-2</v>
      </c>
      <c r="J19" s="89">
        <f t="shared" si="6"/>
        <v>1.1729443972434472E-2</v>
      </c>
      <c r="K19" s="89">
        <f t="shared" si="6"/>
        <v>1.0520422683057751E-2</v>
      </c>
      <c r="L19" s="66">
        <f t="shared" si="6"/>
        <v>1.2626962142197495E-2</v>
      </c>
      <c r="M19" s="66">
        <f t="shared" si="6"/>
        <v>1.2674675724348772E-2</v>
      </c>
      <c r="N19" s="66">
        <f t="shared" si="6"/>
        <v>1.3056299664588211E-2</v>
      </c>
      <c r="O19" s="66">
        <f t="shared" si="6"/>
        <v>1.3043574872786179E-2</v>
      </c>
      <c r="P19" s="66">
        <f t="shared" si="6"/>
        <v>1.2897565255538535E-2</v>
      </c>
      <c r="Q19" s="17">
        <f t="shared" si="6"/>
        <v>1.2849383009428728E-2</v>
      </c>
      <c r="R19" s="17">
        <f t="shared" si="6"/>
        <v>1.2279007645604967E-2</v>
      </c>
      <c r="S19" s="17">
        <f t="shared" si="6"/>
        <v>1.1945707186634236E-2</v>
      </c>
      <c r="T19" s="17">
        <f t="shared" si="6"/>
        <v>1.132302098435134E-2</v>
      </c>
      <c r="U19" s="17">
        <f t="shared" si="6"/>
        <v>1.1239585965579169E-2</v>
      </c>
      <c r="V19" s="17">
        <f t="shared" si="6"/>
        <v>1.0879959950664819E-2</v>
      </c>
      <c r="W19" s="17">
        <f t="shared" si="6"/>
        <v>9.7796466081010447E-3</v>
      </c>
      <c r="X19" s="17">
        <f t="shared" si="6"/>
        <v>9.5249820803218199E-3</v>
      </c>
      <c r="Y19" s="17">
        <f t="shared" si="6"/>
        <v>9.5420599223945413E-3</v>
      </c>
      <c r="Z19" s="17">
        <f t="shared" si="6"/>
        <v>9.3204301673459611E-3</v>
      </c>
    </row>
    <row r="20" spans="1:26" x14ac:dyDescent="0.25">
      <c r="A20" s="11" t="s">
        <v>1148</v>
      </c>
      <c r="B20" s="11"/>
      <c r="C20" s="15"/>
      <c r="D20" s="89">
        <f t="shared" ref="D20:Z20" si="7">D$16/D$18</f>
        <v>0.70849082929551743</v>
      </c>
      <c r="E20" s="89">
        <f t="shared" si="7"/>
        <v>0.70426389372605602</v>
      </c>
      <c r="F20" s="89">
        <f t="shared" si="7"/>
        <v>0.70322374406767163</v>
      </c>
      <c r="G20" s="89">
        <f t="shared" si="7"/>
        <v>0.70997223791858088</v>
      </c>
      <c r="H20" s="89">
        <f t="shared" si="7"/>
        <v>0.72010005099686736</v>
      </c>
      <c r="I20" s="89">
        <f t="shared" si="7"/>
        <v>0.71728971962616839</v>
      </c>
      <c r="J20" s="89">
        <f t="shared" si="7"/>
        <v>0.70780750658984359</v>
      </c>
      <c r="K20" s="89">
        <f t="shared" si="7"/>
        <v>0.7048245614035088</v>
      </c>
      <c r="L20" s="66">
        <f t="shared" si="7"/>
        <v>0.70750222262748763</v>
      </c>
      <c r="M20" s="66">
        <f t="shared" si="7"/>
        <v>0.71060036467595611</v>
      </c>
      <c r="N20" s="66">
        <f t="shared" si="7"/>
        <v>0.7121747439059618</v>
      </c>
      <c r="O20" s="66">
        <f t="shared" si="7"/>
        <v>0.71300723842948011</v>
      </c>
      <c r="P20" s="66">
        <f t="shared" si="7"/>
        <v>0.71328338169691197</v>
      </c>
      <c r="Q20" s="17">
        <f t="shared" si="7"/>
        <v>0.71272946474973808</v>
      </c>
      <c r="R20" s="17">
        <f t="shared" si="7"/>
        <v>0.71224668332646413</v>
      </c>
      <c r="S20" s="17">
        <f t="shared" si="7"/>
        <v>0.71166498230003927</v>
      </c>
      <c r="T20" s="17">
        <f t="shared" si="7"/>
        <v>0.71118840063349908</v>
      </c>
      <c r="U20" s="17">
        <f t="shared" si="7"/>
        <v>0.71060081918433204</v>
      </c>
      <c r="V20" s="17">
        <f t="shared" si="7"/>
        <v>0.71008212359560652</v>
      </c>
      <c r="W20" s="17">
        <f t="shared" si="7"/>
        <v>0.7099966876187952</v>
      </c>
      <c r="X20" s="17">
        <f t="shared" si="7"/>
        <v>0.70979115106364643</v>
      </c>
      <c r="Y20" s="17">
        <f t="shared" si="7"/>
        <v>0.70940443574722634</v>
      </c>
      <c r="Z20" s="17">
        <f t="shared" si="7"/>
        <v>0.70899089555151618</v>
      </c>
    </row>
    <row r="21" spans="1:26" x14ac:dyDescent="0.25">
      <c r="A21" s="11" t="s">
        <v>779</v>
      </c>
      <c r="B21" s="11"/>
      <c r="C21" s="15"/>
      <c r="D21" s="50">
        <f>'Economic Forecasts'!Q$10</f>
        <v>4.9462000000000002</v>
      </c>
      <c r="E21" s="50">
        <f>'Economic Forecasts'!R$10</f>
        <v>5.0406000000000004</v>
      </c>
      <c r="F21" s="50">
        <f>'Economic Forecasts'!S$10</f>
        <v>5.0821000000000005</v>
      </c>
      <c r="G21" s="50">
        <f>'Economic Forecasts'!T$10</f>
        <v>5.0838000000000001</v>
      </c>
      <c r="H21" s="50">
        <f>'Economic Forecasts'!U$10</f>
        <v>5.1452</v>
      </c>
      <c r="I21" s="50">
        <f>'Economic Forecasts'!V$10</f>
        <v>5.2688000000000006</v>
      </c>
      <c r="J21" s="50">
        <f>'Economic Forecasts'!W$10</f>
        <v>5.3117999999999999</v>
      </c>
      <c r="K21" s="50">
        <f>'Economic Forecasts'!X$10</f>
        <v>5.3451000000000004</v>
      </c>
      <c r="L21" s="48">
        <f>'Economic Forecasts'!Y$10</f>
        <v>5.3923000000000005</v>
      </c>
      <c r="M21" s="48">
        <f>'Economic Forecasts'!Z$10</f>
        <v>5.4530000000000003</v>
      </c>
      <c r="N21" s="48">
        <f>'Economic Forecasts'!AA$10</f>
        <v>5.5176999999999996</v>
      </c>
      <c r="O21" s="48">
        <f>'Economic Forecasts'!AB$10</f>
        <v>5.5833999999999993</v>
      </c>
      <c r="P21" s="48">
        <f>'Economic Forecasts'!AC$10</f>
        <v>5.6493000000000002</v>
      </c>
      <c r="Q21" s="20">
        <f>P$21*'Population Treasury'!AB$4/'Population Treasury'!AA$4</f>
        <v>5.7052600060217733</v>
      </c>
      <c r="R21" s="20">
        <f>Q$21*'Population Treasury'!AC$4/'Population Treasury'!AB$4</f>
        <v>5.7601500100362912</v>
      </c>
      <c r="S21" s="20">
        <f>R$21*'Population Treasury'!AD$4/'Population Treasury'!AC$4</f>
        <v>5.8138600117090098</v>
      </c>
      <c r="T21" s="20">
        <f>S$21*'Population Treasury'!AE$4/'Population Treasury'!AD$4</f>
        <v>5.8664900117090104</v>
      </c>
      <c r="U21" s="20">
        <f>T$21*'Population Treasury'!AF$4/'Population Treasury'!AE$4</f>
        <v>5.9189500117090104</v>
      </c>
      <c r="V21" s="20">
        <f>U$21*'Population Treasury'!AG$4/'Population Treasury'!AF$4</f>
        <v>5.9709800117090097</v>
      </c>
      <c r="W21" s="20">
        <f>V$21*'Population Treasury'!AH$4/'Population Treasury'!AG$4</f>
        <v>6.0227600117090105</v>
      </c>
      <c r="X21" s="20">
        <f>W$21*'Population Treasury'!AI$4/'Population Treasury'!AH$4</f>
        <v>6.0742300117090098</v>
      </c>
      <c r="Y21" s="20">
        <f>X$21*'Population Treasury'!AJ$4/'Population Treasury'!AI$4</f>
        <v>6.1255100117090082</v>
      </c>
      <c r="Z21" s="20">
        <f>Y$21*'Population Treasury'!AK$4/'Population Treasury'!AJ$4</f>
        <v>6.1764800117090095</v>
      </c>
    </row>
    <row r="22" spans="1:26" x14ac:dyDescent="0.25">
      <c r="A22" s="14" t="str">
        <f>$A$12</f>
        <v>Annual percentage growth</v>
      </c>
      <c r="B22" s="57"/>
      <c r="C22" s="15"/>
      <c r="D22" s="91"/>
      <c r="E22" s="89">
        <f t="shared" ref="E22:Z22" si="8">E$21/D$21-1</f>
        <v>1.9085358456997437E-2</v>
      </c>
      <c r="F22" s="89">
        <f t="shared" si="8"/>
        <v>8.2331468475975722E-3</v>
      </c>
      <c r="G22" s="89">
        <f t="shared" si="8"/>
        <v>3.3450738867779606E-4</v>
      </c>
      <c r="H22" s="89">
        <f t="shared" si="8"/>
        <v>1.2077579763169366E-2</v>
      </c>
      <c r="I22" s="89">
        <f t="shared" si="8"/>
        <v>2.4022389800202326E-2</v>
      </c>
      <c r="J22" s="89">
        <f t="shared" si="8"/>
        <v>8.1612511387791908E-3</v>
      </c>
      <c r="K22" s="89">
        <f t="shared" si="8"/>
        <v>6.2690613351408242E-3</v>
      </c>
      <c r="L22" s="66">
        <f t="shared" si="8"/>
        <v>8.8305176703897814E-3</v>
      </c>
      <c r="M22" s="66">
        <f t="shared" si="8"/>
        <v>1.1256792092428025E-2</v>
      </c>
      <c r="N22" s="66">
        <f t="shared" si="8"/>
        <v>1.1865028424720148E-2</v>
      </c>
      <c r="O22" s="66">
        <f t="shared" si="8"/>
        <v>1.1907135219384912E-2</v>
      </c>
      <c r="P22" s="66">
        <f t="shared" si="8"/>
        <v>1.1802844145144764E-2</v>
      </c>
      <c r="Q22" s="17">
        <f t="shared" si="8"/>
        <v>9.9056530936174614E-3</v>
      </c>
      <c r="R22" s="17">
        <f t="shared" si="8"/>
        <v>9.6209469781540768E-3</v>
      </c>
      <c r="S22" s="17">
        <f t="shared" si="8"/>
        <v>9.3244102287504127E-3</v>
      </c>
      <c r="T22" s="17">
        <f t="shared" si="8"/>
        <v>9.0525055460579651E-3</v>
      </c>
      <c r="U22" s="17">
        <f t="shared" si="8"/>
        <v>8.9423147223117727E-3</v>
      </c>
      <c r="V22" s="17">
        <f t="shared" si="8"/>
        <v>8.7904104439253672E-3</v>
      </c>
      <c r="W22" s="17">
        <f t="shared" si="8"/>
        <v>8.6719432820845377E-3</v>
      </c>
      <c r="X22" s="17">
        <f t="shared" si="8"/>
        <v>8.5459158093523779E-3</v>
      </c>
      <c r="Y22" s="17">
        <f t="shared" si="8"/>
        <v>8.4422222900923938E-3</v>
      </c>
      <c r="Z22" s="17">
        <f t="shared" si="8"/>
        <v>8.3209397915555705E-3</v>
      </c>
    </row>
    <row r="23" spans="1:26" x14ac:dyDescent="0.25">
      <c r="A23" s="11" t="s">
        <v>780</v>
      </c>
      <c r="B23" s="11"/>
      <c r="C23" s="15"/>
      <c r="D23" s="89">
        <f>'Economic Forecasts'!Q$11</f>
        <v>4.1500000000000002E-2</v>
      </c>
      <c r="E23" s="89">
        <f>'Economic Forecasts'!R$11</f>
        <v>4.1299999999999996E-2</v>
      </c>
      <c r="F23" s="89">
        <f>'Economic Forecasts'!S$11</f>
        <v>4.6799999999999994E-2</v>
      </c>
      <c r="G23" s="89">
        <f>'Economic Forecasts'!T$11</f>
        <v>3.2799999999999996E-2</v>
      </c>
      <c r="H23" s="89">
        <f>'Economic Forecasts'!U$11</f>
        <v>3.4799999999999998E-2</v>
      </c>
      <c r="I23" s="89">
        <f>'Economic Forecasts'!V$11</f>
        <v>4.2500000000000003E-2</v>
      </c>
      <c r="J23" s="89">
        <f>'Economic Forecasts'!W$11</f>
        <v>5.0999999999999997E-2</v>
      </c>
      <c r="K23" s="89">
        <f>'Economic Forecasts'!X$11</f>
        <v>5.4299999999999994E-2</v>
      </c>
      <c r="L23" s="66">
        <f>'Economic Forecasts'!Y$11</f>
        <v>5.4199999999999998E-2</v>
      </c>
      <c r="M23" s="66">
        <f>'Economic Forecasts'!Z$11</f>
        <v>4.87E-2</v>
      </c>
      <c r="N23" s="66">
        <f>'Economic Forecasts'!AA$11</f>
        <v>4.5599999999999995E-2</v>
      </c>
      <c r="O23" s="66">
        <f>'Economic Forecasts'!AB$11</f>
        <v>4.3499999999999997E-2</v>
      </c>
      <c r="P23" s="66">
        <f>'Economic Forecasts'!AC$11</f>
        <v>4.3200000000000002E-2</v>
      </c>
      <c r="Q23" s="17">
        <f ca="1">P$23+IF(Q$6&lt;OFFSET(Assumptions!$B$8,0,$C$1)+OFFSET(Assumptions!$B$18,0,$C$1),(OFFSET(Assumptions!$B$12,0,$C$1)-P$23)/(OFFSET(Assumptions!$B$8,0,$C$1)+OFFSET(Assumptions!$B$18,0,$C$1)-Q$6),0)</f>
        <v>4.2966666666666667E-2</v>
      </c>
      <c r="R23" s="17">
        <f ca="1">Q$23+IF(R$6&lt;OFFSET(Assumptions!$B$8,0,$C$1)+OFFSET(Assumptions!$B$18,0,$C$1),(OFFSET(Assumptions!$B$12,0,$C$1)-Q$23)/(OFFSET(Assumptions!$B$8,0,$C$1)+OFFSET(Assumptions!$B$18,0,$C$1)-R$6),0)</f>
        <v>4.2733333333333332E-2</v>
      </c>
      <c r="S23" s="17">
        <f ca="1">R$23+IF(S$6&lt;OFFSET(Assumptions!$B$8,0,$C$1)+OFFSET(Assumptions!$B$18,0,$C$1),(OFFSET(Assumptions!$B$12,0,$C$1)-R$23)/(OFFSET(Assumptions!$B$8,0,$C$1)+OFFSET(Assumptions!$B$18,0,$C$1)-S$6),0)</f>
        <v>4.2500000000000003E-2</v>
      </c>
      <c r="T23" s="17">
        <f ca="1">S$23+IF(T$6&lt;OFFSET(Assumptions!$B$8,0,$C$1)+OFFSET(Assumptions!$B$18,0,$C$1),(OFFSET(Assumptions!$B$12,0,$C$1)-S$23)/(OFFSET(Assumptions!$B$8,0,$C$1)+OFFSET(Assumptions!$B$18,0,$C$1)-T$6),0)</f>
        <v>4.2500000000000003E-2</v>
      </c>
      <c r="U23" s="17">
        <f ca="1">T$23+IF(U$6&lt;OFFSET(Assumptions!$B$8,0,$C$1)+OFFSET(Assumptions!$B$18,0,$C$1),(OFFSET(Assumptions!$B$12,0,$C$1)-T$23)/(OFFSET(Assumptions!$B$8,0,$C$1)+OFFSET(Assumptions!$B$18,0,$C$1)-U$6),0)</f>
        <v>4.2500000000000003E-2</v>
      </c>
      <c r="V23" s="17">
        <f ca="1">U$23+IF(V$6&lt;OFFSET(Assumptions!$B$8,0,$C$1)+OFFSET(Assumptions!$B$18,0,$C$1),(OFFSET(Assumptions!$B$12,0,$C$1)-U$23)/(OFFSET(Assumptions!$B$8,0,$C$1)+OFFSET(Assumptions!$B$18,0,$C$1)-V$6),0)</f>
        <v>4.2500000000000003E-2</v>
      </c>
      <c r="W23" s="17">
        <f ca="1">V$23+IF(W$6&lt;OFFSET(Assumptions!$B$8,0,$C$1)+OFFSET(Assumptions!$B$18,0,$C$1),(OFFSET(Assumptions!$B$12,0,$C$1)-V$23)/(OFFSET(Assumptions!$B$8,0,$C$1)+OFFSET(Assumptions!$B$18,0,$C$1)-W$6),0)</f>
        <v>4.2500000000000003E-2</v>
      </c>
      <c r="X23" s="17">
        <f ca="1">W$23+IF(X$6&lt;OFFSET(Assumptions!$B$8,0,$C$1)+OFFSET(Assumptions!$B$18,0,$C$1),(OFFSET(Assumptions!$B$12,0,$C$1)-W$23)/(OFFSET(Assumptions!$B$8,0,$C$1)+OFFSET(Assumptions!$B$18,0,$C$1)-X$6),0)</f>
        <v>4.2500000000000003E-2</v>
      </c>
      <c r="Y23" s="17">
        <f ca="1">X$23+IF(Y$6&lt;OFFSET(Assumptions!$B$8,0,$C$1)+OFFSET(Assumptions!$B$18,0,$C$1),(OFFSET(Assumptions!$B$12,0,$C$1)-X$23)/(OFFSET(Assumptions!$B$8,0,$C$1)+OFFSET(Assumptions!$B$18,0,$C$1)-Y$6),0)</f>
        <v>4.2500000000000003E-2</v>
      </c>
      <c r="Z23" s="17">
        <f ca="1">Y$23+IF(Z$6&lt;OFFSET(Assumptions!$B$8,0,$C$1)+OFFSET(Assumptions!$B$18,0,$C$1),(OFFSET(Assumptions!$B$12,0,$C$1)-Y$23)/(OFFSET(Assumptions!$B$8,0,$C$1)+OFFSET(Assumptions!$B$18,0,$C$1)-Z$6),0)</f>
        <v>4.2500000000000003E-2</v>
      </c>
    </row>
    <row r="24" spans="1:26" x14ac:dyDescent="0.25">
      <c r="A24" s="11" t="s">
        <v>781</v>
      </c>
      <c r="B24" s="11"/>
      <c r="C24" s="15"/>
      <c r="D24" s="92">
        <f>'Economic Forecasts'!Q$12</f>
        <v>34.11</v>
      </c>
      <c r="E24" s="92">
        <f>'Economic Forecasts'!R$12</f>
        <v>33.18</v>
      </c>
      <c r="F24" s="92">
        <f>'Economic Forecasts'!S$12</f>
        <v>34.119999999999997</v>
      </c>
      <c r="G24" s="92">
        <f>'Economic Forecasts'!T$12</f>
        <v>32.94</v>
      </c>
      <c r="H24" s="92">
        <f>'Economic Forecasts'!U$12</f>
        <v>33.72</v>
      </c>
      <c r="I24" s="92">
        <f>'Economic Forecasts'!V$12</f>
        <v>33.549999999999997</v>
      </c>
      <c r="J24" s="92">
        <f>'Economic Forecasts'!W$12</f>
        <v>33.03</v>
      </c>
      <c r="K24" s="92">
        <f>'Economic Forecasts'!X$12</f>
        <v>33.299999999999997</v>
      </c>
      <c r="L24" s="68">
        <f>'Economic Forecasts'!Y$12</f>
        <v>33.28</v>
      </c>
      <c r="M24" s="68">
        <f>'Economic Forecasts'!Z$12</f>
        <v>33.26</v>
      </c>
      <c r="N24" s="68">
        <f>'Economic Forecasts'!AA$12</f>
        <v>33.25</v>
      </c>
      <c r="O24" s="68">
        <f>'Economic Forecasts'!AB$12</f>
        <v>33.229999999999997</v>
      </c>
      <c r="P24" s="68">
        <f>'Economic Forecasts'!AC$12</f>
        <v>33.22</v>
      </c>
      <c r="Q24" s="67">
        <f ca="1">P$24+IF(Q$6&lt;OFFSET(Assumptions!$B$8,0,$C$1)+OFFSET(Assumptions!$B$19,0,$C$1),(OFFSET(Assumptions!$B$13,0,$C$1)-P$24)/(OFFSET(Assumptions!$B$8,0,$C$1)+OFFSET(Assumptions!$B$19,0,$C$1)-Q$6),0)</f>
        <v>33.21</v>
      </c>
      <c r="R24" s="67">
        <f ca="1">Q$24+IF(R$6&lt;OFFSET(Assumptions!$B$8,0,$C$1)+OFFSET(Assumptions!$B$19,0,$C$1),(OFFSET(Assumptions!$B$13,0,$C$1)-Q$24)/(OFFSET(Assumptions!$B$8,0,$C$1)+OFFSET(Assumptions!$B$19,0,$C$1)-R$6),0)</f>
        <v>33.200000000000003</v>
      </c>
      <c r="S24" s="67">
        <f ca="1">R$24+IF(S$6&lt;OFFSET(Assumptions!$B$8,0,$C$1)+OFFSET(Assumptions!$B$19,0,$C$1),(OFFSET(Assumptions!$B$13,0,$C$1)-R$24)/(OFFSET(Assumptions!$B$8,0,$C$1)+OFFSET(Assumptions!$B$19,0,$C$1)-S$6),0)</f>
        <v>33.200000000000003</v>
      </c>
      <c r="T24" s="67">
        <f ca="1">S$24+IF(T$6&lt;OFFSET(Assumptions!$B$8,0,$C$1)+OFFSET(Assumptions!$B$19,0,$C$1),(OFFSET(Assumptions!$B$13,0,$C$1)-S$24)/(OFFSET(Assumptions!$B$8,0,$C$1)+OFFSET(Assumptions!$B$19,0,$C$1)-T$6),0)</f>
        <v>33.200000000000003</v>
      </c>
      <c r="U24" s="67">
        <f ca="1">T$24+IF(U$6&lt;OFFSET(Assumptions!$B$8,0,$C$1)+OFFSET(Assumptions!$B$19,0,$C$1),(OFFSET(Assumptions!$B$13,0,$C$1)-T$24)/(OFFSET(Assumptions!$B$8,0,$C$1)+OFFSET(Assumptions!$B$19,0,$C$1)-U$6),0)</f>
        <v>33.200000000000003</v>
      </c>
      <c r="V24" s="67">
        <f ca="1">U$24+IF(V$6&lt;OFFSET(Assumptions!$B$8,0,$C$1)+OFFSET(Assumptions!$B$19,0,$C$1),(OFFSET(Assumptions!$B$13,0,$C$1)-U$24)/(OFFSET(Assumptions!$B$8,0,$C$1)+OFFSET(Assumptions!$B$19,0,$C$1)-V$6),0)</f>
        <v>33.200000000000003</v>
      </c>
      <c r="W24" s="67">
        <f ca="1">V$24+IF(W$6&lt;OFFSET(Assumptions!$B$8,0,$C$1)+OFFSET(Assumptions!$B$19,0,$C$1),(OFFSET(Assumptions!$B$13,0,$C$1)-V$24)/(OFFSET(Assumptions!$B$8,0,$C$1)+OFFSET(Assumptions!$B$19,0,$C$1)-W$6),0)</f>
        <v>33.200000000000003</v>
      </c>
      <c r="X24" s="67">
        <f ca="1">W$24+IF(X$6&lt;OFFSET(Assumptions!$B$8,0,$C$1)+OFFSET(Assumptions!$B$19,0,$C$1),(OFFSET(Assumptions!$B$13,0,$C$1)-W$24)/(OFFSET(Assumptions!$B$8,0,$C$1)+OFFSET(Assumptions!$B$19,0,$C$1)-X$6),0)</f>
        <v>33.200000000000003</v>
      </c>
      <c r="Y24" s="67">
        <f ca="1">X$24+IF(Y$6&lt;OFFSET(Assumptions!$B$8,0,$C$1)+OFFSET(Assumptions!$B$19,0,$C$1),(OFFSET(Assumptions!$B$13,0,$C$1)-X$24)/(OFFSET(Assumptions!$B$8,0,$C$1)+OFFSET(Assumptions!$B$19,0,$C$1)-Y$6),0)</f>
        <v>33.200000000000003</v>
      </c>
      <c r="Z24" s="67">
        <f ca="1">Y$24+IF(Z$6&lt;OFFSET(Assumptions!$B$8,0,$C$1)+OFFSET(Assumptions!$B$19,0,$C$1),(OFFSET(Assumptions!$B$13,0,$C$1)-Y$24)/(OFFSET(Assumptions!$B$8,0,$C$1)+OFFSET(Assumptions!$B$19,0,$C$1)-Z$6),0)</f>
        <v>33.200000000000003</v>
      </c>
    </row>
    <row r="25" spans="1:26" x14ac:dyDescent="0.25">
      <c r="A25" s="11" t="s">
        <v>782</v>
      </c>
      <c r="B25" s="11"/>
      <c r="C25" s="15"/>
      <c r="D25" s="89">
        <f>'Economic Forecasts'!Q$13</f>
        <v>6.7000000000000002E-3</v>
      </c>
      <c r="E25" s="89">
        <f>'Economic Forecasts'!R$13</f>
        <v>6.4000000000000003E-3</v>
      </c>
      <c r="F25" s="89">
        <f>'Economic Forecasts'!S$13</f>
        <v>2.93E-2</v>
      </c>
      <c r="G25" s="89">
        <f>'Economic Forecasts'!T$13</f>
        <v>1.49E-2</v>
      </c>
      <c r="H25" s="89">
        <f>'Economic Forecasts'!U$13</f>
        <v>-8.6E-3</v>
      </c>
      <c r="I25" s="89">
        <f>'Economic Forecasts'!V$13</f>
        <v>-2.9999999999999997E-4</v>
      </c>
      <c r="J25" s="89">
        <f>'Economic Forecasts'!W$13</f>
        <v>1.46E-2</v>
      </c>
      <c r="K25" s="89">
        <f>'Economic Forecasts'!X$13</f>
        <v>4.7000000000000002E-3</v>
      </c>
      <c r="L25" s="66">
        <f>'Economic Forecasts'!Y$13</f>
        <v>7.1000000000000004E-3</v>
      </c>
      <c r="M25" s="66">
        <f>'Economic Forecasts'!Z$13</f>
        <v>6.4999999999999997E-3</v>
      </c>
      <c r="N25" s="66">
        <f>'Economic Forecasts'!AA$13</f>
        <v>8.3000000000000001E-3</v>
      </c>
      <c r="O25" s="66">
        <f>'Economic Forecasts'!AB$13</f>
        <v>9.9000000000000008E-3</v>
      </c>
      <c r="P25" s="66">
        <f>'Economic Forecasts'!AC$13</f>
        <v>1.14E-2</v>
      </c>
      <c r="Q25" s="17">
        <f ca="1">P$25+IF(Q$6&lt;OFFSET(Assumptions!$B$8,0,$C$1)+OFFSET(Assumptions!$B$20,0,$C$1),(OFFSET(Assumptions!$B$14,0,$C$1)-P$25)/(OFFSET(Assumptions!$B$8,0,$C$1)+OFFSET(Assumptions!$B$20,0,$C$1)-Q$6),0)</f>
        <v>1.0933333333333333E-2</v>
      </c>
      <c r="R25" s="17">
        <f ca="1">Q$25+IF(R$6&lt;OFFSET(Assumptions!$B$8,0,$C$1)+OFFSET(Assumptions!$B$20,0,$C$1),(OFFSET(Assumptions!$B$14,0,$C$1)-Q$25)/(OFFSET(Assumptions!$B$8,0,$C$1)+OFFSET(Assumptions!$B$20,0,$C$1)-R$6),0)</f>
        <v>1.0466666666666666E-2</v>
      </c>
      <c r="S25" s="17">
        <f ca="1">R$25+IF(S$6&lt;OFFSET(Assumptions!$B$8,0,$C$1)+OFFSET(Assumptions!$B$20,0,$C$1),(OFFSET(Assumptions!$B$14,0,$C$1)-R$25)/(OFFSET(Assumptions!$B$8,0,$C$1)+OFFSET(Assumptions!$B$20,0,$C$1)-S$6),0)</f>
        <v>0.01</v>
      </c>
      <c r="T25" s="17">
        <f ca="1">S$25+IF(T$6&lt;OFFSET(Assumptions!$B$8,0,$C$1)+OFFSET(Assumptions!$B$20,0,$C$1),(OFFSET(Assumptions!$B$14,0,$C$1)-S$25)/(OFFSET(Assumptions!$B$8,0,$C$1)+OFFSET(Assumptions!$B$20,0,$C$1)-T$6),0)</f>
        <v>0.01</v>
      </c>
      <c r="U25" s="17">
        <f ca="1">T$25+IF(U$6&lt;OFFSET(Assumptions!$B$8,0,$C$1)+OFFSET(Assumptions!$B$20,0,$C$1),(OFFSET(Assumptions!$B$14,0,$C$1)-T$25)/(OFFSET(Assumptions!$B$8,0,$C$1)+OFFSET(Assumptions!$B$20,0,$C$1)-U$6),0)</f>
        <v>0.01</v>
      </c>
      <c r="V25" s="17">
        <f ca="1">U$25+IF(V$6&lt;OFFSET(Assumptions!$B$8,0,$C$1)+OFFSET(Assumptions!$B$20,0,$C$1),(OFFSET(Assumptions!$B$14,0,$C$1)-U$25)/(OFFSET(Assumptions!$B$8,0,$C$1)+OFFSET(Assumptions!$B$20,0,$C$1)-V$6),0)</f>
        <v>0.01</v>
      </c>
      <c r="W25" s="17">
        <f ca="1">V$25+IF(W$6&lt;OFFSET(Assumptions!$B$8,0,$C$1)+OFFSET(Assumptions!$B$20,0,$C$1),(OFFSET(Assumptions!$B$14,0,$C$1)-V$25)/(OFFSET(Assumptions!$B$8,0,$C$1)+OFFSET(Assumptions!$B$20,0,$C$1)-W$6),0)</f>
        <v>0.01</v>
      </c>
      <c r="X25" s="17">
        <f ca="1">W$25+IF(X$6&lt;OFFSET(Assumptions!$B$8,0,$C$1)+OFFSET(Assumptions!$B$20,0,$C$1),(OFFSET(Assumptions!$B$14,0,$C$1)-W$25)/(OFFSET(Assumptions!$B$8,0,$C$1)+OFFSET(Assumptions!$B$20,0,$C$1)-X$6),0)</f>
        <v>0.01</v>
      </c>
      <c r="Y25" s="17">
        <f ca="1">X$25+IF(Y$6&lt;OFFSET(Assumptions!$B$8,0,$C$1)+OFFSET(Assumptions!$B$20,0,$C$1),(OFFSET(Assumptions!$B$14,0,$C$1)-X$25)/(OFFSET(Assumptions!$B$8,0,$C$1)+OFFSET(Assumptions!$B$20,0,$C$1)-Y$6),0)</f>
        <v>0.01</v>
      </c>
      <c r="Z25" s="17">
        <f ca="1">Y$25+IF(Z$6&lt;OFFSET(Assumptions!$B$8,0,$C$1)+OFFSET(Assumptions!$B$20,0,$C$1),(OFFSET(Assumptions!$B$14,0,$C$1)-Y$25)/(OFFSET(Assumptions!$B$8,0,$C$1)+OFFSET(Assumptions!$B$20,0,$C$1)-Z$6),0)</f>
        <v>0.01</v>
      </c>
    </row>
    <row r="26" spans="1:26" x14ac:dyDescent="0.25">
      <c r="A26" s="11" t="s">
        <v>784</v>
      </c>
      <c r="B26" s="57"/>
      <c r="C26" s="15"/>
      <c r="D26" s="89">
        <f>'Economic Forecasts'!Q$15</f>
        <v>3.3700000000000001E-2</v>
      </c>
      <c r="E26" s="89">
        <f>'Economic Forecasts'!R$15</f>
        <v>3.3300000000000003E-2</v>
      </c>
      <c r="F26" s="89">
        <f>'Economic Forecasts'!S$15</f>
        <v>4.1200000000000001E-2</v>
      </c>
      <c r="G26" s="89">
        <f>'Economic Forecasts'!T$15</f>
        <v>4.5999999999999999E-2</v>
      </c>
      <c r="H26" s="89">
        <f>'Economic Forecasts'!U$15</f>
        <v>7.2900000000000006E-2</v>
      </c>
      <c r="I26" s="89">
        <f>'Economic Forecasts'!V$15</f>
        <v>5.96E-2</v>
      </c>
      <c r="J26" s="89">
        <f>'Economic Forecasts'!W$15</f>
        <v>4.2799999999999998E-2</v>
      </c>
      <c r="K26" s="89">
        <f>'Economic Forecasts'!X$15</f>
        <v>3.2800000000000003E-2</v>
      </c>
      <c r="L26" s="66">
        <f>'Economic Forecasts'!Y$15</f>
        <v>3.1600000000000003E-2</v>
      </c>
      <c r="M26" s="66">
        <f>'Economic Forecasts'!Z$15</f>
        <v>3.09E-2</v>
      </c>
      <c r="N26" s="66">
        <f>'Economic Forecasts'!AA$15</f>
        <v>3.2800000000000003E-2</v>
      </c>
      <c r="O26" s="66">
        <f>'Economic Forecasts'!AB$15</f>
        <v>3.4200000000000001E-2</v>
      </c>
      <c r="P26" s="66">
        <f>'Economic Forecasts'!AC$15</f>
        <v>3.5099999999999999E-2</v>
      </c>
      <c r="Q26" s="17">
        <f t="shared" ref="Q26:Z26" ca="1" si="9">(1+Q$25)*(1+Q$29)-1</f>
        <v>3.1151999999999846E-2</v>
      </c>
      <c r="R26" s="17">
        <f t="shared" ca="1" si="9"/>
        <v>3.0675999999999926E-2</v>
      </c>
      <c r="S26" s="17">
        <f t="shared" ca="1" si="9"/>
        <v>3.0200000000000005E-2</v>
      </c>
      <c r="T26" s="17">
        <f t="shared" ca="1" si="9"/>
        <v>3.0200000000000005E-2</v>
      </c>
      <c r="U26" s="17">
        <f t="shared" ca="1" si="9"/>
        <v>3.0200000000000005E-2</v>
      </c>
      <c r="V26" s="17">
        <f t="shared" ca="1" si="9"/>
        <v>3.0200000000000005E-2</v>
      </c>
      <c r="W26" s="17">
        <f t="shared" ca="1" si="9"/>
        <v>3.0200000000000005E-2</v>
      </c>
      <c r="X26" s="17">
        <f t="shared" ca="1" si="9"/>
        <v>3.0200000000000005E-2</v>
      </c>
      <c r="Y26" s="17">
        <f t="shared" ca="1" si="9"/>
        <v>3.0200000000000005E-2</v>
      </c>
      <c r="Z26" s="17">
        <f t="shared" ca="1" si="9"/>
        <v>3.0200000000000005E-2</v>
      </c>
    </row>
    <row r="27" spans="1:26" x14ac:dyDescent="0.25">
      <c r="A27" s="57" t="s">
        <v>1149</v>
      </c>
      <c r="B27" s="11"/>
      <c r="C27" s="15"/>
      <c r="K27" s="91"/>
    </row>
    <row r="28" spans="1:26" x14ac:dyDescent="0.25">
      <c r="A28" s="11" t="s">
        <v>1150</v>
      </c>
      <c r="B28" s="11"/>
      <c r="C28" s="15"/>
      <c r="D28" s="27">
        <f>'Economic Forecasts'!Q$14</f>
        <v>1032</v>
      </c>
      <c r="E28" s="27">
        <f>'Economic Forecasts'!R$14</f>
        <v>1047</v>
      </c>
      <c r="F28" s="27">
        <f>'Economic Forecasts'!S$14</f>
        <v>1082</v>
      </c>
      <c r="G28" s="27">
        <f>'Economic Forecasts'!T$14</f>
        <v>1161</v>
      </c>
      <c r="H28" s="27">
        <f>'Economic Forecasts'!U$14</f>
        <v>1231</v>
      </c>
      <c r="I28" s="27">
        <f>'Economic Forecasts'!V$14</f>
        <v>1272</v>
      </c>
      <c r="J28" s="27">
        <f>'Economic Forecasts'!W$14</f>
        <v>1306</v>
      </c>
      <c r="K28" s="27">
        <f>'Economic Forecasts'!X$14</f>
        <v>1359</v>
      </c>
      <c r="L28" s="28">
        <f>'Economic Forecasts'!Y$14</f>
        <v>1384.2</v>
      </c>
      <c r="M28" s="28">
        <f>'Economic Forecasts'!Z$14</f>
        <v>1411.8</v>
      </c>
      <c r="N28" s="28">
        <f>'Economic Forecasts'!AA$14</f>
        <v>1441.3</v>
      </c>
      <c r="O28" s="28">
        <f>'Economic Forecasts'!AB$14</f>
        <v>1471.1</v>
      </c>
      <c r="P28" s="28">
        <f>'Economic Forecasts'!AC$14</f>
        <v>1500.7</v>
      </c>
      <c r="Q28" s="18">
        <f t="shared" ref="Q28:Z28" ca="1" si="10">P$28*(1+Q$29)</f>
        <v>1530.7140000000002</v>
      </c>
      <c r="R28" s="18">
        <f t="shared" ca="1" si="10"/>
        <v>1561.3282800000002</v>
      </c>
      <c r="S28" s="18">
        <f t="shared" ca="1" si="10"/>
        <v>1592.5548456000001</v>
      </c>
      <c r="T28" s="18">
        <f t="shared" ca="1" si="10"/>
        <v>1624.4059425120001</v>
      </c>
      <c r="U28" s="18">
        <f t="shared" ca="1" si="10"/>
        <v>1656.8940613622401</v>
      </c>
      <c r="V28" s="18">
        <f t="shared" ca="1" si="10"/>
        <v>1690.031942589485</v>
      </c>
      <c r="W28" s="18">
        <f t="shared" ca="1" si="10"/>
        <v>1723.8325814412747</v>
      </c>
      <c r="X28" s="18">
        <f t="shared" ca="1" si="10"/>
        <v>1758.3092330701002</v>
      </c>
      <c r="Y28" s="18">
        <f t="shared" ca="1" si="10"/>
        <v>1793.4754177315021</v>
      </c>
      <c r="Z28" s="18">
        <f t="shared" ca="1" si="10"/>
        <v>1829.3449260861323</v>
      </c>
    </row>
    <row r="29" spans="1:26" x14ac:dyDescent="0.25">
      <c r="A29" s="14" t="str">
        <f>$A$12</f>
        <v>Annual percentage growth</v>
      </c>
      <c r="B29" s="11"/>
      <c r="C29" s="15"/>
      <c r="D29" s="93"/>
      <c r="E29" s="89">
        <f t="shared" ref="E29:P29" si="11">E$28/D$28-1</f>
        <v>1.4534883720930258E-2</v>
      </c>
      <c r="F29" s="89">
        <f t="shared" si="11"/>
        <v>3.3428844317096473E-2</v>
      </c>
      <c r="G29" s="89">
        <f t="shared" si="11"/>
        <v>7.3012939001848354E-2</v>
      </c>
      <c r="H29" s="89">
        <f t="shared" si="11"/>
        <v>6.0292850990525393E-2</v>
      </c>
      <c r="I29" s="89">
        <f t="shared" si="11"/>
        <v>3.3306255077172997E-2</v>
      </c>
      <c r="J29" s="89">
        <f t="shared" si="11"/>
        <v>2.6729559748427612E-2</v>
      </c>
      <c r="K29" s="89">
        <f t="shared" si="11"/>
        <v>4.058192955589579E-2</v>
      </c>
      <c r="L29" s="66">
        <f t="shared" si="11"/>
        <v>1.8543046357615944E-2</v>
      </c>
      <c r="M29" s="66">
        <f t="shared" si="11"/>
        <v>1.9939315127871726E-2</v>
      </c>
      <c r="N29" s="66">
        <f t="shared" si="11"/>
        <v>2.0895310950559631E-2</v>
      </c>
      <c r="O29" s="66">
        <f t="shared" si="11"/>
        <v>2.0675778810795853E-2</v>
      </c>
      <c r="P29" s="66">
        <f t="shared" si="11"/>
        <v>2.0120997892733472E-2</v>
      </c>
      <c r="Q29" s="17">
        <f ca="1">P$29+IF(Q$6&lt;OFFSET(Assumptions!$B$8,0,$C$1)+OFFSET(Assumptions!$B$21,0,$C$1),(OFFSET(Assumptions!$B$15,0,$C$1)-P$29)/(OFFSET(Assumptions!$B$8,0,$C$1)+OFFSET(Assumptions!$B$21,0,$C$1)-Q$6),0)</f>
        <v>0.02</v>
      </c>
      <c r="R29" s="17">
        <f ca="1">Q$29+IF(R$6&lt;OFFSET(Assumptions!$B$8,0,$C$1)+OFFSET(Assumptions!$B$21,0,$C$1),(OFFSET(Assumptions!$B$15,0,$C$1)-Q$29)/(OFFSET(Assumptions!$B$8,0,$C$1)+OFFSET(Assumptions!$B$21,0,$C$1)-R$6),0)</f>
        <v>0.02</v>
      </c>
      <c r="S29" s="17">
        <f ca="1">R$29+IF(S$6&lt;OFFSET(Assumptions!$B$8,0,$C$1)+OFFSET(Assumptions!$B$21,0,$C$1),(OFFSET(Assumptions!$B$15,0,$C$1)-R$29)/(OFFSET(Assumptions!$B$8,0,$C$1)+OFFSET(Assumptions!$B$21,0,$C$1)-S$6),0)</f>
        <v>0.02</v>
      </c>
      <c r="T29" s="17">
        <f ca="1">S$29+IF(T$6&lt;OFFSET(Assumptions!$B$8,0,$C$1)+OFFSET(Assumptions!$B$21,0,$C$1),(OFFSET(Assumptions!$B$15,0,$C$1)-S$29)/(OFFSET(Assumptions!$B$8,0,$C$1)+OFFSET(Assumptions!$B$21,0,$C$1)-T$6),0)</f>
        <v>0.02</v>
      </c>
      <c r="U29" s="17">
        <f ca="1">T$29+IF(U$6&lt;OFFSET(Assumptions!$B$8,0,$C$1)+OFFSET(Assumptions!$B$21,0,$C$1),(OFFSET(Assumptions!$B$15,0,$C$1)-T$29)/(OFFSET(Assumptions!$B$8,0,$C$1)+OFFSET(Assumptions!$B$21,0,$C$1)-U$6),0)</f>
        <v>0.02</v>
      </c>
      <c r="V29" s="17">
        <f ca="1">U$29+IF(V$6&lt;OFFSET(Assumptions!$B$8,0,$C$1)+OFFSET(Assumptions!$B$21,0,$C$1),(OFFSET(Assumptions!$B$15,0,$C$1)-U$29)/(OFFSET(Assumptions!$B$8,0,$C$1)+OFFSET(Assumptions!$B$21,0,$C$1)-V$6),0)</f>
        <v>0.02</v>
      </c>
      <c r="W29" s="17">
        <f ca="1">V$29+IF(W$6&lt;OFFSET(Assumptions!$B$8,0,$C$1)+OFFSET(Assumptions!$B$21,0,$C$1),(OFFSET(Assumptions!$B$15,0,$C$1)-V$29)/(OFFSET(Assumptions!$B$8,0,$C$1)+OFFSET(Assumptions!$B$21,0,$C$1)-W$6),0)</f>
        <v>0.02</v>
      </c>
      <c r="X29" s="17">
        <f ca="1">W$29+IF(X$6&lt;OFFSET(Assumptions!$B$8,0,$C$1)+OFFSET(Assumptions!$B$21,0,$C$1),(OFFSET(Assumptions!$B$15,0,$C$1)-W$29)/(OFFSET(Assumptions!$B$8,0,$C$1)+OFFSET(Assumptions!$B$21,0,$C$1)-X$6),0)</f>
        <v>0.02</v>
      </c>
      <c r="Y29" s="17">
        <f ca="1">X$29+IF(Y$6&lt;OFFSET(Assumptions!$B$8,0,$C$1)+OFFSET(Assumptions!$B$21,0,$C$1),(OFFSET(Assumptions!$B$15,0,$C$1)-X$29)/(OFFSET(Assumptions!$B$8,0,$C$1)+OFFSET(Assumptions!$B$21,0,$C$1)-Y$6),0)</f>
        <v>0.02</v>
      </c>
      <c r="Z29" s="17">
        <f ca="1">Y$29+IF(Z$6&lt;OFFSET(Assumptions!$B$8,0,$C$1)+OFFSET(Assumptions!$B$21,0,$C$1),(OFFSET(Assumptions!$B$15,0,$C$1)-Y$29)/(OFFSET(Assumptions!$B$8,0,$C$1)+OFFSET(Assumptions!$B$21,0,$C$1)-Z$6),0)</f>
        <v>0.02</v>
      </c>
    </row>
    <row r="30" spans="1:26" x14ac:dyDescent="0.25">
      <c r="A30" s="11" t="s">
        <v>785</v>
      </c>
      <c r="B30" s="11"/>
      <c r="C30" s="15"/>
      <c r="D30" s="89">
        <f>'Economic Forecasts'!Q$16</f>
        <v>2.3099999999999999E-2</v>
      </c>
      <c r="E30" s="89">
        <f>'Economic Forecasts'!R$16</f>
        <v>1.1899999999999999E-2</v>
      </c>
      <c r="F30" s="89">
        <f>'Economic Forecasts'!S$16</f>
        <v>1.1599999999999999E-2</v>
      </c>
      <c r="G30" s="89">
        <f>'Economic Forecasts'!T$16</f>
        <v>2.6499999999999999E-2</v>
      </c>
      <c r="H30" s="89">
        <f>'Economic Forecasts'!U$16</f>
        <v>4.1500000000000002E-2</v>
      </c>
      <c r="I30" s="89">
        <f>'Economic Forecasts'!V$16</f>
        <v>4.8499999999999995E-2</v>
      </c>
      <c r="J30" s="89">
        <f>'Economic Forecasts'!W$16</f>
        <v>4.4999999999999998E-2</v>
      </c>
      <c r="K30" s="89">
        <f>'Economic Forecasts'!X$16</f>
        <v>4.4600000000000001E-2</v>
      </c>
      <c r="L30" s="66">
        <f>'Economic Forecasts'!Y$16</f>
        <v>4.7E-2</v>
      </c>
      <c r="M30" s="66">
        <f>'Economic Forecasts'!Z$16</f>
        <v>4.7E-2</v>
      </c>
      <c r="N30" s="66">
        <f>'Economic Forecasts'!AA$16</f>
        <v>4.7E-2</v>
      </c>
      <c r="O30" s="66">
        <f>'Economic Forecasts'!AB$16</f>
        <v>4.7E-2</v>
      </c>
      <c r="P30" s="66">
        <f>'Economic Forecasts'!AC$16</f>
        <v>4.7E-2</v>
      </c>
      <c r="Q30" s="17">
        <f ca="1">P$30+IF(Q$6&lt;OFFSET(Assumptions!$B$8,0,$C$1)+OFFSET(Assumptions!$B$22,0,$C$1),(OFFSET(Assumptions!$B$16,0,$C$1)-P$30)/(OFFSET(Assumptions!$B$8,0,$C$1)+OFFSET(Assumptions!$B$22,0,$C$1)-Q$6),0)</f>
        <v>4.7E-2</v>
      </c>
      <c r="R30" s="17">
        <f ca="1">Q$30+IF(R$6&lt;OFFSET(Assumptions!$B$8,0,$C$1)+OFFSET(Assumptions!$B$22,0,$C$1),(OFFSET(Assumptions!$B$16,0,$C$1)-Q$30)/(OFFSET(Assumptions!$B$8,0,$C$1)+OFFSET(Assumptions!$B$22,0,$C$1)-R$6),0)</f>
        <v>4.7E-2</v>
      </c>
      <c r="S30" s="17">
        <f ca="1">R$30+IF(S$6&lt;OFFSET(Assumptions!$B$8,0,$C$1)+OFFSET(Assumptions!$B$22,0,$C$1),(OFFSET(Assumptions!$B$16,0,$C$1)-R$30)/(OFFSET(Assumptions!$B$8,0,$C$1)+OFFSET(Assumptions!$B$22,0,$C$1)-S$6),0)</f>
        <v>4.7E-2</v>
      </c>
      <c r="T30" s="17">
        <f ca="1">S$30+IF(T$6&lt;OFFSET(Assumptions!$B$8,0,$C$1)+OFFSET(Assumptions!$B$22,0,$C$1),(OFFSET(Assumptions!$B$16,0,$C$1)-S$30)/(OFFSET(Assumptions!$B$8,0,$C$1)+OFFSET(Assumptions!$B$22,0,$C$1)-T$6),0)</f>
        <v>4.7E-2</v>
      </c>
      <c r="U30" s="17">
        <f ca="1">T$30+IF(U$6&lt;OFFSET(Assumptions!$B$8,0,$C$1)+OFFSET(Assumptions!$B$22,0,$C$1),(OFFSET(Assumptions!$B$16,0,$C$1)-T$30)/(OFFSET(Assumptions!$B$8,0,$C$1)+OFFSET(Assumptions!$B$22,0,$C$1)-U$6),0)</f>
        <v>4.7E-2</v>
      </c>
      <c r="V30" s="17">
        <f ca="1">U$30+IF(V$6&lt;OFFSET(Assumptions!$B$8,0,$C$1)+OFFSET(Assumptions!$B$22,0,$C$1),(OFFSET(Assumptions!$B$16,0,$C$1)-U$30)/(OFFSET(Assumptions!$B$8,0,$C$1)+OFFSET(Assumptions!$B$22,0,$C$1)-V$6),0)</f>
        <v>4.7E-2</v>
      </c>
      <c r="W30" s="17">
        <f ca="1">V$30+IF(W$6&lt;OFFSET(Assumptions!$B$8,0,$C$1)+OFFSET(Assumptions!$B$22,0,$C$1),(OFFSET(Assumptions!$B$16,0,$C$1)-V$30)/(OFFSET(Assumptions!$B$8,0,$C$1)+OFFSET(Assumptions!$B$22,0,$C$1)-W$6),0)</f>
        <v>4.7E-2</v>
      </c>
      <c r="X30" s="17">
        <f ca="1">W$30+IF(X$6&lt;OFFSET(Assumptions!$B$8,0,$C$1)+OFFSET(Assumptions!$B$22,0,$C$1),(OFFSET(Assumptions!$B$16,0,$C$1)-W$30)/(OFFSET(Assumptions!$B$8,0,$C$1)+OFFSET(Assumptions!$B$22,0,$C$1)-X$6),0)</f>
        <v>4.7E-2</v>
      </c>
      <c r="Y30" s="17">
        <f ca="1">X$30+IF(Y$6&lt;OFFSET(Assumptions!$B$8,0,$C$1)+OFFSET(Assumptions!$B$22,0,$C$1),(OFFSET(Assumptions!$B$16,0,$C$1)-X$30)/(OFFSET(Assumptions!$B$8,0,$C$1)+OFFSET(Assumptions!$B$22,0,$C$1)-Y$6),0)</f>
        <v>4.7E-2</v>
      </c>
      <c r="Z30" s="17">
        <f ca="1">Y$30+IF(Z$6&lt;OFFSET(Assumptions!$B$8,0,$C$1)+OFFSET(Assumptions!$B$22,0,$C$1),(OFFSET(Assumptions!$B$16,0,$C$1)-Y$30)/(OFFSET(Assumptions!$B$8,0,$C$1)+OFFSET(Assumptions!$B$22,0,$C$1)-Z$6),0)</f>
        <v>4.7E-2</v>
      </c>
    </row>
    <row r="31" spans="1:26" x14ac:dyDescent="0.25">
      <c r="A31" s="11"/>
      <c r="B31" s="11"/>
      <c r="C31" s="15"/>
      <c r="D31" s="89"/>
      <c r="E31" s="89"/>
      <c r="F31" s="89"/>
      <c r="G31" s="89"/>
      <c r="H31" s="89"/>
      <c r="I31" s="89"/>
      <c r="J31" s="89"/>
      <c r="K31" s="89"/>
      <c r="L31" s="66"/>
      <c r="M31" s="66"/>
      <c r="N31" s="17"/>
      <c r="O31" s="17"/>
      <c r="P31" s="17"/>
      <c r="Q31" s="17"/>
      <c r="R31" s="17"/>
      <c r="S31" s="17"/>
      <c r="T31" s="17"/>
      <c r="U31" s="17"/>
      <c r="V31" s="17"/>
      <c r="W31" s="17"/>
      <c r="X31" s="17"/>
      <c r="Y31" s="17"/>
      <c r="Z31" s="17"/>
    </row>
    <row r="32" spans="1:26" ht="16.5" x14ac:dyDescent="0.25">
      <c r="A32" s="63" t="s">
        <v>1151</v>
      </c>
      <c r="B32" s="11"/>
      <c r="C32" s="15"/>
      <c r="D32" s="89"/>
      <c r="E32" s="89"/>
      <c r="F32" s="89"/>
      <c r="G32" s="89"/>
      <c r="H32" s="89"/>
      <c r="I32" s="89"/>
      <c r="J32" s="89"/>
      <c r="K32" s="89"/>
      <c r="L32" s="66"/>
      <c r="M32" s="66"/>
      <c r="N32" s="17"/>
      <c r="O32" s="17"/>
      <c r="P32" s="17"/>
      <c r="Q32" s="17"/>
      <c r="R32" s="17"/>
      <c r="S32" s="17"/>
      <c r="T32" s="17"/>
      <c r="U32" s="17"/>
      <c r="V32" s="17"/>
      <c r="W32" s="17"/>
      <c r="X32" s="17"/>
      <c r="Y32" s="17"/>
      <c r="Z32" s="17"/>
    </row>
    <row r="33" spans="1:26" x14ac:dyDescent="0.25">
      <c r="A33" s="57" t="s">
        <v>1152</v>
      </c>
      <c r="B33" s="11"/>
      <c r="C33" s="15"/>
      <c r="D33" s="89"/>
      <c r="E33" s="89"/>
      <c r="F33" s="89"/>
      <c r="G33" s="89"/>
      <c r="H33" s="89"/>
      <c r="I33" s="89"/>
      <c r="J33" s="89"/>
      <c r="K33" s="89"/>
      <c r="L33" s="66"/>
      <c r="M33" s="66"/>
      <c r="N33" s="17"/>
      <c r="O33" s="17"/>
      <c r="P33" s="17"/>
      <c r="Q33" s="17"/>
      <c r="R33" s="17"/>
      <c r="S33" s="17"/>
      <c r="T33" s="17"/>
      <c r="U33" s="17"/>
      <c r="V33" s="17"/>
      <c r="W33" s="17"/>
      <c r="X33" s="17"/>
      <c r="Y33" s="17"/>
      <c r="Z33" s="17"/>
    </row>
    <row r="34" spans="1:26" x14ac:dyDescent="0.25">
      <c r="A34" s="11" t="s">
        <v>1153</v>
      </c>
      <c r="B34" s="11"/>
      <c r="C34" s="15"/>
      <c r="D34" s="51">
        <f t="shared" ref="D34:Z34" ca="1" si="12">SUM(D$140,D$150,D$155,D$165,D$173,D$179)</f>
        <v>119.142</v>
      </c>
      <c r="E34" s="51">
        <f t="shared" ca="1" si="12"/>
        <v>116.003</v>
      </c>
      <c r="F34" s="51">
        <f t="shared" ca="1" si="12"/>
        <v>129.33500000000001</v>
      </c>
      <c r="G34" s="51">
        <f t="shared" ca="1" si="12"/>
        <v>141.62700000000001</v>
      </c>
      <c r="H34" s="51">
        <f t="shared" ca="1" si="12"/>
        <v>153.011</v>
      </c>
      <c r="I34" s="51">
        <f t="shared" ca="1" si="12"/>
        <v>167.34699999999998</v>
      </c>
      <c r="J34" s="51">
        <f t="shared" ca="1" si="12"/>
        <v>169.81099999999998</v>
      </c>
      <c r="K34" s="51">
        <f t="shared" ca="1" si="12"/>
        <v>172.334</v>
      </c>
      <c r="L34" s="47">
        <f t="shared" ca="1" si="12"/>
        <v>185.85700000000003</v>
      </c>
      <c r="M34" s="47">
        <f t="shared" ca="1" si="12"/>
        <v>195.21899999999999</v>
      </c>
      <c r="N34" s="47">
        <f t="shared" ca="1" si="12"/>
        <v>205.63200000000003</v>
      </c>
      <c r="O34" s="47">
        <f t="shared" ca="1" si="12"/>
        <v>216.68100000000001</v>
      </c>
      <c r="P34" s="47">
        <f t="shared" ca="1" si="12"/>
        <v>226.12200000000001</v>
      </c>
      <c r="Q34" s="21">
        <f t="shared" ca="1" si="12"/>
        <v>235.4463991577525</v>
      </c>
      <c r="R34" s="21">
        <f t="shared" ca="1" si="12"/>
        <v>244.74843760533881</v>
      </c>
      <c r="S34" s="21">
        <f t="shared" ca="1" si="12"/>
        <v>254.47520584078205</v>
      </c>
      <c r="T34" s="21">
        <f t="shared" ca="1" si="12"/>
        <v>264.80119566754439</v>
      </c>
      <c r="U34" s="21">
        <f t="shared" ca="1" si="12"/>
        <v>275.56837207368267</v>
      </c>
      <c r="V34" s="21">
        <f t="shared" ca="1" si="12"/>
        <v>286.45725588281186</v>
      </c>
      <c r="W34" s="21">
        <f t="shared" ca="1" si="12"/>
        <v>297.64206322196281</v>
      </c>
      <c r="X34" s="21">
        <f t="shared" ca="1" si="12"/>
        <v>309.12937859444685</v>
      </c>
      <c r="Y34" s="21">
        <f t="shared" ca="1" si="12"/>
        <v>321.00325354924536</v>
      </c>
      <c r="Z34" s="21">
        <f t="shared" ca="1" si="12"/>
        <v>333.25228364674138</v>
      </c>
    </row>
    <row r="35" spans="1:26" x14ac:dyDescent="0.25">
      <c r="A35" s="11" t="s">
        <v>1154</v>
      </c>
      <c r="B35" s="11"/>
      <c r="C35" s="15"/>
      <c r="D35" s="51">
        <f t="shared" ref="D35:Z35" si="13">SUM(D$194,D$212,D$218,D$227,D$234,D$241,D$246,D$249)</f>
        <v>111.376</v>
      </c>
      <c r="E35" s="51">
        <f t="shared" si="13"/>
        <v>138.91599999999997</v>
      </c>
      <c r="F35" s="51">
        <f t="shared" si="13"/>
        <v>133.72200000000004</v>
      </c>
      <c r="G35" s="51">
        <f t="shared" si="13"/>
        <v>150.95599999999999</v>
      </c>
      <c r="H35" s="51">
        <f t="shared" si="13"/>
        <v>161.822</v>
      </c>
      <c r="I35" s="51">
        <f t="shared" si="13"/>
        <v>180.06100000000001</v>
      </c>
      <c r="J35" s="51">
        <f t="shared" si="13"/>
        <v>183.50200000000001</v>
      </c>
      <c r="K35" s="51">
        <f t="shared" si="13"/>
        <v>182.691</v>
      </c>
      <c r="L35" s="47">
        <f t="shared" ca="1" si="13"/>
        <v>194.47299999999998</v>
      </c>
      <c r="M35" s="47">
        <f t="shared" ca="1" si="13"/>
        <v>197.73099999999997</v>
      </c>
      <c r="N35" s="47">
        <f t="shared" ca="1" si="13"/>
        <v>203.18200000000002</v>
      </c>
      <c r="O35" s="47">
        <f t="shared" ca="1" si="13"/>
        <v>209.95</v>
      </c>
      <c r="P35" s="47">
        <f t="shared" ca="1" si="13"/>
        <v>216.69899999999998</v>
      </c>
      <c r="Q35" s="21">
        <f t="shared" ca="1" si="13"/>
        <v>224.00048448502992</v>
      </c>
      <c r="R35" s="21">
        <f t="shared" ca="1" si="13"/>
        <v>230.98836977438313</v>
      </c>
      <c r="S35" s="21">
        <f t="shared" ca="1" si="13"/>
        <v>238.08041877067137</v>
      </c>
      <c r="T35" s="21">
        <f t="shared" ca="1" si="13"/>
        <v>245.44962329445912</v>
      </c>
      <c r="U35" s="21">
        <f t="shared" ca="1" si="13"/>
        <v>253.15206731972017</v>
      </c>
      <c r="V35" s="21">
        <f t="shared" ca="1" si="13"/>
        <v>261.04216604020178</v>
      </c>
      <c r="W35" s="21">
        <f t="shared" ca="1" si="13"/>
        <v>269.07552181377213</v>
      </c>
      <c r="X35" s="21">
        <f t="shared" ca="1" si="13"/>
        <v>277.22744346116826</v>
      </c>
      <c r="Y35" s="21">
        <f t="shared" ca="1" si="13"/>
        <v>285.45340900759402</v>
      </c>
      <c r="Z35" s="21">
        <f t="shared" ca="1" si="13"/>
        <v>293.84266244132078</v>
      </c>
    </row>
    <row r="36" spans="1:26" x14ac:dyDescent="0.25">
      <c r="A36" s="12" t="s">
        <v>1155</v>
      </c>
      <c r="B36" s="11"/>
      <c r="C36" s="15"/>
      <c r="D36" s="50">
        <f t="shared" ref="D36:Z36" si="14">D$337</f>
        <v>-7.1309999999999993</v>
      </c>
      <c r="E36" s="50">
        <f t="shared" si="14"/>
        <v>-8.7219999999999995</v>
      </c>
      <c r="F36" s="50">
        <f t="shared" si="14"/>
        <v>21.023</v>
      </c>
      <c r="G36" s="50">
        <f t="shared" si="14"/>
        <v>-6.7219999999999995</v>
      </c>
      <c r="H36" s="50">
        <f t="shared" si="14"/>
        <v>14.658000000000001</v>
      </c>
      <c r="I36" s="50">
        <f t="shared" si="14"/>
        <v>4.6669999999999998</v>
      </c>
      <c r="J36" s="50">
        <f t="shared" si="14"/>
        <v>8.870000000000001</v>
      </c>
      <c r="K36" s="50">
        <f t="shared" si="14"/>
        <v>11.251999999999999</v>
      </c>
      <c r="L36" s="48">
        <f t="shared" si="14"/>
        <v>5.5949999999999998</v>
      </c>
      <c r="M36" s="48">
        <f t="shared" si="14"/>
        <v>6.1859999999999999</v>
      </c>
      <c r="N36" s="48">
        <f t="shared" si="14"/>
        <v>6.67</v>
      </c>
      <c r="O36" s="48">
        <f t="shared" si="14"/>
        <v>7.1619999999999999</v>
      </c>
      <c r="P36" s="48">
        <f t="shared" si="14"/>
        <v>7.8049999999999997</v>
      </c>
      <c r="Q36" s="20">
        <f t="shared" ca="1" si="14"/>
        <v>8.1893578666957438</v>
      </c>
      <c r="R36" s="20">
        <f t="shared" ca="1" si="14"/>
        <v>8.6778170884748373</v>
      </c>
      <c r="S36" s="20">
        <f t="shared" ca="1" si="14"/>
        <v>9.1935424145827049</v>
      </c>
      <c r="T36" s="20">
        <f t="shared" ca="1" si="14"/>
        <v>9.7397335211931519</v>
      </c>
      <c r="U36" s="20">
        <f t="shared" ca="1" si="14"/>
        <v>10.315927609072595</v>
      </c>
      <c r="V36" s="20">
        <f t="shared" ca="1" si="14"/>
        <v>10.915288094060537</v>
      </c>
      <c r="W36" s="20">
        <f t="shared" ca="1" si="14"/>
        <v>11.541113549028129</v>
      </c>
      <c r="X36" s="20">
        <f t="shared" ca="1" si="14"/>
        <v>12.198297499928369</v>
      </c>
      <c r="Y36" s="20">
        <f t="shared" ca="1" si="14"/>
        <v>12.89401253208573</v>
      </c>
      <c r="Z36" s="20">
        <f t="shared" ca="1" si="14"/>
        <v>13.634820401576503</v>
      </c>
    </row>
    <row r="37" spans="1:26" x14ac:dyDescent="0.25">
      <c r="A37" s="12" t="s">
        <v>881</v>
      </c>
      <c r="B37" s="14"/>
      <c r="C37" s="15"/>
      <c r="D37" s="50">
        <f t="shared" ref="D37:Z37" si="15">D$341</f>
        <v>0.20599999999999999</v>
      </c>
      <c r="E37" s="50">
        <f t="shared" si="15"/>
        <v>1.1930000000000001</v>
      </c>
      <c r="F37" s="50">
        <f t="shared" si="15"/>
        <v>-0.36</v>
      </c>
      <c r="G37" s="50">
        <f t="shared" si="15"/>
        <v>-0.126</v>
      </c>
      <c r="H37" s="50">
        <f t="shared" si="15"/>
        <v>2.9000000000000001E-2</v>
      </c>
      <c r="I37" s="50">
        <f t="shared" si="15"/>
        <v>0.12</v>
      </c>
      <c r="J37" s="50">
        <f t="shared" si="15"/>
        <v>0.214</v>
      </c>
      <c r="K37" s="50">
        <f t="shared" si="15"/>
        <v>0.27400000000000002</v>
      </c>
      <c r="L37" s="48">
        <f t="shared" si="15"/>
        <v>0.26500000000000001</v>
      </c>
      <c r="M37" s="48">
        <f t="shared" si="15"/>
        <v>0.252</v>
      </c>
      <c r="N37" s="48">
        <f t="shared" si="15"/>
        <v>0.22</v>
      </c>
      <c r="O37" s="48">
        <f t="shared" si="15"/>
        <v>0.127</v>
      </c>
      <c r="P37" s="48">
        <f t="shared" si="15"/>
        <v>7.0000000000000007E-2</v>
      </c>
      <c r="Q37" s="20">
        <f t="shared" ca="1" si="15"/>
        <v>7.3047162251375891E-2</v>
      </c>
      <c r="R37" s="20">
        <f t="shared" ca="1" si="15"/>
        <v>7.6156424413280466E-2</v>
      </c>
      <c r="S37" s="20">
        <f t="shared" ca="1" si="15"/>
        <v>7.9348059592001752E-2</v>
      </c>
      <c r="T37" s="20">
        <f t="shared" ca="1" si="15"/>
        <v>8.2614602511242197E-2</v>
      </c>
      <c r="U37" s="20">
        <f t="shared" ca="1" si="15"/>
        <v>8.5995052192758242E-2</v>
      </c>
      <c r="V37" s="20">
        <f t="shared" ca="1" si="15"/>
        <v>8.9490610853099395E-2</v>
      </c>
      <c r="W37" s="20">
        <f t="shared" ca="1" si="15"/>
        <v>9.308364345661603E-2</v>
      </c>
      <c r="X37" s="20">
        <f t="shared" ca="1" si="15"/>
        <v>9.6780140506793413E-2</v>
      </c>
      <c r="Y37" s="20">
        <f t="shared" ca="1" si="15"/>
        <v>0.10059943236443897</v>
      </c>
      <c r="Z37" s="20">
        <f t="shared" ca="1" si="15"/>
        <v>0.10454250408185706</v>
      </c>
    </row>
    <row r="38" spans="1:26" x14ac:dyDescent="0.25">
      <c r="A38" s="12" t="s">
        <v>1156</v>
      </c>
      <c r="B38" s="14" t="s">
        <v>1157</v>
      </c>
      <c r="C38" s="15"/>
      <c r="D38" s="50">
        <f>'Fiscal Forecasts'!D$28</f>
        <v>0.45200000000000001</v>
      </c>
      <c r="E38" s="50">
        <f>'Fiscal Forecasts'!E$28</f>
        <v>-0.40200000000000002</v>
      </c>
      <c r="F38" s="50">
        <f>'Fiscal Forecasts'!F$28</f>
        <v>0.11700000000000001</v>
      </c>
      <c r="G38" s="50">
        <f>'Fiscal Forecasts'!G$28</f>
        <v>0.755</v>
      </c>
      <c r="H38" s="50">
        <f>'Fiscal Forecasts'!H$28</f>
        <v>0.55500000000000005</v>
      </c>
      <c r="I38" s="50">
        <f>'Fiscal Forecasts'!I$28</f>
        <v>0.438</v>
      </c>
      <c r="J38" s="50">
        <f>'Fiscal Forecasts'!J$28</f>
        <v>-0.20699999999999999</v>
      </c>
      <c r="K38" s="50">
        <f>'Fiscal Forecasts'!K$28</f>
        <v>3.3000000000000002E-2</v>
      </c>
      <c r="L38" s="48">
        <f>'Fiscal Forecasts'!L$28</f>
        <v>0.20699999999999999</v>
      </c>
      <c r="M38" s="48">
        <f>'Fiscal Forecasts'!M$28</f>
        <v>0.44900000000000001</v>
      </c>
      <c r="N38" s="48">
        <f>'Fiscal Forecasts'!N$28</f>
        <v>0.438</v>
      </c>
      <c r="O38" s="48">
        <f>'Fiscal Forecasts'!O$28</f>
        <v>0.47699999999999998</v>
      </c>
      <c r="P38" s="48">
        <f>'Fiscal Forecasts'!P$28</f>
        <v>0.60499999999999998</v>
      </c>
      <c r="Q38" s="20">
        <f t="shared" ref="Q38:Z38" si="16">P$38*P$59/O$59</f>
        <v>0.6051259367194004</v>
      </c>
      <c r="R38" s="20">
        <f t="shared" ca="1" si="16"/>
        <v>0.60128038076518797</v>
      </c>
      <c r="S38" s="20">
        <f t="shared" ca="1" si="16"/>
        <v>0.59822212694402666</v>
      </c>
      <c r="T38" s="20">
        <f t="shared" ca="1" si="16"/>
        <v>0.59625993199738303</v>
      </c>
      <c r="U38" s="20">
        <f t="shared" ca="1" si="16"/>
        <v>0.59605801996716767</v>
      </c>
      <c r="V38" s="20">
        <f t="shared" ca="1" si="16"/>
        <v>0.59757125817594159</v>
      </c>
      <c r="W38" s="20">
        <f t="shared" ca="1" si="16"/>
        <v>0.59918716695355234</v>
      </c>
      <c r="X38" s="20">
        <f t="shared" ca="1" si="16"/>
        <v>0.60072007493924939</v>
      </c>
      <c r="Y38" s="20">
        <f t="shared" ca="1" si="16"/>
        <v>0.60206254716912155</v>
      </c>
      <c r="Z38" s="20">
        <f t="shared" ca="1" si="16"/>
        <v>0.60345180187651026</v>
      </c>
    </row>
    <row r="39" spans="1:26" x14ac:dyDescent="0.25">
      <c r="A39" s="11" t="s">
        <v>755</v>
      </c>
      <c r="B39" s="11"/>
      <c r="C39" s="15"/>
      <c r="D39" s="94">
        <f t="shared" ref="D39:Z39" ca="1" si="17">SUM(D$34,D$36,D$37)-SUM(D$35,D$38)</f>
        <v>0.38899999999999579</v>
      </c>
      <c r="E39" s="94">
        <f t="shared" ca="1" si="17"/>
        <v>-30.039999999999978</v>
      </c>
      <c r="F39" s="94">
        <f t="shared" ca="1" si="17"/>
        <v>16.158999999999963</v>
      </c>
      <c r="G39" s="94">
        <f t="shared" ca="1" si="17"/>
        <v>-16.931999999999988</v>
      </c>
      <c r="H39" s="94">
        <f t="shared" ca="1" si="17"/>
        <v>5.3209999999999695</v>
      </c>
      <c r="I39" s="94">
        <f t="shared" ca="1" si="17"/>
        <v>-8.3650000000000091</v>
      </c>
      <c r="J39" s="94">
        <f t="shared" ca="1" si="17"/>
        <v>-4.4000000000000341</v>
      </c>
      <c r="K39" s="94">
        <f t="shared" ca="1" si="17"/>
        <v>1.1360000000000241</v>
      </c>
      <c r="L39" s="95">
        <f t="shared" ca="1" si="17"/>
        <v>-2.9629999999999654</v>
      </c>
      <c r="M39" s="95">
        <f t="shared" ca="1" si="17"/>
        <v>3.4770000000000323</v>
      </c>
      <c r="N39" s="95">
        <f t="shared" ca="1" si="17"/>
        <v>8.9020000000000152</v>
      </c>
      <c r="O39" s="95">
        <f t="shared" ca="1" si="17"/>
        <v>13.543000000000035</v>
      </c>
      <c r="P39" s="95">
        <f t="shared" ca="1" si="17"/>
        <v>16.69300000000004</v>
      </c>
      <c r="Q39" s="96">
        <f t="shared" ca="1" si="17"/>
        <v>19.103193764950333</v>
      </c>
      <c r="R39" s="96">
        <f t="shared" ca="1" si="17"/>
        <v>21.912760963078597</v>
      </c>
      <c r="S39" s="96">
        <f t="shared" ca="1" si="17"/>
        <v>25.069455417341345</v>
      </c>
      <c r="T39" s="96">
        <f t="shared" ca="1" si="17"/>
        <v>28.577660564792268</v>
      </c>
      <c r="U39" s="96">
        <f t="shared" ca="1" si="17"/>
        <v>32.222169395260693</v>
      </c>
      <c r="V39" s="96">
        <f t="shared" ca="1" si="17"/>
        <v>35.822297289347773</v>
      </c>
      <c r="W39" s="96">
        <f t="shared" ca="1" si="17"/>
        <v>39.601551433721909</v>
      </c>
      <c r="X39" s="96">
        <f t="shared" ca="1" si="17"/>
        <v>43.596292698774448</v>
      </c>
      <c r="Y39" s="96">
        <f t="shared" ca="1" si="17"/>
        <v>47.942393958932428</v>
      </c>
      <c r="Z39" s="96">
        <f t="shared" ca="1" si="17"/>
        <v>52.545532309202429</v>
      </c>
    </row>
    <row r="40" spans="1:26" x14ac:dyDescent="0.25">
      <c r="A40" s="12" t="s">
        <v>886</v>
      </c>
      <c r="B40" s="14" t="str">
        <f>$B$38</f>
        <v>From Fiscal Forecasts</v>
      </c>
      <c r="C40" s="15"/>
      <c r="D40" s="50">
        <f>'Fiscal Forecasts'!D$32</f>
        <v>0.115</v>
      </c>
      <c r="E40" s="50">
        <f>'Fiscal Forecasts'!E$32</f>
        <v>-0.54600000000000004</v>
      </c>
      <c r="F40" s="50">
        <f>'Fiscal Forecasts'!F$32</f>
        <v>-5.6000000000000001E-2</v>
      </c>
      <c r="G40" s="50">
        <f>'Fiscal Forecasts'!G$32</f>
        <v>0.39300000000000002</v>
      </c>
      <c r="H40" s="50">
        <f>'Fiscal Forecasts'!H$32</f>
        <v>-0.08</v>
      </c>
      <c r="I40" s="50">
        <f>'Fiscal Forecasts'!I$32</f>
        <v>0.29799999999999999</v>
      </c>
      <c r="J40" s="50">
        <f>'Fiscal Forecasts'!J$32</f>
        <v>-0.48899999999999999</v>
      </c>
      <c r="K40" s="50">
        <f>'Fiscal Forecasts'!K$32</f>
        <v>-0.34899999999999998</v>
      </c>
      <c r="L40" s="48">
        <f>'Fiscal Forecasts'!L$32</f>
        <v>9.2999999999999999E-2</v>
      </c>
      <c r="M40" s="48">
        <f>'Fiscal Forecasts'!M$32</f>
        <v>2.3E-2</v>
      </c>
      <c r="N40" s="48">
        <f>'Fiscal Forecasts'!N$32</f>
        <v>0.05</v>
      </c>
      <c r="O40" s="48">
        <f>'Fiscal Forecasts'!O$32</f>
        <v>5.6000000000000001E-2</v>
      </c>
      <c r="P40" s="48">
        <f>'Fiscal Forecasts'!P$32</f>
        <v>6.0999999999999999E-2</v>
      </c>
      <c r="Q40" s="20">
        <f t="shared" ref="Q40:Z40" si="18">P$40*Q$38/P$38</f>
        <v>6.1012697751873436E-2</v>
      </c>
      <c r="R40" s="20">
        <f t="shared" ca="1" si="18"/>
        <v>6.0624964011035488E-2</v>
      </c>
      <c r="S40" s="20">
        <f t="shared" ca="1" si="18"/>
        <v>6.0316611146422526E-2</v>
      </c>
      <c r="T40" s="20">
        <f t="shared" ca="1" si="18"/>
        <v>6.0118770003041937E-2</v>
      </c>
      <c r="U40" s="20">
        <f t="shared" ca="1" si="18"/>
        <v>6.0098411930573942E-2</v>
      </c>
      <c r="V40" s="20">
        <f t="shared" ca="1" si="18"/>
        <v>6.0250986361541234E-2</v>
      </c>
      <c r="W40" s="20">
        <f t="shared" ca="1" si="18"/>
        <v>6.0413912701101982E-2</v>
      </c>
      <c r="X40" s="20">
        <f t="shared" ca="1" si="18"/>
        <v>6.0568470365775569E-2</v>
      </c>
      <c r="Y40" s="20">
        <f t="shared" ca="1" si="18"/>
        <v>6.0703827069944497E-2</v>
      </c>
      <c r="Z40" s="20">
        <f t="shared" ca="1" si="18"/>
        <v>6.0843900685069639E-2</v>
      </c>
    </row>
    <row r="41" spans="1:26" x14ac:dyDescent="0.25">
      <c r="A41" s="11" t="s">
        <v>1158</v>
      </c>
      <c r="B41" s="11"/>
      <c r="C41" s="15"/>
      <c r="D41" s="94">
        <f t="shared" ref="D41:Z41" ca="1" si="19">D$34-D$35-(D$38-D$40)</f>
        <v>7.4289999999999914</v>
      </c>
      <c r="E41" s="94">
        <f t="shared" ca="1" si="19"/>
        <v>-23.056999999999967</v>
      </c>
      <c r="F41" s="94">
        <f t="shared" ca="1" si="19"/>
        <v>-4.5600000000000289</v>
      </c>
      <c r="G41" s="94">
        <f t="shared" ca="1" si="19"/>
        <v>-9.6909999999999794</v>
      </c>
      <c r="H41" s="94">
        <f t="shared" ca="1" si="19"/>
        <v>-9.4460000000000068</v>
      </c>
      <c r="I41" s="94">
        <f t="shared" ca="1" si="19"/>
        <v>-12.854000000000028</v>
      </c>
      <c r="J41" s="94">
        <f t="shared" ca="1" si="19"/>
        <v>-13.973000000000031</v>
      </c>
      <c r="K41" s="94">
        <f t="shared" ca="1" si="19"/>
        <v>-10.738999999999999</v>
      </c>
      <c r="L41" s="95">
        <f t="shared" ca="1" si="19"/>
        <v>-8.7299999999999578</v>
      </c>
      <c r="M41" s="95">
        <f t="shared" ca="1" si="19"/>
        <v>-2.9379999999999722</v>
      </c>
      <c r="N41" s="95">
        <f t="shared" ca="1" si="19"/>
        <v>2.0620000000000172</v>
      </c>
      <c r="O41" s="95">
        <f t="shared" ca="1" si="19"/>
        <v>6.3100000000000227</v>
      </c>
      <c r="P41" s="95">
        <f t="shared" ca="1" si="19"/>
        <v>8.8790000000000298</v>
      </c>
      <c r="Q41" s="96">
        <f t="shared" ca="1" si="19"/>
        <v>10.901801433755054</v>
      </c>
      <c r="R41" s="96">
        <f t="shared" ca="1" si="19"/>
        <v>13.219412414201525</v>
      </c>
      <c r="S41" s="96">
        <f t="shared" ca="1" si="19"/>
        <v>15.856881554313077</v>
      </c>
      <c r="T41" s="96">
        <f t="shared" ca="1" si="19"/>
        <v>18.815431211090935</v>
      </c>
      <c r="U41" s="96">
        <f t="shared" ca="1" si="19"/>
        <v>21.880345145925897</v>
      </c>
      <c r="V41" s="96">
        <f t="shared" ca="1" si="19"/>
        <v>24.877769570795685</v>
      </c>
      <c r="W41" s="96">
        <f t="shared" ca="1" si="19"/>
        <v>28.027768153938236</v>
      </c>
      <c r="X41" s="96">
        <f t="shared" ca="1" si="19"/>
        <v>31.361783528705111</v>
      </c>
      <c r="Y41" s="96">
        <f t="shared" ca="1" si="19"/>
        <v>35.008485821552163</v>
      </c>
      <c r="Z41" s="96">
        <f t="shared" ca="1" si="19"/>
        <v>38.867013304229154</v>
      </c>
    </row>
    <row r="42" spans="1:26" x14ac:dyDescent="0.25">
      <c r="A42" s="60" t="s">
        <v>1159</v>
      </c>
      <c r="B42" s="14" t="s">
        <v>1160</v>
      </c>
      <c r="C42" s="15"/>
      <c r="D42" s="97" t="str">
        <f ca="1">IF(ROUND('Fiscal Forecasts'!D$33-D$41,3)=0,"OK","ERROR")</f>
        <v>OK</v>
      </c>
      <c r="E42" s="97" t="str">
        <f ca="1">IF(ROUND('Fiscal Forecasts'!E$33-E$41,3)=0,"OK","ERROR")</f>
        <v>OK</v>
      </c>
      <c r="F42" s="97" t="str">
        <f ca="1">IF(ROUND('Fiscal Forecasts'!F$33-F$41,3)=0,"OK","ERROR")</f>
        <v>OK</v>
      </c>
      <c r="G42" s="97" t="str">
        <f ca="1">IF(ROUND('Fiscal Forecasts'!G$33-G$41,3)=0,"OK","ERROR")</f>
        <v>OK</v>
      </c>
      <c r="H42" s="97" t="str">
        <f ca="1">IF(ROUND('Fiscal Forecasts'!H$33-H$41,3)=0,"OK","ERROR")</f>
        <v>OK</v>
      </c>
      <c r="I42" s="97" t="str">
        <f ca="1">IF(ROUND('Fiscal Forecasts'!I$33-I$41,3)=0,"OK","ERROR")</f>
        <v>OK</v>
      </c>
      <c r="J42" s="97" t="str">
        <f ca="1">IF(ROUND('Fiscal Forecasts'!J$33-J$41,3)=0,"OK","ERROR")</f>
        <v>OK</v>
      </c>
      <c r="K42" s="97" t="str">
        <f ca="1">IF(ROUND('Fiscal Forecasts'!K$33-K$41,3)=0,"OK","ERROR")</f>
        <v>OK</v>
      </c>
      <c r="L42" s="97" t="str">
        <f ca="1">IF(ROUND('Fiscal Forecasts'!L$33-L$41,3)=0,"OK","ERROR")</f>
        <v>OK</v>
      </c>
      <c r="M42" s="97" t="str">
        <f ca="1">IF(ROUND('Fiscal Forecasts'!M$33-M$41,3)=0,"OK","ERROR")</f>
        <v>OK</v>
      </c>
      <c r="N42" s="97" t="str">
        <f ca="1">IF(ROUND('Fiscal Forecasts'!N$33-N$41,3)=0,"OK","ERROR")</f>
        <v>OK</v>
      </c>
      <c r="O42" s="97" t="str">
        <f ca="1">IF(ROUND('Fiscal Forecasts'!O$33-O$41,3)=0,"OK","ERROR")</f>
        <v>OK</v>
      </c>
      <c r="P42" s="97" t="str">
        <f ca="1">IF(ROUND('Fiscal Forecasts'!P$33-P$41,3)=0,"OK","ERROR")</f>
        <v>OK</v>
      </c>
      <c r="Q42" s="17"/>
      <c r="R42" s="17"/>
      <c r="S42" s="17"/>
      <c r="T42" s="17"/>
      <c r="U42" s="17"/>
      <c r="V42" s="17"/>
      <c r="W42" s="17"/>
      <c r="X42" s="17"/>
      <c r="Y42" s="17"/>
      <c r="Z42" s="17"/>
    </row>
    <row r="43" spans="1:26" x14ac:dyDescent="0.25">
      <c r="A43" s="12" t="s">
        <v>889</v>
      </c>
      <c r="B43" s="14" t="str">
        <f>$B$38</f>
        <v>From Fiscal Forecasts</v>
      </c>
      <c r="C43" s="15"/>
      <c r="D43" s="50">
        <f>'Fiscal Forecasts'!D$35</f>
        <v>5.827</v>
      </c>
      <c r="E43" s="50">
        <f>'Fiscal Forecasts'!E$35</f>
        <v>5.73</v>
      </c>
      <c r="F43" s="50">
        <f>'Fiscal Forecasts'!F$35</f>
        <v>6.1950000000000003</v>
      </c>
      <c r="G43" s="50">
        <f>'Fiscal Forecasts'!G$35</f>
        <v>6.625</v>
      </c>
      <c r="H43" s="50">
        <f>'Fiscal Forecasts'!H$35</f>
        <v>7.39</v>
      </c>
      <c r="I43" s="50">
        <f>'Fiscal Forecasts'!I$35</f>
        <v>7.9290000000000003</v>
      </c>
      <c r="J43" s="50">
        <f>'Fiscal Forecasts'!J$35</f>
        <v>8.548</v>
      </c>
      <c r="K43" s="50">
        <f>'Fiscal Forecasts'!K$35</f>
        <v>8.9429999999999996</v>
      </c>
      <c r="L43" s="48">
        <f>'Fiscal Forecasts'!L$35</f>
        <v>9.5489999999999995</v>
      </c>
      <c r="M43" s="48">
        <f>'Fiscal Forecasts'!M$35</f>
        <v>10.170999999999999</v>
      </c>
      <c r="N43" s="48">
        <f>'Fiscal Forecasts'!N$35</f>
        <v>10.502000000000001</v>
      </c>
      <c r="O43" s="48">
        <f>'Fiscal Forecasts'!O$35</f>
        <v>11.176</v>
      </c>
      <c r="P43" s="48">
        <f>'Fiscal Forecasts'!P$35</f>
        <v>11.611000000000001</v>
      </c>
      <c r="Q43" s="20">
        <f>Q$148+(P$43-P$148)*(1+Exogenous!AB$31)</f>
        <v>12.429790158081012</v>
      </c>
      <c r="R43" s="20">
        <f>R$148+(Q$43-Q$148)*(1+Exogenous!AC$31)</f>
        <v>13.300830576338702</v>
      </c>
      <c r="S43" s="20">
        <f>S$148+(R$43-R$148)*(1+Exogenous!AD$31)</f>
        <v>14.211158217037488</v>
      </c>
      <c r="T43" s="20">
        <f>T$148+(S$43-S$148)*(1+Exogenous!AE$31)</f>
        <v>15.195726727748877</v>
      </c>
      <c r="U43" s="20">
        <f>U$148+(T$43-T$148)*(1+Exogenous!AF$31)</f>
        <v>16.183131105132009</v>
      </c>
      <c r="V43" s="20">
        <f>V$148+(U$43-U$148)*(1+Exogenous!AG$31)</f>
        <v>16.974959533771454</v>
      </c>
      <c r="W43" s="20">
        <f>W$148+(V$43-V$148)*(1+Exogenous!AH$31)</f>
        <v>17.803401698346804</v>
      </c>
      <c r="X43" s="20">
        <f>X$148+(W$43-W$148)*(1+Exogenous!AI$31)</f>
        <v>18.645891159817143</v>
      </c>
      <c r="Y43" s="20">
        <f>Y$148+(X$43-X$148)*(1+Exogenous!AJ$31)</f>
        <v>19.530079533294185</v>
      </c>
      <c r="Z43" s="20">
        <f>Z$148+(Y$43-Y$148)*(1+Exogenous!AK$31)</f>
        <v>20.444610791103781</v>
      </c>
    </row>
    <row r="44" spans="1:26" x14ac:dyDescent="0.25">
      <c r="A44" s="12" t="s">
        <v>890</v>
      </c>
      <c r="B44" s="14" t="str">
        <f>$B$38</f>
        <v>From Fiscal Forecasts</v>
      </c>
      <c r="C44" s="15"/>
      <c r="D44" s="50">
        <f>'Fiscal Forecasts'!D$36</f>
        <v>6.9020000000000001</v>
      </c>
      <c r="E44" s="50">
        <f>'Fiscal Forecasts'!E$36</f>
        <v>7.8849999999999998</v>
      </c>
      <c r="F44" s="50">
        <f>'Fiscal Forecasts'!F$36</f>
        <v>8.1959999999999997</v>
      </c>
      <c r="G44" s="50">
        <f>'Fiscal Forecasts'!G$36</f>
        <v>7.6520000000000001</v>
      </c>
      <c r="H44" s="50">
        <f>'Fiscal Forecasts'!H$36</f>
        <v>9.6370000000000005</v>
      </c>
      <c r="I44" s="50">
        <f>'Fiscal Forecasts'!I$36</f>
        <v>12.01</v>
      </c>
      <c r="J44" s="50">
        <f>'Fiscal Forecasts'!J$36</f>
        <v>13.215</v>
      </c>
      <c r="K44" s="50">
        <f>'Fiscal Forecasts'!K$36</f>
        <v>11.041</v>
      </c>
      <c r="L44" s="48">
        <f>'Fiscal Forecasts'!L$36</f>
        <v>11.529</v>
      </c>
      <c r="M44" s="48">
        <f>'Fiscal Forecasts'!M$36</f>
        <v>12.275</v>
      </c>
      <c r="N44" s="48">
        <f>'Fiscal Forecasts'!N$36</f>
        <v>12.456</v>
      </c>
      <c r="O44" s="48">
        <f>'Fiscal Forecasts'!O$36</f>
        <v>12.923</v>
      </c>
      <c r="P44" s="48">
        <f>'Fiscal Forecasts'!P$36</f>
        <v>14.425000000000001</v>
      </c>
      <c r="Q44" s="20">
        <f t="shared" ref="Q44:Z44" ca="1" si="20">Q$242+(P$44-P$242)*(1+Q$19)*(1+Q$29)</f>
        <v>15.132542110116781</v>
      </c>
      <c r="R44" s="20">
        <f t="shared" ca="1" si="20"/>
        <v>15.886093201540325</v>
      </c>
      <c r="S44" s="20">
        <f t="shared" ca="1" si="20"/>
        <v>16.639967033436427</v>
      </c>
      <c r="T44" s="20">
        <f t="shared" ca="1" si="20"/>
        <v>17.371953061124131</v>
      </c>
      <c r="U44" s="20">
        <f t="shared" ca="1" si="20"/>
        <v>18.14517403221479</v>
      </c>
      <c r="V44" s="20">
        <f t="shared" ca="1" si="20"/>
        <v>18.928661563922116</v>
      </c>
      <c r="W44" s="20">
        <f t="shared" ca="1" si="20"/>
        <v>19.736878867253129</v>
      </c>
      <c r="X44" s="20">
        <f t="shared" ca="1" si="20"/>
        <v>20.577209601100702</v>
      </c>
      <c r="Y44" s="20">
        <f t="shared" ca="1" si="20"/>
        <v>21.418673055638067</v>
      </c>
      <c r="Z44" s="20">
        <f t="shared" ca="1" si="20"/>
        <v>22.305541646289182</v>
      </c>
    </row>
    <row r="45" spans="1:26" x14ac:dyDescent="0.25">
      <c r="A45" s="11" t="s">
        <v>891</v>
      </c>
      <c r="B45" s="14"/>
      <c r="C45" s="15"/>
      <c r="D45" s="94">
        <f t="shared" ref="D45:Z45" ca="1" si="21">D$41-(D$43-D$44)</f>
        <v>8.5039999999999907</v>
      </c>
      <c r="E45" s="94">
        <f t="shared" ca="1" si="21"/>
        <v>-20.901999999999965</v>
      </c>
      <c r="F45" s="94">
        <f t="shared" ca="1" si="21"/>
        <v>-2.5590000000000295</v>
      </c>
      <c r="G45" s="94">
        <f t="shared" ca="1" si="21"/>
        <v>-8.6639999999999802</v>
      </c>
      <c r="H45" s="94">
        <f t="shared" ca="1" si="21"/>
        <v>-7.1990000000000061</v>
      </c>
      <c r="I45" s="94">
        <f t="shared" ca="1" si="21"/>
        <v>-8.7730000000000281</v>
      </c>
      <c r="J45" s="94">
        <f t="shared" ca="1" si="21"/>
        <v>-9.3060000000000311</v>
      </c>
      <c r="K45" s="94">
        <f t="shared" ca="1" si="21"/>
        <v>-8.6409999999999982</v>
      </c>
      <c r="L45" s="95">
        <f t="shared" ca="1" si="21"/>
        <v>-6.7499999999999574</v>
      </c>
      <c r="M45" s="95">
        <f t="shared" ca="1" si="21"/>
        <v>-0.83399999999997121</v>
      </c>
      <c r="N45" s="95">
        <f t="shared" ca="1" si="21"/>
        <v>4.016000000000016</v>
      </c>
      <c r="O45" s="95">
        <f t="shared" ca="1" si="21"/>
        <v>8.0570000000000235</v>
      </c>
      <c r="P45" s="95">
        <f t="shared" ca="1" si="21"/>
        <v>11.69300000000003</v>
      </c>
      <c r="Q45" s="96">
        <f t="shared" ca="1" si="21"/>
        <v>13.604553385790823</v>
      </c>
      <c r="R45" s="96">
        <f t="shared" ca="1" si="21"/>
        <v>15.804675039403147</v>
      </c>
      <c r="S45" s="96">
        <f t="shared" ca="1" si="21"/>
        <v>18.285690370712018</v>
      </c>
      <c r="T45" s="96">
        <f t="shared" ca="1" si="21"/>
        <v>20.991657544466189</v>
      </c>
      <c r="U45" s="96">
        <f t="shared" ca="1" si="21"/>
        <v>23.842388073008678</v>
      </c>
      <c r="V45" s="96">
        <f t="shared" ca="1" si="21"/>
        <v>26.831471600946347</v>
      </c>
      <c r="W45" s="96">
        <f t="shared" ca="1" si="21"/>
        <v>29.961245322844562</v>
      </c>
      <c r="X45" s="96">
        <f t="shared" ca="1" si="21"/>
        <v>33.293101969988669</v>
      </c>
      <c r="Y45" s="96">
        <f t="shared" ca="1" si="21"/>
        <v>36.897079343896046</v>
      </c>
      <c r="Z45" s="96">
        <f t="shared" ca="1" si="21"/>
        <v>40.727944159414555</v>
      </c>
    </row>
    <row r="46" spans="1:26" x14ac:dyDescent="0.25">
      <c r="A46" s="60" t="s">
        <v>1161</v>
      </c>
      <c r="B46" s="11"/>
      <c r="C46" s="15"/>
      <c r="D46" s="97" t="str">
        <f t="shared" ref="D46:Z46" si="22">IF(ROUND(D$35-SUM(D$200,D$234,D$246,D$249,D$253,D$259,D$268,D$276,D$280,D$287,D$294,D$298,D$302,D$306,D$310,D$316,D$320),3)=0,"OK","ERROR")</f>
        <v>OK</v>
      </c>
      <c r="E46" s="97" t="str">
        <f t="shared" si="22"/>
        <v>OK</v>
      </c>
      <c r="F46" s="97" t="str">
        <f t="shared" si="22"/>
        <v>OK</v>
      </c>
      <c r="G46" s="97" t="str">
        <f t="shared" si="22"/>
        <v>OK</v>
      </c>
      <c r="H46" s="97" t="str">
        <f t="shared" si="22"/>
        <v>OK</v>
      </c>
      <c r="I46" s="97" t="str">
        <f t="shared" si="22"/>
        <v>OK</v>
      </c>
      <c r="J46" s="97" t="str">
        <f t="shared" si="22"/>
        <v>OK</v>
      </c>
      <c r="K46" s="97" t="str">
        <f t="shared" si="22"/>
        <v>OK</v>
      </c>
      <c r="L46" s="97" t="str">
        <f t="shared" ca="1" si="22"/>
        <v>OK</v>
      </c>
      <c r="M46" s="97" t="str">
        <f t="shared" ca="1" si="22"/>
        <v>OK</v>
      </c>
      <c r="N46" s="97" t="str">
        <f t="shared" ca="1" si="22"/>
        <v>OK</v>
      </c>
      <c r="O46" s="97" t="str">
        <f t="shared" ca="1" si="22"/>
        <v>OK</v>
      </c>
      <c r="P46" s="97" t="str">
        <f t="shared" ca="1" si="22"/>
        <v>OK</v>
      </c>
      <c r="Q46" s="97" t="str">
        <f t="shared" ca="1" si="22"/>
        <v>OK</v>
      </c>
      <c r="R46" s="97" t="str">
        <f t="shared" ca="1" si="22"/>
        <v>OK</v>
      </c>
      <c r="S46" s="97" t="str">
        <f t="shared" ca="1" si="22"/>
        <v>OK</v>
      </c>
      <c r="T46" s="97" t="str">
        <f t="shared" ca="1" si="22"/>
        <v>OK</v>
      </c>
      <c r="U46" s="97" t="str">
        <f t="shared" ca="1" si="22"/>
        <v>OK</v>
      </c>
      <c r="V46" s="97" t="str">
        <f t="shared" ca="1" si="22"/>
        <v>OK</v>
      </c>
      <c r="W46" s="97" t="str">
        <f t="shared" ca="1" si="22"/>
        <v>OK</v>
      </c>
      <c r="X46" s="97" t="str">
        <f t="shared" ca="1" si="22"/>
        <v>OK</v>
      </c>
      <c r="Y46" s="97" t="str">
        <f t="shared" ca="1" si="22"/>
        <v>OK</v>
      </c>
      <c r="Z46" s="97" t="str">
        <f t="shared" ca="1" si="22"/>
        <v>OK</v>
      </c>
    </row>
    <row r="47" spans="1:26" x14ac:dyDescent="0.25">
      <c r="A47" s="11" t="s">
        <v>1162</v>
      </c>
      <c r="B47" s="11"/>
      <c r="C47" s="15"/>
      <c r="D47" s="51">
        <f t="shared" ref="D47:Z47" ca="1" si="23">SUM(D$142,D$147,D$154,D$161,D$170,D$178)</f>
        <v>93.474000000000004</v>
      </c>
      <c r="E47" s="51">
        <f t="shared" ca="1" si="23"/>
        <v>91.923000000000002</v>
      </c>
      <c r="F47" s="51">
        <f t="shared" ca="1" si="23"/>
        <v>104.968</v>
      </c>
      <c r="G47" s="51">
        <f t="shared" ca="1" si="23"/>
        <v>117.515</v>
      </c>
      <c r="H47" s="51">
        <f t="shared" ca="1" si="23"/>
        <v>123.398</v>
      </c>
      <c r="I47" s="51">
        <f t="shared" ca="1" si="23"/>
        <v>133.22</v>
      </c>
      <c r="J47" s="51">
        <f t="shared" ca="1" si="23"/>
        <v>134.41100000000003</v>
      </c>
      <c r="K47" s="51">
        <f t="shared" ca="1" si="23"/>
        <v>138.64900000000003</v>
      </c>
      <c r="L47" s="47">
        <f t="shared" ca="1" si="23"/>
        <v>150.47</v>
      </c>
      <c r="M47" s="47">
        <f t="shared" ca="1" si="23"/>
        <v>158.43299999999999</v>
      </c>
      <c r="N47" s="47">
        <f t="shared" ca="1" si="23"/>
        <v>167.75700000000003</v>
      </c>
      <c r="O47" s="47">
        <f t="shared" ca="1" si="23"/>
        <v>176.803</v>
      </c>
      <c r="P47" s="47">
        <f t="shared" ca="1" si="23"/>
        <v>185.00899999999999</v>
      </c>
      <c r="Q47" s="21">
        <f t="shared" ca="1" si="23"/>
        <v>192.38988432300397</v>
      </c>
      <c r="R47" s="21">
        <f t="shared" ca="1" si="23"/>
        <v>199.74055400068707</v>
      </c>
      <c r="S47" s="21">
        <f t="shared" ca="1" si="23"/>
        <v>207.46099471815756</v>
      </c>
      <c r="T47" s="21">
        <f t="shared" ca="1" si="23"/>
        <v>215.69499355858161</v>
      </c>
      <c r="U47" s="21">
        <f t="shared" ca="1" si="23"/>
        <v>224.33953929085504</v>
      </c>
      <c r="V47" s="21">
        <f t="shared" ca="1" si="23"/>
        <v>233.27232292469745</v>
      </c>
      <c r="W47" s="21">
        <f t="shared" ca="1" si="23"/>
        <v>242.44267328967234</v>
      </c>
      <c r="X47" s="21">
        <f t="shared" ca="1" si="23"/>
        <v>251.87855920929184</v>
      </c>
      <c r="Y47" s="21">
        <f t="shared" ca="1" si="23"/>
        <v>261.63033386193848</v>
      </c>
      <c r="Z47" s="21">
        <f t="shared" ca="1" si="23"/>
        <v>271.69866823678757</v>
      </c>
    </row>
    <row r="48" spans="1:26" x14ac:dyDescent="0.25">
      <c r="A48" s="11" t="s">
        <v>1163</v>
      </c>
      <c r="B48" s="11"/>
      <c r="C48" s="15"/>
      <c r="D48" s="51">
        <f t="shared" ref="D48:Z48" si="24">SUM(D$195,D$208,D$215,D$223,D$230,D$238,D$246,D$249)</f>
        <v>86.959000000000003</v>
      </c>
      <c r="E48" s="51">
        <f t="shared" si="24"/>
        <v>108.83199999999999</v>
      </c>
      <c r="F48" s="51">
        <f t="shared" si="24"/>
        <v>107.76400000000001</v>
      </c>
      <c r="G48" s="51">
        <f t="shared" si="24"/>
        <v>125.64100000000001</v>
      </c>
      <c r="H48" s="51">
        <f t="shared" si="24"/>
        <v>127.57400000000001</v>
      </c>
      <c r="I48" s="51">
        <f t="shared" si="24"/>
        <v>138.99800000000002</v>
      </c>
      <c r="J48" s="51">
        <f t="shared" si="24"/>
        <v>141.67499999999998</v>
      </c>
      <c r="K48" s="51">
        <f t="shared" si="24"/>
        <v>146.21899999999999</v>
      </c>
      <c r="L48" s="47">
        <f ca="1">SUM(L$195,L$208,L$215,L$223,L$230,L$238,L$246,L$249)</f>
        <v>154.60900000000001</v>
      </c>
      <c r="M48" s="47">
        <f ca="1">SUM(M$195,M$208,M$215,M$223,M$230,M$238,M$246,M$249)</f>
        <v>158.30799999999996</v>
      </c>
      <c r="N48" s="47">
        <f ca="1">SUM(N$195,N$208,N$215,N$223,N$230,N$238,N$246,N$249)</f>
        <v>163.238</v>
      </c>
      <c r="O48" s="47">
        <f ca="1">SUM(O$195,O$208,O$215,O$223,O$230,O$238,O$246,O$249)</f>
        <v>168.642</v>
      </c>
      <c r="P48" s="47">
        <f ca="1">SUM(P$195,P$208,P$215,P$223,P$230,P$238,P$246,P$249)</f>
        <v>173.66799999999998</v>
      </c>
      <c r="Q48" s="21">
        <f t="shared" ca="1" si="24"/>
        <v>179.04871389785643</v>
      </c>
      <c r="R48" s="21">
        <f t="shared" ca="1" si="24"/>
        <v>184.20007894071892</v>
      </c>
      <c r="S48" s="21">
        <f t="shared" ca="1" si="24"/>
        <v>189.45522050812468</v>
      </c>
      <c r="T48" s="21">
        <f t="shared" ca="1" si="24"/>
        <v>195.02708006647924</v>
      </c>
      <c r="U48" s="21">
        <f t="shared" ca="1" si="24"/>
        <v>200.88148400713658</v>
      </c>
      <c r="V48" s="21">
        <f t="shared" ca="1" si="24"/>
        <v>206.75527679683972</v>
      </c>
      <c r="W48" s="21">
        <f t="shared" ca="1" si="24"/>
        <v>212.67317885721673</v>
      </c>
      <c r="X48" s="21">
        <f t="shared" ca="1" si="24"/>
        <v>218.64844363086945</v>
      </c>
      <c r="Y48" s="21">
        <f t="shared" ca="1" si="24"/>
        <v>224.67289372648892</v>
      </c>
      <c r="Z48" s="21">
        <f t="shared" ca="1" si="24"/>
        <v>230.77064465061454</v>
      </c>
    </row>
    <row r="49" spans="1:26" x14ac:dyDescent="0.25">
      <c r="A49" s="11" t="s">
        <v>752</v>
      </c>
      <c r="B49" s="11"/>
      <c r="C49" s="15"/>
      <c r="D49" s="51">
        <f t="shared" ref="D49:Z49" ca="1" si="25">SUM(D$47,-D$48,D$333,D$340)</f>
        <v>9.7070000000000007</v>
      </c>
      <c r="E49" s="51">
        <f t="shared" ca="1" si="25"/>
        <v>-20.882999999999992</v>
      </c>
      <c r="F49" s="51">
        <f t="shared" ca="1" si="25"/>
        <v>4.7039999999999935</v>
      </c>
      <c r="G49" s="51">
        <f t="shared" ca="1" si="25"/>
        <v>-19.532000000000004</v>
      </c>
      <c r="H49" s="51">
        <f t="shared" ca="1" si="25"/>
        <v>8.2929999999999833</v>
      </c>
      <c r="I49" s="51">
        <f t="shared" ca="1" si="25"/>
        <v>2.1059999999999803</v>
      </c>
      <c r="J49" s="51">
        <f t="shared" ca="1" si="25"/>
        <v>0.42300000000004712</v>
      </c>
      <c r="K49" s="51">
        <f t="shared" ca="1" si="25"/>
        <v>4.4070000000000356</v>
      </c>
      <c r="L49" s="47">
        <f t="shared" ca="1" si="25"/>
        <v>1.0379999999999896</v>
      </c>
      <c r="M49" s="47">
        <f t="shared" ca="1" si="25"/>
        <v>5.669000000000028</v>
      </c>
      <c r="N49" s="47">
        <f t="shared" ca="1" si="25"/>
        <v>10.416000000000034</v>
      </c>
      <c r="O49" s="47">
        <f t="shared" ca="1" si="25"/>
        <v>14.500000000000002</v>
      </c>
      <c r="P49" s="47">
        <f t="shared" ca="1" si="25"/>
        <v>18.150000000000009</v>
      </c>
      <c r="Q49" s="21">
        <f t="shared" ca="1" si="25"/>
        <v>20.498375676423553</v>
      </c>
      <c r="R49" s="21">
        <f t="shared" ca="1" si="25"/>
        <v>23.142348858411449</v>
      </c>
      <c r="S49" s="21">
        <f t="shared" ca="1" si="25"/>
        <v>26.070803609719338</v>
      </c>
      <c r="T49" s="21">
        <f t="shared" ca="1" si="25"/>
        <v>29.215402614783887</v>
      </c>
      <c r="U49" s="21">
        <f t="shared" ca="1" si="25"/>
        <v>32.507337935968636</v>
      </c>
      <c r="V49" s="21">
        <f t="shared" ca="1" si="25"/>
        <v>36.087885760220942</v>
      </c>
      <c r="W49" s="21">
        <f t="shared" ca="1" si="25"/>
        <v>39.885808034778591</v>
      </c>
      <c r="X49" s="21">
        <f t="shared" ca="1" si="25"/>
        <v>43.921206565514233</v>
      </c>
      <c r="Y49" s="21">
        <f t="shared" ca="1" si="25"/>
        <v>48.259039002079469</v>
      </c>
      <c r="Z49" s="21">
        <f t="shared" ca="1" si="25"/>
        <v>52.882994585898196</v>
      </c>
    </row>
    <row r="50" spans="1:26" x14ac:dyDescent="0.25">
      <c r="A50" s="11" t="s">
        <v>857</v>
      </c>
      <c r="B50" s="11"/>
      <c r="C50" s="15"/>
      <c r="D50" s="51">
        <f t="shared" ref="D50:Z50" ca="1" si="26">(D$47-D$161)-(D$48-D$230)</f>
        <v>9.144999999999996</v>
      </c>
      <c r="E50" s="51">
        <f t="shared" ca="1" si="26"/>
        <v>-14.530999999999992</v>
      </c>
      <c r="F50" s="51">
        <f t="shared" ca="1" si="26"/>
        <v>-1.5939999999999941</v>
      </c>
      <c r="G50" s="51">
        <f t="shared" ca="1" si="26"/>
        <v>-6.1000000000000085</v>
      </c>
      <c r="H50" s="51">
        <f t="shared" ca="1" si="26"/>
        <v>-0.4690000000000083</v>
      </c>
      <c r="I50" s="51">
        <f t="shared" ca="1" si="26"/>
        <v>-1.2760000000000105</v>
      </c>
      <c r="J50" s="51">
        <f t="shared" ca="1" si="26"/>
        <v>-2.5909999999999513</v>
      </c>
      <c r="K50" s="51">
        <f t="shared" ca="1" si="26"/>
        <v>-2.0319999999999823</v>
      </c>
      <c r="L50" s="47">
        <f t="shared" ca="1" si="26"/>
        <v>2.1229999999999905</v>
      </c>
      <c r="M50" s="47">
        <f t="shared" ca="1" si="26"/>
        <v>7.0650000000000261</v>
      </c>
      <c r="N50" s="47">
        <f t="shared" ca="1" si="26"/>
        <v>12.291000000000025</v>
      </c>
      <c r="O50" s="47">
        <f t="shared" ca="1" si="26"/>
        <v>16.460000000000008</v>
      </c>
      <c r="P50" s="47">
        <f t="shared" ca="1" si="26"/>
        <v>19.782000000000011</v>
      </c>
      <c r="Q50" s="21">
        <f t="shared" ca="1" si="26"/>
        <v>21.504363151091468</v>
      </c>
      <c r="R50" s="21">
        <f t="shared" ca="1" si="26"/>
        <v>23.415686482588995</v>
      </c>
      <c r="S50" s="21">
        <f t="shared" ca="1" si="26"/>
        <v>25.492109153206854</v>
      </c>
      <c r="T50" s="21">
        <f t="shared" ca="1" si="26"/>
        <v>27.644011742466887</v>
      </c>
      <c r="U50" s="21">
        <f t="shared" ca="1" si="26"/>
        <v>29.794124101566922</v>
      </c>
      <c r="V50" s="21">
        <f t="shared" ca="1" si="26"/>
        <v>32.002705569743085</v>
      </c>
      <c r="W50" s="21">
        <f t="shared" ca="1" si="26"/>
        <v>34.267278536953455</v>
      </c>
      <c r="X50" s="21">
        <f t="shared" ca="1" si="26"/>
        <v>36.594288248506047</v>
      </c>
      <c r="Y50" s="21">
        <f t="shared" ca="1" si="26"/>
        <v>39.037050081226084</v>
      </c>
      <c r="Z50" s="21">
        <f t="shared" ca="1" si="26"/>
        <v>41.565988125503253</v>
      </c>
    </row>
    <row r="51" spans="1:26" x14ac:dyDescent="0.25">
      <c r="A51" s="11" t="s">
        <v>749</v>
      </c>
      <c r="B51" s="11"/>
      <c r="C51" s="15"/>
      <c r="D51" s="51">
        <f t="shared" ref="D51:Z51" si="27">D$489</f>
        <v>-0.7100000000000124</v>
      </c>
      <c r="E51" s="51">
        <f t="shared" si="27"/>
        <v>-23.692000000000007</v>
      </c>
      <c r="F51" s="51">
        <f t="shared" si="27"/>
        <v>-13.766999999999978</v>
      </c>
      <c r="G51" s="51">
        <f t="shared" si="27"/>
        <v>-27.042999999999999</v>
      </c>
      <c r="H51" s="51">
        <f t="shared" si="27"/>
        <v>-25.648000000000007</v>
      </c>
      <c r="I51" s="51">
        <f t="shared" si="27"/>
        <v>-19.302000000000007</v>
      </c>
      <c r="J51" s="51">
        <f t="shared" si="27"/>
        <v>-5.9959999999999782</v>
      </c>
      <c r="K51" s="51">
        <f t="shared" si="27"/>
        <v>-4.8919999999999959</v>
      </c>
      <c r="L51" s="47">
        <f t="shared" ca="1" si="27"/>
        <v>-21.984999999999978</v>
      </c>
      <c r="M51" s="47">
        <f t="shared" ca="1" si="27"/>
        <v>-13.534999999999982</v>
      </c>
      <c r="N51" s="47">
        <f t="shared" ca="1" si="27"/>
        <v>-7.2850000000000037</v>
      </c>
      <c r="O51" s="47">
        <f t="shared" ca="1" si="27"/>
        <v>-1.7820000000000515</v>
      </c>
      <c r="P51" s="47">
        <f t="shared" ca="1" si="27"/>
        <v>3.2980000000000089</v>
      </c>
      <c r="Q51" s="21">
        <f t="shared" ca="1" si="27"/>
        <v>6.106450333858195</v>
      </c>
      <c r="R51" s="21">
        <f t="shared" ca="1" si="27"/>
        <v>8.2038179818871235</v>
      </c>
      <c r="S51" s="21">
        <f t="shared" ca="1" si="27"/>
        <v>10.604397816536565</v>
      </c>
      <c r="T51" s="21">
        <f t="shared" ca="1" si="27"/>
        <v>13.350144083392092</v>
      </c>
      <c r="U51" s="21">
        <f t="shared" ca="1" si="27"/>
        <v>16.003694610121475</v>
      </c>
      <c r="V51" s="21">
        <f t="shared" ca="1" si="27"/>
        <v>18.873966939297233</v>
      </c>
      <c r="W51" s="21">
        <f t="shared" ca="1" si="27"/>
        <v>21.86018569429924</v>
      </c>
      <c r="X51" s="21">
        <f t="shared" ca="1" si="27"/>
        <v>24.961437230250741</v>
      </c>
      <c r="Y51" s="21">
        <f t="shared" ca="1" si="27"/>
        <v>28.204725378695954</v>
      </c>
      <c r="Z51" s="21">
        <f t="shared" ca="1" si="27"/>
        <v>31.595838711782324</v>
      </c>
    </row>
    <row r="52" spans="1:26" x14ac:dyDescent="0.25">
      <c r="A52" s="60" t="s">
        <v>1164</v>
      </c>
      <c r="B52" s="14" t="str">
        <f>$B$42</f>
        <v>Outturn &amp; Forecast only</v>
      </c>
      <c r="C52" s="15"/>
      <c r="D52" s="97" t="str">
        <f ca="1">IF(ROUND('Fiscal Forecasts'!D$178-D$49,3)=0,"OK","ERROR")</f>
        <v>OK</v>
      </c>
      <c r="E52" s="97" t="str">
        <f ca="1">IF(ROUND('Fiscal Forecasts'!E$178-E$49,3)=0,"OK","ERROR")</f>
        <v>OK</v>
      </c>
      <c r="F52" s="97" t="str">
        <f ca="1">IF(ROUND('Fiscal Forecasts'!F$178-F$49,3)=0,"OK","ERROR")</f>
        <v>OK</v>
      </c>
      <c r="G52" s="97" t="str">
        <f ca="1">IF(ROUND('Fiscal Forecasts'!G$178-G$49,3)=0,"OK","ERROR")</f>
        <v>OK</v>
      </c>
      <c r="H52" s="97" t="str">
        <f ca="1">IF(ROUND('Fiscal Forecasts'!H$178-H$49,3)=0,"OK","ERROR")</f>
        <v>OK</v>
      </c>
      <c r="I52" s="97" t="str">
        <f ca="1">IF(ROUND('Fiscal Forecasts'!I$178-I$49,3)=0,"OK","ERROR")</f>
        <v>OK</v>
      </c>
      <c r="J52" s="97" t="str">
        <f ca="1">IF(ROUND('Fiscal Forecasts'!J$178-J$49,3)=0,"OK","ERROR")</f>
        <v>OK</v>
      </c>
      <c r="K52" s="97" t="str">
        <f ca="1">IF(ROUND('Fiscal Forecasts'!K$178-K$49,3)=0,"OK","ERROR")</f>
        <v>OK</v>
      </c>
      <c r="L52" s="97" t="str">
        <f ca="1">IF(ROUND('Fiscal Forecasts'!L$178-L$49,3)=0,"OK","ERROR")</f>
        <v>OK</v>
      </c>
      <c r="M52" s="97" t="str">
        <f ca="1">IF(ROUND('Fiscal Forecasts'!M$178-M$49,3)=0,"OK","ERROR")</f>
        <v>OK</v>
      </c>
      <c r="N52" s="97" t="str">
        <f ca="1">IF(ROUND('Fiscal Forecasts'!N$178-N$49,3)=0,"OK","ERROR")</f>
        <v>OK</v>
      </c>
      <c r="O52" s="97" t="str">
        <f ca="1">IF(ROUND('Fiscal Forecasts'!O$178-O$49,3)=0,"OK","ERROR")</f>
        <v>OK</v>
      </c>
      <c r="P52" s="97" t="str">
        <f ca="1">IF(ROUND('Fiscal Forecasts'!P$178-P$49,3)=0,"OK","ERROR")</f>
        <v>OK</v>
      </c>
      <c r="Q52" s="17"/>
      <c r="R52" s="17"/>
      <c r="S52" s="17"/>
      <c r="T52" s="17"/>
      <c r="U52" s="17"/>
      <c r="V52" s="17"/>
      <c r="W52" s="17"/>
      <c r="X52" s="17"/>
      <c r="Y52" s="17"/>
      <c r="Z52" s="17"/>
    </row>
    <row r="53" spans="1:26" x14ac:dyDescent="0.25">
      <c r="A53" s="60" t="s">
        <v>1165</v>
      </c>
      <c r="B53" s="11"/>
      <c r="C53" s="15"/>
      <c r="D53" s="97" t="str">
        <f>IF(ROUND(D$48-SUM(D$197,D$230,D$246,D$249,D$252,D$256,D$265,D$275,D$279,D$283,D$293,D$297,D$301,D$305,D$309,D$315,D$319),3)=0,"OK","ERROR")</f>
        <v>OK</v>
      </c>
      <c r="E53" s="97" t="str">
        <f t="shared" ref="E53:Z53" si="28">IF(ROUND(E$48-SUM(E$197,E$230,E$246,E$249,E$252,E$256,E$265,E$275,E$279,E$283,E$293,E$297,E$301,E$305,E$309,E$315,E$319),3)=0,"OK","ERROR")</f>
        <v>OK</v>
      </c>
      <c r="F53" s="97" t="str">
        <f t="shared" si="28"/>
        <v>OK</v>
      </c>
      <c r="G53" s="97" t="str">
        <f t="shared" si="28"/>
        <v>OK</v>
      </c>
      <c r="H53" s="97" t="str">
        <f t="shared" si="28"/>
        <v>OK</v>
      </c>
      <c r="I53" s="97" t="str">
        <f t="shared" si="28"/>
        <v>OK</v>
      </c>
      <c r="J53" s="97" t="str">
        <f t="shared" si="28"/>
        <v>OK</v>
      </c>
      <c r="K53" s="97" t="str">
        <f t="shared" si="28"/>
        <v>OK</v>
      </c>
      <c r="L53" s="97" t="str">
        <f t="shared" ca="1" si="28"/>
        <v>OK</v>
      </c>
      <c r="M53" s="97" t="str">
        <f t="shared" ca="1" si="28"/>
        <v>OK</v>
      </c>
      <c r="N53" s="97" t="str">
        <f t="shared" ca="1" si="28"/>
        <v>OK</v>
      </c>
      <c r="O53" s="97" t="str">
        <f t="shared" ca="1" si="28"/>
        <v>OK</v>
      </c>
      <c r="P53" s="97" t="str">
        <f t="shared" ca="1" si="28"/>
        <v>OK</v>
      </c>
      <c r="Q53" s="97" t="str">
        <f t="shared" ca="1" si="28"/>
        <v>OK</v>
      </c>
      <c r="R53" s="97" t="str">
        <f t="shared" ca="1" si="28"/>
        <v>OK</v>
      </c>
      <c r="S53" s="97" t="str">
        <f t="shared" ca="1" si="28"/>
        <v>OK</v>
      </c>
      <c r="T53" s="97" t="str">
        <f t="shared" ca="1" si="28"/>
        <v>OK</v>
      </c>
      <c r="U53" s="97" t="str">
        <f t="shared" ca="1" si="28"/>
        <v>OK</v>
      </c>
      <c r="V53" s="97" t="str">
        <f t="shared" ca="1" si="28"/>
        <v>OK</v>
      </c>
      <c r="W53" s="97" t="str">
        <f t="shared" ca="1" si="28"/>
        <v>OK</v>
      </c>
      <c r="X53" s="97" t="str">
        <f t="shared" ca="1" si="28"/>
        <v>OK</v>
      </c>
      <c r="Y53" s="97" t="str">
        <f t="shared" ca="1" si="28"/>
        <v>OK</v>
      </c>
      <c r="Z53" s="97" t="str">
        <f t="shared" ca="1" si="28"/>
        <v>OK</v>
      </c>
    </row>
    <row r="54" spans="1:26" x14ac:dyDescent="0.25">
      <c r="A54" s="11"/>
      <c r="B54" s="11"/>
      <c r="C54" s="15"/>
      <c r="D54" s="15"/>
      <c r="E54" s="15"/>
      <c r="F54" s="15"/>
      <c r="G54" s="15"/>
      <c r="H54" s="15"/>
      <c r="I54" s="15"/>
      <c r="J54" s="15"/>
      <c r="K54" s="15"/>
      <c r="L54" s="15"/>
      <c r="M54" s="15"/>
      <c r="N54" s="15"/>
      <c r="O54" s="15"/>
      <c r="P54" s="15"/>
      <c r="Q54" s="51"/>
      <c r="R54" s="51"/>
      <c r="S54" s="51"/>
      <c r="T54" s="51"/>
      <c r="U54" s="51"/>
      <c r="V54" s="51"/>
      <c r="W54" s="51"/>
      <c r="X54" s="51"/>
      <c r="Y54" s="51"/>
      <c r="Z54" s="51"/>
    </row>
    <row r="55" spans="1:26" x14ac:dyDescent="0.25">
      <c r="A55" s="57" t="s">
        <v>1166</v>
      </c>
      <c r="B55" s="11"/>
      <c r="C55" s="15"/>
      <c r="D55" s="98"/>
      <c r="E55" s="98"/>
      <c r="F55" s="98"/>
      <c r="G55" s="98"/>
      <c r="H55" s="98"/>
      <c r="I55" s="98"/>
      <c r="J55" s="98"/>
      <c r="K55" s="98"/>
      <c r="L55" s="98"/>
      <c r="M55" s="98"/>
      <c r="N55" s="98"/>
      <c r="O55" s="98"/>
      <c r="P55" s="98"/>
      <c r="Q55" s="17"/>
      <c r="R55" s="17"/>
      <c r="S55" s="17"/>
      <c r="T55" s="17"/>
      <c r="U55" s="17"/>
      <c r="V55" s="17"/>
      <c r="W55" s="17"/>
      <c r="X55" s="17"/>
      <c r="Y55" s="17"/>
      <c r="Z55" s="17"/>
    </row>
    <row r="56" spans="1:26" x14ac:dyDescent="0.25">
      <c r="A56" s="11" t="s">
        <v>1167</v>
      </c>
      <c r="B56" s="11"/>
      <c r="C56" s="15"/>
      <c r="D56" s="51">
        <f t="shared" ref="D56:Z56" ca="1" si="29">SUM(D$347,D$354,D$363,D$372,D$388,D$397,D$410,D$414,D$420,D$424,D$429,D$432,D$435)</f>
        <v>364.65199999999999</v>
      </c>
      <c r="E56" s="51">
        <f t="shared" ca="1" si="29"/>
        <v>393.4</v>
      </c>
      <c r="F56" s="51">
        <f t="shared" ca="1" si="29"/>
        <v>438.59599999999995</v>
      </c>
      <c r="G56" s="51">
        <f t="shared" ca="1" si="29"/>
        <v>501.84400000000005</v>
      </c>
      <c r="H56" s="51">
        <f t="shared" ca="1" si="29"/>
        <v>536.66599999999994</v>
      </c>
      <c r="I56" s="51">
        <f t="shared" ca="1" si="29"/>
        <v>570.86799999999994</v>
      </c>
      <c r="J56" s="51">
        <f t="shared" ca="1" si="29"/>
        <v>597.97599999999989</v>
      </c>
      <c r="K56" s="51">
        <f t="shared" ca="1" si="29"/>
        <v>619.56499999999994</v>
      </c>
      <c r="L56" s="47">
        <f t="shared" ca="1" si="29"/>
        <v>635.06700000000001</v>
      </c>
      <c r="M56" s="47">
        <f t="shared" ca="1" si="29"/>
        <v>662.04300000000001</v>
      </c>
      <c r="N56" s="47">
        <f t="shared" ca="1" si="29"/>
        <v>687.68299999999988</v>
      </c>
      <c r="O56" s="47">
        <f t="shared" ca="1" si="29"/>
        <v>712.327</v>
      </c>
      <c r="P56" s="47">
        <f t="shared" ca="1" si="29"/>
        <v>734.56700000000001</v>
      </c>
      <c r="Q56" s="21">
        <f t="shared" ca="1" si="29"/>
        <v>761.31012312727046</v>
      </c>
      <c r="R56" s="21">
        <f t="shared" ca="1" si="29"/>
        <v>788.50389892244561</v>
      </c>
      <c r="S56" s="21">
        <f t="shared" ca="1" si="29"/>
        <v>816.7262479591908</v>
      </c>
      <c r="T56" s="21">
        <f t="shared" ca="1" si="29"/>
        <v>845.88237478030169</v>
      </c>
      <c r="U56" s="21">
        <f t="shared" ca="1" si="29"/>
        <v>876.26358083282798</v>
      </c>
      <c r="V56" s="21">
        <f t="shared" ca="1" si="29"/>
        <v>907.79442342184484</v>
      </c>
      <c r="W56" s="21">
        <f t="shared" ca="1" si="29"/>
        <v>940.52374272000895</v>
      </c>
      <c r="X56" s="21">
        <f t="shared" ca="1" si="29"/>
        <v>974.58636851916629</v>
      </c>
      <c r="Y56" s="21">
        <f t="shared" ca="1" si="29"/>
        <v>1010.2136902225035</v>
      </c>
      <c r="Z56" s="21">
        <f t="shared" ca="1" si="29"/>
        <v>1047.5431433745275</v>
      </c>
    </row>
    <row r="57" spans="1:26" x14ac:dyDescent="0.25">
      <c r="A57" s="11" t="s">
        <v>1168</v>
      </c>
      <c r="B57" s="11"/>
      <c r="C57" s="15"/>
      <c r="D57" s="51">
        <f t="shared" ref="D57:Z57" si="30">SUM(D$70,D$439,D$446,D$450,D$454,D$460,D$465,D$471)</f>
        <v>221.31299999999999</v>
      </c>
      <c r="E57" s="51">
        <f t="shared" si="30"/>
        <v>277.45699999999999</v>
      </c>
      <c r="F57" s="51">
        <f t="shared" si="30"/>
        <v>281.40300000000002</v>
      </c>
      <c r="G57" s="51">
        <f t="shared" si="30"/>
        <v>327.52500000000003</v>
      </c>
      <c r="H57" s="51">
        <f t="shared" si="30"/>
        <v>345.19400000000002</v>
      </c>
      <c r="I57" s="51">
        <f t="shared" si="30"/>
        <v>379.81899999999996</v>
      </c>
      <c r="J57" s="51">
        <f t="shared" si="30"/>
        <v>408.84799999999996</v>
      </c>
      <c r="K57" s="51">
        <f t="shared" si="30"/>
        <v>431.851</v>
      </c>
      <c r="L57" s="47">
        <f t="shared" si="30"/>
        <v>438.512</v>
      </c>
      <c r="M57" s="47">
        <f t="shared" si="30"/>
        <v>461.971</v>
      </c>
      <c r="N57" s="47">
        <f t="shared" si="30"/>
        <v>478.56200000000001</v>
      </c>
      <c r="O57" s="47">
        <f t="shared" si="30"/>
        <v>489.92400000000004</v>
      </c>
      <c r="P57" s="47">
        <f t="shared" si="30"/>
        <v>495.339</v>
      </c>
      <c r="Q57" s="21">
        <f t="shared" ca="1" si="30"/>
        <v>502.37380342560073</v>
      </c>
      <c r="R57" s="21">
        <f t="shared" ca="1" si="30"/>
        <v>507.05353787693207</v>
      </c>
      <c r="S57" s="21">
        <f t="shared" ca="1" si="30"/>
        <v>509.60820936939183</v>
      </c>
      <c r="T57" s="21">
        <f t="shared" ca="1" si="30"/>
        <v>509.590415693713</v>
      </c>
      <c r="U57" s="21">
        <f t="shared" ca="1" si="30"/>
        <v>507.15339433101144</v>
      </c>
      <c r="V57" s="21">
        <f t="shared" ca="1" si="30"/>
        <v>502.26436837250463</v>
      </c>
      <c r="W57" s="21">
        <f t="shared" ca="1" si="30"/>
        <v>494.7929490699932</v>
      </c>
      <c r="X57" s="21">
        <f t="shared" ca="1" si="30"/>
        <v>484.65856209543648</v>
      </c>
      <c r="Y57" s="21">
        <f t="shared" ca="1" si="30"/>
        <v>471.74142729267254</v>
      </c>
      <c r="Z57" s="21">
        <f t="shared" ca="1" si="30"/>
        <v>455.92189633361738</v>
      </c>
    </row>
    <row r="58" spans="1:26" x14ac:dyDescent="0.25">
      <c r="A58" s="11" t="s">
        <v>759</v>
      </c>
      <c r="B58" s="11"/>
      <c r="C58" s="15"/>
      <c r="D58" s="94">
        <f t="shared" ref="D58:Z58" ca="1" si="31">D$56-D$57</f>
        <v>143.339</v>
      </c>
      <c r="E58" s="94">
        <f t="shared" ca="1" si="31"/>
        <v>115.94299999999998</v>
      </c>
      <c r="F58" s="94">
        <f t="shared" ca="1" si="31"/>
        <v>157.19299999999993</v>
      </c>
      <c r="G58" s="94">
        <f t="shared" ca="1" si="31"/>
        <v>174.31900000000002</v>
      </c>
      <c r="H58" s="94">
        <f t="shared" ca="1" si="31"/>
        <v>191.47199999999992</v>
      </c>
      <c r="I58" s="94">
        <f t="shared" ca="1" si="31"/>
        <v>191.04899999999998</v>
      </c>
      <c r="J58" s="94">
        <f t="shared" ca="1" si="31"/>
        <v>189.12799999999993</v>
      </c>
      <c r="K58" s="94">
        <f t="shared" ca="1" si="31"/>
        <v>187.71399999999994</v>
      </c>
      <c r="L58" s="95">
        <f t="shared" ca="1" si="31"/>
        <v>196.55500000000001</v>
      </c>
      <c r="M58" s="95">
        <f t="shared" ca="1" si="31"/>
        <v>200.072</v>
      </c>
      <c r="N58" s="95">
        <f t="shared" ca="1" si="31"/>
        <v>209.12099999999987</v>
      </c>
      <c r="O58" s="95">
        <f t="shared" ca="1" si="31"/>
        <v>222.40299999999996</v>
      </c>
      <c r="P58" s="95">
        <f t="shared" ca="1" si="31"/>
        <v>239.22800000000001</v>
      </c>
      <c r="Q58" s="96">
        <f t="shared" ca="1" si="31"/>
        <v>258.93631970166973</v>
      </c>
      <c r="R58" s="96">
        <f t="shared" ca="1" si="31"/>
        <v>281.45036104551355</v>
      </c>
      <c r="S58" s="96">
        <f t="shared" ca="1" si="31"/>
        <v>307.11803858979897</v>
      </c>
      <c r="T58" s="96">
        <f t="shared" ca="1" si="31"/>
        <v>336.29195908658869</v>
      </c>
      <c r="U58" s="96">
        <f t="shared" ca="1" si="31"/>
        <v>369.11018650181654</v>
      </c>
      <c r="V58" s="96">
        <f t="shared" ca="1" si="31"/>
        <v>405.53005504934021</v>
      </c>
      <c r="W58" s="96">
        <f t="shared" ca="1" si="31"/>
        <v>445.73079365001576</v>
      </c>
      <c r="X58" s="96">
        <f t="shared" ca="1" si="31"/>
        <v>489.92780642372981</v>
      </c>
      <c r="Y58" s="96">
        <f t="shared" ca="1" si="31"/>
        <v>538.472262929831</v>
      </c>
      <c r="Z58" s="96">
        <f t="shared" ca="1" si="31"/>
        <v>591.62124704091013</v>
      </c>
    </row>
    <row r="59" spans="1:26" x14ac:dyDescent="0.25">
      <c r="A59" s="12" t="s">
        <v>1169</v>
      </c>
      <c r="B59" s="14" t="str">
        <f>$B$38</f>
        <v>From Fiscal Forecasts</v>
      </c>
      <c r="C59" s="15"/>
      <c r="D59" s="50">
        <f>'Fiscal Forecasts'!D$145</f>
        <v>6.39</v>
      </c>
      <c r="E59" s="50">
        <f>'Fiscal Forecasts'!E$145</f>
        <v>5.6230000000000002</v>
      </c>
      <c r="F59" s="50">
        <f>'Fiscal Forecasts'!F$145</f>
        <v>5.7240000000000002</v>
      </c>
      <c r="G59" s="50">
        <f>'Fiscal Forecasts'!G$145</f>
        <v>7.2830000000000004</v>
      </c>
      <c r="H59" s="50">
        <f>'Fiscal Forecasts'!H$145</f>
        <v>7.9580000000000002</v>
      </c>
      <c r="I59" s="50">
        <f>'Fiscal Forecasts'!I$145</f>
        <v>9.2309999999999999</v>
      </c>
      <c r="J59" s="50">
        <f>'Fiscal Forecasts'!J$145</f>
        <v>9.8680000000000003</v>
      </c>
      <c r="K59" s="50">
        <f>'Fiscal Forecasts'!K$145</f>
        <v>10.510999999999999</v>
      </c>
      <c r="L59" s="48">
        <f>'Fiscal Forecasts'!L$145</f>
        <v>10.034000000000001</v>
      </c>
      <c r="M59" s="48">
        <f>'Fiscal Forecasts'!M$145</f>
        <v>9.9979999999999993</v>
      </c>
      <c r="N59" s="48">
        <f>'Fiscal Forecasts'!N$145</f>
        <v>9.9629999999999992</v>
      </c>
      <c r="O59" s="48">
        <f>'Fiscal Forecasts'!O$145</f>
        <v>9.6080000000000005</v>
      </c>
      <c r="P59" s="48">
        <f>'Fiscal Forecasts'!P$145</f>
        <v>9.61</v>
      </c>
      <c r="Q59" s="20">
        <f t="shared" ref="Q59:Z59" ca="1" si="32">P$59*(Q$58-Q$65)/(P$58-P$65)</f>
        <v>9.5489287576726056</v>
      </c>
      <c r="R59" s="20">
        <f t="shared" ca="1" si="32"/>
        <v>9.5003606540135674</v>
      </c>
      <c r="S59" s="20">
        <f t="shared" ca="1" si="32"/>
        <v>9.4691990522824074</v>
      </c>
      <c r="T59" s="20">
        <f t="shared" ca="1" si="32"/>
        <v>9.4659924889992517</v>
      </c>
      <c r="U59" s="20">
        <f t="shared" ca="1" si="32"/>
        <v>9.4900242124866896</v>
      </c>
      <c r="V59" s="20">
        <f t="shared" ca="1" si="32"/>
        <v>9.5156864464293083</v>
      </c>
      <c r="W59" s="20">
        <f t="shared" ca="1" si="32"/>
        <v>9.5400305454815015</v>
      </c>
      <c r="X59" s="20">
        <f t="shared" ca="1" si="32"/>
        <v>9.5613503358692888</v>
      </c>
      <c r="Y59" s="20">
        <f t="shared" ca="1" si="32"/>
        <v>9.5834130783958837</v>
      </c>
      <c r="Z59" s="20">
        <f t="shared" ca="1" si="32"/>
        <v>9.6039740402365048</v>
      </c>
    </row>
    <row r="60" spans="1:26" x14ac:dyDescent="0.25">
      <c r="A60" s="11" t="s">
        <v>760</v>
      </c>
      <c r="B60" s="14"/>
      <c r="C60" s="15"/>
      <c r="D60" s="94">
        <f t="shared" ref="D60:Z60" ca="1" si="33">D$58-D$59</f>
        <v>136.94900000000001</v>
      </c>
      <c r="E60" s="94">
        <f t="shared" ca="1" si="33"/>
        <v>110.31999999999998</v>
      </c>
      <c r="F60" s="94">
        <f t="shared" ca="1" si="33"/>
        <v>151.46899999999994</v>
      </c>
      <c r="G60" s="94">
        <f t="shared" ca="1" si="33"/>
        <v>167.03600000000003</v>
      </c>
      <c r="H60" s="94">
        <f t="shared" ca="1" si="33"/>
        <v>183.51399999999992</v>
      </c>
      <c r="I60" s="94">
        <f t="shared" ca="1" si="33"/>
        <v>181.81799999999998</v>
      </c>
      <c r="J60" s="94">
        <f t="shared" ca="1" si="33"/>
        <v>179.25999999999993</v>
      </c>
      <c r="K60" s="94">
        <f t="shared" ca="1" si="33"/>
        <v>177.20299999999995</v>
      </c>
      <c r="L60" s="95">
        <f t="shared" ca="1" si="33"/>
        <v>186.52100000000002</v>
      </c>
      <c r="M60" s="95">
        <f t="shared" ca="1" si="33"/>
        <v>190.07400000000001</v>
      </c>
      <c r="N60" s="95">
        <f t="shared" ca="1" si="33"/>
        <v>199.15799999999987</v>
      </c>
      <c r="O60" s="95">
        <f t="shared" ca="1" si="33"/>
        <v>212.79499999999996</v>
      </c>
      <c r="P60" s="95">
        <f t="shared" ca="1" si="33"/>
        <v>229.61799999999999</v>
      </c>
      <c r="Q60" s="96">
        <f t="shared" ca="1" si="33"/>
        <v>249.38739094399713</v>
      </c>
      <c r="R60" s="96">
        <f t="shared" ca="1" si="33"/>
        <v>271.9500003915</v>
      </c>
      <c r="S60" s="96">
        <f t="shared" ca="1" si="33"/>
        <v>297.64883953751655</v>
      </c>
      <c r="T60" s="96">
        <f t="shared" ca="1" si="33"/>
        <v>326.82596659758946</v>
      </c>
      <c r="U60" s="96">
        <f t="shared" ca="1" si="33"/>
        <v>359.62016228932987</v>
      </c>
      <c r="V60" s="96">
        <f t="shared" ca="1" si="33"/>
        <v>396.01436860291091</v>
      </c>
      <c r="W60" s="96">
        <f t="shared" ca="1" si="33"/>
        <v>436.19076310453426</v>
      </c>
      <c r="X60" s="96">
        <f t="shared" ca="1" si="33"/>
        <v>480.36645608786051</v>
      </c>
      <c r="Y60" s="96">
        <f t="shared" ca="1" si="33"/>
        <v>528.88884985143511</v>
      </c>
      <c r="Z60" s="96">
        <f t="shared" ca="1" si="33"/>
        <v>582.01727300067364</v>
      </c>
    </row>
    <row r="61" spans="1:26" x14ac:dyDescent="0.25">
      <c r="A61" s="60" t="s">
        <v>1170</v>
      </c>
      <c r="B61" s="14" t="str">
        <f>$B$42</f>
        <v>Outturn &amp; Forecast only</v>
      </c>
      <c r="C61" s="15"/>
      <c r="D61" s="97" t="str">
        <f ca="1">IF(ROUND('Fiscal Forecasts'!D$143-D$58,3)=0,"OK","ERROR")</f>
        <v>OK</v>
      </c>
      <c r="E61" s="97" t="str">
        <f ca="1">IF(ROUND('Fiscal Forecasts'!E$143-E$58,3)=0,"OK","ERROR")</f>
        <v>OK</v>
      </c>
      <c r="F61" s="97" t="str">
        <f ca="1">IF(ROUND('Fiscal Forecasts'!F$143-F$58,3)=0,"OK","ERROR")</f>
        <v>OK</v>
      </c>
      <c r="G61" s="97" t="str">
        <f ca="1">IF(ROUND('Fiscal Forecasts'!G$143-G$58,3)=0,"OK","ERROR")</f>
        <v>OK</v>
      </c>
      <c r="H61" s="97" t="str">
        <f ca="1">IF(ROUND('Fiscal Forecasts'!H$143-H$58,3)=0,"OK","ERROR")</f>
        <v>OK</v>
      </c>
      <c r="I61" s="97" t="str">
        <f ca="1">IF(ROUND('Fiscal Forecasts'!I$143-I$58,3)=0,"OK","ERROR")</f>
        <v>OK</v>
      </c>
      <c r="J61" s="97" t="str">
        <f ca="1">IF(ROUND('Fiscal Forecasts'!J$143-J$58,3)=0,"OK","ERROR")</f>
        <v>OK</v>
      </c>
      <c r="K61" s="97" t="str">
        <f ca="1">IF(ROUND('Fiscal Forecasts'!K$143-K$58,3)=0,"OK","ERROR")</f>
        <v>OK</v>
      </c>
      <c r="L61" s="97" t="str">
        <f ca="1">IF(ROUND('Fiscal Forecasts'!L$143-L$58,3)=0,"OK","ERROR")</f>
        <v>OK</v>
      </c>
      <c r="M61" s="97" t="str">
        <f ca="1">IF(ROUND('Fiscal Forecasts'!M$143-M$58,3)=0,"OK","ERROR")</f>
        <v>OK</v>
      </c>
      <c r="N61" s="97" t="str">
        <f ca="1">IF(ROUND('Fiscal Forecasts'!N$143-N$58,3)=0,"OK","ERROR")</f>
        <v>OK</v>
      </c>
      <c r="O61" s="97" t="str">
        <f ca="1">IF(ROUND('Fiscal Forecasts'!O$143-O$58,3)=0,"OK","ERROR")</f>
        <v>OK</v>
      </c>
      <c r="P61" s="97" t="str">
        <f ca="1">IF(ROUND('Fiscal Forecasts'!P$143-P$58,3)=0,"OK","ERROR")</f>
        <v>OK</v>
      </c>
      <c r="Q61" s="17"/>
      <c r="R61" s="17"/>
      <c r="S61" s="17"/>
      <c r="T61" s="17"/>
      <c r="U61" s="17"/>
      <c r="V61" s="17"/>
      <c r="W61" s="17"/>
      <c r="X61" s="17"/>
      <c r="Y61" s="17"/>
      <c r="Z61" s="17"/>
    </row>
    <row r="62" spans="1:26" x14ac:dyDescent="0.25">
      <c r="A62" s="60" t="s">
        <v>1171</v>
      </c>
      <c r="B62" s="14" t="s">
        <v>1172</v>
      </c>
      <c r="C62" s="15"/>
      <c r="D62" s="89"/>
      <c r="E62" s="89"/>
      <c r="F62" s="89"/>
      <c r="G62" s="89"/>
      <c r="H62" s="89"/>
      <c r="I62" s="89"/>
      <c r="J62" s="89"/>
      <c r="K62" s="89"/>
      <c r="L62" s="66"/>
      <c r="M62" s="66"/>
      <c r="N62" s="66"/>
      <c r="O62" s="66"/>
      <c r="P62" s="66"/>
      <c r="Q62" s="97" t="str">
        <f t="shared" ref="Q62:Z62" ca="1" si="34">IF(ROUND(Q$39+Q$38-(Q$58-P$58),3)=0,"OK","ERROR")</f>
        <v>OK</v>
      </c>
      <c r="R62" s="97" t="str">
        <f t="shared" ca="1" si="34"/>
        <v>OK</v>
      </c>
      <c r="S62" s="97" t="str">
        <f t="shared" ca="1" si="34"/>
        <v>OK</v>
      </c>
      <c r="T62" s="97" t="str">
        <f t="shared" ca="1" si="34"/>
        <v>OK</v>
      </c>
      <c r="U62" s="97" t="str">
        <f t="shared" ca="1" si="34"/>
        <v>OK</v>
      </c>
      <c r="V62" s="97" t="str">
        <f t="shared" ca="1" si="34"/>
        <v>OK</v>
      </c>
      <c r="W62" s="97" t="str">
        <f t="shared" ca="1" si="34"/>
        <v>OK</v>
      </c>
      <c r="X62" s="97" t="str">
        <f t="shared" ca="1" si="34"/>
        <v>OK</v>
      </c>
      <c r="Y62" s="97" t="str">
        <f t="shared" ca="1" si="34"/>
        <v>OK</v>
      </c>
      <c r="Z62" s="97" t="str">
        <f t="shared" ca="1" si="34"/>
        <v>OK</v>
      </c>
    </row>
    <row r="63" spans="1:26" x14ac:dyDescent="0.25">
      <c r="A63" s="11" t="s">
        <v>989</v>
      </c>
      <c r="B63" s="11"/>
      <c r="C63" s="15"/>
      <c r="D63" s="51">
        <f t="shared" ref="D63:Z63" ca="1" si="35">SUM(D$346,D$353,D$359,D$368,D$388,D$394,D$409,D$413,D$417,D$423,D$427,D$432,D$435)</f>
        <v>201.42400000000004</v>
      </c>
      <c r="E63" s="51">
        <f t="shared" ca="1" si="35"/>
        <v>219.821</v>
      </c>
      <c r="F63" s="51">
        <f t="shared" ca="1" si="35"/>
        <v>239.35500000000002</v>
      </c>
      <c r="G63" s="51">
        <f t="shared" ca="1" si="35"/>
        <v>269.32</v>
      </c>
      <c r="H63" s="51">
        <f t="shared" ca="1" si="35"/>
        <v>294.69400000000002</v>
      </c>
      <c r="I63" s="51">
        <f t="shared" ca="1" si="35"/>
        <v>326.74099999999999</v>
      </c>
      <c r="J63" s="51">
        <f t="shared" ca="1" si="35"/>
        <v>348.37799999999999</v>
      </c>
      <c r="K63" s="51">
        <f t="shared" ca="1" si="35"/>
        <v>366.68399999999997</v>
      </c>
      <c r="L63" s="47">
        <f t="shared" ca="1" si="35"/>
        <v>381.43200000000002</v>
      </c>
      <c r="M63" s="47">
        <f t="shared" ca="1" si="35"/>
        <v>403.84899999999999</v>
      </c>
      <c r="N63" s="47">
        <f t="shared" ca="1" si="35"/>
        <v>423.62900000000002</v>
      </c>
      <c r="O63" s="47">
        <f t="shared" ca="1" si="35"/>
        <v>441.06700000000006</v>
      </c>
      <c r="P63" s="47">
        <f t="shared" ca="1" si="35"/>
        <v>454.86400000000009</v>
      </c>
      <c r="Q63" s="21">
        <f t="shared" ca="1" si="35"/>
        <v>473.44129850805336</v>
      </c>
      <c r="R63" s="21">
        <f t="shared" ca="1" si="35"/>
        <v>492.15677717220757</v>
      </c>
      <c r="S63" s="21">
        <f t="shared" ca="1" si="35"/>
        <v>511.54676957442666</v>
      </c>
      <c r="T63" s="21">
        <f t="shared" ca="1" si="35"/>
        <v>531.47920157120211</v>
      </c>
      <c r="U63" s="21">
        <f t="shared" ca="1" si="35"/>
        <v>552.20338972129753</v>
      </c>
      <c r="V63" s="21">
        <f t="shared" ca="1" si="35"/>
        <v>573.78701824599364</v>
      </c>
      <c r="W63" s="21">
        <f t="shared" ca="1" si="35"/>
        <v>596.31888982426733</v>
      </c>
      <c r="X63" s="21">
        <f t="shared" ca="1" si="35"/>
        <v>619.93375136957775</v>
      </c>
      <c r="Y63" s="21">
        <f t="shared" ca="1" si="35"/>
        <v>644.8206584314571</v>
      </c>
      <c r="Z63" s="21">
        <f t="shared" ca="1" si="35"/>
        <v>671.12516895141039</v>
      </c>
    </row>
    <row r="64" spans="1:26" x14ac:dyDescent="0.25">
      <c r="A64" s="11" t="s">
        <v>991</v>
      </c>
      <c r="B64" s="11"/>
      <c r="C64" s="15"/>
      <c r="D64" s="51">
        <f t="shared" ref="D64:Z64" si="36">SUM(D$71,D$439,D$445,D$449,D$453,D$457,D$463,D$470)</f>
        <v>132.88</v>
      </c>
      <c r="E64" s="51">
        <f t="shared" si="36"/>
        <v>172.70499999999998</v>
      </c>
      <c r="F64" s="51">
        <f t="shared" si="36"/>
        <v>178.81700000000001</v>
      </c>
      <c r="G64" s="51">
        <f t="shared" si="36"/>
        <v>224.036</v>
      </c>
      <c r="H64" s="51">
        <f t="shared" si="36"/>
        <v>235.35300000000001</v>
      </c>
      <c r="I64" s="51">
        <f t="shared" si="36"/>
        <v>261.70100000000002</v>
      </c>
      <c r="J64" s="51">
        <f t="shared" si="36"/>
        <v>285.43900000000002</v>
      </c>
      <c r="K64" s="51">
        <f t="shared" si="36"/>
        <v>302.02299999999997</v>
      </c>
      <c r="L64" s="47">
        <f t="shared" si="36"/>
        <v>315.57599999999996</v>
      </c>
      <c r="M64" s="47">
        <f t="shared" si="36"/>
        <v>332.22199999999998</v>
      </c>
      <c r="N64" s="47">
        <f t="shared" si="36"/>
        <v>341.49499999999995</v>
      </c>
      <c r="O64" s="47">
        <f t="shared" si="36"/>
        <v>344.36099999999999</v>
      </c>
      <c r="P64" s="47">
        <f t="shared" si="36"/>
        <v>339.95700000000005</v>
      </c>
      <c r="Q64" s="21">
        <f t="shared" ca="1" si="36"/>
        <v>338.03592283162982</v>
      </c>
      <c r="R64" s="21">
        <f t="shared" ca="1" si="36"/>
        <v>333.60905263737254</v>
      </c>
      <c r="S64" s="21">
        <f t="shared" ca="1" si="36"/>
        <v>326.92824142987234</v>
      </c>
      <c r="T64" s="21">
        <f t="shared" ca="1" si="36"/>
        <v>317.64527081186378</v>
      </c>
      <c r="U64" s="21">
        <f t="shared" ca="1" si="36"/>
        <v>305.86212102599063</v>
      </c>
      <c r="V64" s="21">
        <f t="shared" ca="1" si="36"/>
        <v>291.3578637904659</v>
      </c>
      <c r="W64" s="21">
        <f t="shared" ca="1" si="36"/>
        <v>274.0039273339608</v>
      </c>
      <c r="X64" s="21">
        <f t="shared" ca="1" si="36"/>
        <v>253.69758231375698</v>
      </c>
      <c r="Y64" s="21">
        <f t="shared" ca="1" si="36"/>
        <v>230.32545037355686</v>
      </c>
      <c r="Z64" s="21">
        <f t="shared" ca="1" si="36"/>
        <v>203.74696630761187</v>
      </c>
    </row>
    <row r="65" spans="1:26" x14ac:dyDescent="0.25">
      <c r="A65" s="11" t="s">
        <v>761</v>
      </c>
      <c r="B65" s="11"/>
      <c r="C65" s="15"/>
      <c r="D65" s="94">
        <f t="shared" ref="D65:Z65" ca="1" si="37">D$63-D$64</f>
        <v>68.54400000000004</v>
      </c>
      <c r="E65" s="94">
        <f t="shared" ca="1" si="37"/>
        <v>47.116000000000014</v>
      </c>
      <c r="F65" s="94">
        <f t="shared" ca="1" si="37"/>
        <v>60.538000000000011</v>
      </c>
      <c r="G65" s="94">
        <f t="shared" ca="1" si="37"/>
        <v>45.283999999999992</v>
      </c>
      <c r="H65" s="94">
        <f t="shared" ca="1" si="37"/>
        <v>59.341000000000008</v>
      </c>
      <c r="I65" s="94">
        <f t="shared" ca="1" si="37"/>
        <v>65.039999999999964</v>
      </c>
      <c r="J65" s="94">
        <f t="shared" ca="1" si="37"/>
        <v>62.938999999999965</v>
      </c>
      <c r="K65" s="94">
        <f t="shared" ca="1" si="37"/>
        <v>64.661000000000001</v>
      </c>
      <c r="L65" s="95">
        <f t="shared" ca="1" si="37"/>
        <v>65.856000000000051</v>
      </c>
      <c r="M65" s="95">
        <f t="shared" ca="1" si="37"/>
        <v>71.62700000000001</v>
      </c>
      <c r="N65" s="95">
        <f t="shared" ca="1" si="37"/>
        <v>82.134000000000071</v>
      </c>
      <c r="O65" s="95">
        <f t="shared" ca="1" si="37"/>
        <v>96.706000000000074</v>
      </c>
      <c r="P65" s="95">
        <f t="shared" ca="1" si="37"/>
        <v>114.90700000000004</v>
      </c>
      <c r="Q65" s="96">
        <f t="shared" ca="1" si="37"/>
        <v>135.40537567642355</v>
      </c>
      <c r="R65" s="96">
        <f t="shared" ca="1" si="37"/>
        <v>158.54772453483503</v>
      </c>
      <c r="S65" s="96">
        <f t="shared" ca="1" si="37"/>
        <v>184.61852814455432</v>
      </c>
      <c r="T65" s="96">
        <f t="shared" ca="1" si="37"/>
        <v>213.83393075933833</v>
      </c>
      <c r="U65" s="96">
        <f t="shared" ca="1" si="37"/>
        <v>246.34126869530689</v>
      </c>
      <c r="V65" s="96">
        <f t="shared" ca="1" si="37"/>
        <v>282.42915445552774</v>
      </c>
      <c r="W65" s="96">
        <f t="shared" ca="1" si="37"/>
        <v>322.31496249030653</v>
      </c>
      <c r="X65" s="96">
        <f t="shared" ca="1" si="37"/>
        <v>366.23616905582077</v>
      </c>
      <c r="Y65" s="96">
        <f t="shared" ca="1" si="37"/>
        <v>414.49520805790024</v>
      </c>
      <c r="Z65" s="96">
        <f t="shared" ca="1" si="37"/>
        <v>467.37820264379855</v>
      </c>
    </row>
    <row r="66" spans="1:26" x14ac:dyDescent="0.25">
      <c r="A66" s="60" t="s">
        <v>1173</v>
      </c>
      <c r="B66" s="14" t="str">
        <f>$B$42</f>
        <v>Outturn &amp; Forecast only</v>
      </c>
      <c r="C66" s="15"/>
      <c r="D66" s="97" t="str">
        <f ca="1">IF(ROUND('Fiscal Forecasts'!D$200-D$65,3)=0,"OK","ERROR")</f>
        <v>OK</v>
      </c>
      <c r="E66" s="97" t="str">
        <f ca="1">IF(ROUND('Fiscal Forecasts'!E$200-E$65,3)=0,"OK","ERROR")</f>
        <v>OK</v>
      </c>
      <c r="F66" s="97" t="str">
        <f ca="1">IF(ROUND('Fiscal Forecasts'!F$200-F$65,3)=0,"OK","ERROR")</f>
        <v>OK</v>
      </c>
      <c r="G66" s="97" t="str">
        <f ca="1">IF(ROUND('Fiscal Forecasts'!G$200-G$65,3)=0,"OK","ERROR")</f>
        <v>OK</v>
      </c>
      <c r="H66" s="97" t="str">
        <f ca="1">IF(ROUND('Fiscal Forecasts'!H$200-H$65,3)=0,"OK","ERROR")</f>
        <v>OK</v>
      </c>
      <c r="I66" s="97" t="str">
        <f ca="1">IF(ROUND('Fiscal Forecasts'!I$200-I$65,3)=0,"OK","ERROR")</f>
        <v>OK</v>
      </c>
      <c r="J66" s="97" t="str">
        <f ca="1">IF(ROUND('Fiscal Forecasts'!J$200-J$65,3)=0,"OK","ERROR")</f>
        <v>OK</v>
      </c>
      <c r="K66" s="97" t="str">
        <f ca="1">IF(ROUND('Fiscal Forecasts'!K$200-K$65,3)=0,"OK","ERROR")</f>
        <v>OK</v>
      </c>
      <c r="L66" s="97" t="str">
        <f ca="1">IF(ROUND('Fiscal Forecasts'!L$200-L$65,3)=0,"OK","ERROR")</f>
        <v>OK</v>
      </c>
      <c r="M66" s="97" t="str">
        <f ca="1">IF(ROUND('Fiscal Forecasts'!M$200-M$65,3)=0,"OK","ERROR")</f>
        <v>OK</v>
      </c>
      <c r="N66" s="97" t="str">
        <f ca="1">IF(ROUND('Fiscal Forecasts'!N$200-N$65,3)=0,"OK","ERROR")</f>
        <v>OK</v>
      </c>
      <c r="O66" s="97" t="str">
        <f ca="1">IF(ROUND('Fiscal Forecasts'!O$200-O$65,3)=0,"OK","ERROR")</f>
        <v>OK</v>
      </c>
      <c r="P66" s="97" t="str">
        <f ca="1">IF(ROUND('Fiscal Forecasts'!P$200-P$65,3)=0,"OK","ERROR")</f>
        <v>OK</v>
      </c>
      <c r="Q66" s="17"/>
      <c r="R66" s="17"/>
      <c r="S66" s="17"/>
      <c r="T66" s="17"/>
      <c r="U66" s="17"/>
      <c r="V66" s="17"/>
      <c r="W66" s="17"/>
      <c r="X66" s="17"/>
      <c r="Y66" s="17"/>
      <c r="Z66" s="17"/>
    </row>
    <row r="67" spans="1:26" x14ac:dyDescent="0.25">
      <c r="A67" s="60" t="s">
        <v>1174</v>
      </c>
      <c r="B67" s="14" t="str">
        <f>$B$62</f>
        <v>Projected Years only</v>
      </c>
      <c r="C67" s="15"/>
      <c r="D67" s="89"/>
      <c r="E67" s="89"/>
      <c r="F67" s="89"/>
      <c r="G67" s="89"/>
      <c r="H67" s="89"/>
      <c r="I67" s="89"/>
      <c r="J67" s="89"/>
      <c r="K67" s="89"/>
      <c r="L67" s="66"/>
      <c r="M67" s="66"/>
      <c r="N67" s="66"/>
      <c r="O67" s="66"/>
      <c r="P67" s="66"/>
      <c r="Q67" s="97" t="str">
        <f t="shared" ref="Q67:Z67" ca="1" si="38">IF(ROUND(Q$49-(Q$65-P$65),3)=0,"OK","ERROR")</f>
        <v>OK</v>
      </c>
      <c r="R67" s="97" t="str">
        <f t="shared" ca="1" si="38"/>
        <v>OK</v>
      </c>
      <c r="S67" s="97" t="str">
        <f t="shared" ca="1" si="38"/>
        <v>OK</v>
      </c>
      <c r="T67" s="97" t="str">
        <f t="shared" ca="1" si="38"/>
        <v>OK</v>
      </c>
      <c r="U67" s="97" t="str">
        <f t="shared" ca="1" si="38"/>
        <v>OK</v>
      </c>
      <c r="V67" s="97" t="str">
        <f t="shared" ca="1" si="38"/>
        <v>OK</v>
      </c>
      <c r="W67" s="97" t="str">
        <f t="shared" ca="1" si="38"/>
        <v>OK</v>
      </c>
      <c r="X67" s="97" t="str">
        <f t="shared" ca="1" si="38"/>
        <v>OK</v>
      </c>
      <c r="Y67" s="97" t="str">
        <f t="shared" ca="1" si="38"/>
        <v>OK</v>
      </c>
      <c r="Z67" s="97" t="str">
        <f t="shared" ca="1" si="38"/>
        <v>OK</v>
      </c>
    </row>
    <row r="68" spans="1:26" x14ac:dyDescent="0.25">
      <c r="A68" s="11"/>
      <c r="B68" s="11"/>
      <c r="C68" s="15"/>
      <c r="D68" s="89"/>
      <c r="E68" s="89"/>
      <c r="F68" s="89"/>
      <c r="G68" s="89"/>
      <c r="H68" s="89"/>
      <c r="I68" s="89"/>
      <c r="J68" s="89"/>
      <c r="K68" s="89"/>
      <c r="L68" s="66"/>
      <c r="M68" s="66"/>
      <c r="N68" s="66"/>
      <c r="O68" s="66"/>
      <c r="P68" s="66"/>
      <c r="Q68" s="17"/>
      <c r="R68" s="17"/>
      <c r="S68" s="17"/>
      <c r="T68" s="17"/>
      <c r="U68" s="17"/>
      <c r="V68" s="17"/>
      <c r="W68" s="17"/>
      <c r="X68" s="17"/>
      <c r="Y68" s="17"/>
      <c r="Z68" s="17"/>
    </row>
    <row r="69" spans="1:26" x14ac:dyDescent="0.25">
      <c r="A69" s="57" t="s">
        <v>1175</v>
      </c>
      <c r="B69" s="11"/>
      <c r="C69" s="15"/>
      <c r="D69" s="89"/>
      <c r="E69" s="89"/>
      <c r="F69" s="89"/>
      <c r="G69" s="89"/>
      <c r="H69" s="89"/>
      <c r="I69" s="89"/>
      <c r="J69" s="89"/>
      <c r="K69" s="89"/>
      <c r="L69" s="89"/>
      <c r="M69" s="89"/>
      <c r="N69" s="89"/>
      <c r="O69" s="89"/>
      <c r="P69" s="89"/>
      <c r="Q69" s="15"/>
      <c r="R69" s="15"/>
      <c r="S69" s="15"/>
      <c r="T69" s="15"/>
      <c r="U69" s="15"/>
      <c r="V69" s="15"/>
      <c r="W69" s="15"/>
      <c r="X69" s="15"/>
      <c r="Y69" s="15"/>
      <c r="Z69" s="15"/>
    </row>
    <row r="70" spans="1:26" x14ac:dyDescent="0.25">
      <c r="A70" s="11" t="s">
        <v>1176</v>
      </c>
      <c r="B70" s="14" t="str">
        <f t="shared" ref="B70:B77" si="39">$B$38</f>
        <v>From Fiscal Forecasts</v>
      </c>
      <c r="C70" s="15"/>
      <c r="D70" s="51">
        <f>'Fiscal Forecasts'!D$137</f>
        <v>110.248</v>
      </c>
      <c r="E70" s="51">
        <f>'Fiscal Forecasts'!E$137</f>
        <v>152.71700000000001</v>
      </c>
      <c r="F70" s="51">
        <f>'Fiscal Forecasts'!F$137</f>
        <v>162.56</v>
      </c>
      <c r="G70" s="51">
        <f>'Fiscal Forecasts'!G$137</f>
        <v>203.965</v>
      </c>
      <c r="H70" s="51">
        <f>'Fiscal Forecasts'!H$137</f>
        <v>226.755</v>
      </c>
      <c r="I70" s="51">
        <f>'Fiscal Forecasts'!I$137</f>
        <v>250.94300000000001</v>
      </c>
      <c r="J70" s="51">
        <f>'Fiscal Forecasts'!J$137</f>
        <v>272.08499999999998</v>
      </c>
      <c r="K70" s="51">
        <f>'Fiscal Forecasts'!K$137</f>
        <v>293.99900000000002</v>
      </c>
      <c r="L70" s="47">
        <f>'Fiscal Forecasts'!L$137</f>
        <v>314.43099999999998</v>
      </c>
      <c r="M70" s="47">
        <f>'Fiscal Forecasts'!M$137</f>
        <v>335.178</v>
      </c>
      <c r="N70" s="47">
        <f>'Fiscal Forecasts'!N$137</f>
        <v>350.851</v>
      </c>
      <c r="O70" s="47">
        <f>'Fiscal Forecasts'!O$137</f>
        <v>360.36200000000002</v>
      </c>
      <c r="P70" s="47">
        <f>'Fiscal Forecasts'!P$137</f>
        <v>363.75400000000002</v>
      </c>
      <c r="Q70" s="21">
        <f t="shared" ref="Q70" ca="1" si="40">SUM(P$70,Q$108)</f>
        <v>365.48534235212026</v>
      </c>
      <c r="R70" s="21">
        <f t="shared" ref="R70" ca="1" si="41">SUM(Q$70,R$108)</f>
        <v>365.24319417411357</v>
      </c>
      <c r="S70" s="21">
        <f t="shared" ref="S70:Z70" ca="1" si="42">SUM(R$70,S$108)</f>
        <v>362.70701674212586</v>
      </c>
      <c r="T70" s="21">
        <f t="shared" ca="1" si="42"/>
        <v>357.32727616174208</v>
      </c>
      <c r="U70" s="21">
        <f t="shared" ca="1" si="42"/>
        <v>349.29503379119393</v>
      </c>
      <c r="V70" s="21">
        <f t="shared" ca="1" si="42"/>
        <v>338.56123265927977</v>
      </c>
      <c r="W70" s="21">
        <f t="shared" ca="1" si="42"/>
        <v>324.98447512779529</v>
      </c>
      <c r="X70" s="21">
        <f t="shared" ca="1" si="42"/>
        <v>308.51097266880078</v>
      </c>
      <c r="Y70" s="21">
        <f t="shared" ca="1" si="42"/>
        <v>288.9705507991319</v>
      </c>
      <c r="Z70" s="21">
        <f t="shared" ca="1" si="42"/>
        <v>266.29550500100362</v>
      </c>
    </row>
    <row r="71" spans="1:26" x14ac:dyDescent="0.25">
      <c r="A71" s="12" t="s">
        <v>967</v>
      </c>
      <c r="B71" s="14" t="str">
        <f t="shared" si="39"/>
        <v>From Fiscal Forecasts</v>
      </c>
      <c r="C71" s="15"/>
      <c r="D71" s="51">
        <f>'Fiscal Forecasts'!D$147</f>
        <v>91.51</v>
      </c>
      <c r="E71" s="51">
        <f>'Fiscal Forecasts'!E$147</f>
        <v>126.34099999999999</v>
      </c>
      <c r="F71" s="51">
        <f>'Fiscal Forecasts'!F$147</f>
        <v>132.54300000000001</v>
      </c>
      <c r="G71" s="51">
        <f>'Fiscal Forecasts'!G$147</f>
        <v>168.98599999999999</v>
      </c>
      <c r="H71" s="51">
        <f>'Fiscal Forecasts'!H$147</f>
        <v>191.029</v>
      </c>
      <c r="I71" s="51">
        <f>'Fiscal Forecasts'!I$147</f>
        <v>216.34899999999999</v>
      </c>
      <c r="J71" s="51">
        <f>'Fiscal Forecasts'!J$147</f>
        <v>238.96700000000001</v>
      </c>
      <c r="K71" s="51">
        <f>'Fiscal Forecasts'!K$147</f>
        <v>256.83699999999999</v>
      </c>
      <c r="L71" s="47">
        <f>'Fiscal Forecasts'!L$147</f>
        <v>272.78500000000003</v>
      </c>
      <c r="M71" s="47">
        <f>'Fiscal Forecasts'!M$147</f>
        <v>288.827</v>
      </c>
      <c r="N71" s="47">
        <f>'Fiscal Forecasts'!N$147</f>
        <v>299.25400000000002</v>
      </c>
      <c r="O71" s="47">
        <f>'Fiscal Forecasts'!O$147</f>
        <v>302.637</v>
      </c>
      <c r="P71" s="47">
        <f>'Fiscal Forecasts'!P$147</f>
        <v>298.476</v>
      </c>
      <c r="Q71" s="21">
        <f t="shared" ref="Q71:Z71" ca="1" si="43">SUM(P$71,Q$503)</f>
        <v>295.13486408699117</v>
      </c>
      <c r="R71" s="21">
        <f t="shared" ca="1" si="43"/>
        <v>289.86031522113302</v>
      </c>
      <c r="S71" s="21">
        <f t="shared" ca="1" si="43"/>
        <v>282.26825095852485</v>
      </c>
      <c r="T71" s="21">
        <f t="shared" ca="1" si="43"/>
        <v>272.00761851228958</v>
      </c>
      <c r="U71" s="21">
        <f t="shared" ca="1" si="43"/>
        <v>259.20504345694997</v>
      </c>
      <c r="V71" s="21">
        <f t="shared" ca="1" si="43"/>
        <v>243.64687999517562</v>
      </c>
      <c r="W71" s="21">
        <f t="shared" ca="1" si="43"/>
        <v>225.20424968206535</v>
      </c>
      <c r="X71" s="21">
        <f t="shared" ca="1" si="43"/>
        <v>203.77103685389562</v>
      </c>
      <c r="Y71" s="21">
        <f t="shared" ca="1" si="43"/>
        <v>179.22753947914435</v>
      </c>
      <c r="Z71" s="21">
        <f t="shared" ca="1" si="43"/>
        <v>151.43100381964734</v>
      </c>
    </row>
    <row r="72" spans="1:26" x14ac:dyDescent="0.25">
      <c r="A72" s="12" t="s">
        <v>968</v>
      </c>
      <c r="B72" s="14" t="str">
        <f t="shared" si="39"/>
        <v>From Fiscal Forecasts</v>
      </c>
      <c r="C72" s="15"/>
      <c r="D72" s="50">
        <f>'Fiscal Forecasts'!D$148</f>
        <v>0.251</v>
      </c>
      <c r="E72" s="50">
        <f>'Fiscal Forecasts'!E$148</f>
        <v>5.5E-2</v>
      </c>
      <c r="F72" s="50">
        <f>'Fiscal Forecasts'!F$148</f>
        <v>2.1000000000000001E-2</v>
      </c>
      <c r="G72" s="50">
        <f>'Fiscal Forecasts'!G$148</f>
        <v>0.20799999999999999</v>
      </c>
      <c r="H72" s="50">
        <f>'Fiscal Forecasts'!H$148</f>
        <v>0.96199999999999997</v>
      </c>
      <c r="I72" s="50">
        <f>'Fiscal Forecasts'!I$148</f>
        <v>0.84699999999999998</v>
      </c>
      <c r="J72" s="50">
        <f>'Fiscal Forecasts'!J$148</f>
        <v>0.46700000000000003</v>
      </c>
      <c r="K72" s="50">
        <f>'Fiscal Forecasts'!K$148</f>
        <v>0.50700000000000001</v>
      </c>
      <c r="L72" s="48">
        <f>'Fiscal Forecasts'!L$148</f>
        <v>0.42099999999999999</v>
      </c>
      <c r="M72" s="48">
        <f>'Fiscal Forecasts'!M$148</f>
        <v>1.792</v>
      </c>
      <c r="N72" s="48">
        <f>'Fiscal Forecasts'!N$148</f>
        <v>1.0980000000000001</v>
      </c>
      <c r="O72" s="48">
        <f>'Fiscal Forecasts'!O$148</f>
        <v>0.76200000000000001</v>
      </c>
      <c r="P72" s="48">
        <f>'Fiscal Forecasts'!P$148</f>
        <v>0.60799999999999998</v>
      </c>
      <c r="Q72" s="20">
        <f t="shared" ref="Q72:Z72" ca="1" si="44">P$72*(1+Q$29)</f>
        <v>0.62016000000000004</v>
      </c>
      <c r="R72" s="20">
        <f t="shared" ca="1" si="44"/>
        <v>0.6325632000000001</v>
      </c>
      <c r="S72" s="20">
        <f t="shared" ca="1" si="44"/>
        <v>0.64521446400000015</v>
      </c>
      <c r="T72" s="20">
        <f t="shared" ca="1" si="44"/>
        <v>0.65811875328000013</v>
      </c>
      <c r="U72" s="20">
        <f t="shared" ca="1" si="44"/>
        <v>0.67128112834560016</v>
      </c>
      <c r="V72" s="20">
        <f t="shared" ca="1" si="44"/>
        <v>0.68470675091251221</v>
      </c>
      <c r="W72" s="20">
        <f t="shared" ca="1" si="44"/>
        <v>0.69840088593076244</v>
      </c>
      <c r="X72" s="20">
        <f t="shared" ca="1" si="44"/>
        <v>0.71236890364937766</v>
      </c>
      <c r="Y72" s="20">
        <f t="shared" ca="1" si="44"/>
        <v>0.72661628172236525</v>
      </c>
      <c r="Z72" s="20">
        <f t="shared" ca="1" si="44"/>
        <v>0.74114860735681254</v>
      </c>
    </row>
    <row r="73" spans="1:26" x14ac:dyDescent="0.25">
      <c r="A73" s="12" t="s">
        <v>1177</v>
      </c>
      <c r="B73" s="14" t="str">
        <f t="shared" si="39"/>
        <v>From Fiscal Forecasts</v>
      </c>
      <c r="C73" s="15"/>
      <c r="D73" s="50">
        <f>'Fiscal Forecasts'!D$149</f>
        <v>0.90300000000000002</v>
      </c>
      <c r="E73" s="50">
        <f>'Fiscal Forecasts'!E$149</f>
        <v>2.6749999999999998</v>
      </c>
      <c r="F73" s="50">
        <f>'Fiscal Forecasts'!F$149</f>
        <v>2.2170000000000001</v>
      </c>
      <c r="G73" s="50">
        <f>'Fiscal Forecasts'!G$149</f>
        <v>9.99</v>
      </c>
      <c r="H73" s="50">
        <f>'Fiscal Forecasts'!H$149</f>
        <v>3.093</v>
      </c>
      <c r="I73" s="50">
        <f>'Fiscal Forecasts'!I$149</f>
        <v>2.754</v>
      </c>
      <c r="J73" s="50">
        <f>'Fiscal Forecasts'!J$149</f>
        <v>2.7149999999999999</v>
      </c>
      <c r="K73" s="50">
        <f>'Fiscal Forecasts'!K$149</f>
        <v>4.415</v>
      </c>
      <c r="L73" s="48">
        <f>'Fiscal Forecasts'!L$149</f>
        <v>4.3499999999999996</v>
      </c>
      <c r="M73" s="48">
        <f>'Fiscal Forecasts'!M$149</f>
        <v>5.7210000000000001</v>
      </c>
      <c r="N73" s="48">
        <f>'Fiscal Forecasts'!N$149</f>
        <v>5.0469999999999997</v>
      </c>
      <c r="O73" s="48">
        <f>'Fiscal Forecasts'!O$149</f>
        <v>4.7359999999999998</v>
      </c>
      <c r="P73" s="48">
        <f>'Fiscal Forecasts'!P$149</f>
        <v>4.5789999999999997</v>
      </c>
      <c r="Q73" s="20">
        <f ca="1">OFFSET(Assumptions!$B$54,0,$C$1)*Q$385</f>
        <v>4.7568455514746164</v>
      </c>
      <c r="R73" s="20">
        <f ca="1">OFFSET(Assumptions!$B$54,0,$C$1)*R$385</f>
        <v>5.0458367829519233</v>
      </c>
      <c r="S73" s="20">
        <f ca="1">OFFSET(Assumptions!$B$54,0,$C$1)*S$385</f>
        <v>5.3465925868654764</v>
      </c>
      <c r="T73" s="20">
        <f ca="1">OFFSET(Assumptions!$B$54,0,$C$1)*T$385</f>
        <v>5.6601489194473302</v>
      </c>
      <c r="U73" s="20">
        <f ca="1">OFFSET(Assumptions!$B$54,0,$C$1)*U$385</f>
        <v>5.9852929840667644</v>
      </c>
      <c r="V73" s="20">
        <f ca="1">OFFSET(Assumptions!$B$54,0,$C$1)*V$385</f>
        <v>6.3240860466159106</v>
      </c>
      <c r="W73" s="20">
        <f ca="1">OFFSET(Assumptions!$B$54,0,$C$1)*W$385</f>
        <v>6.6798401572095205</v>
      </c>
      <c r="X73" s="20">
        <f ca="1">OFFSET(Assumptions!$B$54,0,$C$1)*X$385</f>
        <v>7.056074575576182</v>
      </c>
      <c r="Y73" s="20">
        <f ca="1">OFFSET(Assumptions!$B$54,0,$C$1)*Y$385</f>
        <v>7.4575069938944782</v>
      </c>
      <c r="Z73" s="20">
        <f ca="1">OFFSET(Assumptions!$B$54,0,$C$1)*Z$385</f>
        <v>7.8884002076615136</v>
      </c>
    </row>
    <row r="74" spans="1:26" x14ac:dyDescent="0.25">
      <c r="A74" s="12" t="s">
        <v>1178</v>
      </c>
      <c r="B74" s="14" t="str">
        <f t="shared" si="39"/>
        <v>From Fiscal Forecasts</v>
      </c>
      <c r="C74" s="15"/>
      <c r="D74" s="50">
        <f>'Fiscal Forecasts'!D$150</f>
        <v>92.590999999999994</v>
      </c>
      <c r="E74" s="50">
        <f>'Fiscal Forecasts'!E$150</f>
        <v>101.77800000000001</v>
      </c>
      <c r="F74" s="50">
        <f>'Fiscal Forecasts'!F$150</f>
        <v>108.423</v>
      </c>
      <c r="G74" s="50">
        <f>'Fiscal Forecasts'!G$150</f>
        <v>121.13800000000001</v>
      </c>
      <c r="H74" s="50">
        <f>'Fiscal Forecasts'!H$150</f>
        <v>135.595</v>
      </c>
      <c r="I74" s="50">
        <f>'Fiscal Forecasts'!I$150</f>
        <v>154.9</v>
      </c>
      <c r="J74" s="50">
        <f>'Fiscal Forecasts'!J$150</f>
        <v>173.536</v>
      </c>
      <c r="K74" s="50">
        <f>'Fiscal Forecasts'!K$150</f>
        <v>187.077</v>
      </c>
      <c r="L74" s="48">
        <f>'Fiscal Forecasts'!L$150</f>
        <v>192.446</v>
      </c>
      <c r="M74" s="48">
        <f>'Fiscal Forecasts'!M$150</f>
        <v>204.63399999999999</v>
      </c>
      <c r="N74" s="48">
        <f>'Fiscal Forecasts'!N$150</f>
        <v>215.44399999999999</v>
      </c>
      <c r="O74" s="48">
        <f>'Fiscal Forecasts'!O$150</f>
        <v>225.17400000000001</v>
      </c>
      <c r="P74" s="48">
        <f>'Fiscal Forecasts'!P$150</f>
        <v>231.40600000000001</v>
      </c>
      <c r="Q74" s="20">
        <f t="shared" ref="Q74:Z74" ca="1" si="45">SUM(Q$346,Q$359,Q$368,Q$388,Q$394)</f>
        <v>242.74716228350877</v>
      </c>
      <c r="R74" s="20">
        <f t="shared" ca="1" si="45"/>
        <v>254.59340411443225</v>
      </c>
      <c r="S74" s="20">
        <f t="shared" ca="1" si="45"/>
        <v>266.86661622051332</v>
      </c>
      <c r="T74" s="20">
        <f t="shared" ca="1" si="45"/>
        <v>279.58555031778002</v>
      </c>
      <c r="U74" s="20">
        <f t="shared" ca="1" si="45"/>
        <v>292.75058109283373</v>
      </c>
      <c r="V74" s="20">
        <f t="shared" ca="1" si="45"/>
        <v>306.42947780044068</v>
      </c>
      <c r="W74" s="20">
        <f t="shared" ca="1" si="45"/>
        <v>320.70143799011407</v>
      </c>
      <c r="X74" s="20">
        <f t="shared" ca="1" si="45"/>
        <v>335.68138407285397</v>
      </c>
      <c r="Y74" s="20">
        <f t="shared" ca="1" si="45"/>
        <v>351.53260955133226</v>
      </c>
      <c r="Z74" s="20">
        <f t="shared" ca="1" si="45"/>
        <v>368.38126568000575</v>
      </c>
    </row>
    <row r="75" spans="1:26" x14ac:dyDescent="0.25">
      <c r="A75" s="12" t="s">
        <v>1179</v>
      </c>
      <c r="B75" s="14" t="str">
        <f t="shared" si="39"/>
        <v>From Fiscal Forecasts</v>
      </c>
      <c r="C75" s="15"/>
      <c r="D75" s="50">
        <f>'Fiscal Forecasts'!D$151</f>
        <v>0.66900000000000004</v>
      </c>
      <c r="E75" s="50">
        <f>'Fiscal Forecasts'!E$151</f>
        <v>1.9E-2</v>
      </c>
      <c r="F75" s="50">
        <f>'Fiscal Forecasts'!F$151</f>
        <v>5.6000000000000001E-2</v>
      </c>
      <c r="G75" s="50">
        <f>'Fiscal Forecasts'!G$151</f>
        <v>0.55100000000000005</v>
      </c>
      <c r="H75" s="50">
        <f>'Fiscal Forecasts'!H$151</f>
        <v>2.5649999999999999</v>
      </c>
      <c r="I75" s="50">
        <f>'Fiscal Forecasts'!I$151</f>
        <v>3.278</v>
      </c>
      <c r="J75" s="50">
        <f>'Fiscal Forecasts'!J$151</f>
        <v>2.2450000000000001</v>
      </c>
      <c r="K75" s="50">
        <f>'Fiscal Forecasts'!K$151</f>
        <v>5.1029999999999998</v>
      </c>
      <c r="L75" s="48">
        <f>'Fiscal Forecasts'!L$151</f>
        <v>2.6880000000000002</v>
      </c>
      <c r="M75" s="48">
        <f>'Fiscal Forecasts'!M$151</f>
        <v>2.7130000000000001</v>
      </c>
      <c r="N75" s="48">
        <f>'Fiscal Forecasts'!N$151</f>
        <v>2.738</v>
      </c>
      <c r="O75" s="48">
        <f>'Fiscal Forecasts'!O$151</f>
        <v>2.7669999999999999</v>
      </c>
      <c r="P75" s="48">
        <f>'Fiscal Forecasts'!P$151</f>
        <v>2.7970000000000002</v>
      </c>
      <c r="Q75" s="20">
        <f t="shared" ref="Q75:Z75" ca="1" si="46">P$75*(1+Q$29)</f>
        <v>2.8529400000000003</v>
      </c>
      <c r="R75" s="20">
        <f t="shared" ca="1" si="46"/>
        <v>2.9099988000000003</v>
      </c>
      <c r="S75" s="20">
        <f t="shared" ca="1" si="46"/>
        <v>2.9681987760000004</v>
      </c>
      <c r="T75" s="20">
        <f t="shared" ca="1" si="46"/>
        <v>3.0275627515200005</v>
      </c>
      <c r="U75" s="20">
        <f t="shared" ca="1" si="46"/>
        <v>3.0881140065504007</v>
      </c>
      <c r="V75" s="20">
        <f t="shared" ca="1" si="46"/>
        <v>3.1498762866814087</v>
      </c>
      <c r="W75" s="20">
        <f t="shared" ca="1" si="46"/>
        <v>3.2128738124150371</v>
      </c>
      <c r="X75" s="20">
        <f t="shared" ca="1" si="46"/>
        <v>3.2771312886633379</v>
      </c>
      <c r="Y75" s="20">
        <f t="shared" ca="1" si="46"/>
        <v>3.3426739144366047</v>
      </c>
      <c r="Z75" s="20">
        <f t="shared" ca="1" si="46"/>
        <v>3.4095273927253369</v>
      </c>
    </row>
    <row r="76" spans="1:26" x14ac:dyDescent="0.25">
      <c r="A76" s="12" t="s">
        <v>972</v>
      </c>
      <c r="B76" s="14" t="str">
        <f t="shared" si="39"/>
        <v>From Fiscal Forecasts</v>
      </c>
      <c r="C76" s="15"/>
      <c r="D76" s="50">
        <f>'Fiscal Forecasts'!D$152</f>
        <v>46.292999999999999</v>
      </c>
      <c r="E76" s="50">
        <f>'Fiscal Forecasts'!E$152</f>
        <v>46.895000000000003</v>
      </c>
      <c r="F76" s="50">
        <f>'Fiscal Forecasts'!F$152</f>
        <v>61.483999999999995</v>
      </c>
      <c r="G76" s="50">
        <f>'Fiscal Forecasts'!G$152</f>
        <v>65.254999999999995</v>
      </c>
      <c r="H76" s="50">
        <f>'Fiscal Forecasts'!H$152</f>
        <v>67.994000000000014</v>
      </c>
      <c r="I76" s="50">
        <f>'Fiscal Forecasts'!I$152</f>
        <v>78.811999999999998</v>
      </c>
      <c r="J76" s="50">
        <f>'Fiscal Forecasts'!J$152</f>
        <v>86.921999999999997</v>
      </c>
      <c r="K76" s="50">
        <f>'Fiscal Forecasts'!K$152</f>
        <v>98.022999999999996</v>
      </c>
      <c r="L76" s="48">
        <f>'Fiscal Forecasts'!L$152</f>
        <v>105.09699999999999</v>
      </c>
      <c r="M76" s="48">
        <f>'Fiscal Forecasts'!M$152</f>
        <v>112.59399999999999</v>
      </c>
      <c r="N76" s="48">
        <f>'Fiscal Forecasts'!N$152</f>
        <v>118.619</v>
      </c>
      <c r="O76" s="48">
        <f>'Fiscal Forecasts'!O$152</f>
        <v>125.54</v>
      </c>
      <c r="P76" s="48">
        <f>'Fiscal Forecasts'!P$152</f>
        <v>133.102</v>
      </c>
      <c r="Q76" s="20">
        <f t="shared" ref="Q76:Z76" ca="1" si="47">SUM(Q$344,Q$357,Q$366,Q$388,Q$391,Q$75-Q$72)</f>
        <v>141.17895341413401</v>
      </c>
      <c r="R76" s="20">
        <f t="shared" ca="1" si="47"/>
        <v>149.69868256050586</v>
      </c>
      <c r="S76" s="20">
        <f t="shared" ca="1" si="47"/>
        <v>158.56431742057208</v>
      </c>
      <c r="T76" s="20">
        <f t="shared" ca="1" si="47"/>
        <v>167.80625672734377</v>
      </c>
      <c r="U76" s="20">
        <f t="shared" ca="1" si="47"/>
        <v>177.38895173659665</v>
      </c>
      <c r="V76" s="20">
        <f t="shared" ca="1" si="47"/>
        <v>187.37287054807871</v>
      </c>
      <c r="W76" s="20">
        <f t="shared" ca="1" si="47"/>
        <v>197.85516263638252</v>
      </c>
      <c r="X76" s="20">
        <f t="shared" ca="1" si="47"/>
        <v>208.93905456801838</v>
      </c>
      <c r="Y76" s="20">
        <f t="shared" ca="1" si="47"/>
        <v>220.76291901013278</v>
      </c>
      <c r="Z76" s="20">
        <f t="shared" ca="1" si="47"/>
        <v>233.4517885405358</v>
      </c>
    </row>
    <row r="77" spans="1:26" x14ac:dyDescent="0.25">
      <c r="A77" s="12" t="s">
        <v>973</v>
      </c>
      <c r="B77" s="14" t="str">
        <f t="shared" si="39"/>
        <v>From Fiscal Forecasts</v>
      </c>
      <c r="C77" s="15"/>
      <c r="D77" s="50">
        <f>'Fiscal Forecasts'!D$153</f>
        <v>13.845000000000001</v>
      </c>
      <c r="E77" s="50">
        <f>'Fiscal Forecasts'!E$153</f>
        <v>14.555999999999999</v>
      </c>
      <c r="F77" s="50">
        <f>'Fiscal Forecasts'!F$153</f>
        <v>18.728000000000002</v>
      </c>
      <c r="G77" s="50">
        <f>'Fiscal Forecasts'!G$153</f>
        <v>26.103000000000002</v>
      </c>
      <c r="H77" s="50">
        <f>'Fiscal Forecasts'!H$153</f>
        <v>36.540999999999997</v>
      </c>
      <c r="I77" s="50">
        <f>'Fiscal Forecasts'!I$153</f>
        <v>40.387999999999998</v>
      </c>
      <c r="J77" s="50">
        <f>'Fiscal Forecasts'!J$153</f>
        <v>34.311</v>
      </c>
      <c r="K77" s="50">
        <f>'Fiscal Forecasts'!K$153</f>
        <v>27.931000000000001</v>
      </c>
      <c r="L77" s="48">
        <f>'Fiscal Forecasts'!L$153</f>
        <v>30.812000000000001</v>
      </c>
      <c r="M77" s="48">
        <f>'Fiscal Forecasts'!M$153</f>
        <v>32.81</v>
      </c>
      <c r="N77" s="48">
        <f>'Fiscal Forecasts'!N$153</f>
        <v>34.792000000000002</v>
      </c>
      <c r="O77" s="48">
        <f>'Fiscal Forecasts'!O$153</f>
        <v>36.500999999999998</v>
      </c>
      <c r="P77" s="48">
        <f>'Fiscal Forecasts'!P$153</f>
        <v>36.365000000000002</v>
      </c>
      <c r="Q77" s="20">
        <f t="shared" ref="Q77:Z77" ca="1" si="48">SUM(Q$392:Q$393)</f>
        <v>36.881439999999998</v>
      </c>
      <c r="R77" s="20">
        <f t="shared" ca="1" si="48"/>
        <v>37.404168800000001</v>
      </c>
      <c r="S77" s="20">
        <f t="shared" ca="1" si="48"/>
        <v>37.933392176000005</v>
      </c>
      <c r="T77" s="20">
        <f t="shared" ca="1" si="48"/>
        <v>38.464320019520002</v>
      </c>
      <c r="U77" s="20">
        <f t="shared" ca="1" si="48"/>
        <v>38.997166419910407</v>
      </c>
      <c r="V77" s="20">
        <f t="shared" ca="1" si="48"/>
        <v>39.538149748308612</v>
      </c>
      <c r="W77" s="20">
        <f t="shared" ca="1" si="48"/>
        <v>40.085492743274791</v>
      </c>
      <c r="X77" s="20">
        <f t="shared" ca="1" si="48"/>
        <v>40.645422598140286</v>
      </c>
      <c r="Y77" s="20">
        <f t="shared" ca="1" si="48"/>
        <v>41.225171050103093</v>
      </c>
      <c r="Z77" s="20">
        <f t="shared" ca="1" si="48"/>
        <v>41.824974471105158</v>
      </c>
    </row>
    <row r="78" spans="1:26" x14ac:dyDescent="0.25">
      <c r="A78" s="11" t="s">
        <v>1180</v>
      </c>
      <c r="B78" s="11"/>
      <c r="C78" s="15"/>
      <c r="D78" s="94">
        <f t="shared" ref="D78:Z78" si="49">SUM(D$71,D$72,D$76,D$77)-SUM(D$73,D$74,D$75)</f>
        <v>57.736000000000004</v>
      </c>
      <c r="E78" s="94">
        <f t="shared" si="49"/>
        <v>83.375</v>
      </c>
      <c r="F78" s="94">
        <f t="shared" si="49"/>
        <v>102.08000000000001</v>
      </c>
      <c r="G78" s="94">
        <f t="shared" si="49"/>
        <v>128.87299999999996</v>
      </c>
      <c r="H78" s="94">
        <f t="shared" si="49"/>
        <v>155.27300000000002</v>
      </c>
      <c r="I78" s="94">
        <f t="shared" si="49"/>
        <v>175.46399999999997</v>
      </c>
      <c r="J78" s="94">
        <f t="shared" si="49"/>
        <v>182.17099999999996</v>
      </c>
      <c r="K78" s="94">
        <f t="shared" si="49"/>
        <v>186.70299999999995</v>
      </c>
      <c r="L78" s="95">
        <f t="shared" si="49"/>
        <v>209.63100000000003</v>
      </c>
      <c r="M78" s="95">
        <f t="shared" si="49"/>
        <v>222.95499999999998</v>
      </c>
      <c r="N78" s="95">
        <f t="shared" si="49"/>
        <v>230.53400000000005</v>
      </c>
      <c r="O78" s="95">
        <f t="shared" si="49"/>
        <v>232.76300000000001</v>
      </c>
      <c r="P78" s="95">
        <f t="shared" si="49"/>
        <v>229.76900000000003</v>
      </c>
      <c r="Q78" s="99">
        <f t="shared" ca="1" si="49"/>
        <v>223.45846966614181</v>
      </c>
      <c r="R78" s="99">
        <f t="shared" ca="1" si="49"/>
        <v>215.04649008425469</v>
      </c>
      <c r="S78" s="99">
        <f t="shared" ca="1" si="49"/>
        <v>204.22976743571809</v>
      </c>
      <c r="T78" s="99">
        <f t="shared" ca="1" si="49"/>
        <v>190.66305202368596</v>
      </c>
      <c r="U78" s="99">
        <f t="shared" ca="1" si="49"/>
        <v>174.4384546583517</v>
      </c>
      <c r="V78" s="99">
        <f t="shared" ca="1" si="49"/>
        <v>155.33916690873747</v>
      </c>
      <c r="W78" s="99">
        <f t="shared" ca="1" si="49"/>
        <v>133.24915398791484</v>
      </c>
      <c r="X78" s="99">
        <f t="shared" ca="1" si="49"/>
        <v>108.05329298661019</v>
      </c>
      <c r="Y78" s="99">
        <f t="shared" ca="1" si="49"/>
        <v>79.609455361439245</v>
      </c>
      <c r="Z78" s="99">
        <f t="shared" ca="1" si="49"/>
        <v>47.769722158252534</v>
      </c>
    </row>
    <row r="79" spans="1:26" x14ac:dyDescent="0.25">
      <c r="A79" s="12" t="s">
        <v>975</v>
      </c>
      <c r="B79" s="14" t="str">
        <f>$B$38</f>
        <v>From Fiscal Forecasts</v>
      </c>
      <c r="C79" s="15"/>
      <c r="D79" s="50">
        <f>'Fiscal Forecasts'!D$155</f>
        <v>6.931</v>
      </c>
      <c r="E79" s="50">
        <f>'Fiscal Forecasts'!E$155</f>
        <v>11.111000000000001</v>
      </c>
      <c r="F79" s="50">
        <f>'Fiscal Forecasts'!F$155</f>
        <v>11.836</v>
      </c>
      <c r="G79" s="50">
        <f>'Fiscal Forecasts'!G$155</f>
        <v>14.345000000000001</v>
      </c>
      <c r="H79" s="50">
        <f>'Fiscal Forecasts'!H$155</f>
        <v>48.11</v>
      </c>
      <c r="I79" s="50">
        <f>'Fiscal Forecasts'!I$155</f>
        <v>56.47</v>
      </c>
      <c r="J79" s="50">
        <f>'Fiscal Forecasts'!J$155</f>
        <v>61.85</v>
      </c>
      <c r="K79" s="50">
        <f>'Fiscal Forecasts'!K$155</f>
        <v>66.849000000000004</v>
      </c>
      <c r="L79" s="48">
        <f>'Fiscal Forecasts'!L$155</f>
        <v>72.600999999999999</v>
      </c>
      <c r="M79" s="48">
        <f>'Fiscal Forecasts'!M$155</f>
        <v>78.403000000000006</v>
      </c>
      <c r="N79" s="48">
        <f>'Fiscal Forecasts'!N$155</f>
        <v>84.54</v>
      </c>
      <c r="O79" s="48">
        <f>'Fiscal Forecasts'!O$155</f>
        <v>91.457999999999998</v>
      </c>
      <c r="P79" s="48">
        <f>'Fiscal Forecasts'!P$155</f>
        <v>97.852999999999994</v>
      </c>
      <c r="Q79" s="20">
        <f t="shared" ref="Q79:Z79" ca="1" si="50">P$79+Q$80-P$80</f>
        <v>100.62866009477827</v>
      </c>
      <c r="R79" s="20">
        <f t="shared" ca="1" si="50"/>
        <v>103.46088699805713</v>
      </c>
      <c r="S79" s="20">
        <f t="shared" ca="1" si="50"/>
        <v>106.36814748235437</v>
      </c>
      <c r="T79" s="20">
        <f t="shared" ca="1" si="50"/>
        <v>109.3436414274905</v>
      </c>
      <c r="U79" s="20">
        <f t="shared" ca="1" si="50"/>
        <v>112.42289304238348</v>
      </c>
      <c r="V79" s="20">
        <f t="shared" ca="1" si="50"/>
        <v>115.60699742608826</v>
      </c>
      <c r="W79" s="20">
        <f t="shared" ca="1" si="50"/>
        <v>118.87989082463154</v>
      </c>
      <c r="X79" s="20">
        <f t="shared" ca="1" si="50"/>
        <v>122.24702998763811</v>
      </c>
      <c r="Y79" s="20">
        <f t="shared" ca="1" si="50"/>
        <v>125.72602294076746</v>
      </c>
      <c r="Z79" s="20">
        <f t="shared" ca="1" si="50"/>
        <v>129.3177669681636</v>
      </c>
    </row>
    <row r="80" spans="1:26" x14ac:dyDescent="0.25">
      <c r="A80" s="12" t="s">
        <v>1181</v>
      </c>
      <c r="B80" s="14" t="str">
        <f>$B$38</f>
        <v>From Fiscal Forecasts</v>
      </c>
      <c r="C80" s="15"/>
      <c r="D80" s="50">
        <f>'Fiscal Forecasts'!D$156</f>
        <v>0</v>
      </c>
      <c r="E80" s="50">
        <f>'Fiscal Forecasts'!E$156</f>
        <v>0</v>
      </c>
      <c r="F80" s="50">
        <f>'Fiscal Forecasts'!F$156</f>
        <v>0</v>
      </c>
      <c r="G80" s="50">
        <f>'Fiscal Forecasts'!G$156</f>
        <v>0</v>
      </c>
      <c r="H80" s="50">
        <f>'Fiscal Forecasts'!H$156</f>
        <v>30.574000000000002</v>
      </c>
      <c r="I80" s="50">
        <f>'Fiscal Forecasts'!I$156</f>
        <v>33.290999999999997</v>
      </c>
      <c r="J80" s="50">
        <f>'Fiscal Forecasts'!J$156</f>
        <v>36.783999999999999</v>
      </c>
      <c r="K80" s="50">
        <f>'Fiscal Forecasts'!K$156</f>
        <v>40.920999999999999</v>
      </c>
      <c r="L80" s="48">
        <f>'Fiscal Forecasts'!L$156</f>
        <v>44.921999999999997</v>
      </c>
      <c r="M80" s="48">
        <f>'Fiscal Forecasts'!M$156</f>
        <v>49.701000000000001</v>
      </c>
      <c r="N80" s="48">
        <f>'Fiscal Forecasts'!N$156</f>
        <v>55.195999999999998</v>
      </c>
      <c r="O80" s="48">
        <f>'Fiscal Forecasts'!O$156</f>
        <v>61.332999999999998</v>
      </c>
      <c r="P80" s="48">
        <f>'Fiscal Forecasts'!P$156</f>
        <v>67.436000000000007</v>
      </c>
      <c r="Q80" s="20">
        <f t="shared" ref="Q80:Z80" ca="1" si="51">P$80+Q$395-P$395</f>
        <v>70.211660094778296</v>
      </c>
      <c r="R80" s="20">
        <f t="shared" ca="1" si="51"/>
        <v>73.043886998057161</v>
      </c>
      <c r="S80" s="20">
        <f t="shared" ca="1" si="51"/>
        <v>75.951147482354401</v>
      </c>
      <c r="T80" s="20">
        <f t="shared" ca="1" si="51"/>
        <v>78.926641427490537</v>
      </c>
      <c r="U80" s="20">
        <f t="shared" ca="1" si="51"/>
        <v>82.005893042383505</v>
      </c>
      <c r="V80" s="20">
        <f t="shared" ca="1" si="51"/>
        <v>85.189997426088283</v>
      </c>
      <c r="W80" s="20">
        <f t="shared" ca="1" si="51"/>
        <v>88.462890824631586</v>
      </c>
      <c r="X80" s="20">
        <f t="shared" ca="1" si="51"/>
        <v>91.830029987638156</v>
      </c>
      <c r="Y80" s="20">
        <f t="shared" ca="1" si="51"/>
        <v>95.30902294076752</v>
      </c>
      <c r="Z80" s="20">
        <f t="shared" ca="1" si="51"/>
        <v>98.900766968163651</v>
      </c>
    </row>
    <row r="81" spans="1:26" x14ac:dyDescent="0.25">
      <c r="A81" s="11" t="s">
        <v>856</v>
      </c>
      <c r="B81" s="11"/>
      <c r="C81" s="15"/>
      <c r="D81" s="94">
        <f t="shared" ref="D81:Z81" si="52">SUM(D$78,D$79)-SUM(D$77,D$80)</f>
        <v>50.822000000000003</v>
      </c>
      <c r="E81" s="94">
        <f t="shared" si="52"/>
        <v>79.930000000000007</v>
      </c>
      <c r="F81" s="94">
        <f t="shared" si="52"/>
        <v>95.188000000000017</v>
      </c>
      <c r="G81" s="94">
        <f t="shared" si="52"/>
        <v>117.11499999999995</v>
      </c>
      <c r="H81" s="94">
        <f t="shared" si="52"/>
        <v>136.26800000000003</v>
      </c>
      <c r="I81" s="94">
        <f t="shared" si="52"/>
        <v>158.25499999999997</v>
      </c>
      <c r="J81" s="94">
        <f t="shared" si="52"/>
        <v>172.92599999999996</v>
      </c>
      <c r="K81" s="94">
        <f t="shared" si="52"/>
        <v>184.69999999999996</v>
      </c>
      <c r="L81" s="95">
        <f t="shared" si="52"/>
        <v>206.49800000000005</v>
      </c>
      <c r="M81" s="95">
        <f t="shared" si="52"/>
        <v>218.84700000000001</v>
      </c>
      <c r="N81" s="95">
        <f t="shared" si="52"/>
        <v>225.08600000000007</v>
      </c>
      <c r="O81" s="95">
        <f t="shared" si="52"/>
        <v>226.387</v>
      </c>
      <c r="P81" s="95">
        <f t="shared" si="52"/>
        <v>223.821</v>
      </c>
      <c r="Q81" s="99">
        <f t="shared" ca="1" si="52"/>
        <v>216.99402966614181</v>
      </c>
      <c r="R81" s="99">
        <f t="shared" ca="1" si="52"/>
        <v>208.05932128425462</v>
      </c>
      <c r="S81" s="99">
        <f t="shared" ca="1" si="52"/>
        <v>196.71337525971802</v>
      </c>
      <c r="T81" s="99">
        <f t="shared" ca="1" si="52"/>
        <v>182.61573200416595</v>
      </c>
      <c r="U81" s="99">
        <f t="shared" ca="1" si="52"/>
        <v>165.85828823844125</v>
      </c>
      <c r="V81" s="99">
        <f t="shared" ca="1" si="52"/>
        <v>146.21801716042881</v>
      </c>
      <c r="W81" s="99">
        <f t="shared" ca="1" si="52"/>
        <v>123.58066124464003</v>
      </c>
      <c r="X81" s="99">
        <f t="shared" ca="1" si="52"/>
        <v>97.824870388469861</v>
      </c>
      <c r="Y81" s="99">
        <f t="shared" ca="1" si="52"/>
        <v>68.801284311336076</v>
      </c>
      <c r="Z81" s="99">
        <f t="shared" ca="1" si="52"/>
        <v>36.361747687147329</v>
      </c>
    </row>
    <row r="82" spans="1:26" x14ac:dyDescent="0.25">
      <c r="A82" s="11" t="s">
        <v>746</v>
      </c>
      <c r="B82" s="11"/>
      <c r="C82" s="15"/>
      <c r="D82" s="94">
        <f t="shared" ref="D82:Z82" si="53">SUM(D$81,D$73)-D$76</f>
        <v>5.4320000000000022</v>
      </c>
      <c r="E82" s="94">
        <f t="shared" si="53"/>
        <v>35.71</v>
      </c>
      <c r="F82" s="94">
        <f t="shared" si="53"/>
        <v>35.921000000000021</v>
      </c>
      <c r="G82" s="94">
        <f t="shared" si="53"/>
        <v>61.849999999999952</v>
      </c>
      <c r="H82" s="94">
        <f t="shared" si="53"/>
        <v>71.367000000000004</v>
      </c>
      <c r="I82" s="94">
        <f t="shared" si="53"/>
        <v>82.19699999999996</v>
      </c>
      <c r="J82" s="94">
        <f t="shared" si="53"/>
        <v>88.718999999999966</v>
      </c>
      <c r="K82" s="94">
        <f t="shared" si="53"/>
        <v>91.091999999999956</v>
      </c>
      <c r="L82" s="95">
        <f t="shared" si="53"/>
        <v>105.75100000000005</v>
      </c>
      <c r="M82" s="95">
        <f t="shared" si="53"/>
        <v>111.97400000000002</v>
      </c>
      <c r="N82" s="95">
        <f t="shared" si="53"/>
        <v>111.51400000000007</v>
      </c>
      <c r="O82" s="95">
        <f t="shared" si="53"/>
        <v>105.58299999999998</v>
      </c>
      <c r="P82" s="95">
        <f t="shared" si="53"/>
        <v>95.298000000000002</v>
      </c>
      <c r="Q82" s="99">
        <f t="shared" ca="1" si="53"/>
        <v>80.571921803482411</v>
      </c>
      <c r="R82" s="99">
        <f t="shared" ca="1" si="53"/>
        <v>63.406475506700701</v>
      </c>
      <c r="S82" s="99">
        <f t="shared" ca="1" si="53"/>
        <v>43.495650426011423</v>
      </c>
      <c r="T82" s="99">
        <f t="shared" ca="1" si="53"/>
        <v>20.469624196269507</v>
      </c>
      <c r="U82" s="99">
        <f t="shared" ca="1" si="53"/>
        <v>-5.5453705140886314</v>
      </c>
      <c r="V82" s="99">
        <f t="shared" ca="1" si="53"/>
        <v>-34.830767341033976</v>
      </c>
      <c r="W82" s="99">
        <f t="shared" ca="1" si="53"/>
        <v>-67.594661234532964</v>
      </c>
      <c r="X82" s="99">
        <f t="shared" ca="1" si="53"/>
        <v>-104.05810960397234</v>
      </c>
      <c r="Y82" s="99">
        <f t="shared" ca="1" si="53"/>
        <v>-144.5041277049022</v>
      </c>
      <c r="Z82" s="99">
        <f t="shared" ca="1" si="53"/>
        <v>-189.20164064572697</v>
      </c>
    </row>
    <row r="83" spans="1:26" x14ac:dyDescent="0.25">
      <c r="A83" s="60" t="s">
        <v>1182</v>
      </c>
      <c r="B83" s="14" t="str">
        <f>$B$42</f>
        <v>Outturn &amp; Forecast only</v>
      </c>
      <c r="C83" s="15"/>
      <c r="D83" s="97" t="str">
        <f>IF(ROUND('Fiscal Forecasts'!D$158-D$82,3)=0,"OK","ERROR")</f>
        <v>OK</v>
      </c>
      <c r="E83" s="97" t="str">
        <f>IF(ROUND('Fiscal Forecasts'!E$158-E$82,3)=0,"OK","ERROR")</f>
        <v>OK</v>
      </c>
      <c r="F83" s="97" t="str">
        <f>IF(ROUND('Fiscal Forecasts'!F$158-F$82,3)=0,"OK","ERROR")</f>
        <v>OK</v>
      </c>
      <c r="G83" s="97" t="str">
        <f>IF(ROUND('Fiscal Forecasts'!G$158-G$82,3)=0,"OK","ERROR")</f>
        <v>OK</v>
      </c>
      <c r="H83" s="97" t="str">
        <f>IF(ROUND('Fiscal Forecasts'!H$158-H$82,3)=0,"OK","ERROR")</f>
        <v>OK</v>
      </c>
      <c r="I83" s="97" t="str">
        <f>IF(ROUND('Fiscal Forecasts'!I$158-I$82,3)=0,"OK","ERROR")</f>
        <v>OK</v>
      </c>
      <c r="J83" s="97" t="str">
        <f>IF(ROUND('Fiscal Forecasts'!J$158-J$82,3)=0,"OK","ERROR")</f>
        <v>OK</v>
      </c>
      <c r="K83" s="97" t="str">
        <f>IF(ROUND('Fiscal Forecasts'!K$158-K$82,3)=0,"OK","ERROR")</f>
        <v>OK</v>
      </c>
      <c r="L83" s="97" t="str">
        <f>IF(ROUND('Fiscal Forecasts'!L$158-L$82,3)=0,"OK","ERROR")</f>
        <v>OK</v>
      </c>
      <c r="M83" s="97" t="str">
        <f>IF(ROUND('Fiscal Forecasts'!M$158-M$82,3)=0,"OK","ERROR")</f>
        <v>OK</v>
      </c>
      <c r="N83" s="97" t="str">
        <f>IF(ROUND('Fiscal Forecasts'!N$158-N$82,3)=0,"OK","ERROR")</f>
        <v>OK</v>
      </c>
      <c r="O83" s="97" t="str">
        <f>IF(ROUND('Fiscal Forecasts'!O$158-O$82,3)=0,"OK","ERROR")</f>
        <v>OK</v>
      </c>
      <c r="P83" s="97" t="str">
        <f>IF(ROUND('Fiscal Forecasts'!P$158-P$82,3)=0,"OK","ERROR")</f>
        <v>OK</v>
      </c>
      <c r="Q83" s="17"/>
      <c r="R83" s="17"/>
      <c r="S83" s="17"/>
      <c r="T83" s="17"/>
      <c r="U83" s="17"/>
      <c r="V83" s="17"/>
      <c r="W83" s="17"/>
      <c r="X83" s="17"/>
      <c r="Y83" s="17"/>
      <c r="Z83" s="17"/>
    </row>
    <row r="84" spans="1:26" x14ac:dyDescent="0.25">
      <c r="A84" s="12" t="s">
        <v>1183</v>
      </c>
      <c r="B84" s="14" t="str">
        <f>$B$38</f>
        <v>From Fiscal Forecasts</v>
      </c>
      <c r="C84" s="15"/>
      <c r="D84" s="50">
        <f>'Fiscal Forecasts'!D$160</f>
        <v>6.4809999999999999</v>
      </c>
      <c r="E84" s="50">
        <f>'Fiscal Forecasts'!E$160</f>
        <v>21.887999999999998</v>
      </c>
      <c r="F84" s="50">
        <f>'Fiscal Forecasts'!F$160</f>
        <v>30.420999999999999</v>
      </c>
      <c r="G84" s="50">
        <f>'Fiscal Forecasts'!G$160</f>
        <v>45.088000000000001</v>
      </c>
      <c r="H84" s="50">
        <f>'Fiscal Forecasts'!H$160</f>
        <v>53.109000000000002</v>
      </c>
      <c r="I84" s="50">
        <f>'Fiscal Forecasts'!I$160</f>
        <v>38.475999999999999</v>
      </c>
      <c r="J84" s="50">
        <f>'Fiscal Forecasts'!J$160</f>
        <v>33.030999999999999</v>
      </c>
      <c r="K84" s="50">
        <f>'Fiscal Forecasts'!K$160</f>
        <v>25.481000000000002</v>
      </c>
      <c r="L84" s="48">
        <f>'Fiscal Forecasts'!L$160</f>
        <v>25.431000000000001</v>
      </c>
      <c r="M84" s="48">
        <f>'Fiscal Forecasts'!M$160</f>
        <v>25.486000000000001</v>
      </c>
      <c r="N84" s="48">
        <f>'Fiscal Forecasts'!N$160</f>
        <v>25.486000000000001</v>
      </c>
      <c r="O84" s="48">
        <f>'Fiscal Forecasts'!O$160</f>
        <v>25.486000000000001</v>
      </c>
      <c r="P84" s="48">
        <f>'Fiscal Forecasts'!P$160</f>
        <v>25.486000000000001</v>
      </c>
      <c r="Q84" s="20">
        <f t="shared" ref="Q84:Z84" ca="1" si="54">P$84*(1+Q$29)</f>
        <v>25.995720000000002</v>
      </c>
      <c r="R84" s="20">
        <f t="shared" ca="1" si="54"/>
        <v>26.515634400000003</v>
      </c>
      <c r="S84" s="20">
        <f t="shared" ca="1" si="54"/>
        <v>27.045947088000005</v>
      </c>
      <c r="T84" s="20">
        <f t="shared" ca="1" si="54"/>
        <v>27.586866029760007</v>
      </c>
      <c r="U84" s="20">
        <f t="shared" ca="1" si="54"/>
        <v>28.138603350355208</v>
      </c>
      <c r="V84" s="20">
        <f t="shared" ca="1" si="54"/>
        <v>28.701375417362314</v>
      </c>
      <c r="W84" s="20">
        <f t="shared" ca="1" si="54"/>
        <v>29.27540292570956</v>
      </c>
      <c r="X84" s="20">
        <f t="shared" ca="1" si="54"/>
        <v>29.860910984223754</v>
      </c>
      <c r="Y84" s="20">
        <f t="shared" ca="1" si="54"/>
        <v>30.458129203908229</v>
      </c>
      <c r="Z84" s="20">
        <f t="shared" ca="1" si="54"/>
        <v>31.067291787986395</v>
      </c>
    </row>
    <row r="85" spans="1:26" x14ac:dyDescent="0.25">
      <c r="A85" s="60" t="s">
        <v>756</v>
      </c>
      <c r="B85" s="11"/>
      <c r="C85" s="15"/>
      <c r="D85" s="94">
        <f t="shared" ref="D85:Z85" si="55">SUM(D$71,D$72)-SUM(D$73,D$84)</f>
        <v>84.37700000000001</v>
      </c>
      <c r="E85" s="94">
        <f t="shared" si="55"/>
        <v>101.833</v>
      </c>
      <c r="F85" s="94">
        <f t="shared" si="55"/>
        <v>99.925999999999988</v>
      </c>
      <c r="G85" s="94">
        <f t="shared" si="55"/>
        <v>114.11599999999999</v>
      </c>
      <c r="H85" s="94">
        <f t="shared" si="55"/>
        <v>135.78899999999999</v>
      </c>
      <c r="I85" s="94">
        <f t="shared" si="55"/>
        <v>175.96600000000001</v>
      </c>
      <c r="J85" s="94">
        <f t="shared" si="55"/>
        <v>203.68800000000005</v>
      </c>
      <c r="K85" s="94">
        <f t="shared" si="55"/>
        <v>227.44799999999998</v>
      </c>
      <c r="L85" s="95">
        <f t="shared" si="55"/>
        <v>243.42500000000001</v>
      </c>
      <c r="M85" s="95">
        <f t="shared" si="55"/>
        <v>259.41199999999998</v>
      </c>
      <c r="N85" s="95">
        <f t="shared" si="55"/>
        <v>269.81900000000002</v>
      </c>
      <c r="O85" s="95">
        <f t="shared" si="55"/>
        <v>273.17700000000002</v>
      </c>
      <c r="P85" s="95">
        <f t="shared" si="55"/>
        <v>269.01900000000001</v>
      </c>
      <c r="Q85" s="99">
        <f t="shared" ca="1" si="55"/>
        <v>265.00245853551655</v>
      </c>
      <c r="R85" s="99">
        <f t="shared" ca="1" si="55"/>
        <v>258.93140723818107</v>
      </c>
      <c r="S85" s="99">
        <f t="shared" ca="1" si="55"/>
        <v>250.52092574765936</v>
      </c>
      <c r="T85" s="99">
        <f t="shared" ca="1" si="55"/>
        <v>239.41872231636225</v>
      </c>
      <c r="U85" s="99">
        <f t="shared" ca="1" si="55"/>
        <v>225.75242825087358</v>
      </c>
      <c r="V85" s="99">
        <f t="shared" ca="1" si="55"/>
        <v>209.30612528210992</v>
      </c>
      <c r="W85" s="99">
        <f t="shared" ca="1" si="55"/>
        <v>189.94740748507704</v>
      </c>
      <c r="X85" s="99">
        <f t="shared" ca="1" si="55"/>
        <v>167.56642019774506</v>
      </c>
      <c r="Y85" s="99">
        <f t="shared" ca="1" si="55"/>
        <v>142.038519563064</v>
      </c>
      <c r="Z85" s="99">
        <f t="shared" ca="1" si="55"/>
        <v>113.21646043135625</v>
      </c>
    </row>
    <row r="86" spans="1:26" x14ac:dyDescent="0.25">
      <c r="A86" s="11"/>
      <c r="B86" s="11"/>
      <c r="C86" s="15"/>
      <c r="D86" s="89"/>
      <c r="E86" s="89"/>
      <c r="F86" s="89"/>
      <c r="G86" s="89"/>
      <c r="H86" s="89"/>
      <c r="I86" s="89"/>
      <c r="J86" s="89"/>
      <c r="K86" s="89"/>
      <c r="L86" s="66"/>
      <c r="M86" s="66"/>
      <c r="N86" s="66"/>
      <c r="O86" s="66"/>
      <c r="P86" s="66"/>
      <c r="Q86" s="17"/>
      <c r="R86" s="17"/>
      <c r="S86" s="17"/>
      <c r="T86" s="17"/>
      <c r="U86" s="17"/>
      <c r="V86" s="17"/>
      <c r="W86" s="17"/>
      <c r="X86" s="17"/>
      <c r="Y86" s="17"/>
      <c r="Z86" s="17"/>
    </row>
    <row r="87" spans="1:26" x14ac:dyDescent="0.25">
      <c r="A87" s="57" t="s">
        <v>1184</v>
      </c>
      <c r="B87" s="11"/>
      <c r="C87" s="15"/>
      <c r="D87" s="89"/>
      <c r="E87" s="89"/>
      <c r="F87" s="89"/>
      <c r="G87" s="89"/>
      <c r="H87" s="89"/>
      <c r="I87" s="89"/>
      <c r="J87" s="89"/>
      <c r="K87" s="89"/>
      <c r="L87" s="66"/>
      <c r="M87" s="66"/>
      <c r="N87" s="66"/>
      <c r="O87" s="66"/>
      <c r="P87" s="66"/>
      <c r="Q87" s="17"/>
      <c r="R87" s="17"/>
      <c r="S87" s="17"/>
      <c r="T87" s="17"/>
      <c r="U87" s="17"/>
      <c r="V87" s="17"/>
      <c r="W87" s="17"/>
      <c r="X87" s="17"/>
      <c r="Y87" s="17"/>
      <c r="Z87" s="17"/>
    </row>
    <row r="88" spans="1:26" x14ac:dyDescent="0.25">
      <c r="A88" s="12" t="s">
        <v>898</v>
      </c>
      <c r="B88" s="14" t="str">
        <f>$B$38</f>
        <v>From Fiscal Forecasts</v>
      </c>
      <c r="C88" s="15"/>
      <c r="D88" s="50">
        <f>'Fiscal Forecasts'!D$74</f>
        <v>83.016999999999996</v>
      </c>
      <c r="E88" s="50">
        <f>'Fiscal Forecasts'!E$74</f>
        <v>83.156000000000006</v>
      </c>
      <c r="F88" s="50">
        <f>'Fiscal Forecasts'!F$74</f>
        <v>95.382000000000005</v>
      </c>
      <c r="G88" s="50">
        <f>'Fiscal Forecasts'!G$74</f>
        <v>102.712</v>
      </c>
      <c r="H88" s="50">
        <f>'Fiscal Forecasts'!H$74</f>
        <v>110.78700000000001</v>
      </c>
      <c r="I88" s="50">
        <f>'Fiscal Forecasts'!I$74</f>
        <v>116.042</v>
      </c>
      <c r="J88" s="50">
        <f>'Fiscal Forecasts'!J$74</f>
        <v>121.18300000000001</v>
      </c>
      <c r="K88" s="50">
        <f>'Fiscal Forecasts'!K$74</f>
        <v>125.98</v>
      </c>
      <c r="L88" s="48">
        <f>'Fiscal Forecasts'!L$74</f>
        <v>131.61600000000001</v>
      </c>
      <c r="M88" s="48">
        <f>'Fiscal Forecasts'!M$74</f>
        <v>141.738</v>
      </c>
      <c r="N88" s="48">
        <f>'Fiscal Forecasts'!N$74</f>
        <v>150.571</v>
      </c>
      <c r="O88" s="48">
        <f>'Fiscal Forecasts'!O$74</f>
        <v>158.84200000000001</v>
      </c>
      <c r="P88" s="48">
        <f>'Fiscal Forecasts'!P$74</f>
        <v>166.84700000000001</v>
      </c>
      <c r="Q88" s="20">
        <f t="shared" ref="Q88:Z88" ca="1" si="56">(Q$474-Q$376+Q$141)</f>
        <v>173.12924827330647</v>
      </c>
      <c r="R88" s="20">
        <f t="shared" ca="1" si="56"/>
        <v>179.87658384902355</v>
      </c>
      <c r="S88" s="20">
        <f t="shared" ca="1" si="56"/>
        <v>186.93968271308654</v>
      </c>
      <c r="T88" s="20">
        <f t="shared" ca="1" si="56"/>
        <v>194.48022028808353</v>
      </c>
      <c r="U88" s="20">
        <f t="shared" ca="1" si="56"/>
        <v>202.40086439859792</v>
      </c>
      <c r="V88" s="20">
        <f t="shared" ca="1" si="56"/>
        <v>210.60135909016944</v>
      </c>
      <c r="W88" s="20">
        <f t="shared" ca="1" si="56"/>
        <v>219.03236087758137</v>
      </c>
      <c r="X88" s="20">
        <f t="shared" ca="1" si="56"/>
        <v>227.70423383533904</v>
      </c>
      <c r="Y88" s="20">
        <f t="shared" ca="1" si="56"/>
        <v>236.65984219626057</v>
      </c>
      <c r="Z88" s="20">
        <f t="shared" ca="1" si="56"/>
        <v>245.90537005603386</v>
      </c>
    </row>
    <row r="89" spans="1:26" x14ac:dyDescent="0.25">
      <c r="A89" s="12" t="s">
        <v>899</v>
      </c>
      <c r="B89" s="14" t="str">
        <f>$B$38</f>
        <v>From Fiscal Forecasts</v>
      </c>
      <c r="C89" s="15"/>
      <c r="D89" s="50">
        <f>'Fiscal Forecasts'!D$75</f>
        <v>5.1870000000000003</v>
      </c>
      <c r="E89" s="50">
        <f>'Fiscal Forecasts'!E$75</f>
        <v>5.2939999999999996</v>
      </c>
      <c r="F89" s="50">
        <f>'Fiscal Forecasts'!F$75</f>
        <v>6.4240000000000004</v>
      </c>
      <c r="G89" s="50">
        <f>'Fiscal Forecasts'!G$75</f>
        <v>7.8029999999999999</v>
      </c>
      <c r="H89" s="50">
        <f>'Fiscal Forecasts'!H$75</f>
        <v>7.6310000000000002</v>
      </c>
      <c r="I89" s="50">
        <f>'Fiscal Forecasts'!I$75</f>
        <v>7.484</v>
      </c>
      <c r="J89" s="50">
        <f>'Fiscal Forecasts'!J$75</f>
        <v>7.8780000000000001</v>
      </c>
      <c r="K89" s="50">
        <f>'Fiscal Forecasts'!K$75</f>
        <v>8.1029999999999998</v>
      </c>
      <c r="L89" s="48">
        <f>'Fiscal Forecasts'!L$75</f>
        <v>8.9359999999999999</v>
      </c>
      <c r="M89" s="48">
        <f>'Fiscal Forecasts'!M$75</f>
        <v>9.6539999999999999</v>
      </c>
      <c r="N89" s="48">
        <f>'Fiscal Forecasts'!N$75</f>
        <v>9.6620000000000008</v>
      </c>
      <c r="O89" s="48">
        <f>'Fiscal Forecasts'!O$75</f>
        <v>10.074999999999999</v>
      </c>
      <c r="P89" s="48">
        <f>'Fiscal Forecasts'!P$75</f>
        <v>10.387</v>
      </c>
      <c r="Q89" s="20">
        <f t="shared" ref="Q89:Z89" ca="1" si="57">SUM(Q$146,Q$148,Q$149,Q$151)</f>
        <v>11.553297982949124</v>
      </c>
      <c r="R89" s="20">
        <f t="shared" ca="1" si="57"/>
        <v>12.239646305928749</v>
      </c>
      <c r="S89" s="20">
        <f t="shared" ca="1" si="57"/>
        <v>12.945963547810056</v>
      </c>
      <c r="T89" s="20">
        <f t="shared" ca="1" si="57"/>
        <v>13.705976175203949</v>
      </c>
      <c r="U89" s="20">
        <f t="shared" ca="1" si="57"/>
        <v>14.450717265864155</v>
      </c>
      <c r="V89" s="20">
        <f t="shared" ca="1" si="57"/>
        <v>14.981290288306871</v>
      </c>
      <c r="W89" s="20">
        <f t="shared" ca="1" si="57"/>
        <v>15.526545436507883</v>
      </c>
      <c r="X89" s="20">
        <f t="shared" ca="1" si="57"/>
        <v>16.065095306135394</v>
      </c>
      <c r="Y89" s="20">
        <f t="shared" ca="1" si="57"/>
        <v>16.624191877468292</v>
      </c>
      <c r="Z89" s="20">
        <f t="shared" ca="1" si="57"/>
        <v>17.190423328909425</v>
      </c>
    </row>
    <row r="90" spans="1:26" x14ac:dyDescent="0.25">
      <c r="A90" s="12" t="s">
        <v>866</v>
      </c>
      <c r="B90" s="14" t="str">
        <f>$B$38</f>
        <v>From Fiscal Forecasts</v>
      </c>
      <c r="C90" s="15"/>
      <c r="D90" s="50">
        <f>'Fiscal Forecasts'!D$76</f>
        <v>19.763999999999999</v>
      </c>
      <c r="E90" s="50">
        <f>'Fiscal Forecasts'!E$76</f>
        <v>18.289000000000001</v>
      </c>
      <c r="F90" s="50">
        <f>'Fiscal Forecasts'!F$76</f>
        <v>17.731999999999999</v>
      </c>
      <c r="G90" s="50">
        <f>'Fiscal Forecasts'!G$76</f>
        <v>17.834</v>
      </c>
      <c r="H90" s="50">
        <f>'Fiscal Forecasts'!H$76</f>
        <v>22.283999999999999</v>
      </c>
      <c r="I90" s="50">
        <f>'Fiscal Forecasts'!I$76</f>
        <v>24.359000000000002</v>
      </c>
      <c r="J90" s="50">
        <f>'Fiscal Forecasts'!J$76</f>
        <v>26.960999999999999</v>
      </c>
      <c r="K90" s="50">
        <f>'Fiscal Forecasts'!K$76</f>
        <v>25.895</v>
      </c>
      <c r="L90" s="48">
        <f>'Fiscal Forecasts'!L$76</f>
        <v>26.574000000000002</v>
      </c>
      <c r="M90" s="48">
        <f>'Fiscal Forecasts'!M$76</f>
        <v>27.469000000000001</v>
      </c>
      <c r="N90" s="48">
        <f>'Fiscal Forecasts'!N$76</f>
        <v>28.12</v>
      </c>
      <c r="O90" s="48">
        <f>'Fiscal Forecasts'!O$76</f>
        <v>29.117000000000001</v>
      </c>
      <c r="P90" s="48">
        <f>'Fiscal Forecasts'!P$76</f>
        <v>29.824999999999999</v>
      </c>
      <c r="Q90" s="20">
        <f t="shared" ref="Q90:Z90" ca="1" si="58">Q$155</f>
        <v>31.082278581469399</v>
      </c>
      <c r="R90" s="20">
        <f t="shared" ca="1" si="58"/>
        <v>32.373817990717384</v>
      </c>
      <c r="S90" s="20">
        <f t="shared" ca="1" si="58"/>
        <v>33.699088373795036</v>
      </c>
      <c r="T90" s="20">
        <f t="shared" ca="1" si="58"/>
        <v>35.054248490549547</v>
      </c>
      <c r="U90" s="20">
        <f t="shared" ca="1" si="58"/>
        <v>36.456020529544169</v>
      </c>
      <c r="V90" s="20">
        <f t="shared" ca="1" si="58"/>
        <v>37.903940016000107</v>
      </c>
      <c r="W90" s="20">
        <f t="shared" ca="1" si="58"/>
        <v>39.388475508708048</v>
      </c>
      <c r="X90" s="20">
        <f t="shared" ca="1" si="58"/>
        <v>40.914908229707805</v>
      </c>
      <c r="Y90" s="20">
        <f t="shared" ca="1" si="58"/>
        <v>42.491722468210163</v>
      </c>
      <c r="Z90" s="20">
        <f t="shared" ca="1" si="58"/>
        <v>44.118425353902772</v>
      </c>
    </row>
    <row r="91" spans="1:26" x14ac:dyDescent="0.25">
      <c r="A91" s="12" t="s">
        <v>900</v>
      </c>
      <c r="B91" s="14" t="str">
        <f>$B$38</f>
        <v>From Fiscal Forecasts</v>
      </c>
      <c r="C91" s="15"/>
      <c r="D91" s="50">
        <f>'Fiscal Forecasts'!D$77</f>
        <v>2.528</v>
      </c>
      <c r="E91" s="50">
        <f>'Fiscal Forecasts'!E$77</f>
        <v>2.3069999999999999</v>
      </c>
      <c r="F91" s="50">
        <f>'Fiscal Forecasts'!F$77</f>
        <v>1.67</v>
      </c>
      <c r="G91" s="50">
        <f>'Fiscal Forecasts'!G$77</f>
        <v>1.9610000000000001</v>
      </c>
      <c r="H91" s="50">
        <f>'Fiscal Forecasts'!H$77</f>
        <v>3.6110000000000002</v>
      </c>
      <c r="I91" s="50">
        <f>'Fiscal Forecasts'!I$77</f>
        <v>5.2830000000000004</v>
      </c>
      <c r="J91" s="50">
        <f>'Fiscal Forecasts'!J$77</f>
        <v>6.7910000000000004</v>
      </c>
      <c r="K91" s="50">
        <f>'Fiscal Forecasts'!K$77</f>
        <v>5.9459999999999997</v>
      </c>
      <c r="L91" s="48">
        <f>'Fiscal Forecasts'!L$77</f>
        <v>4.7480000000000002</v>
      </c>
      <c r="M91" s="48">
        <f>'Fiscal Forecasts'!M$77</f>
        <v>4.3109999999999999</v>
      </c>
      <c r="N91" s="48">
        <f>'Fiscal Forecasts'!N$77</f>
        <v>5.5739999999999998</v>
      </c>
      <c r="O91" s="48">
        <f>'Fiscal Forecasts'!O$77</f>
        <v>6.4790000000000001</v>
      </c>
      <c r="P91" s="48">
        <f>'Fiscal Forecasts'!P$77</f>
        <v>6.8319999999999999</v>
      </c>
      <c r="Q91" s="20">
        <f t="shared" ref="Q91:Z91" ca="1" si="59">SUM(Q$158,Q$160,Q$162:Q$164,Q$332)</f>
        <v>9.0313078971293805</v>
      </c>
      <c r="R91" s="20">
        <f t="shared" ca="1" si="59"/>
        <v>9.3217973383930968</v>
      </c>
      <c r="S91" s="20">
        <f t="shared" ca="1" si="59"/>
        <v>9.6237360051553971</v>
      </c>
      <c r="T91" s="20">
        <f t="shared" ca="1" si="59"/>
        <v>9.9372262172041985</v>
      </c>
      <c r="U91" s="20">
        <f t="shared" ca="1" si="59"/>
        <v>10.261797117490062</v>
      </c>
      <c r="V91" s="20">
        <f t="shared" ca="1" si="59"/>
        <v>10.597302664144683</v>
      </c>
      <c r="W91" s="20">
        <f t="shared" ca="1" si="59"/>
        <v>10.944545930260386</v>
      </c>
      <c r="X91" s="20">
        <f t="shared" ca="1" si="59"/>
        <v>11.304537707368532</v>
      </c>
      <c r="Y91" s="20">
        <f t="shared" ca="1" si="59"/>
        <v>11.678424891753615</v>
      </c>
      <c r="Z91" s="20">
        <f t="shared" ca="1" si="59"/>
        <v>12.067456655131869</v>
      </c>
    </row>
    <row r="92" spans="1:26" x14ac:dyDescent="0.25">
      <c r="A92" s="12" t="s">
        <v>901</v>
      </c>
      <c r="B92" s="14" t="str">
        <f>$B$38</f>
        <v>From Fiscal Forecasts</v>
      </c>
      <c r="C92" s="15"/>
      <c r="D92" s="50">
        <f>'Fiscal Forecasts'!D$78</f>
        <v>4.5629999999999997</v>
      </c>
      <c r="E92" s="50">
        <f>'Fiscal Forecasts'!E$78</f>
        <v>4.5439999999999996</v>
      </c>
      <c r="F92" s="50">
        <f>'Fiscal Forecasts'!F$78</f>
        <v>4.8140000000000001</v>
      </c>
      <c r="G92" s="50">
        <f>'Fiscal Forecasts'!G$78</f>
        <v>4.8019999999999996</v>
      </c>
      <c r="H92" s="50">
        <f>'Fiscal Forecasts'!H$78</f>
        <v>4.9219999999999997</v>
      </c>
      <c r="I92" s="50">
        <f>'Fiscal Forecasts'!I$78</f>
        <v>6.5350000000000001</v>
      </c>
      <c r="J92" s="50">
        <f>'Fiscal Forecasts'!J$78</f>
        <v>6.3719999999999999</v>
      </c>
      <c r="K92" s="50">
        <f>'Fiscal Forecasts'!K$78</f>
        <v>6.8550000000000004</v>
      </c>
      <c r="L92" s="48">
        <f>'Fiscal Forecasts'!L$78</f>
        <v>6.1289999999999996</v>
      </c>
      <c r="M92" s="48">
        <f>'Fiscal Forecasts'!M$78</f>
        <v>6.391</v>
      </c>
      <c r="N92" s="48">
        <f>'Fiscal Forecasts'!N$78</f>
        <v>6.7439999999999998</v>
      </c>
      <c r="O92" s="48">
        <f>'Fiscal Forecasts'!O$78</f>
        <v>6.9459999999999997</v>
      </c>
      <c r="P92" s="48">
        <f>'Fiscal Forecasts'!P$78</f>
        <v>7.1710000000000003</v>
      </c>
      <c r="Q92" s="20">
        <f t="shared" ref="Q92:Z92" ca="1" si="60">SUM(Q$173,Q$179)</f>
        <v>6.2386657328832156</v>
      </c>
      <c r="R92" s="20">
        <f t="shared" ca="1" si="60"/>
        <v>6.4296172485272338</v>
      </c>
      <c r="S92" s="20">
        <f t="shared" ca="1" si="60"/>
        <v>6.6254937147702204</v>
      </c>
      <c r="T92" s="20">
        <f t="shared" ca="1" si="60"/>
        <v>6.8258953983238175</v>
      </c>
      <c r="U92" s="20">
        <f t="shared" ca="1" si="60"/>
        <v>7.0320132210654762</v>
      </c>
      <c r="V92" s="20">
        <f t="shared" ca="1" si="60"/>
        <v>7.2434477304002591</v>
      </c>
      <c r="W92" s="20">
        <f t="shared" ca="1" si="60"/>
        <v>7.4592953303120204</v>
      </c>
      <c r="X92" s="20">
        <f t="shared" ca="1" si="60"/>
        <v>7.6822973328835165</v>
      </c>
      <c r="Y92" s="20">
        <f t="shared" ca="1" si="60"/>
        <v>7.914256210504341</v>
      </c>
      <c r="Z92" s="20">
        <f t="shared" ca="1" si="60"/>
        <v>8.1559397082187939</v>
      </c>
    </row>
    <row r="93" spans="1:26" x14ac:dyDescent="0.25">
      <c r="A93" s="11" t="s">
        <v>902</v>
      </c>
      <c r="B93" s="11"/>
      <c r="C93" s="15"/>
      <c r="D93" s="94">
        <f t="shared" ref="D93:Z93" si="61">SUM(D$88:D$92)</f>
        <v>115.059</v>
      </c>
      <c r="E93" s="94">
        <f t="shared" si="61"/>
        <v>113.59</v>
      </c>
      <c r="F93" s="94">
        <f t="shared" si="61"/>
        <v>126.02200000000002</v>
      </c>
      <c r="G93" s="94">
        <f t="shared" si="61"/>
        <v>135.11199999999999</v>
      </c>
      <c r="H93" s="94">
        <f t="shared" si="61"/>
        <v>149.23499999999999</v>
      </c>
      <c r="I93" s="94">
        <f t="shared" si="61"/>
        <v>159.70299999999997</v>
      </c>
      <c r="J93" s="94">
        <f t="shared" si="61"/>
        <v>169.185</v>
      </c>
      <c r="K93" s="94">
        <f t="shared" si="61"/>
        <v>172.779</v>
      </c>
      <c r="L93" s="95">
        <f t="shared" si="61"/>
        <v>178.00300000000001</v>
      </c>
      <c r="M93" s="95">
        <f t="shared" si="61"/>
        <v>189.56299999999999</v>
      </c>
      <c r="N93" s="95">
        <f t="shared" si="61"/>
        <v>200.67100000000002</v>
      </c>
      <c r="O93" s="95">
        <f t="shared" si="61"/>
        <v>211.459</v>
      </c>
      <c r="P93" s="95">
        <f t="shared" si="61"/>
        <v>221.06199999999998</v>
      </c>
      <c r="Q93" s="99">
        <f t="shared" ca="1" si="61"/>
        <v>231.0347984677376</v>
      </c>
      <c r="R93" s="99">
        <f t="shared" ca="1" si="61"/>
        <v>240.24146273258998</v>
      </c>
      <c r="S93" s="99">
        <f t="shared" ca="1" si="61"/>
        <v>249.83396435461725</v>
      </c>
      <c r="T93" s="99">
        <f t="shared" ca="1" si="61"/>
        <v>260.00356656936503</v>
      </c>
      <c r="U93" s="99">
        <f t="shared" ca="1" si="61"/>
        <v>270.60141253256177</v>
      </c>
      <c r="V93" s="99">
        <f t="shared" ca="1" si="61"/>
        <v>281.32733978902138</v>
      </c>
      <c r="W93" s="99">
        <f t="shared" ca="1" si="61"/>
        <v>292.35122308336975</v>
      </c>
      <c r="X93" s="99">
        <f t="shared" ca="1" si="61"/>
        <v>303.6710724114343</v>
      </c>
      <c r="Y93" s="99">
        <f t="shared" ca="1" si="61"/>
        <v>315.36843764419694</v>
      </c>
      <c r="Z93" s="99">
        <f t="shared" ca="1" si="61"/>
        <v>327.43761510219673</v>
      </c>
    </row>
    <row r="94" spans="1:26" x14ac:dyDescent="0.25">
      <c r="A94" s="12" t="s">
        <v>870</v>
      </c>
      <c r="B94" s="14" t="str">
        <f>$B$38</f>
        <v>From Fiscal Forecasts</v>
      </c>
      <c r="C94" s="15"/>
      <c r="D94" s="50">
        <f>'Fiscal Forecasts'!D$80</f>
        <v>27.981999999999999</v>
      </c>
      <c r="E94" s="50">
        <f>'Fiscal Forecasts'!E$80</f>
        <v>42.945</v>
      </c>
      <c r="F94" s="50">
        <f>'Fiscal Forecasts'!F$80</f>
        <v>35.515000000000001</v>
      </c>
      <c r="G94" s="50">
        <f>'Fiscal Forecasts'!G$80</f>
        <v>44.273000000000003</v>
      </c>
      <c r="H94" s="50">
        <f>'Fiscal Forecasts'!H$80</f>
        <v>39.17</v>
      </c>
      <c r="I94" s="50">
        <f>'Fiscal Forecasts'!I$80</f>
        <v>42.335000000000001</v>
      </c>
      <c r="J94" s="50">
        <f>'Fiscal Forecasts'!J$80</f>
        <v>45.927999999999997</v>
      </c>
      <c r="K94" s="50">
        <f>'Fiscal Forecasts'!K$80</f>
        <v>47.884</v>
      </c>
      <c r="L94" s="48">
        <f>'Fiscal Forecasts'!L$80</f>
        <v>50.165999999999997</v>
      </c>
      <c r="M94" s="48">
        <f>'Fiscal Forecasts'!M$80</f>
        <v>51.54</v>
      </c>
      <c r="N94" s="48">
        <f>'Fiscal Forecasts'!N$80</f>
        <v>52.911999999999999</v>
      </c>
      <c r="O94" s="48">
        <f>'Fiscal Forecasts'!O$80</f>
        <v>54.81</v>
      </c>
      <c r="P94" s="48">
        <f>'Fiscal Forecasts'!P$80</f>
        <v>57.018000000000001</v>
      </c>
      <c r="Q94" s="20">
        <f t="shared" ref="Q94:Z94" ca="1" si="62">Q$194</f>
        <v>59.10456213375442</v>
      </c>
      <c r="R94" s="20">
        <f t="shared" ca="1" si="62"/>
        <v>61.74023700058391</v>
      </c>
      <c r="S94" s="20">
        <f t="shared" ca="1" si="62"/>
        <v>64.469799952134792</v>
      </c>
      <c r="T94" s="20">
        <f t="shared" ca="1" si="62"/>
        <v>67.280230577711919</v>
      </c>
      <c r="U94" s="20">
        <f t="shared" ca="1" si="62"/>
        <v>70.249267855938541</v>
      </c>
      <c r="V94" s="20">
        <f t="shared" ca="1" si="62"/>
        <v>73.285258596479949</v>
      </c>
      <c r="W94" s="20">
        <f t="shared" ca="1" si="62"/>
        <v>76.330855742633858</v>
      </c>
      <c r="X94" s="20">
        <f t="shared" ca="1" si="62"/>
        <v>79.398091511624841</v>
      </c>
      <c r="Y94" s="20">
        <f t="shared" ca="1" si="62"/>
        <v>82.473442912902243</v>
      </c>
      <c r="Z94" s="20">
        <f t="shared" ca="1" si="62"/>
        <v>85.578471046868486</v>
      </c>
    </row>
    <row r="95" spans="1:26" x14ac:dyDescent="0.25">
      <c r="A95" s="12" t="s">
        <v>903</v>
      </c>
      <c r="B95" s="14" t="str">
        <f>$B$38</f>
        <v>From Fiscal Forecasts</v>
      </c>
      <c r="C95" s="15"/>
      <c r="D95" s="50">
        <f>'Fiscal Forecasts'!D$81</f>
        <v>72.078999999999994</v>
      </c>
      <c r="E95" s="50">
        <f>'Fiscal Forecasts'!E$81</f>
        <v>77.191999999999993</v>
      </c>
      <c r="F95" s="50">
        <f>'Fiscal Forecasts'!F$81</f>
        <v>84.256</v>
      </c>
      <c r="G95" s="50">
        <f>'Fiscal Forecasts'!G$81</f>
        <v>92.965000000000003</v>
      </c>
      <c r="H95" s="50">
        <f>'Fiscal Forecasts'!H$81</f>
        <v>99.414000000000001</v>
      </c>
      <c r="I95" s="50">
        <f>'Fiscal Forecasts'!I$81</f>
        <v>111.095</v>
      </c>
      <c r="J95" s="50">
        <f>'Fiscal Forecasts'!J$81</f>
        <v>113.733</v>
      </c>
      <c r="K95" s="50">
        <f>'Fiscal Forecasts'!K$81</f>
        <v>114.075</v>
      </c>
      <c r="L95" s="48">
        <f ca="1">'Fiscal Forecasts'!L$81+IF(OFFSET(Assumptions!$B$57,0,$C$1)="Yes",SUM(Allocation!C$10:C$20),0)</f>
        <v>123.211</v>
      </c>
      <c r="M95" s="48">
        <f ca="1">'Fiscal Forecasts'!M$81+IF(OFFSET(Assumptions!$B$57,0,$C$1)="Yes",SUM(Allocation!D$10:D$20),0)</f>
        <v>117.145</v>
      </c>
      <c r="N95" s="48">
        <f ca="1">'Fiscal Forecasts'!N$81+IF(OFFSET(Assumptions!$B$57,0,$C$1)="Yes",SUM(Allocation!E$10:E$20),0)</f>
        <v>116.874</v>
      </c>
      <c r="O95" s="48">
        <f ca="1">'Fiscal Forecasts'!O$81+IF(OFFSET(Assumptions!$B$57,0,$C$1)="Yes",SUM(Allocation!F$10:F$20),0)</f>
        <v>116.79900000000001</v>
      </c>
      <c r="P95" s="48">
        <f ca="1">'Fiscal Forecasts'!P$81+IF(OFFSET(Assumptions!$B$57,0,$C$1)="Yes",SUM(Allocation!G$10:G$20),0)</f>
        <v>117.83199999999999</v>
      </c>
      <c r="Q95" s="20">
        <f t="shared" ref="Q95:Z95" ca="1" si="63">SUM(Q$212,Q$227,Q$241)-SUM(Q$115,Q$263,Q$273,Q$313,Q$460-P$460,Q$465-P$465)</f>
        <v>117.84480155341555</v>
      </c>
      <c r="R95" s="20">
        <f t="shared" ca="1" si="63"/>
        <v>119.12102407148201</v>
      </c>
      <c r="S95" s="20">
        <f t="shared" ca="1" si="63"/>
        <v>120.46211317659296</v>
      </c>
      <c r="T95" s="20">
        <f t="shared" ca="1" si="63"/>
        <v>121.88159120321032</v>
      </c>
      <c r="U95" s="20">
        <f t="shared" ca="1" si="63"/>
        <v>123.47081537507118</v>
      </c>
      <c r="V95" s="20">
        <f t="shared" ca="1" si="63"/>
        <v>125.24208389590791</v>
      </c>
      <c r="W95" s="20">
        <f t="shared" ca="1" si="63"/>
        <v>127.10564420880542</v>
      </c>
      <c r="X95" s="20">
        <f t="shared" ca="1" si="63"/>
        <v>129.06452104843243</v>
      </c>
      <c r="Y95" s="20">
        <f t="shared" ca="1" si="63"/>
        <v>131.00935501958853</v>
      </c>
      <c r="Z95" s="20">
        <f t="shared" ca="1" si="63"/>
        <v>133.10467403623116</v>
      </c>
    </row>
    <row r="96" spans="1:26" x14ac:dyDescent="0.25">
      <c r="A96" s="12" t="s">
        <v>904</v>
      </c>
      <c r="B96" s="14" t="str">
        <f>$B$38</f>
        <v>From Fiscal Forecasts</v>
      </c>
      <c r="C96" s="15"/>
      <c r="D96" s="50">
        <f>'Fiscal Forecasts'!D$82</f>
        <v>4.0250000000000004</v>
      </c>
      <c r="E96" s="50">
        <f>'Fiscal Forecasts'!E$82</f>
        <v>3.8490000000000002</v>
      </c>
      <c r="F96" s="50">
        <f>'Fiscal Forecasts'!F$82</f>
        <v>3.1469999999999998</v>
      </c>
      <c r="G96" s="50">
        <f>'Fiscal Forecasts'!G$82</f>
        <v>3.2509999999999999</v>
      </c>
      <c r="H96" s="50">
        <f>'Fiscal Forecasts'!H$82</f>
        <v>6.1260000000000003</v>
      </c>
      <c r="I96" s="50">
        <f>'Fiscal Forecasts'!I$82</f>
        <v>8.5790000000000006</v>
      </c>
      <c r="J96" s="50">
        <f>'Fiscal Forecasts'!J$82</f>
        <v>8.8249999999999993</v>
      </c>
      <c r="K96" s="50">
        <f>'Fiscal Forecasts'!K$82</f>
        <v>8.2880000000000003</v>
      </c>
      <c r="L96" s="48">
        <f>'Fiscal Forecasts'!L$82</f>
        <v>9.7680000000000007</v>
      </c>
      <c r="M96" s="48">
        <f>'Fiscal Forecasts'!M$82</f>
        <v>11.063000000000001</v>
      </c>
      <c r="N96" s="48">
        <f>'Fiscal Forecasts'!N$82</f>
        <v>12.731</v>
      </c>
      <c r="O96" s="48">
        <f>'Fiscal Forecasts'!O$82</f>
        <v>13.933</v>
      </c>
      <c r="P96" s="48">
        <f>'Fiscal Forecasts'!P$82</f>
        <v>14.291</v>
      </c>
      <c r="Q96" s="20">
        <f t="shared" ref="Q96:Z96" ca="1" si="64">(2*P$70-SUM(Q$93,Q$106,Q$107)+SUM(Q$94,Q$95,Q$97,Q$109,Q$347-P$347))/(2/Q$235-1)</f>
        <v>16.725327008184031</v>
      </c>
      <c r="R96" s="20">
        <f t="shared" ca="1" si="64"/>
        <v>16.86573956677519</v>
      </c>
      <c r="S96" s="20">
        <f t="shared" ca="1" si="64"/>
        <v>16.907555447824119</v>
      </c>
      <c r="T96" s="20">
        <f t="shared" ca="1" si="64"/>
        <v>16.828599172932563</v>
      </c>
      <c r="U96" s="20">
        <f t="shared" ca="1" si="64"/>
        <v>16.618219334682859</v>
      </c>
      <c r="V96" s="20">
        <f t="shared" ca="1" si="64"/>
        <v>16.177249287973773</v>
      </c>
      <c r="W96" s="20">
        <f t="shared" ca="1" si="64"/>
        <v>15.605985304471197</v>
      </c>
      <c r="X96" s="20">
        <f t="shared" ca="1" si="64"/>
        <v>14.899836585927485</v>
      </c>
      <c r="Y96" s="20">
        <f t="shared" ca="1" si="64"/>
        <v>14.05353773141875</v>
      </c>
      <c r="Z96" s="20">
        <f t="shared" ca="1" si="64"/>
        <v>13.061503596981183</v>
      </c>
    </row>
    <row r="97" spans="1:26" x14ac:dyDescent="0.25">
      <c r="A97" s="12" t="s">
        <v>1185</v>
      </c>
      <c r="B97" s="11"/>
      <c r="C97" s="15"/>
      <c r="D97" s="50">
        <f t="shared" ref="D97:Z97" si="65">SUM(D$246,D$249)</f>
        <v>0</v>
      </c>
      <c r="E97" s="50">
        <f t="shared" si="65"/>
        <v>0</v>
      </c>
      <c r="F97" s="50">
        <f t="shared" si="65"/>
        <v>0</v>
      </c>
      <c r="G97" s="50">
        <f t="shared" si="65"/>
        <v>0</v>
      </c>
      <c r="H97" s="50">
        <f t="shared" si="65"/>
        <v>0</v>
      </c>
      <c r="I97" s="50">
        <f t="shared" si="65"/>
        <v>0</v>
      </c>
      <c r="J97" s="50">
        <f t="shared" si="65"/>
        <v>0</v>
      </c>
      <c r="K97" s="50">
        <f t="shared" si="65"/>
        <v>0</v>
      </c>
      <c r="L97" s="48">
        <f t="shared" ca="1" si="65"/>
        <v>-1.3420000000000001</v>
      </c>
      <c r="M97" s="48">
        <f t="shared" ca="1" si="65"/>
        <v>2.1680000000000001</v>
      </c>
      <c r="N97" s="48">
        <f t="shared" ca="1" si="65"/>
        <v>4.375</v>
      </c>
      <c r="O97" s="48">
        <f t="shared" ca="1" si="65"/>
        <v>7.1329999999999982</v>
      </c>
      <c r="P97" s="48">
        <f t="shared" ca="1" si="65"/>
        <v>9.4659999999999993</v>
      </c>
      <c r="Q97" s="20">
        <f t="shared" ca="1" si="65"/>
        <v>12.516</v>
      </c>
      <c r="R97" s="20">
        <f t="shared" ca="1" si="65"/>
        <v>15.036</v>
      </c>
      <c r="S97" s="20">
        <f t="shared" ca="1" si="65"/>
        <v>17.681999999999999</v>
      </c>
      <c r="T97" s="20">
        <f t="shared" ca="1" si="65"/>
        <v>20.4603</v>
      </c>
      <c r="U97" s="20">
        <f t="shared" ca="1" si="65"/>
        <v>23.377515000000002</v>
      </c>
      <c r="V97" s="20">
        <f t="shared" ca="1" si="65"/>
        <v>26.440590750000005</v>
      </c>
      <c r="W97" s="20">
        <f t="shared" ca="1" si="65"/>
        <v>29.656820287500008</v>
      </c>
      <c r="X97" s="20">
        <f t="shared" ca="1" si="65"/>
        <v>33.033861301875007</v>
      </c>
      <c r="Y97" s="20">
        <f t="shared" ca="1" si="65"/>
        <v>36.579754366968757</v>
      </c>
      <c r="Z97" s="20">
        <f t="shared" ca="1" si="65"/>
        <v>40.302942085317198</v>
      </c>
    </row>
    <row r="98" spans="1:26" x14ac:dyDescent="0.25">
      <c r="A98" s="11" t="s">
        <v>1186</v>
      </c>
      <c r="B98" s="11"/>
      <c r="C98" s="15"/>
      <c r="D98" s="94">
        <f t="shared" ref="D98:Z98" si="66">SUM(D$94:D$97)</f>
        <v>104.086</v>
      </c>
      <c r="E98" s="94">
        <f t="shared" si="66"/>
        <v>123.986</v>
      </c>
      <c r="F98" s="94">
        <f t="shared" si="66"/>
        <v>122.91800000000001</v>
      </c>
      <c r="G98" s="94">
        <f t="shared" si="66"/>
        <v>140.489</v>
      </c>
      <c r="H98" s="94">
        <f t="shared" si="66"/>
        <v>144.71</v>
      </c>
      <c r="I98" s="94">
        <f t="shared" si="66"/>
        <v>162.00900000000001</v>
      </c>
      <c r="J98" s="94">
        <f t="shared" si="66"/>
        <v>168.48599999999999</v>
      </c>
      <c r="K98" s="94">
        <f t="shared" si="66"/>
        <v>170.24700000000001</v>
      </c>
      <c r="L98" s="95">
        <f t="shared" ca="1" si="66"/>
        <v>181.803</v>
      </c>
      <c r="M98" s="95">
        <f t="shared" ca="1" si="66"/>
        <v>181.916</v>
      </c>
      <c r="N98" s="95">
        <f t="shared" ca="1" si="66"/>
        <v>186.892</v>
      </c>
      <c r="O98" s="95">
        <f t="shared" ca="1" si="66"/>
        <v>192.67500000000001</v>
      </c>
      <c r="P98" s="95">
        <f t="shared" ca="1" si="66"/>
        <v>198.607</v>
      </c>
      <c r="Q98" s="99">
        <f t="shared" ca="1" si="66"/>
        <v>206.19069069535399</v>
      </c>
      <c r="R98" s="99">
        <f t="shared" ca="1" si="66"/>
        <v>212.76300063884111</v>
      </c>
      <c r="S98" s="99">
        <f t="shared" ca="1" si="66"/>
        <v>219.52146857655185</v>
      </c>
      <c r="T98" s="99">
        <f t="shared" ca="1" si="66"/>
        <v>226.45072095385481</v>
      </c>
      <c r="U98" s="99">
        <f t="shared" ca="1" si="66"/>
        <v>233.71581756569259</v>
      </c>
      <c r="V98" s="99">
        <f t="shared" ca="1" si="66"/>
        <v>241.14518253036164</v>
      </c>
      <c r="W98" s="99">
        <f t="shared" ca="1" si="66"/>
        <v>248.69930554341047</v>
      </c>
      <c r="X98" s="99">
        <f t="shared" ca="1" si="66"/>
        <v>256.39631044785978</v>
      </c>
      <c r="Y98" s="99">
        <f t="shared" ca="1" si="66"/>
        <v>264.11609003087824</v>
      </c>
      <c r="Z98" s="99">
        <f t="shared" ca="1" si="66"/>
        <v>272.04759076539801</v>
      </c>
    </row>
    <row r="99" spans="1:26" x14ac:dyDescent="0.25">
      <c r="A99" s="11" t="s">
        <v>1187</v>
      </c>
      <c r="B99" s="11"/>
      <c r="C99" s="15"/>
      <c r="D99" s="94">
        <f t="shared" ref="D99:Z99" si="67">D$93-D$98</f>
        <v>10.972999999999999</v>
      </c>
      <c r="E99" s="94">
        <f t="shared" si="67"/>
        <v>-10.396000000000001</v>
      </c>
      <c r="F99" s="94">
        <f t="shared" si="67"/>
        <v>3.1040000000000134</v>
      </c>
      <c r="G99" s="94">
        <f t="shared" si="67"/>
        <v>-5.3770000000000095</v>
      </c>
      <c r="H99" s="94">
        <f t="shared" si="67"/>
        <v>4.5249999999999773</v>
      </c>
      <c r="I99" s="94">
        <f t="shared" si="67"/>
        <v>-2.30600000000004</v>
      </c>
      <c r="J99" s="94">
        <f t="shared" si="67"/>
        <v>0.69900000000001228</v>
      </c>
      <c r="K99" s="94">
        <f t="shared" si="67"/>
        <v>2.5319999999999823</v>
      </c>
      <c r="L99" s="95">
        <f t="shared" ca="1" si="67"/>
        <v>-3.7999999999999829</v>
      </c>
      <c r="M99" s="95">
        <f t="shared" ca="1" si="67"/>
        <v>7.6469999999999914</v>
      </c>
      <c r="N99" s="95">
        <f t="shared" ca="1" si="67"/>
        <v>13.779000000000025</v>
      </c>
      <c r="O99" s="95">
        <f t="shared" ca="1" si="67"/>
        <v>18.783999999999992</v>
      </c>
      <c r="P99" s="95">
        <f t="shared" ca="1" si="67"/>
        <v>22.454999999999984</v>
      </c>
      <c r="Q99" s="99">
        <f t="shared" ca="1" si="67"/>
        <v>24.844107772383609</v>
      </c>
      <c r="R99" s="99">
        <f t="shared" ca="1" si="67"/>
        <v>27.478462093748874</v>
      </c>
      <c r="S99" s="99">
        <f t="shared" ca="1" si="67"/>
        <v>30.312495778065397</v>
      </c>
      <c r="T99" s="99">
        <f t="shared" ca="1" si="67"/>
        <v>33.552845615510222</v>
      </c>
      <c r="U99" s="99">
        <f t="shared" ca="1" si="67"/>
        <v>36.885594966869178</v>
      </c>
      <c r="V99" s="99">
        <f t="shared" ca="1" si="67"/>
        <v>40.182157258659743</v>
      </c>
      <c r="W99" s="99">
        <f t="shared" ca="1" si="67"/>
        <v>43.651917539959271</v>
      </c>
      <c r="X99" s="99">
        <f t="shared" ca="1" si="67"/>
        <v>47.27476196357452</v>
      </c>
      <c r="Y99" s="99">
        <f t="shared" ca="1" si="67"/>
        <v>51.252347613318705</v>
      </c>
      <c r="Z99" s="99">
        <f t="shared" ca="1" si="67"/>
        <v>55.390024336798717</v>
      </c>
    </row>
    <row r="100" spans="1:26" x14ac:dyDescent="0.25">
      <c r="A100" s="12" t="s">
        <v>1188</v>
      </c>
      <c r="B100" s="14" t="str">
        <f>$B$38</f>
        <v>From Fiscal Forecasts</v>
      </c>
      <c r="C100" s="15"/>
      <c r="D100" s="50">
        <f>-'Fiscal Forecasts'!D$85</f>
        <v>8.4640000000000004</v>
      </c>
      <c r="E100" s="50">
        <f>-'Fiscal Forecasts'!E$85</f>
        <v>9.0709999999999997</v>
      </c>
      <c r="F100" s="50">
        <f>-'Fiscal Forecasts'!F$85</f>
        <v>9.3930000000000007</v>
      </c>
      <c r="G100" s="50">
        <f>-'Fiscal Forecasts'!G$85</f>
        <v>10.571999999999999</v>
      </c>
      <c r="H100" s="50">
        <f>-'Fiscal Forecasts'!H$85</f>
        <v>14.271000000000001</v>
      </c>
      <c r="I100" s="50">
        <f>-'Fiscal Forecasts'!I$85</f>
        <v>16.948</v>
      </c>
      <c r="J100" s="50">
        <f>-'Fiscal Forecasts'!J$85</f>
        <v>14.054</v>
      </c>
      <c r="K100" s="50">
        <f>-'Fiscal Forecasts'!K$85</f>
        <v>14.308999999999999</v>
      </c>
      <c r="L100" s="48">
        <f>-'Fiscal Forecasts'!L$85</f>
        <v>16.707000000000001</v>
      </c>
      <c r="M100" s="48">
        <f>-'Fiscal Forecasts'!M$85</f>
        <v>17.111999999999998</v>
      </c>
      <c r="N100" s="48">
        <f>-'Fiscal Forecasts'!N$85</f>
        <v>15.180999999999999</v>
      </c>
      <c r="O100" s="48">
        <f>-'Fiscal Forecasts'!O$85</f>
        <v>13.492000000000001</v>
      </c>
      <c r="P100" s="48">
        <f>-'Fiscal Forecasts'!P$85</f>
        <v>13.242000000000001</v>
      </c>
      <c r="Q100" s="20">
        <f t="shared" ref="Q100:Z100" ca="1" si="68">SUM(Q$420-P$420,Q$218)</f>
        <v>12.80170735316336</v>
      </c>
      <c r="R100" s="20">
        <f t="shared" ca="1" si="68"/>
        <v>12.960241809991984</v>
      </c>
      <c r="S100" s="20">
        <f t="shared" ca="1" si="68"/>
        <v>13.121946955957245</v>
      </c>
      <c r="T100" s="20">
        <f t="shared" ca="1" si="68"/>
        <v>13.286886204841647</v>
      </c>
      <c r="U100" s="20">
        <f t="shared" ca="1" si="68"/>
        <v>13.455124238704002</v>
      </c>
      <c r="V100" s="20">
        <f t="shared" ca="1" si="68"/>
        <v>13.62672703324338</v>
      </c>
      <c r="W100" s="20">
        <f t="shared" ca="1" si="68"/>
        <v>13.801761883673636</v>
      </c>
      <c r="X100" s="20">
        <f t="shared" ca="1" si="68"/>
        <v>13.980297431112486</v>
      </c>
      <c r="Y100" s="20">
        <f t="shared" ca="1" si="68"/>
        <v>14.162403689500188</v>
      </c>
      <c r="Z100" s="20">
        <f t="shared" ca="1" si="68"/>
        <v>14.348152073055465</v>
      </c>
    </row>
    <row r="101" spans="1:26" x14ac:dyDescent="0.25">
      <c r="A101" s="12" t="s">
        <v>1189</v>
      </c>
      <c r="B101" s="14" t="str">
        <f>$B$38</f>
        <v>From Fiscal Forecasts</v>
      </c>
      <c r="C101" s="15"/>
      <c r="D101" s="50">
        <f>-'Fiscal Forecasts'!D$86</f>
        <v>-3.8039999999999998</v>
      </c>
      <c r="E101" s="50">
        <f>-'Fiscal Forecasts'!E$86</f>
        <v>14.148999999999999</v>
      </c>
      <c r="F101" s="50">
        <f>-'Fiscal Forecasts'!F$86</f>
        <v>-4.1890000000000001</v>
      </c>
      <c r="G101" s="50">
        <f>-'Fiscal Forecasts'!G$86</f>
        <v>4.9859999999999998</v>
      </c>
      <c r="H101" s="50">
        <f>-'Fiscal Forecasts'!H$86</f>
        <v>4.9059999999999997</v>
      </c>
      <c r="I101" s="50">
        <f>-'Fiscal Forecasts'!I$86</f>
        <v>10.231999999999999</v>
      </c>
      <c r="J101" s="50">
        <f>-'Fiscal Forecasts'!J$86</f>
        <v>9.7810000000000006</v>
      </c>
      <c r="K101" s="50">
        <f>-'Fiscal Forecasts'!K$86</f>
        <v>3.504</v>
      </c>
      <c r="L101" s="48">
        <f>-'Fiscal Forecasts'!L$86</f>
        <v>-3.746</v>
      </c>
      <c r="M101" s="48">
        <f>-'Fiscal Forecasts'!M$86</f>
        <v>1.909</v>
      </c>
      <c r="N101" s="48">
        <f>-'Fiscal Forecasts'!N$86</f>
        <v>2.5790000000000002</v>
      </c>
      <c r="O101" s="48">
        <f>-'Fiscal Forecasts'!O$86</f>
        <v>2.3109999999999999</v>
      </c>
      <c r="P101" s="48">
        <f>-'Fiscal Forecasts'!P$86</f>
        <v>0.222</v>
      </c>
      <c r="Q101" s="20">
        <f t="shared" ref="Q101:Z101" ca="1" si="69">SUM(Q$363-P$363,Q$372-P$372,Q$388-P$388)-SUM(Q$331,Q$334:Q$336)</f>
        <v>1.9837876892064781</v>
      </c>
      <c r="R101" s="20">
        <f t="shared" ca="1" si="69"/>
        <v>2.6988843835896503</v>
      </c>
      <c r="S101" s="20">
        <f t="shared" ca="1" si="69"/>
        <v>2.7449456672463821</v>
      </c>
      <c r="T101" s="20">
        <f t="shared" ca="1" si="69"/>
        <v>2.8265504614891821</v>
      </c>
      <c r="U101" s="20">
        <f t="shared" ca="1" si="69"/>
        <v>2.8717934592542171</v>
      </c>
      <c r="V101" s="20">
        <f t="shared" ca="1" si="69"/>
        <v>2.8030716584328381</v>
      </c>
      <c r="W101" s="20">
        <f t="shared" ca="1" si="69"/>
        <v>2.7603825830188526</v>
      </c>
      <c r="X101" s="20">
        <f t="shared" ca="1" si="69"/>
        <v>2.7752212758059098</v>
      </c>
      <c r="Y101" s="20">
        <f t="shared" ca="1" si="69"/>
        <v>2.9090510953257844</v>
      </c>
      <c r="Z101" s="20">
        <f t="shared" ca="1" si="69"/>
        <v>3.0999013669731141</v>
      </c>
    </row>
    <row r="102" spans="1:26" x14ac:dyDescent="0.25">
      <c r="A102" s="12" t="s">
        <v>1190</v>
      </c>
      <c r="B102" s="14" t="str">
        <f>$B$38</f>
        <v>From Fiscal Forecasts</v>
      </c>
      <c r="C102" s="15"/>
      <c r="D102" s="50">
        <f>-'Fiscal Forecasts'!D$87</f>
        <v>0.79100000000000004</v>
      </c>
      <c r="E102" s="50">
        <f>-'Fiscal Forecasts'!E$87</f>
        <v>0.85499999999999998</v>
      </c>
      <c r="F102" s="50">
        <f>-'Fiscal Forecasts'!F$87</f>
        <v>0.89800000000000002</v>
      </c>
      <c r="G102" s="50">
        <f>-'Fiscal Forecasts'!G$87</f>
        <v>0.71</v>
      </c>
      <c r="H102" s="50">
        <f>-'Fiscal Forecasts'!H$87</f>
        <v>0.86799999999999999</v>
      </c>
      <c r="I102" s="50">
        <f>-'Fiscal Forecasts'!I$87</f>
        <v>0.86</v>
      </c>
      <c r="J102" s="50">
        <f>-'Fiscal Forecasts'!J$87</f>
        <v>0.65500000000000003</v>
      </c>
      <c r="K102" s="50">
        <f>-'Fiscal Forecasts'!K$87</f>
        <v>0.64300000000000002</v>
      </c>
      <c r="L102" s="48">
        <f>-'Fiscal Forecasts'!L$87</f>
        <v>0.75900000000000001</v>
      </c>
      <c r="M102" s="48">
        <f>-'Fiscal Forecasts'!M$87</f>
        <v>0.73799999999999999</v>
      </c>
      <c r="N102" s="48">
        <f>-'Fiscal Forecasts'!N$87</f>
        <v>0.70799999999999996</v>
      </c>
      <c r="O102" s="48">
        <f>-'Fiscal Forecasts'!O$87</f>
        <v>0.70399999999999996</v>
      </c>
      <c r="P102" s="48">
        <f>-'Fiscal Forecasts'!P$87</f>
        <v>0.68500000000000005</v>
      </c>
      <c r="Q102" s="20">
        <f t="shared" ref="Q102:Z102" ca="1" si="70">SUM(Q$429-P$429,Q$115)</f>
        <v>0.99164146093765448</v>
      </c>
      <c r="R102" s="20">
        <f t="shared" ca="1" si="70"/>
        <v>1.0172626022435238</v>
      </c>
      <c r="S102" s="20">
        <f t="shared" ca="1" si="70"/>
        <v>1.0441580471889353</v>
      </c>
      <c r="T102" s="20">
        <f t="shared" ca="1" si="70"/>
        <v>1.0713842593911125</v>
      </c>
      <c r="U102" s="20">
        <f t="shared" ca="1" si="70"/>
        <v>1.1007231483534818</v>
      </c>
      <c r="V102" s="20">
        <f t="shared" ca="1" si="70"/>
        <v>1.1309755012288574</v>
      </c>
      <c r="W102" s="20">
        <f t="shared" ca="1" si="70"/>
        <v>1.1614050399844456</v>
      </c>
      <c r="X102" s="20">
        <f t="shared" ca="1" si="70"/>
        <v>1.1928126038600233</v>
      </c>
      <c r="Y102" s="20">
        <f t="shared" ca="1" si="70"/>
        <v>1.2257716083638355</v>
      </c>
      <c r="Z102" s="20">
        <f t="shared" ca="1" si="70"/>
        <v>1.2597030479597848</v>
      </c>
    </row>
    <row r="103" spans="1:26" x14ac:dyDescent="0.25">
      <c r="A103" s="12" t="s">
        <v>1191</v>
      </c>
      <c r="B103" s="14" t="str">
        <f>$B$38</f>
        <v>From Fiscal Forecasts</v>
      </c>
      <c r="C103" s="15"/>
      <c r="D103" s="50">
        <f>-'Fiscal Forecasts'!D$88</f>
        <v>1.9019999999999999</v>
      </c>
      <c r="E103" s="50">
        <f>-'Fiscal Forecasts'!E$88</f>
        <v>1.29</v>
      </c>
      <c r="F103" s="50">
        <f>-'Fiscal Forecasts'!F$88</f>
        <v>5.6630000000000003</v>
      </c>
      <c r="G103" s="50">
        <f>-'Fiscal Forecasts'!G$88</f>
        <v>12.958</v>
      </c>
      <c r="H103" s="50">
        <f>-'Fiscal Forecasts'!H$88</f>
        <v>8.2149999999999999</v>
      </c>
      <c r="I103" s="50">
        <f>-'Fiscal Forecasts'!I$88</f>
        <v>-0.151</v>
      </c>
      <c r="J103" s="50">
        <f>-'Fiscal Forecasts'!J$88</f>
        <v>-5.8879999999999999</v>
      </c>
      <c r="K103" s="50">
        <f>-'Fiscal Forecasts'!K$88</f>
        <v>-3.6070000000000002</v>
      </c>
      <c r="L103" s="48">
        <f>-'Fiscal Forecasts'!L$88</f>
        <v>3.653</v>
      </c>
      <c r="M103" s="48">
        <f>-'Fiscal Forecasts'!M$88</f>
        <v>5.1550000000000002</v>
      </c>
      <c r="N103" s="48">
        <f>-'Fiscal Forecasts'!N$88</f>
        <v>5.5149999999999997</v>
      </c>
      <c r="O103" s="48">
        <f>-'Fiscal Forecasts'!O$88</f>
        <v>5.9749999999999996</v>
      </c>
      <c r="P103" s="48">
        <f>-'Fiscal Forecasts'!P$88</f>
        <v>6.2590000000000003</v>
      </c>
      <c r="Q103" s="20">
        <f t="shared" ref="Q103:Z103" ca="1" si="71">SUM(Q$397-P$397,Q$402,-Q$404)</f>
        <v>4.3256040525072459</v>
      </c>
      <c r="R103" s="20">
        <f t="shared" ca="1" si="71"/>
        <v>3.796813452335003</v>
      </c>
      <c r="S103" s="20">
        <f t="shared" ca="1" si="71"/>
        <v>3.8836397704301993</v>
      </c>
      <c r="T103" s="20">
        <f t="shared" ca="1" si="71"/>
        <v>3.9629372065793005</v>
      </c>
      <c r="U103" s="20">
        <f t="shared" ca="1" si="71"/>
        <v>4.0750999071931329</v>
      </c>
      <c r="V103" s="20">
        <f t="shared" ca="1" si="71"/>
        <v>4.1958768417042132</v>
      </c>
      <c r="W103" s="20">
        <f t="shared" ca="1" si="71"/>
        <v>4.3078513858196112</v>
      </c>
      <c r="X103" s="20">
        <f t="shared" ca="1" si="71"/>
        <v>4.4369983310530081</v>
      </c>
      <c r="Y103" s="20">
        <f t="shared" ca="1" si="71"/>
        <v>4.6000964057544325</v>
      </c>
      <c r="Z103" s="20">
        <f t="shared" ca="1" si="71"/>
        <v>4.7734375495032326</v>
      </c>
    </row>
    <row r="104" spans="1:26" x14ac:dyDescent="0.25">
      <c r="A104" s="12" t="s">
        <v>1192</v>
      </c>
      <c r="B104" s="14" t="str">
        <f>$B$38</f>
        <v>From Fiscal Forecasts</v>
      </c>
      <c r="C104" s="15"/>
      <c r="D104" s="50">
        <f>-'Fiscal Forecasts'!D$89</f>
        <v>-0.13600000000000001</v>
      </c>
      <c r="E104" s="50">
        <f>-'Fiscal Forecasts'!E$89</f>
        <v>0.28599999999999998</v>
      </c>
      <c r="F104" s="50">
        <f>-'Fiscal Forecasts'!F$89</f>
        <v>0.39200000000000002</v>
      </c>
      <c r="G104" s="50">
        <f>-'Fiscal Forecasts'!G$89</f>
        <v>0.44800000000000001</v>
      </c>
      <c r="H104" s="50">
        <f>-'Fiscal Forecasts'!H$89</f>
        <v>0.20200000000000001</v>
      </c>
      <c r="I104" s="50">
        <f>-'Fiscal Forecasts'!I$89</f>
        <v>0.39700000000000002</v>
      </c>
      <c r="J104" s="50">
        <f>-'Fiscal Forecasts'!J$89</f>
        <v>0.40400000000000003</v>
      </c>
      <c r="K104" s="50">
        <f>-'Fiscal Forecasts'!K$89</f>
        <v>0.44700000000000001</v>
      </c>
      <c r="L104" s="48">
        <f>-'Fiscal Forecasts'!L$89</f>
        <v>0.30599999999999999</v>
      </c>
      <c r="M104" s="48">
        <f>-'Fiscal Forecasts'!M$89</f>
        <v>0.14399999999999999</v>
      </c>
      <c r="N104" s="48">
        <f>-'Fiscal Forecasts'!N$89</f>
        <v>4.5999999999999999E-2</v>
      </c>
      <c r="O104" s="48">
        <f>-'Fiscal Forecasts'!O$89</f>
        <v>4.5999999999999999E-2</v>
      </c>
      <c r="P104" s="48">
        <f>-'Fiscal Forecasts'!P$89</f>
        <v>4.4999999999999998E-2</v>
      </c>
      <c r="Q104" s="20">
        <f t="shared" ref="Q104:Z104" ca="1" si="72">SUM(Q$424-P$424,-Q$341)</f>
        <v>0.32345283774862377</v>
      </c>
      <c r="R104" s="20">
        <f t="shared" ca="1" si="72"/>
        <v>0.32827357558672093</v>
      </c>
      <c r="S104" s="20">
        <f t="shared" ca="1" si="72"/>
        <v>0.33317054040800032</v>
      </c>
      <c r="T104" s="20">
        <f t="shared" ca="1" si="72"/>
        <v>0.33815436948875899</v>
      </c>
      <c r="U104" s="20">
        <f t="shared" ca="1" si="72"/>
        <v>0.34318929924724173</v>
      </c>
      <c r="V104" s="20">
        <f t="shared" ca="1" si="72"/>
        <v>0.34827742761570046</v>
      </c>
      <c r="W104" s="20">
        <f t="shared" ca="1" si="72"/>
        <v>0.35343975578156162</v>
      </c>
      <c r="X104" s="20">
        <f t="shared" ca="1" si="72"/>
        <v>0.35867372671614572</v>
      </c>
      <c r="Y104" s="20">
        <f t="shared" ca="1" si="72"/>
        <v>0.36396351220295858</v>
      </c>
      <c r="Z104" s="20">
        <f t="shared" ca="1" si="72"/>
        <v>0.36931169937688901</v>
      </c>
    </row>
    <row r="105" spans="1:26" x14ac:dyDescent="0.25">
      <c r="A105" s="12" t="s">
        <v>1193</v>
      </c>
      <c r="B105" s="11"/>
      <c r="C105" s="15"/>
      <c r="D105" s="50">
        <f t="shared" ref="D105:Z105" si="73">SUM(D$432-C$432,D$435-C$435)</f>
        <v>0</v>
      </c>
      <c r="E105" s="50">
        <f t="shared" si="73"/>
        <v>0</v>
      </c>
      <c r="F105" s="50">
        <f t="shared" si="73"/>
        <v>0</v>
      </c>
      <c r="G105" s="50">
        <f t="shared" si="73"/>
        <v>0</v>
      </c>
      <c r="H105" s="50">
        <f t="shared" si="73"/>
        <v>0</v>
      </c>
      <c r="I105" s="50">
        <f t="shared" si="73"/>
        <v>0</v>
      </c>
      <c r="J105" s="50">
        <f t="shared" si="73"/>
        <v>0</v>
      </c>
      <c r="K105" s="50">
        <f t="shared" si="73"/>
        <v>0</v>
      </c>
      <c r="L105" s="48">
        <f t="shared" si="73"/>
        <v>-6.0000000000000053E-3</v>
      </c>
      <c r="M105" s="48">
        <f t="shared" si="73"/>
        <v>2.3870000000000005</v>
      </c>
      <c r="N105" s="48">
        <f t="shared" si="73"/>
        <v>3.628000000000001</v>
      </c>
      <c r="O105" s="48">
        <f t="shared" si="73"/>
        <v>4.3800000000000008</v>
      </c>
      <c r="P105" s="48">
        <f t="shared" si="73"/>
        <v>5.168000000000001</v>
      </c>
      <c r="Q105" s="20">
        <f t="shared" ca="1" si="73"/>
        <v>5.0820000000000007</v>
      </c>
      <c r="R105" s="20">
        <f t="shared" ca="1" si="73"/>
        <v>5.3194999999999979</v>
      </c>
      <c r="S105" s="20">
        <f t="shared" ca="1" si="73"/>
        <v>5.4988749999999982</v>
      </c>
      <c r="T105" s="20">
        <f t="shared" ca="1" si="73"/>
        <v>5.5052187499999974</v>
      </c>
      <c r="U105" s="20">
        <f t="shared" ca="1" si="73"/>
        <v>5.780479687499998</v>
      </c>
      <c r="V105" s="20">
        <f t="shared" ca="1" si="73"/>
        <v>6.0695036718750046</v>
      </c>
      <c r="W105" s="20">
        <f t="shared" ca="1" si="73"/>
        <v>6.3729788554687516</v>
      </c>
      <c r="X105" s="20">
        <f t="shared" ca="1" si="73"/>
        <v>6.6916277982421875</v>
      </c>
      <c r="Y105" s="20">
        <f t="shared" ca="1" si="73"/>
        <v>7.0262091881542972</v>
      </c>
      <c r="Z105" s="20">
        <f t="shared" ca="1" si="73"/>
        <v>7.3775196475620106</v>
      </c>
    </row>
    <row r="106" spans="1:26" x14ac:dyDescent="0.25">
      <c r="A106" s="11" t="s">
        <v>1194</v>
      </c>
      <c r="B106" s="11"/>
      <c r="C106" s="15"/>
      <c r="D106" s="94">
        <f t="shared" ref="D106:Z106" si="74">-SUM(D$100:D$105)</f>
        <v>-7.2170000000000005</v>
      </c>
      <c r="E106" s="94">
        <f t="shared" si="74"/>
        <v>-25.651</v>
      </c>
      <c r="F106" s="94">
        <f t="shared" si="74"/>
        <v>-12.157</v>
      </c>
      <c r="G106" s="94">
        <f t="shared" si="74"/>
        <v>-29.673999999999999</v>
      </c>
      <c r="H106" s="94">
        <f t="shared" si="74"/>
        <v>-28.462</v>
      </c>
      <c r="I106" s="94">
        <f t="shared" si="74"/>
        <v>-28.285999999999998</v>
      </c>
      <c r="J106" s="94">
        <f t="shared" si="74"/>
        <v>-19.006000000000004</v>
      </c>
      <c r="K106" s="94">
        <f t="shared" si="74"/>
        <v>-15.295999999999999</v>
      </c>
      <c r="L106" s="95">
        <f t="shared" si="74"/>
        <v>-17.673000000000002</v>
      </c>
      <c r="M106" s="95">
        <f t="shared" si="74"/>
        <v>-27.444999999999997</v>
      </c>
      <c r="N106" s="95">
        <f t="shared" si="74"/>
        <v>-27.656999999999996</v>
      </c>
      <c r="O106" s="95">
        <f t="shared" si="74"/>
        <v>-26.908000000000001</v>
      </c>
      <c r="P106" s="95">
        <f t="shared" si="74"/>
        <v>-25.621000000000002</v>
      </c>
      <c r="Q106" s="99">
        <f t="shared" ca="1" si="74"/>
        <v>-25.50819339356336</v>
      </c>
      <c r="R106" s="99">
        <f t="shared" ca="1" si="74"/>
        <v>-26.120975823746878</v>
      </c>
      <c r="S106" s="99">
        <f t="shared" ca="1" si="74"/>
        <v>-26.626735981230762</v>
      </c>
      <c r="T106" s="99">
        <f t="shared" ca="1" si="74"/>
        <v>-26.991131251789998</v>
      </c>
      <c r="U106" s="99">
        <f t="shared" ca="1" si="74"/>
        <v>-27.626409740252072</v>
      </c>
      <c r="V106" s="99">
        <f t="shared" ca="1" si="74"/>
        <v>-28.174432134099991</v>
      </c>
      <c r="W106" s="99">
        <f t="shared" ca="1" si="74"/>
        <v>-28.757819503746855</v>
      </c>
      <c r="X106" s="99">
        <f t="shared" ca="1" si="74"/>
        <v>-29.435631166789758</v>
      </c>
      <c r="Y106" s="99">
        <f t="shared" ca="1" si="74"/>
        <v>-30.287495499301496</v>
      </c>
      <c r="Z106" s="99">
        <f t="shared" ca="1" si="74"/>
        <v>-31.228025384430499</v>
      </c>
    </row>
    <row r="107" spans="1:26" x14ac:dyDescent="0.25">
      <c r="A107" s="12" t="s">
        <v>914</v>
      </c>
      <c r="B107" s="14" t="str">
        <f>$B$38</f>
        <v>From Fiscal Forecasts</v>
      </c>
      <c r="C107" s="15"/>
      <c r="D107" s="50">
        <f>'Fiscal Forecasts'!D$92</f>
        <v>0.437</v>
      </c>
      <c r="E107" s="50">
        <f>'Fiscal Forecasts'!E$92</f>
        <v>1.2090000000000001</v>
      </c>
      <c r="F107" s="50">
        <f>'Fiscal Forecasts'!F$92</f>
        <v>0.23400000000000001</v>
      </c>
      <c r="G107" s="50">
        <f>'Fiscal Forecasts'!G$92</f>
        <v>0.80500000000000005</v>
      </c>
      <c r="H107" s="50">
        <f>'Fiscal Forecasts'!H$92</f>
        <v>-5.8999999999999997E-2</v>
      </c>
      <c r="I107" s="50">
        <f>'Fiscal Forecasts'!I$92</f>
        <v>-2.4E-2</v>
      </c>
      <c r="J107" s="50">
        <f>'Fiscal Forecasts'!J$92</f>
        <v>0.17499999999999999</v>
      </c>
      <c r="K107" s="50">
        <f>'Fiscal Forecasts'!K$92</f>
        <v>1.1100000000000001</v>
      </c>
      <c r="L107" s="48">
        <f>'Fiscal Forecasts'!L$92</f>
        <v>-0.45600000000000002</v>
      </c>
      <c r="M107" s="48">
        <f>'Fiscal Forecasts'!M$92</f>
        <v>9.8000000000000004E-2</v>
      </c>
      <c r="N107" s="48">
        <f>'Fiscal Forecasts'!N$92</f>
        <v>9.9000000000000005E-2</v>
      </c>
      <c r="O107" s="48">
        <f>'Fiscal Forecasts'!O$92</f>
        <v>0.1</v>
      </c>
      <c r="P107" s="48">
        <f>'Fiscal Forecasts'!P$92</f>
        <v>0.10100000000000001</v>
      </c>
      <c r="Q107" s="20">
        <f t="shared" ref="Q107:Z107" ca="1" si="75">Q$439-P$439</f>
        <v>0.20407999999999937</v>
      </c>
      <c r="R107" s="20">
        <f t="shared" ca="1" si="75"/>
        <v>0.20816160000000039</v>
      </c>
      <c r="S107" s="20">
        <f t="shared" ca="1" si="75"/>
        <v>0.21232483200000019</v>
      </c>
      <c r="T107" s="20">
        <f t="shared" ca="1" si="75"/>
        <v>0.21657132864000062</v>
      </c>
      <c r="U107" s="20">
        <f t="shared" ca="1" si="75"/>
        <v>0.22090275521279956</v>
      </c>
      <c r="V107" s="20">
        <f t="shared" ca="1" si="75"/>
        <v>0.22532081031705609</v>
      </c>
      <c r="W107" s="20">
        <f t="shared" ca="1" si="75"/>
        <v>0.2298272265233976</v>
      </c>
      <c r="X107" s="20">
        <f t="shared" ca="1" si="75"/>
        <v>0.23442377105386569</v>
      </c>
      <c r="Y107" s="20">
        <f t="shared" ca="1" si="75"/>
        <v>0.23911224647494222</v>
      </c>
      <c r="Z107" s="20">
        <f t="shared" ca="1" si="75"/>
        <v>0.24389449140444164</v>
      </c>
    </row>
    <row r="108" spans="1:26" x14ac:dyDescent="0.25">
      <c r="A108" s="12" t="s">
        <v>1195</v>
      </c>
      <c r="B108" s="14" t="str">
        <f>$B$38</f>
        <v>From Fiscal Forecasts</v>
      </c>
      <c r="C108" s="15"/>
      <c r="D108" s="50">
        <f>SUM('Fiscal Forecasts'!D$93:D$96)</f>
        <v>-2.5789999999999997</v>
      </c>
      <c r="E108" s="50">
        <f>SUM('Fiscal Forecasts'!E$93:E$96)</f>
        <v>36.155999999999999</v>
      </c>
      <c r="F108" s="50">
        <f>SUM('Fiscal Forecasts'!F$93:F$96)</f>
        <v>7.3529999999999998</v>
      </c>
      <c r="G108" s="50">
        <f>SUM('Fiscal Forecasts'!G$93:G$96)</f>
        <v>33.409000000000006</v>
      </c>
      <c r="H108" s="50">
        <f>SUM('Fiscal Forecasts'!H$93:H$96)</f>
        <v>24.929000000000002</v>
      </c>
      <c r="I108" s="50">
        <f>SUM('Fiscal Forecasts'!I$93:I$96)</f>
        <v>28.588000000000001</v>
      </c>
      <c r="J108" s="50">
        <f>SUM('Fiscal Forecasts'!J$93:J$96)</f>
        <v>25.934000000000001</v>
      </c>
      <c r="K108" s="50">
        <f>SUM('Fiscal Forecasts'!K$93:K$96)</f>
        <v>16.634</v>
      </c>
      <c r="L108" s="48">
        <f>SUM('Fiscal Forecasts'!L$93:L$96)</f>
        <v>22.564000000000004</v>
      </c>
      <c r="M108" s="48">
        <f>SUM('Fiscal Forecasts'!M$93:M$96)</f>
        <v>19.970999999999997</v>
      </c>
      <c r="N108" s="48">
        <f>SUM('Fiscal Forecasts'!N$93:N$96)</f>
        <v>14.593</v>
      </c>
      <c r="O108" s="48">
        <f>SUM('Fiscal Forecasts'!O$93:O$96)</f>
        <v>8.2569999999999997</v>
      </c>
      <c r="P108" s="48">
        <f>SUM('Fiscal Forecasts'!P$93:P$96)</f>
        <v>3.2669999999999995</v>
      </c>
      <c r="Q108" s="20">
        <f t="shared" ref="Q108:Z108" ca="1" si="76">Q$347-P$347-SUM(Q$99,Q$106,Q$107)</f>
        <v>1.7313423521202527</v>
      </c>
      <c r="R108" s="20">
        <f t="shared" ca="1" si="76"/>
        <v>-0.24214817800666211</v>
      </c>
      <c r="S108" s="20">
        <f t="shared" ca="1" si="76"/>
        <v>-2.5361774319877028</v>
      </c>
      <c r="T108" s="20">
        <f t="shared" ca="1" si="76"/>
        <v>-5.3797405803837641</v>
      </c>
      <c r="U108" s="20">
        <f t="shared" ca="1" si="76"/>
        <v>-8.0322423705481558</v>
      </c>
      <c r="V108" s="20">
        <f t="shared" ca="1" si="76"/>
        <v>-10.733801131914165</v>
      </c>
      <c r="W108" s="20">
        <f t="shared" ca="1" si="76"/>
        <v>-13.576757531484471</v>
      </c>
      <c r="X108" s="20">
        <f t="shared" ca="1" si="76"/>
        <v>-16.473502458994531</v>
      </c>
      <c r="Y108" s="20">
        <f t="shared" ca="1" si="76"/>
        <v>-19.540421869668862</v>
      </c>
      <c r="Z108" s="20">
        <f t="shared" ca="1" si="76"/>
        <v>-22.675045798128295</v>
      </c>
    </row>
    <row r="109" spans="1:26" x14ac:dyDescent="0.25">
      <c r="A109" s="12" t="s">
        <v>1196</v>
      </c>
      <c r="B109" s="14" t="str">
        <f>$B$38</f>
        <v>From Fiscal Forecasts</v>
      </c>
      <c r="C109" s="15"/>
      <c r="D109" s="50">
        <f>-'Fiscal Forecasts'!D$97</f>
        <v>0.504</v>
      </c>
      <c r="E109" s="50">
        <f>-'Fiscal Forecasts'!E$97</f>
        <v>0.47899999999999998</v>
      </c>
      <c r="F109" s="50">
        <f>-'Fiscal Forecasts'!F$97</f>
        <v>0.373</v>
      </c>
      <c r="G109" s="50">
        <f>-'Fiscal Forecasts'!G$97</f>
        <v>0.30399999999999999</v>
      </c>
      <c r="H109" s="50">
        <f>-'Fiscal Forecasts'!H$97</f>
        <v>0.372</v>
      </c>
      <c r="I109" s="50">
        <f>-'Fiscal Forecasts'!I$97</f>
        <v>0.505</v>
      </c>
      <c r="J109" s="50">
        <f>-'Fiscal Forecasts'!J$97</f>
        <v>0.40899999999999997</v>
      </c>
      <c r="K109" s="50">
        <f>-'Fiscal Forecasts'!K$97</f>
        <v>0.40600000000000003</v>
      </c>
      <c r="L109" s="48">
        <f>-'Fiscal Forecasts'!L$97</f>
        <v>0.46100000000000002</v>
      </c>
      <c r="M109" s="48">
        <f>-'Fiscal Forecasts'!M$97</f>
        <v>0.49099999999999999</v>
      </c>
      <c r="N109" s="48">
        <f>-'Fiscal Forecasts'!N$97</f>
        <v>0.54100000000000004</v>
      </c>
      <c r="O109" s="48">
        <f>-'Fiscal Forecasts'!O$97</f>
        <v>0.60199999999999998</v>
      </c>
      <c r="P109" s="48">
        <f>-'Fiscal Forecasts'!P$97</f>
        <v>0.63300000000000001</v>
      </c>
      <c r="Q109" s="20">
        <f t="shared" ref="Q109:Z109" si="77">Q$38-Q$40</f>
        <v>0.54411323896752695</v>
      </c>
      <c r="R109" s="20">
        <f t="shared" ca="1" si="77"/>
        <v>0.54065541675415252</v>
      </c>
      <c r="S109" s="20">
        <f t="shared" ca="1" si="77"/>
        <v>0.53790551579760415</v>
      </c>
      <c r="T109" s="20">
        <f t="shared" ca="1" si="77"/>
        <v>0.53614116199434114</v>
      </c>
      <c r="U109" s="20">
        <f t="shared" ca="1" si="77"/>
        <v>0.5359596080365937</v>
      </c>
      <c r="V109" s="20">
        <f t="shared" ca="1" si="77"/>
        <v>0.53732027181440034</v>
      </c>
      <c r="W109" s="20">
        <f t="shared" ca="1" si="77"/>
        <v>0.53877325425245037</v>
      </c>
      <c r="X109" s="20">
        <f t="shared" ca="1" si="77"/>
        <v>0.54015160457347378</v>
      </c>
      <c r="Y109" s="20">
        <f t="shared" ca="1" si="77"/>
        <v>0.54135872009917707</v>
      </c>
      <c r="Z109" s="20">
        <f t="shared" ca="1" si="77"/>
        <v>0.54260790119144064</v>
      </c>
    </row>
    <row r="110" spans="1:26" x14ac:dyDescent="0.25">
      <c r="A110" s="11" t="s">
        <v>1197</v>
      </c>
      <c r="B110" s="11"/>
      <c r="C110" s="15"/>
      <c r="D110" s="94">
        <f t="shared" ref="D110:Z110" si="78">(D$107+D$108-D$109)</f>
        <v>-2.6459999999999999</v>
      </c>
      <c r="E110" s="94">
        <f t="shared" si="78"/>
        <v>36.886000000000003</v>
      </c>
      <c r="F110" s="94">
        <f t="shared" si="78"/>
        <v>7.2139999999999995</v>
      </c>
      <c r="G110" s="94">
        <f t="shared" si="78"/>
        <v>33.910000000000004</v>
      </c>
      <c r="H110" s="94">
        <f t="shared" si="78"/>
        <v>24.498000000000001</v>
      </c>
      <c r="I110" s="94">
        <f t="shared" si="78"/>
        <v>28.059000000000001</v>
      </c>
      <c r="J110" s="94">
        <f t="shared" si="78"/>
        <v>25.700000000000003</v>
      </c>
      <c r="K110" s="94">
        <f t="shared" si="78"/>
        <v>17.338000000000001</v>
      </c>
      <c r="L110" s="95">
        <f t="shared" si="78"/>
        <v>21.647000000000006</v>
      </c>
      <c r="M110" s="95">
        <f t="shared" si="78"/>
        <v>19.577999999999996</v>
      </c>
      <c r="N110" s="95">
        <f t="shared" si="78"/>
        <v>14.151</v>
      </c>
      <c r="O110" s="95">
        <f t="shared" si="78"/>
        <v>7.754999999999999</v>
      </c>
      <c r="P110" s="95">
        <f t="shared" si="78"/>
        <v>2.7349999999999994</v>
      </c>
      <c r="Q110" s="99">
        <f t="shared" ca="1" si="78"/>
        <v>1.3913091131527251</v>
      </c>
      <c r="R110" s="99">
        <f t="shared" ca="1" si="78"/>
        <v>-0.57464199476081423</v>
      </c>
      <c r="S110" s="99">
        <f t="shared" ca="1" si="78"/>
        <v>-2.8617581157853067</v>
      </c>
      <c r="T110" s="99">
        <f t="shared" ca="1" si="78"/>
        <v>-5.6993104137381048</v>
      </c>
      <c r="U110" s="99">
        <f t="shared" ca="1" si="78"/>
        <v>-8.3472992233719499</v>
      </c>
      <c r="V110" s="99">
        <f t="shared" ca="1" si="78"/>
        <v>-11.045800593411508</v>
      </c>
      <c r="W110" s="99">
        <f t="shared" ca="1" si="78"/>
        <v>-13.885703559213525</v>
      </c>
      <c r="X110" s="99">
        <f t="shared" ca="1" si="78"/>
        <v>-16.779230292514139</v>
      </c>
      <c r="Y110" s="99">
        <f t="shared" ca="1" si="78"/>
        <v>-19.842668343293095</v>
      </c>
      <c r="Z110" s="99">
        <f t="shared" ca="1" si="78"/>
        <v>-22.973759207915297</v>
      </c>
    </row>
    <row r="111" spans="1:26" x14ac:dyDescent="0.25">
      <c r="A111" s="11" t="s">
        <v>921</v>
      </c>
      <c r="B111" s="11"/>
      <c r="C111" s="15"/>
      <c r="D111" s="94">
        <f t="shared" ref="D111:Z111" si="79">SUM(D$99,D$106,D$110)</f>
        <v>1.1099999999999985</v>
      </c>
      <c r="E111" s="94">
        <f t="shared" si="79"/>
        <v>0.83900000000000574</v>
      </c>
      <c r="F111" s="94">
        <f t="shared" si="79"/>
        <v>-1.8389999999999871</v>
      </c>
      <c r="G111" s="94">
        <f t="shared" si="79"/>
        <v>-1.1410000000000053</v>
      </c>
      <c r="H111" s="94">
        <f t="shared" si="79"/>
        <v>0.56099999999997863</v>
      </c>
      <c r="I111" s="94">
        <f t="shared" si="79"/>
        <v>-2.5330000000000368</v>
      </c>
      <c r="J111" s="94">
        <f t="shared" si="79"/>
        <v>7.3930000000000113</v>
      </c>
      <c r="K111" s="94">
        <f t="shared" si="79"/>
        <v>4.5739999999999839</v>
      </c>
      <c r="L111" s="95">
        <f t="shared" ca="1" si="79"/>
        <v>0.1740000000000208</v>
      </c>
      <c r="M111" s="95">
        <f t="shared" ca="1" si="79"/>
        <v>-0.22000000000000952</v>
      </c>
      <c r="N111" s="95">
        <f t="shared" ca="1" si="79"/>
        <v>0.27300000000002811</v>
      </c>
      <c r="O111" s="95">
        <f t="shared" ca="1" si="79"/>
        <v>-0.36900000000001043</v>
      </c>
      <c r="P111" s="95">
        <f t="shared" ca="1" si="79"/>
        <v>-0.4310000000000187</v>
      </c>
      <c r="Q111" s="99">
        <f t="shared" ca="1" si="79"/>
        <v>0.72722349197297387</v>
      </c>
      <c r="R111" s="99">
        <f t="shared" ca="1" si="79"/>
        <v>0.78284427524118139</v>
      </c>
      <c r="S111" s="99">
        <f t="shared" ca="1" si="79"/>
        <v>0.82400168104932803</v>
      </c>
      <c r="T111" s="99">
        <f t="shared" ca="1" si="79"/>
        <v>0.86240394998211922</v>
      </c>
      <c r="U111" s="99">
        <f t="shared" ca="1" si="79"/>
        <v>0.91188600324515612</v>
      </c>
      <c r="V111" s="99">
        <f t="shared" ca="1" si="79"/>
        <v>0.96192453114824339</v>
      </c>
      <c r="W111" s="99">
        <f t="shared" ca="1" si="79"/>
        <v>1.0083944769988911</v>
      </c>
      <c r="X111" s="99">
        <f t="shared" ca="1" si="79"/>
        <v>1.0599005042706224</v>
      </c>
      <c r="Y111" s="99">
        <f t="shared" ca="1" si="79"/>
        <v>1.1221837707241136</v>
      </c>
      <c r="Z111" s="99">
        <f t="shared" ca="1" si="79"/>
        <v>1.1882397444529218</v>
      </c>
    </row>
    <row r="112" spans="1:26" x14ac:dyDescent="0.25">
      <c r="A112" s="57" t="s">
        <v>1198</v>
      </c>
      <c r="B112" s="11"/>
      <c r="C112" s="15"/>
      <c r="D112" s="89"/>
      <c r="E112" s="89"/>
      <c r="F112" s="89"/>
      <c r="G112" s="89"/>
      <c r="H112" s="89"/>
      <c r="I112" s="89"/>
      <c r="J112" s="89"/>
      <c r="K112" s="89"/>
      <c r="L112" s="66"/>
      <c r="M112" s="66"/>
      <c r="N112" s="66"/>
      <c r="O112" s="66"/>
      <c r="P112" s="66"/>
      <c r="Q112" s="17"/>
      <c r="R112" s="17"/>
      <c r="S112" s="17"/>
      <c r="T112" s="17"/>
      <c r="U112" s="17"/>
      <c r="V112" s="17"/>
      <c r="W112" s="17"/>
      <c r="X112" s="17"/>
      <c r="Y112" s="17"/>
      <c r="Z112" s="17"/>
    </row>
    <row r="113" spans="1:26" x14ac:dyDescent="0.25">
      <c r="A113" s="11" t="s">
        <v>1199</v>
      </c>
      <c r="B113" s="11"/>
      <c r="C113" s="15"/>
      <c r="D113" s="51">
        <f t="shared" ref="D113:Z113" si="80">SUM(D$337,D$341,-D$38)</f>
        <v>-7.3769999999999989</v>
      </c>
      <c r="E113" s="51">
        <f t="shared" si="80"/>
        <v>-7.1269999999999998</v>
      </c>
      <c r="F113" s="51">
        <f t="shared" si="80"/>
        <v>20.545999999999999</v>
      </c>
      <c r="G113" s="51">
        <f t="shared" si="80"/>
        <v>-7.6029999999999998</v>
      </c>
      <c r="H113" s="51">
        <f t="shared" si="80"/>
        <v>14.132000000000001</v>
      </c>
      <c r="I113" s="51">
        <f t="shared" si="80"/>
        <v>4.3490000000000002</v>
      </c>
      <c r="J113" s="51">
        <f t="shared" si="80"/>
        <v>9.2910000000000021</v>
      </c>
      <c r="K113" s="51">
        <f t="shared" si="80"/>
        <v>11.493</v>
      </c>
      <c r="L113" s="47">
        <f t="shared" si="80"/>
        <v>5.6529999999999996</v>
      </c>
      <c r="M113" s="47">
        <f t="shared" si="80"/>
        <v>5.9889999999999999</v>
      </c>
      <c r="N113" s="47">
        <f t="shared" si="80"/>
        <v>6.452</v>
      </c>
      <c r="O113" s="47">
        <f t="shared" si="80"/>
        <v>6.8119999999999994</v>
      </c>
      <c r="P113" s="47">
        <f t="shared" si="80"/>
        <v>7.27</v>
      </c>
      <c r="Q113" s="21">
        <f t="shared" ca="1" si="80"/>
        <v>7.6572790922277196</v>
      </c>
      <c r="R113" s="21">
        <f t="shared" ca="1" si="80"/>
        <v>8.1526931321229306</v>
      </c>
      <c r="S113" s="21">
        <f t="shared" ca="1" si="80"/>
        <v>8.6746683472306803</v>
      </c>
      <c r="T113" s="21">
        <f t="shared" ca="1" si="80"/>
        <v>9.2260881917070119</v>
      </c>
      <c r="U113" s="21">
        <f t="shared" ca="1" si="80"/>
        <v>9.8058646412981858</v>
      </c>
      <c r="V113" s="21">
        <f t="shared" ca="1" si="80"/>
        <v>10.407207446737695</v>
      </c>
      <c r="W113" s="21">
        <f t="shared" ca="1" si="80"/>
        <v>11.035010025531193</v>
      </c>
      <c r="X113" s="21">
        <f t="shared" ca="1" si="80"/>
        <v>11.694357565495913</v>
      </c>
      <c r="Y113" s="21">
        <f t="shared" ca="1" si="80"/>
        <v>12.392549417281048</v>
      </c>
      <c r="Z113" s="21">
        <f t="shared" ca="1" si="80"/>
        <v>13.135911103781851</v>
      </c>
    </row>
    <row r="114" spans="1:26" x14ac:dyDescent="0.25">
      <c r="A114" s="12" t="s">
        <v>872</v>
      </c>
      <c r="B114" s="14"/>
      <c r="C114" s="15"/>
      <c r="D114" s="50">
        <f t="shared" ref="D114:Z114" si="81">D$218</f>
        <v>4.5540000000000003</v>
      </c>
      <c r="E114" s="50">
        <f t="shared" si="81"/>
        <v>5.2940000000000005</v>
      </c>
      <c r="F114" s="50">
        <f t="shared" si="81"/>
        <v>5.5660000000000007</v>
      </c>
      <c r="G114" s="50">
        <f t="shared" si="81"/>
        <v>6.1520000000000001</v>
      </c>
      <c r="H114" s="50">
        <f t="shared" si="81"/>
        <v>6.6009999999999991</v>
      </c>
      <c r="I114" s="50">
        <f t="shared" si="81"/>
        <v>7.6210000000000004</v>
      </c>
      <c r="J114" s="50">
        <f t="shared" si="81"/>
        <v>8.2940000000000005</v>
      </c>
      <c r="K114" s="50">
        <f t="shared" si="81"/>
        <v>8.6809999999999992</v>
      </c>
      <c r="L114" s="48">
        <f t="shared" si="81"/>
        <v>8.9619999999999997</v>
      </c>
      <c r="M114" s="48">
        <f t="shared" si="81"/>
        <v>9.2749999999999986</v>
      </c>
      <c r="N114" s="48">
        <f t="shared" si="81"/>
        <v>9.4580000000000002</v>
      </c>
      <c r="O114" s="48">
        <f t="shared" si="81"/>
        <v>9.8339999999999996</v>
      </c>
      <c r="P114" s="48">
        <f t="shared" si="81"/>
        <v>9.9480000000000004</v>
      </c>
      <c r="Q114" s="20">
        <f t="shared" ca="1" si="81"/>
        <v>9.7296873531633512</v>
      </c>
      <c r="R114" s="20">
        <f t="shared" ca="1" si="81"/>
        <v>9.8267814099919946</v>
      </c>
      <c r="S114" s="20">
        <f t="shared" ca="1" si="81"/>
        <v>9.92581734795721</v>
      </c>
      <c r="T114" s="20">
        <f t="shared" ca="1" si="81"/>
        <v>10.026834004681728</v>
      </c>
      <c r="U114" s="20">
        <f t="shared" ca="1" si="81"/>
        <v>10.129870994540738</v>
      </c>
      <c r="V114" s="20">
        <f t="shared" ca="1" si="81"/>
        <v>10.234968724196928</v>
      </c>
      <c r="W114" s="20">
        <f t="shared" ca="1" si="81"/>
        <v>10.342168408446243</v>
      </c>
      <c r="X114" s="20">
        <f t="shared" ca="1" si="81"/>
        <v>10.451512086380543</v>
      </c>
      <c r="Y114" s="20">
        <f t="shared" ca="1" si="81"/>
        <v>10.563042637873529</v>
      </c>
      <c r="Z114" s="20">
        <f t="shared" ca="1" si="81"/>
        <v>10.676803800396376</v>
      </c>
    </row>
    <row r="115" spans="1:26" x14ac:dyDescent="0.25">
      <c r="A115" s="12" t="s">
        <v>926</v>
      </c>
      <c r="B115" s="14" t="str">
        <f t="shared" ref="B115:B120" si="82">$B$38</f>
        <v>From Fiscal Forecasts</v>
      </c>
      <c r="C115" s="15"/>
      <c r="D115" s="50">
        <f>-'Fiscal Forecasts'!D$104</f>
        <v>-1.5799999999999996</v>
      </c>
      <c r="E115" s="50">
        <f>-'Fiscal Forecasts'!E$104</f>
        <v>2.726</v>
      </c>
      <c r="F115" s="50">
        <f>-'Fiscal Forecasts'!F$104</f>
        <v>1.0489999999999999</v>
      </c>
      <c r="G115" s="50">
        <f>-'Fiscal Forecasts'!G$104</f>
        <v>-0.26900000000000002</v>
      </c>
      <c r="H115" s="50">
        <f>-'Fiscal Forecasts'!H$104</f>
        <v>0.73399999999999999</v>
      </c>
      <c r="I115" s="50">
        <f>-'Fiscal Forecasts'!I$104</f>
        <v>1.1950000000000001</v>
      </c>
      <c r="J115" s="50">
        <f>-'Fiscal Forecasts'!J$104</f>
        <v>0.97499999999999998</v>
      </c>
      <c r="K115" s="50">
        <f>-'Fiscal Forecasts'!K$104</f>
        <v>1.589</v>
      </c>
      <c r="L115" s="48">
        <f>-'Fiscal Forecasts'!L$104</f>
        <v>0.871</v>
      </c>
      <c r="M115" s="48">
        <f>-'Fiscal Forecasts'!M$104</f>
        <v>0.89200000000000002</v>
      </c>
      <c r="N115" s="48">
        <f>-'Fiscal Forecasts'!N$104</f>
        <v>0.91400000000000003</v>
      </c>
      <c r="O115" s="48">
        <f>-'Fiscal Forecasts'!O$104</f>
        <v>0.878</v>
      </c>
      <c r="P115" s="48">
        <f>-'Fiscal Forecasts'!P$104</f>
        <v>0.85699999999999998</v>
      </c>
      <c r="Q115" s="20">
        <f t="shared" ref="Q115:Z115" ca="1" si="83">SUM(Q$219,Q$220)</f>
        <v>0.87106089756178018</v>
      </c>
      <c r="R115" s="20">
        <f t="shared" ca="1" si="83"/>
        <v>0.89422465669387186</v>
      </c>
      <c r="S115" s="20">
        <f t="shared" ca="1" si="83"/>
        <v>0.91786048368810702</v>
      </c>
      <c r="T115" s="20">
        <f t="shared" ca="1" si="83"/>
        <v>0.9421224895868836</v>
      </c>
      <c r="U115" s="20">
        <f t="shared" ca="1" si="83"/>
        <v>0.96695392524206092</v>
      </c>
      <c r="V115" s="20">
        <f t="shared" ca="1" si="83"/>
        <v>0.99265125138392873</v>
      </c>
      <c r="W115" s="20">
        <f t="shared" ca="1" si="83"/>
        <v>1.0192236069595728</v>
      </c>
      <c r="X115" s="20">
        <f t="shared" ca="1" si="83"/>
        <v>1.0465369348744327</v>
      </c>
      <c r="Y115" s="20">
        <f t="shared" ca="1" si="83"/>
        <v>1.0746367734255748</v>
      </c>
      <c r="Z115" s="20">
        <f t="shared" ca="1" si="83"/>
        <v>1.1036700671419546</v>
      </c>
    </row>
    <row r="116" spans="1:26" x14ac:dyDescent="0.25">
      <c r="A116" s="12" t="s">
        <v>927</v>
      </c>
      <c r="B116" s="14" t="str">
        <f t="shared" si="82"/>
        <v>From Fiscal Forecasts</v>
      </c>
      <c r="C116" s="15"/>
      <c r="D116" s="50">
        <f>-'Fiscal Forecasts'!D$105</f>
        <v>0.76300000000000001</v>
      </c>
      <c r="E116" s="50">
        <f>-'Fiscal Forecasts'!E$105</f>
        <v>1.2789999999999999</v>
      </c>
      <c r="F116" s="50">
        <f>-'Fiscal Forecasts'!F$105</f>
        <v>1.0389999999999999</v>
      </c>
      <c r="G116" s="50">
        <f>-'Fiscal Forecasts'!G$105</f>
        <v>0.85799999999999998</v>
      </c>
      <c r="H116" s="50">
        <f>-'Fiscal Forecasts'!H$105</f>
        <v>0.73799999999999999</v>
      </c>
      <c r="I116" s="50">
        <f>-'Fiscal Forecasts'!I$105</f>
        <v>0.71899999999999997</v>
      </c>
      <c r="J116" s="50">
        <f>-'Fiscal Forecasts'!J$105</f>
        <v>0.66100000000000003</v>
      </c>
      <c r="K116" s="50">
        <f>-'Fiscal Forecasts'!K$105</f>
        <v>0.82699999999999996</v>
      </c>
      <c r="L116" s="48">
        <f>-'Fiscal Forecasts'!L$105</f>
        <v>0.78500000000000003</v>
      </c>
      <c r="M116" s="48">
        <f>-'Fiscal Forecasts'!M$105</f>
        <v>0.84799999999999998</v>
      </c>
      <c r="N116" s="48">
        <f>-'Fiscal Forecasts'!N$105</f>
        <v>0.92200000000000004</v>
      </c>
      <c r="O116" s="48">
        <f>-'Fiscal Forecasts'!O$105</f>
        <v>0.89200000000000002</v>
      </c>
      <c r="P116" s="48">
        <f>-'Fiscal Forecasts'!P$105</f>
        <v>0.92200000000000004</v>
      </c>
      <c r="Q116" s="20">
        <f t="shared" ref="Q116:Z116" si="84">Q$402</f>
        <v>0.91100000000000003</v>
      </c>
      <c r="R116" s="20">
        <f t="shared" si="84"/>
        <v>0.93799999999999994</v>
      </c>
      <c r="S116" s="20">
        <f t="shared" si="84"/>
        <v>0.96199999999999997</v>
      </c>
      <c r="T116" s="20">
        <f t="shared" si="84"/>
        <v>0.98499999999999999</v>
      </c>
      <c r="U116" s="20">
        <f t="shared" si="84"/>
        <v>1.006</v>
      </c>
      <c r="V116" s="20">
        <f t="shared" si="84"/>
        <v>1.0249999999999999</v>
      </c>
      <c r="W116" s="20">
        <f t="shared" si="84"/>
        <v>1.046</v>
      </c>
      <c r="X116" s="20">
        <f t="shared" si="84"/>
        <v>1.0669999999999999</v>
      </c>
      <c r="Y116" s="20">
        <f t="shared" si="84"/>
        <v>1.0880000000000001</v>
      </c>
      <c r="Z116" s="20">
        <f t="shared" si="84"/>
        <v>1.109</v>
      </c>
    </row>
    <row r="117" spans="1:26" x14ac:dyDescent="0.25">
      <c r="A117" s="12" t="s">
        <v>1200</v>
      </c>
      <c r="B117" s="14" t="str">
        <f t="shared" si="82"/>
        <v>From Fiscal Forecasts</v>
      </c>
      <c r="C117" s="15"/>
      <c r="D117" s="50">
        <f>-'Fiscal Forecasts'!D$106</f>
        <v>4.1000000000000002E-2</v>
      </c>
      <c r="E117" s="50">
        <f>-'Fiscal Forecasts'!E$106</f>
        <v>5.2999999999999999E-2</v>
      </c>
      <c r="F117" s="50">
        <f>-'Fiscal Forecasts'!F$106</f>
        <v>1E-3</v>
      </c>
      <c r="G117" s="50">
        <f>-'Fiscal Forecasts'!G$106</f>
        <v>3.7999999999999999E-2</v>
      </c>
      <c r="H117" s="50">
        <f>-'Fiscal Forecasts'!H$106</f>
        <v>9.7000000000000003E-2</v>
      </c>
      <c r="I117" s="50">
        <f>-'Fiscal Forecasts'!I$106</f>
        <v>0.123</v>
      </c>
      <c r="J117" s="50">
        <f>-'Fiscal Forecasts'!J$106</f>
        <v>6.4000000000000001E-2</v>
      </c>
      <c r="K117" s="50">
        <f>-'Fiscal Forecasts'!K$106</f>
        <v>7.6999999999999999E-2</v>
      </c>
      <c r="L117" s="48">
        <f>-'Fiscal Forecasts'!L$106</f>
        <v>-3.3000000000000002E-2</v>
      </c>
      <c r="M117" s="48">
        <f>-'Fiscal Forecasts'!M$106</f>
        <v>3.4000000000000002E-2</v>
      </c>
      <c r="N117" s="48">
        <f>-'Fiscal Forecasts'!N$106</f>
        <v>4.2999999999999997E-2</v>
      </c>
      <c r="O117" s="48">
        <f>-'Fiscal Forecasts'!O$106</f>
        <v>4.5999999999999999E-2</v>
      </c>
      <c r="P117" s="48">
        <f>-'Fiscal Forecasts'!P$106</f>
        <v>5.1999999999999998E-2</v>
      </c>
      <c r="Q117" s="20">
        <f ca="1">IF(Q$6=OFFSET(Assumptions!$B$8,0,$C$1),OFFSET(Assumptions!$B$9,0,$C$1),P$117)</f>
        <v>0</v>
      </c>
      <c r="R117" s="20">
        <f ca="1">IF(R$6=OFFSET(Assumptions!$B$8,0,$C$1),OFFSET(Assumptions!$B$9,0,$C$1),Q$117)</f>
        <v>0</v>
      </c>
      <c r="S117" s="20">
        <f ca="1">IF(S$6=OFFSET(Assumptions!$B$8,0,$C$1),OFFSET(Assumptions!$B$9,0,$C$1),R$117)</f>
        <v>0</v>
      </c>
      <c r="T117" s="20">
        <f ca="1">IF(T$6=OFFSET(Assumptions!$B$8,0,$C$1),OFFSET(Assumptions!$B$9,0,$C$1),S$117)</f>
        <v>0</v>
      </c>
      <c r="U117" s="20">
        <f ca="1">IF(U$6=OFFSET(Assumptions!$B$8,0,$C$1),OFFSET(Assumptions!$B$9,0,$C$1),T$117)</f>
        <v>0</v>
      </c>
      <c r="V117" s="20">
        <f ca="1">IF(V$6=OFFSET(Assumptions!$B$8,0,$C$1),OFFSET(Assumptions!$B$9,0,$C$1),U$117)</f>
        <v>0</v>
      </c>
      <c r="W117" s="20">
        <f ca="1">IF(W$6=OFFSET(Assumptions!$B$8,0,$C$1),OFFSET(Assumptions!$B$9,0,$C$1),V$117)</f>
        <v>0</v>
      </c>
      <c r="X117" s="20">
        <f ca="1">IF(X$6=OFFSET(Assumptions!$B$8,0,$C$1),OFFSET(Assumptions!$B$9,0,$C$1),W$117)</f>
        <v>0</v>
      </c>
      <c r="Y117" s="20">
        <f ca="1">IF(Y$6=OFFSET(Assumptions!$B$8,0,$C$1),OFFSET(Assumptions!$B$9,0,$C$1),X$117)</f>
        <v>0</v>
      </c>
      <c r="Z117" s="20">
        <f ca="1">IF(Z$6=OFFSET(Assumptions!$B$8,0,$C$1),OFFSET(Assumptions!$B$9,0,$C$1),Y$117)</f>
        <v>0</v>
      </c>
    </row>
    <row r="118" spans="1:26" x14ac:dyDescent="0.25">
      <c r="A118" s="12" t="s">
        <v>929</v>
      </c>
      <c r="B118" s="14" t="str">
        <f t="shared" si="82"/>
        <v>From Fiscal Forecasts</v>
      </c>
      <c r="C118" s="15"/>
      <c r="D118" s="50">
        <f>-'Fiscal Forecasts'!D$107</f>
        <v>1.768</v>
      </c>
      <c r="E118" s="50">
        <f>-'Fiscal Forecasts'!E$107</f>
        <v>2.351</v>
      </c>
      <c r="F118" s="50">
        <f>-'Fiscal Forecasts'!F$107</f>
        <v>1.8680000000000001</v>
      </c>
      <c r="G118" s="50">
        <f>-'Fiscal Forecasts'!G$107</f>
        <v>1.696</v>
      </c>
      <c r="H118" s="50">
        <f>-'Fiscal Forecasts'!H$107</f>
        <v>3.5249999999999999</v>
      </c>
      <c r="I118" s="50">
        <f>-'Fiscal Forecasts'!I$107</f>
        <v>3.8380000000000001</v>
      </c>
      <c r="J118" s="50">
        <f>-'Fiscal Forecasts'!J$107</f>
        <v>4.3390000000000004</v>
      </c>
      <c r="K118" s="50">
        <f>-'Fiscal Forecasts'!K$107</f>
        <v>1.9279999999999999</v>
      </c>
      <c r="L118" s="48">
        <f>-'Fiscal Forecasts'!L$107</f>
        <v>1.6359999999999999</v>
      </c>
      <c r="M118" s="48">
        <f>-'Fiscal Forecasts'!M$107</f>
        <v>1.998</v>
      </c>
      <c r="N118" s="48">
        <f>-'Fiscal Forecasts'!N$107</f>
        <v>2.1019999999999999</v>
      </c>
      <c r="O118" s="48">
        <f>-'Fiscal Forecasts'!O$107</f>
        <v>2.2869999999999999</v>
      </c>
      <c r="P118" s="48">
        <f>-'Fiscal Forecasts'!P$107</f>
        <v>2.4569999999999999</v>
      </c>
      <c r="Q118" s="20">
        <f t="shared" ref="Q118:Z118" ca="1" si="85">Q$460-P$460</f>
        <v>3.530282328841821</v>
      </c>
      <c r="R118" s="20">
        <f t="shared" ca="1" si="85"/>
        <v>3.7140215577371549</v>
      </c>
      <c r="S118" s="20">
        <f t="shared" ca="1" si="85"/>
        <v>3.8122098213394651</v>
      </c>
      <c r="T118" s="20">
        <f t="shared" ca="1" si="85"/>
        <v>4.0095513075182794</v>
      </c>
      <c r="U118" s="20">
        <f t="shared" ca="1" si="85"/>
        <v>4.1935672940409034</v>
      </c>
      <c r="V118" s="20">
        <f t="shared" ca="1" si="85"/>
        <v>4.400995933931739</v>
      </c>
      <c r="W118" s="20">
        <f t="shared" ca="1" si="85"/>
        <v>4.618973898877428</v>
      </c>
      <c r="X118" s="20">
        <f t="shared" ca="1" si="85"/>
        <v>4.8066237935115765</v>
      </c>
      <c r="Y118" s="20">
        <f t="shared" ca="1" si="85"/>
        <v>5.0381852717342639</v>
      </c>
      <c r="Z118" s="20">
        <f t="shared" ca="1" si="85"/>
        <v>5.2154521576891852</v>
      </c>
    </row>
    <row r="119" spans="1:26" x14ac:dyDescent="0.25">
      <c r="A119" s="12" t="s">
        <v>1475</v>
      </c>
      <c r="B119" s="14" t="str">
        <f t="shared" si="82"/>
        <v>From Fiscal Forecasts</v>
      </c>
      <c r="C119" s="15"/>
      <c r="D119" s="50">
        <f>-'Fiscal Forecasts'!D$108</f>
        <v>0</v>
      </c>
      <c r="E119" s="50">
        <f>-'Fiscal Forecasts'!E$108</f>
        <v>0</v>
      </c>
      <c r="F119" s="50">
        <f>-'Fiscal Forecasts'!F$108</f>
        <v>0</v>
      </c>
      <c r="G119" s="50">
        <f>-'Fiscal Forecasts'!G$108</f>
        <v>0</v>
      </c>
      <c r="H119" s="50">
        <f>-'Fiscal Forecasts'!H$108</f>
        <v>-0.39500000000000002</v>
      </c>
      <c r="I119" s="50">
        <f>-'Fiscal Forecasts'!I$108</f>
        <v>-0.61399999999999999</v>
      </c>
      <c r="J119" s="50">
        <f>-'Fiscal Forecasts'!J$108</f>
        <v>-0.755</v>
      </c>
      <c r="K119" s="50">
        <f>-'Fiscal Forecasts'!K$108</f>
        <v>-0.41899999999999998</v>
      </c>
      <c r="L119" s="48">
        <f>-'Fiscal Forecasts'!L$108</f>
        <v>-0.63200000000000001</v>
      </c>
      <c r="M119" s="48">
        <f>-'Fiscal Forecasts'!M$108</f>
        <v>-0.57299999999999995</v>
      </c>
      <c r="N119" s="48">
        <f>-'Fiscal Forecasts'!N$108</f>
        <v>-0.46200000000000002</v>
      </c>
      <c r="O119" s="48">
        <f>-'Fiscal Forecasts'!O$108</f>
        <v>-0.35299999999999998</v>
      </c>
      <c r="P119" s="48">
        <f>-'Fiscal Forecasts'!P$108</f>
        <v>-0.21199999999999999</v>
      </c>
      <c r="Q119" s="20">
        <f t="shared" ref="Q119:Z119" ca="1" si="86">Q$454-P$454</f>
        <v>-4.7080000000000233E-2</v>
      </c>
      <c r="R119" s="20">
        <f t="shared" ca="1" si="86"/>
        <v>-1.7581599999999753E-2</v>
      </c>
      <c r="S119" s="20">
        <f t="shared" ca="1" si="86"/>
        <v>1.2506767999999724E-2</v>
      </c>
      <c r="T119" s="20">
        <f t="shared" ca="1" si="86"/>
        <v>3.6999999999999922E-2</v>
      </c>
      <c r="U119" s="20">
        <f t="shared" ca="1" si="86"/>
        <v>3.6999999999999922E-2</v>
      </c>
      <c r="V119" s="20">
        <f t="shared" ca="1" si="86"/>
        <v>3.6999999999999922E-2</v>
      </c>
      <c r="W119" s="20">
        <f t="shared" ca="1" si="86"/>
        <v>3.6999999999999922E-2</v>
      </c>
      <c r="X119" s="20">
        <f t="shared" ca="1" si="86"/>
        <v>3.6999999999999922E-2</v>
      </c>
      <c r="Y119" s="20">
        <f t="shared" ca="1" si="86"/>
        <v>3.6999999999999922E-2</v>
      </c>
      <c r="Z119" s="20">
        <f t="shared" ca="1" si="86"/>
        <v>3.6999999999999922E-2</v>
      </c>
    </row>
    <row r="120" spans="1:26" x14ac:dyDescent="0.25">
      <c r="A120" s="12" t="s">
        <v>930</v>
      </c>
      <c r="B120" s="14" t="str">
        <f t="shared" si="82"/>
        <v>From Fiscal Forecasts</v>
      </c>
      <c r="C120" s="15"/>
      <c r="D120" s="50">
        <f>-'Fiscal Forecasts'!D$109</f>
        <v>-0.57099999999999995</v>
      </c>
      <c r="E120" s="50">
        <f>-'Fiscal Forecasts'!E$109</f>
        <v>0.80400000000000005</v>
      </c>
      <c r="F120" s="50">
        <f>-'Fiscal Forecasts'!F$109</f>
        <v>-0.73299999999999998</v>
      </c>
      <c r="G120" s="50">
        <f>-'Fiscal Forecasts'!G$109</f>
        <v>-0.79</v>
      </c>
      <c r="H120" s="50">
        <f>-'Fiscal Forecasts'!H$109</f>
        <v>-6.0999999999999999E-2</v>
      </c>
      <c r="I120" s="50">
        <f>-'Fiscal Forecasts'!I$109</f>
        <v>-6.0999999999999999E-2</v>
      </c>
      <c r="J120" s="50">
        <f>-'Fiscal Forecasts'!J$109</f>
        <v>4.9000000000000002E-2</v>
      </c>
      <c r="K120" s="50">
        <f>-'Fiscal Forecasts'!K$109</f>
        <v>0.32300000000000001</v>
      </c>
      <c r="L120" s="48">
        <f>-'Fiscal Forecasts'!L$109</f>
        <v>4.5999999999999999E-2</v>
      </c>
      <c r="M120" s="48">
        <f>-'Fiscal Forecasts'!M$109</f>
        <v>4.8000000000000001E-2</v>
      </c>
      <c r="N120" s="48">
        <f>-'Fiscal Forecasts'!N$109</f>
        <v>4.7E-2</v>
      </c>
      <c r="O120" s="48">
        <f>-'Fiscal Forecasts'!O$109</f>
        <v>4.5999999999999999E-2</v>
      </c>
      <c r="P120" s="48">
        <f>-'Fiscal Forecasts'!P$109</f>
        <v>4.4999999999999998E-2</v>
      </c>
      <c r="Q120" s="20">
        <f t="shared" ref="Q120:Z120" ca="1" si="87">Q$465-P$465</f>
        <v>-0.17411321626617449</v>
      </c>
      <c r="R120" s="20">
        <f t="shared" ca="1" si="87"/>
        <v>-0.17596649722735647</v>
      </c>
      <c r="S120" s="20">
        <f t="shared" ca="1" si="87"/>
        <v>-0.17725092421441779</v>
      </c>
      <c r="T120" s="20">
        <f t="shared" ca="1" si="87"/>
        <v>-0.17767906654343824</v>
      </c>
      <c r="U120" s="20">
        <f t="shared" ca="1" si="87"/>
        <v>-0.17168507393715338</v>
      </c>
      <c r="V120" s="20">
        <f t="shared" ca="1" si="87"/>
        <v>-0.16954436229205205</v>
      </c>
      <c r="W120" s="20">
        <f t="shared" ca="1" si="87"/>
        <v>-0.1669755083179294</v>
      </c>
      <c r="X120" s="20">
        <f t="shared" ca="1" si="87"/>
        <v>-0.16397851201478764</v>
      </c>
      <c r="Y120" s="20">
        <f t="shared" ca="1" si="87"/>
        <v>-0.1596970887245841</v>
      </c>
      <c r="Z120" s="20">
        <f t="shared" ca="1" si="87"/>
        <v>-0.15584380776340101</v>
      </c>
    </row>
    <row r="121" spans="1:26" x14ac:dyDescent="0.25">
      <c r="A121" s="11" t="s">
        <v>1201</v>
      </c>
      <c r="B121" s="11"/>
      <c r="C121" s="15"/>
      <c r="D121" s="94">
        <f t="shared" ref="D121:Z121" si="88">-SUM(D$114:D$120)</f>
        <v>-4.9750000000000005</v>
      </c>
      <c r="E121" s="94">
        <f t="shared" si="88"/>
        <v>-12.507</v>
      </c>
      <c r="F121" s="94">
        <f t="shared" si="88"/>
        <v>-8.7899999999999991</v>
      </c>
      <c r="G121" s="94">
        <f t="shared" si="88"/>
        <v>-7.6849999999999996</v>
      </c>
      <c r="H121" s="94">
        <f t="shared" si="88"/>
        <v>-11.238999999999999</v>
      </c>
      <c r="I121" s="94">
        <f t="shared" si="88"/>
        <v>-12.820999999999998</v>
      </c>
      <c r="J121" s="94">
        <f t="shared" si="88"/>
        <v>-13.626999999999999</v>
      </c>
      <c r="K121" s="94">
        <f t="shared" si="88"/>
        <v>-13.006</v>
      </c>
      <c r="L121" s="95">
        <f t="shared" si="88"/>
        <v>-11.635</v>
      </c>
      <c r="M121" s="95">
        <f t="shared" si="88"/>
        <v>-12.521999999999998</v>
      </c>
      <c r="N121" s="95">
        <f t="shared" si="88"/>
        <v>-13.024000000000001</v>
      </c>
      <c r="O121" s="95">
        <f t="shared" si="88"/>
        <v>-13.629999999999997</v>
      </c>
      <c r="P121" s="95">
        <f t="shared" si="88"/>
        <v>-14.069000000000001</v>
      </c>
      <c r="Q121" s="99">
        <f t="shared" ca="1" si="88"/>
        <v>-14.820837363300775</v>
      </c>
      <c r="R121" s="99">
        <f t="shared" ca="1" si="88"/>
        <v>-15.179479527195666</v>
      </c>
      <c r="S121" s="99">
        <f t="shared" ca="1" si="88"/>
        <v>-15.453143496770364</v>
      </c>
      <c r="T121" s="99">
        <f t="shared" ca="1" si="88"/>
        <v>-15.822828735243453</v>
      </c>
      <c r="U121" s="99">
        <f t="shared" ca="1" si="88"/>
        <v>-16.161707139886545</v>
      </c>
      <c r="V121" s="99">
        <f t="shared" ca="1" si="88"/>
        <v>-16.521071547220544</v>
      </c>
      <c r="W121" s="99">
        <f t="shared" ca="1" si="88"/>
        <v>-16.896390405965313</v>
      </c>
      <c r="X121" s="99">
        <f t="shared" ca="1" si="88"/>
        <v>-17.244694302751764</v>
      </c>
      <c r="Y121" s="99">
        <f t="shared" ca="1" si="88"/>
        <v>-17.641167594308783</v>
      </c>
      <c r="Z121" s="99">
        <f t="shared" ca="1" si="88"/>
        <v>-17.986082217464116</v>
      </c>
    </row>
    <row r="122" spans="1:26" x14ac:dyDescent="0.25">
      <c r="A122" s="12" t="s">
        <v>932</v>
      </c>
      <c r="B122" s="14" t="str">
        <f t="shared" ref="B122:B127" si="89">$B$38</f>
        <v>From Fiscal Forecasts</v>
      </c>
      <c r="C122" s="15"/>
      <c r="D122" s="50">
        <f>'Fiscal Forecasts'!D$111</f>
        <v>4.1879999999999997</v>
      </c>
      <c r="E122" s="50">
        <f>'Fiscal Forecasts'!E$111</f>
        <v>0.63100000000000001</v>
      </c>
      <c r="F122" s="50">
        <f>'Fiscal Forecasts'!F$111</f>
        <v>1.4810000000000001</v>
      </c>
      <c r="G122" s="50">
        <f>'Fiscal Forecasts'!G$111</f>
        <v>5.0270000000000001</v>
      </c>
      <c r="H122" s="50">
        <f>'Fiscal Forecasts'!H$111</f>
        <v>1.155</v>
      </c>
      <c r="I122" s="50">
        <f>'Fiscal Forecasts'!I$111</f>
        <v>3.3050000000000002</v>
      </c>
      <c r="J122" s="50">
        <f>'Fiscal Forecasts'!J$111</f>
        <v>-1.62</v>
      </c>
      <c r="K122" s="50">
        <f>'Fiscal Forecasts'!K$111</f>
        <v>-0.81599999999999995</v>
      </c>
      <c r="L122" s="48">
        <f>'Fiscal Forecasts'!L$111</f>
        <v>4.8789999999999996</v>
      </c>
      <c r="M122" s="48">
        <f>'Fiscal Forecasts'!M$111</f>
        <v>1.446</v>
      </c>
      <c r="N122" s="48">
        <f>'Fiscal Forecasts'!N$111</f>
        <v>1.375</v>
      </c>
      <c r="O122" s="48">
        <f>'Fiscal Forecasts'!O$111</f>
        <v>1.5720000000000001</v>
      </c>
      <c r="P122" s="48">
        <f>'Fiscal Forecasts'!P$111</f>
        <v>0.52500000000000002</v>
      </c>
      <c r="Q122" s="20">
        <f t="shared" ref="Q122:Z122" ca="1" si="90">Q$354-P$354</f>
        <v>2.3396562245446049</v>
      </c>
      <c r="R122" s="20">
        <f t="shared" ca="1" si="90"/>
        <v>1.7389672332306674</v>
      </c>
      <c r="S122" s="20">
        <f t="shared" ca="1" si="90"/>
        <v>1.8109203041381008</v>
      </c>
      <c r="T122" s="20">
        <f t="shared" ca="1" si="90"/>
        <v>1.9051544576687078</v>
      </c>
      <c r="U122" s="20">
        <f t="shared" ca="1" si="90"/>
        <v>1.97949050186498</v>
      </c>
      <c r="V122" s="20">
        <f t="shared" ca="1" si="90"/>
        <v>2.0400572158238575</v>
      </c>
      <c r="W122" s="20">
        <f t="shared" ca="1" si="90"/>
        <v>2.0958581851533538</v>
      </c>
      <c r="X122" s="20">
        <f t="shared" ca="1" si="90"/>
        <v>2.1563918293906852</v>
      </c>
      <c r="Y122" s="20">
        <f t="shared" ca="1" si="90"/>
        <v>2.2268386436103</v>
      </c>
      <c r="Z122" s="20">
        <f t="shared" ca="1" si="90"/>
        <v>2.3000483170485424</v>
      </c>
    </row>
    <row r="123" spans="1:26" x14ac:dyDescent="0.25">
      <c r="A123" s="12" t="s">
        <v>933</v>
      </c>
      <c r="B123" s="14" t="str">
        <f t="shared" si="89"/>
        <v>From Fiscal Forecasts</v>
      </c>
      <c r="C123" s="15"/>
      <c r="D123" s="50">
        <f>'Fiscal Forecasts'!D$112</f>
        <v>3.6999999999999998E-2</v>
      </c>
      <c r="E123" s="50">
        <f>'Fiscal Forecasts'!E$112</f>
        <v>2.1000000000000001E-2</v>
      </c>
      <c r="F123" s="50">
        <f>'Fiscal Forecasts'!F$112</f>
        <v>1.1259999999999999</v>
      </c>
      <c r="G123" s="50">
        <f>'Fiscal Forecasts'!G$112</f>
        <v>0.19700000000000001</v>
      </c>
      <c r="H123" s="50">
        <f>'Fiscal Forecasts'!H$112</f>
        <v>0.183</v>
      </c>
      <c r="I123" s="50">
        <f>'Fiscal Forecasts'!I$112</f>
        <v>0.21099999999999999</v>
      </c>
      <c r="J123" s="50">
        <f>'Fiscal Forecasts'!J$112</f>
        <v>-0.98499999999999999</v>
      </c>
      <c r="K123" s="50">
        <f>'Fiscal Forecasts'!K$112</f>
        <v>-1.9179999999999999</v>
      </c>
      <c r="L123" s="48">
        <f>'Fiscal Forecasts'!L$112</f>
        <v>-0.16200000000000001</v>
      </c>
      <c r="M123" s="48">
        <f>'Fiscal Forecasts'!M$112</f>
        <v>0.75700000000000001</v>
      </c>
      <c r="N123" s="48">
        <f>'Fiscal Forecasts'!N$112</f>
        <v>0.33500000000000002</v>
      </c>
      <c r="O123" s="48">
        <f>'Fiscal Forecasts'!O$112</f>
        <v>0.24199999999999999</v>
      </c>
      <c r="P123" s="48">
        <f>'Fiscal Forecasts'!P$112</f>
        <v>0.22800000000000001</v>
      </c>
      <c r="Q123" s="20">
        <f t="shared" ref="Q123:Z123" ca="1" si="91">Q$404-Q$332</f>
        <v>0.70568000000000031</v>
      </c>
      <c r="R123" s="20">
        <f t="shared" ca="1" si="91"/>
        <v>0.74441360000000034</v>
      </c>
      <c r="S123" s="20">
        <f t="shared" ca="1" si="91"/>
        <v>0.78120187200000035</v>
      </c>
      <c r="T123" s="20">
        <f t="shared" ca="1" si="91"/>
        <v>0.81504590944000044</v>
      </c>
      <c r="U123" s="20">
        <f t="shared" ca="1" si="91"/>
        <v>0.84694682762880036</v>
      </c>
      <c r="V123" s="20">
        <f t="shared" ca="1" si="91"/>
        <v>0.87990576418137634</v>
      </c>
      <c r="W123" s="20">
        <f t="shared" ca="1" si="91"/>
        <v>0.91292387946500386</v>
      </c>
      <c r="X123" s="20">
        <f t="shared" ca="1" si="91"/>
        <v>0.94800235705430402</v>
      </c>
      <c r="Y123" s="20">
        <f t="shared" ca="1" si="91"/>
        <v>0.98414240419539001</v>
      </c>
      <c r="Z123" s="20">
        <f t="shared" ca="1" si="91"/>
        <v>1.020345252279298</v>
      </c>
    </row>
    <row r="124" spans="1:26" x14ac:dyDescent="0.25">
      <c r="A124" s="12" t="s">
        <v>934</v>
      </c>
      <c r="B124" s="14" t="str">
        <f t="shared" si="89"/>
        <v>From Fiscal Forecasts</v>
      </c>
      <c r="C124" s="15"/>
      <c r="D124" s="50">
        <f>'Fiscal Forecasts'!D$113</f>
        <v>0.17499999999999999</v>
      </c>
      <c r="E124" s="50">
        <f>'Fiscal Forecasts'!E$113</f>
        <v>0.254</v>
      </c>
      <c r="F124" s="50">
        <f>'Fiscal Forecasts'!F$113</f>
        <v>0.42099999999999999</v>
      </c>
      <c r="G124" s="50">
        <f>'Fiscal Forecasts'!G$113</f>
        <v>0.874</v>
      </c>
      <c r="H124" s="50">
        <f>'Fiscal Forecasts'!H$113</f>
        <v>-2.7E-2</v>
      </c>
      <c r="I124" s="50">
        <f>'Fiscal Forecasts'!I$113</f>
        <v>-0.18</v>
      </c>
      <c r="J124" s="50">
        <f>'Fiscal Forecasts'!J$113</f>
        <v>0.23899999999999999</v>
      </c>
      <c r="K124" s="50">
        <f>'Fiscal Forecasts'!K$113</f>
        <v>0.16500000000000001</v>
      </c>
      <c r="L124" s="48">
        <f>'Fiscal Forecasts'!L$113</f>
        <v>-0.154</v>
      </c>
      <c r="M124" s="48">
        <f>'Fiscal Forecasts'!M$113</f>
        <v>-8.1000000000000003E-2</v>
      </c>
      <c r="N124" s="48">
        <f>'Fiscal Forecasts'!N$113</f>
        <v>0.02</v>
      </c>
      <c r="O124" s="48">
        <f>'Fiscal Forecasts'!O$113</f>
        <v>2.9000000000000001E-2</v>
      </c>
      <c r="P124" s="48">
        <f>'Fiscal Forecasts'!P$113</f>
        <v>-1.2E-2</v>
      </c>
      <c r="Q124" s="20">
        <f t="shared" ref="Q124:Z124" ca="1" si="92">Q$410-P$410</f>
        <v>6.133999999999995E-2</v>
      </c>
      <c r="R124" s="20">
        <f t="shared" ca="1" si="92"/>
        <v>6.2566800000000367E-2</v>
      </c>
      <c r="S124" s="20">
        <f t="shared" ca="1" si="92"/>
        <v>6.3818136000000081E-2</v>
      </c>
      <c r="T124" s="20">
        <f t="shared" ca="1" si="92"/>
        <v>6.5094498720000171E-2</v>
      </c>
      <c r="U124" s="20">
        <f t="shared" ca="1" si="92"/>
        <v>6.6396388694399899E-2</v>
      </c>
      <c r="V124" s="20">
        <f t="shared" ca="1" si="92"/>
        <v>6.7724316468288137E-2</v>
      </c>
      <c r="W124" s="20">
        <f t="shared" ca="1" si="92"/>
        <v>6.9078802797653882E-2</v>
      </c>
      <c r="X124" s="20">
        <f t="shared" ca="1" si="92"/>
        <v>7.0460378853606898E-2</v>
      </c>
      <c r="Y124" s="20">
        <f t="shared" ca="1" si="92"/>
        <v>7.1869586430679089E-2</v>
      </c>
      <c r="Z124" s="20">
        <f t="shared" ca="1" si="92"/>
        <v>7.3306978159292768E-2</v>
      </c>
    </row>
    <row r="125" spans="1:26" x14ac:dyDescent="0.25">
      <c r="A125" s="12" t="s">
        <v>935</v>
      </c>
      <c r="B125" s="14" t="str">
        <f t="shared" si="89"/>
        <v>From Fiscal Forecasts</v>
      </c>
      <c r="C125" s="15"/>
      <c r="D125" s="50">
        <f>'Fiscal Forecasts'!D$114</f>
        <v>3.5999999999999997E-2</v>
      </c>
      <c r="E125" s="50">
        <f>'Fiscal Forecasts'!E$114</f>
        <v>0.108</v>
      </c>
      <c r="F125" s="50">
        <f>'Fiscal Forecasts'!F$114</f>
        <v>6.3E-2</v>
      </c>
      <c r="G125" s="50">
        <f>'Fiscal Forecasts'!G$114</f>
        <v>0.30299999999999999</v>
      </c>
      <c r="H125" s="50">
        <f>'Fiscal Forecasts'!H$114</f>
        <v>0.113</v>
      </c>
      <c r="I125" s="50">
        <f>'Fiscal Forecasts'!I$114</f>
        <v>0.30499999999999999</v>
      </c>
      <c r="J125" s="50">
        <f>'Fiscal Forecasts'!J$114</f>
        <v>0.32800000000000001</v>
      </c>
      <c r="K125" s="50">
        <f>'Fiscal Forecasts'!K$114</f>
        <v>0.183</v>
      </c>
      <c r="L125" s="48">
        <f>'Fiscal Forecasts'!L$114</f>
        <v>0.14699999999999999</v>
      </c>
      <c r="M125" s="48">
        <f>'Fiscal Forecasts'!M$114</f>
        <v>-3.3000000000000002E-2</v>
      </c>
      <c r="N125" s="48">
        <f>'Fiscal Forecasts'!N$114</f>
        <v>0.01</v>
      </c>
      <c r="O125" s="48">
        <f>'Fiscal Forecasts'!O$114</f>
        <v>2E-3</v>
      </c>
      <c r="P125" s="48">
        <f>'Fiscal Forecasts'!P$114</f>
        <v>-6.0000000000000001E-3</v>
      </c>
      <c r="Q125" s="20">
        <f t="shared" ref="Q125:Z125" ca="1" si="93">Q$414-P$414</f>
        <v>0.1062599999999998</v>
      </c>
      <c r="R125" s="20">
        <f t="shared" ca="1" si="93"/>
        <v>0.10838519999999985</v>
      </c>
      <c r="S125" s="20">
        <f t="shared" ca="1" si="93"/>
        <v>0.1105529040000004</v>
      </c>
      <c r="T125" s="20">
        <f t="shared" ca="1" si="93"/>
        <v>0.11276396207999984</v>
      </c>
      <c r="U125" s="20">
        <f t="shared" ca="1" si="93"/>
        <v>0.11501924132160024</v>
      </c>
      <c r="V125" s="20">
        <f t="shared" ca="1" si="93"/>
        <v>0.11731962614803226</v>
      </c>
      <c r="W125" s="20">
        <f t="shared" ca="1" si="93"/>
        <v>0.11966601867099236</v>
      </c>
      <c r="X125" s="20">
        <f t="shared" ca="1" si="93"/>
        <v>0.12205933904441224</v>
      </c>
      <c r="Y125" s="20">
        <f t="shared" ca="1" si="93"/>
        <v>0.12450052582530091</v>
      </c>
      <c r="Z125" s="20">
        <f t="shared" ca="1" si="93"/>
        <v>0.12699053634180668</v>
      </c>
    </row>
    <row r="126" spans="1:26" x14ac:dyDescent="0.25">
      <c r="A126" s="12" t="s">
        <v>1202</v>
      </c>
      <c r="B126" s="14" t="str">
        <f t="shared" si="89"/>
        <v>From Fiscal Forecasts</v>
      </c>
      <c r="C126" s="15"/>
      <c r="D126" s="50">
        <f>-'Fiscal Forecasts'!D$115</f>
        <v>9.7000000000000003E-2</v>
      </c>
      <c r="E126" s="50">
        <f>-'Fiscal Forecasts'!E$115</f>
        <v>6.8000000000000005E-2</v>
      </c>
      <c r="F126" s="50">
        <f>-'Fiscal Forecasts'!F$115</f>
        <v>-0.04</v>
      </c>
      <c r="G126" s="50">
        <f>-'Fiscal Forecasts'!G$115</f>
        <v>0.81899999999999995</v>
      </c>
      <c r="H126" s="50">
        <f>-'Fiscal Forecasts'!H$115</f>
        <v>0.24399999999999999</v>
      </c>
      <c r="I126" s="50">
        <f>-'Fiscal Forecasts'!I$115</f>
        <v>-0.158</v>
      </c>
      <c r="J126" s="50">
        <f>-'Fiscal Forecasts'!J$115</f>
        <v>7.3999999999999996E-2</v>
      </c>
      <c r="K126" s="50">
        <f>-'Fiscal Forecasts'!K$115</f>
        <v>0.27900000000000003</v>
      </c>
      <c r="L126" s="48">
        <f>-'Fiscal Forecasts'!L$115</f>
        <v>-0.10299999999999999</v>
      </c>
      <c r="M126" s="48">
        <f>-'Fiscal Forecasts'!M$115</f>
        <v>-3.9E-2</v>
      </c>
      <c r="N126" s="48">
        <f>-'Fiscal Forecasts'!N$115</f>
        <v>2.9000000000000001E-2</v>
      </c>
      <c r="O126" s="48">
        <f>-'Fiscal Forecasts'!O$115</f>
        <v>5.8000000000000003E-2</v>
      </c>
      <c r="P126" s="48">
        <f>-'Fiscal Forecasts'!P$115</f>
        <v>9.6000000000000002E-2</v>
      </c>
      <c r="Q126" s="20">
        <f t="shared" ref="Q126:Z126" ca="1" si="94">Q$450-P$450</f>
        <v>0.16759999999999975</v>
      </c>
      <c r="R126" s="20">
        <f t="shared" ca="1" si="94"/>
        <v>0.17095200000000066</v>
      </c>
      <c r="S126" s="20">
        <f t="shared" ca="1" si="94"/>
        <v>0.17437104000000048</v>
      </c>
      <c r="T126" s="20">
        <f t="shared" ca="1" si="94"/>
        <v>0.17785846079999956</v>
      </c>
      <c r="U126" s="20">
        <f t="shared" ca="1" si="94"/>
        <v>0.1814156300159997</v>
      </c>
      <c r="V126" s="20">
        <f t="shared" ca="1" si="94"/>
        <v>0.1850439426163204</v>
      </c>
      <c r="W126" s="20">
        <f t="shared" ca="1" si="94"/>
        <v>0.1887448214686458</v>
      </c>
      <c r="X126" s="20">
        <f t="shared" ca="1" si="94"/>
        <v>0.19251971789801914</v>
      </c>
      <c r="Y126" s="20">
        <f t="shared" ca="1" si="94"/>
        <v>0.19637011225598044</v>
      </c>
      <c r="Z126" s="20">
        <f t="shared" ca="1" si="94"/>
        <v>0.20029751450109945</v>
      </c>
    </row>
    <row r="127" spans="1:26" x14ac:dyDescent="0.25">
      <c r="A127" s="12" t="s">
        <v>1203</v>
      </c>
      <c r="B127" s="14" t="str">
        <f t="shared" si="89"/>
        <v>From Fiscal Forecasts</v>
      </c>
      <c r="C127" s="15"/>
      <c r="D127" s="50">
        <f>-'Fiscal Forecasts'!D$116</f>
        <v>2.5710000000000002</v>
      </c>
      <c r="E127" s="50">
        <f>-'Fiscal Forecasts'!E$116</f>
        <v>0.95599999999999996</v>
      </c>
      <c r="F127" s="50">
        <f>-'Fiscal Forecasts'!F$116</f>
        <v>1.8320000000000001</v>
      </c>
      <c r="G127" s="50">
        <f>-'Fiscal Forecasts'!G$116</f>
        <v>1.849</v>
      </c>
      <c r="H127" s="50">
        <f>-'Fiscal Forecasts'!H$116</f>
        <v>3.2770000000000001</v>
      </c>
      <c r="I127" s="50">
        <f>-'Fiscal Forecasts'!I$116</f>
        <v>1.3859999999999999</v>
      </c>
      <c r="J127" s="50">
        <f>-'Fiscal Forecasts'!J$116</f>
        <v>-1.349</v>
      </c>
      <c r="K127" s="50">
        <f>-'Fiscal Forecasts'!K$116</f>
        <v>-2.782</v>
      </c>
      <c r="L127" s="48">
        <f>-'Fiscal Forecasts'!L$116</f>
        <v>-2.0059999999999998</v>
      </c>
      <c r="M127" s="48">
        <f>-'Fiscal Forecasts'!M$116</f>
        <v>-0.23499999999999999</v>
      </c>
      <c r="N127" s="48">
        <f>-'Fiscal Forecasts'!N$116</f>
        <v>1.6E-2</v>
      </c>
      <c r="O127" s="48">
        <f>-'Fiscal Forecasts'!O$116</f>
        <v>0.21</v>
      </c>
      <c r="P127" s="48">
        <f>-'Fiscal Forecasts'!P$116</f>
        <v>-0.39800000000000002</v>
      </c>
      <c r="Q127" s="20">
        <f t="shared" ref="Q127:Z127" ca="1" si="95">SUM(Q$446-P$446,Q$471-P$471)</f>
        <v>1.6226919609048274</v>
      </c>
      <c r="R127" s="20">
        <f t="shared" ca="1" si="95"/>
        <v>1.0222955688282021</v>
      </c>
      <c r="S127" s="20">
        <f t="shared" ca="1" si="95"/>
        <v>1.0566873873224019</v>
      </c>
      <c r="T127" s="20">
        <f t="shared" ca="1" si="95"/>
        <v>1.0986448742902262</v>
      </c>
      <c r="U127" s="20">
        <f t="shared" ca="1" si="95"/>
        <v>1.1340204025139684</v>
      </c>
      <c r="V127" s="20">
        <f t="shared" ca="1" si="95"/>
        <v>1.1659588488342543</v>
      </c>
      <c r="W127" s="20">
        <f t="shared" ca="1" si="95"/>
        <v>1.1977677904215831</v>
      </c>
      <c r="X127" s="20">
        <f t="shared" ca="1" si="95"/>
        <v>1.2325267139891167</v>
      </c>
      <c r="Y127" s="20">
        <f t="shared" ca="1" si="95"/>
        <v>1.2723165251642925</v>
      </c>
      <c r="Z127" s="20">
        <f t="shared" ca="1" si="95"/>
        <v>1.3147144832417936</v>
      </c>
    </row>
    <row r="128" spans="1:26" x14ac:dyDescent="0.25">
      <c r="A128" s="11" t="s">
        <v>938</v>
      </c>
      <c r="B128" s="11"/>
      <c r="C128" s="15"/>
      <c r="D128" s="94">
        <f t="shared" ref="D128:Z128" si="96">SUM(D$122:D$125)-SUM(D$126:D$127)</f>
        <v>1.7679999999999989</v>
      </c>
      <c r="E128" s="94">
        <f t="shared" si="96"/>
        <v>-1.0000000000000009E-2</v>
      </c>
      <c r="F128" s="94">
        <f t="shared" si="96"/>
        <v>1.2990000000000002</v>
      </c>
      <c r="G128" s="94">
        <f t="shared" si="96"/>
        <v>3.7329999999999997</v>
      </c>
      <c r="H128" s="94">
        <f t="shared" si="96"/>
        <v>-2.0969999999999995</v>
      </c>
      <c r="I128" s="94">
        <f t="shared" si="96"/>
        <v>2.4130000000000003</v>
      </c>
      <c r="J128" s="94">
        <f t="shared" si="96"/>
        <v>-0.76300000000000034</v>
      </c>
      <c r="K128" s="94">
        <f t="shared" si="96"/>
        <v>0.11699999999999999</v>
      </c>
      <c r="L128" s="95">
        <f t="shared" si="96"/>
        <v>6.819</v>
      </c>
      <c r="M128" s="95">
        <f t="shared" si="96"/>
        <v>2.363</v>
      </c>
      <c r="N128" s="95">
        <f t="shared" si="96"/>
        <v>1.6950000000000001</v>
      </c>
      <c r="O128" s="95">
        <f t="shared" si="96"/>
        <v>1.577</v>
      </c>
      <c r="P128" s="95">
        <f t="shared" si="96"/>
        <v>1.0369999999999999</v>
      </c>
      <c r="Q128" s="99">
        <f t="shared" ca="1" si="96"/>
        <v>1.4226442636397776</v>
      </c>
      <c r="R128" s="99">
        <f t="shared" ca="1" si="96"/>
        <v>1.4610852644024654</v>
      </c>
      <c r="S128" s="99">
        <f t="shared" ca="1" si="96"/>
        <v>1.5354347888156994</v>
      </c>
      <c r="T128" s="99">
        <f t="shared" ca="1" si="96"/>
        <v>1.6215554928184823</v>
      </c>
      <c r="U128" s="99">
        <f t="shared" ca="1" si="96"/>
        <v>1.6924169269798122</v>
      </c>
      <c r="V128" s="99">
        <f t="shared" ca="1" si="96"/>
        <v>1.7540041311709795</v>
      </c>
      <c r="W128" s="99">
        <f t="shared" ca="1" si="96"/>
        <v>1.8110142741967752</v>
      </c>
      <c r="X128" s="99">
        <f t="shared" ca="1" si="96"/>
        <v>1.8718674724558726</v>
      </c>
      <c r="Y128" s="99">
        <f t="shared" ca="1" si="96"/>
        <v>1.938664522641397</v>
      </c>
      <c r="Z128" s="99">
        <f t="shared" ca="1" si="96"/>
        <v>2.0056790860860465</v>
      </c>
    </row>
    <row r="129" spans="1:26" x14ac:dyDescent="0.25">
      <c r="A129" s="11" t="s">
        <v>1204</v>
      </c>
      <c r="B129" s="11"/>
      <c r="C129" s="15"/>
      <c r="D129" s="94">
        <f t="shared" ref="D129:Z129" si="97">SUM(D$99,D$113,D$121,D$128)</f>
        <v>0.38899999999999846</v>
      </c>
      <c r="E129" s="94">
        <f t="shared" si="97"/>
        <v>-30.040000000000003</v>
      </c>
      <c r="F129" s="94">
        <f t="shared" si="97"/>
        <v>16.159000000000013</v>
      </c>
      <c r="G129" s="94">
        <f t="shared" si="97"/>
        <v>-16.932000000000009</v>
      </c>
      <c r="H129" s="94">
        <f t="shared" si="97"/>
        <v>5.3209999999999802</v>
      </c>
      <c r="I129" s="94">
        <f t="shared" si="97"/>
        <v>-8.3650000000000375</v>
      </c>
      <c r="J129" s="94">
        <f t="shared" si="97"/>
        <v>-4.3999999999999844</v>
      </c>
      <c r="K129" s="94">
        <f t="shared" si="97"/>
        <v>1.1359999999999824</v>
      </c>
      <c r="L129" s="95">
        <f t="shared" ca="1" si="97"/>
        <v>-2.9629999999999823</v>
      </c>
      <c r="M129" s="95">
        <f t="shared" ca="1" si="97"/>
        <v>3.4769999999999937</v>
      </c>
      <c r="N129" s="95">
        <f t="shared" ca="1" si="97"/>
        <v>8.9020000000000223</v>
      </c>
      <c r="O129" s="95">
        <f t="shared" ca="1" si="97"/>
        <v>13.542999999999992</v>
      </c>
      <c r="P129" s="95">
        <f t="shared" ca="1" si="97"/>
        <v>16.692999999999984</v>
      </c>
      <c r="Q129" s="99">
        <f t="shared" ca="1" si="97"/>
        <v>19.10319376495033</v>
      </c>
      <c r="R129" s="99">
        <f t="shared" ca="1" si="97"/>
        <v>21.912760963078608</v>
      </c>
      <c r="S129" s="99">
        <f t="shared" ca="1" si="97"/>
        <v>25.069455417341409</v>
      </c>
      <c r="T129" s="99">
        <f t="shared" ca="1" si="97"/>
        <v>28.577660564792264</v>
      </c>
      <c r="U129" s="99">
        <f t="shared" ca="1" si="97"/>
        <v>32.222169395260629</v>
      </c>
      <c r="V129" s="99">
        <f t="shared" ca="1" si="97"/>
        <v>35.822297289347873</v>
      </c>
      <c r="W129" s="99">
        <f t="shared" ca="1" si="97"/>
        <v>39.601551433721923</v>
      </c>
      <c r="X129" s="99">
        <f t="shared" ca="1" si="97"/>
        <v>43.596292698774548</v>
      </c>
      <c r="Y129" s="99">
        <f t="shared" ca="1" si="97"/>
        <v>47.942393958932364</v>
      </c>
      <c r="Z129" s="99">
        <f t="shared" ca="1" si="97"/>
        <v>52.5455323092025</v>
      </c>
    </row>
    <row r="130" spans="1:26" x14ac:dyDescent="0.25">
      <c r="A130" s="60" t="s">
        <v>1205</v>
      </c>
      <c r="B130" s="11"/>
      <c r="C130" s="15"/>
      <c r="D130" s="97" t="str">
        <f t="shared" ref="D130:Z130" ca="1" si="98">IF(ROUND(D$39-D$129,3)=0,"OK","ERROR")</f>
        <v>OK</v>
      </c>
      <c r="E130" s="97" t="str">
        <f t="shared" ca="1" si="98"/>
        <v>OK</v>
      </c>
      <c r="F130" s="97" t="str">
        <f t="shared" ca="1" si="98"/>
        <v>OK</v>
      </c>
      <c r="G130" s="97" t="str">
        <f t="shared" ca="1" si="98"/>
        <v>OK</v>
      </c>
      <c r="H130" s="97" t="str">
        <f t="shared" ca="1" si="98"/>
        <v>OK</v>
      </c>
      <c r="I130" s="97" t="str">
        <f t="shared" ca="1" si="98"/>
        <v>OK</v>
      </c>
      <c r="J130" s="97" t="str">
        <f t="shared" ca="1" si="98"/>
        <v>OK</v>
      </c>
      <c r="K130" s="97" t="str">
        <f t="shared" ca="1" si="98"/>
        <v>OK</v>
      </c>
      <c r="L130" s="97" t="str">
        <f t="shared" ca="1" si="98"/>
        <v>OK</v>
      </c>
      <c r="M130" s="97" t="str">
        <f t="shared" ca="1" si="98"/>
        <v>OK</v>
      </c>
      <c r="N130" s="97" t="str">
        <f t="shared" ca="1" si="98"/>
        <v>OK</v>
      </c>
      <c r="O130" s="97" t="str">
        <f t="shared" ca="1" si="98"/>
        <v>OK</v>
      </c>
      <c r="P130" s="97" t="str">
        <f t="shared" ca="1" si="98"/>
        <v>OK</v>
      </c>
      <c r="Q130" s="97" t="str">
        <f t="shared" ca="1" si="98"/>
        <v>OK</v>
      </c>
      <c r="R130" s="97" t="str">
        <f t="shared" ca="1" si="98"/>
        <v>OK</v>
      </c>
      <c r="S130" s="97" t="str">
        <f t="shared" ca="1" si="98"/>
        <v>OK</v>
      </c>
      <c r="T130" s="97" t="str">
        <f t="shared" ca="1" si="98"/>
        <v>OK</v>
      </c>
      <c r="U130" s="97" t="str">
        <f t="shared" ca="1" si="98"/>
        <v>OK</v>
      </c>
      <c r="V130" s="97" t="str">
        <f t="shared" ca="1" si="98"/>
        <v>OK</v>
      </c>
      <c r="W130" s="97" t="str">
        <f t="shared" ca="1" si="98"/>
        <v>OK</v>
      </c>
      <c r="X130" s="97" t="str">
        <f t="shared" ca="1" si="98"/>
        <v>OK</v>
      </c>
      <c r="Y130" s="97" t="str">
        <f t="shared" ca="1" si="98"/>
        <v>OK</v>
      </c>
      <c r="Z130" s="97" t="str">
        <f t="shared" ca="1" si="98"/>
        <v>OK</v>
      </c>
    </row>
    <row r="131" spans="1:26" x14ac:dyDescent="0.25">
      <c r="A131" s="11"/>
      <c r="B131" s="11"/>
      <c r="C131" s="15"/>
      <c r="D131" s="89"/>
      <c r="E131" s="89"/>
      <c r="F131" s="89"/>
      <c r="G131" s="89"/>
      <c r="H131" s="89"/>
      <c r="I131" s="89"/>
      <c r="J131" s="89"/>
      <c r="K131" s="89"/>
      <c r="L131" s="66"/>
      <c r="M131" s="66"/>
      <c r="N131" s="66"/>
      <c r="O131" s="66"/>
      <c r="P131" s="66"/>
      <c r="Q131" s="17"/>
      <c r="R131" s="17"/>
      <c r="S131" s="17"/>
      <c r="T131" s="17"/>
      <c r="U131" s="17"/>
      <c r="V131" s="17"/>
      <c r="W131" s="17"/>
      <c r="X131" s="17"/>
      <c r="Y131" s="17"/>
      <c r="Z131" s="17"/>
    </row>
    <row r="132" spans="1:26" x14ac:dyDescent="0.25">
      <c r="A132" s="57" t="s">
        <v>1206</v>
      </c>
      <c r="B132" s="11"/>
      <c r="C132" s="15"/>
      <c r="D132" s="91"/>
      <c r="E132" s="91"/>
      <c r="F132" s="91"/>
      <c r="G132" s="91"/>
      <c r="H132" s="91"/>
      <c r="I132" s="91"/>
      <c r="J132" s="91"/>
      <c r="K132" s="91"/>
    </row>
    <row r="133" spans="1:26" x14ac:dyDescent="0.25">
      <c r="A133" s="11" t="s">
        <v>1010</v>
      </c>
      <c r="B133" s="11"/>
      <c r="C133" s="15"/>
      <c r="D133" s="91"/>
      <c r="E133" s="91"/>
      <c r="F133" s="91"/>
      <c r="G133" s="91"/>
      <c r="H133" s="91"/>
      <c r="I133" s="91"/>
      <c r="J133" s="91"/>
      <c r="K133" s="91"/>
    </row>
    <row r="134" spans="1:26" x14ac:dyDescent="0.25">
      <c r="A134" s="12" t="s">
        <v>1207</v>
      </c>
      <c r="B134" s="14" t="str">
        <f t="shared" ref="B134:B139" si="99">$B$38</f>
        <v>From Fiscal Forecasts</v>
      </c>
      <c r="C134" s="15"/>
      <c r="D134" s="50">
        <f>'Fiscal Forecasts'!D$220</f>
        <v>32.878999999999998</v>
      </c>
      <c r="E134" s="50">
        <f>'Fiscal Forecasts'!E$220</f>
        <v>34.963000000000001</v>
      </c>
      <c r="F134" s="50">
        <f>'Fiscal Forecasts'!F$220</f>
        <v>38.164000000000001</v>
      </c>
      <c r="G134" s="50">
        <f>'Fiscal Forecasts'!G$220</f>
        <v>42.448</v>
      </c>
      <c r="H134" s="50">
        <f>'Fiscal Forecasts'!H$220</f>
        <v>47.386000000000003</v>
      </c>
      <c r="I134" s="50">
        <f>'Fiscal Forecasts'!I$220</f>
        <v>52.283000000000001</v>
      </c>
      <c r="J134" s="50">
        <f>'Fiscal Forecasts'!J$220</f>
        <v>52.46</v>
      </c>
      <c r="K134" s="50">
        <f>'Fiscal Forecasts'!K$220</f>
        <v>54.756</v>
      </c>
      <c r="L134" s="48">
        <f>'Fiscal Forecasts'!L$220</f>
        <v>58.030999999999999</v>
      </c>
      <c r="M134" s="48">
        <f>'Fiscal Forecasts'!M$220</f>
        <v>61.448</v>
      </c>
      <c r="N134" s="48">
        <f>'Fiscal Forecasts'!N$220</f>
        <v>65.171999999999997</v>
      </c>
      <c r="O134" s="48">
        <f>'Fiscal Forecasts'!O$220</f>
        <v>69.072999999999993</v>
      </c>
      <c r="P134" s="48">
        <f>'Fiscal Forecasts'!P$220</f>
        <v>73.194000000000003</v>
      </c>
      <c r="Q134" s="20">
        <f ca="1">P$134*(1+Q$17)*(1+IF(Q$6&lt;OFFSET(Assumptions!$B$8,0,$C$1)+OFFSET(Assumptions!$B$27,0,$C$1),OFFSET(Assumptions!$B$28,0,$C$1),1)*Q$26)</f>
        <v>76.384571281638955</v>
      </c>
      <c r="R134" s="20">
        <f ca="1">Q$134*(1+R$17)*(1+IF(R$6&lt;OFFSET(Assumptions!$B$8,0,$C$1)+OFFSET(Assumptions!$B$27,0,$C$1),OFFSET(Assumptions!$B$28,0,$C$1),1)*R$26)</f>
        <v>79.64046035574512</v>
      </c>
      <c r="S134" s="20">
        <f ca="1">R$134*(1+S$17)*(1+IF(S$6&lt;OFFSET(Assumptions!$B$8,0,$C$1)+OFFSET(Assumptions!$B$27,0,$C$1),OFFSET(Assumptions!$B$28,0,$C$1),1)*S$26)</f>
        <v>82.957886846126542</v>
      </c>
      <c r="T134" s="20">
        <f ca="1">S$134*(1+T$17)*(1+IF(T$6&lt;OFFSET(Assumptions!$B$8,0,$C$1)+OFFSET(Assumptions!$B$27,0,$C$1),OFFSET(Assumptions!$B$28,0,$C$1),1)*T$26)</f>
        <v>86.373036495226216</v>
      </c>
      <c r="U134" s="20">
        <f ca="1">T$134*(1+U$17)*(1+IF(U$6&lt;OFFSET(Assumptions!$B$8,0,$C$1)+OFFSET(Assumptions!$B$27,0,$C$1),OFFSET(Assumptions!$B$28,0,$C$1),1)*U$26)</f>
        <v>89.907274932942229</v>
      </c>
      <c r="V134" s="20">
        <f ca="1">U$134*(1+V$17)*(1+IF(V$6&lt;OFFSET(Assumptions!$B$8,0,$C$1)+OFFSET(Assumptions!$B$27,0,$C$1),OFFSET(Assumptions!$B$28,0,$C$1),1)*V$26)</f>
        <v>93.561859068958213</v>
      </c>
      <c r="W134" s="20">
        <f ca="1">V$134*(1+W$17)*(1+IF(W$6&lt;OFFSET(Assumptions!$B$8,0,$C$1)+OFFSET(Assumptions!$B$27,0,$C$1),OFFSET(Assumptions!$B$28,0,$C$1),1)*W$26)</f>
        <v>97.31835158672888</v>
      </c>
      <c r="X134" s="20">
        <f ca="1">W$134*(1+X$17)*(1+IF(X$6&lt;OFFSET(Assumptions!$B$8,0,$C$1)+OFFSET(Assumptions!$B$27,0,$C$1),OFFSET(Assumptions!$B$28,0,$C$1),1)*X$26)</f>
        <v>101.18301551918587</v>
      </c>
      <c r="Y134" s="20">
        <f ca="1">X$134*(1+Y$17)*(1+IF(Y$6&lt;OFFSET(Assumptions!$B$8,0,$C$1)+OFFSET(Assumptions!$B$27,0,$C$1),OFFSET(Assumptions!$B$28,0,$C$1),1)*Y$26)</f>
        <v>105.176060634442</v>
      </c>
      <c r="Z134" s="20">
        <f ca="1">Y$134*(1+Z$17)*(1+IF(Z$6&lt;OFFSET(Assumptions!$B$8,0,$C$1)+OFFSET(Assumptions!$B$27,0,$C$1),OFFSET(Assumptions!$B$28,0,$C$1),1)*Z$26)</f>
        <v>109.29851679835681</v>
      </c>
    </row>
    <row r="135" spans="1:26" x14ac:dyDescent="0.25">
      <c r="A135" s="12" t="s">
        <v>1208</v>
      </c>
      <c r="B135" s="14" t="str">
        <f t="shared" si="99"/>
        <v>From Fiscal Forecasts</v>
      </c>
      <c r="C135" s="15"/>
      <c r="D135" s="50">
        <f>'Fiscal Forecasts'!D$221</f>
        <v>8.3160000000000007</v>
      </c>
      <c r="E135" s="50">
        <f>'Fiscal Forecasts'!E$221</f>
        <v>8.1910000000000007</v>
      </c>
      <c r="F135" s="50">
        <f>'Fiscal Forecasts'!F$221</f>
        <v>10.183999999999999</v>
      </c>
      <c r="G135" s="50">
        <f>'Fiscal Forecasts'!G$221</f>
        <v>12.015000000000001</v>
      </c>
      <c r="H135" s="50">
        <f>'Fiscal Forecasts'!H$221</f>
        <v>11.71</v>
      </c>
      <c r="I135" s="50">
        <f>'Fiscal Forecasts'!I$221</f>
        <v>14.042999999999999</v>
      </c>
      <c r="J135" s="50">
        <f>'Fiscal Forecasts'!J$221</f>
        <v>13.896000000000001</v>
      </c>
      <c r="K135" s="50">
        <f>'Fiscal Forecasts'!K$221</f>
        <v>13.583</v>
      </c>
      <c r="L135" s="48">
        <f>'Fiscal Forecasts'!L$221</f>
        <v>14.44</v>
      </c>
      <c r="M135" s="48">
        <f>'Fiscal Forecasts'!M$221</f>
        <v>15.914</v>
      </c>
      <c r="N135" s="48">
        <f>'Fiscal Forecasts'!N$221</f>
        <v>16.79</v>
      </c>
      <c r="O135" s="48">
        <f>'Fiscal Forecasts'!O$221</f>
        <v>17.603000000000002</v>
      </c>
      <c r="P135" s="48">
        <f>'Fiscal Forecasts'!P$221</f>
        <v>18.367000000000001</v>
      </c>
      <c r="Q135" s="20">
        <f ca="1">P$135*(1+Q$17)*(1+IF(Q$6&lt;OFFSET(Assumptions!$B$8,0,$C$1)+OFFSET(Assumptions!$B$27,0,$C$1),OFFSET(Assumptions!$B$28,0,$C$1),1)*Q$26)</f>
        <v>19.167628777356924</v>
      </c>
      <c r="R135" s="20">
        <f ca="1">Q$135*(1+R$17)*(1+IF(R$6&lt;OFFSET(Assumptions!$B$8,0,$C$1)+OFFSET(Assumptions!$B$27,0,$C$1),OFFSET(Assumptions!$B$28,0,$C$1),1)*R$26)</f>
        <v>19.98464813173171</v>
      </c>
      <c r="S135" s="20">
        <f ca="1">R$135*(1+S$17)*(1+IF(S$6&lt;OFFSET(Assumptions!$B$8,0,$C$1)+OFFSET(Assumptions!$B$27,0,$C$1),OFFSET(Assumptions!$B$28,0,$C$1),1)*S$26)</f>
        <v>20.817109431139254</v>
      </c>
      <c r="T135" s="20">
        <f ca="1">S$135*(1+T$17)*(1+IF(T$6&lt;OFFSET(Assumptions!$B$8,0,$C$1)+OFFSET(Assumptions!$B$27,0,$C$1),OFFSET(Assumptions!$B$28,0,$C$1),1)*T$26)</f>
        <v>21.67409297630708</v>
      </c>
      <c r="U135" s="20">
        <f ca="1">T$135*(1+U$17)*(1+IF(U$6&lt;OFFSET(Assumptions!$B$8,0,$C$1)+OFFSET(Assumptions!$B$27,0,$C$1),OFFSET(Assumptions!$B$28,0,$C$1),1)*U$26)</f>
        <v>22.560960170141684</v>
      </c>
      <c r="V135" s="20">
        <f ca="1">U$135*(1+V$17)*(1+IF(V$6&lt;OFFSET(Assumptions!$B$8,0,$C$1)+OFFSET(Assumptions!$B$27,0,$C$1),OFFSET(Assumptions!$B$28,0,$C$1),1)*V$26)</f>
        <v>23.478026416366859</v>
      </c>
      <c r="W135" s="20">
        <f ca="1">V$135*(1+W$17)*(1+IF(W$6&lt;OFFSET(Assumptions!$B$8,0,$C$1)+OFFSET(Assumptions!$B$27,0,$C$1),OFFSET(Assumptions!$B$28,0,$C$1),1)*W$26)</f>
        <v>24.420665130932175</v>
      </c>
      <c r="X135" s="20">
        <f ca="1">W$135*(1+X$17)*(1+IF(X$6&lt;OFFSET(Assumptions!$B$8,0,$C$1)+OFFSET(Assumptions!$B$27,0,$C$1),OFFSET(Assumptions!$B$28,0,$C$1),1)*X$26)</f>
        <v>25.390447933449291</v>
      </c>
      <c r="Y135" s="20">
        <f ca="1">X$135*(1+Y$17)*(1+IF(Y$6&lt;OFFSET(Assumptions!$B$8,0,$C$1)+OFFSET(Assumptions!$B$27,0,$C$1),OFFSET(Assumptions!$B$28,0,$C$1),1)*Y$26)</f>
        <v>26.392446179643091</v>
      </c>
      <c r="Z135" s="20">
        <f ca="1">Y$135*(1+Z$17)*(1+IF(Z$6&lt;OFFSET(Assumptions!$B$8,0,$C$1)+OFFSET(Assumptions!$B$27,0,$C$1),OFFSET(Assumptions!$B$28,0,$C$1),1)*Z$26)</f>
        <v>27.426918299798071</v>
      </c>
    </row>
    <row r="136" spans="1:26" x14ac:dyDescent="0.25">
      <c r="A136" s="12" t="s">
        <v>1209</v>
      </c>
      <c r="B136" s="14" t="str">
        <f t="shared" si="99"/>
        <v>From Fiscal Forecasts</v>
      </c>
      <c r="C136" s="100" cm="1">
        <f t="array" aca="1" ref="C136" ca="1">SUMPRODUCT(OFFSET($P$136,0,0,1,-OFFSET(Assumptions!$B$31,0,$C$1))/OFFSET($P$13,0,0,1,-OFFSET(Assumptions!$B$31,0,$C$1)))/OFFSET(Assumptions!$B$31,0,$C$1)</f>
        <v>4.4102369887619182E-2</v>
      </c>
      <c r="D136" s="50">
        <f>'Fiscal Forecasts'!D$222</f>
        <v>15.199</v>
      </c>
      <c r="E136" s="50">
        <f>'Fiscal Forecasts'!E$222</f>
        <v>12.103999999999999</v>
      </c>
      <c r="F136" s="50">
        <f>'Fiscal Forecasts'!F$222</f>
        <v>15.768000000000001</v>
      </c>
      <c r="G136" s="50">
        <f>'Fiscal Forecasts'!G$222</f>
        <v>19.896000000000001</v>
      </c>
      <c r="H136" s="50">
        <f>'Fiscal Forecasts'!H$222</f>
        <v>17.978000000000002</v>
      </c>
      <c r="I136" s="50">
        <f>'Fiscal Forecasts'!I$222</f>
        <v>16.908999999999999</v>
      </c>
      <c r="J136" s="50">
        <f>'Fiscal Forecasts'!J$222</f>
        <v>17.495999999999999</v>
      </c>
      <c r="K136" s="50">
        <f>'Fiscal Forecasts'!K$222</f>
        <v>17.736999999999998</v>
      </c>
      <c r="L136" s="48">
        <f>'Fiscal Forecasts'!L$222</f>
        <v>22.251000000000001</v>
      </c>
      <c r="M136" s="48">
        <f>'Fiscal Forecasts'!M$222</f>
        <v>22.193000000000001</v>
      </c>
      <c r="N136" s="48">
        <f>'Fiscal Forecasts'!N$222</f>
        <v>23.693000000000001</v>
      </c>
      <c r="O136" s="48">
        <f>'Fiscal Forecasts'!O$222</f>
        <v>24.581</v>
      </c>
      <c r="P136" s="48">
        <f>'Fiscal Forecasts'!P$222</f>
        <v>25.527999999999999</v>
      </c>
      <c r="Q136" s="20">
        <f ca="1">(P$136/P$13+MIN(ABS($C$136-P$136/P$13),OFFSET(Assumptions!$B$32,0,$C$1))*SIGN($C$136-P$136/P$13))*Q$13</f>
        <v>26.801387769059946</v>
      </c>
      <c r="R136" s="20">
        <f ca="1">(Q$136/Q$13+MIN(ABS($C$136-Q$136/Q$13),OFFSET(Assumptions!$B$32,0,$C$1))*SIGN($C$136-Q$136/Q$13))*R$13</f>
        <v>27.942192398678536</v>
      </c>
      <c r="S136" s="20">
        <f ca="1">(R$136/R$13+MIN(ABS($C$136-R$136/R$13),OFFSET(Assumptions!$B$32,0,$C$1))*SIGN($C$136-R$136/R$13))*S$13</f>
        <v>29.113220121123309</v>
      </c>
      <c r="T136" s="20">
        <f ca="1">(S$136/S$13+MIN(ABS($C$136-S$136/S$13),OFFSET(Assumptions!$B$32,0,$C$1))*SIGN($C$136-S$136/S$13))*T$13</f>
        <v>30.311731887282871</v>
      </c>
      <c r="U136" s="20">
        <f ca="1">(T$136/T$13+MIN(ABS($C$136-T$136/T$13),OFFSET(Assumptions!$B$32,0,$C$1))*SIGN($C$136-T$136/T$13))*U$13</f>
        <v>31.552036643220198</v>
      </c>
      <c r="V136" s="20">
        <f ca="1">(U$136/U$13+MIN(ABS($C$136-U$136/U$13),OFFSET(Assumptions!$B$32,0,$C$1))*SIGN($C$136-U$136/U$13))*V$13</f>
        <v>32.834575488506204</v>
      </c>
      <c r="W136" s="20">
        <f ca="1">(V$136/V$13+MIN(ABS($C$136-V$136/V$13),OFFSET(Assumptions!$B$32,0,$C$1))*SIGN($C$136-V$136/V$13))*W$13</f>
        <v>34.152878035870529</v>
      </c>
      <c r="X136" s="20">
        <f ca="1">(W$136/W$13+MIN(ABS($C$136-W$136/W$13),OFFSET(Assumptions!$B$32,0,$C$1))*SIGN($C$136-W$136/W$13))*X$13</f>
        <v>35.509142232528284</v>
      </c>
      <c r="Y136" s="20">
        <f ca="1">(X$136/X$13+MIN(ABS($C$136-X$136/X$13),OFFSET(Assumptions!$B$32,0,$C$1))*SIGN($C$136-X$136/X$13))*Y$13</f>
        <v>36.910460489460903</v>
      </c>
      <c r="Z136" s="20">
        <f ca="1">(Y$136/Y$13+MIN(ABS($C$136-Y$136/Y$13),OFFSET(Assumptions!$B$32,0,$C$1))*SIGN($C$136-Y$136/Y$13))*Z$13</f>
        <v>38.357194227536326</v>
      </c>
    </row>
    <row r="137" spans="1:26" x14ac:dyDescent="0.25">
      <c r="A137" s="12" t="s">
        <v>1210</v>
      </c>
      <c r="B137" s="14" t="str">
        <f t="shared" si="99"/>
        <v>From Fiscal Forecasts</v>
      </c>
      <c r="C137" s="100" cm="1">
        <f t="array" aca="1" ref="C137" ca="1">SUMPRODUCT(OFFSET($P$137,0,0,1,-OFFSET(Assumptions!$B$31,0,$C$1))/OFFSET($P$13,0,0,1,-OFFSET(Assumptions!$B$31,0,$C$1)))/OFFSET(Assumptions!$B$31,0,$C$1)</f>
        <v>7.0306868088069713E-2</v>
      </c>
      <c r="D137" s="50">
        <f>'Fiscal Forecasts'!D$223</f>
        <v>21.861999999999998</v>
      </c>
      <c r="E137" s="50">
        <f>'Fiscal Forecasts'!E$223</f>
        <v>21.748999999999999</v>
      </c>
      <c r="F137" s="50">
        <f>'Fiscal Forecasts'!F$223</f>
        <v>25.562000000000001</v>
      </c>
      <c r="G137" s="50">
        <f>'Fiscal Forecasts'!G$223</f>
        <v>26.123999999999999</v>
      </c>
      <c r="H137" s="50">
        <f>'Fiscal Forecasts'!H$223</f>
        <v>28.13</v>
      </c>
      <c r="I137" s="50">
        <f>'Fiscal Forecasts'!I$223</f>
        <v>29.277999999999999</v>
      </c>
      <c r="J137" s="50">
        <f>'Fiscal Forecasts'!J$223</f>
        <v>29.55</v>
      </c>
      <c r="K137" s="50">
        <f>'Fiscal Forecasts'!K$223</f>
        <v>31.206</v>
      </c>
      <c r="L137" s="48">
        <f>'Fiscal Forecasts'!L$223</f>
        <v>33.792999999999999</v>
      </c>
      <c r="M137" s="48">
        <f>'Fiscal Forecasts'!M$223</f>
        <v>36.033999999999999</v>
      </c>
      <c r="N137" s="48">
        <f>'Fiscal Forecasts'!N$223</f>
        <v>37.880000000000003</v>
      </c>
      <c r="O137" s="48">
        <f>'Fiscal Forecasts'!O$223</f>
        <v>39.923000000000002</v>
      </c>
      <c r="P137" s="48">
        <f>'Fiscal Forecasts'!P$223</f>
        <v>41.601999999999997</v>
      </c>
      <c r="Q137" s="20">
        <f ca="1">(P$137/P$13+MIN(ABS($C$137-P$137/P$13),OFFSET(Assumptions!$B$32,0,$C$1))*SIGN($C$137-P$137/P$13))*Q$13</f>
        <v>43.109117776064949</v>
      </c>
      <c r="R137" s="20">
        <f ca="1">(Q$137/Q$13+MIN(ABS($C$137-Q$137/Q$13),OFFSET(Assumptions!$B$32,0,$C$1))*SIGN($C$137-Q$137/Q$13))*R$13</f>
        <v>44.627275220468917</v>
      </c>
      <c r="S137" s="20">
        <f ca="1">(R$137/R$13+MIN(ABS($C$137-R$137/R$13),OFFSET(Assumptions!$B$32,0,$C$1))*SIGN($C$137-R$137/R$13))*S$13</f>
        <v>46.411549580907362</v>
      </c>
      <c r="T137" s="20">
        <f ca="1">(S$137/S$13+MIN(ABS($C$137-S$137/S$13),OFFSET(Assumptions!$B$32,0,$C$1))*SIGN($C$137-S$137/S$13))*T$13</f>
        <v>48.322186330363195</v>
      </c>
      <c r="U137" s="20">
        <f ca="1">(T$137/T$13+MIN(ABS($C$137-T$137/T$13),OFFSET(Assumptions!$B$32,0,$C$1))*SIGN($C$137-T$137/T$13))*U$13</f>
        <v>50.299448393306697</v>
      </c>
      <c r="V137" s="20">
        <f ca="1">(U$137/U$13+MIN(ABS($C$137-U$137/U$13),OFFSET(Assumptions!$B$32,0,$C$1))*SIGN($C$137-U$137/U$13))*V$13</f>
        <v>52.344038959371993</v>
      </c>
      <c r="W137" s="20">
        <f ca="1">(V$137/V$13+MIN(ABS($C$137-V$137/V$13),OFFSET(Assumptions!$B$32,0,$C$1))*SIGN($C$137-V$137/V$13))*W$13</f>
        <v>54.445643102956346</v>
      </c>
      <c r="X137" s="20">
        <f ca="1">(W$137/W$13+MIN(ABS($C$137-W$137/W$13),OFFSET(Assumptions!$B$32,0,$C$1))*SIGN($C$137-W$137/W$13))*X$13</f>
        <v>56.607764735194458</v>
      </c>
      <c r="Y137" s="20">
        <f ca="1">(X$137/X$13+MIN(ABS($C$137-X$137/X$13),OFFSET(Assumptions!$B$32,0,$C$1))*SIGN($C$137-X$137/X$13))*Y$13</f>
        <v>58.841710395951878</v>
      </c>
      <c r="Z137" s="20">
        <f ca="1">(Y$137/Y$13+MIN(ABS($C$137-Y$137/Y$13),OFFSET(Assumptions!$B$32,0,$C$1))*SIGN($C$137-Y$137/Y$13))*Z$13</f>
        <v>61.148056253115968</v>
      </c>
    </row>
    <row r="138" spans="1:26" x14ac:dyDescent="0.25">
      <c r="A138" s="12" t="s">
        <v>1211</v>
      </c>
      <c r="B138" s="14" t="str">
        <f t="shared" si="99"/>
        <v>From Fiscal Forecasts</v>
      </c>
      <c r="C138" s="100" cm="1">
        <f t="array" aca="1" ref="C138" ca="1">SUMPRODUCT(OFFSET($P$138,0,0,1,-OFFSET(Assumptions!$B$31,0,$C$1))/OFFSET($P$13,0,0,1,-OFFSET(Assumptions!$B$31,0,$C$1)))/OFFSET(Assumptions!$B$31,0,$C$1)</f>
        <v>1.0076668266754657E-2</v>
      </c>
      <c r="D138" s="50">
        <f>'Fiscal Forecasts'!D$224</f>
        <v>3.8820000000000001</v>
      </c>
      <c r="E138" s="50">
        <f>'Fiscal Forecasts'!E$224</f>
        <v>3.819</v>
      </c>
      <c r="F138" s="50">
        <f>'Fiscal Forecasts'!F$224</f>
        <v>4.306</v>
      </c>
      <c r="G138" s="50">
        <f>'Fiscal Forecasts'!G$224</f>
        <v>3.823</v>
      </c>
      <c r="H138" s="50">
        <f>'Fiscal Forecasts'!H$224</f>
        <v>2.976</v>
      </c>
      <c r="I138" s="50">
        <f>'Fiscal Forecasts'!I$224</f>
        <v>4.0730000000000004</v>
      </c>
      <c r="J138" s="50">
        <f>'Fiscal Forecasts'!J$224</f>
        <v>4.3179999999999996</v>
      </c>
      <c r="K138" s="50">
        <f>'Fiscal Forecasts'!K$224</f>
        <v>4.5419999999999998</v>
      </c>
      <c r="L138" s="48">
        <f>'Fiscal Forecasts'!L$224</f>
        <v>4.6970000000000001</v>
      </c>
      <c r="M138" s="48">
        <f>'Fiscal Forecasts'!M$224</f>
        <v>4.9770000000000003</v>
      </c>
      <c r="N138" s="48">
        <f>'Fiscal Forecasts'!N$224</f>
        <v>5.6440000000000001</v>
      </c>
      <c r="O138" s="48">
        <f>'Fiscal Forecasts'!O$224</f>
        <v>6.359</v>
      </c>
      <c r="P138" s="48">
        <f>'Fiscal Forecasts'!P$224</f>
        <v>6.83</v>
      </c>
      <c r="Q138" s="20">
        <f ca="1">(P$138/P$13+MIN(ABS($C$138-P$138/P$13),OFFSET(Assumptions!$B$32,0,$C$1))*SIGN($C$138-P$138/P$13))*Q$13</f>
        <v>6.8234616931386274</v>
      </c>
      <c r="R138" s="20">
        <f ca="1">(Q$138/Q$13+MIN(ABS($C$138-Q$138/Q$13),OFFSET(Assumptions!$B$32,0,$C$1))*SIGN($C$138-Q$138/Q$13))*R$13</f>
        <v>6.7971153676319469</v>
      </c>
      <c r="S138" s="20">
        <f ca="1">(R$138/R$13+MIN(ABS($C$138-R$138/R$13),OFFSET(Assumptions!$B$32,0,$C$1))*SIGN($C$138-R$138/R$13))*S$13</f>
        <v>6.751911158307907</v>
      </c>
      <c r="T138" s="20">
        <f ca="1">(S$138/S$13+MIN(ABS($C$138-S$138/S$13),OFFSET(Assumptions!$B$32,0,$C$1))*SIGN($C$138-S$138/S$13))*T$13</f>
        <v>6.9257336419171613</v>
      </c>
      <c r="U138" s="20">
        <f ca="1">(T$138/T$13+MIN(ABS($C$138-T$138/T$13),OFFSET(Assumptions!$B$32,0,$C$1))*SIGN($C$138-T$138/T$13))*U$13</f>
        <v>7.2091229383904816</v>
      </c>
      <c r="V138" s="20">
        <f ca="1">(U$138/U$13+MIN(ABS($C$138-U$138/U$13),OFFSET(Assumptions!$B$32,0,$C$1))*SIGN($C$138-U$138/U$13))*V$13</f>
        <v>7.5021620316660957</v>
      </c>
      <c r="W138" s="20">
        <f ca="1">(V$138/V$13+MIN(ABS($C$138-V$138/V$13),OFFSET(Assumptions!$B$32,0,$C$1))*SIGN($C$138-V$138/V$13))*W$13</f>
        <v>7.8033725443632189</v>
      </c>
      <c r="X138" s="20">
        <f ca="1">(W$138/W$13+MIN(ABS($C$138-W$138/W$13),OFFSET(Assumptions!$B$32,0,$C$1))*SIGN($C$138-W$138/W$13))*X$13</f>
        <v>8.1132566713754795</v>
      </c>
      <c r="Y138" s="20">
        <f ca="1">(X$138/X$13+MIN(ABS($C$138-X$138/X$13),OFFSET(Assumptions!$B$32,0,$C$1))*SIGN($C$138-X$138/X$13))*Y$13</f>
        <v>8.4334349123008252</v>
      </c>
      <c r="Z138" s="20">
        <f ca="1">(Y$138/Y$13+MIN(ABS($C$138-Y$138/Y$13),OFFSET(Assumptions!$B$32,0,$C$1))*SIGN($C$138-Y$138/Y$13))*Z$13</f>
        <v>8.763989845880495</v>
      </c>
    </row>
    <row r="139" spans="1:26" x14ac:dyDescent="0.25">
      <c r="A139" s="12" t="s">
        <v>1013</v>
      </c>
      <c r="B139" s="14" t="str">
        <f t="shared" si="99"/>
        <v>From Fiscal Forecasts</v>
      </c>
      <c r="C139" s="100"/>
      <c r="D139" s="50">
        <f>'Fiscal Forecasts'!D$225</f>
        <v>3.585</v>
      </c>
      <c r="E139" s="50">
        <f>'Fiscal Forecasts'!E$225</f>
        <v>3.6949999999999998</v>
      </c>
      <c r="F139" s="50">
        <f>'Fiscal Forecasts'!F$225</f>
        <v>3.3780000000000001</v>
      </c>
      <c r="G139" s="50">
        <f>'Fiscal Forecasts'!G$225</f>
        <v>3.5670000000000002</v>
      </c>
      <c r="H139" s="50">
        <f>'Fiscal Forecasts'!H$225</f>
        <v>3.532</v>
      </c>
      <c r="I139" s="50">
        <f>'Fiscal Forecasts'!I$225</f>
        <v>3.3140000000000001</v>
      </c>
      <c r="J139" s="50">
        <f>'Fiscal Forecasts'!J$225</f>
        <v>3.3380000000000001</v>
      </c>
      <c r="K139" s="50">
        <f>'Fiscal Forecasts'!K$225</f>
        <v>3.1749999999999998</v>
      </c>
      <c r="L139" s="48">
        <f>'Fiscal Forecasts'!L$225</f>
        <v>3.1040000000000001</v>
      </c>
      <c r="M139" s="48">
        <f>'Fiscal Forecasts'!M$225</f>
        <v>3.04</v>
      </c>
      <c r="N139" s="48">
        <f>'Fiscal Forecasts'!N$225</f>
        <v>2.9870000000000001</v>
      </c>
      <c r="O139" s="48">
        <f>'Fiscal Forecasts'!O$225</f>
        <v>2.9580000000000002</v>
      </c>
      <c r="P139" s="48">
        <f>'Fiscal Forecasts'!P$225</f>
        <v>2.93</v>
      </c>
      <c r="Q139" s="20">
        <f t="shared" ref="Q139:Z139" ca="1" si="100">P$139*(1+Q$19)*(1+Q$29)</f>
        <v>3.0270016660619792</v>
      </c>
      <c r="R139" s="20">
        <f t="shared" ca="1" si="100"/>
        <v>3.1254536475160695</v>
      </c>
      <c r="S139" s="20">
        <f t="shared" ca="1" si="100"/>
        <v>3.2260451896469884</v>
      </c>
      <c r="T139" s="20">
        <f t="shared" ca="1" si="100"/>
        <v>3.3278252423663437</v>
      </c>
      <c r="U139" s="20">
        <f t="shared" ca="1" si="100"/>
        <v>3.4325331926614715</v>
      </c>
      <c r="V139" s="20">
        <f t="shared" ca="1" si="100"/>
        <v>3.5392765966534951</v>
      </c>
      <c r="W139" s="20">
        <f t="shared" ca="1" si="100"/>
        <v>3.6453672604374305</v>
      </c>
      <c r="X139" s="20">
        <f t="shared" ca="1" si="100"/>
        <v>3.7536911046346746</v>
      </c>
      <c r="Y139" s="20">
        <f t="shared" ca="1" si="100"/>
        <v>3.8652992310869632</v>
      </c>
      <c r="Z139" s="20">
        <f t="shared" ca="1" si="100"/>
        <v>3.9793519922991294</v>
      </c>
    </row>
    <row r="140" spans="1:26" x14ac:dyDescent="0.25">
      <c r="A140" s="11" t="s">
        <v>1212</v>
      </c>
      <c r="B140" s="14"/>
      <c r="C140" s="15"/>
      <c r="D140" s="94">
        <f t="shared" ref="D140:Z140" si="101">SUM(D$134:D$139)</f>
        <v>85.722999999999999</v>
      </c>
      <c r="E140" s="94">
        <f t="shared" si="101"/>
        <v>84.521000000000001</v>
      </c>
      <c r="F140" s="94">
        <f t="shared" si="101"/>
        <v>97.361999999999995</v>
      </c>
      <c r="G140" s="94">
        <f t="shared" si="101"/>
        <v>107.87299999999999</v>
      </c>
      <c r="H140" s="94">
        <f t="shared" si="101"/>
        <v>111.712</v>
      </c>
      <c r="I140" s="94">
        <f t="shared" si="101"/>
        <v>119.89999999999998</v>
      </c>
      <c r="J140" s="94">
        <f t="shared" si="101"/>
        <v>121.05799999999998</v>
      </c>
      <c r="K140" s="94">
        <f t="shared" si="101"/>
        <v>124.999</v>
      </c>
      <c r="L140" s="95">
        <f t="shared" si="101"/>
        <v>136.31600000000003</v>
      </c>
      <c r="M140" s="95">
        <f t="shared" si="101"/>
        <v>143.60599999999999</v>
      </c>
      <c r="N140" s="95">
        <f t="shared" si="101"/>
        <v>152.166</v>
      </c>
      <c r="O140" s="95">
        <f t="shared" si="101"/>
        <v>160.49700000000001</v>
      </c>
      <c r="P140" s="95">
        <f t="shared" si="101"/>
        <v>168.45100000000002</v>
      </c>
      <c r="Q140" s="96">
        <f t="shared" ca="1" si="101"/>
        <v>175.31316896332137</v>
      </c>
      <c r="R140" s="96">
        <f t="shared" ca="1" si="101"/>
        <v>182.11714512177235</v>
      </c>
      <c r="S140" s="96">
        <f t="shared" ca="1" si="101"/>
        <v>189.27772232725135</v>
      </c>
      <c r="T140" s="96">
        <f t="shared" ca="1" si="101"/>
        <v>196.93460657346287</v>
      </c>
      <c r="U140" s="96">
        <f t="shared" ca="1" si="101"/>
        <v>204.96137627066278</v>
      </c>
      <c r="V140" s="96">
        <f t="shared" ca="1" si="101"/>
        <v>213.25993856152289</v>
      </c>
      <c r="W140" s="96">
        <f t="shared" ca="1" si="101"/>
        <v>221.78627766128858</v>
      </c>
      <c r="X140" s="96">
        <f t="shared" ca="1" si="101"/>
        <v>230.55731819636804</v>
      </c>
      <c r="Y140" s="96">
        <f t="shared" ca="1" si="101"/>
        <v>239.61941184288565</v>
      </c>
      <c r="Z140" s="96">
        <f t="shared" ca="1" si="101"/>
        <v>248.97402741698681</v>
      </c>
    </row>
    <row r="141" spans="1:26" x14ac:dyDescent="0.25">
      <c r="A141" s="12" t="s">
        <v>1213</v>
      </c>
      <c r="B141" s="14" t="str">
        <f>$B$38</f>
        <v>From Fiscal Forecasts</v>
      </c>
      <c r="C141" s="15"/>
      <c r="D141" s="50">
        <f>D$140-'Fiscal Forecasts'!D$163</f>
        <v>-0.74500000000000455</v>
      </c>
      <c r="E141" s="50">
        <f>E$140-'Fiscal Forecasts'!E$163</f>
        <v>-0.58100000000000307</v>
      </c>
      <c r="F141" s="50">
        <f>F$140-'Fiscal Forecasts'!F$163</f>
        <v>-0.62100000000000932</v>
      </c>
      <c r="G141" s="50">
        <f>G$140-'Fiscal Forecasts'!G$163</f>
        <v>-0.58500000000000796</v>
      </c>
      <c r="H141" s="50">
        <f>H$140-'Fiscal Forecasts'!H$163</f>
        <v>-0.6460000000000008</v>
      </c>
      <c r="I141" s="50">
        <f>I$140-'Fiscal Forecasts'!I$163</f>
        <v>-0.66600000000002524</v>
      </c>
      <c r="J141" s="50">
        <f>J$140-'Fiscal Forecasts'!J$163</f>
        <v>-0.64000000000001478</v>
      </c>
      <c r="K141" s="50">
        <f>K$140-'Fiscal Forecasts'!K$163</f>
        <v>-0.88500000000000512</v>
      </c>
      <c r="L141" s="48">
        <f>L$140-'Fiscal Forecasts'!L$163</f>
        <v>-0.86899999999997135</v>
      </c>
      <c r="M141" s="48">
        <f>M$140-'Fiscal Forecasts'!M$163</f>
        <v>-0.88700000000000045</v>
      </c>
      <c r="N141" s="48">
        <f>N$140-'Fiscal Forecasts'!N$163</f>
        <v>-0.99000000000000909</v>
      </c>
      <c r="O141" s="48">
        <f>O$140-'Fiscal Forecasts'!O$163</f>
        <v>-1.1229999999999905</v>
      </c>
      <c r="P141" s="48">
        <f>P$140-'Fiscal Forecasts'!P$163</f>
        <v>-1.2209999999999752</v>
      </c>
      <c r="Q141" s="20">
        <f ca="1">IF(Q$6=OFFSET(Assumptions!$B$8,0,$C$1),AVERAGE(N$141/N$140,O$141/O$140,P$141/P$140),P$141/P$140)*Q$140</f>
        <v>-1.2126684664091874</v>
      </c>
      <c r="R141" s="20">
        <f ca="1">IF(R$6=OFFSET(Assumptions!$B$8,0,$C$1),AVERAGE(O$141/O$140,P$141/P$140,Q$141/Q$140),Q$141/Q$140)*R$140</f>
        <v>-1.2597326281167409</v>
      </c>
      <c r="S141" s="20">
        <f ca="1">IF(S$6=OFFSET(Assumptions!$B$8,0,$C$1),AVERAGE(P$141/P$140,Q$141/Q$140,R$141/R$140),R$141/R$140)*S$140</f>
        <v>-1.3092634547495623</v>
      </c>
      <c r="T141" s="20">
        <f ca="1">IF(T$6=OFFSET(Assumptions!$B$8,0,$C$1),AVERAGE(Q$141/Q$140,R$141/R$140,S$141/S$140),S$141/S$140)*T$140</f>
        <v>-1.3622273144027333</v>
      </c>
      <c r="U141" s="20">
        <f ca="1">IF(U$6=OFFSET(Assumptions!$B$8,0,$C$1),AVERAGE(R$141/R$140,S$141/S$140,T$141/T$140),T$141/T$140)*U$140</f>
        <v>-1.4177497292702645</v>
      </c>
      <c r="V141" s="20">
        <f ca="1">IF(V$6=OFFSET(Assumptions!$B$8,0,$C$1),AVERAGE(S$141/S$140,T$141/T$140,U$141/U$140),U$141/U$140)*V$140</f>
        <v>-1.4751521757959096</v>
      </c>
      <c r="W141" s="20">
        <f ca="1">IF(W$6=OFFSET(Assumptions!$B$8,0,$C$1),AVERAGE(T$141/T$140,U$141/U$140,V$141/V$140),V$141/V$140)*W$140</f>
        <v>-1.5341301899481767</v>
      </c>
      <c r="X141" s="20">
        <f ca="1">IF(X$6=OFFSET(Assumptions!$B$8,0,$C$1),AVERAGE(U$141/U$140,V$141/V$140,W$141/W$140),W$141/W$140)*X$140</f>
        <v>-1.5948008420012061</v>
      </c>
      <c r="Y141" s="20">
        <f ca="1">IF(Y$6=OFFSET(Assumptions!$B$8,0,$C$1),AVERAGE(V$141/V$140,W$141/W$140,X$141/X$140),X$141/X$140)*Y$140</f>
        <v>-1.6574847537105319</v>
      </c>
      <c r="Z141" s="20">
        <f ca="1">IF(Z$6=OFFSET(Assumptions!$B$8,0,$C$1),AVERAGE(W$141/W$140,X$141/X$140,Y$141/Y$140),Y$141/Y$140)*Z$140</f>
        <v>-1.7221920851059624</v>
      </c>
    </row>
    <row r="142" spans="1:26" x14ac:dyDescent="0.25">
      <c r="A142" s="11" t="s">
        <v>1214</v>
      </c>
      <c r="B142" s="11"/>
      <c r="C142" s="15"/>
      <c r="D142" s="94">
        <f t="shared" ref="D142:Z142" si="102">D$140-D$141</f>
        <v>86.468000000000004</v>
      </c>
      <c r="E142" s="94">
        <f t="shared" si="102"/>
        <v>85.102000000000004</v>
      </c>
      <c r="F142" s="94">
        <f t="shared" si="102"/>
        <v>97.983000000000004</v>
      </c>
      <c r="G142" s="94">
        <f t="shared" si="102"/>
        <v>108.458</v>
      </c>
      <c r="H142" s="94">
        <f t="shared" si="102"/>
        <v>112.358</v>
      </c>
      <c r="I142" s="94">
        <f t="shared" si="102"/>
        <v>120.566</v>
      </c>
      <c r="J142" s="94">
        <f t="shared" si="102"/>
        <v>121.69799999999999</v>
      </c>
      <c r="K142" s="94">
        <f t="shared" si="102"/>
        <v>125.884</v>
      </c>
      <c r="L142" s="95">
        <f t="shared" si="102"/>
        <v>137.185</v>
      </c>
      <c r="M142" s="95">
        <f t="shared" si="102"/>
        <v>144.49299999999999</v>
      </c>
      <c r="N142" s="95">
        <f t="shared" si="102"/>
        <v>153.15600000000001</v>
      </c>
      <c r="O142" s="95">
        <f t="shared" si="102"/>
        <v>161.62</v>
      </c>
      <c r="P142" s="95">
        <f t="shared" si="102"/>
        <v>169.672</v>
      </c>
      <c r="Q142" s="96">
        <f t="shared" ca="1" si="102"/>
        <v>176.52583742973056</v>
      </c>
      <c r="R142" s="96">
        <f t="shared" ca="1" si="102"/>
        <v>183.3768777498891</v>
      </c>
      <c r="S142" s="96">
        <f t="shared" ca="1" si="102"/>
        <v>190.58698578200091</v>
      </c>
      <c r="T142" s="96">
        <f t="shared" ca="1" si="102"/>
        <v>198.2968338878656</v>
      </c>
      <c r="U142" s="96">
        <f t="shared" ca="1" si="102"/>
        <v>206.37912599993305</v>
      </c>
      <c r="V142" s="96">
        <f t="shared" ca="1" si="102"/>
        <v>214.73509073731879</v>
      </c>
      <c r="W142" s="96">
        <f t="shared" ca="1" si="102"/>
        <v>223.32040785123675</v>
      </c>
      <c r="X142" s="96">
        <f t="shared" ca="1" si="102"/>
        <v>232.15211903836925</v>
      </c>
      <c r="Y142" s="96">
        <f t="shared" ca="1" si="102"/>
        <v>241.27689659659617</v>
      </c>
      <c r="Z142" s="96">
        <f t="shared" ca="1" si="102"/>
        <v>250.69621950209279</v>
      </c>
    </row>
    <row r="143" spans="1:26" x14ac:dyDescent="0.25">
      <c r="A143" s="11"/>
      <c r="B143" s="11"/>
      <c r="C143" s="15"/>
      <c r="D143" s="51"/>
      <c r="E143" s="51"/>
      <c r="F143" s="51"/>
      <c r="G143" s="51"/>
      <c r="H143" s="51"/>
      <c r="I143" s="51"/>
      <c r="J143" s="51"/>
      <c r="K143" s="51"/>
      <c r="L143" s="47"/>
      <c r="M143" s="47"/>
      <c r="N143" s="47"/>
      <c r="O143" s="47"/>
      <c r="P143" s="47"/>
      <c r="Q143" s="21"/>
      <c r="R143" s="21"/>
      <c r="S143" s="21"/>
      <c r="T143" s="21"/>
      <c r="U143" s="21"/>
      <c r="V143" s="21"/>
      <c r="W143" s="21"/>
      <c r="X143" s="21"/>
      <c r="Y143" s="21"/>
      <c r="Z143" s="21"/>
    </row>
    <row r="144" spans="1:26" x14ac:dyDescent="0.25">
      <c r="A144" s="11" t="s">
        <v>1015</v>
      </c>
      <c r="B144" s="11"/>
      <c r="C144" s="15"/>
      <c r="D144" s="51"/>
      <c r="E144" s="51"/>
      <c r="F144" s="51"/>
      <c r="G144" s="51"/>
      <c r="H144" s="51"/>
      <c r="I144" s="51"/>
      <c r="J144" s="51"/>
      <c r="K144" s="51"/>
      <c r="L144" s="47"/>
      <c r="M144" s="47"/>
      <c r="N144" s="47"/>
      <c r="O144" s="47"/>
      <c r="P144" s="47"/>
      <c r="Q144" s="21"/>
      <c r="R144" s="21"/>
      <c r="S144" s="21"/>
      <c r="T144" s="21"/>
      <c r="U144" s="21"/>
      <c r="V144" s="21"/>
      <c r="W144" s="21"/>
      <c r="X144" s="21"/>
      <c r="Y144" s="21"/>
      <c r="Z144" s="21"/>
    </row>
    <row r="145" spans="1:26" x14ac:dyDescent="0.25">
      <c r="A145" s="12" t="s">
        <v>1215</v>
      </c>
      <c r="B145" s="14" t="str">
        <f>$B$38</f>
        <v>From Fiscal Forecasts</v>
      </c>
      <c r="C145" s="15"/>
      <c r="D145" s="50">
        <f>'Fiscal Forecasts'!D$229</f>
        <v>0.84599999999999997</v>
      </c>
      <c r="E145" s="50">
        <f>'Fiscal Forecasts'!E$229</f>
        <v>1.0429999999999999</v>
      </c>
      <c r="F145" s="50">
        <f>'Fiscal Forecasts'!F$229</f>
        <v>1.6339999999999999</v>
      </c>
      <c r="G145" s="50">
        <f>'Fiscal Forecasts'!G$229</f>
        <v>3.0059999999999998</v>
      </c>
      <c r="H145" s="50">
        <f>'Fiscal Forecasts'!H$229</f>
        <v>1.5820000000000001</v>
      </c>
      <c r="I145" s="50">
        <f>'Fiscal Forecasts'!I$229</f>
        <v>1.69</v>
      </c>
      <c r="J145" s="50">
        <f>'Fiscal Forecasts'!J$229</f>
        <v>1.774</v>
      </c>
      <c r="K145" s="50">
        <f>'Fiscal Forecasts'!K$229</f>
        <v>1.706</v>
      </c>
      <c r="L145" s="48">
        <f>'Fiscal Forecasts'!L$229</f>
        <v>1.786</v>
      </c>
      <c r="M145" s="48">
        <f>'Fiscal Forecasts'!M$229</f>
        <v>1.754</v>
      </c>
      <c r="N145" s="48">
        <f>'Fiscal Forecasts'!N$229</f>
        <v>1.73</v>
      </c>
      <c r="O145" s="48">
        <f>'Fiscal Forecasts'!O$229</f>
        <v>1.6439999999999999</v>
      </c>
      <c r="P145" s="48">
        <f>'Fiscal Forecasts'!P$229</f>
        <v>1.5589999999999999</v>
      </c>
      <c r="Q145" s="20">
        <f t="shared" ref="Q145:Z145" ca="1" si="103">MAX(P$145,Q$313)</f>
        <v>1.5589999999999999</v>
      </c>
      <c r="R145" s="20">
        <f t="shared" ca="1" si="103"/>
        <v>1.5589999999999999</v>
      </c>
      <c r="S145" s="20">
        <f t="shared" ca="1" si="103"/>
        <v>1.5589999999999999</v>
      </c>
      <c r="T145" s="20">
        <f t="shared" ca="1" si="103"/>
        <v>1.5651969033599999</v>
      </c>
      <c r="U145" s="20">
        <f t="shared" ca="1" si="103"/>
        <v>1.5965008414271999</v>
      </c>
      <c r="V145" s="20">
        <f t="shared" ca="1" si="103"/>
        <v>1.6284308582557441</v>
      </c>
      <c r="W145" s="20">
        <f t="shared" ca="1" si="103"/>
        <v>1.660999475420859</v>
      </c>
      <c r="X145" s="20">
        <f t="shared" ca="1" si="103"/>
        <v>1.6942194649292763</v>
      </c>
      <c r="Y145" s="20">
        <f t="shared" ca="1" si="103"/>
        <v>1.7281038542278619</v>
      </c>
      <c r="Z145" s="20">
        <f t="shared" ca="1" si="103"/>
        <v>1.7626659313124191</v>
      </c>
    </row>
    <row r="146" spans="1:26" x14ac:dyDescent="0.25">
      <c r="A146" s="12" t="s">
        <v>1216</v>
      </c>
      <c r="B146" s="14" t="str">
        <f>$B$38</f>
        <v>From Fiscal Forecasts</v>
      </c>
      <c r="C146" s="15"/>
      <c r="D146" s="50">
        <f>'Fiscal Forecasts'!D$164-D$145</f>
        <v>1.1310000000000002</v>
      </c>
      <c r="E146" s="50">
        <f>'Fiscal Forecasts'!E$164-E$145</f>
        <v>1.0770000000000002</v>
      </c>
      <c r="F146" s="50">
        <f>'Fiscal Forecasts'!F$164-F$145</f>
        <v>1.1110000000000002</v>
      </c>
      <c r="G146" s="50">
        <f>'Fiscal Forecasts'!G$164-G$145</f>
        <v>1.3210000000000002</v>
      </c>
      <c r="H146" s="50">
        <f>'Fiscal Forecasts'!H$164-H$145</f>
        <v>1.7099999999999997</v>
      </c>
      <c r="I146" s="50">
        <f>'Fiscal Forecasts'!I$164-I$145</f>
        <v>1.899</v>
      </c>
      <c r="J146" s="50">
        <f>'Fiscal Forecasts'!J$164-J$145</f>
        <v>1.9260000000000002</v>
      </c>
      <c r="K146" s="50">
        <f>'Fiscal Forecasts'!K$164-K$145</f>
        <v>2.1179999999999999</v>
      </c>
      <c r="L146" s="48">
        <f>'Fiscal Forecasts'!L$164-L$145</f>
        <v>2.3050000000000002</v>
      </c>
      <c r="M146" s="48">
        <f>'Fiscal Forecasts'!M$164-M$145</f>
        <v>2.4090000000000003</v>
      </c>
      <c r="N146" s="48">
        <f>'Fiscal Forecasts'!N$164-N$145</f>
        <v>2.4540000000000002</v>
      </c>
      <c r="O146" s="48">
        <f>'Fiscal Forecasts'!O$164-O$145</f>
        <v>2.4719999999999995</v>
      </c>
      <c r="P146" s="48">
        <f>'Fiscal Forecasts'!P$164-P$145</f>
        <v>2.4649999999999999</v>
      </c>
      <c r="Q146" s="20">
        <f t="shared" ref="Q146:Z146" ca="1" si="104">P$146*(1+Q$19)*(1+Q$29)</f>
        <v>2.5466072037006064</v>
      </c>
      <c r="R146" s="20">
        <f t="shared" ca="1" si="104"/>
        <v>2.6294345532857029</v>
      </c>
      <c r="S146" s="20">
        <f t="shared" ca="1" si="104"/>
        <v>2.7140619086961859</v>
      </c>
      <c r="T146" s="20">
        <f t="shared" ca="1" si="104"/>
        <v>2.7996891544140055</v>
      </c>
      <c r="U146" s="20">
        <f t="shared" ca="1" si="104"/>
        <v>2.88777963136878</v>
      </c>
      <c r="V146" s="20">
        <f t="shared" ca="1" si="104"/>
        <v>2.9775825292665066</v>
      </c>
      <c r="W146" s="20">
        <f t="shared" ca="1" si="104"/>
        <v>3.0668362788321724</v>
      </c>
      <c r="X146" s="20">
        <f t="shared" ca="1" si="104"/>
        <v>3.1579687962199565</v>
      </c>
      <c r="Y146" s="20">
        <f t="shared" ca="1" si="104"/>
        <v>3.2518643701806704</v>
      </c>
      <c r="Z146" s="20">
        <f t="shared" ca="1" si="104"/>
        <v>3.3478166078557523</v>
      </c>
    </row>
    <row r="147" spans="1:26" x14ac:dyDescent="0.25">
      <c r="A147" s="11" t="s">
        <v>1217</v>
      </c>
      <c r="B147" s="11"/>
      <c r="C147" s="15"/>
      <c r="D147" s="94">
        <f t="shared" ref="D147:Z147" si="105">SUM(D$145:D$146)</f>
        <v>1.9770000000000003</v>
      </c>
      <c r="E147" s="94">
        <f t="shared" si="105"/>
        <v>2.12</v>
      </c>
      <c r="F147" s="94">
        <f t="shared" si="105"/>
        <v>2.7450000000000001</v>
      </c>
      <c r="G147" s="94">
        <f t="shared" si="105"/>
        <v>4.327</v>
      </c>
      <c r="H147" s="94">
        <f t="shared" si="105"/>
        <v>3.2919999999999998</v>
      </c>
      <c r="I147" s="94">
        <f t="shared" si="105"/>
        <v>3.589</v>
      </c>
      <c r="J147" s="94">
        <f t="shared" si="105"/>
        <v>3.7</v>
      </c>
      <c r="K147" s="94">
        <f t="shared" si="105"/>
        <v>3.8239999999999998</v>
      </c>
      <c r="L147" s="95">
        <f t="shared" si="105"/>
        <v>4.0910000000000002</v>
      </c>
      <c r="M147" s="95">
        <f t="shared" si="105"/>
        <v>4.1630000000000003</v>
      </c>
      <c r="N147" s="95">
        <f t="shared" si="105"/>
        <v>4.1840000000000002</v>
      </c>
      <c r="O147" s="95">
        <f t="shared" si="105"/>
        <v>4.1159999999999997</v>
      </c>
      <c r="P147" s="95">
        <f t="shared" si="105"/>
        <v>4.024</v>
      </c>
      <c r="Q147" s="96">
        <f t="shared" ca="1" si="105"/>
        <v>4.1056072037006066</v>
      </c>
      <c r="R147" s="96">
        <f t="shared" ca="1" si="105"/>
        <v>4.1884345532857026</v>
      </c>
      <c r="S147" s="96">
        <f t="shared" ca="1" si="105"/>
        <v>4.2730619086961861</v>
      </c>
      <c r="T147" s="96">
        <f t="shared" ca="1" si="105"/>
        <v>4.3648860577740054</v>
      </c>
      <c r="U147" s="96">
        <f t="shared" ca="1" si="105"/>
        <v>4.4842804727959802</v>
      </c>
      <c r="V147" s="96">
        <f t="shared" ca="1" si="105"/>
        <v>4.6060133875222506</v>
      </c>
      <c r="W147" s="96">
        <f t="shared" ca="1" si="105"/>
        <v>4.7278357542530314</v>
      </c>
      <c r="X147" s="96">
        <f t="shared" ca="1" si="105"/>
        <v>4.8521882611492329</v>
      </c>
      <c r="Y147" s="96">
        <f t="shared" ca="1" si="105"/>
        <v>4.9799682244085322</v>
      </c>
      <c r="Z147" s="96">
        <f t="shared" ca="1" si="105"/>
        <v>5.1104825391681716</v>
      </c>
    </row>
    <row r="148" spans="1:26" x14ac:dyDescent="0.25">
      <c r="A148" s="12" t="s">
        <v>1016</v>
      </c>
      <c r="B148" s="14" t="str">
        <f>$B$38</f>
        <v>From Fiscal Forecasts</v>
      </c>
      <c r="C148" s="15"/>
      <c r="D148" s="50">
        <f>'Fiscal Forecasts'!D$228</f>
        <v>3.0139999999999998</v>
      </c>
      <c r="E148" s="50">
        <f>'Fiscal Forecasts'!E$228</f>
        <v>3.032</v>
      </c>
      <c r="F148" s="50">
        <f>'Fiscal Forecasts'!F$228</f>
        <v>3.27</v>
      </c>
      <c r="G148" s="50">
        <f>'Fiscal Forecasts'!G$228</f>
        <v>3.4609999999999999</v>
      </c>
      <c r="H148" s="50">
        <f>'Fiscal Forecasts'!H$228</f>
        <v>3.855</v>
      </c>
      <c r="I148" s="50">
        <f>'Fiscal Forecasts'!I$228</f>
        <v>4.1449999999999996</v>
      </c>
      <c r="J148" s="50">
        <f>'Fiscal Forecasts'!J$228</f>
        <v>4.2439999999999998</v>
      </c>
      <c r="K148" s="50">
        <f>'Fiscal Forecasts'!K$228</f>
        <v>4.5010000000000003</v>
      </c>
      <c r="L148" s="48">
        <f>'Fiscal Forecasts'!L$228</f>
        <v>4.97</v>
      </c>
      <c r="M148" s="48">
        <f>'Fiscal Forecasts'!M$228</f>
        <v>5.3630000000000004</v>
      </c>
      <c r="N148" s="48">
        <f>'Fiscal Forecasts'!N$228</f>
        <v>5.4489999999999998</v>
      </c>
      <c r="O148" s="48">
        <f>'Fiscal Forecasts'!O$228</f>
        <v>5.8540000000000001</v>
      </c>
      <c r="P148" s="48">
        <f>'Fiscal Forecasts'!P$228</f>
        <v>5.9859999999999998</v>
      </c>
      <c r="Q148" s="20">
        <f>P$148*(Exogenous!AB$25-Exogenous!AB$26)/(Exogenous!AA$25-Exogenous!AA$26)</f>
        <v>6.5094507792485157</v>
      </c>
      <c r="R148" s="20">
        <f>Q$148*(Exogenous!AC$25-Exogenous!AC$26)/(Exogenous!AB$25-Exogenous!AB$26)</f>
        <v>7.0637669526430447</v>
      </c>
      <c r="S148" s="20">
        <f>R$148*(Exogenous!AD$25-Exogenous!AD$26)/(Exogenous!AC$25-Exogenous!AC$26)</f>
        <v>7.6352679431138677</v>
      </c>
      <c r="T148" s="20">
        <f>S$148*(Exogenous!AE$25-Exogenous!AE$26)/(Exogenous!AD$25-Exogenous!AD$26)</f>
        <v>8.2584606508699405</v>
      </c>
      <c r="U148" s="20">
        <f>T$148*(Exogenous!AF$25-Exogenous!AF$26)/(Exogenous!AE$25-Exogenous!AE$26)</f>
        <v>8.8628947371769744</v>
      </c>
      <c r="V148" s="20">
        <f>U$148*(Exogenous!AG$25-Exogenous!AG$26)/(Exogenous!AF$25-Exogenous!AF$26)</f>
        <v>9.2504040037755946</v>
      </c>
      <c r="W148" s="20">
        <f>V$148*(Exogenous!AH$25-Exogenous!AH$26)/(Exogenous!AG$25-Exogenous!AG$26)</f>
        <v>9.6520793273056462</v>
      </c>
      <c r="X148" s="20">
        <f>W$148*(Exogenous!AI$25-Exogenous!AI$26)/(Exogenous!AH$25-Exogenous!AH$26)</f>
        <v>10.044084082937973</v>
      </c>
      <c r="Y148" s="20">
        <f>X$148*(Exogenous!AJ$25-Exogenous!AJ$26)/(Exogenous!AI$25-Exogenous!AI$26)</f>
        <v>10.452764231770606</v>
      </c>
      <c r="Z148" s="20">
        <f>Y$148*(Exogenous!AK$25-Exogenous!AK$26)/(Exogenous!AJ$25-Exogenous!AJ$26)</f>
        <v>10.865392180026317</v>
      </c>
    </row>
    <row r="149" spans="1:26" x14ac:dyDescent="0.25">
      <c r="A149" s="12" t="s">
        <v>1218</v>
      </c>
      <c r="B149" s="14" t="str">
        <f>$B$38</f>
        <v>From Fiscal Forecasts</v>
      </c>
      <c r="C149" s="15"/>
      <c r="D149" s="50">
        <f>'Fiscal Forecasts'!D$10-SUM(D$147:D$148)</f>
        <v>1.0369999999999999</v>
      </c>
      <c r="E149" s="50">
        <f>'Fiscal Forecasts'!E$10-SUM(E$147:E$148)</f>
        <v>1.117</v>
      </c>
      <c r="F149" s="50">
        <f>'Fiscal Forecasts'!F$10-SUM(F$147:F$148)</f>
        <v>1.0229999999999997</v>
      </c>
      <c r="G149" s="50">
        <f>'Fiscal Forecasts'!G$10-SUM(G$147:G$148)</f>
        <v>1.1059999999999999</v>
      </c>
      <c r="H149" s="50">
        <f>'Fiscal Forecasts'!H$10-SUM(H$147:H$148)</f>
        <v>1.2599999999999998</v>
      </c>
      <c r="I149" s="50">
        <f>'Fiscal Forecasts'!I$10-SUM(I$147:I$148)</f>
        <v>1.6920000000000002</v>
      </c>
      <c r="J149" s="50">
        <f>'Fiscal Forecasts'!J$10-SUM(J$147:J$148)</f>
        <v>1.8240000000000007</v>
      </c>
      <c r="K149" s="50">
        <f>'Fiscal Forecasts'!K$10-SUM(K$147:K$148)</f>
        <v>1.9770000000000003</v>
      </c>
      <c r="L149" s="48">
        <f>'Fiscal Forecasts'!L$10-SUM(L$147:L$148)</f>
        <v>1.8499999999999996</v>
      </c>
      <c r="M149" s="48">
        <f>'Fiscal Forecasts'!M$10-SUM(M$147:M$148)</f>
        <v>1.9960000000000004</v>
      </c>
      <c r="N149" s="48">
        <f>'Fiscal Forecasts'!N$10-SUM(N$147:N$148)</f>
        <v>2.0900000000000016</v>
      </c>
      <c r="O149" s="48">
        <f>'Fiscal Forecasts'!O$10-SUM(O$147:O$148)</f>
        <v>2.2330000000000005</v>
      </c>
      <c r="P149" s="48">
        <f>'Fiscal Forecasts'!P$10-SUM(P$147:P$148)</f>
        <v>2.4120000000000008</v>
      </c>
      <c r="Q149" s="20">
        <f t="shared" ref="Q149:Z149" ca="1" si="106">P$149*(1+Q$29)</f>
        <v>2.4602400000000006</v>
      </c>
      <c r="R149" s="20">
        <f t="shared" ca="1" si="106"/>
        <v>2.5094448000000007</v>
      </c>
      <c r="S149" s="20">
        <f t="shared" ca="1" si="106"/>
        <v>2.5596336960000006</v>
      </c>
      <c r="T149" s="20">
        <f t="shared" ca="1" si="106"/>
        <v>2.6108263699200007</v>
      </c>
      <c r="U149" s="20">
        <f t="shared" ca="1" si="106"/>
        <v>2.6630428973184008</v>
      </c>
      <c r="V149" s="20">
        <f t="shared" ca="1" si="106"/>
        <v>2.7163037552647689</v>
      </c>
      <c r="W149" s="20">
        <f t="shared" ca="1" si="106"/>
        <v>2.7706298303700643</v>
      </c>
      <c r="X149" s="20">
        <f t="shared" ca="1" si="106"/>
        <v>2.8260424269774655</v>
      </c>
      <c r="Y149" s="20">
        <f t="shared" ca="1" si="106"/>
        <v>2.8825632755170147</v>
      </c>
      <c r="Z149" s="20">
        <f t="shared" ca="1" si="106"/>
        <v>2.940214541027355</v>
      </c>
    </row>
    <row r="150" spans="1:26" x14ac:dyDescent="0.25">
      <c r="A150" s="11" t="s">
        <v>1219</v>
      </c>
      <c r="B150" s="11"/>
      <c r="C150" s="15"/>
      <c r="D150" s="94">
        <f t="shared" ref="D150:Z150" si="107">SUM(D$147:D$149)</f>
        <v>6.0279999999999996</v>
      </c>
      <c r="E150" s="94">
        <f t="shared" si="107"/>
        <v>6.2690000000000001</v>
      </c>
      <c r="F150" s="94">
        <f t="shared" si="107"/>
        <v>7.0380000000000003</v>
      </c>
      <c r="G150" s="94">
        <f t="shared" si="107"/>
        <v>8.8940000000000001</v>
      </c>
      <c r="H150" s="94">
        <f t="shared" si="107"/>
        <v>8.407</v>
      </c>
      <c r="I150" s="94">
        <f t="shared" si="107"/>
        <v>9.4260000000000002</v>
      </c>
      <c r="J150" s="94">
        <f t="shared" si="107"/>
        <v>9.7680000000000007</v>
      </c>
      <c r="K150" s="94">
        <f t="shared" si="107"/>
        <v>10.302</v>
      </c>
      <c r="L150" s="95">
        <f t="shared" si="107"/>
        <v>10.911</v>
      </c>
      <c r="M150" s="95">
        <f t="shared" si="107"/>
        <v>11.522</v>
      </c>
      <c r="N150" s="95">
        <f t="shared" si="107"/>
        <v>11.723000000000001</v>
      </c>
      <c r="O150" s="95">
        <f t="shared" si="107"/>
        <v>12.202999999999999</v>
      </c>
      <c r="P150" s="95">
        <f t="shared" si="107"/>
        <v>12.422000000000001</v>
      </c>
      <c r="Q150" s="96">
        <f t="shared" ca="1" si="107"/>
        <v>13.075297982949122</v>
      </c>
      <c r="R150" s="96">
        <f t="shared" ca="1" si="107"/>
        <v>13.761646305928748</v>
      </c>
      <c r="S150" s="96">
        <f t="shared" ca="1" si="107"/>
        <v>14.467963547810054</v>
      </c>
      <c r="T150" s="96">
        <f t="shared" ca="1" si="107"/>
        <v>15.234173078563948</v>
      </c>
      <c r="U150" s="96">
        <f t="shared" ca="1" si="107"/>
        <v>16.010218107291355</v>
      </c>
      <c r="V150" s="96">
        <f t="shared" ca="1" si="107"/>
        <v>16.572721146562614</v>
      </c>
      <c r="W150" s="96">
        <f t="shared" ca="1" si="107"/>
        <v>17.150544911928744</v>
      </c>
      <c r="X150" s="96">
        <f t="shared" ca="1" si="107"/>
        <v>17.722314771064671</v>
      </c>
      <c r="Y150" s="96">
        <f t="shared" ca="1" si="107"/>
        <v>18.315295731696153</v>
      </c>
      <c r="Z150" s="96">
        <f t="shared" ca="1" si="107"/>
        <v>18.916089260221845</v>
      </c>
    </row>
    <row r="151" spans="1:26" x14ac:dyDescent="0.25">
      <c r="A151" s="12" t="s">
        <v>1220</v>
      </c>
      <c r="B151" s="14" t="str">
        <f>$B$38</f>
        <v>From Fiscal Forecasts</v>
      </c>
      <c r="C151" s="15"/>
      <c r="D151" s="50">
        <f>'Fiscal Forecasts'!D$374</f>
        <v>0</v>
      </c>
      <c r="E151" s="50">
        <f>'Fiscal Forecasts'!E$374</f>
        <v>0</v>
      </c>
      <c r="F151" s="50">
        <f>'Fiscal Forecasts'!F$374</f>
        <v>0.33600000000000002</v>
      </c>
      <c r="G151" s="50">
        <f>'Fiscal Forecasts'!G$374</f>
        <v>2.0960000000000001</v>
      </c>
      <c r="H151" s="50">
        <f>'Fiscal Forecasts'!H$374</f>
        <v>0.83199999999999996</v>
      </c>
      <c r="I151" s="50">
        <f>'Fiscal Forecasts'!I$374</f>
        <v>0.21</v>
      </c>
      <c r="J151" s="50">
        <f>'Fiscal Forecasts'!J$374</f>
        <v>0.26700000000000002</v>
      </c>
      <c r="K151" s="50">
        <f>'Fiscal Forecasts'!K$374</f>
        <v>4.0000000000000001E-3</v>
      </c>
      <c r="L151" s="48">
        <f>'Fiscal Forecasts'!L$374</f>
        <v>0.12</v>
      </c>
      <c r="M151" s="48">
        <f>'Fiscal Forecasts'!M$374</f>
        <v>0.2</v>
      </c>
      <c r="N151" s="48">
        <f>'Fiscal Forecasts'!N$374</f>
        <v>0.14899999999999999</v>
      </c>
      <c r="O151" s="48">
        <f>'Fiscal Forecasts'!O$374</f>
        <v>0.104</v>
      </c>
      <c r="P151" s="48">
        <f>'Fiscal Forecasts'!P$374</f>
        <v>3.6999999999999998E-2</v>
      </c>
      <c r="Q151" s="20">
        <f t="shared" ref="Q151:Z151" si="108">P$151</f>
        <v>3.6999999999999998E-2</v>
      </c>
      <c r="R151" s="20">
        <f t="shared" si="108"/>
        <v>3.6999999999999998E-2</v>
      </c>
      <c r="S151" s="20">
        <f t="shared" si="108"/>
        <v>3.6999999999999998E-2</v>
      </c>
      <c r="T151" s="20">
        <f t="shared" si="108"/>
        <v>3.6999999999999998E-2</v>
      </c>
      <c r="U151" s="20">
        <f t="shared" si="108"/>
        <v>3.6999999999999998E-2</v>
      </c>
      <c r="V151" s="20">
        <f t="shared" si="108"/>
        <v>3.6999999999999998E-2</v>
      </c>
      <c r="W151" s="20">
        <f t="shared" si="108"/>
        <v>3.6999999999999998E-2</v>
      </c>
      <c r="X151" s="20">
        <f t="shared" si="108"/>
        <v>3.6999999999999998E-2</v>
      </c>
      <c r="Y151" s="20">
        <f t="shared" si="108"/>
        <v>3.6999999999999998E-2</v>
      </c>
      <c r="Z151" s="20">
        <f t="shared" si="108"/>
        <v>3.6999999999999998E-2</v>
      </c>
    </row>
    <row r="152" spans="1:26" x14ac:dyDescent="0.25">
      <c r="A152" s="11"/>
      <c r="B152" s="11"/>
      <c r="C152" s="15"/>
      <c r="D152" s="51"/>
      <c r="E152" s="51"/>
      <c r="F152" s="51"/>
      <c r="G152" s="51"/>
      <c r="H152" s="51"/>
      <c r="I152" s="51"/>
      <c r="J152" s="51"/>
      <c r="K152" s="51"/>
      <c r="L152" s="47"/>
      <c r="M152" s="47"/>
      <c r="N152" s="47"/>
      <c r="O152" s="47"/>
      <c r="P152" s="47"/>
      <c r="Q152" s="21"/>
      <c r="R152" s="21"/>
      <c r="S152" s="21"/>
      <c r="T152" s="21"/>
      <c r="U152" s="21"/>
      <c r="V152" s="21"/>
      <c r="W152" s="21"/>
      <c r="X152" s="21"/>
      <c r="Y152" s="21"/>
      <c r="Z152" s="21"/>
    </row>
    <row r="153" spans="1:26" x14ac:dyDescent="0.25">
      <c r="A153" s="11" t="s">
        <v>866</v>
      </c>
      <c r="B153" s="11"/>
      <c r="C153" s="15"/>
      <c r="D153" s="51"/>
      <c r="E153" s="51"/>
      <c r="F153" s="51"/>
      <c r="G153" s="51"/>
      <c r="H153" s="51"/>
      <c r="I153" s="51"/>
      <c r="J153" s="51"/>
      <c r="K153" s="51"/>
      <c r="L153" s="47"/>
      <c r="M153" s="47"/>
      <c r="N153" s="47"/>
      <c r="O153" s="47"/>
      <c r="P153" s="47"/>
      <c r="Q153" s="21"/>
      <c r="R153" s="21"/>
      <c r="S153" s="21"/>
      <c r="T153" s="21"/>
      <c r="U153" s="21"/>
      <c r="V153" s="21"/>
      <c r="W153" s="21"/>
      <c r="X153" s="21"/>
      <c r="Y153" s="21"/>
      <c r="Z153" s="21"/>
    </row>
    <row r="154" spans="1:26" x14ac:dyDescent="0.25">
      <c r="A154" s="11" t="s">
        <v>1221</v>
      </c>
      <c r="B154" s="14" t="str">
        <f>$B$38</f>
        <v>From Fiscal Forecasts</v>
      </c>
      <c r="C154" s="15"/>
      <c r="D154" s="51">
        <f>'Fiscal Forecasts'!D165</f>
        <v>1.583</v>
      </c>
      <c r="E154" s="51">
        <f>'Fiscal Forecasts'!E165</f>
        <v>1.5529999999999999</v>
      </c>
      <c r="F154" s="51">
        <f>'Fiscal Forecasts'!F165</f>
        <v>1.5429999999999999</v>
      </c>
      <c r="G154" s="51">
        <f>'Fiscal Forecasts'!G165</f>
        <v>1.3859999999999999</v>
      </c>
      <c r="H154" s="51">
        <f>'Fiscal Forecasts'!H165</f>
        <v>1.631</v>
      </c>
      <c r="I154" s="51">
        <f>'Fiscal Forecasts'!I165</f>
        <v>1.798</v>
      </c>
      <c r="J154" s="51">
        <f>'Fiscal Forecasts'!J165</f>
        <v>2.004</v>
      </c>
      <c r="K154" s="51">
        <f>'Fiscal Forecasts'!K165</f>
        <v>2.3359999999999999</v>
      </c>
      <c r="L154" s="47">
        <f>'Fiscal Forecasts'!L165</f>
        <v>2.9159999999999999</v>
      </c>
      <c r="M154" s="47">
        <f>'Fiscal Forecasts'!M165</f>
        <v>2.9790000000000001</v>
      </c>
      <c r="N154" s="47">
        <f>'Fiscal Forecasts'!N165</f>
        <v>3.0310000000000001</v>
      </c>
      <c r="O154" s="47">
        <f>'Fiscal Forecasts'!O165</f>
        <v>3.02</v>
      </c>
      <c r="P154" s="47">
        <f>'Fiscal Forecasts'!P165</f>
        <v>3.0350000000000001</v>
      </c>
      <c r="Q154" s="21">
        <f t="shared" ref="Q154:Z154" ca="1" si="109">P$154*(1+Q$19)*(1+Q$29)</f>
        <v>3.1354778349822885</v>
      </c>
      <c r="R154" s="21">
        <f t="shared" ca="1" si="109"/>
        <v>3.2374579591164738</v>
      </c>
      <c r="S154" s="21">
        <f t="shared" ca="1" si="109"/>
        <v>3.34165431760362</v>
      </c>
      <c r="T154" s="21">
        <f t="shared" ca="1" si="109"/>
        <v>3.4470817783555803</v>
      </c>
      <c r="U154" s="21">
        <f t="shared" ca="1" si="109"/>
        <v>3.5555420613404651</v>
      </c>
      <c r="V154" s="21">
        <f t="shared" ca="1" si="109"/>
        <v>3.6661107409021687</v>
      </c>
      <c r="W154" s="21">
        <f t="shared" ca="1" si="109"/>
        <v>3.7760032885418422</v>
      </c>
      <c r="X154" s="21">
        <f t="shared" ca="1" si="109"/>
        <v>3.8882090452444484</v>
      </c>
      <c r="Y154" s="21">
        <f t="shared" ca="1" si="109"/>
        <v>4.0038167803238665</v>
      </c>
      <c r="Z154" s="21">
        <f t="shared" ca="1" si="109"/>
        <v>4.1219567565282773</v>
      </c>
    </row>
    <row r="155" spans="1:26" x14ac:dyDescent="0.25">
      <c r="A155" s="11" t="s">
        <v>1222</v>
      </c>
      <c r="B155" s="14" t="str">
        <f>$B$38</f>
        <v>From Fiscal Forecasts</v>
      </c>
      <c r="C155" s="15"/>
      <c r="D155" s="51">
        <f>'Fiscal Forecasts'!D11</f>
        <v>19.795999999999999</v>
      </c>
      <c r="E155" s="51">
        <f>'Fiscal Forecasts'!E11</f>
        <v>18.437000000000001</v>
      </c>
      <c r="F155" s="51">
        <f>'Fiscal Forecasts'!F11</f>
        <v>18.5</v>
      </c>
      <c r="G155" s="51">
        <f>'Fiscal Forecasts'!G11</f>
        <v>17.442</v>
      </c>
      <c r="H155" s="51">
        <f>'Fiscal Forecasts'!H11</f>
        <v>21.954000000000001</v>
      </c>
      <c r="I155" s="51">
        <f>'Fiscal Forecasts'!I11</f>
        <v>25.135000000000002</v>
      </c>
      <c r="J155" s="51">
        <f>'Fiscal Forecasts'!J11</f>
        <v>26.085000000000001</v>
      </c>
      <c r="K155" s="51">
        <f>'Fiscal Forecasts'!K11</f>
        <v>25.22</v>
      </c>
      <c r="L155" s="47">
        <f>'Fiscal Forecasts'!L11</f>
        <v>26.960999999999999</v>
      </c>
      <c r="M155" s="47">
        <f>'Fiscal Forecasts'!M11</f>
        <v>27.52</v>
      </c>
      <c r="N155" s="47">
        <f>'Fiscal Forecasts'!N11</f>
        <v>28.155999999999999</v>
      </c>
      <c r="O155" s="47">
        <f>'Fiscal Forecasts'!O11</f>
        <v>29.151</v>
      </c>
      <c r="P155" s="47">
        <f>'Fiscal Forecasts'!P11</f>
        <v>29.815999999999999</v>
      </c>
      <c r="Q155" s="21">
        <f t="shared" ref="Q155:Z155" ca="1" si="110">Q$154+(P$155-P$154)*(1+Q$14)</f>
        <v>31.082278581469399</v>
      </c>
      <c r="R155" s="21">
        <f t="shared" ca="1" si="110"/>
        <v>32.373817990717384</v>
      </c>
      <c r="S155" s="21">
        <f t="shared" ca="1" si="110"/>
        <v>33.699088373795036</v>
      </c>
      <c r="T155" s="21">
        <f t="shared" ca="1" si="110"/>
        <v>35.054248490549547</v>
      </c>
      <c r="U155" s="21">
        <f t="shared" ca="1" si="110"/>
        <v>36.456020529544169</v>
      </c>
      <c r="V155" s="21">
        <f t="shared" ca="1" si="110"/>
        <v>37.903940016000107</v>
      </c>
      <c r="W155" s="21">
        <f t="shared" ca="1" si="110"/>
        <v>39.388475508708048</v>
      </c>
      <c r="X155" s="21">
        <f t="shared" ca="1" si="110"/>
        <v>40.914908229707805</v>
      </c>
      <c r="Y155" s="21">
        <f t="shared" ca="1" si="110"/>
        <v>42.491722468210163</v>
      </c>
      <c r="Z155" s="21">
        <f t="shared" ca="1" si="110"/>
        <v>44.118425353902772</v>
      </c>
    </row>
    <row r="156" spans="1:26" x14ac:dyDescent="0.25">
      <c r="A156" s="11"/>
      <c r="B156" s="11"/>
      <c r="C156" s="15"/>
      <c r="D156" s="51"/>
      <c r="E156" s="51"/>
      <c r="F156" s="51"/>
      <c r="G156" s="51"/>
      <c r="H156" s="51"/>
      <c r="I156" s="51"/>
      <c r="J156" s="51"/>
      <c r="K156" s="51"/>
      <c r="L156" s="47"/>
      <c r="M156" s="47"/>
      <c r="N156" s="47"/>
      <c r="O156" s="47"/>
      <c r="P156" s="47"/>
      <c r="Q156" s="21"/>
      <c r="R156" s="21"/>
      <c r="S156" s="21"/>
      <c r="T156" s="21"/>
      <c r="U156" s="21"/>
      <c r="V156" s="21"/>
      <c r="W156" s="21"/>
      <c r="X156" s="21"/>
      <c r="Y156" s="21"/>
      <c r="Z156" s="21"/>
    </row>
    <row r="157" spans="1:26" x14ac:dyDescent="0.25">
      <c r="A157" s="11" t="s">
        <v>867</v>
      </c>
      <c r="B157" s="11"/>
      <c r="C157" s="15"/>
      <c r="D157" s="51"/>
      <c r="E157" s="51"/>
      <c r="F157" s="51"/>
      <c r="G157" s="51"/>
      <c r="H157" s="51"/>
      <c r="I157" s="51"/>
      <c r="J157" s="51"/>
      <c r="K157" s="51"/>
      <c r="L157" s="47"/>
      <c r="M157" s="47"/>
      <c r="N157" s="47"/>
      <c r="O157" s="47"/>
      <c r="P157" s="47"/>
      <c r="Q157" s="21"/>
      <c r="R157" s="21"/>
      <c r="S157" s="21"/>
      <c r="T157" s="21"/>
      <c r="U157" s="21"/>
      <c r="V157" s="21"/>
      <c r="W157" s="21"/>
      <c r="X157" s="21"/>
      <c r="Y157" s="21"/>
      <c r="Z157" s="21"/>
    </row>
    <row r="158" spans="1:26" x14ac:dyDescent="0.25">
      <c r="A158" s="12" t="s">
        <v>1223</v>
      </c>
      <c r="B158" s="11"/>
      <c r="C158" s="15"/>
      <c r="D158" s="50">
        <f ca="1">OFFSET(Assumptions!$B$48,0,$C$1)*D$375</f>
        <v>0.41243999999999997</v>
      </c>
      <c r="E158" s="50">
        <f ca="1">OFFSET(Assumptions!$B$48,0,$C$1)*E$375</f>
        <v>0.33726</v>
      </c>
      <c r="F158" s="50">
        <f ca="1">OFFSET(Assumptions!$B$48,0,$C$1)*F$375</f>
        <v>0.31163999999999997</v>
      </c>
      <c r="G158" s="50">
        <f ca="1">OFFSET(Assumptions!$B$48,0,$C$1)*G$375</f>
        <v>0.45233999999999996</v>
      </c>
      <c r="H158" s="50">
        <f ca="1">OFFSET(Assumptions!$B$48,0,$C$1)*H$375</f>
        <v>0.5544</v>
      </c>
      <c r="I158" s="50">
        <f ca="1">OFFSET(Assumptions!$B$48,0,$C$1)*I$375</f>
        <v>0.69677999999999995</v>
      </c>
      <c r="J158" s="50">
        <f ca="1">OFFSET(Assumptions!$B$48,0,$C$1)*J$375</f>
        <v>0.74927999999999995</v>
      </c>
      <c r="K158" s="50">
        <f ca="1">OFFSET(Assumptions!$B$48,0,$C$1)*K$375</f>
        <v>0.75348000000000004</v>
      </c>
      <c r="L158" s="48">
        <f ca="1">OFFSET(Assumptions!$B$48,0,$C$1)*L$375</f>
        <v>0.74885999999999997</v>
      </c>
      <c r="M158" s="48">
        <f ca="1">OFFSET(Assumptions!$B$48,0,$C$1)*M$375</f>
        <v>0.77532000000000001</v>
      </c>
      <c r="N158" s="48">
        <f ca="1">OFFSET(Assumptions!$B$48,0,$C$1)*N$375</f>
        <v>0.81227999999999989</v>
      </c>
      <c r="O158" s="48">
        <f ca="1">OFFSET(Assumptions!$B$48,0,$C$1)*O$375</f>
        <v>0.84965999999999997</v>
      </c>
      <c r="P158" s="48">
        <f ca="1">OFFSET(Assumptions!$B$48,0,$C$1)*P$375</f>
        <v>0.88913999999999993</v>
      </c>
      <c r="Q158" s="20">
        <f ca="1">OFFSET(Assumptions!$B$48,0,$C$1)*Q$375</f>
        <v>0.95870978269583018</v>
      </c>
      <c r="R158" s="20">
        <f ca="1">OFFSET(Assumptions!$B$48,0,$C$1)*R$375</f>
        <v>1.0175422012160071</v>
      </c>
      <c r="S158" s="20">
        <f ca="1">OFFSET(Assumptions!$B$48,0,$C$1)*S$375</f>
        <v>1.0788136908672246</v>
      </c>
      <c r="T158" s="20">
        <f ca="1">OFFSET(Assumptions!$B$48,0,$C$1)*T$375</f>
        <v>1.1426320853691245</v>
      </c>
      <c r="U158" s="20">
        <f ca="1">OFFSET(Assumptions!$B$48,0,$C$1)*U$375</f>
        <v>1.2090007055569587</v>
      </c>
      <c r="V158" s="20">
        <f ca="1">OFFSET(Assumptions!$B$48,0,$C$1)*V$375</f>
        <v>1.2779762319694714</v>
      </c>
      <c r="W158" s="20">
        <f ca="1">OFFSET(Assumptions!$B$48,0,$C$1)*W$375</f>
        <v>1.3501058732121565</v>
      </c>
      <c r="X158" s="20">
        <f ca="1">OFFSET(Assumptions!$B$48,0,$C$1)*X$375</f>
        <v>1.4260986796114399</v>
      </c>
      <c r="Y158" s="20">
        <f ca="1">OFFSET(Assumptions!$B$48,0,$C$1)*Y$375</f>
        <v>1.5068004336497027</v>
      </c>
      <c r="Z158" s="20">
        <f ca="1">OFFSET(Assumptions!$B$48,0,$C$1)*Z$375</f>
        <v>1.5931502850467707</v>
      </c>
    </row>
    <row r="159" spans="1:26" x14ac:dyDescent="0.25">
      <c r="A159" s="12" t="s">
        <v>1224</v>
      </c>
      <c r="B159" s="11"/>
      <c r="C159" s="15"/>
      <c r="D159" s="50">
        <f t="shared" ref="D159:Z159" si="111">D$404</f>
        <v>0.39400000000000002</v>
      </c>
      <c r="E159" s="50">
        <f t="shared" si="111"/>
        <v>0.33100000000000002</v>
      </c>
      <c r="F159" s="50">
        <f t="shared" si="111"/>
        <v>0.23499999999999999</v>
      </c>
      <c r="G159" s="50">
        <f t="shared" si="111"/>
        <v>0.28000000000000003</v>
      </c>
      <c r="H159" s="50">
        <f t="shared" si="111"/>
        <v>0.57699999999999996</v>
      </c>
      <c r="I159" s="50">
        <f t="shared" si="111"/>
        <v>0.63400000000000001</v>
      </c>
      <c r="J159" s="50">
        <f t="shared" si="111"/>
        <v>0.49199999999999999</v>
      </c>
      <c r="K159" s="50">
        <f t="shared" si="111"/>
        <v>0.311</v>
      </c>
      <c r="L159" s="48">
        <f t="shared" si="111"/>
        <v>0.36299999999999999</v>
      </c>
      <c r="M159" s="48">
        <f t="shared" si="111"/>
        <v>0.44600000000000001</v>
      </c>
      <c r="N159" s="48">
        <f t="shared" si="111"/>
        <v>0.47399999999999998</v>
      </c>
      <c r="O159" s="48">
        <f t="shared" si="111"/>
        <v>0.501</v>
      </c>
      <c r="P159" s="48">
        <f t="shared" si="111"/>
        <v>0.52600000000000002</v>
      </c>
      <c r="Q159" s="20">
        <f t="shared" si="111"/>
        <v>0.56899999999999995</v>
      </c>
      <c r="R159" s="20">
        <f t="shared" si="111"/>
        <v>0.60499999999999998</v>
      </c>
      <c r="S159" s="20">
        <f t="shared" si="111"/>
        <v>0.63900000000000001</v>
      </c>
      <c r="T159" s="20">
        <f t="shared" si="111"/>
        <v>0.67</v>
      </c>
      <c r="U159" s="20">
        <f t="shared" si="111"/>
        <v>0.69899999999999995</v>
      </c>
      <c r="V159" s="20">
        <f t="shared" si="111"/>
        <v>0.72899999999999998</v>
      </c>
      <c r="W159" s="20">
        <f t="shared" si="111"/>
        <v>0.75900000000000001</v>
      </c>
      <c r="X159" s="20">
        <f t="shared" si="111"/>
        <v>0.79100000000000004</v>
      </c>
      <c r="Y159" s="20">
        <f t="shared" si="111"/>
        <v>0.82399999999999995</v>
      </c>
      <c r="Z159" s="20">
        <f t="shared" si="111"/>
        <v>0.85699999999999998</v>
      </c>
    </row>
    <row r="160" spans="1:26" x14ac:dyDescent="0.25">
      <c r="A160" s="12" t="s">
        <v>1225</v>
      </c>
      <c r="B160" s="14" t="str">
        <f>$B$38</f>
        <v>From Fiscal Forecasts</v>
      </c>
      <c r="C160" s="15"/>
      <c r="D160" s="50">
        <f ca="1">'Fiscal Forecasts'!D$166-SUM(D$158:D$159)</f>
        <v>0.25356000000000001</v>
      </c>
      <c r="E160" s="50">
        <f ca="1">'Fiscal Forecasts'!E$166-SUM(E$158:E$159)</f>
        <v>0.1817399999999999</v>
      </c>
      <c r="F160" s="50">
        <f ca="1">'Fiscal Forecasts'!F$166-SUM(F$158:F$159)</f>
        <v>0.16935999999999996</v>
      </c>
      <c r="G160" s="50">
        <f ca="1">'Fiscal Forecasts'!G$166-SUM(G$158:G$159)</f>
        <v>0.12565999999999999</v>
      </c>
      <c r="H160" s="50">
        <f ca="1">'Fiscal Forecasts'!H$166-SUM(H$158:H$159)</f>
        <v>1.7306000000000001</v>
      </c>
      <c r="I160" s="50">
        <f ca="1">'Fiscal Forecasts'!I$166-SUM(I$158:I$159)</f>
        <v>3.11022</v>
      </c>
      <c r="J160" s="50">
        <f ca="1">'Fiscal Forecasts'!J$166-SUM(J$158:J$159)</f>
        <v>2.9477200000000003</v>
      </c>
      <c r="K160" s="50">
        <f ca="1">'Fiscal Forecasts'!K$166-SUM(K$158:K$159)</f>
        <v>2.45452</v>
      </c>
      <c r="L160" s="48">
        <f ca="1">'Fiscal Forecasts'!L$166-SUM(L$158:L$159)</f>
        <v>2.9171399999999998</v>
      </c>
      <c r="M160" s="48">
        <f ca="1">'Fiscal Forecasts'!M$166-SUM(M$158:M$159)</f>
        <v>3.2346800000000004</v>
      </c>
      <c r="N160" s="48">
        <f ca="1">'Fiscal Forecasts'!N$166-SUM(N$158:N$159)</f>
        <v>3.42272</v>
      </c>
      <c r="O160" s="48">
        <f ca="1">'Fiscal Forecasts'!O$166-SUM(O$158:O$159)</f>
        <v>3.8523400000000003</v>
      </c>
      <c r="P160" s="48">
        <f ca="1">'Fiscal Forecasts'!P$166-SUM(P$158:P$159)</f>
        <v>3.8328600000000002</v>
      </c>
      <c r="Q160" s="20">
        <f t="shared" ref="Q160:Z160" ca="1" si="112">P$160*(1+Q$29)*Q$30/P$30</f>
        <v>3.9095172000000002</v>
      </c>
      <c r="R160" s="20">
        <f t="shared" ca="1" si="112"/>
        <v>3.9877075440000005</v>
      </c>
      <c r="S160" s="20">
        <f t="shared" ca="1" si="112"/>
        <v>4.0674616948800004</v>
      </c>
      <c r="T160" s="20">
        <f t="shared" ca="1" si="112"/>
        <v>4.1488109287776007</v>
      </c>
      <c r="U160" s="20">
        <f t="shared" ca="1" si="112"/>
        <v>4.2317871473531525</v>
      </c>
      <c r="V160" s="20">
        <f t="shared" ca="1" si="112"/>
        <v>4.316422890300216</v>
      </c>
      <c r="W160" s="20">
        <f t="shared" ca="1" si="112"/>
        <v>4.4027513481062206</v>
      </c>
      <c r="X160" s="20">
        <f t="shared" ca="1" si="112"/>
        <v>4.4908063750683453</v>
      </c>
      <c r="Y160" s="20">
        <f t="shared" ca="1" si="112"/>
        <v>4.580622502569712</v>
      </c>
      <c r="Z160" s="20">
        <f t="shared" ca="1" si="112"/>
        <v>4.672234952621106</v>
      </c>
    </row>
    <row r="161" spans="1:26" x14ac:dyDescent="0.25">
      <c r="A161" s="11" t="s">
        <v>1226</v>
      </c>
      <c r="B161" s="11"/>
      <c r="C161" s="15"/>
      <c r="D161" s="94">
        <f t="shared" ref="D161:Z161" ca="1" si="113">SUM(D$158:D$160)</f>
        <v>1.06</v>
      </c>
      <c r="E161" s="94">
        <f t="shared" ca="1" si="113"/>
        <v>0.85</v>
      </c>
      <c r="F161" s="94">
        <f t="shared" ca="1" si="113"/>
        <v>0.71599999999999997</v>
      </c>
      <c r="G161" s="94">
        <f t="shared" ca="1" si="113"/>
        <v>0.85799999999999998</v>
      </c>
      <c r="H161" s="94">
        <f t="shared" ca="1" si="113"/>
        <v>2.8620000000000001</v>
      </c>
      <c r="I161" s="94">
        <f t="shared" ca="1" si="113"/>
        <v>4.4409999999999998</v>
      </c>
      <c r="J161" s="94">
        <f t="shared" ca="1" si="113"/>
        <v>4.1890000000000001</v>
      </c>
      <c r="K161" s="94">
        <f t="shared" ca="1" si="113"/>
        <v>3.5190000000000001</v>
      </c>
      <c r="L161" s="95">
        <f t="shared" ca="1" si="113"/>
        <v>4.0289999999999999</v>
      </c>
      <c r="M161" s="95">
        <f t="shared" ca="1" si="113"/>
        <v>4.4560000000000004</v>
      </c>
      <c r="N161" s="95">
        <f t="shared" ca="1" si="113"/>
        <v>4.7089999999999996</v>
      </c>
      <c r="O161" s="95">
        <f t="shared" ca="1" si="113"/>
        <v>5.2030000000000003</v>
      </c>
      <c r="P161" s="95">
        <f t="shared" ca="1" si="113"/>
        <v>5.2480000000000002</v>
      </c>
      <c r="Q161" s="96">
        <f t="shared" ca="1" si="113"/>
        <v>5.4372269826958304</v>
      </c>
      <c r="R161" s="96">
        <f t="shared" ca="1" si="113"/>
        <v>5.6102497452160076</v>
      </c>
      <c r="S161" s="96">
        <f t="shared" ca="1" si="113"/>
        <v>5.7852753857472248</v>
      </c>
      <c r="T161" s="96">
        <f t="shared" ca="1" si="113"/>
        <v>5.9614430141467256</v>
      </c>
      <c r="U161" s="96">
        <f t="shared" ca="1" si="113"/>
        <v>6.1397878529101106</v>
      </c>
      <c r="V161" s="96">
        <f t="shared" ca="1" si="113"/>
        <v>6.3233991222696879</v>
      </c>
      <c r="W161" s="96">
        <f t="shared" ca="1" si="113"/>
        <v>6.511857221318377</v>
      </c>
      <c r="X161" s="96">
        <f t="shared" ca="1" si="113"/>
        <v>6.7079050546797854</v>
      </c>
      <c r="Y161" s="96">
        <f t="shared" ca="1" si="113"/>
        <v>6.9114229362194148</v>
      </c>
      <c r="Z161" s="96">
        <f t="shared" ca="1" si="113"/>
        <v>7.1223852376678769</v>
      </c>
    </row>
    <row r="162" spans="1:26" x14ac:dyDescent="0.25">
      <c r="A162" s="12" t="s">
        <v>1020</v>
      </c>
      <c r="B162" s="14" t="str">
        <f>$B$38</f>
        <v>From Fiscal Forecasts</v>
      </c>
      <c r="C162" s="15"/>
      <c r="D162" s="50">
        <f>'Fiscal Forecasts'!D$233</f>
        <v>1.016</v>
      </c>
      <c r="E162" s="50">
        <f>'Fiscal Forecasts'!E$233</f>
        <v>0.94699999999999995</v>
      </c>
      <c r="F162" s="50">
        <f>'Fiscal Forecasts'!F$233</f>
        <v>0.78500000000000003</v>
      </c>
      <c r="G162" s="50">
        <f>'Fiscal Forecasts'!G$233</f>
        <v>0.82699999999999996</v>
      </c>
      <c r="H162" s="50">
        <f>'Fiscal Forecasts'!H$233</f>
        <v>2.097</v>
      </c>
      <c r="I162" s="50">
        <f>'Fiscal Forecasts'!I$233</f>
        <v>3.56</v>
      </c>
      <c r="J162" s="50">
        <f>'Fiscal Forecasts'!J$233</f>
        <v>4.0990000000000002</v>
      </c>
      <c r="K162" s="50">
        <f>'Fiscal Forecasts'!K$233</f>
        <v>3.9359999999999999</v>
      </c>
      <c r="L162" s="48">
        <f>'Fiscal Forecasts'!L$233</f>
        <v>4.0650000000000004</v>
      </c>
      <c r="M162" s="48">
        <f>'Fiscal Forecasts'!M$233</f>
        <v>4.51</v>
      </c>
      <c r="N162" s="48">
        <f>'Fiscal Forecasts'!N$233</f>
        <v>5.0789999999999997</v>
      </c>
      <c r="O162" s="48">
        <f>'Fiscal Forecasts'!O$233</f>
        <v>5.67</v>
      </c>
      <c r="P162" s="48">
        <f>'Fiscal Forecasts'!P$233</f>
        <v>6.1879999999999997</v>
      </c>
      <c r="Q162" s="20">
        <f ca="1">P$162*AVERAGE(1+Q$29,1+Exogenous!AB$31)</f>
        <v>6.4123297845524876</v>
      </c>
      <c r="R162" s="20">
        <f ca="1">Q$162*AVERAGE(1+R$29,1+Exogenous!AC$31)</f>
        <v>6.6479753701309878</v>
      </c>
      <c r="S162" s="20">
        <f ca="1">R$162*AVERAGE(1+S$29,1+Exogenous!AD$31)</f>
        <v>6.8950297789393744</v>
      </c>
      <c r="T162" s="20">
        <f ca="1">S$162*AVERAGE(1+T$29,1+Exogenous!AE$31)</f>
        <v>7.1534370794288984</v>
      </c>
      <c r="U162" s="20">
        <f ca="1">T$162*AVERAGE(1+U$29,1+Exogenous!AF$31)</f>
        <v>7.4224234327580669</v>
      </c>
      <c r="V162" s="20">
        <f ca="1">U$162*AVERAGE(1+V$29,1+Exogenous!AG$31)</f>
        <v>7.7016293009972374</v>
      </c>
      <c r="W162" s="20">
        <f ca="1">V$162*AVERAGE(1+W$29,1+Exogenous!AH$31)</f>
        <v>7.9913956994938786</v>
      </c>
      <c r="X162" s="20">
        <f ca="1">W$162*AVERAGE(1+X$29,1+Exogenous!AI$31)</f>
        <v>8.2921328172627824</v>
      </c>
      <c r="Y162" s="20">
        <f ca="1">X$162*AVERAGE(1+Y$29,1+Exogenous!AJ$31)</f>
        <v>8.6042488552918179</v>
      </c>
      <c r="Z162" s="20">
        <f ca="1">Y$162*AVERAGE(1+Z$29,1+Exogenous!AK$31)</f>
        <v>8.9281645934371223</v>
      </c>
    </row>
    <row r="163" spans="1:26" x14ac:dyDescent="0.25">
      <c r="A163" s="12" t="s">
        <v>1227</v>
      </c>
      <c r="B163" s="14" t="str">
        <f>$B$38</f>
        <v>From Fiscal Forecasts</v>
      </c>
      <c r="C163" s="15"/>
      <c r="D163" s="50">
        <f>'Fiscal Forecasts'!D$234</f>
        <v>1.014</v>
      </c>
      <c r="E163" s="50">
        <f>'Fiscal Forecasts'!E$234</f>
        <v>0.95299999999999996</v>
      </c>
      <c r="F163" s="50">
        <f>'Fiscal Forecasts'!F$234</f>
        <v>0.79100000000000004</v>
      </c>
      <c r="G163" s="50">
        <f>'Fiscal Forecasts'!G$234</f>
        <v>0.95699999999999996</v>
      </c>
      <c r="H163" s="50">
        <f>'Fiscal Forecasts'!H$234</f>
        <v>0.67500000000000004</v>
      </c>
      <c r="I163" s="50">
        <f>'Fiscal Forecasts'!I$234</f>
        <v>0.22800000000000001</v>
      </c>
      <c r="J163" s="50">
        <f>'Fiscal Forecasts'!J$234</f>
        <v>0.16200000000000001</v>
      </c>
      <c r="K163" s="50">
        <f>'Fiscal Forecasts'!K$234</f>
        <v>0.114</v>
      </c>
      <c r="L163" s="48">
        <f>'Fiscal Forecasts'!L$234</f>
        <v>7.8E-2</v>
      </c>
      <c r="M163" s="48">
        <f>'Fiscal Forecasts'!M$234</f>
        <v>8.4000000000000005E-2</v>
      </c>
      <c r="N163" s="48">
        <f>'Fiscal Forecasts'!N$234</f>
        <v>8.6999999999999994E-2</v>
      </c>
      <c r="O163" s="48">
        <f>'Fiscal Forecasts'!O$234</f>
        <v>9.4E-2</v>
      </c>
      <c r="P163" s="48">
        <f>'Fiscal Forecasts'!P$234</f>
        <v>0.106</v>
      </c>
      <c r="Q163" s="20">
        <f t="shared" ref="Q163:Z163" ca="1" si="114">P$163*(1+Q$29)</f>
        <v>0.10811999999999999</v>
      </c>
      <c r="R163" s="20">
        <f t="shared" ca="1" si="114"/>
        <v>0.11028239999999999</v>
      </c>
      <c r="S163" s="20">
        <f t="shared" ca="1" si="114"/>
        <v>0.11248804799999999</v>
      </c>
      <c r="T163" s="20">
        <f t="shared" ca="1" si="114"/>
        <v>0.11473780895999999</v>
      </c>
      <c r="U163" s="20">
        <f t="shared" ca="1" si="114"/>
        <v>0.11703256513919999</v>
      </c>
      <c r="V163" s="20">
        <f t="shared" ca="1" si="114"/>
        <v>0.119373216441984</v>
      </c>
      <c r="W163" s="20">
        <f t="shared" ca="1" si="114"/>
        <v>0.12176068077082368</v>
      </c>
      <c r="X163" s="20">
        <f t="shared" ca="1" si="114"/>
        <v>0.12419589438624015</v>
      </c>
      <c r="Y163" s="20">
        <f t="shared" ca="1" si="114"/>
        <v>0.12667981227396496</v>
      </c>
      <c r="Z163" s="20">
        <f t="shared" ca="1" si="114"/>
        <v>0.12921340851944427</v>
      </c>
    </row>
    <row r="164" spans="1:26" x14ac:dyDescent="0.25">
      <c r="A164" s="12" t="s">
        <v>1228</v>
      </c>
      <c r="B164" s="14" t="str">
        <f>$B$38</f>
        <v>From Fiscal Forecasts</v>
      </c>
      <c r="C164" s="15"/>
      <c r="D164" s="50">
        <f>'Fiscal Forecasts'!D$235</f>
        <v>-0.44400000000000001</v>
      </c>
      <c r="E164" s="50">
        <f>'Fiscal Forecasts'!E$235</f>
        <v>-0.45</v>
      </c>
      <c r="F164" s="50">
        <f>'Fiscal Forecasts'!F$235</f>
        <v>-0.34899999999999998</v>
      </c>
      <c r="G164" s="50">
        <f>'Fiscal Forecasts'!G$235</f>
        <v>-0.35</v>
      </c>
      <c r="H164" s="50">
        <f>'Fiscal Forecasts'!H$235</f>
        <v>-0.622</v>
      </c>
      <c r="I164" s="50">
        <f>'Fiscal Forecasts'!I$235</f>
        <v>-1.109</v>
      </c>
      <c r="J164" s="50">
        <f>'Fiscal Forecasts'!J$235</f>
        <v>-1.411</v>
      </c>
      <c r="K164" s="50">
        <f>'Fiscal Forecasts'!K$235</f>
        <v>-1.585</v>
      </c>
      <c r="L164" s="48">
        <f>'Fiscal Forecasts'!L$235</f>
        <v>-1.6859999999999999</v>
      </c>
      <c r="M164" s="48">
        <f>'Fiscal Forecasts'!M$235</f>
        <v>-1.847</v>
      </c>
      <c r="N164" s="48">
        <f>'Fiscal Forecasts'!N$235</f>
        <v>-1.958</v>
      </c>
      <c r="O164" s="48">
        <f>'Fiscal Forecasts'!O$235</f>
        <v>-2.0409999999999999</v>
      </c>
      <c r="P164" s="48">
        <f>'Fiscal Forecasts'!P$235</f>
        <v>-2.1429999999999998</v>
      </c>
      <c r="Q164" s="20">
        <f t="shared" ref="Q164:Z164" ca="1" si="115">P$164*Q$162/P$162</f>
        <v>-2.2206888701189365</v>
      </c>
      <c r="R164" s="20">
        <f t="shared" ca="1" si="115"/>
        <v>-2.3022965769538954</v>
      </c>
      <c r="S164" s="20">
        <f t="shared" ca="1" si="115"/>
        <v>-2.387855335531202</v>
      </c>
      <c r="T164" s="20">
        <f t="shared" ca="1" si="115"/>
        <v>-2.4773457758914232</v>
      </c>
      <c r="U164" s="20">
        <f t="shared" ca="1" si="115"/>
        <v>-2.5704999056885161</v>
      </c>
      <c r="V164" s="20">
        <f t="shared" ca="1" si="115"/>
        <v>-2.6671932113828505</v>
      </c>
      <c r="W164" s="20">
        <f t="shared" ca="1" si="115"/>
        <v>-2.7675437918576891</v>
      </c>
      <c r="X164" s="20">
        <f t="shared" ca="1" si="115"/>
        <v>-2.8716937019059698</v>
      </c>
      <c r="Y164" s="20">
        <f t="shared" ca="1" si="115"/>
        <v>-2.9797843078361934</v>
      </c>
      <c r="Z164" s="20">
        <f t="shared" ca="1" si="115"/>
        <v>-3.091961332213276</v>
      </c>
    </row>
    <row r="165" spans="1:26" x14ac:dyDescent="0.25">
      <c r="A165" s="11" t="s">
        <v>1229</v>
      </c>
      <c r="B165" s="11"/>
      <c r="C165" s="15"/>
      <c r="D165" s="94">
        <f t="shared" ref="D165:Z165" ca="1" si="116">SUM(D$161:D$164)</f>
        <v>2.6459999999999999</v>
      </c>
      <c r="E165" s="94">
        <f t="shared" ca="1" si="116"/>
        <v>2.2999999999999998</v>
      </c>
      <c r="F165" s="94">
        <f t="shared" ca="1" si="116"/>
        <v>1.9429999999999998</v>
      </c>
      <c r="G165" s="94">
        <f t="shared" ca="1" si="116"/>
        <v>2.2919999999999998</v>
      </c>
      <c r="H165" s="94">
        <f t="shared" ca="1" si="116"/>
        <v>5.0119999999999996</v>
      </c>
      <c r="I165" s="94">
        <f t="shared" ca="1" si="116"/>
        <v>7.1199999999999992</v>
      </c>
      <c r="J165" s="94">
        <f t="shared" ca="1" si="116"/>
        <v>7.0390000000000015</v>
      </c>
      <c r="K165" s="94">
        <f t="shared" ca="1" si="116"/>
        <v>5.984</v>
      </c>
      <c r="L165" s="95">
        <f t="shared" ca="1" si="116"/>
        <v>6.4860000000000007</v>
      </c>
      <c r="M165" s="95">
        <f t="shared" ca="1" si="116"/>
        <v>7.2030000000000012</v>
      </c>
      <c r="N165" s="95">
        <f t="shared" ca="1" si="116"/>
        <v>7.9169999999999998</v>
      </c>
      <c r="O165" s="95">
        <f t="shared" ca="1" si="116"/>
        <v>8.9260000000000002</v>
      </c>
      <c r="P165" s="95">
        <f t="shared" ca="1" si="116"/>
        <v>9.3990000000000009</v>
      </c>
      <c r="Q165" s="96">
        <f t="shared" ca="1" si="116"/>
        <v>9.7369878971293815</v>
      </c>
      <c r="R165" s="96">
        <f t="shared" ca="1" si="116"/>
        <v>10.066210938393098</v>
      </c>
      <c r="S165" s="96">
        <f t="shared" ca="1" si="116"/>
        <v>10.404937877155398</v>
      </c>
      <c r="T165" s="96">
        <f t="shared" ca="1" si="116"/>
        <v>10.752272126644201</v>
      </c>
      <c r="U165" s="96">
        <f t="shared" ca="1" si="116"/>
        <v>11.10874394511886</v>
      </c>
      <c r="V165" s="96">
        <f t="shared" ca="1" si="116"/>
        <v>11.477208428326058</v>
      </c>
      <c r="W165" s="96">
        <f t="shared" ca="1" si="116"/>
        <v>11.857469809725389</v>
      </c>
      <c r="X165" s="96">
        <f t="shared" ca="1" si="116"/>
        <v>12.252540064422837</v>
      </c>
      <c r="Y165" s="96">
        <f t="shared" ca="1" si="116"/>
        <v>12.662567295949003</v>
      </c>
      <c r="Z165" s="96">
        <f t="shared" ca="1" si="116"/>
        <v>13.087801907411166</v>
      </c>
    </row>
    <row r="166" spans="1:26" x14ac:dyDescent="0.25">
      <c r="A166" s="11"/>
      <c r="B166" s="11"/>
      <c r="C166" s="15"/>
      <c r="D166" s="91"/>
      <c r="E166" s="91"/>
      <c r="F166" s="91"/>
      <c r="G166" s="91"/>
      <c r="H166" s="91"/>
      <c r="I166" s="91"/>
      <c r="J166" s="91"/>
      <c r="K166" s="91"/>
    </row>
    <row r="167" spans="1:26" x14ac:dyDescent="0.25">
      <c r="A167" s="11" t="s">
        <v>1230</v>
      </c>
      <c r="B167" s="11"/>
      <c r="C167" s="15"/>
      <c r="D167" s="91"/>
      <c r="E167" s="91"/>
      <c r="F167" s="91"/>
      <c r="G167" s="91"/>
      <c r="H167" s="91"/>
      <c r="I167" s="91"/>
      <c r="J167" s="91"/>
      <c r="K167" s="91"/>
    </row>
    <row r="168" spans="1:26" x14ac:dyDescent="0.25">
      <c r="A168" s="12" t="s">
        <v>1231</v>
      </c>
      <c r="B168" s="11"/>
      <c r="C168" s="15"/>
      <c r="D168" s="50">
        <f ca="1">OFFSET(Assumptions!$B$49,0,$C$1)*D$375</f>
        <v>0.5597399999999999</v>
      </c>
      <c r="E168" s="50">
        <f ca="1">OFFSET(Assumptions!$B$49,0,$C$1)*E$375</f>
        <v>0.45771000000000001</v>
      </c>
      <c r="F168" s="50">
        <f ca="1">OFFSET(Assumptions!$B$49,0,$C$1)*F$375</f>
        <v>0.42293999999999998</v>
      </c>
      <c r="G168" s="50">
        <f ca="1">OFFSET(Assumptions!$B$49,0,$C$1)*G$375</f>
        <v>0.61388999999999994</v>
      </c>
      <c r="H168" s="50">
        <f ca="1">OFFSET(Assumptions!$B$49,0,$C$1)*H$375</f>
        <v>0.75239999999999996</v>
      </c>
      <c r="I168" s="50">
        <f ca="1">OFFSET(Assumptions!$B$49,0,$C$1)*I$375</f>
        <v>0.94562999999999997</v>
      </c>
      <c r="J168" s="50">
        <f ca="1">OFFSET(Assumptions!$B$49,0,$C$1)*J$375</f>
        <v>1.01688</v>
      </c>
      <c r="K168" s="50">
        <f ca="1">OFFSET(Assumptions!$B$49,0,$C$1)*K$375</f>
        <v>1.02258</v>
      </c>
      <c r="L168" s="48">
        <f ca="1">OFFSET(Assumptions!$B$49,0,$C$1)*L$375</f>
        <v>1.0163099999999998</v>
      </c>
      <c r="M168" s="48">
        <f ca="1">OFFSET(Assumptions!$B$49,0,$C$1)*M$375</f>
        <v>1.0522199999999999</v>
      </c>
      <c r="N168" s="48">
        <f ca="1">OFFSET(Assumptions!$B$49,0,$C$1)*N$375</f>
        <v>1.1023799999999999</v>
      </c>
      <c r="O168" s="48">
        <f ca="1">OFFSET(Assumptions!$B$49,0,$C$1)*O$375</f>
        <v>1.1531100000000001</v>
      </c>
      <c r="P168" s="48">
        <f ca="1">OFFSET(Assumptions!$B$49,0,$C$1)*P$375</f>
        <v>1.2066899999999998</v>
      </c>
      <c r="Q168" s="20">
        <f ca="1">OFFSET(Assumptions!$B$49,0,$C$1)*Q$375</f>
        <v>1.3011061336586267</v>
      </c>
      <c r="R168" s="20">
        <f ca="1">OFFSET(Assumptions!$B$49,0,$C$1)*R$375</f>
        <v>1.3809501302217237</v>
      </c>
      <c r="S168" s="20">
        <f ca="1">OFFSET(Assumptions!$B$49,0,$C$1)*S$375</f>
        <v>1.4641042947483762</v>
      </c>
      <c r="T168" s="20">
        <f ca="1">OFFSET(Assumptions!$B$49,0,$C$1)*T$375</f>
        <v>1.5507149730009546</v>
      </c>
      <c r="U168" s="20">
        <f ca="1">OFFSET(Assumptions!$B$49,0,$C$1)*U$375</f>
        <v>1.640786671827301</v>
      </c>
      <c r="V168" s="20">
        <f ca="1">OFFSET(Assumptions!$B$49,0,$C$1)*V$375</f>
        <v>1.7343963148157111</v>
      </c>
      <c r="W168" s="20">
        <f ca="1">OFFSET(Assumptions!$B$49,0,$C$1)*W$375</f>
        <v>1.832286542216498</v>
      </c>
      <c r="X168" s="20">
        <f ca="1">OFFSET(Assumptions!$B$49,0,$C$1)*X$375</f>
        <v>1.9354196366155254</v>
      </c>
      <c r="Y168" s="20">
        <f ca="1">OFFSET(Assumptions!$B$49,0,$C$1)*Y$375</f>
        <v>2.0449434456674536</v>
      </c>
      <c r="Z168" s="20">
        <f ca="1">OFFSET(Assumptions!$B$49,0,$C$1)*Z$375</f>
        <v>2.1621325297063314</v>
      </c>
    </row>
    <row r="169" spans="1:26" x14ac:dyDescent="0.25">
      <c r="A169" s="12" t="s">
        <v>1232</v>
      </c>
      <c r="B169" s="14" t="str">
        <f>$B$38</f>
        <v>From Fiscal Forecasts</v>
      </c>
      <c r="C169" s="15"/>
      <c r="D169" s="50">
        <f ca="1">'Fiscal Forecasts'!D$238-D$168</f>
        <v>0.90326000000000017</v>
      </c>
      <c r="E169" s="50">
        <f ca="1">'Fiscal Forecasts'!E$238-E$168</f>
        <v>0.87829000000000002</v>
      </c>
      <c r="F169" s="50">
        <f ca="1">'Fiscal Forecasts'!F$238-F$168</f>
        <v>0.6710600000000001</v>
      </c>
      <c r="G169" s="50">
        <f ca="1">'Fiscal Forecasts'!G$238-G$168</f>
        <v>0.77711000000000008</v>
      </c>
      <c r="H169" s="50">
        <f ca="1">'Fiscal Forecasts'!H$238-H$168</f>
        <v>1.3356000000000001</v>
      </c>
      <c r="I169" s="50">
        <f ca="1">'Fiscal Forecasts'!I$238-I$168</f>
        <v>0.76236999999999999</v>
      </c>
      <c r="J169" s="50">
        <f ca="1">'Fiscal Forecasts'!J$238-J$168</f>
        <v>0.68711999999999995</v>
      </c>
      <c r="K169" s="50">
        <f ca="1">'Fiscal Forecasts'!K$238-K$168</f>
        <v>0.75941999999999998</v>
      </c>
      <c r="L169" s="48">
        <f ca="1">'Fiscal Forecasts'!L$238-L$168</f>
        <v>0.67469000000000023</v>
      </c>
      <c r="M169" s="48">
        <f ca="1">'Fiscal Forecasts'!M$238-M$168</f>
        <v>0.74378000000000011</v>
      </c>
      <c r="N169" s="48">
        <f ca="1">'Fiscal Forecasts'!N$238-N$168</f>
        <v>0.86462000000000017</v>
      </c>
      <c r="O169" s="48">
        <f ca="1">'Fiscal Forecasts'!O$238-O$168</f>
        <v>0.99089000000000005</v>
      </c>
      <c r="P169" s="48">
        <f ca="1">'Fiscal Forecasts'!P$238-P$168</f>
        <v>1.1223100000000004</v>
      </c>
      <c r="Q169" s="20">
        <f t="shared" ref="Q169:Z169" ca="1" si="117">P$169*(1+Q$19)*(1+Q$29)</f>
        <v>1.1594656108662185</v>
      </c>
      <c r="R169" s="20">
        <f t="shared" ca="1" si="117"/>
        <v>1.197176751926198</v>
      </c>
      <c r="S169" s="20">
        <f t="shared" ca="1" si="117"/>
        <v>1.2357074323524615</v>
      </c>
      <c r="T169" s="20">
        <f t="shared" ca="1" si="117"/>
        <v>1.2746933610102975</v>
      </c>
      <c r="U169" s="20">
        <f t="shared" ca="1" si="117"/>
        <v>1.3148007943535485</v>
      </c>
      <c r="V169" s="20">
        <f t="shared" ca="1" si="117"/>
        <v>1.3556878898260019</v>
      </c>
      <c r="W169" s="20">
        <f t="shared" ca="1" si="117"/>
        <v>1.3963249590653699</v>
      </c>
      <c r="X169" s="20">
        <f t="shared" ca="1" si="117"/>
        <v>1.4378174278643492</v>
      </c>
      <c r="Y169" s="20">
        <f t="shared" ca="1" si="117"/>
        <v>1.4805679112768639</v>
      </c>
      <c r="Z169" s="20">
        <f t="shared" ca="1" si="117"/>
        <v>1.5242547899239718</v>
      </c>
    </row>
    <row r="170" spans="1:26" x14ac:dyDescent="0.25">
      <c r="A170" s="11" t="s">
        <v>1233</v>
      </c>
      <c r="B170" s="14"/>
      <c r="C170" s="15"/>
      <c r="D170" s="94">
        <f t="shared" ref="D170:Z170" ca="1" si="118">SUM(D$168:D$169)</f>
        <v>1.4630000000000001</v>
      </c>
      <c r="E170" s="94">
        <f t="shared" ca="1" si="118"/>
        <v>1.3360000000000001</v>
      </c>
      <c r="F170" s="94">
        <f t="shared" ca="1" si="118"/>
        <v>1.0940000000000001</v>
      </c>
      <c r="G170" s="94">
        <f t="shared" ca="1" si="118"/>
        <v>1.391</v>
      </c>
      <c r="H170" s="94">
        <f t="shared" ca="1" si="118"/>
        <v>2.0880000000000001</v>
      </c>
      <c r="I170" s="94">
        <f t="shared" ca="1" si="118"/>
        <v>1.708</v>
      </c>
      <c r="J170" s="94">
        <f t="shared" ca="1" si="118"/>
        <v>1.704</v>
      </c>
      <c r="K170" s="94">
        <f t="shared" ca="1" si="118"/>
        <v>1.782</v>
      </c>
      <c r="L170" s="95">
        <f t="shared" ca="1" si="118"/>
        <v>1.6910000000000001</v>
      </c>
      <c r="M170" s="95">
        <f t="shared" ca="1" si="118"/>
        <v>1.796</v>
      </c>
      <c r="N170" s="95">
        <f t="shared" ca="1" si="118"/>
        <v>1.9670000000000001</v>
      </c>
      <c r="O170" s="95">
        <f t="shared" ca="1" si="118"/>
        <v>2.1440000000000001</v>
      </c>
      <c r="P170" s="95">
        <f t="shared" ca="1" si="118"/>
        <v>2.3290000000000002</v>
      </c>
      <c r="Q170" s="96">
        <f t="shared" ca="1" si="118"/>
        <v>2.4605717445248452</v>
      </c>
      <c r="R170" s="96">
        <f t="shared" ca="1" si="118"/>
        <v>2.578126882147922</v>
      </c>
      <c r="S170" s="96">
        <f t="shared" ca="1" si="118"/>
        <v>2.6998117271008377</v>
      </c>
      <c r="T170" s="96">
        <f t="shared" ca="1" si="118"/>
        <v>2.8254083340112519</v>
      </c>
      <c r="U170" s="96">
        <f t="shared" ca="1" si="118"/>
        <v>2.9555874661808494</v>
      </c>
      <c r="V170" s="96">
        <f t="shared" ca="1" si="118"/>
        <v>3.090084204641713</v>
      </c>
      <c r="W170" s="96">
        <f t="shared" ca="1" si="118"/>
        <v>3.2286115012818679</v>
      </c>
      <c r="X170" s="96">
        <f t="shared" ca="1" si="118"/>
        <v>3.3732370644798744</v>
      </c>
      <c r="Y170" s="96">
        <f t="shared" ca="1" si="118"/>
        <v>3.5255113569443175</v>
      </c>
      <c r="Z170" s="96">
        <f t="shared" ca="1" si="118"/>
        <v>3.6863873196303034</v>
      </c>
    </row>
    <row r="171" spans="1:26" x14ac:dyDescent="0.25">
      <c r="A171" s="12" t="s">
        <v>1020</v>
      </c>
      <c r="B171" s="11"/>
      <c r="C171" s="15"/>
      <c r="D171" s="50">
        <f>'Fiscal Forecasts'!D$239</f>
        <v>0.42399999999999999</v>
      </c>
      <c r="E171" s="50">
        <f>'Fiscal Forecasts'!E$239</f>
        <v>0.39500000000000002</v>
      </c>
      <c r="F171" s="50">
        <f>'Fiscal Forecasts'!F$239</f>
        <v>0.44700000000000001</v>
      </c>
      <c r="G171" s="50">
        <f>'Fiscal Forecasts'!G$239</f>
        <v>0.52200000000000002</v>
      </c>
      <c r="H171" s="50">
        <f>'Fiscal Forecasts'!H$239</f>
        <v>0.60499999999999998</v>
      </c>
      <c r="I171" s="50">
        <f>'Fiscal Forecasts'!I$239</f>
        <v>0.63</v>
      </c>
      <c r="J171" s="50">
        <f>'Fiscal Forecasts'!J$239</f>
        <v>0.72499999999999998</v>
      </c>
      <c r="K171" s="50">
        <f>'Fiscal Forecasts'!K$239</f>
        <v>0.47799999999999998</v>
      </c>
      <c r="L171" s="48">
        <f>'Fiscal Forecasts'!L$239</f>
        <v>0.38900000000000001</v>
      </c>
      <c r="M171" s="48">
        <f>'Fiscal Forecasts'!M$239</f>
        <v>0.38900000000000001</v>
      </c>
      <c r="N171" s="48">
        <f>'Fiscal Forecasts'!N$239</f>
        <v>0.39300000000000002</v>
      </c>
      <c r="O171" s="48">
        <f>'Fiscal Forecasts'!O$239</f>
        <v>0.40100000000000002</v>
      </c>
      <c r="P171" s="48">
        <f>'Fiscal Forecasts'!P$239</f>
        <v>0.41199999999999998</v>
      </c>
      <c r="Q171" s="20">
        <f ca="1">P$171*AVERAGE(1+Q$29,1+Exogenous!AB$31)</f>
        <v>0.42693598436257674</v>
      </c>
      <c r="R171" s="20">
        <f ca="1">Q$171*AVERAGE(1+R$29,1+Exogenous!AC$31)</f>
        <v>0.44262538017032432</v>
      </c>
      <c r="S171" s="20">
        <f ca="1">R$171*AVERAGE(1+S$29,1+Exogenous!AD$31)</f>
        <v>0.45907438088607344</v>
      </c>
      <c r="T171" s="20">
        <f ca="1">S$171*AVERAGE(1+T$29,1+Exogenous!AE$31)</f>
        <v>0.4762792625605537</v>
      </c>
      <c r="U171" s="20">
        <f ca="1">T$171*AVERAGE(1+U$29,1+Exogenous!AF$31)</f>
        <v>0.49418850263353648</v>
      </c>
      <c r="V171" s="20">
        <f ca="1">U$171*AVERAGE(1+V$29,1+Exogenous!AG$31)</f>
        <v>0.51277816289768297</v>
      </c>
      <c r="W171" s="20">
        <f ca="1">V$171*AVERAGE(1+W$29,1+Exogenous!AH$31)</f>
        <v>0.53207094831795054</v>
      </c>
      <c r="X171" s="20">
        <f ca="1">W$171*AVERAGE(1+X$29,1+Exogenous!AI$31)</f>
        <v>0.5520941694751561</v>
      </c>
      <c r="Y171" s="20">
        <f ca="1">X$171*AVERAGE(1+Y$29,1+Exogenous!AJ$31)</f>
        <v>0.572875004586333</v>
      </c>
      <c r="Z171" s="20">
        <f ca="1">Y$171*AVERAGE(1+Z$29,1+Exogenous!AK$31)</f>
        <v>0.59444146937558073</v>
      </c>
    </row>
    <row r="172" spans="1:26" x14ac:dyDescent="0.25">
      <c r="A172" s="12" t="s">
        <v>1234</v>
      </c>
      <c r="B172" s="11"/>
      <c r="C172" s="15"/>
      <c r="D172" s="50">
        <f>'Fiscal Forecasts'!D$240</f>
        <v>-0.81699999999999995</v>
      </c>
      <c r="E172" s="50">
        <f>'Fiscal Forecasts'!E$240</f>
        <v>-0.82499999999999996</v>
      </c>
      <c r="F172" s="50">
        <f>'Fiscal Forecasts'!F$240</f>
        <v>-0.63800000000000001</v>
      </c>
      <c r="G172" s="50">
        <f>'Fiscal Forecasts'!G$240</f>
        <v>-0.66500000000000004</v>
      </c>
      <c r="H172" s="50">
        <f>'Fiscal Forecasts'!H$240</f>
        <v>-1.35</v>
      </c>
      <c r="I172" s="50">
        <f>'Fiscal Forecasts'!I$240</f>
        <v>-0.90800000000000003</v>
      </c>
      <c r="J172" s="50">
        <f>'Fiscal Forecasts'!J$240</f>
        <v>-0.79300000000000004</v>
      </c>
      <c r="K172" s="50">
        <f>'Fiscal Forecasts'!K$240</f>
        <v>-0.77600000000000002</v>
      </c>
      <c r="L172" s="48">
        <f>'Fiscal Forecasts'!L$240</f>
        <v>-0.73599999999999999</v>
      </c>
      <c r="M172" s="48">
        <f>'Fiscal Forecasts'!M$240</f>
        <v>-0.79100000000000004</v>
      </c>
      <c r="N172" s="48">
        <f>'Fiscal Forecasts'!N$240</f>
        <v>-0.88700000000000001</v>
      </c>
      <c r="O172" s="48">
        <f>'Fiscal Forecasts'!O$240</f>
        <v>-0.99199999999999999</v>
      </c>
      <c r="P172" s="48">
        <f>'Fiscal Forecasts'!P$240</f>
        <v>-1.0980000000000001</v>
      </c>
      <c r="Q172" s="20">
        <f t="shared" ref="Q172:Z172" ca="1" si="119">P$172*Q$171/P$171</f>
        <v>-1.1378051233740516</v>
      </c>
      <c r="R172" s="20">
        <f t="shared" ca="1" si="119"/>
        <v>-1.1796181248228546</v>
      </c>
      <c r="S172" s="20">
        <f t="shared" ca="1" si="119"/>
        <v>-1.2234555102255065</v>
      </c>
      <c r="T172" s="20">
        <f t="shared" ca="1" si="119"/>
        <v>-1.2693073550764271</v>
      </c>
      <c r="U172" s="20">
        <f t="shared" ca="1" si="119"/>
        <v>-1.3170363492515123</v>
      </c>
      <c r="V172" s="20">
        <f t="shared" ca="1" si="119"/>
        <v>-1.366578696266155</v>
      </c>
      <c r="W172" s="20">
        <f t="shared" ca="1" si="119"/>
        <v>-1.4179949059541497</v>
      </c>
      <c r="X172" s="20">
        <f t="shared" ca="1" si="119"/>
        <v>-1.4713577623391296</v>
      </c>
      <c r="Y172" s="20">
        <f t="shared" ca="1" si="119"/>
        <v>-1.5267396966888196</v>
      </c>
      <c r="Z172" s="20">
        <f t="shared" ca="1" si="119"/>
        <v>-1.5842153722679313</v>
      </c>
    </row>
    <row r="173" spans="1:26" x14ac:dyDescent="0.25">
      <c r="A173" s="11" t="s">
        <v>1235</v>
      </c>
      <c r="B173" s="11"/>
      <c r="C173" s="15"/>
      <c r="D173" s="94">
        <f t="shared" ref="D173:Z173" ca="1" si="120">SUM(D$170:D$172)</f>
        <v>1.07</v>
      </c>
      <c r="E173" s="94">
        <f t="shared" ca="1" si="120"/>
        <v>0.90600000000000014</v>
      </c>
      <c r="F173" s="94">
        <f t="shared" ca="1" si="120"/>
        <v>0.90300000000000014</v>
      </c>
      <c r="G173" s="94">
        <f t="shared" ca="1" si="120"/>
        <v>1.248</v>
      </c>
      <c r="H173" s="94">
        <f t="shared" ca="1" si="120"/>
        <v>1.343</v>
      </c>
      <c r="I173" s="94">
        <f t="shared" ca="1" si="120"/>
        <v>1.4300000000000002</v>
      </c>
      <c r="J173" s="94">
        <f t="shared" ca="1" si="120"/>
        <v>1.6359999999999997</v>
      </c>
      <c r="K173" s="94">
        <f t="shared" ca="1" si="120"/>
        <v>1.4839999999999998</v>
      </c>
      <c r="L173" s="95">
        <f t="shared" ca="1" si="120"/>
        <v>1.3440000000000001</v>
      </c>
      <c r="M173" s="95">
        <f t="shared" ca="1" si="120"/>
        <v>1.3940000000000001</v>
      </c>
      <c r="N173" s="95">
        <f t="shared" ca="1" si="120"/>
        <v>1.4730000000000003</v>
      </c>
      <c r="O173" s="95">
        <f t="shared" ca="1" si="120"/>
        <v>1.5529999999999999</v>
      </c>
      <c r="P173" s="95">
        <f t="shared" ca="1" si="120"/>
        <v>1.643</v>
      </c>
      <c r="Q173" s="96">
        <f t="shared" ca="1" si="120"/>
        <v>1.7497026055133702</v>
      </c>
      <c r="R173" s="96">
        <f t="shared" ca="1" si="120"/>
        <v>1.8411341374953916</v>
      </c>
      <c r="S173" s="96">
        <f t="shared" ca="1" si="120"/>
        <v>1.9354305977614048</v>
      </c>
      <c r="T173" s="96">
        <f t="shared" ca="1" si="120"/>
        <v>2.0323802414953782</v>
      </c>
      <c r="U173" s="96">
        <f t="shared" ca="1" si="120"/>
        <v>2.1327396195628738</v>
      </c>
      <c r="V173" s="96">
        <f t="shared" ca="1" si="120"/>
        <v>2.2362836712732408</v>
      </c>
      <c r="W173" s="96">
        <f t="shared" ca="1" si="120"/>
        <v>2.3426875436456687</v>
      </c>
      <c r="X173" s="96">
        <f t="shared" ca="1" si="120"/>
        <v>2.4539734716159005</v>
      </c>
      <c r="Y173" s="96">
        <f t="shared" ca="1" si="120"/>
        <v>2.5716466648418308</v>
      </c>
      <c r="Z173" s="96">
        <f t="shared" ca="1" si="120"/>
        <v>2.6966134167379527</v>
      </c>
    </row>
    <row r="174" spans="1:26" x14ac:dyDescent="0.25">
      <c r="B174" s="11"/>
      <c r="C174" s="15"/>
      <c r="D174" s="91"/>
      <c r="E174" s="91"/>
      <c r="F174" s="91"/>
      <c r="G174" s="91"/>
      <c r="H174" s="91"/>
      <c r="I174" s="91"/>
      <c r="J174" s="91"/>
      <c r="K174" s="91"/>
    </row>
    <row r="175" spans="1:26" x14ac:dyDescent="0.25">
      <c r="A175" s="11" t="s">
        <v>868</v>
      </c>
      <c r="B175" s="11"/>
      <c r="C175" s="15"/>
      <c r="D175" s="91"/>
      <c r="E175" s="91"/>
      <c r="F175" s="91"/>
      <c r="G175" s="91"/>
      <c r="H175" s="91"/>
      <c r="I175" s="91"/>
      <c r="J175" s="91"/>
      <c r="K175" s="91"/>
    </row>
    <row r="176" spans="1:26" x14ac:dyDescent="0.25">
      <c r="A176" s="12" t="s">
        <v>1236</v>
      </c>
      <c r="B176" s="11"/>
      <c r="C176" s="15"/>
      <c r="D176" s="50">
        <f t="shared" ref="D176:Z176" ca="1" si="121">D$375-SUM(D$158,D$168)</f>
        <v>9.8200000000001619E-3</v>
      </c>
      <c r="E176" s="50">
        <f t="shared" ca="1" si="121"/>
        <v>8.0300000000000926E-3</v>
      </c>
      <c r="F176" s="50">
        <f t="shared" ca="1" si="121"/>
        <v>7.4199999999999822E-3</v>
      </c>
      <c r="G176" s="50">
        <f t="shared" ca="1" si="121"/>
        <v>1.0769999999999946E-2</v>
      </c>
      <c r="H176" s="50">
        <f t="shared" ca="1" si="121"/>
        <v>1.3200000000000101E-2</v>
      </c>
      <c r="I176" s="50">
        <f t="shared" ca="1" si="121"/>
        <v>1.6590000000000105E-2</v>
      </c>
      <c r="J176" s="50">
        <f t="shared" ca="1" si="121"/>
        <v>1.7840000000000078E-2</v>
      </c>
      <c r="K176" s="50">
        <f t="shared" ca="1" si="121"/>
        <v>1.7939999999999845E-2</v>
      </c>
      <c r="L176" s="48">
        <f t="shared" ca="1" si="121"/>
        <v>1.7830000000000013E-2</v>
      </c>
      <c r="M176" s="48">
        <f t="shared" ca="1" si="121"/>
        <v>1.8460000000000143E-2</v>
      </c>
      <c r="N176" s="48">
        <f t="shared" ca="1" si="121"/>
        <v>1.9340000000000135E-2</v>
      </c>
      <c r="O176" s="48">
        <f t="shared" ca="1" si="121"/>
        <v>2.0230000000000192E-2</v>
      </c>
      <c r="P176" s="48">
        <f t="shared" ca="1" si="121"/>
        <v>2.1170000000000133E-2</v>
      </c>
      <c r="Q176" s="20">
        <f t="shared" ca="1" si="121"/>
        <v>2.2826423397519946E-2</v>
      </c>
      <c r="R176" s="20">
        <f t="shared" ca="1" si="121"/>
        <v>2.4227195267048085E-2</v>
      </c>
      <c r="S176" s="20">
        <f t="shared" ca="1" si="121"/>
        <v>2.568604025874377E-2</v>
      </c>
      <c r="T176" s="20">
        <f t="shared" ca="1" si="121"/>
        <v>2.7205525842122213E-2</v>
      </c>
      <c r="U176" s="20">
        <f t="shared" ca="1" si="121"/>
        <v>2.8785731084689292E-2</v>
      </c>
      <c r="V176" s="20">
        <f t="shared" ca="1" si="121"/>
        <v>3.0428005523083002E-2</v>
      </c>
      <c r="W176" s="20">
        <f t="shared" ca="1" si="121"/>
        <v>3.2145377933623376E-2</v>
      </c>
      <c r="X176" s="20">
        <f t="shared" ca="1" si="121"/>
        <v>3.395473046693942E-2</v>
      </c>
      <c r="Y176" s="20">
        <f t="shared" ca="1" si="121"/>
        <v>3.5876200801184144E-2</v>
      </c>
      <c r="Z176" s="20">
        <f t="shared" ca="1" si="121"/>
        <v>3.7932149643971069E-2</v>
      </c>
    </row>
    <row r="177" spans="1:26" x14ac:dyDescent="0.25">
      <c r="A177" s="12" t="s">
        <v>1237</v>
      </c>
      <c r="B177" s="14" t="str">
        <f>$B$38</f>
        <v>From Fiscal Forecasts</v>
      </c>
      <c r="C177" s="15"/>
      <c r="D177" s="50">
        <f ca="1">'Fiscal Forecasts'!D$167-SUM(D$170,D$176)</f>
        <v>0.91317999999999988</v>
      </c>
      <c r="E177" s="50">
        <f ca="1">'Fiscal Forecasts'!E$167-SUM(E$170,E$176)</f>
        <v>0.95396999999999998</v>
      </c>
      <c r="F177" s="50">
        <f ca="1">'Fiscal Forecasts'!F$167-SUM(F$170,F$176)</f>
        <v>0.87958000000000003</v>
      </c>
      <c r="G177" s="50">
        <f ca="1">'Fiscal Forecasts'!G$167-SUM(G$170,G$176)</f>
        <v>1.0842300000000002</v>
      </c>
      <c r="H177" s="50">
        <f ca="1">'Fiscal Forecasts'!H$167-SUM(H$170,H$176)</f>
        <v>1.1537999999999995</v>
      </c>
      <c r="I177" s="50">
        <f ca="1">'Fiscal Forecasts'!I$167-SUM(I$170,I$176)</f>
        <v>1.10141</v>
      </c>
      <c r="J177" s="50">
        <f ca="1">'Fiscal Forecasts'!J$167-SUM(J$170,J$176)</f>
        <v>1.0981599999999998</v>
      </c>
      <c r="K177" s="50">
        <f ca="1">'Fiscal Forecasts'!K$167-SUM(K$170,K$176)</f>
        <v>1.28606</v>
      </c>
      <c r="L177" s="48">
        <f ca="1">'Fiscal Forecasts'!L$167-SUM(L$170,L$176)</f>
        <v>0.54017000000000004</v>
      </c>
      <c r="M177" s="48">
        <f ca="1">'Fiscal Forecasts'!M$167-SUM(M$170,M$176)</f>
        <v>0.5275399999999999</v>
      </c>
      <c r="N177" s="48">
        <f ca="1">'Fiscal Forecasts'!N$167-SUM(N$170,N$176)</f>
        <v>0.69065999999999983</v>
      </c>
      <c r="O177" s="48">
        <f ca="1">'Fiscal Forecasts'!O$167-SUM(O$170,O$176)</f>
        <v>0.67976999999999954</v>
      </c>
      <c r="P177" s="48">
        <f ca="1">'Fiscal Forecasts'!P$167-SUM(P$170,P$176)</f>
        <v>0.67982999999999949</v>
      </c>
      <c r="Q177" s="20">
        <f t="shared" ref="Q177:Z177" ca="1" si="122">P$177*(1+Q$19)*(1+Q$29)</f>
        <v>0.70233670397232539</v>
      </c>
      <c r="R177" s="20">
        <f t="shared" ca="1" si="122"/>
        <v>0.72517991576479435</v>
      </c>
      <c r="S177" s="20">
        <f t="shared" ca="1" si="122"/>
        <v>0.74851955675007165</v>
      </c>
      <c r="T177" s="20">
        <f t="shared" ca="1" si="122"/>
        <v>0.77213496058631714</v>
      </c>
      <c r="U177" s="20">
        <f t="shared" ca="1" si="122"/>
        <v>0.7964297066099133</v>
      </c>
      <c r="V177" s="20">
        <f t="shared" ca="1" si="122"/>
        <v>0.82119672651977582</v>
      </c>
      <c r="W177" s="20">
        <f t="shared" ca="1" si="122"/>
        <v>0.84581229510688605</v>
      </c>
      <c r="X177" s="20">
        <f t="shared" ca="1" si="122"/>
        <v>0.87094601490231693</v>
      </c>
      <c r="Y177" s="20">
        <f t="shared" ca="1" si="122"/>
        <v>0.89684176664499926</v>
      </c>
      <c r="Z177" s="20">
        <f t="shared" ca="1" si="122"/>
        <v>0.92330473205621666</v>
      </c>
    </row>
    <row r="178" spans="1:26" x14ac:dyDescent="0.25">
      <c r="A178" s="11" t="s">
        <v>1238</v>
      </c>
      <c r="B178" s="11"/>
      <c r="C178" s="15"/>
      <c r="D178" s="94">
        <f t="shared" ref="D178:Z178" ca="1" si="123">SUM(D$176:D$177)</f>
        <v>0.92300000000000004</v>
      </c>
      <c r="E178" s="94">
        <f t="shared" ca="1" si="123"/>
        <v>0.96200000000000008</v>
      </c>
      <c r="F178" s="94">
        <f t="shared" ca="1" si="123"/>
        <v>0.88700000000000001</v>
      </c>
      <c r="G178" s="94">
        <f t="shared" ca="1" si="123"/>
        <v>1.0950000000000002</v>
      </c>
      <c r="H178" s="94">
        <f t="shared" ca="1" si="123"/>
        <v>1.1669999999999996</v>
      </c>
      <c r="I178" s="94">
        <f t="shared" ca="1" si="123"/>
        <v>1.1180000000000001</v>
      </c>
      <c r="J178" s="94">
        <f t="shared" ca="1" si="123"/>
        <v>1.1159999999999999</v>
      </c>
      <c r="K178" s="94">
        <f t="shared" ca="1" si="123"/>
        <v>1.3039999999999998</v>
      </c>
      <c r="L178" s="95">
        <f t="shared" ca="1" si="123"/>
        <v>0.55800000000000005</v>
      </c>
      <c r="M178" s="95">
        <f t="shared" ca="1" si="123"/>
        <v>0.54600000000000004</v>
      </c>
      <c r="N178" s="95">
        <f t="shared" ca="1" si="123"/>
        <v>0.71</v>
      </c>
      <c r="O178" s="95">
        <f t="shared" ca="1" si="123"/>
        <v>0.69999999999999973</v>
      </c>
      <c r="P178" s="95">
        <f t="shared" ca="1" si="123"/>
        <v>0.70099999999999962</v>
      </c>
      <c r="Q178" s="96">
        <f t="shared" ca="1" si="123"/>
        <v>0.72516312736984534</v>
      </c>
      <c r="R178" s="96">
        <f t="shared" ca="1" si="123"/>
        <v>0.74940711103184243</v>
      </c>
      <c r="S178" s="96">
        <f t="shared" ca="1" si="123"/>
        <v>0.77420559700881542</v>
      </c>
      <c r="T178" s="96">
        <f t="shared" ca="1" si="123"/>
        <v>0.79934048642843936</v>
      </c>
      <c r="U178" s="96">
        <f t="shared" ca="1" si="123"/>
        <v>0.82521543769460259</v>
      </c>
      <c r="V178" s="96">
        <f t="shared" ca="1" si="123"/>
        <v>0.85162473204285882</v>
      </c>
      <c r="W178" s="96">
        <f t="shared" ca="1" si="123"/>
        <v>0.87795767304050942</v>
      </c>
      <c r="X178" s="96">
        <f t="shared" ca="1" si="123"/>
        <v>0.90490074536925635</v>
      </c>
      <c r="Y178" s="96">
        <f t="shared" ca="1" si="123"/>
        <v>0.9327179674461834</v>
      </c>
      <c r="Z178" s="96">
        <f t="shared" ca="1" si="123"/>
        <v>0.96123688170018773</v>
      </c>
    </row>
    <row r="179" spans="1:26" x14ac:dyDescent="0.25">
      <c r="A179" s="11" t="s">
        <v>1239</v>
      </c>
      <c r="B179" s="14" t="str">
        <f>$B$38</f>
        <v>From Fiscal Forecasts</v>
      </c>
      <c r="C179" s="15"/>
      <c r="D179" s="51">
        <f ca="1">'Fiscal Forecasts'!D$13-D$173</f>
        <v>3.8789999999999996</v>
      </c>
      <c r="E179" s="51">
        <f ca="1">'Fiscal Forecasts'!E$13-E$173</f>
        <v>3.57</v>
      </c>
      <c r="F179" s="51">
        <f ca="1">'Fiscal Forecasts'!F$13-F$173</f>
        <v>3.589</v>
      </c>
      <c r="G179" s="51">
        <f ca="1">'Fiscal Forecasts'!G$13-G$173</f>
        <v>3.8780000000000001</v>
      </c>
      <c r="H179" s="51">
        <f ca="1">'Fiscal Forecasts'!H$13-H$173</f>
        <v>4.5830000000000002</v>
      </c>
      <c r="I179" s="51">
        <f ca="1">'Fiscal Forecasts'!I$13-I$173</f>
        <v>4.3360000000000003</v>
      </c>
      <c r="J179" s="51">
        <f ca="1">'Fiscal Forecasts'!J$13-J$173</f>
        <v>4.2249999999999996</v>
      </c>
      <c r="K179" s="51">
        <f ca="1">'Fiscal Forecasts'!K$13-K$173</f>
        <v>4.3449999999999998</v>
      </c>
      <c r="L179" s="47">
        <f ca="1">'Fiscal Forecasts'!L$13-L$173</f>
        <v>3.8389999999999995</v>
      </c>
      <c r="M179" s="47">
        <f ca="1">'Fiscal Forecasts'!M$13-M$173</f>
        <v>3.9740000000000002</v>
      </c>
      <c r="N179" s="47">
        <f ca="1">'Fiscal Forecasts'!N$13-N$173</f>
        <v>4.1969999999999992</v>
      </c>
      <c r="O179" s="47">
        <f ca="1">'Fiscal Forecasts'!O$13-O$173</f>
        <v>4.351</v>
      </c>
      <c r="P179" s="47">
        <f ca="1">'Fiscal Forecasts'!P$13-P$173</f>
        <v>4.391</v>
      </c>
      <c r="Q179" s="21">
        <f t="shared" ref="Q179:Z179" ca="1" si="124">Q$178+(P$179-P$178)*(1+Q$29)</f>
        <v>4.4889631273698454</v>
      </c>
      <c r="R179" s="21">
        <f t="shared" ca="1" si="124"/>
        <v>4.5884831110318425</v>
      </c>
      <c r="S179" s="21">
        <f t="shared" ca="1" si="124"/>
        <v>4.6900631170088154</v>
      </c>
      <c r="T179" s="21">
        <f t="shared" ca="1" si="124"/>
        <v>4.7935151568284393</v>
      </c>
      <c r="U179" s="21">
        <f t="shared" ca="1" si="124"/>
        <v>4.8992736015026024</v>
      </c>
      <c r="V179" s="21">
        <f t="shared" ca="1" si="124"/>
        <v>5.0071640591270183</v>
      </c>
      <c r="W179" s="21">
        <f t="shared" ca="1" si="124"/>
        <v>5.1166077866663517</v>
      </c>
      <c r="X179" s="21">
        <f t="shared" ca="1" si="124"/>
        <v>5.2283238612676159</v>
      </c>
      <c r="Y179" s="21">
        <f t="shared" ca="1" si="124"/>
        <v>5.3426095456625102</v>
      </c>
      <c r="Z179" s="21">
        <f t="shared" ca="1" si="124"/>
        <v>5.4593262914808411</v>
      </c>
    </row>
    <row r="180" spans="1:26" x14ac:dyDescent="0.25">
      <c r="A180" s="11"/>
      <c r="B180" s="11"/>
      <c r="C180" s="15"/>
      <c r="D180" s="91"/>
      <c r="E180" s="91"/>
      <c r="F180" s="91"/>
      <c r="G180" s="91"/>
      <c r="H180" s="91"/>
      <c r="I180" s="91"/>
      <c r="J180" s="91"/>
      <c r="K180" s="91"/>
    </row>
    <row r="181" spans="1:26" x14ac:dyDescent="0.25">
      <c r="A181" s="11" t="s">
        <v>870</v>
      </c>
      <c r="B181" s="11"/>
      <c r="C181" s="15"/>
    </row>
    <row r="182" spans="1:26" x14ac:dyDescent="0.25">
      <c r="A182" s="12" t="s">
        <v>1240</v>
      </c>
      <c r="B182" s="14" t="str">
        <f t="shared" ref="B182:B188" si="125">$B$38</f>
        <v>From Fiscal Forecasts</v>
      </c>
      <c r="C182" s="15"/>
      <c r="D182" s="50">
        <f>'Fiscal Forecasts'!D$243</f>
        <v>14.561999999999999</v>
      </c>
      <c r="E182" s="50">
        <f>'Fiscal Forecasts'!E$243</f>
        <v>15.521000000000001</v>
      </c>
      <c r="F182" s="50">
        <f>'Fiscal Forecasts'!F$243</f>
        <v>16.568999999999999</v>
      </c>
      <c r="G182" s="50">
        <f>'Fiscal Forecasts'!G$243</f>
        <v>17.763999999999999</v>
      </c>
      <c r="H182" s="50">
        <f>'Fiscal Forecasts'!H$243</f>
        <v>19.516999999999999</v>
      </c>
      <c r="I182" s="50">
        <f>'Fiscal Forecasts'!I$243</f>
        <v>21.574000000000002</v>
      </c>
      <c r="J182" s="50">
        <f>'Fiscal Forecasts'!J$243</f>
        <v>23.190999999999999</v>
      </c>
      <c r="K182" s="50">
        <f>'Fiscal Forecasts'!K$243</f>
        <v>24.721</v>
      </c>
      <c r="L182" s="48">
        <f>'Fiscal Forecasts'!L$243</f>
        <v>26.48</v>
      </c>
      <c r="M182" s="48">
        <f>'Fiscal Forecasts'!M$243</f>
        <v>28.321000000000002</v>
      </c>
      <c r="N182" s="48">
        <f>'Fiscal Forecasts'!N$243</f>
        <v>29.706</v>
      </c>
      <c r="O182" s="48">
        <f>'Fiscal Forecasts'!O$243</f>
        <v>31.236999999999998</v>
      </c>
      <c r="P182" s="48">
        <f>'Fiscal Forecasts'!P$243</f>
        <v>32.887999999999998</v>
      </c>
      <c r="Q182" s="20">
        <f ca="1">P$182*(1+'Population Treasury'!AB$237)*Q$204/P$204</f>
        <v>34.725908993862177</v>
      </c>
      <c r="R182" s="20">
        <f ca="1">Q$182*(1+'Population Treasury'!AC$237)*R$204/Q$204</f>
        <v>36.635202985101024</v>
      </c>
      <c r="S182" s="20">
        <f ca="1">R$182*(1+'Population Treasury'!AD$237)*S$204/R$204</f>
        <v>38.629858294940007</v>
      </c>
      <c r="T182" s="20">
        <f ca="1">S$182*(1+'Population Treasury'!AE$237)*T$204/S$204</f>
        <v>40.676909740310336</v>
      </c>
      <c r="U182" s="20">
        <f ca="1">T$182*(1+'Population Treasury'!AF$237)*U$204/T$204</f>
        <v>42.872020812705678</v>
      </c>
      <c r="V182" s="20">
        <f ca="1">U$182*(1+'Population Treasury'!AG$237)*V$204/U$204</f>
        <v>45.107449897766166</v>
      </c>
      <c r="W182" s="20">
        <f ca="1">V$182*(1+'Population Treasury'!AH$237)*W$204/V$204</f>
        <v>47.337696142069042</v>
      </c>
      <c r="X182" s="20">
        <f ca="1">W$182*(1+'Population Treasury'!AI$237)*X$204/W$204</f>
        <v>49.565382428266936</v>
      </c>
      <c r="Y182" s="20">
        <f ca="1">X$182*(1+'Population Treasury'!AJ$237)*Y$204/X$204</f>
        <v>51.768799535982517</v>
      </c>
      <c r="Z182" s="20">
        <f ca="1">Y$182*(1+'Population Treasury'!AK$237)*Z$204/Y$204</f>
        <v>53.973305982538974</v>
      </c>
    </row>
    <row r="183" spans="1:26" x14ac:dyDescent="0.25">
      <c r="A183" s="12" t="s">
        <v>1241</v>
      </c>
      <c r="B183" s="14" t="str">
        <f t="shared" si="125"/>
        <v>From Fiscal Forecasts</v>
      </c>
      <c r="C183" s="15"/>
      <c r="D183" s="50">
        <f>'Fiscal Forecasts'!D$244</f>
        <v>1.8540000000000001</v>
      </c>
      <c r="E183" s="50">
        <f>'Fiscal Forecasts'!E$244</f>
        <v>2.2850000000000001</v>
      </c>
      <c r="F183" s="50">
        <f>'Fiscal Forecasts'!F$244</f>
        <v>3.2240000000000002</v>
      </c>
      <c r="G183" s="50">
        <f>'Fiscal Forecasts'!G$244</f>
        <v>3.33</v>
      </c>
      <c r="H183" s="50">
        <f>'Fiscal Forecasts'!H$244</f>
        <v>3.4729999999999999</v>
      </c>
      <c r="I183" s="50">
        <f>'Fiscal Forecasts'!I$244</f>
        <v>4.0620000000000003</v>
      </c>
      <c r="J183" s="50">
        <f>'Fiscal Forecasts'!J$244</f>
        <v>4.641</v>
      </c>
      <c r="K183" s="50">
        <f>'Fiscal Forecasts'!K$244</f>
        <v>4.9260000000000002</v>
      </c>
      <c r="L183" s="48">
        <f>'Fiscal Forecasts'!L$244</f>
        <v>5.0309999999999997</v>
      </c>
      <c r="M183" s="48">
        <f>'Fiscal Forecasts'!M$244</f>
        <v>5.0110000000000001</v>
      </c>
      <c r="N183" s="48">
        <f>'Fiscal Forecasts'!N$244</f>
        <v>4.9039999999999999</v>
      </c>
      <c r="O183" s="48">
        <f>'Fiscal Forecasts'!O$244</f>
        <v>5.0010000000000003</v>
      </c>
      <c r="P183" s="48">
        <f>'Fiscal Forecasts'!P$244</f>
        <v>5.109</v>
      </c>
      <c r="Q183" s="20">
        <f ca="1">P$183*AVERAGE(1+SUMPRODUCT(Exogenous!$B$44:$B$54,'Population Treasury'!AB$215:AB$225)+SUMPRODUCT(Exogenous!$C$44:$C$54,'Population Treasury'!AB$226:AB$236),Q$16*Q$23/(P$16*P$23))*(1+Q$29)</f>
        <v>5.254733315137246</v>
      </c>
      <c r="R183" s="20">
        <f ca="1">Q$183*AVERAGE(1+SUMPRODUCT(Exogenous!$B$44:$B$54,'Population Treasury'!AC$215:AC$225)+SUMPRODUCT(Exogenous!$C$44:$C$54,'Population Treasury'!AC$226:AC$236),R$16*R$23/(Q$16*Q$23))*(1+R$29)</f>
        <v>5.4017980613666081</v>
      </c>
      <c r="S183" s="20">
        <f ca="1">R$183*AVERAGE(1+SUMPRODUCT(Exogenous!$B$44:$B$54,'Population Treasury'!AD$215:AD$225)+SUMPRODUCT(Exogenous!$C$44:$C$54,'Population Treasury'!AD$226:AD$236),S$16*S$23/(R$16*R$23))*(1+S$29)</f>
        <v>5.5492510963877857</v>
      </c>
      <c r="T183" s="20">
        <f ca="1">S$183*AVERAGE(1+SUMPRODUCT(Exogenous!$B$44:$B$54,'Population Treasury'!AE$215:AE$225)+SUMPRODUCT(Exogenous!$C$44:$C$54,'Population Treasury'!AE$226:AE$236),T$16*T$23/(S$16*S$23))*(1+T$29)</f>
        <v>5.7145345108437127</v>
      </c>
      <c r="U183" s="20">
        <f ca="1">T$183*AVERAGE(1+SUMPRODUCT(Exogenous!$B$44:$B$54,'Population Treasury'!AF$215:AF$225)+SUMPRODUCT(Exogenous!$C$44:$C$54,'Population Treasury'!AF$226:AF$236),U$16*U$23/(T$16*T$23))*(1+U$29)</f>
        <v>5.8807006094395549</v>
      </c>
      <c r="V183" s="20">
        <f ca="1">U$183*AVERAGE(1+SUMPRODUCT(Exogenous!$B$44:$B$54,'Population Treasury'!AG$215:AG$225)+SUMPRODUCT(Exogenous!$C$44:$C$54,'Population Treasury'!AG$226:AG$236),V$16*V$23/(U$16*U$23))*(1+V$29)</f>
        <v>6.052324910542298</v>
      </c>
      <c r="W183" s="20">
        <f ca="1">V$183*AVERAGE(1+SUMPRODUCT(Exogenous!$B$44:$B$54,'Population Treasury'!AH$215:AH$225)+SUMPRODUCT(Exogenous!$C$44:$C$54,'Population Treasury'!AH$226:AH$236),W$16*W$23/(V$16*V$23))*(1+W$29)</f>
        <v>6.2285551627600331</v>
      </c>
      <c r="X183" s="20">
        <f ca="1">W$183*AVERAGE(1+SUMPRODUCT(Exogenous!$B$44:$B$54,'Population Treasury'!AI$215:AI$225)+SUMPRODUCT(Exogenous!$C$44:$C$54,'Population Treasury'!AI$226:AI$236),X$16*X$23/(W$16*W$23))*(1+X$29)</f>
        <v>6.4078367846075315</v>
      </c>
      <c r="Y183" s="20">
        <f ca="1">X$183*AVERAGE(1+SUMPRODUCT(Exogenous!$B$44:$B$54,'Population Treasury'!AJ$215:AJ$225)+SUMPRODUCT(Exogenous!$C$44:$C$54,'Population Treasury'!AJ$226:AJ$236),Y$16*Y$23/(X$16*X$23))*(1+Y$29)</f>
        <v>6.5927907093504485</v>
      </c>
      <c r="Z183" s="20">
        <f ca="1">Y$183*AVERAGE(1+SUMPRODUCT(Exogenous!$B$44:$B$54,'Population Treasury'!AK$215:AK$225)+SUMPRODUCT(Exogenous!$C$44:$C$54,'Population Treasury'!AK$226:AK$236),Z$16*Z$23/(Y$16*Y$23))*(1+Z$29)</f>
        <v>6.7851611000174437</v>
      </c>
    </row>
    <row r="184" spans="1:26" x14ac:dyDescent="0.25">
      <c r="A184" s="12" t="s">
        <v>688</v>
      </c>
      <c r="B184" s="14" t="str">
        <f t="shared" si="125"/>
        <v>From Fiscal Forecasts</v>
      </c>
      <c r="C184" s="15"/>
      <c r="D184" s="50">
        <f>'Fiscal Forecasts'!D$245</f>
        <v>1.556</v>
      </c>
      <c r="E184" s="50">
        <f>'Fiscal Forecasts'!E$245</f>
        <v>1.65</v>
      </c>
      <c r="F184" s="50">
        <f>'Fiscal Forecasts'!F$245</f>
        <v>1.8260000000000001</v>
      </c>
      <c r="G184" s="50">
        <f>'Fiscal Forecasts'!G$245</f>
        <v>2.0470000000000002</v>
      </c>
      <c r="H184" s="50">
        <f>'Fiscal Forecasts'!H$245</f>
        <v>2.3109999999999999</v>
      </c>
      <c r="I184" s="50">
        <f>'Fiscal Forecasts'!I$245</f>
        <v>2.5299999999999998</v>
      </c>
      <c r="J184" s="50">
        <f>'Fiscal Forecasts'!J$245</f>
        <v>2.6680000000000001</v>
      </c>
      <c r="K184" s="50">
        <f>'Fiscal Forecasts'!K$245</f>
        <v>2.8260000000000001</v>
      </c>
      <c r="L184" s="48">
        <f>'Fiscal Forecasts'!L$245</f>
        <v>3.0059999999999998</v>
      </c>
      <c r="M184" s="48">
        <f>'Fiscal Forecasts'!M$245</f>
        <v>3.19</v>
      </c>
      <c r="N184" s="48">
        <f>'Fiscal Forecasts'!N$245</f>
        <v>3.286</v>
      </c>
      <c r="O184" s="48">
        <f>'Fiscal Forecasts'!O$245</f>
        <v>3.4340000000000002</v>
      </c>
      <c r="P184" s="48">
        <f>'Fiscal Forecasts'!P$245</f>
        <v>3.581</v>
      </c>
      <c r="Q184" s="20">
        <f ca="1">P$184*(1+SUMPRODUCT(Exogenous!$I$44:$I$54,'Population Treasury'!AB$215:AB$225)+SUMPRODUCT(Exogenous!$J$44:$J$54,'Population Treasury'!AB$226:AB$236))*(1+Q$29)</f>
        <v>3.6880822061662717</v>
      </c>
      <c r="R184" s="20">
        <f ca="1">Q$184*(1+SUMPRODUCT(Exogenous!$I$44:$I$54,'Population Treasury'!AC$215:AC$225)+SUMPRODUCT(Exogenous!$J$44:$J$54,'Population Treasury'!AC$226:AC$236))*(1+R$29)</f>
        <v>3.7955043780043982</v>
      </c>
      <c r="S184" s="20">
        <f ca="1">R$184*(1+SUMPRODUCT(Exogenous!$I$44:$I$54,'Population Treasury'!AD$215:AD$225)+SUMPRODUCT(Exogenous!$J$44:$J$54,'Population Treasury'!AD$226:AD$236))*(1+S$29)</f>
        <v>3.9024425842854971</v>
      </c>
      <c r="T184" s="20">
        <f ca="1">S$184*(1+SUMPRODUCT(Exogenous!$I$44:$I$54,'Population Treasury'!AE$215:AE$225)+SUMPRODUCT(Exogenous!$J$44:$J$54,'Population Treasury'!AE$226:AE$236))*(1+T$29)</f>
        <v>4.0135394958533741</v>
      </c>
      <c r="U184" s="20">
        <f ca="1">T$184*(1+SUMPRODUCT(Exogenous!$I$44:$I$54,'Population Treasury'!AF$215:AF$225)+SUMPRODUCT(Exogenous!$J$44:$J$54,'Population Treasury'!AF$226:AF$236))*(1+U$29)</f>
        <v>4.1212295536805259</v>
      </c>
      <c r="V184" s="20">
        <f ca="1">U$184*(1+SUMPRODUCT(Exogenous!$I$44:$I$54,'Population Treasury'!AG$215:AG$225)+SUMPRODUCT(Exogenous!$J$44:$J$54,'Population Treasury'!AG$226:AG$236))*(1+V$29)</f>
        <v>4.2373831515068696</v>
      </c>
      <c r="W184" s="20">
        <f ca="1">V$184*(1+SUMPRODUCT(Exogenous!$I$44:$I$54,'Population Treasury'!AH$215:AH$225)+SUMPRODUCT(Exogenous!$J$44:$J$54,'Population Treasury'!AH$226:AH$236))*(1+W$29)</f>
        <v>4.3638027445229941</v>
      </c>
      <c r="X184" s="20">
        <f ca="1">W$184*(1+SUMPRODUCT(Exogenous!$I$44:$I$54,'Population Treasury'!AI$215:AI$225)+SUMPRODUCT(Exogenous!$J$44:$J$54,'Population Treasury'!AI$226:AI$236))*(1+X$29)</f>
        <v>4.4999104075329077</v>
      </c>
      <c r="Y184" s="20">
        <f ca="1">X$184*(1+SUMPRODUCT(Exogenous!$I$44:$I$54,'Population Treasury'!AJ$215:AJ$225)+SUMPRODUCT(Exogenous!$J$44:$J$54,'Population Treasury'!AJ$226:AJ$236))*(1+Y$29)</f>
        <v>4.650060740500682</v>
      </c>
      <c r="Z184" s="20">
        <f ca="1">Y$184*(1+SUMPRODUCT(Exogenous!$I$44:$I$54,'Population Treasury'!AK$215:AK$225)+SUMPRODUCT(Exogenous!$J$44:$J$54,'Population Treasury'!AK$226:AK$236))*(1+Z$29)</f>
        <v>4.8127462427083705</v>
      </c>
    </row>
    <row r="185" spans="1:26" x14ac:dyDescent="0.25">
      <c r="A185" s="12" t="s">
        <v>689</v>
      </c>
      <c r="B185" s="14" t="str">
        <f t="shared" si="125"/>
        <v>From Fiscal Forecasts</v>
      </c>
      <c r="C185" s="15"/>
      <c r="D185" s="50">
        <f>'Fiscal Forecasts'!D$246</f>
        <v>1.115</v>
      </c>
      <c r="E185" s="50">
        <f>'Fiscal Forecasts'!E$246</f>
        <v>1.2310000000000001</v>
      </c>
      <c r="F185" s="50">
        <f>'Fiscal Forecasts'!F$246</f>
        <v>1.4550000000000001</v>
      </c>
      <c r="G185" s="50">
        <f>'Fiscal Forecasts'!G$246</f>
        <v>1.704</v>
      </c>
      <c r="H185" s="50">
        <f>'Fiscal Forecasts'!H$246</f>
        <v>1.917</v>
      </c>
      <c r="I185" s="50">
        <f>'Fiscal Forecasts'!I$246</f>
        <v>2.097</v>
      </c>
      <c r="J185" s="50">
        <f>'Fiscal Forecasts'!J$246</f>
        <v>2.2549999999999999</v>
      </c>
      <c r="K185" s="50">
        <f>'Fiscal Forecasts'!K$246</f>
        <v>2.3860000000000001</v>
      </c>
      <c r="L185" s="48">
        <f>'Fiscal Forecasts'!L$246</f>
        <v>2.4380000000000002</v>
      </c>
      <c r="M185" s="48">
        <f>'Fiscal Forecasts'!M$246</f>
        <v>2.3919999999999999</v>
      </c>
      <c r="N185" s="48">
        <f>'Fiscal Forecasts'!N$246</f>
        <v>2.234</v>
      </c>
      <c r="O185" s="48">
        <f>'Fiscal Forecasts'!O$246</f>
        <v>2.2400000000000002</v>
      </c>
      <c r="P185" s="48">
        <f>'Fiscal Forecasts'!P$246</f>
        <v>2.2839999999999998</v>
      </c>
      <c r="Q185" s="20">
        <f ca="1">P$185*(1+SUMPRODUCT(Exogenous!$P$44:$P$54,'Population Treasury'!AB$215:AB$225)+SUMPRODUCT(Exogenous!$Q$44:$Q$54,'Population Treasury'!AB$226:AB$236))*(1+Q$29)</f>
        <v>2.3489588309586225</v>
      </c>
      <c r="R185" s="20">
        <f ca="1">Q$185*(1+SUMPRODUCT(Exogenous!$P$44:$P$54,'Population Treasury'!AC$215:AC$225)+SUMPRODUCT(Exogenous!$Q$44:$Q$54,'Population Treasury'!AC$226:AC$236))*(1+R$29)</f>
        <v>2.4152781325459118</v>
      </c>
      <c r="S185" s="20">
        <f ca="1">R$185*(1+SUMPRODUCT(Exogenous!$P$44:$P$54,'Population Treasury'!AD$215:AD$225)+SUMPRODUCT(Exogenous!$Q$44:$Q$54,'Population Treasury'!AD$226:AD$236))*(1+S$29)</f>
        <v>2.4813427390347425</v>
      </c>
      <c r="T185" s="20">
        <f ca="1">S$185*(1+SUMPRODUCT(Exogenous!$P$44:$P$54,'Population Treasury'!AE$215:AE$225)+SUMPRODUCT(Exogenous!$Q$44:$Q$54,'Population Treasury'!AE$226:AE$236))*(1+T$29)</f>
        <v>2.5474849352744724</v>
      </c>
      <c r="U185" s="20">
        <f ca="1">T$185*(1+SUMPRODUCT(Exogenous!$P$44:$P$54,'Population Treasury'!AF$215:AF$225)+SUMPRODUCT(Exogenous!$Q$44:$Q$54,'Population Treasury'!AF$226:AF$236))*(1+U$29)</f>
        <v>2.6149840748244544</v>
      </c>
      <c r="V185" s="20">
        <f ca="1">U$185*(1+SUMPRODUCT(Exogenous!$P$44:$P$54,'Population Treasury'!AG$215:AG$225)+SUMPRODUCT(Exogenous!$Q$44:$Q$54,'Population Treasury'!AG$226:AG$236))*(1+V$29)</f>
        <v>2.6857284816213052</v>
      </c>
      <c r="W185" s="20">
        <f ca="1">V$185*(1+SUMPRODUCT(Exogenous!$P$44:$P$54,'Population Treasury'!AH$215:AH$225)+SUMPRODUCT(Exogenous!$Q$44:$Q$54,'Population Treasury'!AH$226:AH$236))*(1+W$29)</f>
        <v>2.7571611952855459</v>
      </c>
      <c r="X185" s="20">
        <f ca="1">W$185*(1+SUMPRODUCT(Exogenous!$P$44:$P$54,'Population Treasury'!AI$215:AI$225)+SUMPRODUCT(Exogenous!$Q$44:$Q$54,'Population Treasury'!AI$226:AI$236))*(1+X$29)</f>
        <v>2.8301877414585848</v>
      </c>
      <c r="Y185" s="20">
        <f ca="1">X$185*(1+SUMPRODUCT(Exogenous!$P$44:$P$54,'Population Treasury'!AJ$215:AJ$225)+SUMPRODUCT(Exogenous!$Q$44:$Q$54,'Population Treasury'!AJ$226:AJ$236))*(1+Y$29)</f>
        <v>2.9020098172986213</v>
      </c>
      <c r="Z185" s="20">
        <f ca="1">Y$185*(1+SUMPRODUCT(Exogenous!$P$44:$P$54,'Population Treasury'!AK$215:AK$225)+SUMPRODUCT(Exogenous!$Q$44:$Q$54,'Population Treasury'!AK$226:AK$236))*(1+Z$29)</f>
        <v>2.9754943164379557</v>
      </c>
    </row>
    <row r="186" spans="1:26" x14ac:dyDescent="0.25">
      <c r="A186" s="12" t="s">
        <v>690</v>
      </c>
      <c r="B186" s="14" t="str">
        <f t="shared" si="125"/>
        <v>From Fiscal Forecasts</v>
      </c>
      <c r="D186" s="50">
        <f>'Fiscal Forecasts'!D$247</f>
        <v>2.766</v>
      </c>
      <c r="E186" s="50">
        <f>'Fiscal Forecasts'!E$247</f>
        <v>2.83</v>
      </c>
      <c r="F186" s="50">
        <f>'Fiscal Forecasts'!F$247</f>
        <v>2.6880000000000002</v>
      </c>
      <c r="G186" s="50">
        <f>'Fiscal Forecasts'!G$247</f>
        <v>2.536</v>
      </c>
      <c r="H186" s="50">
        <f>'Fiscal Forecasts'!H$247</f>
        <v>2.6269999999999998</v>
      </c>
      <c r="I186" s="50">
        <f>'Fiscal Forecasts'!I$247</f>
        <v>2.7450000000000001</v>
      </c>
      <c r="J186" s="50">
        <f>'Fiscal Forecasts'!J$247</f>
        <v>2.9950000000000001</v>
      </c>
      <c r="K186" s="50">
        <f>'Fiscal Forecasts'!K$247</f>
        <v>3.0579999999999998</v>
      </c>
      <c r="L186" s="48">
        <f>'Fiscal Forecasts'!L$247</f>
        <v>3.4169999999999998</v>
      </c>
      <c r="M186" s="48">
        <f>'Fiscal Forecasts'!M$247</f>
        <v>3.2130000000000001</v>
      </c>
      <c r="N186" s="48">
        <f>'Fiscal Forecasts'!N$247</f>
        <v>3.2549999999999999</v>
      </c>
      <c r="O186" s="48">
        <f>'Fiscal Forecasts'!O$247</f>
        <v>3.194</v>
      </c>
      <c r="P186" s="48">
        <f>'Fiscal Forecasts'!P$247</f>
        <v>3.226</v>
      </c>
      <c r="Q186" s="20">
        <f t="shared" ref="Q186:Z186" ca="1" si="126">P$186*(1+Q$19)*(1+Q$29)</f>
        <v>3.3328011517801852</v>
      </c>
      <c r="R186" s="20">
        <f t="shared" ca="1" si="126"/>
        <v>3.4411991354562583</v>
      </c>
      <c r="S186" s="20">
        <f t="shared" ca="1" si="126"/>
        <v>3.551952826553304</v>
      </c>
      <c r="T186" s="20">
        <f t="shared" ca="1" si="126"/>
        <v>3.664015096202669</v>
      </c>
      <c r="U186" s="20">
        <f t="shared" ca="1" si="126"/>
        <v>3.7793010510327312</v>
      </c>
      <c r="V186" s="20">
        <f t="shared" ca="1" si="126"/>
        <v>3.8968280890116622</v>
      </c>
      <c r="W186" s="20">
        <f t="shared" ca="1" si="126"/>
        <v>4.0136364444270125</v>
      </c>
      <c r="X186" s="20">
        <f t="shared" ca="1" si="126"/>
        <v>4.1329035848298483</v>
      </c>
      <c r="Y186" s="20">
        <f t="shared" ca="1" si="126"/>
        <v>4.2557867984595692</v>
      </c>
      <c r="Z186" s="20">
        <f t="shared" ca="1" si="126"/>
        <v>4.3813616133641586</v>
      </c>
    </row>
    <row r="187" spans="1:26" x14ac:dyDescent="0.25">
      <c r="A187" s="12" t="s">
        <v>691</v>
      </c>
      <c r="B187" s="14" t="str">
        <f t="shared" si="125"/>
        <v>From Fiscal Forecasts</v>
      </c>
      <c r="D187" s="50">
        <f>'Fiscal Forecasts'!D$248</f>
        <v>1.64</v>
      </c>
      <c r="E187" s="50">
        <f>'Fiscal Forecasts'!E$248</f>
        <v>1.923</v>
      </c>
      <c r="F187" s="50">
        <f>'Fiscal Forecasts'!F$248</f>
        <v>2.302</v>
      </c>
      <c r="G187" s="50">
        <f>'Fiscal Forecasts'!G$248</f>
        <v>2.3860000000000001</v>
      </c>
      <c r="H187" s="50">
        <f>'Fiscal Forecasts'!H$248</f>
        <v>2.3490000000000002</v>
      </c>
      <c r="I187" s="50">
        <f>'Fiscal Forecasts'!I$248</f>
        <v>2.411</v>
      </c>
      <c r="J187" s="50">
        <f>'Fiscal Forecasts'!J$248</f>
        <v>2.2320000000000002</v>
      </c>
      <c r="K187" s="50">
        <f>'Fiscal Forecasts'!K$248</f>
        <v>2.306</v>
      </c>
      <c r="L187" s="48">
        <f>'Fiscal Forecasts'!L$248</f>
        <v>2.2330000000000001</v>
      </c>
      <c r="M187" s="48">
        <f>'Fiscal Forecasts'!M$248</f>
        <v>2.33</v>
      </c>
      <c r="N187" s="48">
        <f>'Fiscal Forecasts'!N$248</f>
        <v>2.2210000000000001</v>
      </c>
      <c r="O187" s="48">
        <f>'Fiscal Forecasts'!O$248</f>
        <v>2.2469999999999999</v>
      </c>
      <c r="P187" s="48">
        <f>'Fiscal Forecasts'!P$248</f>
        <v>2.2829999999999999</v>
      </c>
      <c r="Q187" s="20">
        <f t="shared" ref="Q187:Z187" ca="1" si="127">P$187*(1+Q$19)*(1+Q$29)</f>
        <v>2.3585818442387363</v>
      </c>
      <c r="R187" s="20">
        <f t="shared" ca="1" si="127"/>
        <v>2.4352937465116673</v>
      </c>
      <c r="S187" s="20">
        <f t="shared" ca="1" si="127"/>
        <v>2.5136727535713557</v>
      </c>
      <c r="T187" s="20">
        <f t="shared" ca="1" si="127"/>
        <v>2.5929778253659932</v>
      </c>
      <c r="U187" s="20">
        <f t="shared" ca="1" si="127"/>
        <v>2.6745642589918557</v>
      </c>
      <c r="V187" s="20">
        <f t="shared" ca="1" si="127"/>
        <v>2.7577366792354701</v>
      </c>
      <c r="W187" s="20">
        <f t="shared" ca="1" si="127"/>
        <v>2.8404004967845227</v>
      </c>
      <c r="X187" s="20">
        <f t="shared" ca="1" si="127"/>
        <v>2.924804365829679</v>
      </c>
      <c r="Y187" s="20">
        <f t="shared" ca="1" si="127"/>
        <v>3.0117672848367012</v>
      </c>
      <c r="Z187" s="20">
        <f t="shared" ca="1" si="127"/>
        <v>3.1006350165252252</v>
      </c>
    </row>
    <row r="188" spans="1:26" x14ac:dyDescent="0.25">
      <c r="A188" s="12" t="s">
        <v>692</v>
      </c>
      <c r="B188" s="14" t="str">
        <f t="shared" si="125"/>
        <v>From Fiscal Forecasts</v>
      </c>
      <c r="C188" s="15"/>
      <c r="D188" s="50">
        <f>'Fiscal Forecasts'!D$249</f>
        <v>2.351</v>
      </c>
      <c r="E188" s="50">
        <f>'Fiscal Forecasts'!E$249</f>
        <v>14.971</v>
      </c>
      <c r="F188" s="50">
        <f>'Fiscal Forecasts'!F$249</f>
        <v>5.0529999999999999</v>
      </c>
      <c r="G188" s="50">
        <f>'Fiscal Forecasts'!G$249</f>
        <v>11.973000000000001</v>
      </c>
      <c r="H188" s="50">
        <f>'Fiscal Forecasts'!H$249</f>
        <v>4.1159999999999997</v>
      </c>
      <c r="I188" s="50">
        <f>'Fiscal Forecasts'!I$249</f>
        <v>3.7759999999999998</v>
      </c>
      <c r="J188" s="50">
        <f>'Fiscal Forecasts'!J$249</f>
        <v>4.1500000000000004</v>
      </c>
      <c r="K188" s="50">
        <f>'Fiscal Forecasts'!K$249</f>
        <v>4.3860000000000001</v>
      </c>
      <c r="L188" s="48">
        <f>'Fiscal Forecasts'!L$249</f>
        <v>4.5549999999999997</v>
      </c>
      <c r="M188" s="48">
        <f>'Fiscal Forecasts'!M$249</f>
        <v>4.5350000000000001</v>
      </c>
      <c r="N188" s="48">
        <f>'Fiscal Forecasts'!N$249</f>
        <v>4.617</v>
      </c>
      <c r="O188" s="48">
        <f>'Fiscal Forecasts'!O$249</f>
        <v>4.7519999999999998</v>
      </c>
      <c r="P188" s="48">
        <f>'Fiscal Forecasts'!P$249</f>
        <v>4.9109999999999996</v>
      </c>
      <c r="Q188" s="20">
        <f t="shared" ref="Q188:Z188" ca="1" si="128">P$188*(1+Q$19)*(1+Q$29)</f>
        <v>5.0735853863584897</v>
      </c>
      <c r="R188" s="20">
        <f t="shared" ca="1" si="128"/>
        <v>5.2386016597103788</v>
      </c>
      <c r="S188" s="20">
        <f t="shared" ca="1" si="128"/>
        <v>5.4072040704287891</v>
      </c>
      <c r="T188" s="20">
        <f t="shared" ca="1" si="128"/>
        <v>5.5777985546966233</v>
      </c>
      <c r="U188" s="20">
        <f t="shared" ca="1" si="128"/>
        <v>5.7533005150718353</v>
      </c>
      <c r="V188" s="20">
        <f t="shared" ca="1" si="128"/>
        <v>5.9322141181451551</v>
      </c>
      <c r="W188" s="20">
        <f t="shared" ca="1" si="128"/>
        <v>6.1100336573406864</v>
      </c>
      <c r="X188" s="20">
        <f t="shared" ca="1" si="128"/>
        <v>6.2915962508057595</v>
      </c>
      <c r="Y188" s="20">
        <f t="shared" ca="1" si="128"/>
        <v>6.4786636600232299</v>
      </c>
      <c r="Z188" s="20">
        <f t="shared" ca="1" si="128"/>
        <v>6.669828544089083</v>
      </c>
    </row>
    <row r="189" spans="1:26" x14ac:dyDescent="0.25">
      <c r="A189" s="11" t="s">
        <v>1242</v>
      </c>
      <c r="B189" s="14"/>
      <c r="C189" s="15"/>
      <c r="D189" s="94">
        <f t="shared" ref="D189:Z189" si="129">SUM(D$182:D$188)</f>
        <v>25.844000000000001</v>
      </c>
      <c r="E189" s="94">
        <f t="shared" si="129"/>
        <v>40.411000000000001</v>
      </c>
      <c r="F189" s="94">
        <f t="shared" si="129"/>
        <v>33.116999999999997</v>
      </c>
      <c r="G189" s="94">
        <f t="shared" si="129"/>
        <v>41.74</v>
      </c>
      <c r="H189" s="94">
        <f t="shared" si="129"/>
        <v>36.31</v>
      </c>
      <c r="I189" s="94">
        <f t="shared" si="129"/>
        <v>39.195000000000007</v>
      </c>
      <c r="J189" s="94">
        <f t="shared" si="129"/>
        <v>42.131999999999998</v>
      </c>
      <c r="K189" s="94">
        <f t="shared" si="129"/>
        <v>44.609000000000002</v>
      </c>
      <c r="L189" s="95">
        <f t="shared" si="129"/>
        <v>47.16</v>
      </c>
      <c r="M189" s="95">
        <f t="shared" si="129"/>
        <v>48.992000000000004</v>
      </c>
      <c r="N189" s="95">
        <f t="shared" si="129"/>
        <v>50.223000000000006</v>
      </c>
      <c r="O189" s="95">
        <f t="shared" si="129"/>
        <v>52.105000000000004</v>
      </c>
      <c r="P189" s="95">
        <f t="shared" si="129"/>
        <v>54.282000000000004</v>
      </c>
      <c r="Q189" s="96">
        <f t="shared" ca="1" si="129"/>
        <v>56.782651728501726</v>
      </c>
      <c r="R189" s="96">
        <f t="shared" ca="1" si="129"/>
        <v>59.362878098696243</v>
      </c>
      <c r="S189" s="96">
        <f t="shared" ca="1" si="129"/>
        <v>62.035724365201482</v>
      </c>
      <c r="T189" s="96">
        <f t="shared" ca="1" si="129"/>
        <v>64.787260158547184</v>
      </c>
      <c r="U189" s="96">
        <f t="shared" ca="1" si="129"/>
        <v>67.696100875746652</v>
      </c>
      <c r="V189" s="96">
        <f t="shared" ca="1" si="129"/>
        <v>70.669665327828923</v>
      </c>
      <c r="W189" s="96">
        <f t="shared" ca="1" si="129"/>
        <v>73.651285843189839</v>
      </c>
      <c r="X189" s="96">
        <f t="shared" ca="1" si="129"/>
        <v>76.652621563331238</v>
      </c>
      <c r="Y189" s="96">
        <f t="shared" ca="1" si="129"/>
        <v>79.659878546451779</v>
      </c>
      <c r="Z189" s="96">
        <f t="shared" ca="1" si="129"/>
        <v>82.698532815681233</v>
      </c>
    </row>
    <row r="190" spans="1:26" x14ac:dyDescent="0.25">
      <c r="A190" s="12" t="s">
        <v>693</v>
      </c>
      <c r="B190" s="14" t="str">
        <f>$B$38</f>
        <v>From Fiscal Forecasts</v>
      </c>
      <c r="C190" s="15"/>
      <c r="D190" s="50">
        <f>'Fiscal Forecasts'!D$250</f>
        <v>0.58299999999999996</v>
      </c>
      <c r="E190" s="50">
        <f>'Fiscal Forecasts'!E$250</f>
        <v>0.56699999999999995</v>
      </c>
      <c r="F190" s="50">
        <f>'Fiscal Forecasts'!F$250</f>
        <v>0.59</v>
      </c>
      <c r="G190" s="50">
        <f>'Fiscal Forecasts'!G$250</f>
        <v>0.55600000000000005</v>
      </c>
      <c r="H190" s="50">
        <f>'Fiscal Forecasts'!H$250</f>
        <v>0.52500000000000002</v>
      </c>
      <c r="I190" s="50">
        <f>'Fiscal Forecasts'!I$250</f>
        <v>0.52600000000000002</v>
      </c>
      <c r="J190" s="50">
        <f>'Fiscal Forecasts'!J$250</f>
        <v>0.57399999999999995</v>
      </c>
      <c r="K190" s="50">
        <f>'Fiscal Forecasts'!K$250</f>
        <v>0.64100000000000001</v>
      </c>
      <c r="L190" s="48">
        <f>'Fiscal Forecasts'!L$250</f>
        <v>0.70399999999999996</v>
      </c>
      <c r="M190" s="48">
        <f>'Fiscal Forecasts'!M$250</f>
        <v>0.71499999999999997</v>
      </c>
      <c r="N190" s="48">
        <f>'Fiscal Forecasts'!N$250</f>
        <v>0.69899999999999995</v>
      </c>
      <c r="O190" s="48">
        <f>'Fiscal Forecasts'!O$250</f>
        <v>0.68899999999999995</v>
      </c>
      <c r="P190" s="48">
        <f>'Fiscal Forecasts'!P$250</f>
        <v>0.68899999999999995</v>
      </c>
      <c r="Q190" s="20">
        <f ca="1">P$190*(1+'Population Treasury'!AB$328)*(1+Q$29)</f>
        <v>0.7042704052526918</v>
      </c>
      <c r="R190" s="20">
        <f ca="1">Q$190*(1+'Population Treasury'!AC$328)*(1+R$29)</f>
        <v>0.7200817868108712</v>
      </c>
      <c r="S190" s="20">
        <f ca="1">R$190*(1+'Population Treasury'!AD$328)*(1+S$29)</f>
        <v>0.7364441451154754</v>
      </c>
      <c r="T190" s="20">
        <f ca="1">S$190*(1+'Population Treasury'!AE$328)*(1+T$29)</f>
        <v>0.75426820881386147</v>
      </c>
      <c r="U190" s="20">
        <f ca="1">T$190*(1+'Population Treasury'!AF$328)*(1+U$29)</f>
        <v>0.77251950077583986</v>
      </c>
      <c r="V190" s="20">
        <f ca="1">U$190*(1+'Population Treasury'!AG$328)*(1+V$29)</f>
        <v>0.79212822197401689</v>
      </c>
      <c r="W190" s="20">
        <f ca="1">V$190*(1+'Population Treasury'!AH$328)*(1+W$29)</f>
        <v>0.81256650909083683</v>
      </c>
      <c r="X190" s="20">
        <f ca="1">W$190*(1+'Population Treasury'!AI$328)*(1+X$29)</f>
        <v>0.834167094857449</v>
      </c>
      <c r="Y190" s="20">
        <f ca="1">X$190*(1+'Population Treasury'!AJ$328)*(1+Y$29)</f>
        <v>0.85705810709086938</v>
      </c>
      <c r="Z190" s="20">
        <f ca="1">Y$190*(1+'Population Treasury'!AK$328)*(1+Z$29)</f>
        <v>0.87732856685740601</v>
      </c>
    </row>
    <row r="191" spans="1:26" x14ac:dyDescent="0.25">
      <c r="A191" s="11" t="s">
        <v>1243</v>
      </c>
      <c r="B191" s="14"/>
      <c r="C191" s="15"/>
      <c r="D191" s="94">
        <f t="shared" ref="D191:Z191" si="130">SUM(D$189:D$190)</f>
        <v>26.427</v>
      </c>
      <c r="E191" s="94">
        <f t="shared" si="130"/>
        <v>40.978000000000002</v>
      </c>
      <c r="F191" s="94">
        <f t="shared" si="130"/>
        <v>33.707000000000001</v>
      </c>
      <c r="G191" s="94">
        <f t="shared" si="130"/>
        <v>42.295999999999999</v>
      </c>
      <c r="H191" s="94">
        <f t="shared" si="130"/>
        <v>36.835000000000001</v>
      </c>
      <c r="I191" s="94">
        <f t="shared" si="130"/>
        <v>39.721000000000011</v>
      </c>
      <c r="J191" s="94">
        <f t="shared" si="130"/>
        <v>42.705999999999996</v>
      </c>
      <c r="K191" s="94">
        <f t="shared" si="130"/>
        <v>45.25</v>
      </c>
      <c r="L191" s="95">
        <f t="shared" si="130"/>
        <v>47.863999999999997</v>
      </c>
      <c r="M191" s="95">
        <f t="shared" si="130"/>
        <v>49.707000000000008</v>
      </c>
      <c r="N191" s="95">
        <f t="shared" si="130"/>
        <v>50.922000000000004</v>
      </c>
      <c r="O191" s="95">
        <f t="shared" si="130"/>
        <v>52.794000000000004</v>
      </c>
      <c r="P191" s="95">
        <f t="shared" si="130"/>
        <v>54.971000000000004</v>
      </c>
      <c r="Q191" s="96">
        <f t="shared" ca="1" si="130"/>
        <v>57.486922133754419</v>
      </c>
      <c r="R191" s="96">
        <f t="shared" ca="1" si="130"/>
        <v>60.082959885507115</v>
      </c>
      <c r="S191" s="96">
        <f t="shared" ca="1" si="130"/>
        <v>62.772168510316959</v>
      </c>
      <c r="T191" s="96">
        <f t="shared" ca="1" si="130"/>
        <v>65.541528367361039</v>
      </c>
      <c r="U191" s="96">
        <f t="shared" ca="1" si="130"/>
        <v>68.468620376522495</v>
      </c>
      <c r="V191" s="96">
        <f t="shared" ca="1" si="130"/>
        <v>71.461793549802934</v>
      </c>
      <c r="W191" s="96">
        <f t="shared" ca="1" si="130"/>
        <v>74.463852352280682</v>
      </c>
      <c r="X191" s="96">
        <f t="shared" ca="1" si="130"/>
        <v>77.486788658188686</v>
      </c>
      <c r="Y191" s="96">
        <f t="shared" ca="1" si="130"/>
        <v>80.516936653542643</v>
      </c>
      <c r="Z191" s="96">
        <f t="shared" ca="1" si="130"/>
        <v>83.575861382538633</v>
      </c>
    </row>
    <row r="192" spans="1:26" x14ac:dyDescent="0.25">
      <c r="A192" s="12" t="s">
        <v>694</v>
      </c>
      <c r="B192" s="14" t="str">
        <f>$B$38</f>
        <v>From Fiscal Forecasts</v>
      </c>
      <c r="C192" s="15"/>
      <c r="D192" s="50">
        <f>'Fiscal Forecasts'!D$251</f>
        <v>0.95099999999999996</v>
      </c>
      <c r="E192" s="50">
        <f>'Fiscal Forecasts'!E$251</f>
        <v>0.89300000000000002</v>
      </c>
      <c r="F192" s="50">
        <f>'Fiscal Forecasts'!F$251</f>
        <v>0.91600000000000004</v>
      </c>
      <c r="G192" s="50">
        <f>'Fiscal Forecasts'!G$251</f>
        <v>0.96399999999999997</v>
      </c>
      <c r="H192" s="50">
        <f>'Fiscal Forecasts'!H$251</f>
        <v>0.997</v>
      </c>
      <c r="I192" s="50">
        <f>'Fiscal Forecasts'!I$251</f>
        <v>1.014</v>
      </c>
      <c r="J192" s="50">
        <f>'Fiscal Forecasts'!J$251</f>
        <v>1.02</v>
      </c>
      <c r="K192" s="50">
        <f>'Fiscal Forecasts'!K$251</f>
        <v>0.47</v>
      </c>
      <c r="L192" s="48">
        <f>'Fiscal Forecasts'!L$251</f>
        <v>0.49399999999999999</v>
      </c>
      <c r="M192" s="48">
        <f>'Fiscal Forecasts'!M$251</f>
        <v>0.51600000000000001</v>
      </c>
      <c r="N192" s="48">
        <f>'Fiscal Forecasts'!N$251</f>
        <v>0.54100000000000004</v>
      </c>
      <c r="O192" s="48">
        <f>'Fiscal Forecasts'!O$251</f>
        <v>0.56499999999999995</v>
      </c>
      <c r="P192" s="48">
        <f>'Fiscal Forecasts'!P$251</f>
        <v>0.58899999999999997</v>
      </c>
      <c r="Q192" s="20">
        <f>IF(ISBLANK(Exogenous!AB$37),P$192*(1+Q$17)*(1+Q$29),Exogenous!AB$37)</f>
        <v>0.61599999999999999</v>
      </c>
      <c r="R192" s="20">
        <f ca="1">IF(ISBLANK(Exogenous!AC$37),Q$192*(1+R$17)*(1+R$29),Exogenous!AC$37)</f>
        <v>0.6356043150767996</v>
      </c>
      <c r="S192" s="20">
        <f ca="1">IF(ISBLANK(Exogenous!AD$37),R$192*(1+S$17)*(1+S$29),Exogenous!AD$37)</f>
        <v>0.65552518581783481</v>
      </c>
      <c r="T192" s="20">
        <f ca="1">IF(ISBLANK(Exogenous!AE$37),S$192*(1+T$17)*(1+T$29),Exogenous!AE$37)</f>
        <v>0.67575382923088023</v>
      </c>
      <c r="U192" s="20">
        <f ca="1">IF(ISBLANK(Exogenous!AF$37),T$192*(1+U$17)*(1+U$29),Exogenous!AF$37)</f>
        <v>0.69644013067364774</v>
      </c>
      <c r="V192" s="20">
        <f ca="1">IF(ISBLANK(Exogenous!AG$37),U$192*(1+V$17)*(1+V$29),Exogenous!AG$37)</f>
        <v>0.71757355095976472</v>
      </c>
      <c r="W192" s="20">
        <f ca="1">IF(ISBLANK(Exogenous!AH$37),V$192*(1+W$17)*(1+W$29),Exogenous!AH$37)</f>
        <v>0.73899406472158069</v>
      </c>
      <c r="X192" s="20">
        <f ca="1">IF(ISBLANK(Exogenous!AI$37),W$192*(1+X$17)*(1+X$29),Exogenous!AI$37)</f>
        <v>0.76073334129191916</v>
      </c>
      <c r="Y192" s="20">
        <f ca="1">IF(ISBLANK(Exogenous!AJ$37),X$192*(1+Y$17)*(1+Y$29),Exogenous!AJ$37)</f>
        <v>0.78292535697248833</v>
      </c>
      <c r="Z192" s="20">
        <f ca="1">IF(ISBLANK(Exogenous!AK$37),Y$192*(1+Z$17)*(1+Z$29),Exogenous!AK$37)</f>
        <v>0.80555714389500477</v>
      </c>
    </row>
    <row r="193" spans="1:26" x14ac:dyDescent="0.25">
      <c r="A193" s="12" t="s">
        <v>1029</v>
      </c>
      <c r="B193" s="14" t="str">
        <f>$B$38</f>
        <v>From Fiscal Forecasts</v>
      </c>
      <c r="C193" s="15"/>
      <c r="D193" s="50">
        <f>'Fiscal Forecasts'!D$252</f>
        <v>0.70799999999999996</v>
      </c>
      <c r="E193" s="50">
        <f>'Fiscal Forecasts'!E$252</f>
        <v>0.73599999999999999</v>
      </c>
      <c r="F193" s="50">
        <f>'Fiscal Forecasts'!F$252</f>
        <v>0.80400000000000005</v>
      </c>
      <c r="G193" s="50">
        <f>'Fiscal Forecasts'!G$252</f>
        <v>0.82699999999999996</v>
      </c>
      <c r="H193" s="50">
        <f>'Fiscal Forecasts'!H$252</f>
        <v>0.97099999999999997</v>
      </c>
      <c r="I193" s="50">
        <f>'Fiscal Forecasts'!I$252</f>
        <v>1.202</v>
      </c>
      <c r="J193" s="50">
        <f>'Fiscal Forecasts'!J$252</f>
        <v>0.95299999999999996</v>
      </c>
      <c r="K193" s="50">
        <f>'Fiscal Forecasts'!K$252</f>
        <v>0.95599999999999996</v>
      </c>
      <c r="L193" s="48">
        <f>'Fiscal Forecasts'!L$252</f>
        <v>1.151</v>
      </c>
      <c r="M193" s="48">
        <f>'Fiscal Forecasts'!M$252</f>
        <v>0.98199999999999998</v>
      </c>
      <c r="N193" s="48">
        <f>'Fiscal Forecasts'!N$252</f>
        <v>0.98199999999999998</v>
      </c>
      <c r="O193" s="48">
        <f>'Fiscal Forecasts'!O$252</f>
        <v>0.98199999999999998</v>
      </c>
      <c r="P193" s="48">
        <f>'Fiscal Forecasts'!P$252</f>
        <v>0.98199999999999998</v>
      </c>
      <c r="Q193" s="20">
        <f t="shared" ref="Q193:Z193" ca="1" si="131">P$193*(1+Q$29)</f>
        <v>1.0016400000000001</v>
      </c>
      <c r="R193" s="20">
        <f t="shared" ca="1" si="131"/>
        <v>1.0216728000000002</v>
      </c>
      <c r="S193" s="20">
        <f t="shared" ca="1" si="131"/>
        <v>1.0421062560000003</v>
      </c>
      <c r="T193" s="20">
        <f t="shared" ca="1" si="131"/>
        <v>1.0629483811200002</v>
      </c>
      <c r="U193" s="20">
        <f t="shared" ca="1" si="131"/>
        <v>1.0842073487424002</v>
      </c>
      <c r="V193" s="20">
        <f t="shared" ca="1" si="131"/>
        <v>1.1058914957172483</v>
      </c>
      <c r="W193" s="20">
        <f t="shared" ca="1" si="131"/>
        <v>1.1280093256315933</v>
      </c>
      <c r="X193" s="20">
        <f t="shared" ca="1" si="131"/>
        <v>1.1505695121442252</v>
      </c>
      <c r="Y193" s="20">
        <f t="shared" ca="1" si="131"/>
        <v>1.1735809023871098</v>
      </c>
      <c r="Z193" s="20">
        <f t="shared" ca="1" si="131"/>
        <v>1.1970525204348519</v>
      </c>
    </row>
    <row r="194" spans="1:26" x14ac:dyDescent="0.25">
      <c r="A194" s="11" t="s">
        <v>1244</v>
      </c>
      <c r="B194" s="14"/>
      <c r="C194" s="15"/>
      <c r="D194" s="94">
        <f t="shared" ref="D194:Z194" si="132">SUM(D$191:D$193)</f>
        <v>28.085999999999999</v>
      </c>
      <c r="E194" s="94">
        <f t="shared" si="132"/>
        <v>42.606999999999999</v>
      </c>
      <c r="F194" s="94">
        <f t="shared" si="132"/>
        <v>35.427</v>
      </c>
      <c r="G194" s="94">
        <f t="shared" si="132"/>
        <v>44.086999999999996</v>
      </c>
      <c r="H194" s="94">
        <f t="shared" si="132"/>
        <v>38.802999999999997</v>
      </c>
      <c r="I194" s="94">
        <f t="shared" si="132"/>
        <v>41.937000000000012</v>
      </c>
      <c r="J194" s="94">
        <f t="shared" si="132"/>
        <v>44.679000000000002</v>
      </c>
      <c r="K194" s="94">
        <f t="shared" si="132"/>
        <v>46.676000000000002</v>
      </c>
      <c r="L194" s="95">
        <f t="shared" si="132"/>
        <v>49.509</v>
      </c>
      <c r="M194" s="95">
        <f t="shared" si="132"/>
        <v>51.205000000000005</v>
      </c>
      <c r="N194" s="95">
        <f t="shared" si="132"/>
        <v>52.445</v>
      </c>
      <c r="O194" s="95">
        <f t="shared" si="132"/>
        <v>54.341000000000001</v>
      </c>
      <c r="P194" s="95">
        <f t="shared" si="132"/>
        <v>56.542000000000002</v>
      </c>
      <c r="Q194" s="96">
        <f t="shared" ca="1" si="132"/>
        <v>59.10456213375442</v>
      </c>
      <c r="R194" s="96">
        <f t="shared" ca="1" si="132"/>
        <v>61.74023700058391</v>
      </c>
      <c r="S194" s="96">
        <f t="shared" ca="1" si="132"/>
        <v>64.469799952134792</v>
      </c>
      <c r="T194" s="96">
        <f t="shared" ca="1" si="132"/>
        <v>67.280230577711919</v>
      </c>
      <c r="U194" s="96">
        <f t="shared" ca="1" si="132"/>
        <v>70.249267855938541</v>
      </c>
      <c r="V194" s="96">
        <f t="shared" ca="1" si="132"/>
        <v>73.285258596479949</v>
      </c>
      <c r="W194" s="96">
        <f t="shared" ca="1" si="132"/>
        <v>76.330855742633858</v>
      </c>
      <c r="X194" s="96">
        <f t="shared" ca="1" si="132"/>
        <v>79.398091511624841</v>
      </c>
      <c r="Y194" s="96">
        <f t="shared" ca="1" si="132"/>
        <v>82.473442912902243</v>
      </c>
      <c r="Z194" s="96">
        <f t="shared" ca="1" si="132"/>
        <v>85.578471046868486</v>
      </c>
    </row>
    <row r="195" spans="1:26" x14ac:dyDescent="0.25">
      <c r="A195" s="11" t="s">
        <v>1245</v>
      </c>
      <c r="B195" s="14" t="str">
        <f>$B$38</f>
        <v>From Fiscal Forecasts</v>
      </c>
      <c r="C195" s="15"/>
      <c r="D195" s="51">
        <f>'Fiscal Forecasts'!D$170</f>
        <v>29.015000000000001</v>
      </c>
      <c r="E195" s="51">
        <f>'Fiscal Forecasts'!E$170</f>
        <v>43.616</v>
      </c>
      <c r="F195" s="51">
        <f>'Fiscal Forecasts'!F$170</f>
        <v>36.521000000000001</v>
      </c>
      <c r="G195" s="51">
        <f>'Fiscal Forecasts'!G$170</f>
        <v>45.265999999999998</v>
      </c>
      <c r="H195" s="51">
        <f>'Fiscal Forecasts'!H$170</f>
        <v>40.003</v>
      </c>
      <c r="I195" s="51">
        <f>'Fiscal Forecasts'!I$170</f>
        <v>43.265000000000001</v>
      </c>
      <c r="J195" s="51">
        <f>'Fiscal Forecasts'!J$170</f>
        <v>46.238999999999997</v>
      </c>
      <c r="K195" s="51">
        <f>'Fiscal Forecasts'!K$170</f>
        <v>48.417000000000002</v>
      </c>
      <c r="L195" s="47">
        <f>'Fiscal Forecasts'!L$170</f>
        <v>51.131</v>
      </c>
      <c r="M195" s="47">
        <f>'Fiscal Forecasts'!M$170</f>
        <v>52.792000000000002</v>
      </c>
      <c r="N195" s="47">
        <f>'Fiscal Forecasts'!N$170</f>
        <v>54.014000000000003</v>
      </c>
      <c r="O195" s="47">
        <f>'Fiscal Forecasts'!O$170</f>
        <v>55.95</v>
      </c>
      <c r="P195" s="47">
        <f>'Fiscal Forecasts'!P$170</f>
        <v>58.197000000000003</v>
      </c>
      <c r="Q195" s="21">
        <f t="shared" ref="Q195:Z195" ca="1" si="133">Q$194</f>
        <v>59.10456213375442</v>
      </c>
      <c r="R195" s="21">
        <f t="shared" ca="1" si="133"/>
        <v>61.74023700058391</v>
      </c>
      <c r="S195" s="21">
        <f t="shared" ca="1" si="133"/>
        <v>64.469799952134792</v>
      </c>
      <c r="T195" s="21">
        <f t="shared" ca="1" si="133"/>
        <v>67.280230577711919</v>
      </c>
      <c r="U195" s="21">
        <f t="shared" ca="1" si="133"/>
        <v>70.249267855938541</v>
      </c>
      <c r="V195" s="21">
        <f t="shared" ca="1" si="133"/>
        <v>73.285258596479949</v>
      </c>
      <c r="W195" s="21">
        <f t="shared" ca="1" si="133"/>
        <v>76.330855742633858</v>
      </c>
      <c r="X195" s="21">
        <f t="shared" ca="1" si="133"/>
        <v>79.398091511624841</v>
      </c>
      <c r="Y195" s="21">
        <f t="shared" ca="1" si="133"/>
        <v>82.473442912902243</v>
      </c>
      <c r="Z195" s="21">
        <f t="shared" ca="1" si="133"/>
        <v>85.578471046868486</v>
      </c>
    </row>
    <row r="196" spans="1:26" x14ac:dyDescent="0.25">
      <c r="A196" s="12" t="s">
        <v>1246</v>
      </c>
      <c r="B196" s="14" t="str">
        <f>$B$38</f>
        <v>From Fiscal Forecasts</v>
      </c>
      <c r="C196" s="100" cm="1">
        <f t="array" aca="1" ref="C196" ca="1">SUMPRODUCT(OFFSET($P$196,0,0,1,-OFFSET(Assumptions!$B$60,0,$C$1))/OFFSET($P$13,0,0,1,-OFFSET(Assumptions!$B$60,0,$C$1)))/OFFSET(Assumptions!$B$60,0,$C$1)</f>
        <v>1.1105091952102625E-2</v>
      </c>
      <c r="D196" s="50">
        <f>'Fiscal Forecasts'!D$57-D$189</f>
        <v>2.8959999999999972</v>
      </c>
      <c r="E196" s="50">
        <f>'Fiscal Forecasts'!E$57-E$189</f>
        <v>3.6169999999999973</v>
      </c>
      <c r="F196" s="50">
        <f>'Fiscal Forecasts'!F$57-F$189</f>
        <v>3.642000000000003</v>
      </c>
      <c r="G196" s="50">
        <f>'Fiscal Forecasts'!G$57-G$189</f>
        <v>1.1199999999999974</v>
      </c>
      <c r="H196" s="50">
        <f>'Fiscal Forecasts'!H$57-H$189</f>
        <v>5.2040000000000006</v>
      </c>
      <c r="I196" s="50">
        <f>'Fiscal Forecasts'!I$57-I$189</f>
        <v>5.3939999999999912</v>
      </c>
      <c r="J196" s="50">
        <f>'Fiscal Forecasts'!J$57-J$189</f>
        <v>5.3710000000000022</v>
      </c>
      <c r="K196" s="50">
        <f>'Fiscal Forecasts'!K$57-K$189</f>
        <v>5.6149999999999949</v>
      </c>
      <c r="L196" s="48">
        <f ca="1">'Fiscal Forecasts'!L$57-L$189+IF(OFFSET(Assumptions!$B$57,0,$C$1)="Yes",Allocation!C$10,0)</f>
        <v>6.2310000000000016</v>
      </c>
      <c r="M196" s="48">
        <f ca="1">'Fiscal Forecasts'!M$57-M$189+IF(OFFSET(Assumptions!$B$57,0,$C$1)="Yes",Allocation!D$10,0)</f>
        <v>6.1059999999999945</v>
      </c>
      <c r="N196" s="48">
        <f ca="1">'Fiscal Forecasts'!N$57-N$189+IF(OFFSET(Assumptions!$B$57,0,$C$1)="Yes",Allocation!E$10,0)</f>
        <v>6.1609999999999943</v>
      </c>
      <c r="O196" s="48">
        <f ca="1">'Fiscal Forecasts'!O$57-O$189+IF(OFFSET(Assumptions!$B$57,0,$C$1)="Yes",Allocation!F$10,0)</f>
        <v>5.9429999999999978</v>
      </c>
      <c r="P196" s="48">
        <f ca="1">'Fiscal Forecasts'!P$57-P$189+IF(OFFSET(Assumptions!$B$57,0,$C$1)="Yes",Allocation!G$10,0)</f>
        <v>6.0039999999999978</v>
      </c>
      <c r="Q196" s="20">
        <f ca="1">P$196+IF(OFFSET(Assumptions!$B$58,0,$C$1)="Yes",Allocation!$B$10*Q$248,IF(OFFSET(Assumptions!$B$59,0,$C$1)="Yes",(P$196/P$13+MIN(ABS($C$196-P$196/P$13),OFFSET(Assumptions!$B$61,0,$C$1))*SIGN($C$196-P$196/P$13))*Q$13-P$196,0))</f>
        <v>6.0039999999999978</v>
      </c>
      <c r="R196" s="20">
        <f ca="1">Q$196+IF(OFFSET(Assumptions!$B$58,0,$C$1)="Yes",Allocation!$B$10*R$248,IF(OFFSET(Assumptions!$B$59,0,$C$1)="Yes",(Q$196/Q$13+MIN(ABS($C$196-Q$196/Q$13),OFFSET(Assumptions!$B$61,0,$C$1))*SIGN($C$196-Q$196/Q$13))*R$13-Q$196,0))</f>
        <v>6.0039999999999978</v>
      </c>
      <c r="S196" s="20">
        <f ca="1">R$196+IF(OFFSET(Assumptions!$B$58,0,$C$1)="Yes",Allocation!$B$10*S$248,IF(OFFSET(Assumptions!$B$59,0,$C$1)="Yes",(R$196/R$13+MIN(ABS($C$196-R$196/R$13),OFFSET(Assumptions!$B$61,0,$C$1))*SIGN($C$196-R$196/R$13))*S$13-R$196,0))</f>
        <v>6.0039999999999978</v>
      </c>
      <c r="T196" s="20">
        <f ca="1">S$196+IF(OFFSET(Assumptions!$B$58,0,$C$1)="Yes",Allocation!$B$10*T$248,IF(OFFSET(Assumptions!$B$59,0,$C$1)="Yes",(S$196/S$13+MIN(ABS($C$196-S$196/S$13),OFFSET(Assumptions!$B$61,0,$C$1))*SIGN($C$196-S$196/S$13))*T$13-S$196,0))</f>
        <v>6.0039999999999978</v>
      </c>
      <c r="U196" s="20">
        <f ca="1">T$196+IF(OFFSET(Assumptions!$B$58,0,$C$1)="Yes",Allocation!$B$10*U$248,IF(OFFSET(Assumptions!$B$59,0,$C$1)="Yes",(T$196/T$13+MIN(ABS($C$196-T$196/T$13),OFFSET(Assumptions!$B$61,0,$C$1))*SIGN($C$196-T$196/T$13))*U$13-T$196,0))</f>
        <v>6.0039999999999978</v>
      </c>
      <c r="V196" s="20">
        <f ca="1">U$196+IF(OFFSET(Assumptions!$B$58,0,$C$1)="Yes",Allocation!$B$10*V$248,IF(OFFSET(Assumptions!$B$59,0,$C$1)="Yes",(U$196/U$13+MIN(ABS($C$196-U$196/U$13),OFFSET(Assumptions!$B$61,0,$C$1))*SIGN($C$196-U$196/U$13))*V$13-U$196,0))</f>
        <v>6.0039999999999978</v>
      </c>
      <c r="W196" s="20">
        <f ca="1">V$196+IF(OFFSET(Assumptions!$B$58,0,$C$1)="Yes",Allocation!$B$10*W$248,IF(OFFSET(Assumptions!$B$59,0,$C$1)="Yes",(V$196/V$13+MIN(ABS($C$196-V$196/V$13),OFFSET(Assumptions!$B$61,0,$C$1))*SIGN($C$196-V$196/V$13))*W$13-V$196,0))</f>
        <v>6.0039999999999978</v>
      </c>
      <c r="X196" s="20">
        <f ca="1">W$196+IF(OFFSET(Assumptions!$B$58,0,$C$1)="Yes",Allocation!$B$10*X$248,IF(OFFSET(Assumptions!$B$59,0,$C$1)="Yes",(W$196/W$13+MIN(ABS($C$196-W$196/W$13),OFFSET(Assumptions!$B$61,0,$C$1))*SIGN($C$196-W$196/W$13))*X$13-W$196,0))</f>
        <v>6.0039999999999978</v>
      </c>
      <c r="Y196" s="20">
        <f ca="1">X$196+IF(OFFSET(Assumptions!$B$58,0,$C$1)="Yes",Allocation!$B$10*Y$248,IF(OFFSET(Assumptions!$B$59,0,$C$1)="Yes",(X$196/X$13+MIN(ABS($C$196-X$196/X$13),OFFSET(Assumptions!$B$61,0,$C$1))*SIGN($C$196-X$196/X$13))*Y$13-X$196,0))</f>
        <v>6.0039999999999978</v>
      </c>
      <c r="Z196" s="20">
        <f ca="1">Y$196+IF(OFFSET(Assumptions!$B$58,0,$C$1)="Yes",Allocation!$B$10*Z$248,IF(OFFSET(Assumptions!$B$59,0,$C$1)="Yes",(Y$196/Y$13+MIN(ABS($C$196-Y$196/Y$13),OFFSET(Assumptions!$B$61,0,$C$1))*SIGN($C$196-Y$196/Y$13))*Z$13-Y$196,0))</f>
        <v>6.0039999999999978</v>
      </c>
    </row>
    <row r="197" spans="1:26" x14ac:dyDescent="0.25">
      <c r="A197" s="11" t="s">
        <v>1247</v>
      </c>
      <c r="B197" s="14"/>
      <c r="C197" s="15"/>
      <c r="D197" s="51">
        <f t="shared" ref="D197:Z197" si="134">SUM(D$189,D$196)</f>
        <v>28.74</v>
      </c>
      <c r="E197" s="51">
        <f t="shared" si="134"/>
        <v>44.027999999999999</v>
      </c>
      <c r="F197" s="51">
        <f t="shared" si="134"/>
        <v>36.759</v>
      </c>
      <c r="G197" s="51">
        <f t="shared" si="134"/>
        <v>42.86</v>
      </c>
      <c r="H197" s="51">
        <f t="shared" si="134"/>
        <v>41.514000000000003</v>
      </c>
      <c r="I197" s="51">
        <f t="shared" si="134"/>
        <v>44.588999999999999</v>
      </c>
      <c r="J197" s="51">
        <f t="shared" si="134"/>
        <v>47.503</v>
      </c>
      <c r="K197" s="51">
        <f t="shared" si="134"/>
        <v>50.223999999999997</v>
      </c>
      <c r="L197" s="47">
        <f t="shared" ca="1" si="134"/>
        <v>53.390999999999998</v>
      </c>
      <c r="M197" s="47">
        <f t="shared" ca="1" si="134"/>
        <v>55.097999999999999</v>
      </c>
      <c r="N197" s="47">
        <f t="shared" ca="1" si="134"/>
        <v>56.384</v>
      </c>
      <c r="O197" s="47">
        <f t="shared" ca="1" si="134"/>
        <v>58.048000000000002</v>
      </c>
      <c r="P197" s="47">
        <f t="shared" ca="1" si="134"/>
        <v>60.286000000000001</v>
      </c>
      <c r="Q197" s="21">
        <f t="shared" ca="1" si="134"/>
        <v>62.786651728501724</v>
      </c>
      <c r="R197" s="21">
        <f t="shared" ca="1" si="134"/>
        <v>65.366878098696247</v>
      </c>
      <c r="S197" s="21">
        <f t="shared" ca="1" si="134"/>
        <v>68.039724365201479</v>
      </c>
      <c r="T197" s="21">
        <f t="shared" ca="1" si="134"/>
        <v>70.791260158547175</v>
      </c>
      <c r="U197" s="21">
        <f t="shared" ca="1" si="134"/>
        <v>73.700100875746642</v>
      </c>
      <c r="V197" s="21">
        <f t="shared" ca="1" si="134"/>
        <v>76.673665327828928</v>
      </c>
      <c r="W197" s="21">
        <f t="shared" ca="1" si="134"/>
        <v>79.65528584318983</v>
      </c>
      <c r="X197" s="21">
        <f t="shared" ca="1" si="134"/>
        <v>82.656621563331242</v>
      </c>
      <c r="Y197" s="21">
        <f t="shared" ca="1" si="134"/>
        <v>85.66387854645177</v>
      </c>
      <c r="Z197" s="21">
        <f t="shared" ca="1" si="134"/>
        <v>88.702532815681224</v>
      </c>
    </row>
    <row r="198" spans="1:26" x14ac:dyDescent="0.25">
      <c r="A198" s="12" t="s">
        <v>1248</v>
      </c>
      <c r="B198" s="14" t="str">
        <f>$B$38</f>
        <v>From Fiscal Forecasts</v>
      </c>
      <c r="C198" s="15"/>
      <c r="D198" s="50">
        <f>'Fiscal Forecasts'!D$206</f>
        <v>6.6790000000000003</v>
      </c>
      <c r="E198" s="50">
        <f>'Fiscal Forecasts'!E$206</f>
        <v>7.6630000000000003</v>
      </c>
      <c r="F198" s="50">
        <f>'Fiscal Forecasts'!F$206</f>
        <v>7.968</v>
      </c>
      <c r="G198" s="50">
        <f>'Fiscal Forecasts'!G$206</f>
        <v>7.3879999999999999</v>
      </c>
      <c r="H198" s="50">
        <f>'Fiscal Forecasts'!H$206</f>
        <v>9.3290000000000006</v>
      </c>
      <c r="I198" s="50">
        <f>'Fiscal Forecasts'!I$206</f>
        <v>11.634</v>
      </c>
      <c r="J198" s="50">
        <f>'Fiscal Forecasts'!J$206</f>
        <v>12.760999999999999</v>
      </c>
      <c r="K198" s="50">
        <f>'Fiscal Forecasts'!K$206</f>
        <v>10.669</v>
      </c>
      <c r="L198" s="48">
        <f>'Fiscal Forecasts'!L$206</f>
        <v>11.167</v>
      </c>
      <c r="M198" s="48">
        <f>'Fiscal Forecasts'!M$206</f>
        <v>11.887</v>
      </c>
      <c r="N198" s="48">
        <f>'Fiscal Forecasts'!N$206</f>
        <v>12.044</v>
      </c>
      <c r="O198" s="48">
        <f>'Fiscal Forecasts'!O$206</f>
        <v>12.486000000000001</v>
      </c>
      <c r="P198" s="48">
        <f>'Fiscal Forecasts'!P$206</f>
        <v>13.964</v>
      </c>
      <c r="Q198" s="20">
        <f>P$198*Exogenous!AB$27/Exogenous!AA$27</f>
        <v>14.725401263097526</v>
      </c>
      <c r="R198" s="20">
        <f>Q$198*Exogenous!AC$27/Exogenous!AB$27</f>
        <v>15.544265309413285</v>
      </c>
      <c r="S198" s="20">
        <f>R$198*Exogenous!AD$27/Exogenous!AC$27</f>
        <v>16.360046622767598</v>
      </c>
      <c r="T198" s="20">
        <f>S$198*Exogenous!AE$27/Exogenous!AD$27</f>
        <v>17.145416164713321</v>
      </c>
      <c r="U198" s="20">
        <f>T$198*Exogenous!AF$27/Exogenous!AE$27</f>
        <v>17.979620806873328</v>
      </c>
      <c r="V198" s="20">
        <f>U$198*Exogenous!AG$27/Exogenous!AF$27</f>
        <v>18.823845570120163</v>
      </c>
      <c r="W198" s="20">
        <f>V$198*Exogenous!AH$27/Exogenous!AG$27</f>
        <v>19.701301164940279</v>
      </c>
      <c r="X198" s="20">
        <f>W$198*Exogenous!AI$27/Exogenous!AH$27</f>
        <v>20.616866136857279</v>
      </c>
      <c r="Y198" s="20">
        <f>X$198*Exogenous!AJ$27/Exogenous!AI$27</f>
        <v>21.528527879486475</v>
      </c>
      <c r="Z198" s="20">
        <f>Y$198*Exogenous!AK$27/Exogenous!AJ$27</f>
        <v>22.495239368343416</v>
      </c>
    </row>
    <row r="199" spans="1:26" x14ac:dyDescent="0.25">
      <c r="A199" s="12" t="s">
        <v>1249</v>
      </c>
      <c r="B199" s="14" t="str">
        <f>$B$38</f>
        <v>From Fiscal Forecasts</v>
      </c>
      <c r="C199" s="15"/>
      <c r="D199" s="50">
        <f>'Fiscal Forecasts'!D$40-SUM(D$197:D$198)</f>
        <v>-1.5169999999999959</v>
      </c>
      <c r="E199" s="50">
        <f>'Fiscal Forecasts'!E$40-SUM(E$197:E$198)</f>
        <v>-1.7910000000000039</v>
      </c>
      <c r="F199" s="50">
        <f>'Fiscal Forecasts'!F$40-SUM(F$197:F$198)</f>
        <v>-1.8350000000000009</v>
      </c>
      <c r="G199" s="50">
        <f>'Fiscal Forecasts'!G$40-SUM(G$197:G$198)</f>
        <v>-1.9450000000000003</v>
      </c>
      <c r="H199" s="50">
        <f>'Fiscal Forecasts'!H$40-SUM(H$197:H$198)</f>
        <v>-1.9980000000000047</v>
      </c>
      <c r="I199" s="50">
        <f>'Fiscal Forecasts'!I$40-SUM(I$197:I$198)</f>
        <v>-2.2269999999999968</v>
      </c>
      <c r="J199" s="50">
        <f>'Fiscal Forecasts'!J$40-SUM(J$197:J$198)</f>
        <v>-2.6289999999999978</v>
      </c>
      <c r="K199" s="50">
        <f>'Fiscal Forecasts'!K$40-SUM(K$197:K$198)</f>
        <v>-2.855000000000004</v>
      </c>
      <c r="L199" s="48">
        <f ca="1">'Fiscal Forecasts'!L$40-SUM(L$197:L$198)+IF(OFFSET(Assumptions!$B$57,0,$C$1)="Yes",Allocation!C$10,0)</f>
        <v>-3.3219999999999956</v>
      </c>
      <c r="M199" s="48">
        <f ca="1">'Fiscal Forecasts'!M$40-SUM(M$197:M$198)+IF(OFFSET(Assumptions!$B$57,0,$C$1)="Yes",Allocation!D$10,0)</f>
        <v>-3.3689999999999998</v>
      </c>
      <c r="N199" s="48">
        <f ca="1">'Fiscal Forecasts'!N$40-SUM(N$197:N$198)+IF(OFFSET(Assumptions!$B$57,0,$C$1)="Yes",Allocation!E$10,0)</f>
        <v>-3.445999999999998</v>
      </c>
      <c r="O199" s="48">
        <f ca="1">'Fiscal Forecasts'!O$40-SUM(O$197:O$198)+IF(OFFSET(Assumptions!$B$57,0,$C$1)="Yes",Allocation!F$10,0)</f>
        <v>-3.5880000000000081</v>
      </c>
      <c r="P199" s="48">
        <f ca="1">'Fiscal Forecasts'!P$40-SUM(P$197:P$198)+IF(OFFSET(Assumptions!$B$57,0,$C$1)="Yes",Allocation!G$10,0)</f>
        <v>-3.7309999999999945</v>
      </c>
      <c r="Q199" s="20">
        <f ca="1">P$199*Exogenous!AB$26/Exogenous!AA$26</f>
        <v>-4.0108249999999943</v>
      </c>
      <c r="R199" s="20">
        <f ca="1">Q$199*Exogenous!AC$26/Exogenous!AB$26</f>
        <v>-4.3116368749999934</v>
      </c>
      <c r="S199" s="20">
        <f ca="1">R$199*Exogenous!AD$26/Exogenous!AC$26</f>
        <v>-4.6350096406249941</v>
      </c>
      <c r="T199" s="20">
        <f ca="1">S$199*Exogenous!AE$26/Exogenous!AD$26</f>
        <v>-4.9826353636718679</v>
      </c>
      <c r="U199" s="20">
        <f ca="1">T$199*Exogenous!AF$26/Exogenous!AE$26</f>
        <v>-5.3563330159472562</v>
      </c>
      <c r="V199" s="20">
        <f ca="1">U$199*Exogenous!AG$26/Exogenous!AF$26</f>
        <v>-5.5766768128014501</v>
      </c>
      <c r="W199" s="20">
        <f ca="1">V$199*Exogenous!AH$26/Exogenous!AG$26</f>
        <v>-5.749865100571105</v>
      </c>
      <c r="X199" s="20">
        <f ca="1">W$199*Exogenous!AI$26/Exogenous!AH$26</f>
        <v>-5.932588574866565</v>
      </c>
      <c r="Y199" s="20">
        <f ca="1">X$199*Exogenous!AJ$26/Exogenous!AI$26</f>
        <v>-6.1268778237144259</v>
      </c>
      <c r="Z199" s="20">
        <f ca="1">Y$199*Exogenous!AK$26/Exogenous!AJ$26</f>
        <v>-6.3238607117571117</v>
      </c>
    </row>
    <row r="200" spans="1:26" x14ac:dyDescent="0.25">
      <c r="A200" s="11" t="s">
        <v>1250</v>
      </c>
      <c r="C200" s="15"/>
      <c r="D200" s="94">
        <f t="shared" ref="D200:K200" si="135">SUM(D$197:D$199)</f>
        <v>33.902000000000001</v>
      </c>
      <c r="E200" s="94">
        <f t="shared" si="135"/>
        <v>49.9</v>
      </c>
      <c r="F200" s="94">
        <f t="shared" si="135"/>
        <v>42.892000000000003</v>
      </c>
      <c r="G200" s="94">
        <f t="shared" si="135"/>
        <v>48.302999999999997</v>
      </c>
      <c r="H200" s="94">
        <f t="shared" si="135"/>
        <v>48.844999999999999</v>
      </c>
      <c r="I200" s="94">
        <f t="shared" si="135"/>
        <v>53.996000000000002</v>
      </c>
      <c r="J200" s="94">
        <f t="shared" si="135"/>
        <v>57.634999999999998</v>
      </c>
      <c r="K200" s="94">
        <f t="shared" si="135"/>
        <v>58.037999999999997</v>
      </c>
      <c r="L200" s="95">
        <f t="shared" ref="L200:Z200" ca="1" si="136">SUM(L$197:L$199)</f>
        <v>61.235999999999997</v>
      </c>
      <c r="M200" s="95">
        <f t="shared" ca="1" si="136"/>
        <v>63.616</v>
      </c>
      <c r="N200" s="95">
        <f t="shared" ca="1" si="136"/>
        <v>64.981999999999999</v>
      </c>
      <c r="O200" s="95">
        <f t="shared" ca="1" si="136"/>
        <v>66.945999999999998</v>
      </c>
      <c r="P200" s="95">
        <f t="shared" ca="1" si="136"/>
        <v>70.519000000000005</v>
      </c>
      <c r="Q200" s="96">
        <f t="shared" ca="1" si="136"/>
        <v>73.501227991599251</v>
      </c>
      <c r="R200" s="96">
        <f t="shared" ca="1" si="136"/>
        <v>76.599506533109547</v>
      </c>
      <c r="S200" s="96">
        <f t="shared" ca="1" si="136"/>
        <v>79.764761347344077</v>
      </c>
      <c r="T200" s="96">
        <f t="shared" ca="1" si="136"/>
        <v>82.954040959588639</v>
      </c>
      <c r="U200" s="96">
        <f t="shared" ca="1" si="136"/>
        <v>86.323388666672713</v>
      </c>
      <c r="V200" s="96">
        <f t="shared" ca="1" si="136"/>
        <v>89.920834085147646</v>
      </c>
      <c r="W200" s="96">
        <f t="shared" ca="1" si="136"/>
        <v>93.606721907559006</v>
      </c>
      <c r="X200" s="96">
        <f t="shared" ca="1" si="136"/>
        <v>97.340899125321954</v>
      </c>
      <c r="Y200" s="96">
        <f t="shared" ca="1" si="136"/>
        <v>101.06552860222382</v>
      </c>
      <c r="Z200" s="96">
        <f t="shared" ca="1" si="136"/>
        <v>104.87391147226754</v>
      </c>
    </row>
    <row r="201" spans="1:26" x14ac:dyDescent="0.25">
      <c r="A201" s="57" t="s">
        <v>1251</v>
      </c>
      <c r="C201" s="15"/>
      <c r="D201" s="12"/>
      <c r="E201" s="12"/>
      <c r="F201" s="12"/>
      <c r="G201" s="12"/>
      <c r="H201" s="12"/>
      <c r="I201" s="12"/>
      <c r="J201" s="12"/>
      <c r="K201" s="12"/>
      <c r="L201" s="12"/>
      <c r="M201" s="12"/>
    </row>
    <row r="202" spans="1:26" x14ac:dyDescent="0.25">
      <c r="A202" s="12" t="s">
        <v>1252</v>
      </c>
      <c r="C202" s="15"/>
      <c r="D202" s="93">
        <f>'Economic Forecasts'!Q$18</f>
        <v>1205.79</v>
      </c>
      <c r="E202" s="93">
        <f>'Economic Forecasts'!R$18</f>
        <v>1241.4100000000001</v>
      </c>
      <c r="F202" s="93">
        <f>'Economic Forecasts'!S$18</f>
        <v>1287.81</v>
      </c>
      <c r="G202" s="93">
        <f>'Economic Forecasts'!T$18</f>
        <v>1360.1</v>
      </c>
      <c r="H202" s="93">
        <f>'Economic Forecasts'!U$18</f>
        <v>1462.81</v>
      </c>
      <c r="I202" s="93">
        <f>'Economic Forecasts'!V$18</f>
        <v>1556.16</v>
      </c>
      <c r="J202" s="93">
        <f>'Economic Forecasts'!W$18</f>
        <v>1622.73</v>
      </c>
      <c r="K202" s="93">
        <f>'Economic Forecasts'!X$18</f>
        <v>1681.06</v>
      </c>
      <c r="L202" s="73">
        <f>'Economic Forecasts'!Y$18</f>
        <v>1729.05</v>
      </c>
      <c r="M202" s="73">
        <f>'Economic Forecasts'!Z$18</f>
        <v>1777.06</v>
      </c>
      <c r="N202" s="73">
        <f>'Economic Forecasts'!AA$18</f>
        <v>1832.62</v>
      </c>
      <c r="O202" s="73">
        <f>'Economic Forecasts'!AB$18</f>
        <v>1893.64</v>
      </c>
      <c r="P202" s="73">
        <f>'Economic Forecasts'!AC$18</f>
        <v>1959.15</v>
      </c>
      <c r="Q202" s="72">
        <f t="shared" ref="Q202:Z202" ca="1" si="137">P$202*(1+Q$26)</f>
        <v>2020.1814407999998</v>
      </c>
      <c r="R202" s="72">
        <f t="shared" ca="1" si="137"/>
        <v>2082.1525266779804</v>
      </c>
      <c r="S202" s="72">
        <f t="shared" ca="1" si="137"/>
        <v>2145.0335329836553</v>
      </c>
      <c r="T202" s="72">
        <f t="shared" ca="1" si="137"/>
        <v>2209.8135456797618</v>
      </c>
      <c r="U202" s="72">
        <f t="shared" ca="1" si="137"/>
        <v>2276.5499147592905</v>
      </c>
      <c r="V202" s="72">
        <f t="shared" ca="1" si="137"/>
        <v>2345.3017221850209</v>
      </c>
      <c r="W202" s="72">
        <f t="shared" ca="1" si="137"/>
        <v>2416.1298341950087</v>
      </c>
      <c r="X202" s="72">
        <f t="shared" ca="1" si="137"/>
        <v>2489.0969551876979</v>
      </c>
      <c r="Y202" s="72">
        <f t="shared" ca="1" si="137"/>
        <v>2564.2676832343664</v>
      </c>
      <c r="Z202" s="72">
        <f t="shared" ca="1" si="137"/>
        <v>2641.7085672680441</v>
      </c>
    </row>
    <row r="203" spans="1:26" x14ac:dyDescent="0.25">
      <c r="A203" s="12" t="s">
        <v>788</v>
      </c>
      <c r="C203" s="15"/>
      <c r="D203" s="93">
        <f>'Economic Forecasts'!Q$19</f>
        <v>958.37</v>
      </c>
      <c r="E203" s="93">
        <f>'Economic Forecasts'!R$19</f>
        <v>987.95</v>
      </c>
      <c r="F203" s="93">
        <f>'Economic Forecasts'!S$19</f>
        <v>1018.53</v>
      </c>
      <c r="G203" s="93">
        <f>'Economic Forecasts'!T$19</f>
        <v>1066.06</v>
      </c>
      <c r="H203" s="93">
        <f>'Economic Forecasts'!U$19</f>
        <v>1132.5999999999999</v>
      </c>
      <c r="I203" s="93">
        <f>'Economic Forecasts'!V$19</f>
        <v>1192.4000000000001</v>
      </c>
      <c r="J203" s="93">
        <f>'Economic Forecasts'!W$19</f>
        <v>1255.05</v>
      </c>
      <c r="K203" s="93">
        <f>'Economic Forecasts'!X$19</f>
        <v>1291.58</v>
      </c>
      <c r="L203" s="73">
        <f>'Economic Forecasts'!Y$19</f>
        <v>1321.5</v>
      </c>
      <c r="M203" s="73">
        <f>'Economic Forecasts'!Z$19</f>
        <v>1352.79</v>
      </c>
      <c r="N203" s="73">
        <f>'Economic Forecasts'!AA$19</f>
        <v>1389.2</v>
      </c>
      <c r="O203" s="73">
        <f>'Economic Forecasts'!AB$19</f>
        <v>1428.97</v>
      </c>
      <c r="P203" s="73">
        <f>'Economic Forecasts'!AC$19</f>
        <v>1471.49</v>
      </c>
      <c r="Q203" s="72">
        <f ca="1">IF(Q$6&lt;OFFSET(Assumptions!$B$8,0,$C$1)+OFFSET(Assumptions!$B$34,0,$C$1),Q$202-ROUND(IF(ROUNDDOWN(52*Q$202,0)&gt;Exogenous!$C$61,(ROUNDDOWN(52*Q$202,0)-Exogenous!$C$61)*Exogenous!$B$62+Exogenous!$E$61,IF(ROUNDDOWN(52*Q$202,0)&gt;Exogenous!$C$60,(ROUNDDOWN(52*Q$202,0)-Exogenous!$C$60)*Exogenous!$B$61+Exogenous!$E$60,IF(ROUNDDOWN(52*Q$202,0)&gt;Exogenous!$C$59,(ROUNDDOWN(52*Q$202,0)-Exogenous!$C$59)*Exogenous!$B$60+Exogenous!$E$59,IF(ROUNDDOWN(52*Q$202,0)&gt;Exogenous!$C$58,(ROUNDDOWN(52*Q$202,0)-Exogenous!$C$58)*Exogenous!$B$59+Exogenous!$E$58,ROUNDDOWN(52*Q$202,0)*Exogenous!$B$58))))/52+Q$202*Exogenous!$B$63,2),ROUND(P$203*(1+Q$26),2))</f>
        <v>1517.33</v>
      </c>
      <c r="R203" s="72">
        <f ca="1">IF(R$6&lt;OFFSET(Assumptions!$B$8,0,$C$1)+OFFSET(Assumptions!$B$34,0,$C$1),R$202-ROUND(IF(ROUNDDOWN(52*R$202,0)&gt;Exogenous!$C$61,(ROUNDDOWN(52*R$202,0)-Exogenous!$C$61)*Exogenous!$B$62+Exogenous!$E$61,IF(ROUNDDOWN(52*R$202,0)&gt;Exogenous!$C$60,(ROUNDDOWN(52*R$202,0)-Exogenous!$C$60)*Exogenous!$B$61+Exogenous!$E$60,IF(ROUNDDOWN(52*R$202,0)&gt;Exogenous!$C$59,(ROUNDDOWN(52*R$202,0)-Exogenous!$C$59)*Exogenous!$B$60+Exogenous!$E$59,IF(ROUNDDOWN(52*R$202,0)&gt;Exogenous!$C$58,(ROUNDDOWN(52*R$202,0)-Exogenous!$C$58)*Exogenous!$B$59+Exogenous!$E$58,ROUNDDOWN(52*R$202,0)*Exogenous!$B$58))))/52+R$202*Exogenous!$B$63,2),ROUND(Q$203*(1+R$26),2))</f>
        <v>1563.88</v>
      </c>
      <c r="S203" s="72">
        <f ca="1">IF(S$6&lt;OFFSET(Assumptions!$B$8,0,$C$1)+OFFSET(Assumptions!$B$34,0,$C$1),S$202-ROUND(IF(ROUNDDOWN(52*S$202,0)&gt;Exogenous!$C$61,(ROUNDDOWN(52*S$202,0)-Exogenous!$C$61)*Exogenous!$B$62+Exogenous!$E$61,IF(ROUNDDOWN(52*S$202,0)&gt;Exogenous!$C$60,(ROUNDDOWN(52*S$202,0)-Exogenous!$C$60)*Exogenous!$B$61+Exogenous!$E$60,IF(ROUNDDOWN(52*S$202,0)&gt;Exogenous!$C$59,(ROUNDDOWN(52*S$202,0)-Exogenous!$C$59)*Exogenous!$B$60+Exogenous!$E$59,IF(ROUNDDOWN(52*S$202,0)&gt;Exogenous!$C$58,(ROUNDDOWN(52*S$202,0)-Exogenous!$C$58)*Exogenous!$B$59+Exogenous!$E$58,ROUNDDOWN(52*S$202,0)*Exogenous!$B$58))))/52+S$202*Exogenous!$B$63,2),ROUND(R$203*(1+S$26),2))</f>
        <v>1611.11</v>
      </c>
      <c r="T203" s="72">
        <f ca="1">IF(T$6&lt;OFFSET(Assumptions!$B$8,0,$C$1)+OFFSET(Assumptions!$B$34,0,$C$1),T$202-ROUND(IF(ROUNDDOWN(52*T$202,0)&gt;Exogenous!$C$61,(ROUNDDOWN(52*T$202,0)-Exogenous!$C$61)*Exogenous!$B$62+Exogenous!$E$61,IF(ROUNDDOWN(52*T$202,0)&gt;Exogenous!$C$60,(ROUNDDOWN(52*T$202,0)-Exogenous!$C$60)*Exogenous!$B$61+Exogenous!$E$60,IF(ROUNDDOWN(52*T$202,0)&gt;Exogenous!$C$59,(ROUNDDOWN(52*T$202,0)-Exogenous!$C$59)*Exogenous!$B$60+Exogenous!$E$59,IF(ROUNDDOWN(52*T$202,0)&gt;Exogenous!$C$58,(ROUNDDOWN(52*T$202,0)-Exogenous!$C$58)*Exogenous!$B$59+Exogenous!$E$58,ROUNDDOWN(52*T$202,0)*Exogenous!$B$58))))/52+T$202*Exogenous!$B$63,2),ROUND(S$203*(1+T$26),2))</f>
        <v>1659.77</v>
      </c>
      <c r="U203" s="72">
        <f ca="1">IF(U$6&lt;OFFSET(Assumptions!$B$8,0,$C$1)+OFFSET(Assumptions!$B$34,0,$C$1),U$202-ROUND(IF(ROUNDDOWN(52*U$202,0)&gt;Exogenous!$C$61,(ROUNDDOWN(52*U$202,0)-Exogenous!$C$61)*Exogenous!$B$62+Exogenous!$E$61,IF(ROUNDDOWN(52*U$202,0)&gt;Exogenous!$C$60,(ROUNDDOWN(52*U$202,0)-Exogenous!$C$60)*Exogenous!$B$61+Exogenous!$E$60,IF(ROUNDDOWN(52*U$202,0)&gt;Exogenous!$C$59,(ROUNDDOWN(52*U$202,0)-Exogenous!$C$59)*Exogenous!$B$60+Exogenous!$E$59,IF(ROUNDDOWN(52*U$202,0)&gt;Exogenous!$C$58,(ROUNDDOWN(52*U$202,0)-Exogenous!$C$58)*Exogenous!$B$59+Exogenous!$E$58,ROUNDDOWN(52*U$202,0)*Exogenous!$B$58))))/52+U$202*Exogenous!$B$63,2),ROUND(T$203*(1+U$26),2))</f>
        <v>1709.9</v>
      </c>
      <c r="V203" s="72">
        <f ca="1">IF(V$6&lt;OFFSET(Assumptions!$B$8,0,$C$1)+OFFSET(Assumptions!$B$34,0,$C$1),V$202-ROUND(IF(ROUNDDOWN(52*V$202,0)&gt;Exogenous!$C$61,(ROUNDDOWN(52*V$202,0)-Exogenous!$C$61)*Exogenous!$B$62+Exogenous!$E$61,IF(ROUNDDOWN(52*V$202,0)&gt;Exogenous!$C$60,(ROUNDDOWN(52*V$202,0)-Exogenous!$C$60)*Exogenous!$B$61+Exogenous!$E$60,IF(ROUNDDOWN(52*V$202,0)&gt;Exogenous!$C$59,(ROUNDDOWN(52*V$202,0)-Exogenous!$C$59)*Exogenous!$B$60+Exogenous!$E$59,IF(ROUNDDOWN(52*V$202,0)&gt;Exogenous!$C$58,(ROUNDDOWN(52*V$202,0)-Exogenous!$C$58)*Exogenous!$B$59+Exogenous!$E$58,ROUNDDOWN(52*V$202,0)*Exogenous!$B$58))))/52+V$202*Exogenous!$B$63,2),ROUND(U$203*(1+V$26),2))</f>
        <v>1761.54</v>
      </c>
      <c r="W203" s="72">
        <f ca="1">IF(W$6&lt;OFFSET(Assumptions!$B$8,0,$C$1)+OFFSET(Assumptions!$B$34,0,$C$1),W$202-ROUND(IF(ROUNDDOWN(52*W$202,0)&gt;Exogenous!$C$61,(ROUNDDOWN(52*W$202,0)-Exogenous!$C$61)*Exogenous!$B$62+Exogenous!$E$61,IF(ROUNDDOWN(52*W$202,0)&gt;Exogenous!$C$60,(ROUNDDOWN(52*W$202,0)-Exogenous!$C$60)*Exogenous!$B$61+Exogenous!$E$60,IF(ROUNDDOWN(52*W$202,0)&gt;Exogenous!$C$59,(ROUNDDOWN(52*W$202,0)-Exogenous!$C$59)*Exogenous!$B$60+Exogenous!$E$59,IF(ROUNDDOWN(52*W$202,0)&gt;Exogenous!$C$58,(ROUNDDOWN(52*W$202,0)-Exogenous!$C$58)*Exogenous!$B$59+Exogenous!$E$58,ROUNDDOWN(52*W$202,0)*Exogenous!$B$58))))/52+W$202*Exogenous!$B$63,2),ROUND(V$203*(1+W$26),2))</f>
        <v>1814.74</v>
      </c>
      <c r="X203" s="72">
        <f ca="1">IF(X$6&lt;OFFSET(Assumptions!$B$8,0,$C$1)+OFFSET(Assumptions!$B$34,0,$C$1),X$202-ROUND(IF(ROUNDDOWN(52*X$202,0)&gt;Exogenous!$C$61,(ROUNDDOWN(52*X$202,0)-Exogenous!$C$61)*Exogenous!$B$62+Exogenous!$E$61,IF(ROUNDDOWN(52*X$202,0)&gt;Exogenous!$C$60,(ROUNDDOWN(52*X$202,0)-Exogenous!$C$60)*Exogenous!$B$61+Exogenous!$E$60,IF(ROUNDDOWN(52*X$202,0)&gt;Exogenous!$C$59,(ROUNDDOWN(52*X$202,0)-Exogenous!$C$59)*Exogenous!$B$60+Exogenous!$E$59,IF(ROUNDDOWN(52*X$202,0)&gt;Exogenous!$C$58,(ROUNDDOWN(52*X$202,0)-Exogenous!$C$58)*Exogenous!$B$59+Exogenous!$E$58,ROUNDDOWN(52*X$202,0)*Exogenous!$B$58))))/52+X$202*Exogenous!$B$63,2),ROUND(W$203*(1+X$26),2))</f>
        <v>1869.55</v>
      </c>
      <c r="Y203" s="72">
        <f ca="1">IF(Y$6&lt;OFFSET(Assumptions!$B$8,0,$C$1)+OFFSET(Assumptions!$B$34,0,$C$1),Y$202-ROUND(IF(ROUNDDOWN(52*Y$202,0)&gt;Exogenous!$C$61,(ROUNDDOWN(52*Y$202,0)-Exogenous!$C$61)*Exogenous!$B$62+Exogenous!$E$61,IF(ROUNDDOWN(52*Y$202,0)&gt;Exogenous!$C$60,(ROUNDDOWN(52*Y$202,0)-Exogenous!$C$60)*Exogenous!$B$61+Exogenous!$E$60,IF(ROUNDDOWN(52*Y$202,0)&gt;Exogenous!$C$59,(ROUNDDOWN(52*Y$202,0)-Exogenous!$C$59)*Exogenous!$B$60+Exogenous!$E$59,IF(ROUNDDOWN(52*Y$202,0)&gt;Exogenous!$C$58,(ROUNDDOWN(52*Y$202,0)-Exogenous!$C$58)*Exogenous!$B$59+Exogenous!$E$58,ROUNDDOWN(52*Y$202,0)*Exogenous!$B$58))))/52+Y$202*Exogenous!$B$63,2),ROUND(X$203*(1+Y$26),2))</f>
        <v>1926.01</v>
      </c>
      <c r="Z203" s="72">
        <f ca="1">IF(Z$6&lt;OFFSET(Assumptions!$B$8,0,$C$1)+OFFSET(Assumptions!$B$34,0,$C$1),Z$202-ROUND(IF(ROUNDDOWN(52*Z$202,0)&gt;Exogenous!$C$61,(ROUNDDOWN(52*Z$202,0)-Exogenous!$C$61)*Exogenous!$B$62+Exogenous!$E$61,IF(ROUNDDOWN(52*Z$202,0)&gt;Exogenous!$C$60,(ROUNDDOWN(52*Z$202,0)-Exogenous!$C$60)*Exogenous!$B$61+Exogenous!$E$60,IF(ROUNDDOWN(52*Z$202,0)&gt;Exogenous!$C$59,(ROUNDDOWN(52*Z$202,0)-Exogenous!$C$59)*Exogenous!$B$60+Exogenous!$E$59,IF(ROUNDDOWN(52*Z$202,0)&gt;Exogenous!$C$58,(ROUNDDOWN(52*Z$202,0)-Exogenous!$C$58)*Exogenous!$B$59+Exogenous!$E$58,ROUNDDOWN(52*Z$202,0)*Exogenous!$B$58))))/52+Z$202*Exogenous!$B$63,2),ROUND(Y$203*(1+Z$26),2))</f>
        <v>1984.18</v>
      </c>
    </row>
    <row r="204" spans="1:26" x14ac:dyDescent="0.25">
      <c r="A204" s="12" t="s">
        <v>789</v>
      </c>
      <c r="C204" s="15"/>
      <c r="D204" s="93">
        <f>'Economic Forecasts'!Q$20</f>
        <v>360.42</v>
      </c>
      <c r="E204" s="93">
        <f>'Economic Forecasts'!R$20</f>
        <v>372.27</v>
      </c>
      <c r="F204" s="93">
        <f>'Economic Forecasts'!S$20</f>
        <v>384.46</v>
      </c>
      <c r="G204" s="93">
        <f>'Economic Forecasts'!T$20</f>
        <v>408.66</v>
      </c>
      <c r="H204" s="93">
        <f>'Economic Forecasts'!U$20</f>
        <v>439.79</v>
      </c>
      <c r="I204" s="93">
        <f>'Economic Forecasts'!V$20</f>
        <v>461.41</v>
      </c>
      <c r="J204" s="93">
        <f>'Economic Forecasts'!W$20</f>
        <v>476.47</v>
      </c>
      <c r="K204" s="93">
        <f>'Economic Forecasts'!X$20</f>
        <v>492.14</v>
      </c>
      <c r="L204" s="73">
        <f>'Economic Forecasts'!Y$20</f>
        <v>510.24</v>
      </c>
      <c r="M204" s="73">
        <f>'Economic Forecasts'!Z$20</f>
        <v>519.77</v>
      </c>
      <c r="N204" s="73">
        <f>'Economic Forecasts'!AA$20</f>
        <v>531.32000000000005</v>
      </c>
      <c r="O204" s="73">
        <f>'Economic Forecasts'!AB$20</f>
        <v>546.11</v>
      </c>
      <c r="P204" s="73">
        <f>'Economic Forecasts'!AC$20</f>
        <v>563.11</v>
      </c>
      <c r="Q204" s="72">
        <f ca="1">IF(Q$6&lt;OFFSET(Assumptions!$B$8,0,$C$1)+OFFSET(Assumptions!$B$34,0,$C$1),IF(52*Q$205&gt;Exogenous!$D$61,(52*Q$205-Exogenous!$C$61*Exogenous!$B$62+Exogenous!$E$61)/(1-Exogenous!$B$62),IF(52*Q$205&gt;Exogenous!$D$60,(52*Q$205-Exogenous!$C$60*Exogenous!$B$61+Exogenous!$E$60)/(1-Exogenous!$B$61),IF(52*Q$205&gt;Exogenous!$D$59,(52*Q$205-Exogenous!$C$59*Exogenous!$B$60+Exogenous!$E$59)/(1-Exogenous!$B$60),IF(52*Q$205&gt;Exogenous!$D$58,(52*Q$205-Exogenous!$C$58*Exogenous!$B$59+Exogenous!$E$58)/(1-Exogenous!$B$59),52*Q$205/(1-Exogenous!$B$58)))))/52,P$204*Q$205/P$205)</f>
        <v>580.65409044461387</v>
      </c>
      <c r="R204" s="72">
        <f ca="1">IF(R$6&lt;OFFSET(Assumptions!$B$8,0,$C$1)+OFFSET(Assumptions!$B$34,0,$C$1),IF(52*R$205&gt;Exogenous!$D$61,(52*R$205-Exogenous!$C$61*Exogenous!$B$62+Exogenous!$E$61)/(1-Exogenous!$B$62),IF(52*R$205&gt;Exogenous!$D$60,(52*R$205-Exogenous!$C$60*Exogenous!$B$61+Exogenous!$E$60)/(1-Exogenous!$B$61),IF(52*R$205&gt;Exogenous!$D$59,(52*R$205-Exogenous!$C$59*Exogenous!$B$60+Exogenous!$E$59)/(1-Exogenous!$B$60),IF(52*R$205&gt;Exogenous!$D$58,(52*R$205-Exogenous!$C$58*Exogenous!$B$59+Exogenous!$E$58)/(1-Exogenous!$B$59),52*R$205/(1-Exogenous!$B$58)))))/52,Q$204*R$205/Q$205)</f>
        <v>598.46791335076932</v>
      </c>
      <c r="S204" s="72">
        <f ca="1">IF(S$6&lt;OFFSET(Assumptions!$B$8,0,$C$1)+OFFSET(Assumptions!$B$34,0,$C$1),IF(52*S$205&gt;Exogenous!$D$61,(52*S$205-Exogenous!$C$61*Exogenous!$B$62+Exogenous!$E$61)/(1-Exogenous!$B$62),IF(52*S$205&gt;Exogenous!$D$60,(52*S$205-Exogenous!$C$60*Exogenous!$B$61+Exogenous!$E$60)/(1-Exogenous!$B$61),IF(52*S$205&gt;Exogenous!$D$59,(52*S$205-Exogenous!$C$59*Exogenous!$B$60+Exogenous!$E$59)/(1-Exogenous!$B$60),IF(52*S$205&gt;Exogenous!$D$58,(52*S$205-Exogenous!$C$58*Exogenous!$B$59+Exogenous!$E$58)/(1-Exogenous!$B$59),52*S$205/(1-Exogenous!$B$58)))))/52,R$204*S$205/R$205)</f>
        <v>616.54195966350221</v>
      </c>
      <c r="T204" s="72">
        <f ca="1">IF(T$6&lt;OFFSET(Assumptions!$B$8,0,$C$1)+OFFSET(Assumptions!$B$34,0,$C$1),IF(52*T$205&gt;Exogenous!$D$61,(52*T$205-Exogenous!$C$61*Exogenous!$B$62+Exogenous!$E$61)/(1-Exogenous!$B$62),IF(52*T$205&gt;Exogenous!$D$60,(52*T$205-Exogenous!$C$60*Exogenous!$B$61+Exogenous!$E$60)/(1-Exogenous!$B$61),IF(52*T$205&gt;Exogenous!$D$59,(52*T$205-Exogenous!$C$59*Exogenous!$B$60+Exogenous!$E$59)/(1-Exogenous!$B$60),IF(52*T$205&gt;Exogenous!$D$58,(52*T$205-Exogenous!$C$58*Exogenous!$B$59+Exogenous!$E$58)/(1-Exogenous!$B$59),52*T$205/(1-Exogenous!$B$58)))))/52,S$204*T$205/S$205)</f>
        <v>635.16324049300863</v>
      </c>
      <c r="U204" s="72">
        <f ca="1">IF(U$6&lt;OFFSET(Assumptions!$B$8,0,$C$1)+OFFSET(Assumptions!$B$34,0,$C$1),IF(52*U$205&gt;Exogenous!$D$61,(52*U$205-Exogenous!$C$61*Exogenous!$B$62+Exogenous!$E$61)/(1-Exogenous!$B$62),IF(52*U$205&gt;Exogenous!$D$60,(52*U$205-Exogenous!$C$60*Exogenous!$B$61+Exogenous!$E$60)/(1-Exogenous!$B$61),IF(52*U$205&gt;Exogenous!$D$59,(52*U$205-Exogenous!$C$59*Exogenous!$B$60+Exogenous!$E$59)/(1-Exogenous!$B$60),IF(52*U$205&gt;Exogenous!$D$58,(52*U$205-Exogenous!$C$58*Exogenous!$B$59+Exogenous!$E$58)/(1-Exogenous!$B$59),52*U$205/(1-Exogenous!$B$58)))))/52,T$204*U$205/T$205)</f>
        <v>654.34706309849889</v>
      </c>
      <c r="V204" s="72">
        <f ca="1">IF(V$6&lt;OFFSET(Assumptions!$B$8,0,$C$1)+OFFSET(Assumptions!$B$34,0,$C$1),IF(52*V$205&gt;Exogenous!$D$61,(52*V$205-Exogenous!$C$61*Exogenous!$B$62+Exogenous!$E$61)/(1-Exogenous!$B$62),IF(52*V$205&gt;Exogenous!$D$60,(52*V$205-Exogenous!$C$60*Exogenous!$B$61+Exogenous!$E$60)/(1-Exogenous!$B$61),IF(52*V$205&gt;Exogenous!$D$59,(52*V$205-Exogenous!$C$59*Exogenous!$B$60+Exogenous!$E$59)/(1-Exogenous!$B$60),IF(52*V$205&gt;Exogenous!$D$58,(52*V$205-Exogenous!$C$58*Exogenous!$B$59+Exogenous!$E$58)/(1-Exogenous!$B$59),52*V$205/(1-Exogenous!$B$58)))))/52,U$204*V$205/U$205)</f>
        <v>674.10873473918343</v>
      </c>
      <c r="W204" s="72">
        <f ca="1">IF(W$6&lt;OFFSET(Assumptions!$B$8,0,$C$1)+OFFSET(Assumptions!$B$34,0,$C$1),IF(52*W$205&gt;Exogenous!$D$61,(52*W$205-Exogenous!$C$61*Exogenous!$B$62+Exogenous!$E$61)/(1-Exogenous!$B$62),IF(52*W$205&gt;Exogenous!$D$60,(52*W$205-Exogenous!$C$60*Exogenous!$B$61+Exogenous!$E$60)/(1-Exogenous!$B$61),IF(52*W$205&gt;Exogenous!$D$59,(52*W$205-Exogenous!$C$59*Exogenous!$B$60+Exogenous!$E$59)/(1-Exogenous!$B$60),IF(52*W$205&gt;Exogenous!$D$58,(52*W$205-Exogenous!$C$58*Exogenous!$B$59+Exogenous!$E$58)/(1-Exogenous!$B$59),52*W$205/(1-Exogenous!$B$58)))))/52,V$204*W$205/V$205)</f>
        <v>694.46738948907523</v>
      </c>
      <c r="X204" s="72">
        <f ca="1">IF(X$6&lt;OFFSET(Assumptions!$B$8,0,$C$1)+OFFSET(Assumptions!$B$34,0,$C$1),IF(52*X$205&gt;Exogenous!$D$61,(52*X$205-Exogenous!$C$61*Exogenous!$B$62+Exogenous!$E$61)/(1-Exogenous!$B$62),IF(52*X$205&gt;Exogenous!$D$60,(52*X$205-Exogenous!$C$60*Exogenous!$B$61+Exogenous!$E$60)/(1-Exogenous!$B$61),IF(52*X$205&gt;Exogenous!$D$59,(52*X$205-Exogenous!$C$59*Exogenous!$B$60+Exogenous!$E$59)/(1-Exogenous!$B$60),IF(52*X$205&gt;Exogenous!$D$58,(52*X$205-Exogenous!$C$58*Exogenous!$B$59+Exogenous!$E$58)/(1-Exogenous!$B$59),52*X$205/(1-Exogenous!$B$58)))))/52,W$204*X$205/W$205)</f>
        <v>715.44216142218761</v>
      </c>
      <c r="Y204" s="72">
        <f ca="1">IF(Y$6&lt;OFFSET(Assumptions!$B$8,0,$C$1)+OFFSET(Assumptions!$B$34,0,$C$1),IF(52*Y$205&gt;Exogenous!$D$61,(52*Y$205-Exogenous!$C$61*Exogenous!$B$62+Exogenous!$E$61)/(1-Exogenous!$B$62),IF(52*Y$205&gt;Exogenous!$D$60,(52*Y$205-Exogenous!$C$60*Exogenous!$B$61+Exogenous!$E$60)/(1-Exogenous!$B$61),IF(52*Y$205&gt;Exogenous!$D$59,(52*Y$205-Exogenous!$C$59*Exogenous!$B$60+Exogenous!$E$59)/(1-Exogenous!$B$60),IF(52*Y$205&gt;Exogenous!$D$58,(52*Y$205-Exogenous!$C$58*Exogenous!$B$59+Exogenous!$E$58)/(1-Exogenous!$B$59),52*Y$205/(1-Exogenous!$B$58)))))/52,X$204*Y$205/X$205)</f>
        <v>737.04835779773077</v>
      </c>
      <c r="Z204" s="72">
        <f ca="1">IF(Z$6&lt;OFFSET(Assumptions!$B$8,0,$C$1)+OFFSET(Assumptions!$B$34,0,$C$1),IF(52*Z$205&gt;Exogenous!$D$61,(52*Z$205-Exogenous!$C$61*Exogenous!$B$62+Exogenous!$E$61)/(1-Exogenous!$B$62),IF(52*Z$205&gt;Exogenous!$D$60,(52*Z$205-Exogenous!$C$60*Exogenous!$B$61+Exogenous!$E$60)/(1-Exogenous!$B$61),IF(52*Z$205&gt;Exogenous!$D$59,(52*Z$205-Exogenous!$C$59*Exogenous!$B$60+Exogenous!$E$59)/(1-Exogenous!$B$60),IF(52*Z$205&gt;Exogenous!$D$58,(52*Z$205-Exogenous!$C$58*Exogenous!$B$59+Exogenous!$E$58)/(1-Exogenous!$B$59),52*Z$205/(1-Exogenous!$B$58)))))/52,Y$204*Z$205/Y$205)</f>
        <v>759.30893950452048</v>
      </c>
    </row>
    <row r="205" spans="1:26" x14ac:dyDescent="0.25">
      <c r="A205" s="12" t="s">
        <v>790</v>
      </c>
      <c r="C205" s="15"/>
      <c r="D205" s="93">
        <f>'Economic Forecasts'!Q$21</f>
        <v>316.27</v>
      </c>
      <c r="E205" s="93">
        <f>'Economic Forecasts'!R$21</f>
        <v>326.02</v>
      </c>
      <c r="F205" s="93">
        <f>'Economic Forecasts'!S$21</f>
        <v>336.11</v>
      </c>
      <c r="G205" s="93">
        <f>'Economic Forecasts'!T$21</f>
        <v>356.11</v>
      </c>
      <c r="H205" s="93">
        <f>'Economic Forecasts'!U$21</f>
        <v>381.82</v>
      </c>
      <c r="I205" s="93">
        <f>'Economic Forecasts'!V$21</f>
        <v>399.59</v>
      </c>
      <c r="J205" s="93">
        <f>'Economic Forecasts'!W$21</f>
        <v>414.17</v>
      </c>
      <c r="K205" s="93">
        <f>'Economic Forecasts'!X$21</f>
        <v>427.04</v>
      </c>
      <c r="L205" s="73">
        <f>'Economic Forecasts'!Y$21</f>
        <v>441.99</v>
      </c>
      <c r="M205" s="73">
        <f>'Economic Forecasts'!Z$21</f>
        <v>449.95</v>
      </c>
      <c r="N205" s="73">
        <f>'Economic Forecasts'!AA$21</f>
        <v>459.4</v>
      </c>
      <c r="O205" s="73">
        <f>'Economic Forecasts'!AB$21</f>
        <v>471.56</v>
      </c>
      <c r="P205" s="73">
        <f>'Economic Forecasts'!AC$21</f>
        <v>485.59</v>
      </c>
      <c r="Q205" s="72">
        <f ca="1">IF(2*P$205*(1+Q$29)&gt;OFFSET(Assumptions!$B$36,0,$C$1)*Q$203,OFFSET(Assumptions!$B$36,0,$C$1)*Q$203,IF(2*P$205*(1+Q$29)&lt;OFFSET(Assumptions!$B$35,0,$C$1)*Q$203,OFFSET(Assumptions!$B$35,0,$C$1)*Q$203,2*P$205*(1+Q$29)))/2</f>
        <v>500.71890000000002</v>
      </c>
      <c r="R205" s="72">
        <f ca="1">IF(2*Q$205*(1+R$29)&gt;OFFSET(Assumptions!$B$36,0,$C$1)*R$203,OFFSET(Assumptions!$B$36,0,$C$1)*R$203,IF(2*Q$205*(1+R$29)&lt;OFFSET(Assumptions!$B$35,0,$C$1)*R$203,OFFSET(Assumptions!$B$35,0,$C$1)*R$203,2*Q$205*(1+R$29)))/2</f>
        <v>516.08040000000005</v>
      </c>
      <c r="S205" s="72">
        <f ca="1">IF(2*R$205*(1+S$29)&gt;OFFSET(Assumptions!$B$36,0,$C$1)*S$203,OFFSET(Assumptions!$B$36,0,$C$1)*S$203,IF(2*R$205*(1+S$29)&lt;OFFSET(Assumptions!$B$35,0,$C$1)*S$203,OFFSET(Assumptions!$B$35,0,$C$1)*S$203,2*R$205*(1+S$29)))/2</f>
        <v>531.66629999999998</v>
      </c>
      <c r="T205" s="72">
        <f ca="1">IF(2*S$205*(1+T$29)&gt;OFFSET(Assumptions!$B$36,0,$C$1)*T$203,OFFSET(Assumptions!$B$36,0,$C$1)*T$203,IF(2*S$205*(1+T$29)&lt;OFFSET(Assumptions!$B$35,0,$C$1)*T$203,OFFSET(Assumptions!$B$35,0,$C$1)*T$203,2*S$205*(1+T$29)))/2</f>
        <v>547.72410000000002</v>
      </c>
      <c r="U205" s="72">
        <f ca="1">IF(2*T$205*(1+U$29)&gt;OFFSET(Assumptions!$B$36,0,$C$1)*U$203,OFFSET(Assumptions!$B$36,0,$C$1)*U$203,IF(2*T$205*(1+U$29)&lt;OFFSET(Assumptions!$B$35,0,$C$1)*U$203,OFFSET(Assumptions!$B$35,0,$C$1)*U$203,2*T$205*(1+U$29)))/2</f>
        <v>564.26700000000005</v>
      </c>
      <c r="V205" s="72">
        <f ca="1">IF(2*U$205*(1+V$29)&gt;OFFSET(Assumptions!$B$36,0,$C$1)*V$203,OFFSET(Assumptions!$B$36,0,$C$1)*V$203,IF(2*U$205*(1+V$29)&lt;OFFSET(Assumptions!$B$35,0,$C$1)*V$203,OFFSET(Assumptions!$B$35,0,$C$1)*V$203,2*U$205*(1+V$29)))/2</f>
        <v>581.30820000000006</v>
      </c>
      <c r="W205" s="72">
        <f ca="1">IF(2*V$205*(1+W$29)&gt;OFFSET(Assumptions!$B$36,0,$C$1)*W$203,OFFSET(Assumptions!$B$36,0,$C$1)*W$203,IF(2*V$205*(1+W$29)&lt;OFFSET(Assumptions!$B$35,0,$C$1)*W$203,OFFSET(Assumptions!$B$35,0,$C$1)*W$203,2*V$205*(1+W$29)))/2</f>
        <v>598.86419999999998</v>
      </c>
      <c r="X205" s="72">
        <f ca="1">IF(2*W$205*(1+X$29)&gt;OFFSET(Assumptions!$B$36,0,$C$1)*X$203,OFFSET(Assumptions!$B$36,0,$C$1)*X$203,IF(2*W$205*(1+X$29)&lt;OFFSET(Assumptions!$B$35,0,$C$1)*X$203,OFFSET(Assumptions!$B$35,0,$C$1)*X$203,2*W$205*(1+X$29)))/2</f>
        <v>616.95150000000001</v>
      </c>
      <c r="Y205" s="72">
        <f ca="1">IF(2*X$205*(1+Y$29)&gt;OFFSET(Assumptions!$B$36,0,$C$1)*Y$203,OFFSET(Assumptions!$B$36,0,$C$1)*Y$203,IF(2*X$205*(1+Y$29)&lt;OFFSET(Assumptions!$B$35,0,$C$1)*Y$203,OFFSET(Assumptions!$B$35,0,$C$1)*Y$203,2*X$205*(1+Y$29)))/2</f>
        <v>635.58330000000001</v>
      </c>
      <c r="Z205" s="72">
        <f ca="1">IF(2*Y$205*(1+Z$29)&gt;OFFSET(Assumptions!$B$36,0,$C$1)*Z$203,OFFSET(Assumptions!$B$36,0,$C$1)*Z$203,IF(2*Y$205*(1+Z$29)&lt;OFFSET(Assumptions!$B$35,0,$C$1)*Z$203,OFFSET(Assumptions!$B$35,0,$C$1)*Z$203,2*Y$205*(1+Z$29)))/2</f>
        <v>654.77940000000001</v>
      </c>
    </row>
    <row r="207" spans="1:26" x14ac:dyDescent="0.25">
      <c r="A207" s="11" t="s">
        <v>871</v>
      </c>
    </row>
    <row r="208" spans="1:26" x14ac:dyDescent="0.25">
      <c r="A208" s="11" t="s">
        <v>1253</v>
      </c>
      <c r="B208" s="14" t="str">
        <f>$B$38</f>
        <v>From Fiscal Forecasts</v>
      </c>
      <c r="D208" s="51">
        <f>'Fiscal Forecasts'!D$171</f>
        <v>7.7939999999999996</v>
      </c>
      <c r="E208" s="51">
        <f>'Fiscal Forecasts'!E$171</f>
        <v>8.48</v>
      </c>
      <c r="F208" s="51">
        <f>'Fiscal Forecasts'!F$171</f>
        <v>9.3580000000000005</v>
      </c>
      <c r="G208" s="51">
        <f>'Fiscal Forecasts'!G$171</f>
        <v>9.9450000000000003</v>
      </c>
      <c r="H208" s="51">
        <f>'Fiscal Forecasts'!H$171</f>
        <v>10.449</v>
      </c>
      <c r="I208" s="51">
        <f>'Fiscal Forecasts'!I$171</f>
        <v>11.26</v>
      </c>
      <c r="J208" s="51">
        <f>'Fiscal Forecasts'!J$171</f>
        <v>11.185</v>
      </c>
      <c r="K208" s="51">
        <f>'Fiscal Forecasts'!K$171</f>
        <v>11.682</v>
      </c>
      <c r="L208" s="47">
        <f>'Fiscal Forecasts'!L$171</f>
        <v>12.255000000000001</v>
      </c>
      <c r="M208" s="47">
        <f>'Fiscal Forecasts'!M$171</f>
        <v>12.164999999999999</v>
      </c>
      <c r="N208" s="47">
        <f>'Fiscal Forecasts'!N$171</f>
        <v>12.157999999999999</v>
      </c>
      <c r="O208" s="47">
        <f>'Fiscal Forecasts'!O$171</f>
        <v>12.071</v>
      </c>
      <c r="P208" s="47">
        <f>'Fiscal Forecasts'!P$171</f>
        <v>12.128</v>
      </c>
      <c r="Q208" s="21">
        <f ca="1">SUM(Q$252,IF(Q$6=OFFSET(Assumptions!$B$8,0,$C$1),AVERAGE((N$208-N$252)/SUM(N$208,N$215,N$223,-N$252,-N$324),(O$208-O$252)/SUM(O$208,O$215,O$223,-O$252,-O$324),(P$208-P$252)/SUM(P$208,P$215,P$223,-P$252,-P$324)),(P$208-P$252)/SUM(P$208,P$215,P$223,-P$252,-P$324))*(Q$323-Q$256-Q$264))</f>
        <v>12.760540852212324</v>
      </c>
      <c r="R208" s="21">
        <f ca="1">SUM(R$252,IF(R$6=OFFSET(Assumptions!$B$8,0,$C$1),AVERAGE((O$208-O$252)/SUM(O$208,O$215,O$223,-O$252,-O$324),(P$208-P$252)/SUM(P$208,P$215,P$223,-P$252,-P$324),(Q$208-Q$252)/SUM(Q$208,Q$215,Q$223,-Q$252,-Q$324)),(Q$208-Q$252)/SUM(Q$208,Q$215,Q$223,-Q$252,-Q$324))*(R$323-R$256-R$264))</f>
        <v>12.758421738638912</v>
      </c>
      <c r="S208" s="21">
        <f ca="1">SUM(S$252,IF(S$6=OFFSET(Assumptions!$B$8,0,$C$1),AVERAGE((P$208-P$252)/SUM(P$208,P$215,P$223,-P$252,-P$324),(Q$208-Q$252)/SUM(Q$208,Q$215,Q$223,-Q$252,-Q$324),(R$208-R$252)/SUM(R$208,R$215,R$223,-R$252,-R$324)),(R$208-R$252)/SUM(R$208,R$215,R$223,-R$252,-R$324))*(S$323-S$256-S$264))</f>
        <v>12.756302625065507</v>
      </c>
      <c r="T208" s="21">
        <f ca="1">SUM(T$252,IF(T$6=OFFSET(Assumptions!$B$8,0,$C$1),AVERAGE((Q$208-Q$252)/SUM(Q$208,Q$215,Q$223,-Q$252,-Q$324),(R$208-R$252)/SUM(R$208,R$215,R$223,-R$252,-R$324),(S$208-S$252)/SUM(S$208,S$215,S$223,-S$252,-S$324)),(S$208-S$252)/SUM(S$208,S$215,S$223,-S$252,-S$324))*(T$323-T$256-T$264))</f>
        <v>12.754058857752476</v>
      </c>
      <c r="U208" s="21">
        <f ca="1">SUM(U$252,IF(U$6=OFFSET(Assumptions!$B$8,0,$C$1),AVERAGE((R$208-R$252)/SUM(R$208,R$215,R$223,-R$252,-R$324),(S$208-S$252)/SUM(S$208,S$215,S$223,-S$252,-S$324),(T$208-T$252)/SUM(T$208,T$215,T$223,-T$252,-T$324)),(T$208-T$252)/SUM(T$208,T$215,T$223,-T$252,-T$324))*(U$323-U$256-U$264))</f>
        <v>12.752064397918684</v>
      </c>
      <c r="V208" s="21">
        <f ca="1">SUM(V$252,IF(V$6=OFFSET(Assumptions!$B$8,0,$C$1),AVERAGE((S$208-S$252)/SUM(S$208,S$215,S$223,-S$252,-S$324),(T$208-T$252)/SUM(T$208,T$215,T$223,-T$252,-T$324),(U$208-U$252)/SUM(U$208,U$215,U$223,-U$252,-U$324)),(U$208-U$252)/SUM(U$208,U$215,U$223,-U$252,-U$324))*(V$323-V$256-V$264))</f>
        <v>12.750069938084883</v>
      </c>
      <c r="W208" s="21">
        <f ca="1">SUM(W$252,IF(W$6=OFFSET(Assumptions!$B$8,0,$C$1),AVERAGE((T$208-T$252)/SUM(T$208,T$215,T$223,-T$252,-T$324),(U$208-U$252)/SUM(U$208,U$215,U$223,-U$252,-U$324),(V$208-V$252)/SUM(V$208,V$215,V$223,-V$252,-V$324)),(V$208-V$252)/SUM(V$208,V$215,V$223,-V$252,-V$324))*(W$323-W$256-W$264))</f>
        <v>12.74795082451147</v>
      </c>
      <c r="X208" s="21">
        <f ca="1">SUM(X$252,IF(X$6=OFFSET(Assumptions!$B$8,0,$C$1),AVERAGE((U$208-U$252)/SUM(U$208,U$215,U$223,-U$252,-U$324),(V$208-V$252)/SUM(V$208,V$215,V$223,-V$252,-V$324),(W$208-W$252)/SUM(W$208,W$215,W$223,-W$252,-W$324)),(W$208-W$252)/SUM(W$208,W$215,W$223,-W$252,-W$324))*(X$323-X$256-X$264))</f>
        <v>12.745831710938065</v>
      </c>
      <c r="Y208" s="21">
        <f ca="1">SUM(Y$252,IF(Y$6=OFFSET(Assumptions!$B$8,0,$C$1),AVERAGE((V$208-V$252)/SUM(V$208,V$215,V$223,-V$252,-V$324),(W$208-W$252)/SUM(W$208,W$215,W$223,-W$252,-W$324),(X$208-X$252)/SUM(X$208,X$215,X$223,-X$252,-X$324)),(X$208-X$252)/SUM(X$208,X$215,X$223,-X$252,-X$324))*(Y$323-Y$256-Y$264))</f>
        <v>12.743961904843879</v>
      </c>
      <c r="Z208" s="21">
        <f ca="1">SUM(Z$252,IF(Z$6=OFFSET(Assumptions!$B$8,0,$C$1),AVERAGE((W$208-W$252)/SUM(W$208,W$215,W$223,-W$252,-W$324),(X$208-X$252)/SUM(X$208,X$215,X$223,-X$252,-X$324),(Y$208-Y$252)/SUM(Y$208,Y$215,Y$223,-Y$252,-Y$324)),(Y$208-Y$252)/SUM(Y$208,Y$215,Y$223,-Y$252,-Y$324))*(Z$323-Z$256-Z$264))</f>
        <v>12.742092098749703</v>
      </c>
    </row>
    <row r="209" spans="1:26" x14ac:dyDescent="0.25">
      <c r="A209" s="12" t="s">
        <v>1020</v>
      </c>
      <c r="B209" s="14" t="str">
        <f>$B$38</f>
        <v>From Fiscal Forecasts</v>
      </c>
      <c r="D209" s="50">
        <f>'Fiscal Forecasts'!D$255</f>
        <v>15.085000000000001</v>
      </c>
      <c r="E209" s="50">
        <f>'Fiscal Forecasts'!E$255</f>
        <v>16.317</v>
      </c>
      <c r="F209" s="50">
        <f>'Fiscal Forecasts'!F$255</f>
        <v>17.928999999999998</v>
      </c>
      <c r="G209" s="50">
        <f>'Fiscal Forecasts'!G$255</f>
        <v>19.896999999999998</v>
      </c>
      <c r="H209" s="50">
        <f>'Fiscal Forecasts'!H$255</f>
        <v>22.326000000000001</v>
      </c>
      <c r="I209" s="50">
        <f>'Fiscal Forecasts'!I$255</f>
        <v>24.337</v>
      </c>
      <c r="J209" s="50">
        <f>'Fiscal Forecasts'!J$255</f>
        <v>23.951000000000001</v>
      </c>
      <c r="K209" s="50">
        <f>'Fiscal Forecasts'!K$255</f>
        <v>25.045000000000002</v>
      </c>
      <c r="L209" s="48">
        <f>'Fiscal Forecasts'!L$255</f>
        <v>25.934999999999999</v>
      </c>
      <c r="M209" s="48">
        <f>'Fiscal Forecasts'!M$255</f>
        <v>25.988</v>
      </c>
      <c r="N209" s="48">
        <f>'Fiscal Forecasts'!N$255</f>
        <v>25.992999999999999</v>
      </c>
      <c r="O209" s="48">
        <f>'Fiscal Forecasts'!O$255</f>
        <v>26.021999999999998</v>
      </c>
      <c r="P209" s="48">
        <f>'Fiscal Forecasts'!P$255</f>
        <v>26.100999999999999</v>
      </c>
      <c r="Q209" s="20">
        <f ca="1">SUM(Q$253-Q$252,IF(Q$6=OFFSET(Assumptions!$B$8,0,$C$1),AVERAGE(SUM(N$209,-(N$253-N$252))/SUM(N$209,-(N$253-N$252),N$216,N$224),(O$209-(O$253-O$252))/SUM(O$209,-(O$253-O$252),O$216,O$224),(P$209-(P$253-P$252))/SUM(P$209,-(P$253-P$252),P$216,P$224)),(P$209-(P$253-P$252))/SUM(P$209,-(P$253-P$252),P$216,P$224))*SUM(Q$198-Q$239,Q$257,Q$266,Q$284,Q$326,-(Q$253-Q$252)))</f>
        <v>26.256932471996247</v>
      </c>
      <c r="R209" s="20">
        <f ca="1">SUM(R$253-R$252,IF(R$6=OFFSET(Assumptions!$B$8,0,$C$1),AVERAGE(SUM(O$209,-(O$253-O$252))/SUM(O$209,-(O$253-O$252),O$216,O$224),(P$209-(P$253-P$252))/SUM(P$209,-(P$253-P$252),P$216,P$224),(Q$209-(Q$253-Q$252))/SUM(Q$209,-(Q$253-Q$252),Q$216,Q$224)),(Q$209-(Q$253-Q$252))/SUM(Q$209,-(Q$253-Q$252),Q$216,Q$224))*SUM(R$198-R$239,R$257,R$266,R$284,R$326,-(R$253-R$252)))</f>
        <v>26.396462479796515</v>
      </c>
      <c r="S209" s="20">
        <f ca="1">SUM(S$253-S$252,IF(S$6=OFFSET(Assumptions!$B$8,0,$C$1),AVERAGE(SUM(P$209,-(P$253-P$252))/SUM(P$209,-(P$253-P$252),P$216,P$224),(Q$209-(Q$253-Q$252))/SUM(Q$209,-(Q$253-Q$252),Q$216,Q$224),(R$209-(R$253-R$252))/SUM(R$209,-(R$253-R$252),R$216,R$224)),(R$209-(R$253-R$252))/SUM(R$209,-(R$253-R$252),R$216,R$224))*SUM(S$198-S$239,S$257,S$266,S$284,S$326,-(S$253-S$252)))</f>
        <v>26.529700177315515</v>
      </c>
      <c r="T209" s="20">
        <f ca="1">SUM(T$253-T$252,IF(T$6=OFFSET(Assumptions!$B$8,0,$C$1),AVERAGE(SUM(Q$209,-(Q$253-Q$252))/SUM(Q$209,-(Q$253-Q$252),Q$216,Q$224),(R$209-(R$253-R$252))/SUM(R$209,-(R$253-R$252),R$216,R$224),(S$209-(S$253-S$252))/SUM(S$209,-(S$253-S$252),S$216,S$224)),(S$209-(S$253-S$252))/SUM(S$209,-(S$253-S$252),S$216,S$224))*SUM(T$198-T$239,T$257,T$266,T$284,T$326,-(T$253-T$252)))</f>
        <v>26.748036989949746</v>
      </c>
      <c r="U209" s="20">
        <f ca="1">SUM(U$253-U$252,IF(U$6=OFFSET(Assumptions!$B$8,0,$C$1),AVERAGE(SUM(R$209,-(R$253-R$252))/SUM(R$209,-(R$253-R$252),R$216,R$224),(S$209-(S$253-S$252))/SUM(S$209,-(S$253-S$252),S$216,S$224),(T$209-(T$253-T$252))/SUM(T$209,-(T$253-T$252),T$216,T$224)),(T$209-(T$253-T$252))/SUM(T$209,-(T$253-T$252),T$216,T$224))*SUM(U$198-U$239,U$257,U$266,U$284,U$326,-(U$253-U$252)))</f>
        <v>27.015509820565143</v>
      </c>
      <c r="V209" s="20">
        <f ca="1">SUM(V$253-V$252,IF(V$6=OFFSET(Assumptions!$B$8,0,$C$1),AVERAGE(SUM(S$209,-(S$253-S$252))/SUM(S$209,-(S$253-S$252),S$216,S$224),(T$209-(T$253-T$252))/SUM(T$209,-(T$253-T$252),T$216,T$224),(U$209-(U$253-U$252))/SUM(U$209,-(U$253-U$252),U$216,U$224)),(U$209-(U$253-U$252))/SUM(U$209,-(U$253-U$252),U$216,U$224))*SUM(V$198-V$239,V$257,V$266,V$284,V$326,-(V$253-V$252)))</f>
        <v>27.289118069868362</v>
      </c>
      <c r="W209" s="20">
        <f ca="1">SUM(W$253-W$252,IF(W$6=OFFSET(Assumptions!$B$8,0,$C$1),AVERAGE(SUM(T$209,-(T$253-T$252))/SUM(T$209,-(T$253-T$252),T$216,T$224),(U$209-(U$253-U$252))/SUM(U$209,-(U$253-U$252),U$216,U$224),(V$209-(V$253-V$252))/SUM(V$209,-(V$253-V$252),V$216,V$224)),(V$209-(V$253-V$252))/SUM(V$209,-(V$253-V$252),V$216,V$224))*SUM(W$198-W$239,W$257,W$266,W$284,W$326,-(W$253-W$252)))</f>
        <v>27.570480997189872</v>
      </c>
      <c r="X209" s="20">
        <f ca="1">SUM(X$253-X$252,IF(X$6=OFFSET(Assumptions!$B$8,0,$C$1),AVERAGE(SUM(U$209,-(U$253-U$252))/SUM(U$209,-(U$253-U$252),U$216,U$224),(V$209-(V$253-V$252))/SUM(V$209,-(V$253-V$252),V$216,V$224),(W$209-(W$253-W$252))/SUM(W$209,-(W$253-W$252),W$216,W$224)),(W$209-(W$253-W$252))/SUM(W$209,-(W$253-W$252),W$216,W$224))*SUM(X$198-X$239,X$257,X$266,X$284,X$326,-(X$253-X$252)))</f>
        <v>27.860286114978823</v>
      </c>
      <c r="Y209" s="20">
        <f ca="1">SUM(Y$253-Y$252,IF(Y$6=OFFSET(Assumptions!$B$8,0,$C$1),AVERAGE(SUM(V$209,-(V$253-V$252))/SUM(V$209,-(V$253-V$252),V$216,V$224),(W$209-(W$253-W$252))/SUM(W$209,-(W$253-W$252),W$216,W$224),(X$209-(X$253-X$252))/SUM(X$209,-(X$253-X$252),X$216,X$224)),(X$209-(X$253-X$252))/SUM(X$209,-(X$253-X$252),X$216,X$224))*SUM(Y$198-Y$239,Y$257,Y$266,Y$284,Y$326,-(Y$253-Y$252)))</f>
        <v>28.155345972139656</v>
      </c>
      <c r="Z209" s="20">
        <f ca="1">SUM(Z$253-Z$252,IF(Z$6=OFFSET(Assumptions!$B$8,0,$C$1),AVERAGE(SUM(W$209,-(W$253-W$252))/SUM(W$209,-(W$253-W$252),W$216,W$224),(X$209-(X$253-X$252))/SUM(X$209,-(X$253-X$252),X$216,X$224),(Y$209-(Y$253-Y$252))/SUM(Y$209,-(Y$253-Y$252),Y$216,Y$224)),(Y$209-(Y$253-Y$252))/SUM(Y$209,-(Y$253-Y$252),Y$216,Y$224))*SUM(Z$198-Z$239,Z$257,Z$266,Z$284,Z$326,-(Z$253-Z$252)))</f>
        <v>28.461070365600275</v>
      </c>
    </row>
    <row r="210" spans="1:26" x14ac:dyDescent="0.25">
      <c r="A210" s="12" t="s">
        <v>1227</v>
      </c>
      <c r="B210" s="14" t="str">
        <f>$B$38</f>
        <v>From Fiscal Forecasts</v>
      </c>
      <c r="D210" s="50">
        <f>'Fiscal Forecasts'!D$256</f>
        <v>3.0960000000000001</v>
      </c>
      <c r="E210" s="50">
        <f>'Fiscal Forecasts'!E$256</f>
        <v>3.0230000000000001</v>
      </c>
      <c r="F210" s="50">
        <f>'Fiscal Forecasts'!F$256</f>
        <v>2.5819999999999999</v>
      </c>
      <c r="G210" s="50">
        <f>'Fiscal Forecasts'!G$256</f>
        <v>2.8610000000000002</v>
      </c>
      <c r="H210" s="50">
        <f>'Fiscal Forecasts'!H$256</f>
        <v>3.33</v>
      </c>
      <c r="I210" s="50">
        <f>'Fiscal Forecasts'!I$256</f>
        <v>3.5459999999999998</v>
      </c>
      <c r="J210" s="50">
        <f>'Fiscal Forecasts'!J$256</f>
        <v>3.6970000000000001</v>
      </c>
      <c r="K210" s="50">
        <f>'Fiscal Forecasts'!K$256</f>
        <v>3.78</v>
      </c>
      <c r="L210" s="48">
        <f>'Fiscal Forecasts'!L$256</f>
        <v>3.78</v>
      </c>
      <c r="M210" s="48">
        <f>'Fiscal Forecasts'!M$256</f>
        <v>3.919</v>
      </c>
      <c r="N210" s="48">
        <f>'Fiscal Forecasts'!N$256</f>
        <v>3.9769999999999999</v>
      </c>
      <c r="O210" s="48">
        <f>'Fiscal Forecasts'!O$256</f>
        <v>4.069</v>
      </c>
      <c r="P210" s="48">
        <f>'Fiscal Forecasts'!P$256</f>
        <v>4.1559999999999997</v>
      </c>
      <c r="Q210" s="20">
        <f ca="1">IF(Q$6=OFFSET(Assumptions!$B$8,0,$C$1),AVERAGE(N$210/SUM(N$210,N$217,N$225),O$210/SUM(O$210,O$217,O$225),P$210/SUM(P$210,P$217,P$225)),P$210/SUM(P$210,P$217,P$225))*SUM(Q$285,Q$327-Q$240)</f>
        <v>4.310093006191007</v>
      </c>
      <c r="R210" s="20">
        <f ca="1">IF(R$6=OFFSET(Assumptions!$B$8,0,$C$1),AVERAGE(O$210/SUM(O$210,O$217,O$225),P$210/SUM(P$210,P$217,P$225),Q$210/SUM(Q$210,Q$217,Q$225)),Q$210/SUM(Q$210,Q$217,Q$225))*SUM(R$285,R$327-R$240)</f>
        <v>4.4715203113486401</v>
      </c>
      <c r="S210" s="20">
        <f ca="1">IF(S$6=OFFSET(Assumptions!$B$8,0,$C$1),AVERAGE(P$210/SUM(P$210,P$217,P$225),Q$210/SUM(Q$210,Q$217,Q$225),R$210/SUM(R$210,R$217,R$225)),R$210/SUM(R$210,R$217,R$225))*SUM(S$285,S$327-S$240)</f>
        <v>4.6368891345414811</v>
      </c>
      <c r="T210" s="20">
        <f ca="1">IF(T$6=OFFSET(Assumptions!$B$8,0,$C$1),AVERAGE(Q$210/SUM(Q$210,Q$217,Q$225),R$210/SUM(R$210,R$217,R$225),S$210/SUM(S$210,S$217,S$225)),S$210/SUM(S$210,S$217,S$225))*SUM(T$285,T$327-T$240)</f>
        <v>4.8052988052164016</v>
      </c>
      <c r="U210" s="20">
        <f ca="1">IF(U$6=OFFSET(Assumptions!$B$8,0,$C$1),AVERAGE(R$210/SUM(R$210,R$217,R$225),S$210/SUM(S$210,S$217,S$225),T$210/SUM(T$210,T$217,T$225)),T$210/SUM(T$210,T$217,T$225))*SUM(U$285,U$327-U$240)</f>
        <v>4.9791277611662794</v>
      </c>
      <c r="V210" s="20">
        <f ca="1">IF(V$6=OFFSET(Assumptions!$B$8,0,$C$1),AVERAGE(S$210/SUM(S$210,S$217,S$225),T$210/SUM(T$210,T$217,T$225),U$210/SUM(U$210,U$217,U$225)),U$210/SUM(U$210,U$217,U$225))*SUM(V$285,V$327-V$240)</f>
        <v>5.1577713922250989</v>
      </c>
      <c r="W210" s="20">
        <f ca="1">IF(W$6=OFFSET(Assumptions!$B$8,0,$C$1),AVERAGE(T$210/SUM(T$210,T$217,T$225),U$210/SUM(U$210,U$217,U$225),V$210/SUM(V$210,V$217,V$225)),V$210/SUM(V$210,V$217,V$225))*SUM(W$285,W$327-W$240)</f>
        <v>5.3387677771021913</v>
      </c>
      <c r="X210" s="20">
        <f ca="1">IF(X$6=OFFSET(Assumptions!$B$8,0,$C$1),AVERAGE(U$210/SUM(U$210,U$217,U$225),V$210/SUM(V$210,V$217,V$225),W$210/SUM(W$210,W$217,W$225)),W$210/SUM(W$210,W$217,W$225))*SUM(X$285,X$327-X$240)</f>
        <v>5.5243790951551937</v>
      </c>
      <c r="Y210" s="20">
        <f ca="1">IF(Y$6=OFFSET(Assumptions!$B$8,0,$C$1),AVERAGE(V$210/SUM(V$210,V$217,V$225),W$210/SUM(W$210,W$217,W$225),X$210/SUM(X$210,X$217,X$225)),X$210/SUM(X$210,X$217,X$225))*SUM(Y$285,Y$327-Y$240)</f>
        <v>5.7159346085901337</v>
      </c>
      <c r="Z210" s="20">
        <f ca="1">IF(Z$6=OFFSET(Assumptions!$B$8,0,$C$1),AVERAGE(W$210/SUM(W$210,W$217,W$225),X$210/SUM(X$210,X$217,X$225),Y$210/SUM(Y$210,Y$217,Y$225)),Y$210/SUM(Y$210,Y$217,Y$225))*SUM(Z$285,Z$327-Z$240)</f>
        <v>5.9128452821928779</v>
      </c>
    </row>
    <row r="211" spans="1:26" x14ac:dyDescent="0.25">
      <c r="A211" s="12" t="s">
        <v>1228</v>
      </c>
      <c r="B211" s="14" t="str">
        <f>$B$38</f>
        <v>From Fiscal Forecasts</v>
      </c>
      <c r="D211" s="50">
        <f>'Fiscal Forecasts'!D$257</f>
        <v>-4.2000000000000003E-2</v>
      </c>
      <c r="E211" s="50">
        <f>'Fiscal Forecasts'!E$257</f>
        <v>-4.4999999999999998E-2</v>
      </c>
      <c r="F211" s="50">
        <f>'Fiscal Forecasts'!F$257</f>
        <v>-5.1999999999999998E-2</v>
      </c>
      <c r="G211" s="50">
        <f>'Fiscal Forecasts'!G$257</f>
        <v>-5.5E-2</v>
      </c>
      <c r="H211" s="50">
        <f>'Fiscal Forecasts'!H$257</f>
        <v>-5.2999999999999999E-2</v>
      </c>
      <c r="I211" s="50">
        <f>'Fiscal Forecasts'!I$257</f>
        <v>-0.06</v>
      </c>
      <c r="J211" s="50">
        <f>'Fiscal Forecasts'!J$257</f>
        <v>-6.2E-2</v>
      </c>
      <c r="K211" s="50">
        <f>'Fiscal Forecasts'!K$257</f>
        <v>-7.3999999999999996E-2</v>
      </c>
      <c r="L211" s="48">
        <f>'Fiscal Forecasts'!L$257</f>
        <v>-5.7000000000000002E-2</v>
      </c>
      <c r="M211" s="48">
        <f>'Fiscal Forecasts'!M$257</f>
        <v>-5.8000000000000003E-2</v>
      </c>
      <c r="N211" s="48">
        <f>'Fiscal Forecasts'!N$257</f>
        <v>-0.06</v>
      </c>
      <c r="O211" s="48">
        <f>'Fiscal Forecasts'!O$257</f>
        <v>-0.06</v>
      </c>
      <c r="P211" s="48">
        <f>'Fiscal Forecasts'!P$257</f>
        <v>-6.0999999999999999E-2</v>
      </c>
      <c r="Q211" s="20">
        <f ca="1">IF(Q$6=OFFSET(Assumptions!$B$8,0,$C$1),AVERAGE(N$211/SUM(N$211,N$226),O$211/SUM(O$211,O$226),P$211/SUM(P$211,P$226)),P$211/SUM(P$211,P$226))*SUM(Q$199,Q$258,Q$267,Q$286,Q$328)</f>
        <v>-6.2735407244262631E-2</v>
      </c>
      <c r="R211" s="20">
        <f ca="1">IF(R$6=OFFSET(Assumptions!$B$8,0,$C$1),AVERAGE(O$211/SUM(O$211,O$226),P$211/SUM(P$211,P$226),Q$211/SUM(Q$211,Q$226)),Q$211/SUM(Q$211,Q$226))*SUM(R$199,R$258,R$267,R$286,R$328)</f>
        <v>-6.3106787996330099E-2</v>
      </c>
      <c r="S211" s="20">
        <f ca="1">IF(S$6=OFFSET(Assumptions!$B$8,0,$C$1),AVERAGE(P$211/SUM(P$211,P$226),Q$211/SUM(Q$211,Q$226),R$211/SUM(R$211,R$226)),R$211/SUM(R$211,R$226))*SUM(S$199,S$258,S$267,S$286,S$328)</f>
        <v>-6.3483406309761237E-2</v>
      </c>
      <c r="T211" s="20">
        <f ca="1">IF(T$6=OFFSET(Assumptions!$B$8,0,$C$1),AVERAGE(Q$211/SUM(Q$211,Q$226),R$211/SUM(R$211,R$226),S$211/SUM(S$211,S$226)),S$211/SUM(S$211,S$226))*SUM(T$199,T$258,T$267,T$286,T$328)</f>
        <v>-6.4114161298966674E-2</v>
      </c>
      <c r="U211" s="20">
        <f ca="1">IF(U$6=OFFSET(Assumptions!$B$8,0,$C$1),AVERAGE(R$211/SUM(R$211,R$226),S$211/SUM(S$211,S$226),T$211/SUM(T$211,T$226)),T$211/SUM(T$211,T$226))*SUM(U$199,U$258,U$267,U$286,U$328)</f>
        <v>-6.4887349990838269E-2</v>
      </c>
      <c r="V211" s="20">
        <f ca="1">IF(V$6=OFFSET(Assumptions!$B$8,0,$C$1),AVERAGE(S$211/SUM(S$211,S$226),T$211/SUM(T$211,T$226),U$211/SUM(U$211,U$226)),U$211/SUM(U$211,U$226))*SUM(V$199,V$258,V$267,V$286,V$328)</f>
        <v>-6.5516408961870748E-2</v>
      </c>
      <c r="W211" s="20">
        <f ca="1">IF(W$6=OFFSET(Assumptions!$B$8,0,$C$1),AVERAGE(T$211/SUM(T$211,T$226),U$211/SUM(U$211,U$226),V$211/SUM(V$211,V$226)),V$211/SUM(V$211,V$226))*SUM(W$199,W$258,W$267,W$286,W$328)</f>
        <v>-6.610775082857806E-2</v>
      </c>
      <c r="X211" s="20">
        <f ca="1">IF(X$6=OFFSET(Assumptions!$B$8,0,$C$1),AVERAGE(U$211/SUM(U$211,U$226),V$211/SUM(V$211,V$226),W$211/SUM(W$211,W$226)),W$211/SUM(W$211,W$226))*SUM(X$199,X$258,X$267,X$286,X$328)</f>
        <v>-6.6719866994300797E-2</v>
      </c>
      <c r="Y211" s="20">
        <f ca="1">IF(Y$6=OFFSET(Assumptions!$B$8,0,$C$1),AVERAGE(V$211/SUM(V$211,V$226),W$211/SUM(W$211,W$226),X$211/SUM(X$211,X$226)),X$211/SUM(X$211,X$226))*SUM(Y$199,Y$258,Y$267,Y$286,Y$328)</f>
        <v>-6.7356650810887223E-2</v>
      </c>
      <c r="Z211" s="20">
        <f ca="1">IF(Z$6=OFFSET(Assumptions!$B$8,0,$C$1),AVERAGE(W$211/SUM(W$211,W$226),X$211/SUM(X$211,X$226),Y$211/SUM(Y$211,Y$226)),Y$211/SUM(Y$211,Y$226))*SUM(Z$199,Z$258,Z$267,Z$286,Z$328)</f>
        <v>-6.8009105195476635E-2</v>
      </c>
    </row>
    <row r="212" spans="1:26" x14ac:dyDescent="0.25">
      <c r="A212" s="11" t="s">
        <v>1254</v>
      </c>
      <c r="D212" s="94">
        <f t="shared" ref="D212:Z212" si="138">SUM(D$208:D$211)</f>
        <v>25.933</v>
      </c>
      <c r="E212" s="94">
        <f t="shared" si="138"/>
        <v>27.774999999999999</v>
      </c>
      <c r="F212" s="94">
        <f t="shared" si="138"/>
        <v>29.817</v>
      </c>
      <c r="G212" s="94">
        <f t="shared" si="138"/>
        <v>32.647999999999996</v>
      </c>
      <c r="H212" s="94">
        <f t="shared" si="138"/>
        <v>36.052</v>
      </c>
      <c r="I212" s="94">
        <f t="shared" si="138"/>
        <v>39.082999999999998</v>
      </c>
      <c r="J212" s="94">
        <f t="shared" si="138"/>
        <v>38.771000000000008</v>
      </c>
      <c r="K212" s="94">
        <f t="shared" si="138"/>
        <v>40.433000000000007</v>
      </c>
      <c r="L212" s="95">
        <f t="shared" si="138"/>
        <v>41.912999999999997</v>
      </c>
      <c r="M212" s="95">
        <f t="shared" si="138"/>
        <v>42.013999999999996</v>
      </c>
      <c r="N212" s="95">
        <f t="shared" si="138"/>
        <v>42.067999999999991</v>
      </c>
      <c r="O212" s="95">
        <f t="shared" si="138"/>
        <v>42.101999999999997</v>
      </c>
      <c r="P212" s="95">
        <f t="shared" si="138"/>
        <v>42.323999999999998</v>
      </c>
      <c r="Q212" s="96">
        <f t="shared" ca="1" si="138"/>
        <v>43.264830923155316</v>
      </c>
      <c r="R212" s="96">
        <f t="shared" ca="1" si="138"/>
        <v>43.563297741787736</v>
      </c>
      <c r="S212" s="96">
        <f t="shared" ca="1" si="138"/>
        <v>43.85940853061274</v>
      </c>
      <c r="T212" s="96">
        <f t="shared" ca="1" si="138"/>
        <v>44.243280491619657</v>
      </c>
      <c r="U212" s="96">
        <f t="shared" ca="1" si="138"/>
        <v>44.681814629659272</v>
      </c>
      <c r="V212" s="96">
        <f t="shared" ca="1" si="138"/>
        <v>45.131442991216474</v>
      </c>
      <c r="W212" s="96">
        <f t="shared" ca="1" si="138"/>
        <v>45.591091847974951</v>
      </c>
      <c r="X212" s="96">
        <f t="shared" ca="1" si="138"/>
        <v>46.063777054077782</v>
      </c>
      <c r="Y212" s="96">
        <f t="shared" ca="1" si="138"/>
        <v>46.547885834762781</v>
      </c>
      <c r="Z212" s="96">
        <f t="shared" ca="1" si="138"/>
        <v>47.047998641347377</v>
      </c>
    </row>
    <row r="214" spans="1:26" x14ac:dyDescent="0.25">
      <c r="A214" s="11" t="s">
        <v>872</v>
      </c>
    </row>
    <row r="215" spans="1:26" x14ac:dyDescent="0.25">
      <c r="A215" s="11" t="s">
        <v>1255</v>
      </c>
      <c r="B215" s="14" t="str">
        <f>$B$38</f>
        <v>From Fiscal Forecasts</v>
      </c>
      <c r="C215" s="100" cm="1">
        <f t="array" aca="1" ref="C215" ca="1">SUMPRODUCT(OFFSET($P$215,0,0,1,-OFFSET(Assumptions!$B$38,0,$C$1))/OFFSET($P$417,0,0,1,-OFFSET(Assumptions!$B$38,0,$C$1)))/OFFSET(Assumptions!$B$38,0,$C$1)</f>
        <v>4.0793476717853723E-2</v>
      </c>
      <c r="D215" s="51">
        <f>'Fiscal Forecasts'!D$260</f>
        <v>1.5009999999999999</v>
      </c>
      <c r="E215" s="51">
        <f>'Fiscal Forecasts'!E$260</f>
        <v>1.675</v>
      </c>
      <c r="F215" s="51">
        <f>'Fiscal Forecasts'!F$260</f>
        <v>1.8820000000000001</v>
      </c>
      <c r="G215" s="51">
        <f>'Fiscal Forecasts'!G$260</f>
        <v>2.0019999999999998</v>
      </c>
      <c r="H215" s="51">
        <f>'Fiscal Forecasts'!H$260</f>
        <v>2.4</v>
      </c>
      <c r="I215" s="51">
        <f>'Fiscal Forecasts'!I$260</f>
        <v>2.8080000000000003</v>
      </c>
      <c r="J215" s="51">
        <f>'Fiscal Forecasts'!J$260</f>
        <v>2.7159999999999997</v>
      </c>
      <c r="K215" s="51">
        <f>'Fiscal Forecasts'!K$260</f>
        <v>2.7269999999999999</v>
      </c>
      <c r="L215" s="47">
        <f>'Fiscal Forecasts'!L$260</f>
        <v>2.706</v>
      </c>
      <c r="M215" s="47">
        <f>'Fiscal Forecasts'!M$260</f>
        <v>2.8039999999999998</v>
      </c>
      <c r="N215" s="47">
        <f>'Fiscal Forecasts'!N$260</f>
        <v>2.879</v>
      </c>
      <c r="O215" s="47">
        <f>'Fiscal Forecasts'!O$260</f>
        <v>2.867</v>
      </c>
      <c r="P215" s="47">
        <f>'Fiscal Forecasts'!P$260</f>
        <v>2.7930000000000001</v>
      </c>
      <c r="Q215" s="21">
        <f t="shared" ref="Q215:Z215" ca="1" si="139">$C$215*P$417</f>
        <v>2.8191555890174351</v>
      </c>
      <c r="R215" s="21">
        <f t="shared" ca="1" si="139"/>
        <v>2.8191555890174351</v>
      </c>
      <c r="S215" s="21">
        <f t="shared" ca="1" si="139"/>
        <v>2.8191555890174351</v>
      </c>
      <c r="T215" s="21">
        <f t="shared" ca="1" si="139"/>
        <v>2.8191555890174351</v>
      </c>
      <c r="U215" s="21">
        <f t="shared" ca="1" si="139"/>
        <v>2.8191555890174351</v>
      </c>
      <c r="V215" s="21">
        <f t="shared" ca="1" si="139"/>
        <v>2.8191555890174351</v>
      </c>
      <c r="W215" s="21">
        <f t="shared" ca="1" si="139"/>
        <v>2.8191555890174351</v>
      </c>
      <c r="X215" s="21">
        <f t="shared" ca="1" si="139"/>
        <v>2.8191555890174351</v>
      </c>
      <c r="Y215" s="21">
        <f t="shared" ca="1" si="139"/>
        <v>2.8191555890174351</v>
      </c>
      <c r="Z215" s="21">
        <f t="shared" ca="1" si="139"/>
        <v>2.8191555890174351</v>
      </c>
    </row>
    <row r="216" spans="1:26" x14ac:dyDescent="0.25">
      <c r="A216" s="12" t="s">
        <v>1020</v>
      </c>
      <c r="B216" s="14" t="str">
        <f>$B$38</f>
        <v>From Fiscal Forecasts</v>
      </c>
      <c r="C216" s="100" cm="1">
        <f t="array" aca="1" ref="C216" ca="1">SUMPRODUCT(OFFSET($P$216,0,0,1,-OFFSET(Assumptions!$B$38,0,$C$1))/OFFSET($P$418,0,0,1,-OFFSET(Assumptions!$B$38,0,$C$1)))/OFFSET(Assumptions!$B$38,0,$C$1)</f>
        <v>2.0557878069576589E-2</v>
      </c>
      <c r="D216" s="50">
        <f>'Fiscal Forecasts'!D$261</f>
        <v>1.587</v>
      </c>
      <c r="E216" s="50">
        <f>'Fiscal Forecasts'!E$261</f>
        <v>1.776</v>
      </c>
      <c r="F216" s="50">
        <f>'Fiscal Forecasts'!F$261</f>
        <v>1.954</v>
      </c>
      <c r="G216" s="50">
        <f>'Fiscal Forecasts'!G$261</f>
        <v>2.2509999999999999</v>
      </c>
      <c r="H216" s="50">
        <f>'Fiscal Forecasts'!H$261</f>
        <v>2.5110000000000001</v>
      </c>
      <c r="I216" s="50">
        <f>'Fiscal Forecasts'!I$261</f>
        <v>2.9019999999999997</v>
      </c>
      <c r="J216" s="50">
        <f>'Fiscal Forecasts'!J$261</f>
        <v>2.9870000000000001</v>
      </c>
      <c r="K216" s="50">
        <f>'Fiscal Forecasts'!K$261</f>
        <v>3.306</v>
      </c>
      <c r="L216" s="48">
        <f>'Fiscal Forecasts'!L$261</f>
        <v>3.4129999999999998</v>
      </c>
      <c r="M216" s="48">
        <f>'Fiscal Forecasts'!M$261</f>
        <v>3.5979999999999999</v>
      </c>
      <c r="N216" s="48">
        <f>'Fiscal Forecasts'!N$261</f>
        <v>3.661</v>
      </c>
      <c r="O216" s="48">
        <f>'Fiscal Forecasts'!O$261</f>
        <v>3.7090000000000001</v>
      </c>
      <c r="P216" s="48">
        <f>'Fiscal Forecasts'!P$261</f>
        <v>3.7679999999999998</v>
      </c>
      <c r="Q216" s="20">
        <f t="shared" ref="Q216:Z216" ca="1" si="140">$C$216*P$418</f>
        <v>3.7329817313859954</v>
      </c>
      <c r="R216" s="20">
        <f t="shared" ca="1" si="140"/>
        <v>3.7665247875594394</v>
      </c>
      <c r="S216" s="20">
        <f t="shared" ca="1" si="140"/>
        <v>3.8007387048563523</v>
      </c>
      <c r="T216" s="20">
        <f t="shared" ca="1" si="140"/>
        <v>3.8356369004992033</v>
      </c>
      <c r="U216" s="20">
        <f t="shared" ca="1" si="140"/>
        <v>3.8712330600549114</v>
      </c>
      <c r="V216" s="20">
        <f t="shared" ca="1" si="140"/>
        <v>3.9075411428017341</v>
      </c>
      <c r="W216" s="20">
        <f t="shared" ca="1" si="140"/>
        <v>3.9445753872034932</v>
      </c>
      <c r="X216" s="20">
        <f t="shared" ca="1" si="140"/>
        <v>3.982350316493287</v>
      </c>
      <c r="Y216" s="20">
        <f t="shared" ca="1" si="140"/>
        <v>4.0208807443688768</v>
      </c>
      <c r="Z216" s="20">
        <f t="shared" ca="1" si="140"/>
        <v>4.0601817808019787</v>
      </c>
    </row>
    <row r="217" spans="1:26" x14ac:dyDescent="0.25">
      <c r="A217" s="12" t="s">
        <v>1227</v>
      </c>
      <c r="B217" s="14" t="str">
        <f>$B$38</f>
        <v>From Fiscal Forecasts</v>
      </c>
      <c r="C217" s="100" cm="1">
        <f t="array" aca="1" ref="C217" ca="1">SUMPRODUCT(OFFSET($P$217,0,0,1,-OFFSET(Assumptions!$B$38,0,$C$1))/OFFSET($P$419,0,0,1,-OFFSET(Assumptions!$B$38,0,$C$1)))/OFFSET(Assumptions!$B$38,0,$C$1)</f>
        <v>4.4120996303196665E-2</v>
      </c>
      <c r="D217" s="50">
        <f>'Fiscal Forecasts'!D$262</f>
        <v>1.466</v>
      </c>
      <c r="E217" s="50">
        <f>'Fiscal Forecasts'!E$262</f>
        <v>1.843</v>
      </c>
      <c r="F217" s="50">
        <f>'Fiscal Forecasts'!F$262</f>
        <v>1.73</v>
      </c>
      <c r="G217" s="50">
        <f>'Fiscal Forecasts'!G$262</f>
        <v>1.899</v>
      </c>
      <c r="H217" s="50">
        <f>'Fiscal Forecasts'!H$262</f>
        <v>1.69</v>
      </c>
      <c r="I217" s="50">
        <f>'Fiscal Forecasts'!I$262</f>
        <v>1.911</v>
      </c>
      <c r="J217" s="50">
        <f>'Fiscal Forecasts'!J$262</f>
        <v>2.5910000000000002</v>
      </c>
      <c r="K217" s="50">
        <f>'Fiscal Forecasts'!K$262</f>
        <v>2.6480000000000001</v>
      </c>
      <c r="L217" s="48">
        <f>'Fiscal Forecasts'!L$262</f>
        <v>2.843</v>
      </c>
      <c r="M217" s="48">
        <f>'Fiscal Forecasts'!M$262</f>
        <v>2.8730000000000002</v>
      </c>
      <c r="N217" s="48">
        <f>'Fiscal Forecasts'!N$262</f>
        <v>2.9180000000000001</v>
      </c>
      <c r="O217" s="48">
        <f>'Fiscal Forecasts'!O$262</f>
        <v>3.258</v>
      </c>
      <c r="P217" s="48">
        <f>'Fiscal Forecasts'!P$262</f>
        <v>3.387</v>
      </c>
      <c r="Q217" s="20">
        <f t="shared" ref="Q217:Z217" ca="1" si="141">$C$217*P$419</f>
        <v>3.1775500327599207</v>
      </c>
      <c r="R217" s="20">
        <f t="shared" ca="1" si="141"/>
        <v>3.2411010334151196</v>
      </c>
      <c r="S217" s="20">
        <f t="shared" ca="1" si="141"/>
        <v>3.3059230540834217</v>
      </c>
      <c r="T217" s="20">
        <f t="shared" ca="1" si="141"/>
        <v>3.37204151516509</v>
      </c>
      <c r="U217" s="20">
        <f t="shared" ca="1" si="141"/>
        <v>3.4394823454683916</v>
      </c>
      <c r="V217" s="20">
        <f t="shared" ca="1" si="141"/>
        <v>3.5082719923777597</v>
      </c>
      <c r="W217" s="20">
        <f t="shared" ca="1" si="141"/>
        <v>3.5784374322253147</v>
      </c>
      <c r="X217" s="20">
        <f t="shared" ca="1" si="141"/>
        <v>3.6500061808698212</v>
      </c>
      <c r="Y217" s="20">
        <f t="shared" ca="1" si="141"/>
        <v>3.7230063044872179</v>
      </c>
      <c r="Z217" s="20">
        <f t="shared" ca="1" si="141"/>
        <v>3.7974664305769625</v>
      </c>
    </row>
    <row r="218" spans="1:26" x14ac:dyDescent="0.25">
      <c r="A218" s="11" t="s">
        <v>1256</v>
      </c>
      <c r="D218" s="94">
        <f t="shared" ref="D218:P218" si="142">SUM(D$215:D$217)</f>
        <v>4.5540000000000003</v>
      </c>
      <c r="E218" s="94">
        <f t="shared" si="142"/>
        <v>5.2940000000000005</v>
      </c>
      <c r="F218" s="94">
        <f t="shared" si="142"/>
        <v>5.5660000000000007</v>
      </c>
      <c r="G218" s="94">
        <f t="shared" si="142"/>
        <v>6.1520000000000001</v>
      </c>
      <c r="H218" s="94">
        <f t="shared" si="142"/>
        <v>6.6009999999999991</v>
      </c>
      <c r="I218" s="94">
        <f t="shared" si="142"/>
        <v>7.6210000000000004</v>
      </c>
      <c r="J218" s="94">
        <f t="shared" si="142"/>
        <v>8.2940000000000005</v>
      </c>
      <c r="K218" s="94">
        <f t="shared" si="142"/>
        <v>8.6809999999999992</v>
      </c>
      <c r="L218" s="95">
        <f t="shared" si="142"/>
        <v>8.9619999999999997</v>
      </c>
      <c r="M218" s="95">
        <f t="shared" si="142"/>
        <v>9.2749999999999986</v>
      </c>
      <c r="N218" s="95">
        <f t="shared" si="142"/>
        <v>9.4580000000000002</v>
      </c>
      <c r="O218" s="95">
        <f t="shared" si="142"/>
        <v>9.8339999999999996</v>
      </c>
      <c r="P218" s="95">
        <f t="shared" si="142"/>
        <v>9.9480000000000004</v>
      </c>
      <c r="Q218" s="96">
        <f t="shared" ref="Q218:Z218" ca="1" si="143">SUM(Q$215:Q$217)</f>
        <v>9.7296873531633512</v>
      </c>
      <c r="R218" s="96">
        <f t="shared" ca="1" si="143"/>
        <v>9.8267814099919946</v>
      </c>
      <c r="S218" s="96">
        <f t="shared" ca="1" si="143"/>
        <v>9.92581734795721</v>
      </c>
      <c r="T218" s="96">
        <f t="shared" ca="1" si="143"/>
        <v>10.026834004681728</v>
      </c>
      <c r="U218" s="96">
        <f t="shared" ca="1" si="143"/>
        <v>10.129870994540738</v>
      </c>
      <c r="V218" s="96">
        <f t="shared" ca="1" si="143"/>
        <v>10.234968724196928</v>
      </c>
      <c r="W218" s="96">
        <f t="shared" ca="1" si="143"/>
        <v>10.342168408446243</v>
      </c>
      <c r="X218" s="96">
        <f t="shared" ca="1" si="143"/>
        <v>10.451512086380543</v>
      </c>
      <c r="Y218" s="96">
        <f t="shared" ca="1" si="143"/>
        <v>10.563042637873529</v>
      </c>
      <c r="Z218" s="96">
        <f t="shared" ca="1" si="143"/>
        <v>10.676803800396376</v>
      </c>
    </row>
    <row r="219" spans="1:26" x14ac:dyDescent="0.25">
      <c r="A219" s="11" t="s">
        <v>1257</v>
      </c>
      <c r="B219" s="14" t="str">
        <f>$B$38</f>
        <v>From Fiscal Forecasts</v>
      </c>
      <c r="D219" s="51">
        <f>'Fiscal Forecasts'!D$265</f>
        <v>0.29399999999999998</v>
      </c>
      <c r="E219" s="51">
        <f>'Fiscal Forecasts'!E$265</f>
        <v>0.57399999999999995</v>
      </c>
      <c r="F219" s="51">
        <f>'Fiscal Forecasts'!F$265</f>
        <v>0.37</v>
      </c>
      <c r="G219" s="51">
        <f>'Fiscal Forecasts'!G$265</f>
        <v>0.316</v>
      </c>
      <c r="H219" s="51">
        <f>'Fiscal Forecasts'!H$265</f>
        <v>0.29399999999999998</v>
      </c>
      <c r="I219" s="51">
        <f>'Fiscal Forecasts'!I$265</f>
        <v>0.33</v>
      </c>
      <c r="J219" s="51">
        <f>'Fiscal Forecasts'!J$265</f>
        <v>0.34799999999999998</v>
      </c>
      <c r="K219" s="51">
        <f>'Fiscal Forecasts'!K$265</f>
        <v>0.34699999999999998</v>
      </c>
      <c r="L219" s="47">
        <f>'Fiscal Forecasts'!L$265</f>
        <v>0.34899999999999998</v>
      </c>
      <c r="M219" s="47">
        <f>'Fiscal Forecasts'!M$265</f>
        <v>0.371</v>
      </c>
      <c r="N219" s="47">
        <f>'Fiscal Forecasts'!N$265</f>
        <v>0.39200000000000002</v>
      </c>
      <c r="O219" s="47">
        <f>'Fiscal Forecasts'!O$265</f>
        <v>0.375</v>
      </c>
      <c r="P219" s="47">
        <f>'Fiscal Forecasts'!P$265</f>
        <v>0.37</v>
      </c>
      <c r="Q219" s="21">
        <f ca="1">IF(Q$6=OFFSET(Assumptions!$B$8,0,$C$1),AVERAGE(N$219/M$427,O$219/N$427,P$219/O$427),P$219/O$427)*P$427</f>
        <v>0.33893854716370403</v>
      </c>
      <c r="R219" s="21">
        <f ca="1">IF(R$6=OFFSET(Assumptions!$B$8,0,$C$1),AVERAGE(O$219/N$427,P$219/O$427,Q$219/P$427),Q$219/P$427)*Q$427</f>
        <v>0.33893854716370403</v>
      </c>
      <c r="S219" s="21">
        <f ca="1">IF(S$6=OFFSET(Assumptions!$B$8,0,$C$1),AVERAGE(P$219/O$427,Q$219/P$427,R$219/Q$427),R$219/Q$427)*R$427</f>
        <v>0.33893854716370403</v>
      </c>
      <c r="T219" s="21">
        <f ca="1">IF(T$6=OFFSET(Assumptions!$B$8,0,$C$1),AVERAGE(Q$219/P$427,R$219/Q$427,S$219/R$427),S$219/R$427)*S$427</f>
        <v>0.33893854716370403</v>
      </c>
      <c r="U219" s="21">
        <f ca="1">IF(U$6=OFFSET(Assumptions!$B$8,0,$C$1),AVERAGE(R$219/Q$427,S$219/R$427,T$219/S$427),T$219/S$427)*T$427</f>
        <v>0.33893854716370403</v>
      </c>
      <c r="V219" s="21">
        <f ca="1">IF(V$6=OFFSET(Assumptions!$B$8,0,$C$1),AVERAGE(S$219/R$427,T$219/S$427,U$219/T$427),U$219/T$427)*U$427</f>
        <v>0.33893854716370403</v>
      </c>
      <c r="W219" s="21">
        <f ca="1">IF(W$6=OFFSET(Assumptions!$B$8,0,$C$1),AVERAGE(T$219/S$427,U$219/T$427,V$219/U$427),V$219/U$427)*V$427</f>
        <v>0.33893854716370403</v>
      </c>
      <c r="X219" s="21">
        <f ca="1">IF(X$6=OFFSET(Assumptions!$B$8,0,$C$1),AVERAGE(U$219/T$427,V$219/U$427,W$219/V$427),W$219/V$427)*W$427</f>
        <v>0.33893854716370403</v>
      </c>
      <c r="Y219" s="21">
        <f ca="1">IF(Y$6=OFFSET(Assumptions!$B$8,0,$C$1),AVERAGE(V$219/U$427,W$219/V$427,X$219/W$427),X$219/W$427)*X$427</f>
        <v>0.33893854716370403</v>
      </c>
      <c r="Z219" s="21">
        <f ca="1">IF(Z$6=OFFSET(Assumptions!$B$8,0,$C$1),AVERAGE(W$219/V$427,X$219/W$427,Y$219/X$427),Y$219/X$427)*Y$427</f>
        <v>0.33893854716370403</v>
      </c>
    </row>
    <row r="220" spans="1:26" x14ac:dyDescent="0.25">
      <c r="A220" s="11" t="s">
        <v>1258</v>
      </c>
      <c r="B220" s="14" t="str">
        <f>$B$38</f>
        <v>From Fiscal Forecasts</v>
      </c>
      <c r="D220" s="50">
        <f>SUM('Fiscal Forecasts'!D$266:D$267)</f>
        <v>0.64</v>
      </c>
      <c r="E220" s="50">
        <f>SUM('Fiscal Forecasts'!E$266:E$267)</f>
        <v>1.8010000000000002</v>
      </c>
      <c r="F220" s="50">
        <f>SUM('Fiscal Forecasts'!F$266:F$267)</f>
        <v>0.82799999999999996</v>
      </c>
      <c r="G220" s="50">
        <f>SUM('Fiscal Forecasts'!G$266:G$267)</f>
        <v>-0.54</v>
      </c>
      <c r="H220" s="50">
        <f>SUM('Fiscal Forecasts'!H$266:H$267)</f>
        <v>0.76800000000000002</v>
      </c>
      <c r="I220" s="50">
        <f>SUM('Fiscal Forecasts'!I$266:I$267)</f>
        <v>0.71100000000000008</v>
      </c>
      <c r="J220" s="50">
        <f>SUM('Fiscal Forecasts'!J$266:J$267)</f>
        <v>0.54699999999999993</v>
      </c>
      <c r="K220" s="50">
        <f>SUM('Fiscal Forecasts'!K$266:K$267)</f>
        <v>0.51300000000000001</v>
      </c>
      <c r="L220" s="48">
        <f>SUM('Fiscal Forecasts'!L$266:L$267)</f>
        <v>0.52200000000000002</v>
      </c>
      <c r="M220" s="48">
        <f>SUM('Fiscal Forecasts'!M$266:M$267)</f>
        <v>0.52100000000000002</v>
      </c>
      <c r="N220" s="48">
        <f>SUM('Fiscal Forecasts'!N$266:N$267)</f>
        <v>0.52200000000000002</v>
      </c>
      <c r="O220" s="48">
        <f>SUM('Fiscal Forecasts'!O$266:O$267)</f>
        <v>0.503</v>
      </c>
      <c r="P220" s="48">
        <f>SUM('Fiscal Forecasts'!P$266:P$267)</f>
        <v>0.48699999999999999</v>
      </c>
      <c r="Q220" s="21">
        <f ca="1">IF(Q$6=OFFSET(Assumptions!$B$8,0,$C$1),AVERAGE(N$220/M$428,O$220/N$428,P$220/O$428),P$220/O$428)*P$428</f>
        <v>0.53212235039807609</v>
      </c>
      <c r="R220" s="21">
        <f ca="1">IF(R$6=OFFSET(Assumptions!$B$8,0,$C$1),AVERAGE(O$220/N$428,P$220/O$428,Q$220/P$428),Q$220/P$428)*Q$428</f>
        <v>0.55528610953016788</v>
      </c>
      <c r="S220" s="21">
        <f ca="1">IF(S$6=OFFSET(Assumptions!$B$8,0,$C$1),AVERAGE(P$220/O$428,Q$220/P$428,R$220/Q$428),R$220/Q$428)*R$428</f>
        <v>0.57892193652440305</v>
      </c>
      <c r="T220" s="21">
        <f ca="1">IF(T$6=OFFSET(Assumptions!$B$8,0,$C$1),AVERAGE(Q$220/P$428,R$220/Q$428,S$220/R$428),S$220/R$428)*S$428</f>
        <v>0.60318394242317952</v>
      </c>
      <c r="U220" s="21">
        <f ca="1">IF(U$6=OFFSET(Assumptions!$B$8,0,$C$1),AVERAGE(R$220/Q$428,S$220/R$428,T$220/S$428),T$220/S$428)*T$428</f>
        <v>0.62801537807835695</v>
      </c>
      <c r="V220" s="21">
        <f ca="1">IF(V$6=OFFSET(Assumptions!$B$8,0,$C$1),AVERAGE(S$220/R$428,T$220/S$428,U$220/T$428),U$220/T$428)*U$428</f>
        <v>0.65371270422022476</v>
      </c>
      <c r="W220" s="21">
        <f ca="1">IF(W$6=OFFSET(Assumptions!$B$8,0,$C$1),AVERAGE(T$220/S$428,U$220/T$428,V$220/U$428),V$220/U$428)*V$428</f>
        <v>0.68028505979586884</v>
      </c>
      <c r="X220" s="21">
        <f ca="1">IF(X$6=OFFSET(Assumptions!$B$8,0,$C$1),AVERAGE(U$220/T$428,V$220/U$428,W$220/V$428),W$220/V$428)*W$428</f>
        <v>0.70759838771072869</v>
      </c>
      <c r="Y220" s="21">
        <f ca="1">IF(Y$6=OFFSET(Assumptions!$B$8,0,$C$1),AVERAGE(V$220/U$428,W$220/V$428,X$220/W$428),X$220/W$428)*X$428</f>
        <v>0.73569822626187076</v>
      </c>
      <c r="Z220" s="21">
        <f ca="1">IF(Z$6=OFFSET(Assumptions!$B$8,0,$C$1),AVERAGE(W$220/V$428,X$220/W$428,Y$220/X$428),Y$220/X$428)*Y$428</f>
        <v>0.76473151997825062</v>
      </c>
    </row>
    <row r="221" spans="1:26" x14ac:dyDescent="0.25">
      <c r="A221" s="11"/>
    </row>
    <row r="222" spans="1:26" x14ac:dyDescent="0.25">
      <c r="A222" s="11" t="s">
        <v>873</v>
      </c>
    </row>
    <row r="223" spans="1:26" x14ac:dyDescent="0.25">
      <c r="A223" s="11" t="s">
        <v>1259</v>
      </c>
      <c r="B223" s="14" t="str">
        <f>$B$38</f>
        <v>From Fiscal Forecasts</v>
      </c>
      <c r="D223" s="51">
        <f>'Fiscal Forecasts'!D$270</f>
        <v>44.959000000000003</v>
      </c>
      <c r="E223" s="51">
        <f>'Fiscal Forecasts'!E$270</f>
        <v>51.832999999999998</v>
      </c>
      <c r="F223" s="51">
        <f>'Fiscal Forecasts'!F$270</f>
        <v>58.084000000000003</v>
      </c>
      <c r="G223" s="51">
        <f>'Fiscal Forecasts'!G$270</f>
        <v>65.543000000000006</v>
      </c>
      <c r="H223" s="51">
        <f>'Fiscal Forecasts'!H$270</f>
        <v>68.150000000000006</v>
      </c>
      <c r="I223" s="51">
        <f>'Fiscal Forecasts'!I$270</f>
        <v>72.72</v>
      </c>
      <c r="J223" s="51">
        <f>'Fiscal Forecasts'!J$270</f>
        <v>72.67</v>
      </c>
      <c r="K223" s="51">
        <f>'Fiscal Forecasts'!K$270</f>
        <v>74.334000000000003</v>
      </c>
      <c r="L223" s="47">
        <f ca="1">'Fiscal Forecasts'!L$270+IF(OFFSET(Assumptions!$B$57,0,$C$1)="Yes",SUM(Allocation!C$10:C$20),0)</f>
        <v>79.567999999999998</v>
      </c>
      <c r="M223" s="47">
        <f ca="1">'Fiscal Forecasts'!M$270+IF(OFFSET(Assumptions!$B$57,0,$C$1)="Yes",SUM(Allocation!D$10:D$20),0)</f>
        <v>76.983000000000004</v>
      </c>
      <c r="N223" s="47">
        <f ca="1">'Fiscal Forecasts'!N$270+IF(OFFSET(Assumptions!$B$57,0,$C$1)="Yes",SUM(Allocation!E$10:E$20),0)</f>
        <v>77.331000000000003</v>
      </c>
      <c r="O223" s="47">
        <f ca="1">'Fiscal Forecasts'!O$270+IF(OFFSET(Assumptions!$B$57,0,$C$1)="Yes",SUM(Allocation!F$10:F$20),0)</f>
        <v>77.119</v>
      </c>
      <c r="P223" s="47">
        <f ca="1">'Fiscal Forecasts'!P$270+IF(OFFSET(Assumptions!$B$57,0,$C$1)="Yes",SUM(Allocation!G$10:G$20),0)</f>
        <v>77.394999999999996</v>
      </c>
      <c r="Q223" s="21">
        <f ca="1">SUM(-Q$215,Q$324,IF(Q$6=OFFSET(Assumptions!$B$8,0,$C$1),AVERAGE((N$223+N$215-N$324)/SUM(N$208,N$215,N$223,-N$252,-N$324),(O$223+O$215-O$324)/SUM(O$208,O$215,O$223,-O$252,-O$324),(P$223+P$215-P$324)/SUM(P$208,P$215,P$223,-P$252,-P$324)),(P$223+P$215-P$324)/SUM(P$208,P$215,P$223,-P$252,-P$324))*(Q$323-Q$256-Q$264))</f>
        <v>78.248035614232506</v>
      </c>
      <c r="R223" s="21">
        <f ca="1">SUM(-R$215,R$324,IF(R$6=OFFSET(Assumptions!$B$8,0,$C$1),AVERAGE((O$223+O$215-O$324)/SUM(O$208,O$215,O$223,-O$252,-O$324),(P$223+P$215-P$324)/SUM(P$208,P$215,P$223,-P$252,-P$324),(Q$223+Q$215-Q$324)/SUM(Q$208,Q$215,Q$223,-Q$252,-Q$324)),(Q$223+Q$215-Q$324)/SUM(Q$208,Q$215,Q$223,-Q$252,-Q$324))*(R$323-R$256-R$264))</f>
        <v>78.360803444641803</v>
      </c>
      <c r="S223" s="21">
        <f ca="1">SUM(-S$215,S$324,IF(S$6=OFFSET(Assumptions!$B$8,0,$C$1),AVERAGE((P$223+P$215-P$324)/SUM(P$208,P$215,P$223,-P$252,-P$324),(Q$223+Q$215-Q$324)/SUM(Q$208,Q$215,Q$223,-Q$252,-Q$324),(R$223+R$215-R$324)/SUM(R$208,R$215,R$223,-R$252,-R$324)),(R$223+R$215-R$324)/SUM(R$208,R$215,R$223,-R$252,-R$324))*(S$323-S$256-S$264))</f>
        <v>78.456352012985789</v>
      </c>
      <c r="T223" s="21">
        <f ca="1">SUM(-T$215,T$324,IF(T$6=OFFSET(Assumptions!$B$8,0,$C$1),AVERAGE((Q$223+Q$215-Q$324)/SUM(Q$208,Q$215,Q$223,-Q$252,-Q$324),(R$223+R$215-R$324)/SUM(R$208,R$215,R$223,-R$252,-R$324),(S$223+S$215-S$324)/SUM(S$208,S$215,S$223,-S$252,-S$324)),(S$223+S$215-S$324)/SUM(S$208,S$215,S$223,-S$252,-S$324))*(T$323-T$256-T$264))</f>
        <v>78.775793777486172</v>
      </c>
      <c r="U223" s="21">
        <f ca="1">SUM(-U$215,U$324,IF(U$6=OFFSET(Assumptions!$B$8,0,$C$1),AVERAGE((R$223+R$215-R$324)/SUM(R$208,R$215,R$223,-R$252,-R$324),(S$223+S$215-S$324)/SUM(S$208,S$215,S$223,-S$252,-S$324),(T$223+T$215-T$324)/SUM(T$208,T$215,T$223,-T$252,-T$324)),(T$223+T$215-T$324)/SUM(T$208,T$215,T$223,-T$252,-T$324))*(U$323-U$256-U$264))</f>
        <v>79.207624493503332</v>
      </c>
      <c r="V223" s="21">
        <f ca="1">SUM(-V$215,V$324,IF(V$6=OFFSET(Assumptions!$B$8,0,$C$1),AVERAGE((S$223+S$215-S$324)/SUM(S$208,S$215,S$223,-S$252,-S$324),(T$223+T$215-T$324)/SUM(T$208,T$215,T$223,-T$252,-T$324),(U$223+U$215-U$324)/SUM(U$208,U$215,U$223,-U$252,-U$324)),(U$223+U$215-U$324)/SUM(U$208,U$215,U$223,-U$252,-U$324))*(V$323-V$256-V$264))</f>
        <v>79.651143359102406</v>
      </c>
      <c r="W223" s="21">
        <f ca="1">SUM(-W$215,W$324,IF(W$6=OFFSET(Assumptions!$B$8,0,$C$1),AVERAGE((T$223+T$215-T$324)/SUM(T$208,T$215,T$223,-T$252,-T$324),(U$223+U$215-U$324)/SUM(U$208,U$215,U$223,-U$252,-U$324),(V$223+V$215-V$324)/SUM(V$208,V$215,V$223,-V$252,-V$324)),(V$223+V$215-V$324)/SUM(V$208,V$215,V$223,-V$252,-V$324))*(W$323-W$256-W$264))</f>
        <v>80.108755087737734</v>
      </c>
      <c r="X223" s="21">
        <f ca="1">SUM(-X$215,X$324,IF(X$6=OFFSET(Assumptions!$B$8,0,$C$1),AVERAGE((U$223+U$215-U$324)/SUM(U$208,U$215,U$223,-U$252,-U$324),(V$223+V$215-V$324)/SUM(V$208,V$215,V$223,-V$252,-V$324),(W$223+W$215-W$324)/SUM(W$208,W$215,W$223,-W$252,-W$324)),(W$223+W$215-W$324)/SUM(W$208,W$215,W$223,-W$252,-W$324))*(X$323-X$256-X$264))</f>
        <v>80.579425792650639</v>
      </c>
      <c r="Y223" s="21">
        <f ca="1">SUM(-Y$215,Y$324,IF(Y$6=OFFSET(Assumptions!$B$8,0,$C$1),AVERAGE((V$223+V$215-V$324)/SUM(V$208,V$215,V$223,-V$252,-V$324),(W$223+W$215-W$324)/SUM(W$208,W$215,W$223,-W$252,-W$324),(X$223+X$215-X$324)/SUM(X$208,X$215,X$223,-X$252,-X$324)),(X$223+X$215-X$324)/SUM(X$208,X$215,X$223,-X$252,-X$324))*(Y$323-Y$256-Y$264))</f>
        <v>81.065546070760661</v>
      </c>
      <c r="Z223" s="21">
        <f ca="1">SUM(-Z$215,Z$324,IF(Z$6=OFFSET(Assumptions!$B$8,0,$C$1),AVERAGE((W$223+W$215-W$324)/SUM(W$208,W$215,W$223,-W$252,-W$324),(X$223+X$215-X$324)/SUM(X$208,X$215,X$223,-X$252,-X$324),(Y$223+Y$215-Y$324)/SUM(Y$208,Y$215,Y$223,-Y$252,-Y$324)),(Y$223+Y$215-Y$324)/SUM(Y$208,Y$215,Y$223,-Y$252,-Y$324))*(Z$323-Z$256-Z$264))</f>
        <v>81.567634053663625</v>
      </c>
    </row>
    <row r="224" spans="1:26" x14ac:dyDescent="0.25">
      <c r="A224" s="12" t="s">
        <v>1020</v>
      </c>
      <c r="B224" s="14" t="str">
        <f>$B$38</f>
        <v>From Fiscal Forecasts</v>
      </c>
      <c r="D224" s="50">
        <f>'Fiscal Forecasts'!D$271</f>
        <v>22.132999999999999</v>
      </c>
      <c r="E224" s="50">
        <f>'Fiscal Forecasts'!E$271</f>
        <v>25.504999999999999</v>
      </c>
      <c r="F224" s="50">
        <f>'Fiscal Forecasts'!F$271</f>
        <v>25.257000000000001</v>
      </c>
      <c r="G224" s="50">
        <f>'Fiscal Forecasts'!G$271</f>
        <v>27.652000000000001</v>
      </c>
      <c r="H224" s="50">
        <f>'Fiscal Forecasts'!H$271</f>
        <v>33.918999999999997</v>
      </c>
      <c r="I224" s="50">
        <f>'Fiscal Forecasts'!I$271</f>
        <v>34.594999999999999</v>
      </c>
      <c r="J224" s="50">
        <f>'Fiscal Forecasts'!J$271</f>
        <v>34.951000000000001</v>
      </c>
      <c r="K224" s="50">
        <f>'Fiscal Forecasts'!K$271</f>
        <v>35.914000000000001</v>
      </c>
      <c r="L224" s="48">
        <f>'Fiscal Forecasts'!L$271</f>
        <v>38.064999999999998</v>
      </c>
      <c r="M224" s="48">
        <f>'Fiscal Forecasts'!M$271</f>
        <v>36.436</v>
      </c>
      <c r="N224" s="48">
        <f>'Fiscal Forecasts'!N$271</f>
        <v>36.185000000000002</v>
      </c>
      <c r="O224" s="48">
        <f>'Fiscal Forecasts'!O$271</f>
        <v>36.218000000000004</v>
      </c>
      <c r="P224" s="48">
        <f>'Fiscal Forecasts'!P$271</f>
        <v>36.292999999999999</v>
      </c>
      <c r="Q224" s="20">
        <f ca="1">SUM(-Q$216,IF(Q$6=OFFSET(Assumptions!$B$8,0,$C$1),AVERAGE(SUM(N$216,N$224)/SUM(N$209,-(N$253-N$252),N$216,N$224),SUM(O$216,O$224)/SUM(O$209,-(O$253-O$252),O$216,O$224),SUM(P$216,P$224)/SUM(P$209,-(P$253-P$252),P$216,P$224)),SUM(P$216,P$224)/SUM(P$209,-(P$253-P$252),P$216,P$224))*SUM(Q$198-Q$239,Q$257,Q$266,Q$284,Q$326,-(Q$253-Q$252)))</f>
        <v>36.547158559487649</v>
      </c>
      <c r="R224" s="20">
        <f ca="1">SUM(-R$216,IF(R$6=OFFSET(Assumptions!$B$8,0,$C$1),AVERAGE(SUM(O$216,O$224)/SUM(O$209,-(O$253-O$252),O$216,O$224),SUM(P$216,P$224)/SUM(P$209,-(P$253-P$252),P$216,P$224),SUM(Q$216,Q$224)/SUM(Q$209,-(Q$253-Q$252),Q$216,Q$224)),SUM(Q$216,Q$224)/SUM(Q$209,-(Q$253-Q$252),Q$216,Q$224))*SUM(R$198-R$239,R$257,R$266,R$284,R$326,-(R$253-R$252)))</f>
        <v>36.728305460868114</v>
      </c>
      <c r="S224" s="20">
        <f ca="1">SUM(-S$216,IF(S$6=OFFSET(Assumptions!$B$8,0,$C$1),AVERAGE(SUM(P$216,P$224)/SUM(P$209,-(P$253-P$252),P$216,P$224),SUM(Q$216,Q$224)/SUM(Q$209,-(Q$253-Q$252),Q$216,Q$224),SUM(R$216,R$224)/SUM(R$209,-(R$253-R$252),R$216,R$224)),SUM(R$216,R$224)/SUM(R$209,-(R$253-R$252),R$216,R$224))*SUM(S$198-S$239,S$257,S$266,S$284,S$326,-(S$253-S$252)))</f>
        <v>36.899125813086997</v>
      </c>
      <c r="T224" s="20">
        <f ca="1">SUM(-T$216,IF(T$6=OFFSET(Assumptions!$B$8,0,$C$1),AVERAGE(SUM(Q$216,Q$224)/SUM(Q$209,-(Q$253-Q$252),Q$216,Q$224),SUM(R$216,R$224)/SUM(R$209,-(R$253-R$252),R$216,R$224),SUM(S$216,S$224)/SUM(S$209,-(S$253-S$252),S$216,S$224)),SUM(S$216,S$224)/SUM(S$209,-(S$253-S$252),S$216,S$224))*SUM(T$198-T$239,T$257,T$266,T$284,T$326,-(T$253-T$252)))</f>
        <v>37.199882350287318</v>
      </c>
      <c r="U224" s="20">
        <f ca="1">SUM(-U$216,IF(U$6=OFFSET(Assumptions!$B$8,0,$C$1),AVERAGE(SUM(R$216,R$224)/SUM(R$209,-(R$253-R$252),R$216,R$224),SUM(S$216,S$224)/SUM(S$209,-(S$253-S$252),S$216,S$224),SUM(T$216,T$224)/SUM(T$209,-(T$253-T$252),T$216,T$224)),SUM(T$216,T$224)/SUM(T$209,-(T$253-T$252),T$216,T$224))*SUM(U$198-U$239,U$257,U$266,U$284,U$326,-(U$253-U$252)))</f>
        <v>37.575273208052273</v>
      </c>
      <c r="V224" s="20">
        <f ca="1">SUM(-V$216,IF(V$6=OFFSET(Assumptions!$B$8,0,$C$1),AVERAGE(SUM(S$216,S$224)/SUM(S$209,-(S$253-S$252),S$216,S$224),SUM(T$216,T$224)/SUM(T$209,-(T$253-T$252),T$216,T$224),SUM(U$216,U$224)/SUM(U$209,-(U$253-U$252),U$216,U$224)),SUM(U$216,U$224)/SUM(U$209,-(U$253-U$252),U$216,U$224))*SUM(V$198-V$239,V$257,V$266,V$284,V$326,-(V$253-V$252)))</f>
        <v>37.959367077075427</v>
      </c>
      <c r="W224" s="20">
        <f ca="1">SUM(-W$216,IF(W$6=OFFSET(Assumptions!$B$8,0,$C$1),AVERAGE(SUM(T$216,T$224)/SUM(T$209,-(T$253-T$252),T$216,T$224),SUM(U$216,U$224)/SUM(U$209,-(U$253-U$252),U$216,U$224),SUM(V$216,V$224)/SUM(V$209,-(V$253-V$252),V$216,V$224)),SUM(V$216,V$224)/SUM(V$209,-(V$253-V$252),V$216,V$224))*SUM(W$198-W$239,W$257,W$266,W$284,W$326,-(W$253-W$252)))</f>
        <v>38.3546685138515</v>
      </c>
      <c r="X224" s="20">
        <f ca="1">SUM(-X$216,IF(X$6=OFFSET(Assumptions!$B$8,0,$C$1),AVERAGE(SUM(U$216,U$224)/SUM(U$209,-(U$253-U$252),U$216,U$224),SUM(V$216,V$224)/SUM(V$209,-(V$253-V$252),V$216,V$224),SUM(W$216,W$224)/SUM(W$209,-(W$253-W$252),W$216,W$224)),SUM(W$216,W$224)/SUM(W$209,-(W$253-W$252),W$216,W$224))*SUM(X$198-X$239,X$257,X$266,X$284,X$326,-(X$253-X$252)))</f>
        <v>38.762183992043269</v>
      </c>
      <c r="Y224" s="20">
        <f ca="1">SUM(-Y$216,IF(Y$6=OFFSET(Assumptions!$B$8,0,$C$1),AVERAGE(SUM(V$216,V$224)/SUM(V$209,-(V$253-V$252),V$216,V$224),SUM(W$216,W$224)/SUM(W$209,-(W$253-W$252),W$216,W$224),SUM(X$216,X$224)/SUM(X$209,-(X$253-X$252),X$216,X$224)),SUM(X$216,X$224)/SUM(X$209,-(X$253-X$252),X$216,X$224))*SUM(Y$198-Y$239,Y$257,Y$266,Y$284,Y$326,-(Y$253-Y$252)))</f>
        <v>39.17693947233424</v>
      </c>
      <c r="Z224" s="20">
        <f ca="1">SUM(-Z$216,IF(Z$6=OFFSET(Assumptions!$B$8,0,$C$1),AVERAGE(SUM(W$216,W$224)/SUM(W$209,-(W$253-W$252),W$216,W$224),SUM(X$216,X$224)/SUM(X$209,-(X$253-X$252),X$216,X$224),SUM(Y$216,Y$224)/SUM(Y$209,-(Y$253-Y$252),Y$216,Y$224)),SUM(Y$216,Y$224)/SUM(Y$209,-(Y$253-Y$252),Y$216,Y$224))*SUM(Z$198-Z$239,Z$257,Z$266,Z$284,Z$326,-(Z$253-Z$252)))</f>
        <v>39.607289308759356</v>
      </c>
    </row>
    <row r="225" spans="1:26" x14ac:dyDescent="0.25">
      <c r="A225" s="12" t="s">
        <v>1227</v>
      </c>
      <c r="B225" s="14" t="str">
        <f>$B$38</f>
        <v>From Fiscal Forecasts</v>
      </c>
      <c r="D225" s="50">
        <f>'Fiscal Forecasts'!D$272</f>
        <v>9.4740000000000002</v>
      </c>
      <c r="E225" s="50">
        <f>'Fiscal Forecasts'!E$272</f>
        <v>12.164999999999999</v>
      </c>
      <c r="F225" s="50">
        <f>'Fiscal Forecasts'!F$272</f>
        <v>11.702999999999999</v>
      </c>
      <c r="G225" s="50">
        <f>'Fiscal Forecasts'!G$272</f>
        <v>9.8040000000000003</v>
      </c>
      <c r="H225" s="50">
        <f>'Fiscal Forecasts'!H$272</f>
        <v>12.132</v>
      </c>
      <c r="I225" s="50">
        <f>'Fiscal Forecasts'!I$272</f>
        <v>16.550999999999998</v>
      </c>
      <c r="J225" s="50">
        <f>'Fiscal Forecasts'!J$272</f>
        <v>15.942</v>
      </c>
      <c r="K225" s="50">
        <f>'Fiscal Forecasts'!K$272</f>
        <v>13.926</v>
      </c>
      <c r="L225" s="48">
        <f>'Fiscal Forecasts'!L$272</f>
        <v>15.935</v>
      </c>
      <c r="M225" s="48">
        <f>'Fiscal Forecasts'!M$272</f>
        <v>15.486000000000001</v>
      </c>
      <c r="N225" s="48">
        <f>'Fiscal Forecasts'!N$272</f>
        <v>15.907999999999999</v>
      </c>
      <c r="O225" s="48">
        <f>'Fiscal Forecasts'!O$272</f>
        <v>16.349</v>
      </c>
      <c r="P225" s="48">
        <f>'Fiscal Forecasts'!P$272</f>
        <v>16.396000000000001</v>
      </c>
      <c r="Q225" s="20">
        <f ca="1">SUM(-Q$217,IF(Q$6=OFFSET(Assumptions!$B$8,0,$C$1),AVERAGE(SUM(N$217,N$225)/SUM(N$210,N$217,N$225),SUM(O$217,O$225)/SUM(O$210,O$217,O$225),SUM(P$217,P$225)/SUM(P$210,P$217,P$225)),SUM(P$217,P$225)/SUM(P$210,P$217,P$225))*SUM(Q$285,Q$327-Q$240))</f>
        <v>17.384180550105988</v>
      </c>
      <c r="R225" s="20">
        <f ca="1">SUM(-R$217,IF(R$6=OFFSET(Assumptions!$B$8,0,$C$1),AVERAGE(SUM(O$217,O$225)/SUM(O$210,O$217,O$225),SUM(P$217,P$225)/SUM(P$210,P$217,P$225),SUM(Q$217,Q$225)/SUM(Q$210,Q$217,Q$225)),SUM(Q$217,Q$225)/SUM(Q$210,Q$217,Q$225))*SUM(R$285,R$327-R$240))</f>
        <v>18.090734684676782</v>
      </c>
      <c r="S225" s="20">
        <f ca="1">SUM(-S$217,IF(S$6=OFFSET(Assumptions!$B$8,0,$C$1),AVERAGE(SUM(P$217,P$225)/SUM(P$210,P$217,P$225),SUM(Q$217,Q$225)/SUM(Q$210,Q$217,Q$225),SUM(R$217,R$225)/SUM(R$210,R$217,R$225)),SUM(R$217,R$225)/SUM(R$210,R$217,R$225))*SUM(S$285,S$327-S$240))</f>
        <v>18.81482120598487</v>
      </c>
      <c r="T225" s="20">
        <f ca="1">SUM(-T$217,IF(T$6=OFFSET(Assumptions!$B$8,0,$C$1),AVERAGE(SUM(Q$217,Q$225)/SUM(Q$210,Q$217,Q$225),SUM(R$217,R$225)/SUM(R$210,R$217,R$225),SUM(S$217,S$225)/SUM(S$210,S$217,S$225)),SUM(S$217,S$225)/SUM(S$210,S$217,S$225))*SUM(T$285,T$327-T$240))</f>
        <v>19.552117954503771</v>
      </c>
      <c r="U225" s="20">
        <f ca="1">SUM(-U$217,IF(U$6=OFFSET(Assumptions!$B$8,0,$C$1),AVERAGE(SUM(R$217,R$225)/SUM(R$210,R$217,R$225),SUM(S$217,S$225)/SUM(S$210,S$217,S$225),SUM(T$217,T$225)/SUM(T$210,T$217,T$225)),SUM(T$217,T$225)/SUM(T$210,T$217,T$225))*SUM(U$285,U$327-U$240))</f>
        <v>20.31394557724968</v>
      </c>
      <c r="V225" s="20">
        <f ca="1">SUM(-V$217,IF(V$6=OFFSET(Assumptions!$B$8,0,$C$1),AVERAGE(SUM(S$217,S$225)/SUM(S$210,S$217,S$225),SUM(T$217,T$225)/SUM(T$210,T$217,T$225),SUM(U$217,U$225)/SUM(U$210,U$217,U$225)),SUM(U$217,U$225)/SUM(U$210,U$217,U$225))*SUM(V$285,V$327-V$240))</f>
        <v>21.097393273455673</v>
      </c>
      <c r="W225" s="20">
        <f ca="1">SUM(-W$217,IF(W$6=OFFSET(Assumptions!$B$8,0,$C$1),AVERAGE(SUM(T$217,T$225)/SUM(T$210,T$217,T$225),SUM(U$217,U$225)/SUM(U$210,U$217,U$225),SUM(V$217,V$225)/SUM(V$210,V$217,V$225)),SUM(V$217,V$225)/SUM(V$210,V$217,V$225))*SUM(W$285,W$327-W$240))</f>
        <v>21.890689224573418</v>
      </c>
      <c r="X225" s="20">
        <f ca="1">SUM(-X$217,IF(X$6=OFFSET(Assumptions!$B$8,0,$C$1),AVERAGE(SUM(U$217,U$225)/SUM(U$210,U$217,U$225),SUM(V$217,V$225)/SUM(V$210,V$217,V$225),SUM(W$217,W$225)/SUM(W$210,W$217,W$225)),SUM(W$217,W$225)/SUM(W$210,W$217,W$225))*SUM(X$285,X$327-X$240))</f>
        <v>22.704597868053508</v>
      </c>
      <c r="Y225" s="20">
        <f ca="1">SUM(-Y$217,IF(Y$6=OFFSET(Assumptions!$B$8,0,$C$1),AVERAGE(SUM(V$217,V$225)/SUM(V$210,V$217,V$225),SUM(W$217,W$225)/SUM(W$210,W$217,W$225),SUM(X$217,X$225)/SUM(X$210,X$217,X$225)),SUM(X$217,X$225)/SUM(X$210,X$217,X$225))*SUM(Y$285,Y$327-Y$240))</f>
        <v>23.545432516273799</v>
      </c>
      <c r="Z225" s="20">
        <f ca="1">SUM(-Z$217,IF(Z$6=OFFSET(Assumptions!$B$8,0,$C$1),AVERAGE(SUM(W$217,W$225)/SUM(W$210,W$217,W$225),SUM(X$217,X$225)/SUM(X$210,X$217,X$225),SUM(Y$217,Y$225)/SUM(Y$210,Y$217,Y$225)),SUM(Y$217,Y$225)/SUM(Y$210,Y$217,Y$225))*SUM(Z$285,Z$327-Z$240))</f>
        <v>24.410354490221003</v>
      </c>
    </row>
    <row r="226" spans="1:26" x14ac:dyDescent="0.25">
      <c r="A226" s="12" t="s">
        <v>1228</v>
      </c>
      <c r="B226" s="14" t="str">
        <f>$B$38</f>
        <v>From Fiscal Forecasts</v>
      </c>
      <c r="D226" s="50">
        <f>'Fiscal Forecasts'!D$273</f>
        <v>-33.872999999999998</v>
      </c>
      <c r="E226" s="50">
        <f>'Fiscal Forecasts'!E$273</f>
        <v>-36.92</v>
      </c>
      <c r="F226" s="50">
        <f>'Fiscal Forecasts'!F$273</f>
        <v>-41.241999999999997</v>
      </c>
      <c r="G226" s="50">
        <f>'Fiscal Forecasts'!G$273</f>
        <v>-44.725999999999999</v>
      </c>
      <c r="H226" s="50">
        <f>'Fiscal Forecasts'!H$273</f>
        <v>-50.067</v>
      </c>
      <c r="I226" s="50">
        <f>'Fiscal Forecasts'!I$273</f>
        <v>-53.246000000000002</v>
      </c>
      <c r="J226" s="50">
        <f>'Fiscal Forecasts'!J$273</f>
        <v>-53.735999999999997</v>
      </c>
      <c r="K226" s="50">
        <f>'Fiscal Forecasts'!K$273</f>
        <v>-56.573</v>
      </c>
      <c r="L226" s="48">
        <f>'Fiscal Forecasts'!L$273</f>
        <v>-58.744</v>
      </c>
      <c r="M226" s="48">
        <f>'Fiscal Forecasts'!M$273</f>
        <v>-58.534999999999997</v>
      </c>
      <c r="N226" s="48">
        <f>'Fiscal Forecasts'!N$273</f>
        <v>-58.863999999999997</v>
      </c>
      <c r="O226" s="48">
        <f>'Fiscal Forecasts'!O$273</f>
        <v>-59.152000000000001</v>
      </c>
      <c r="P226" s="48">
        <f>'Fiscal Forecasts'!P$273</f>
        <v>-59.59</v>
      </c>
      <c r="Q226" s="20">
        <f ca="1">IF(Q$6=OFFSET(Assumptions!$B$8,0,$C$1),AVERAGE(N$226/SUM(N$211,N$226),O$226/SUM(O$211,O$226),P$226/SUM(P$211,P$226)),P$226/SUM(P$211,P$226))*SUM(Q$199,Q$258,Q$267,Q$286,Q$328)</f>
        <v>-61.559692723982657</v>
      </c>
      <c r="R226" s="20">
        <f ca="1">IF(R$6=OFFSET(Assumptions!$B$8,0,$C$1),AVERAGE(O$226/SUM(O$211,O$226),P$226/SUM(P$211,P$226),Q$226/SUM(Q$211,Q$226)),Q$226/SUM(Q$211,Q$226))*SUM(R$199,R$258,R$267,R$286,R$328)</f>
        <v>-61.924113487075189</v>
      </c>
      <c r="S226" s="20">
        <f ca="1">IF(S$6=OFFSET(Assumptions!$B$8,0,$C$1),AVERAGE(P$226/SUM(P$211,P$226),Q$226/SUM(Q$211,Q$226),R$226/SUM(R$211,R$226)),R$226/SUM(R$211,R$226))*SUM(S$199,S$258,S$267,S$286,S$328)</f>
        <v>-62.293673655207613</v>
      </c>
      <c r="T226" s="20">
        <f ca="1">IF(T$6=OFFSET(Assumptions!$B$8,0,$C$1),AVERAGE(Q$226/SUM(Q$211,Q$226),R$226/SUM(R$211,R$226),S$226/SUM(S$211,S$226)),S$226/SUM(S$211,S$226))*SUM(T$199,T$258,T$267,T$286,T$328)</f>
        <v>-62.912607763157588</v>
      </c>
      <c r="U226" s="20">
        <f ca="1">IF(U$6=OFFSET(Assumptions!$B$8,0,$C$1),AVERAGE(R$226/SUM(R$211,R$226),S$226/SUM(S$211,S$226),T$226/SUM(T$211,T$226)),T$226/SUM(T$211,T$226))*SUM(U$199,U$258,U$267,U$286,U$328)</f>
        <v>-63.671306245881247</v>
      </c>
      <c r="V226" s="20">
        <f ca="1">IF(V$6=OFFSET(Assumptions!$B$8,0,$C$1),AVERAGE(S$226/SUM(S$211,S$226),T$226/SUM(T$211,T$226),U$226/SUM(U$211,U$226)),U$226/SUM(U$211,U$226))*SUM(V$199,V$258,V$267,V$286,V$328)</f>
        <v>-64.288576120471348</v>
      </c>
      <c r="W226" s="20">
        <f ca="1">IF(W$6=OFFSET(Assumptions!$B$8,0,$C$1),AVERAGE(T$226/SUM(T$211,T$226),U$226/SUM(U$211,U$226),V$226/SUM(V$211,V$226)),V$226/SUM(V$211,V$226))*SUM(W$199,W$258,W$267,W$286,W$328)</f>
        <v>-64.868835741128507</v>
      </c>
      <c r="X226" s="20">
        <f ca="1">IF(X$6=OFFSET(Assumptions!$B$8,0,$C$1),AVERAGE(U$226/SUM(U$211,U$226),V$226/SUM(V$211,V$226),W$226/SUM(W$211,W$226)),W$226/SUM(W$211,W$226))*SUM(X$199,X$258,X$267,X$286,X$328)</f>
        <v>-65.469480332890839</v>
      </c>
      <c r="Y226" s="20">
        <f ca="1">IF(Y$6=OFFSET(Assumptions!$B$8,0,$C$1),AVERAGE(V$226/SUM(V$211,V$226),W$226/SUM(W$211,W$226),X$226/SUM(X$211,X$226)),X$226/SUM(X$211,X$226))*SUM(Y$199,Y$258,Y$267,Y$286,Y$328)</f>
        <v>-66.094330282904508</v>
      </c>
      <c r="Z226" s="20">
        <f ca="1">IF(Z$6=OFFSET(Assumptions!$B$8,0,$C$1),AVERAGE(W$226/SUM(W$211,W$226),X$226/SUM(X$211,X$226),Y$226/SUM(Y$211,Y$226)),Y$226/SUM(Y$211,Y$226))*SUM(Z$199,Z$258,Z$267,Z$286,Z$328)</f>
        <v>-66.734557121240883</v>
      </c>
    </row>
    <row r="227" spans="1:26" x14ac:dyDescent="0.25">
      <c r="A227" s="11" t="s">
        <v>1260</v>
      </c>
      <c r="D227" s="94">
        <f t="shared" ref="D227:Z227" si="144">SUM(D$223:D$226)</f>
        <v>42.693000000000005</v>
      </c>
      <c r="E227" s="94">
        <f t="shared" si="144"/>
        <v>52.582999999999984</v>
      </c>
      <c r="F227" s="94">
        <f t="shared" si="144"/>
        <v>53.802000000000014</v>
      </c>
      <c r="G227" s="94">
        <f t="shared" si="144"/>
        <v>58.27300000000001</v>
      </c>
      <c r="H227" s="94">
        <f t="shared" si="144"/>
        <v>64.134000000000015</v>
      </c>
      <c r="I227" s="94">
        <f t="shared" si="144"/>
        <v>70.62</v>
      </c>
      <c r="J227" s="94">
        <f t="shared" si="144"/>
        <v>69.827000000000027</v>
      </c>
      <c r="K227" s="94">
        <f t="shared" si="144"/>
        <v>67.600999999999999</v>
      </c>
      <c r="L227" s="95">
        <f ca="1">SUM(L$223:L$226)</f>
        <v>74.823999999999984</v>
      </c>
      <c r="M227" s="95">
        <f ca="1">SUM(M$223:M$226)</f>
        <v>70.37</v>
      </c>
      <c r="N227" s="95">
        <f ca="1">SUM(N$223:N$226)</f>
        <v>70.56</v>
      </c>
      <c r="O227" s="95">
        <f ca="1">SUM(O$223:O$226)</f>
        <v>70.534000000000006</v>
      </c>
      <c r="P227" s="95">
        <f ca="1">SUM(P$223:P$226)</f>
        <v>70.494</v>
      </c>
      <c r="Q227" s="96">
        <f t="shared" ca="1" si="144"/>
        <v>70.619681999843465</v>
      </c>
      <c r="R227" s="96">
        <f t="shared" ca="1" si="144"/>
        <v>71.255730103111503</v>
      </c>
      <c r="S227" s="96">
        <f t="shared" ca="1" si="144"/>
        <v>71.876625376850029</v>
      </c>
      <c r="T227" s="96">
        <f t="shared" ca="1" si="144"/>
        <v>72.615186319119658</v>
      </c>
      <c r="U227" s="96">
        <f t="shared" ca="1" si="144"/>
        <v>73.425537032924041</v>
      </c>
      <c r="V227" s="96">
        <f t="shared" ca="1" si="144"/>
        <v>74.419327589162165</v>
      </c>
      <c r="W227" s="96">
        <f t="shared" ca="1" si="144"/>
        <v>75.485277085034127</v>
      </c>
      <c r="X227" s="96">
        <f t="shared" ca="1" si="144"/>
        <v>76.576727319856559</v>
      </c>
      <c r="Y227" s="96">
        <f t="shared" ca="1" si="144"/>
        <v>77.693587776464199</v>
      </c>
      <c r="Z227" s="96">
        <f t="shared" ca="1" si="144"/>
        <v>78.850720731403115</v>
      </c>
    </row>
    <row r="228" spans="1:26" x14ac:dyDescent="0.25">
      <c r="A228" s="11"/>
    </row>
    <row r="229" spans="1:26" x14ac:dyDescent="0.25">
      <c r="A229" s="11" t="s">
        <v>1261</v>
      </c>
    </row>
    <row r="230" spans="1:26" x14ac:dyDescent="0.25">
      <c r="A230" s="11" t="s">
        <v>1262</v>
      </c>
      <c r="B230" s="14" t="str">
        <f>$B$38</f>
        <v>From Fiscal Forecasts</v>
      </c>
      <c r="D230" s="51">
        <f>'Fiscal Forecasts'!D$173</f>
        <v>3.69</v>
      </c>
      <c r="E230" s="51">
        <f>'Fiscal Forecasts'!E$173</f>
        <v>3.2280000000000002</v>
      </c>
      <c r="F230" s="51">
        <f>'Fiscal Forecasts'!F$173</f>
        <v>1.9179999999999999</v>
      </c>
      <c r="G230" s="51">
        <f>'Fiscal Forecasts'!G$173</f>
        <v>2.8839999999999999</v>
      </c>
      <c r="H230" s="51">
        <f>'Fiscal Forecasts'!H$173</f>
        <v>6.569</v>
      </c>
      <c r="I230" s="51">
        <f>'Fiscal Forecasts'!I$173</f>
        <v>8.9429999999999996</v>
      </c>
      <c r="J230" s="51">
        <f>'Fiscal Forecasts'!J$173</f>
        <v>8.8620000000000001</v>
      </c>
      <c r="K230" s="51">
        <f>'Fiscal Forecasts'!K$173</f>
        <v>9.0570000000000004</v>
      </c>
      <c r="L230" s="47">
        <f>'Fiscal Forecasts'!L$173</f>
        <v>10.291</v>
      </c>
      <c r="M230" s="47">
        <f>'Fiscal Forecasts'!M$173</f>
        <v>11.396000000000001</v>
      </c>
      <c r="N230" s="47">
        <f>'Fiscal Forecasts'!N$173</f>
        <v>12.481</v>
      </c>
      <c r="O230" s="47">
        <f>'Fiscal Forecasts'!O$173</f>
        <v>13.502000000000001</v>
      </c>
      <c r="P230" s="47">
        <f>'Fiscal Forecasts'!P$173</f>
        <v>13.689</v>
      </c>
      <c r="Q230" s="21">
        <f t="shared" ref="Q230:Z230" ca="1" si="145">Q$480</f>
        <v>13.600419708639748</v>
      </c>
      <c r="R230" s="21">
        <f t="shared" ca="1" si="145"/>
        <v>13.485461167836855</v>
      </c>
      <c r="S230" s="21">
        <f t="shared" ca="1" si="145"/>
        <v>13.271610328921172</v>
      </c>
      <c r="T230" s="21">
        <f t="shared" ca="1" si="145"/>
        <v>12.937541264511243</v>
      </c>
      <c r="U230" s="21">
        <f t="shared" ca="1" si="145"/>
        <v>12.475856670758571</v>
      </c>
      <c r="V230" s="21">
        <f t="shared" ca="1" si="145"/>
        <v>11.809058564155048</v>
      </c>
      <c r="W230" s="21">
        <f t="shared" ca="1" si="145"/>
        <v>11.009641325816213</v>
      </c>
      <c r="X230" s="21">
        <f t="shared" ca="1" si="145"/>
        <v>10.072077724763467</v>
      </c>
      <c r="Y230" s="21">
        <f t="shared" ca="1" si="145"/>
        <v>8.9910328819959595</v>
      </c>
      <c r="Z230" s="21">
        <f t="shared" ca="1" si="145"/>
        <v>7.7603497769980789</v>
      </c>
    </row>
    <row r="231" spans="1:26" x14ac:dyDescent="0.25">
      <c r="A231" s="12" t="s">
        <v>1020</v>
      </c>
      <c r="B231" s="14" t="str">
        <f>$B$38</f>
        <v>From Fiscal Forecasts</v>
      </c>
      <c r="D231" s="50">
        <f>'Fiscal Forecasts'!D$276</f>
        <v>0.11700000000000001</v>
      </c>
      <c r="E231" s="50">
        <f>'Fiscal Forecasts'!E$276</f>
        <v>0.16400000000000001</v>
      </c>
      <c r="F231" s="50">
        <f>'Fiscal Forecasts'!F$276</f>
        <v>0.218</v>
      </c>
      <c r="G231" s="50">
        <f>'Fiscal Forecasts'!G$276</f>
        <v>0.30099999999999999</v>
      </c>
      <c r="H231" s="50">
        <f>'Fiscal Forecasts'!H$276</f>
        <v>0.872</v>
      </c>
      <c r="I231" s="50">
        <f>'Fiscal Forecasts'!I$276</f>
        <v>1.9690000000000001</v>
      </c>
      <c r="J231" s="50">
        <f>'Fiscal Forecasts'!J$276</f>
        <v>2.387</v>
      </c>
      <c r="K231" s="50">
        <f>'Fiscal Forecasts'!K$276</f>
        <v>2.2010000000000001</v>
      </c>
      <c r="L231" s="48">
        <f>'Fiscal Forecasts'!L$276</f>
        <v>2.4409999999999998</v>
      </c>
      <c r="M231" s="48">
        <f>'Fiscal Forecasts'!M$276</f>
        <v>2.8340000000000001</v>
      </c>
      <c r="N231" s="48">
        <f>'Fiscal Forecasts'!N$276</f>
        <v>3.27</v>
      </c>
      <c r="O231" s="48">
        <f>'Fiscal Forecasts'!O$276</f>
        <v>3.6720000000000002</v>
      </c>
      <c r="P231" s="48">
        <f>'Fiscal Forecasts'!P$276</f>
        <v>4.0439999999999996</v>
      </c>
      <c r="Q231" s="20">
        <f ca="1">IF(Q$6=OFFSET(Assumptions!$B$8,0,$C$1),AVERAGE(N$231/SUM(N$231:N$233),O$231/SUM(O$231:O$233),P$231/SUM(P$231:P$233)),P$231/SUM(P$231:P$233))*(Q$96-Q$480)</f>
        <v>4.6514380133930695</v>
      </c>
      <c r="R231" s="20">
        <f ca="1">IF(R$6=OFFSET(Assumptions!$B$8,0,$C$1),AVERAGE(O$231/SUM(O$231:O$233),P$231/SUM(P$231:P$233),Q$231/SUM(Q$231:Q$233)),Q$231/SUM(Q$231:Q$233))*(R$96-R$480)</f>
        <v>5.0315589979152993</v>
      </c>
      <c r="S231" s="20">
        <f ca="1">IF(S$6=OFFSET(Assumptions!$B$8,0,$C$1),AVERAGE(P$231/SUM(P$231:P$233),Q$231/SUM(Q$231:Q$233),R$231/SUM(R$231:R$233)),R$231/SUM(R$231:R$233))*(S$96-S$480)</f>
        <v>5.4121200149337385</v>
      </c>
      <c r="T231" s="20">
        <f ca="1">IF(T$6=OFFSET(Assumptions!$B$8,0,$C$1),AVERAGE(Q$231/SUM(Q$231:Q$233),R$231/SUM(R$231:R$233),S$231/SUM(S$231:S$233)),S$231/SUM(S$231:S$233))*(T$96-T$480)</f>
        <v>5.7918565040902497</v>
      </c>
      <c r="U231" s="20">
        <f ca="1">IF(U$6=OFFSET(Assumptions!$B$8,0,$C$1),AVERAGE(R$231/SUM(R$231:R$233),S$231/SUM(S$231:S$233),T$231/SUM(T$231:T$233)),T$231/SUM(T$231:T$233))*(U$96-U$480)</f>
        <v>6.1659247181660497</v>
      </c>
      <c r="V231" s="20">
        <f ca="1">IF(V$6=OFFSET(Assumptions!$B$8,0,$C$1),AVERAGE(S$231/SUM(S$231:S$233),T$231/SUM(T$231:T$233),U$231/SUM(U$231:U$233)),U$231/SUM(U$231:U$233))*(V$96-V$480)</f>
        <v>6.5020707607820896</v>
      </c>
      <c r="W231" s="20">
        <f ca="1">IF(W$6=OFFSET(Assumptions!$B$8,0,$C$1),AVERAGE(T$231/SUM(T$231:T$233),U$231/SUM(U$231:U$233),V$231/SUM(V$231:V$233)),V$231/SUM(V$231:V$233))*(W$96-W$480)</f>
        <v>6.8416778661127005</v>
      </c>
      <c r="X231" s="20">
        <f ca="1">IF(X$6=OFFSET(Assumptions!$B$8,0,$C$1),AVERAGE(U$231/SUM(U$231:U$233),V$231/SUM(V$231:V$233),W$231/SUM(W$231:W$233)),W$231/SUM(W$231:W$233))*(X$96-X$480)</f>
        <v>7.1861399183228212</v>
      </c>
      <c r="Y231" s="20">
        <f ca="1">IF(Y$6=OFFSET(Assumptions!$B$8,0,$C$1),AVERAGE(V$231/SUM(V$231:V$233),W$231/SUM(W$231:W$233),X$231/SUM(X$231:X$233)),X$231/SUM(X$231:X$233))*(Y$96-Y$480)</f>
        <v>7.5355603358301222</v>
      </c>
      <c r="Z231" s="20">
        <f ca="1">IF(Z$6=OFFSET(Assumptions!$B$8,0,$C$1),AVERAGE(W$231/SUM(W$231:W$233),X$231/SUM(X$231:X$233),Y$231/SUM(Y$231:Y$233)),Y$231/SUM(Y$231:Y$233))*(Z$96-Z$480)</f>
        <v>7.8907903593521809</v>
      </c>
    </row>
    <row r="232" spans="1:26" x14ac:dyDescent="0.25">
      <c r="A232" s="12" t="s">
        <v>1227</v>
      </c>
      <c r="B232" s="14" t="str">
        <f>$B$38</f>
        <v>From Fiscal Forecasts</v>
      </c>
      <c r="D232" s="50">
        <f>'Fiscal Forecasts'!D$277</f>
        <v>1.0449999999999999</v>
      </c>
      <c r="E232" s="50">
        <f>'Fiscal Forecasts'!E$277</f>
        <v>0.90100000000000002</v>
      </c>
      <c r="F232" s="50">
        <f>'Fiscal Forecasts'!F$277</f>
        <v>0.59199999999999997</v>
      </c>
      <c r="G232" s="50">
        <f>'Fiscal Forecasts'!G$277</f>
        <v>0.66</v>
      </c>
      <c r="H232" s="50">
        <f>'Fiscal Forecasts'!H$277</f>
        <v>0.68200000000000005</v>
      </c>
      <c r="I232" s="50">
        <f>'Fiscal Forecasts'!I$277</f>
        <v>0.57999999999999996</v>
      </c>
      <c r="J232" s="50">
        <f>'Fiscal Forecasts'!J$277</f>
        <v>0.57199999999999995</v>
      </c>
      <c r="K232" s="50">
        <f>'Fiscal Forecasts'!K$277</f>
        <v>0.57699999999999996</v>
      </c>
      <c r="L232" s="48">
        <f>'Fiscal Forecasts'!L$277</f>
        <v>0.64900000000000002</v>
      </c>
      <c r="M232" s="48">
        <f>'Fiscal Forecasts'!M$277</f>
        <v>0.74099999999999999</v>
      </c>
      <c r="N232" s="48">
        <f>'Fiscal Forecasts'!N$277</f>
        <v>0.84499999999999997</v>
      </c>
      <c r="O232" s="48">
        <f>'Fiscal Forecasts'!O$277</f>
        <v>0.89400000000000002</v>
      </c>
      <c r="P232" s="48">
        <f>'Fiscal Forecasts'!P$277</f>
        <v>0.95599999999999996</v>
      </c>
      <c r="Q232" s="20">
        <f ca="1">IF(Q$6=OFFSET(Assumptions!$B$8,0,$C$1),AVERAGE(N$232/SUM(N$231:N$233),O$232/SUM(O$231:O$233),P$232/SUM(P$231:P$233)),P$232/SUM(P$231:P$233))*(Q$96-Q$480)</f>
        <v>1.1459527186083465</v>
      </c>
      <c r="R232" s="20">
        <f ca="1">IF(R$6=OFFSET(Assumptions!$B$8,0,$C$1),AVERAGE(O$232/SUM(O$231:O$233),P$232/SUM(P$231:P$233),Q$232/SUM(Q$231:Q$233)),Q$232/SUM(Q$231:Q$233))*(R$96-R$480)</f>
        <v>1.2396013224076634</v>
      </c>
      <c r="S232" s="20">
        <f ca="1">IF(S$6=OFFSET(Assumptions!$B$8,0,$C$1),AVERAGE(P$232/SUM(P$231:P$233),Q$232/SUM(Q$231:Q$233),R$232/SUM(R$231:R$233)),R$232/SUM(R$231:R$233))*(S$96-S$480)</f>
        <v>1.3333583349257154</v>
      </c>
      <c r="T232" s="20">
        <f ca="1">IF(T$6=OFFSET(Assumptions!$B$8,0,$C$1),AVERAGE(Q$232/SUM(Q$231:Q$233),R$232/SUM(R$231:R$233),S$232/SUM(S$231:S$233)),S$232/SUM(S$231:S$233))*(T$96-T$480)</f>
        <v>1.4269122124256886</v>
      </c>
      <c r="U232" s="20">
        <f ca="1">IF(U$6=OFFSET(Assumptions!$B$8,0,$C$1),AVERAGE(R$232/SUM(R$231:R$233),S$232/SUM(S$231:S$233),T$232/SUM(T$231:T$233)),T$232/SUM(T$231:T$233))*(U$96-U$480)</f>
        <v>1.5190696238822876</v>
      </c>
      <c r="V232" s="20">
        <f ca="1">IF(V$6=OFFSET(Assumptions!$B$8,0,$C$1),AVERAGE(S$232/SUM(S$231:S$233),T$232/SUM(T$231:T$233),U$232/SUM(U$231:U$233)),U$232/SUM(U$231:U$233))*(V$96-V$480)</f>
        <v>1.601884329845507</v>
      </c>
      <c r="W232" s="20">
        <f ca="1">IF(W$6=OFFSET(Assumptions!$B$8,0,$C$1),AVERAGE(T$232/SUM(T$231:T$233),U$232/SUM(U$231:U$233),V$232/SUM(V$231:V$233)),V$232/SUM(V$231:V$233))*(W$96-W$480)</f>
        <v>1.6855517214116766</v>
      </c>
      <c r="X232" s="20">
        <f ca="1">IF(X$6=OFFSET(Assumptions!$B$8,0,$C$1),AVERAGE(U$232/SUM(U$231:U$233),V$232/SUM(V$231:V$233),W$232/SUM(W$231:W$233)),W$232/SUM(W$231:W$233))*(X$96-X$480)</f>
        <v>1.770415203210427</v>
      </c>
      <c r="Y232" s="20">
        <f ca="1">IF(Y$6=OFFSET(Assumptions!$B$8,0,$C$1),AVERAGE(V$232/SUM(V$231:V$233),W$232/SUM(W$231:W$233),X$232/SUM(X$231:X$233)),X$232/SUM(X$231:X$233))*(Y$96-Y$480)</f>
        <v>1.8565002539467395</v>
      </c>
      <c r="Z232" s="20">
        <f ca="1">IF(Z$6=OFFSET(Assumptions!$B$8,0,$C$1),AVERAGE(W$232/SUM(W$231:W$233),X$232/SUM(X$231:X$233),Y$232/SUM(Y$231:Y$233)),Y$232/SUM(Y$231:Y$233))*(Z$96-Z$480)</f>
        <v>1.9440165897582236</v>
      </c>
    </row>
    <row r="233" spans="1:26" x14ac:dyDescent="0.25">
      <c r="A233" s="12" t="s">
        <v>1228</v>
      </c>
      <c r="B233" s="14" t="str">
        <f>$B$38</f>
        <v>From Fiscal Forecasts</v>
      </c>
      <c r="D233" s="50">
        <f>'Fiscal Forecasts'!D$278</f>
        <v>-0.55400000000000005</v>
      </c>
      <c r="E233" s="50">
        <f>'Fiscal Forecasts'!E$278</f>
        <v>-0.53900000000000003</v>
      </c>
      <c r="F233" s="50">
        <f>'Fiscal Forecasts'!F$278</f>
        <v>-0.45600000000000002</v>
      </c>
      <c r="G233" s="50">
        <f>'Fiscal Forecasts'!G$278</f>
        <v>-0.496</v>
      </c>
      <c r="H233" s="50">
        <f>'Fiscal Forecasts'!H$278</f>
        <v>-0.67500000000000004</v>
      </c>
      <c r="I233" s="50">
        <f>'Fiscal Forecasts'!I$278</f>
        <v>-1.1179999999999999</v>
      </c>
      <c r="J233" s="50">
        <f>'Fiscal Forecasts'!J$278</f>
        <v>-1.431</v>
      </c>
      <c r="K233" s="50">
        <f>'Fiscal Forecasts'!K$278</f>
        <v>-1.587</v>
      </c>
      <c r="L233" s="48">
        <f>'Fiscal Forecasts'!L$278</f>
        <v>-1.7230000000000001</v>
      </c>
      <c r="M233" s="48">
        <f>'Fiscal Forecasts'!M$278</f>
        <v>-1.89</v>
      </c>
      <c r="N233" s="48">
        <f>'Fiscal Forecasts'!N$278</f>
        <v>-2.0009999999999999</v>
      </c>
      <c r="O233" s="48">
        <f>'Fiscal Forecasts'!O$278</f>
        <v>-2.085</v>
      </c>
      <c r="P233" s="48">
        <f>'Fiscal Forecasts'!P$278</f>
        <v>-2.1890000000000001</v>
      </c>
      <c r="Q233" s="20">
        <f ca="1">IF(Q$6=OFFSET(Assumptions!$B$8,0,$C$1),AVERAGE(N$233/SUM(N$231:N$233),O$233/SUM(O$231:O$233),P$233/SUM(P$231:P$233)),P$233/SUM(P$231:P$233))*(Q$96-Q$480)</f>
        <v>-2.6724834324571329</v>
      </c>
      <c r="R233" s="20">
        <f ca="1">IF(R$6=OFFSET(Assumptions!$B$8,0,$C$1),AVERAGE(O$233/SUM(O$231:O$233),P$233/SUM(P$231:P$233),Q$233/SUM(Q$231:Q$233)),Q$233/SUM(Q$231:Q$233))*(R$96-R$480)</f>
        <v>-2.8908819213846271</v>
      </c>
      <c r="S233" s="20">
        <f ca="1">IF(S$6=OFFSET(Assumptions!$B$8,0,$C$1),AVERAGE(P$233/SUM(P$231:P$233),Q$233/SUM(Q$231:Q$233),R$233/SUM(R$231:R$233)),R$233/SUM(R$231:R$233))*(S$96-S$480)</f>
        <v>-3.1095332309565058</v>
      </c>
      <c r="T233" s="20">
        <f ca="1">IF(T$6=OFFSET(Assumptions!$B$8,0,$C$1),AVERAGE(Q$233/SUM(Q$231:Q$233),R$233/SUM(R$231:R$233),S$233/SUM(S$231:S$233)),S$233/SUM(S$231:S$233))*(T$96-T$480)</f>
        <v>-3.3277108080946185</v>
      </c>
      <c r="U233" s="20">
        <f ca="1">IF(U$6=OFFSET(Assumptions!$B$8,0,$C$1),AVERAGE(R$233/SUM(R$231:R$233),S$233/SUM(S$231:S$233),T$233/SUM(T$231:T$233)),T$233/SUM(T$231:T$233))*(U$96-U$480)</f>
        <v>-3.542631678124049</v>
      </c>
      <c r="V233" s="20">
        <f ca="1">IF(V$6=OFFSET(Assumptions!$B$8,0,$C$1),AVERAGE(S$233/SUM(S$231:S$233),T$233/SUM(T$231:T$233),U$233/SUM(U$231:U$233)),U$233/SUM(U$231:U$233))*(V$96-V$480)</f>
        <v>-3.7357643668088718</v>
      </c>
      <c r="W233" s="20">
        <f ca="1">IF(W$6=OFFSET(Assumptions!$B$8,0,$C$1),AVERAGE(T$233/SUM(T$231:T$233),U$233/SUM(U$231:U$233),V$233/SUM(V$231:V$233)),V$233/SUM(V$231:V$233))*(W$96-W$480)</f>
        <v>-3.9308856088693935</v>
      </c>
      <c r="X233" s="20">
        <f ca="1">IF(X$6=OFFSET(Assumptions!$B$8,0,$C$1),AVERAGE(U$233/SUM(U$231:U$233),V$233/SUM(V$231:V$233),W$233/SUM(W$231:W$233)),W$233/SUM(W$231:W$233))*(X$96-X$480)</f>
        <v>-4.1287962603692305</v>
      </c>
      <c r="Y233" s="20">
        <f ca="1">IF(Y$6=OFFSET(Assumptions!$B$8,0,$C$1),AVERAGE(V$233/SUM(V$231:V$233),W$233/SUM(W$231:W$233),X$233/SUM(X$231:X$233)),X$233/SUM(X$231:X$233))*(Y$96-Y$480)</f>
        <v>-4.3295557403540714</v>
      </c>
      <c r="Z233" s="20">
        <f ca="1">IF(Z$6=OFFSET(Assumptions!$B$8,0,$C$1),AVERAGE(W$233/SUM(W$231:W$233),X$233/SUM(X$231:X$233),Y$233/SUM(Y$231:Y$233)),Y$233/SUM(Y$231:Y$233))*(Z$96-Z$480)</f>
        <v>-4.5336531291273001</v>
      </c>
    </row>
    <row r="234" spans="1:26" x14ac:dyDescent="0.25">
      <c r="A234" s="11" t="s">
        <v>1263</v>
      </c>
      <c r="D234" s="94">
        <f t="shared" ref="D234:Z234" si="146">SUM(D$230:D$233)</f>
        <v>4.298</v>
      </c>
      <c r="E234" s="94">
        <f t="shared" si="146"/>
        <v>3.754</v>
      </c>
      <c r="F234" s="94">
        <f t="shared" si="146"/>
        <v>2.2720000000000002</v>
      </c>
      <c r="G234" s="94">
        <f t="shared" si="146"/>
        <v>3.3490000000000002</v>
      </c>
      <c r="H234" s="94">
        <f t="shared" si="146"/>
        <v>7.4479999999999995</v>
      </c>
      <c r="I234" s="94">
        <f t="shared" si="146"/>
        <v>10.373999999999999</v>
      </c>
      <c r="J234" s="94">
        <f t="shared" si="146"/>
        <v>10.39</v>
      </c>
      <c r="K234" s="94">
        <f t="shared" si="146"/>
        <v>10.248000000000001</v>
      </c>
      <c r="L234" s="95">
        <f t="shared" si="146"/>
        <v>11.657999999999999</v>
      </c>
      <c r="M234" s="95">
        <f t="shared" si="146"/>
        <v>13.081</v>
      </c>
      <c r="N234" s="95">
        <f t="shared" si="146"/>
        <v>14.595000000000001</v>
      </c>
      <c r="O234" s="95">
        <f t="shared" si="146"/>
        <v>15.982999999999997</v>
      </c>
      <c r="P234" s="95">
        <f t="shared" si="146"/>
        <v>16.5</v>
      </c>
      <c r="Q234" s="96">
        <f t="shared" ca="1" si="146"/>
        <v>16.725327008184031</v>
      </c>
      <c r="R234" s="96">
        <f t="shared" ca="1" si="146"/>
        <v>16.86573956677519</v>
      </c>
      <c r="S234" s="96">
        <f t="shared" ca="1" si="146"/>
        <v>16.907555447824123</v>
      </c>
      <c r="T234" s="96">
        <f t="shared" ca="1" si="146"/>
        <v>16.828599172932563</v>
      </c>
      <c r="U234" s="96">
        <f t="shared" ca="1" si="146"/>
        <v>16.618219334682859</v>
      </c>
      <c r="V234" s="96">
        <f t="shared" ca="1" si="146"/>
        <v>16.177249287973773</v>
      </c>
      <c r="W234" s="96">
        <f t="shared" ca="1" si="146"/>
        <v>15.605985304471199</v>
      </c>
      <c r="X234" s="96">
        <f t="shared" ca="1" si="146"/>
        <v>14.899836585927485</v>
      </c>
      <c r="Y234" s="96">
        <f t="shared" ca="1" si="146"/>
        <v>14.05353773141875</v>
      </c>
      <c r="Z234" s="96">
        <f t="shared" ca="1" si="146"/>
        <v>13.061503596981185</v>
      </c>
    </row>
    <row r="235" spans="1:26" x14ac:dyDescent="0.25">
      <c r="A235" s="14" t="s">
        <v>658</v>
      </c>
      <c r="E235" s="89">
        <f t="shared" ref="E235:P235" si="147">E$230/AVERAGE(D$71,E$71)</f>
        <v>2.9634933968629935E-2</v>
      </c>
      <c r="F235" s="89">
        <f t="shared" si="147"/>
        <v>1.4817447196427743E-2</v>
      </c>
      <c r="G235" s="89">
        <f t="shared" si="147"/>
        <v>1.9129171655131016E-2</v>
      </c>
      <c r="H235" s="89">
        <f t="shared" si="147"/>
        <v>3.6492923905948361E-2</v>
      </c>
      <c r="I235" s="89">
        <f t="shared" si="147"/>
        <v>4.3905169154937182E-2</v>
      </c>
      <c r="J235" s="89">
        <f t="shared" si="147"/>
        <v>3.8926811269535878E-2</v>
      </c>
      <c r="K235" s="89">
        <f t="shared" si="147"/>
        <v>3.6534598349347733E-2</v>
      </c>
      <c r="L235" s="66">
        <f t="shared" si="147"/>
        <v>3.8861678706700244E-2</v>
      </c>
      <c r="M235" s="66">
        <f t="shared" si="147"/>
        <v>4.0583178422113488E-2</v>
      </c>
      <c r="N235" s="66">
        <f t="shared" si="147"/>
        <v>4.2446533725796272E-2</v>
      </c>
      <c r="O235" s="66">
        <f t="shared" si="147"/>
        <v>4.4865266302370359E-2</v>
      </c>
      <c r="P235" s="66">
        <f t="shared" si="147"/>
        <v>4.5545513073249118E-2</v>
      </c>
      <c r="Q235" s="101">
        <f ca="1">IF(Q$6&lt;OFFSET(Assumptions!$B$8,0,$C$1)+OFFSET(Assumptions!$B$23,0,$C$1),P$235+(OFFSET(P$30,0,OFFSET(Assumptions!$B$8,0,$C$1)+OFFSET(Assumptions!$B$23,0,$C$1)-Q$6)-P$235)/(OFFSET(Assumptions!$B$8,0,$C$1)+OFFSET(Assumptions!$B$23,0,$C$1)-Q$6),Q$30)</f>
        <v>4.5836410458599292E-2</v>
      </c>
      <c r="R235" s="101">
        <f ca="1">IF(R$6&lt;OFFSET(Assumptions!$B$8,0,$C$1)+OFFSET(Assumptions!$B$23,0,$C$1),Q$235+(OFFSET(Q$30,0,OFFSET(Assumptions!$B$8,0,$C$1)+OFFSET(Assumptions!$B$23,0,$C$1)-R$6)-Q$235)/(OFFSET(Assumptions!$B$8,0,$C$1)+OFFSET(Assumptions!$B$23,0,$C$1)-R$6),R$30)</f>
        <v>4.6127307843949472E-2</v>
      </c>
      <c r="S235" s="101">
        <f ca="1">IF(S$6&lt;OFFSET(Assumptions!$B$8,0,$C$1)+OFFSET(Assumptions!$B$23,0,$C$1),R$235+(OFFSET(R$30,0,OFFSET(Assumptions!$B$8,0,$C$1)+OFFSET(Assumptions!$B$23,0,$C$1)-S$6)-R$235)/(OFFSET(Assumptions!$B$8,0,$C$1)+OFFSET(Assumptions!$B$23,0,$C$1)-S$6),S$30)</f>
        <v>4.6418205229299646E-2</v>
      </c>
      <c r="T235" s="101">
        <f ca="1">IF(T$6&lt;OFFSET(Assumptions!$B$8,0,$C$1)+OFFSET(Assumptions!$B$23,0,$C$1),S$235+(OFFSET(S$30,0,OFFSET(Assumptions!$B$8,0,$C$1)+OFFSET(Assumptions!$B$23,0,$C$1)-T$6)-S$235)/(OFFSET(Assumptions!$B$8,0,$C$1)+OFFSET(Assumptions!$B$23,0,$C$1)-T$6),T$30)</f>
        <v>4.6709102614649819E-2</v>
      </c>
      <c r="U235" s="101">
        <f ca="1">IF(U$6&lt;OFFSET(Assumptions!$B$8,0,$C$1)+OFFSET(Assumptions!$B$23,0,$C$1),T$235+(OFFSET(T$30,0,OFFSET(Assumptions!$B$8,0,$C$1)+OFFSET(Assumptions!$B$23,0,$C$1)-U$6)-T$235)/(OFFSET(Assumptions!$B$8,0,$C$1)+OFFSET(Assumptions!$B$23,0,$C$1)-U$6),U$30)</f>
        <v>4.7E-2</v>
      </c>
      <c r="V235" s="101">
        <f ca="1">IF(V$6&lt;OFFSET(Assumptions!$B$8,0,$C$1)+OFFSET(Assumptions!$B$23,0,$C$1),U$235+(OFFSET(U$30,0,OFFSET(Assumptions!$B$8,0,$C$1)+OFFSET(Assumptions!$B$23,0,$C$1)-V$6)-U$235)/(OFFSET(Assumptions!$B$8,0,$C$1)+OFFSET(Assumptions!$B$23,0,$C$1)-V$6),V$30)</f>
        <v>4.7E-2</v>
      </c>
      <c r="W235" s="101">
        <f ca="1">IF(W$6&lt;OFFSET(Assumptions!$B$8,0,$C$1)+OFFSET(Assumptions!$B$23,0,$C$1),V$235+(OFFSET(V$30,0,OFFSET(Assumptions!$B$8,0,$C$1)+OFFSET(Assumptions!$B$23,0,$C$1)-W$6)-V$235)/(OFFSET(Assumptions!$B$8,0,$C$1)+OFFSET(Assumptions!$B$23,0,$C$1)-W$6),W$30)</f>
        <v>4.7E-2</v>
      </c>
      <c r="X235" s="101">
        <f ca="1">IF(X$6&lt;OFFSET(Assumptions!$B$8,0,$C$1)+OFFSET(Assumptions!$B$23,0,$C$1),W$235+(OFFSET(W$30,0,OFFSET(Assumptions!$B$8,0,$C$1)+OFFSET(Assumptions!$B$23,0,$C$1)-X$6)-W$235)/(OFFSET(Assumptions!$B$8,0,$C$1)+OFFSET(Assumptions!$B$23,0,$C$1)-X$6),X$30)</f>
        <v>4.7E-2</v>
      </c>
      <c r="Y235" s="101">
        <f ca="1">IF(Y$6&lt;OFFSET(Assumptions!$B$8,0,$C$1)+OFFSET(Assumptions!$B$23,0,$C$1),X$235+(OFFSET(X$30,0,OFFSET(Assumptions!$B$8,0,$C$1)+OFFSET(Assumptions!$B$23,0,$C$1)-Y$6)-X$235)/(OFFSET(Assumptions!$B$8,0,$C$1)+OFFSET(Assumptions!$B$23,0,$C$1)-Y$6),Y$30)</f>
        <v>4.7E-2</v>
      </c>
      <c r="Z235" s="101">
        <f ca="1">IF(Z$6&lt;OFFSET(Assumptions!$B$8,0,$C$1)+OFFSET(Assumptions!$B$23,0,$C$1),Y$235+(OFFSET(Y$30,0,OFFSET(Assumptions!$B$8,0,$C$1)+OFFSET(Assumptions!$B$23,0,$C$1)-Z$6)-Y$235)/(OFFSET(Assumptions!$B$8,0,$C$1)+OFFSET(Assumptions!$B$23,0,$C$1)-Z$6),Z$30)</f>
        <v>4.7E-2</v>
      </c>
    </row>
    <row r="236" spans="1:26" x14ac:dyDescent="0.25">
      <c r="A236" s="14"/>
    </row>
    <row r="237" spans="1:26" x14ac:dyDescent="0.25">
      <c r="A237" s="11" t="s">
        <v>875</v>
      </c>
    </row>
    <row r="238" spans="1:26" x14ac:dyDescent="0.25">
      <c r="A238" s="11" t="s">
        <v>1264</v>
      </c>
      <c r="B238" s="14" t="str">
        <f>$B$38</f>
        <v>From Fiscal Forecasts</v>
      </c>
      <c r="D238" s="51">
        <f>'Fiscal Forecasts'!D$174</f>
        <v>0</v>
      </c>
      <c r="E238" s="51">
        <f>'Fiscal Forecasts'!E$174</f>
        <v>0</v>
      </c>
      <c r="F238" s="51">
        <f>'Fiscal Forecasts'!F$174</f>
        <v>1E-3</v>
      </c>
      <c r="G238" s="51">
        <f>'Fiscal Forecasts'!G$174</f>
        <v>1E-3</v>
      </c>
      <c r="H238" s="51">
        <f>'Fiscal Forecasts'!H$174</f>
        <v>3.0000000000000001E-3</v>
      </c>
      <c r="I238" s="51">
        <f>'Fiscal Forecasts'!I$174</f>
        <v>2E-3</v>
      </c>
      <c r="J238" s="51">
        <f>'Fiscal Forecasts'!J$174</f>
        <v>3.0000000000000001E-3</v>
      </c>
      <c r="K238" s="51">
        <f>'Fiscal Forecasts'!K$174</f>
        <v>2E-3</v>
      </c>
      <c r="L238" s="47">
        <f>'Fiscal Forecasts'!L$174</f>
        <v>0</v>
      </c>
      <c r="M238" s="47">
        <f>'Fiscal Forecasts'!M$174</f>
        <v>0</v>
      </c>
      <c r="N238" s="47">
        <f>'Fiscal Forecasts'!N$174</f>
        <v>0</v>
      </c>
      <c r="O238" s="47">
        <f>'Fiscal Forecasts'!O$174</f>
        <v>0</v>
      </c>
      <c r="P238" s="47">
        <f>'Fiscal Forecasts'!P$174</f>
        <v>0</v>
      </c>
      <c r="Q238" s="21">
        <f ca="1">IF(Q$6=OFFSET(Assumptions!$B$8,0,$C$1),OFFSET(Assumptions!$B$9,0,$C$1),P$238)</f>
        <v>0</v>
      </c>
      <c r="R238" s="21">
        <f ca="1">IF(R$6=OFFSET(Assumptions!$B$8,0,$C$1),OFFSET(Assumptions!$B$9,0,$C$1),Q$238)</f>
        <v>0</v>
      </c>
      <c r="S238" s="21">
        <f ca="1">IF(S$6=OFFSET(Assumptions!$B$8,0,$C$1),OFFSET(Assumptions!$B$9,0,$C$1),R$238)</f>
        <v>0</v>
      </c>
      <c r="T238" s="21">
        <f ca="1">IF(T$6=OFFSET(Assumptions!$B$8,0,$C$1),OFFSET(Assumptions!$B$9,0,$C$1),S$238)</f>
        <v>0</v>
      </c>
      <c r="U238" s="21">
        <f ca="1">IF(U$6=OFFSET(Assumptions!$B$8,0,$C$1),OFFSET(Assumptions!$B$9,0,$C$1),T$238)</f>
        <v>0</v>
      </c>
      <c r="V238" s="21">
        <f ca="1">IF(V$6=OFFSET(Assumptions!$B$8,0,$C$1),OFFSET(Assumptions!$B$9,0,$C$1),U$238)</f>
        <v>0</v>
      </c>
      <c r="W238" s="21">
        <f ca="1">IF(W$6=OFFSET(Assumptions!$B$8,0,$C$1),OFFSET(Assumptions!$B$9,0,$C$1),V$238)</f>
        <v>0</v>
      </c>
      <c r="X238" s="21">
        <f ca="1">IF(X$6=OFFSET(Assumptions!$B$8,0,$C$1),OFFSET(Assumptions!$B$9,0,$C$1),W$238)</f>
        <v>0</v>
      </c>
      <c r="Y238" s="21">
        <f ca="1">IF(Y$6=OFFSET(Assumptions!$B$8,0,$C$1),OFFSET(Assumptions!$B$9,0,$C$1),X$238)</f>
        <v>0</v>
      </c>
      <c r="Z238" s="21">
        <f ca="1">IF(Z$6=OFFSET(Assumptions!$B$8,0,$C$1),OFFSET(Assumptions!$B$9,0,$C$1),Y$238)</f>
        <v>0</v>
      </c>
    </row>
    <row r="239" spans="1:26" x14ac:dyDescent="0.25">
      <c r="A239" s="12" t="s">
        <v>1020</v>
      </c>
      <c r="B239" s="14" t="str">
        <f>$B$38</f>
        <v>From Fiscal Forecasts</v>
      </c>
      <c r="D239" s="50">
        <f>'Fiscal Forecasts'!D$203</f>
        <v>5.8070000000000004</v>
      </c>
      <c r="E239" s="50">
        <f>'Fiscal Forecasts'!E$203</f>
        <v>6.8959999999999999</v>
      </c>
      <c r="F239" s="50">
        <f>'Fiscal Forecasts'!F$203</f>
        <v>6.8310000000000004</v>
      </c>
      <c r="G239" s="50">
        <f>'Fiscal Forecasts'!G$203</f>
        <v>6.44</v>
      </c>
      <c r="H239" s="50">
        <f>'Fiscal Forecasts'!H$203</f>
        <v>8.7729999999999997</v>
      </c>
      <c r="I239" s="50">
        <f>'Fiscal Forecasts'!I$203</f>
        <v>10.413</v>
      </c>
      <c r="J239" s="50">
        <f>'Fiscal Forecasts'!J$203</f>
        <v>11.526999999999999</v>
      </c>
      <c r="K239" s="50">
        <f>'Fiscal Forecasts'!K$203</f>
        <v>9.0389999999999997</v>
      </c>
      <c r="L239" s="48">
        <f>'Fiscal Forecasts'!L$203</f>
        <v>8.9380000000000006</v>
      </c>
      <c r="M239" s="48">
        <f>'Fiscal Forecasts'!M$203</f>
        <v>9.6059999999999999</v>
      </c>
      <c r="N239" s="48">
        <f>'Fiscal Forecasts'!N$203</f>
        <v>9.6690000000000005</v>
      </c>
      <c r="O239" s="48">
        <f>'Fiscal Forecasts'!O$203</f>
        <v>10.01</v>
      </c>
      <c r="P239" s="48">
        <f>'Fiscal Forecasts'!P$203</f>
        <v>11.411</v>
      </c>
      <c r="Q239" s="20">
        <f ca="1">IF(Q$6=OFFSET(Assumptions!$B$8,0,$C$1),AVERAGE(N$239/SUM(N$242:N$243),O$239/SUM(O$242:O$243),P$239/SUM(P$242:P$243)),P$239/SUM(P$242:P$243))*SUM(Q$242:Q$243)</f>
        <v>12.025296647655322</v>
      </c>
      <c r="R239" s="20">
        <f ca="1">IF(R$6=OFFSET(Assumptions!$B$8,0,$C$1),AVERAGE(O$239/SUM(O$242:O$243),P$239/SUM(P$242:P$243),Q$239/SUM(Q$242:Q$243)),Q$239/SUM(Q$242:Q$243))*SUM(R$242:R$243)</f>
        <v>12.684657668944586</v>
      </c>
      <c r="S239" s="20">
        <f ca="1">IF(S$6=OFFSET(Assumptions!$B$8,0,$C$1),AVERAGE(P$239/SUM(P$242:P$243),Q$239/SUM(Q$242:Q$243),R$239/SUM(R$242:R$243)),R$239/SUM(R$242:R$243))*SUM(S$242:S$243)</f>
        <v>13.342459925304862</v>
      </c>
      <c r="T239" s="20">
        <f ca="1">IF(T$6=OFFSET(Assumptions!$B$8,0,$C$1),AVERAGE(Q$239/SUM(Q$242:Q$243),R$239/SUM(R$242:R$243),S$239/SUM(S$242:S$243)),S$239/SUM(S$242:S$243))*SUM(T$242:T$243)</f>
        <v>13.977643031190203</v>
      </c>
      <c r="U239" s="20">
        <f ca="1">IF(U$6=OFFSET(Assumptions!$B$8,0,$C$1),AVERAGE(R$239/SUM(R$242:R$243),S$239/SUM(S$242:S$243),T$239/SUM(T$242:T$243)),T$239/SUM(T$242:T$243))*SUM(U$242:U$243)</f>
        <v>14.651446777224329</v>
      </c>
      <c r="V239" s="20">
        <f ca="1">IF(V$6=OFFSET(Assumptions!$B$8,0,$C$1),AVERAGE(S$239/SUM(S$242:S$243),T$239/SUM(T$242:T$243),U$239/SUM(U$242:U$243)),U$239/SUM(U$242:U$243))*SUM(V$242:V$243)</f>
        <v>15.334075328847771</v>
      </c>
      <c r="W239" s="20">
        <f ca="1">IF(W$6=OFFSET(Assumptions!$B$8,0,$C$1),AVERAGE(T$239/SUM(T$242:T$243),U$239/SUM(U$242:U$243),V$239/SUM(V$242:V$243)),V$239/SUM(V$242:V$243))*SUM(W$242:W$243)</f>
        <v>16.043180045535852</v>
      </c>
      <c r="X239" s="20">
        <f ca="1">IF(X$6=OFFSET(Assumptions!$B$8,0,$C$1),AVERAGE(U$239/SUM(U$242:U$243),V$239/SUM(V$242:V$243),W$239/SUM(W$242:W$243)),W$239/SUM(W$242:W$243))*SUM(X$242:X$243)</f>
        <v>16.782566169431945</v>
      </c>
      <c r="Y239" s="20">
        <f ca="1">IF(Y$6=OFFSET(Assumptions!$B$8,0,$C$1),AVERAGE(V$239/SUM(V$242:V$243),W$239/SUM(W$242:W$243),X$239/SUM(X$242:X$243)),X$239/SUM(X$242:X$243))*SUM(Y$242:Y$243)</f>
        <v>17.520160225430931</v>
      </c>
      <c r="Z239" s="20">
        <f ca="1">IF(Z$6=OFFSET(Assumptions!$B$8,0,$C$1),AVERAGE(W$239/SUM(W$242:W$243),X$239/SUM(X$242:X$243),Y$239/SUM(Y$242:Y$243)),Y$239/SUM(Y$242:Y$243))*SUM(Z$242:Z$243)</f>
        <v>18.301244323323377</v>
      </c>
    </row>
    <row r="240" spans="1:26" x14ac:dyDescent="0.25">
      <c r="A240" s="12" t="s">
        <v>1265</v>
      </c>
      <c r="B240" s="14" t="str">
        <f>$B$38</f>
        <v>From Fiscal Forecasts</v>
      </c>
      <c r="D240" s="50">
        <f>'Fiscal Forecasts'!D$204</f>
        <v>5.0000000000000001E-3</v>
      </c>
      <c r="E240" s="50">
        <f>'Fiscal Forecasts'!E$204</f>
        <v>7.0000000000000001E-3</v>
      </c>
      <c r="F240" s="50">
        <f>'Fiscal Forecasts'!F$204</f>
        <v>6.0000000000000001E-3</v>
      </c>
      <c r="G240" s="50">
        <f>'Fiscal Forecasts'!G$204</f>
        <v>6.0000000000000001E-3</v>
      </c>
      <c r="H240" s="50">
        <f>'Fiscal Forecasts'!H$204</f>
        <v>8.0000000000000002E-3</v>
      </c>
      <c r="I240" s="50">
        <f>'Fiscal Forecasts'!I$204</f>
        <v>1.0999999999999999E-2</v>
      </c>
      <c r="J240" s="50">
        <f>'Fiscal Forecasts'!J$204</f>
        <v>1.0999999999999999E-2</v>
      </c>
      <c r="K240" s="50">
        <f>'Fiscal Forecasts'!K$204</f>
        <v>1.0999999999999999E-2</v>
      </c>
      <c r="L240" s="48">
        <f>'Fiscal Forecasts'!L$204</f>
        <v>1.0999999999999999E-2</v>
      </c>
      <c r="M240" s="48">
        <f>'Fiscal Forecasts'!M$204</f>
        <v>1.2E-2</v>
      </c>
      <c r="N240" s="48">
        <f>'Fiscal Forecasts'!N$204</f>
        <v>1.2E-2</v>
      </c>
      <c r="O240" s="48">
        <f>'Fiscal Forecasts'!O$204</f>
        <v>1.2999999999999999E-2</v>
      </c>
      <c r="P240" s="48">
        <f>'Fiscal Forecasts'!P$204</f>
        <v>1.4E-2</v>
      </c>
      <c r="Q240" s="20">
        <f t="shared" ref="Q240:Z240" ca="1" si="148">SUM(Q$242:Q$243,-Q$239)</f>
        <v>1.5098419274004016E-2</v>
      </c>
      <c r="R240" s="20">
        <f t="shared" ca="1" si="148"/>
        <v>1.5926283188223422E-2</v>
      </c>
      <c r="S240" s="20">
        <f t="shared" ca="1" si="148"/>
        <v>1.675218998760819E-2</v>
      </c>
      <c r="T240" s="20">
        <f t="shared" ca="1" si="148"/>
        <v>1.7549697203390835E-2</v>
      </c>
      <c r="U240" s="20">
        <f t="shared" ca="1" si="148"/>
        <v>1.8395694750402924E-2</v>
      </c>
      <c r="V240" s="20">
        <f t="shared" ca="1" si="148"/>
        <v>1.9252772324687584E-2</v>
      </c>
      <c r="W240" s="20">
        <f t="shared" ca="1" si="148"/>
        <v>2.0143092175867849E-2</v>
      </c>
      <c r="X240" s="20">
        <f t="shared" ca="1" si="148"/>
        <v>2.1071431994091228E-2</v>
      </c>
      <c r="Y240" s="20">
        <f t="shared" ca="1" si="148"/>
        <v>2.1997521772810558E-2</v>
      </c>
      <c r="Z240" s="20">
        <f t="shared" ca="1" si="148"/>
        <v>2.2978215683636449E-2</v>
      </c>
    </row>
    <row r="241" spans="1:26" x14ac:dyDescent="0.25">
      <c r="A241" s="11" t="s">
        <v>1266</v>
      </c>
      <c r="D241" s="94">
        <f t="shared" ref="D241:Z241" si="149">SUM(D$238:D$240)</f>
        <v>5.8120000000000003</v>
      </c>
      <c r="E241" s="94">
        <f t="shared" si="149"/>
        <v>6.9029999999999996</v>
      </c>
      <c r="F241" s="94">
        <f t="shared" si="149"/>
        <v>6.838000000000001</v>
      </c>
      <c r="G241" s="94">
        <f t="shared" si="149"/>
        <v>6.447000000000001</v>
      </c>
      <c r="H241" s="94">
        <f t="shared" si="149"/>
        <v>8.7839999999999989</v>
      </c>
      <c r="I241" s="94">
        <f t="shared" si="149"/>
        <v>10.426</v>
      </c>
      <c r="J241" s="94">
        <f t="shared" si="149"/>
        <v>11.540999999999999</v>
      </c>
      <c r="K241" s="94">
        <f t="shared" si="149"/>
        <v>9.0519999999999996</v>
      </c>
      <c r="L241" s="95">
        <f t="shared" si="149"/>
        <v>8.9489999999999998</v>
      </c>
      <c r="M241" s="95">
        <f t="shared" si="149"/>
        <v>9.6180000000000003</v>
      </c>
      <c r="N241" s="95">
        <f t="shared" si="149"/>
        <v>9.6810000000000009</v>
      </c>
      <c r="O241" s="95">
        <f t="shared" si="149"/>
        <v>10.023</v>
      </c>
      <c r="P241" s="95">
        <f t="shared" si="149"/>
        <v>11.424999999999999</v>
      </c>
      <c r="Q241" s="96">
        <f t="shared" ca="1" si="149"/>
        <v>12.040395066929326</v>
      </c>
      <c r="R241" s="96">
        <f t="shared" ca="1" si="149"/>
        <v>12.70058395213281</v>
      </c>
      <c r="S241" s="96">
        <f t="shared" ca="1" si="149"/>
        <v>13.35921211529247</v>
      </c>
      <c r="T241" s="96">
        <f t="shared" ca="1" si="149"/>
        <v>13.995192728393594</v>
      </c>
      <c r="U241" s="96">
        <f t="shared" ca="1" si="149"/>
        <v>14.669842471974732</v>
      </c>
      <c r="V241" s="96">
        <f t="shared" ca="1" si="149"/>
        <v>15.353328101172458</v>
      </c>
      <c r="W241" s="96">
        <f t="shared" ca="1" si="149"/>
        <v>16.06332313771172</v>
      </c>
      <c r="X241" s="96">
        <f t="shared" ca="1" si="149"/>
        <v>16.803637601426036</v>
      </c>
      <c r="Y241" s="96">
        <f t="shared" ca="1" si="149"/>
        <v>17.542157747203742</v>
      </c>
      <c r="Z241" s="96">
        <f t="shared" ca="1" si="149"/>
        <v>18.324222539007014</v>
      </c>
    </row>
    <row r="242" spans="1:26" x14ac:dyDescent="0.25">
      <c r="A242" s="12" t="s">
        <v>1267</v>
      </c>
      <c r="B242" s="14" t="str">
        <f>$B$38</f>
        <v>From Fiscal Forecasts</v>
      </c>
      <c r="D242" s="50">
        <f>'Fiscal Forecasts'!D$281</f>
        <v>5.3620000000000001</v>
      </c>
      <c r="E242" s="50">
        <f>'Fiscal Forecasts'!E$281</f>
        <v>6.2460000000000004</v>
      </c>
      <c r="F242" s="50">
        <f>'Fiscal Forecasts'!F$281</f>
        <v>6.5389999999999997</v>
      </c>
      <c r="G242" s="50">
        <f>'Fiscal Forecasts'!G$281</f>
        <v>5.8330000000000002</v>
      </c>
      <c r="H242" s="50">
        <f>'Fiscal Forecasts'!H$281</f>
        <v>7.6189999999999998</v>
      </c>
      <c r="I242" s="50">
        <f>'Fiscal Forecasts'!I$281</f>
        <v>9.7720000000000002</v>
      </c>
      <c r="J242" s="50">
        <f>'Fiscal Forecasts'!J$281</f>
        <v>10.771000000000001</v>
      </c>
      <c r="K242" s="50">
        <f>'Fiscal Forecasts'!K$281</f>
        <v>8.5489999999999995</v>
      </c>
      <c r="L242" s="48">
        <f>'Fiscal Forecasts'!L$281</f>
        <v>8.3699999999999992</v>
      </c>
      <c r="M242" s="48">
        <f>'Fiscal Forecasts'!M$281</f>
        <v>8.9890000000000008</v>
      </c>
      <c r="N242" s="48">
        <f>'Fiscal Forecasts'!N$281</f>
        <v>9.0329999999999995</v>
      </c>
      <c r="O242" s="48">
        <f>'Fiscal Forecasts'!O$281</f>
        <v>9.3610000000000007</v>
      </c>
      <c r="P242" s="48">
        <f>'Fiscal Forecasts'!P$281</f>
        <v>10.737</v>
      </c>
      <c r="Q242" s="20">
        <f>P$242*Exogenous!AB$27/Exogenous!AA$27</f>
        <v>11.322445815087232</v>
      </c>
      <c r="R242" s="20">
        <f>Q$242*Exogenous!AC$27/Exogenous!AB$27</f>
        <v>11.952075095042282</v>
      </c>
      <c r="S242" s="20">
        <f>R$242*Exogenous!AD$27/Exogenous!AC$27</f>
        <v>12.579334043873938</v>
      </c>
      <c r="T242" s="20">
        <f>S$242*Exogenous!AE$27/Exogenous!AD$27</f>
        <v>13.183209206568813</v>
      </c>
      <c r="U242" s="20">
        <f>T$242*Exogenous!AF$27/Exogenous!AE$27</f>
        <v>13.824633958994479</v>
      </c>
      <c r="V242" s="20">
        <f>U$242*Exogenous!AG$27/Exogenous!AF$27</f>
        <v>14.473763240216281</v>
      </c>
      <c r="W242" s="20">
        <f>V$242*Exogenous!AH$27/Exogenous!AG$27</f>
        <v>15.148443899166695</v>
      </c>
      <c r="X242" s="20">
        <f>W$242*Exogenous!AI$27/Exogenous!AH$27</f>
        <v>15.852427077587839</v>
      </c>
      <c r="Y242" s="20">
        <f>X$242*Exogenous!AJ$27/Exogenous!AI$27</f>
        <v>16.553409040536113</v>
      </c>
      <c r="Z242" s="20">
        <f>Y$242*Exogenous!AK$27/Exogenous!AJ$27</f>
        <v>17.296719070316762</v>
      </c>
    </row>
    <row r="243" spans="1:26" x14ac:dyDescent="0.25">
      <c r="A243" s="12" t="s">
        <v>1268</v>
      </c>
      <c r="B243" s="14" t="str">
        <f>$B$38</f>
        <v>From Fiscal Forecasts</v>
      </c>
      <c r="D243" s="50">
        <f>SUM('Fiscal Forecasts'!D$282:D$283)</f>
        <v>0.44999999999999996</v>
      </c>
      <c r="E243" s="50">
        <f>SUM('Fiscal Forecasts'!E$282:E$283)</f>
        <v>0.65700000000000003</v>
      </c>
      <c r="F243" s="50">
        <f>SUM('Fiscal Forecasts'!F$282:F$283)</f>
        <v>0.29900000000000004</v>
      </c>
      <c r="G243" s="50">
        <f>SUM('Fiscal Forecasts'!G$282:G$283)</f>
        <v>0.61399999999999999</v>
      </c>
      <c r="H243" s="50">
        <f>SUM('Fiscal Forecasts'!H$282:H$283)</f>
        <v>1.1649999999999998</v>
      </c>
      <c r="I243" s="50">
        <f>SUM('Fiscal Forecasts'!I$282:I$283)</f>
        <v>0.65399999999999991</v>
      </c>
      <c r="J243" s="50">
        <f>SUM('Fiscal Forecasts'!J$282:J$283)</f>
        <v>0.77</v>
      </c>
      <c r="K243" s="50">
        <f>SUM('Fiscal Forecasts'!K$282:K$283)</f>
        <v>0.503</v>
      </c>
      <c r="L243" s="48">
        <f>SUM('Fiscal Forecasts'!L$282:L$283)</f>
        <v>0.57899999999999996</v>
      </c>
      <c r="M243" s="48">
        <f>SUM('Fiscal Forecasts'!M$282:M$283)</f>
        <v>0.629</v>
      </c>
      <c r="N243" s="48">
        <f>SUM('Fiscal Forecasts'!N$282:N$283)</f>
        <v>0.64800000000000002</v>
      </c>
      <c r="O243" s="48">
        <f>SUM('Fiscal Forecasts'!O$282:O$283)</f>
        <v>0.66200000000000003</v>
      </c>
      <c r="P243" s="48">
        <f>SUM('Fiscal Forecasts'!P$282:P$283)</f>
        <v>0.68800000000000006</v>
      </c>
      <c r="Q243" s="20">
        <f t="shared" ref="Q243:Z243" ca="1" si="150">P$243*(1+Q$14)</f>
        <v>0.71794925184209457</v>
      </c>
      <c r="R243" s="20">
        <f t="shared" ca="1" si="150"/>
        <v>0.74850885709052806</v>
      </c>
      <c r="S243" s="20">
        <f t="shared" ca="1" si="150"/>
        <v>0.7798780714185316</v>
      </c>
      <c r="T243" s="20">
        <f t="shared" ca="1" si="150"/>
        <v>0.81198352182478062</v>
      </c>
      <c r="U243" s="20">
        <f t="shared" ca="1" si="150"/>
        <v>0.84520851298025268</v>
      </c>
      <c r="V243" s="20">
        <f t="shared" ca="1" si="150"/>
        <v>0.87956486095617725</v>
      </c>
      <c r="W243" s="20">
        <f t="shared" ca="1" si="150"/>
        <v>0.9148792385450264</v>
      </c>
      <c r="X243" s="20">
        <f t="shared" ca="1" si="150"/>
        <v>0.95121052383819849</v>
      </c>
      <c r="Y243" s="20">
        <f t="shared" ca="1" si="150"/>
        <v>0.98874870666762915</v>
      </c>
      <c r="Z243" s="20">
        <f t="shared" ca="1" si="150"/>
        <v>1.0275034686902527</v>
      </c>
    </row>
    <row r="244" spans="1:26" x14ac:dyDescent="0.25">
      <c r="A244" s="12"/>
    </row>
    <row r="245" spans="1:26" x14ac:dyDescent="0.25">
      <c r="A245" s="11" t="s">
        <v>1269</v>
      </c>
    </row>
    <row r="246" spans="1:26" x14ac:dyDescent="0.25">
      <c r="A246" s="11" t="s">
        <v>876</v>
      </c>
      <c r="D246" s="51">
        <f>SUM($D$247:D$248)</f>
        <v>0</v>
      </c>
      <c r="E246" s="51">
        <f>SUM($D$247:E$248)</f>
        <v>0</v>
      </c>
      <c r="F246" s="51">
        <f>SUM($D$247:F$248)</f>
        <v>0</v>
      </c>
      <c r="G246" s="51">
        <f>SUM($D$247:G$248)</f>
        <v>0</v>
      </c>
      <c r="H246" s="51">
        <f>SUM($D$247:H$248)</f>
        <v>0</v>
      </c>
      <c r="I246" s="51">
        <f>SUM($D$247:I$248)</f>
        <v>0</v>
      </c>
      <c r="J246" s="51">
        <f>SUM($D$247:J$248)</f>
        <v>0</v>
      </c>
      <c r="K246" s="51">
        <f>SUM($D$247:K$248)</f>
        <v>0</v>
      </c>
      <c r="L246" s="47">
        <f ca="1">IF(OFFSET(Assumptions!$B$57,0,$C$1)="Yes",0,SUM($D$247:L$248))</f>
        <v>1.258</v>
      </c>
      <c r="M246" s="47">
        <f ca="1">IF(OFFSET(Assumptions!$B$57,0,$C$1)="Yes",0,SUM($D$247:M$248))</f>
        <v>2.968</v>
      </c>
      <c r="N246" s="47">
        <f ca="1">IF(OFFSET(Assumptions!$B$57,0,$C$1)="Yes",0,SUM($D$247:N$248))</f>
        <v>5.0250000000000004</v>
      </c>
      <c r="O246" s="47">
        <f ca="1">IF(OFFSET(Assumptions!$B$57,0,$C$1)="Yes",0,SUM($D$247:O$248))</f>
        <v>7.7829999999999986</v>
      </c>
      <c r="P246" s="47">
        <f ca="1">IF(OFFSET(Assumptions!$B$57,0,$C$1)="Yes",0,SUM($D$247:P$248))</f>
        <v>10.116</v>
      </c>
      <c r="Q246" s="21">
        <f ca="1">IF(OFFSET(Assumptions!$B$57,0,$C$1)="Yes",0,SUM($D$247:Q$248))</f>
        <v>12.516</v>
      </c>
      <c r="R246" s="21">
        <f ca="1">IF(OFFSET(Assumptions!$B$57,0,$C$1)="Yes",0,SUM($D$247:R$248))</f>
        <v>15.036</v>
      </c>
      <c r="S246" s="21">
        <f ca="1">IF(OFFSET(Assumptions!$B$57,0,$C$1)="Yes",0,SUM($D$247:S$248))</f>
        <v>17.681999999999999</v>
      </c>
      <c r="T246" s="21">
        <f ca="1">IF(OFFSET(Assumptions!$B$57,0,$C$1)="Yes",0,SUM($D$247:T$248))</f>
        <v>20.4603</v>
      </c>
      <c r="U246" s="21">
        <f ca="1">IF(OFFSET(Assumptions!$B$57,0,$C$1)="Yes",0,SUM($D$247:U$248))</f>
        <v>23.377515000000002</v>
      </c>
      <c r="V246" s="21">
        <f ca="1">IF(OFFSET(Assumptions!$B$57,0,$C$1)="Yes",0,SUM($D$247:V$248))</f>
        <v>26.440590750000005</v>
      </c>
      <c r="W246" s="21">
        <f ca="1">IF(OFFSET(Assumptions!$B$57,0,$C$1)="Yes",0,SUM($D$247:W$248))</f>
        <v>29.656820287500008</v>
      </c>
      <c r="X246" s="21">
        <f ca="1">IF(OFFSET(Assumptions!$B$57,0,$C$1)="Yes",0,SUM($D$247:X$248))</f>
        <v>33.033861301875007</v>
      </c>
      <c r="Y246" s="21">
        <f ca="1">IF(OFFSET(Assumptions!$B$57,0,$C$1)="Yes",0,SUM($D$247:Y$248))</f>
        <v>36.579754366968757</v>
      </c>
      <c r="Z246" s="21">
        <f ca="1">IF(OFFSET(Assumptions!$B$57,0,$C$1)="Yes",0,SUM($D$247:Z$248))</f>
        <v>40.302942085317198</v>
      </c>
    </row>
    <row r="247" spans="1:26" x14ac:dyDescent="0.25">
      <c r="A247" s="12" t="s">
        <v>1457</v>
      </c>
      <c r="B247" s="14" t="str">
        <f>$B$38</f>
        <v>From Fiscal Forecasts</v>
      </c>
      <c r="D247" s="50">
        <f>SUM('Fiscal Forecasts'!D$286:D$287)-SUM('Fiscal Forecasts'!C$286:C$287)</f>
        <v>0</v>
      </c>
      <c r="E247" s="50">
        <f>SUM('Fiscal Forecasts'!E$286:E$287)-SUM('Fiscal Forecasts'!D$286:D$287)</f>
        <v>0</v>
      </c>
      <c r="F247" s="50">
        <f>SUM('Fiscal Forecasts'!F$286:F$287)-SUM('Fiscal Forecasts'!E$286:E$287)</f>
        <v>0</v>
      </c>
      <c r="G247" s="50">
        <f>SUM('Fiscal Forecasts'!G$286:G$287)-SUM('Fiscal Forecasts'!F$286:F$287)</f>
        <v>0</v>
      </c>
      <c r="H247" s="50">
        <f>SUM('Fiscal Forecasts'!H$286:H$287)-SUM('Fiscal Forecasts'!G$286:G$287)</f>
        <v>0</v>
      </c>
      <c r="I247" s="50">
        <f>SUM('Fiscal Forecasts'!I$286:I$287)-SUM('Fiscal Forecasts'!H$286:H$287)</f>
        <v>0</v>
      </c>
      <c r="J247" s="50">
        <f>SUM('Fiscal Forecasts'!J$286:J$287)-SUM('Fiscal Forecasts'!I$286:I$287)</f>
        <v>0</v>
      </c>
      <c r="K247" s="50">
        <f>SUM('Fiscal Forecasts'!K$286:K$287)-SUM('Fiscal Forecasts'!J$286:J$287)</f>
        <v>0</v>
      </c>
      <c r="L247" s="48">
        <f>SUM('Fiscal Forecasts'!L$286:L$287)-SUM('Fiscal Forecasts'!K$286:K$287)</f>
        <v>1.258</v>
      </c>
      <c r="M247" s="48">
        <f>SUM('Fiscal Forecasts'!M$286:M$287)-SUM('Fiscal Forecasts'!L$286:L$287)</f>
        <v>-0.69000000000000006</v>
      </c>
      <c r="N247" s="48">
        <f>SUM('Fiscal Forecasts'!N$286:N$287)-SUM('Fiscal Forecasts'!M$286:M$287)</f>
        <v>-0.34300000000000008</v>
      </c>
      <c r="O247" s="48">
        <f>SUM('Fiscal Forecasts'!O$286:O$287)-SUM('Fiscal Forecasts'!N$286:N$287)</f>
        <v>0.3580000000000001</v>
      </c>
      <c r="P247" s="48">
        <f>SUM('Fiscal Forecasts'!P$286:P$287)-SUM('Fiscal Forecasts'!O$286:O$287)</f>
        <v>-6.6999999999999948E-2</v>
      </c>
      <c r="Q247" s="20">
        <f ca="1">IF(Q$6=OFFSET(Assumptions!$B$8,0,$C$1),OFFSET(Assumptions!$B$9,0,$C$1),P$247)</f>
        <v>0</v>
      </c>
      <c r="R247" s="20">
        <f ca="1">IF(R$6=OFFSET(Assumptions!$B$8,0,$C$1),OFFSET(Assumptions!$B$9,0,$C$1),Q$247)</f>
        <v>0</v>
      </c>
      <c r="S247" s="20">
        <f ca="1">IF(S$6=OFFSET(Assumptions!$B$8,0,$C$1),OFFSET(Assumptions!$B$9,0,$C$1),R$247)</f>
        <v>0</v>
      </c>
      <c r="T247" s="20">
        <f ca="1">IF(T$6=OFFSET(Assumptions!$B$8,0,$C$1),OFFSET(Assumptions!$B$9,0,$C$1),S$247)</f>
        <v>0</v>
      </c>
      <c r="U247" s="20">
        <f ca="1">IF(U$6=OFFSET(Assumptions!$B$8,0,$C$1),OFFSET(Assumptions!$B$9,0,$C$1),T$247)</f>
        <v>0</v>
      </c>
      <c r="V247" s="20">
        <f ca="1">IF(V$6=OFFSET(Assumptions!$B$8,0,$C$1),OFFSET(Assumptions!$B$9,0,$C$1),U$247)</f>
        <v>0</v>
      </c>
      <c r="W247" s="20">
        <f ca="1">IF(W$6=OFFSET(Assumptions!$B$8,0,$C$1),OFFSET(Assumptions!$B$9,0,$C$1),V$247)</f>
        <v>0</v>
      </c>
      <c r="X247" s="20">
        <f ca="1">IF(X$6=OFFSET(Assumptions!$B$8,0,$C$1),OFFSET(Assumptions!$B$9,0,$C$1),W$247)</f>
        <v>0</v>
      </c>
      <c r="Y247" s="20">
        <f ca="1">IF(Y$6=OFFSET(Assumptions!$B$8,0,$C$1),OFFSET(Assumptions!$B$9,0,$C$1),X$247)</f>
        <v>0</v>
      </c>
      <c r="Z247" s="20">
        <f ca="1">IF(Z$6=OFFSET(Assumptions!$B$8,0,$C$1),OFFSET(Assumptions!$B$9,0,$C$1),Y$247)</f>
        <v>0</v>
      </c>
    </row>
    <row r="248" spans="1:26" x14ac:dyDescent="0.25">
      <c r="A248" s="12" t="s">
        <v>1270</v>
      </c>
      <c r="B248" s="14" t="str">
        <f>$B$38</f>
        <v>From Fiscal Forecasts</v>
      </c>
      <c r="D248" s="50">
        <f>SUM('Fiscal Forecasts'!D$288:D$291)-SUM('Fiscal Forecasts'!C$288:C$291)</f>
        <v>0</v>
      </c>
      <c r="E248" s="50">
        <f>SUM('Fiscal Forecasts'!E$288:E$291)-SUM('Fiscal Forecasts'!D$288:D$291)</f>
        <v>0</v>
      </c>
      <c r="F248" s="50">
        <f>SUM('Fiscal Forecasts'!F$288:F$291)-SUM('Fiscal Forecasts'!E$288:E$291)</f>
        <v>0</v>
      </c>
      <c r="G248" s="50">
        <f>SUM('Fiscal Forecasts'!G$288:G$291)-SUM('Fiscal Forecasts'!F$288:F$291)</f>
        <v>0</v>
      </c>
      <c r="H248" s="50">
        <f>SUM('Fiscal Forecasts'!H$288:H$291)-SUM('Fiscal Forecasts'!G$288:G$291)</f>
        <v>0</v>
      </c>
      <c r="I248" s="50">
        <f>SUM('Fiscal Forecasts'!I$288:I$291)-SUM('Fiscal Forecasts'!H$288:H$291)</f>
        <v>0</v>
      </c>
      <c r="J248" s="50">
        <f>SUM('Fiscal Forecasts'!J$288:J$291)-SUM('Fiscal Forecasts'!I$288:I$291)</f>
        <v>0</v>
      </c>
      <c r="K248" s="50">
        <f>SUM('Fiscal Forecasts'!K$288:K$291)-SUM('Fiscal Forecasts'!J$288:J$291)</f>
        <v>0</v>
      </c>
      <c r="L248" s="48">
        <f>SUM('Fiscal Forecasts'!L$288:L$291)-SUM('Fiscal Forecasts'!K$288:K$291)</f>
        <v>0</v>
      </c>
      <c r="M248" s="48">
        <f>SUM('Fiscal Forecasts'!M$288:M$291)-SUM('Fiscal Forecasts'!L$288:L$291)</f>
        <v>2.4</v>
      </c>
      <c r="N248" s="48">
        <f>SUM('Fiscal Forecasts'!N$288:N$291)-SUM('Fiscal Forecasts'!M$288:M$291)</f>
        <v>2.4</v>
      </c>
      <c r="O248" s="48">
        <f>SUM('Fiscal Forecasts'!O$288:O$291)-SUM('Fiscal Forecasts'!N$288:N$291)</f>
        <v>2.3999999999999995</v>
      </c>
      <c r="P248" s="48">
        <f>SUM('Fiscal Forecasts'!P$288:P$291)-SUM('Fiscal Forecasts'!O$288:O$291)</f>
        <v>2.4000000000000004</v>
      </c>
      <c r="Q248" s="20">
        <f ca="1">IF(Q$6=OFFSET(Assumptions!$B$8,0,$C$1),OFFSET(Assumptions!$B$41,0,$C$1)-IF(OFFSET(Assumptions!$B$58,0,$C$1)="Yes",Allocation!$G$6,0),(P$248+IF(AND(P$6=OFFSET(Assumptions!$B$8,0,$C$1),OFFSET(Assumptions!$B$58,0,$C$1)="Yes"),Allocation!$G$6,0))*(1+OFFSET(Assumptions!$B$42,0,$C$1)))</f>
        <v>2.4</v>
      </c>
      <c r="R248" s="20">
        <f ca="1">IF(R$6=OFFSET(Assumptions!$B$8,0,$C$1),OFFSET(Assumptions!$B$41,0,$C$1)-IF(OFFSET(Assumptions!$B$58,0,$C$1)="Yes",Allocation!$G$6,0),(Q$248+IF(AND(Q$6=OFFSET(Assumptions!$B$8,0,$C$1),OFFSET(Assumptions!$B$58,0,$C$1)="Yes"),Allocation!$G$6,0))*(1+OFFSET(Assumptions!$B$42,0,$C$1)))</f>
        <v>2.52</v>
      </c>
      <c r="S248" s="20">
        <f ca="1">IF(S$6=OFFSET(Assumptions!$B$8,0,$C$1),OFFSET(Assumptions!$B$41,0,$C$1)-IF(OFFSET(Assumptions!$B$58,0,$C$1)="Yes",Allocation!$G$6,0),(R$248+IF(AND(R$6=OFFSET(Assumptions!$B$8,0,$C$1),OFFSET(Assumptions!$B$58,0,$C$1)="Yes"),Allocation!$G$6,0))*(1+OFFSET(Assumptions!$B$42,0,$C$1)))</f>
        <v>2.6460000000000004</v>
      </c>
      <c r="T248" s="20">
        <f ca="1">IF(T$6=OFFSET(Assumptions!$B$8,0,$C$1),OFFSET(Assumptions!$B$41,0,$C$1)-IF(OFFSET(Assumptions!$B$58,0,$C$1)="Yes",Allocation!$G$6,0),(S$248+IF(AND(S$6=OFFSET(Assumptions!$B$8,0,$C$1),OFFSET(Assumptions!$B$58,0,$C$1)="Yes"),Allocation!$G$6,0))*(1+OFFSET(Assumptions!$B$42,0,$C$1)))</f>
        <v>2.7783000000000007</v>
      </c>
      <c r="U248" s="20">
        <f ca="1">IF(U$6=OFFSET(Assumptions!$B$8,0,$C$1),OFFSET(Assumptions!$B$41,0,$C$1)-IF(OFFSET(Assumptions!$B$58,0,$C$1)="Yes",Allocation!$G$6,0),(T$248+IF(AND(T$6=OFFSET(Assumptions!$B$8,0,$C$1),OFFSET(Assumptions!$B$58,0,$C$1)="Yes"),Allocation!$G$6,0))*(1+OFFSET(Assumptions!$B$42,0,$C$1)))</f>
        <v>2.917215000000001</v>
      </c>
      <c r="V248" s="20">
        <f ca="1">IF(V$6=OFFSET(Assumptions!$B$8,0,$C$1),OFFSET(Assumptions!$B$41,0,$C$1)-IF(OFFSET(Assumptions!$B$58,0,$C$1)="Yes",Allocation!$G$6,0),(U$248+IF(AND(U$6=OFFSET(Assumptions!$B$8,0,$C$1),OFFSET(Assumptions!$B$58,0,$C$1)="Yes"),Allocation!$G$6,0))*(1+OFFSET(Assumptions!$B$42,0,$C$1)))</f>
        <v>3.0630757500000012</v>
      </c>
      <c r="W248" s="20">
        <f ca="1">IF(W$6=OFFSET(Assumptions!$B$8,0,$C$1),OFFSET(Assumptions!$B$41,0,$C$1)-IF(OFFSET(Assumptions!$B$58,0,$C$1)="Yes",Allocation!$G$6,0),(V$248+IF(AND(V$6=OFFSET(Assumptions!$B$8,0,$C$1),OFFSET(Assumptions!$B$58,0,$C$1)="Yes"),Allocation!$G$6,0))*(1+OFFSET(Assumptions!$B$42,0,$C$1)))</f>
        <v>3.2162295375000016</v>
      </c>
      <c r="X248" s="20">
        <f ca="1">IF(X$6=OFFSET(Assumptions!$B$8,0,$C$1),OFFSET(Assumptions!$B$41,0,$C$1)-IF(OFFSET(Assumptions!$B$58,0,$C$1)="Yes",Allocation!$G$6,0),(W$248+IF(AND(W$6=OFFSET(Assumptions!$B$8,0,$C$1),OFFSET(Assumptions!$B$58,0,$C$1)="Yes"),Allocation!$G$6,0))*(1+OFFSET(Assumptions!$B$42,0,$C$1)))</f>
        <v>3.3770410143750018</v>
      </c>
      <c r="Y248" s="20">
        <f ca="1">IF(Y$6=OFFSET(Assumptions!$B$8,0,$C$1),OFFSET(Assumptions!$B$41,0,$C$1)-IF(OFFSET(Assumptions!$B$58,0,$C$1)="Yes",Allocation!$G$6,0),(X$248+IF(AND(X$6=OFFSET(Assumptions!$B$8,0,$C$1),OFFSET(Assumptions!$B$58,0,$C$1)="Yes"),Allocation!$G$6,0))*(1+OFFSET(Assumptions!$B$42,0,$C$1)))</f>
        <v>3.5458930650937521</v>
      </c>
      <c r="Z248" s="20">
        <f ca="1">IF(Z$6=OFFSET(Assumptions!$B$8,0,$C$1),OFFSET(Assumptions!$B$41,0,$C$1)-IF(OFFSET(Assumptions!$B$58,0,$C$1)="Yes",Allocation!$G$6,0),(Y$248+IF(AND(Y$6=OFFSET(Assumptions!$B$8,0,$C$1),OFFSET(Assumptions!$B$58,0,$C$1)="Yes"),Allocation!$G$6,0))*(1+OFFSET(Assumptions!$B$42,0,$C$1)))</f>
        <v>3.7231877183484401</v>
      </c>
    </row>
    <row r="249" spans="1:26" x14ac:dyDescent="0.25">
      <c r="A249" s="11" t="s">
        <v>711</v>
      </c>
      <c r="B249" s="14" t="str">
        <f>$B$38</f>
        <v>From Fiscal Forecasts</v>
      </c>
      <c r="D249" s="51">
        <f>'Fiscal Forecasts'!D$22</f>
        <v>0</v>
      </c>
      <c r="E249" s="51">
        <f>'Fiscal Forecasts'!E$22</f>
        <v>0</v>
      </c>
      <c r="F249" s="51">
        <f>'Fiscal Forecasts'!F$22</f>
        <v>0</v>
      </c>
      <c r="G249" s="51">
        <f>'Fiscal Forecasts'!G$22</f>
        <v>0</v>
      </c>
      <c r="H249" s="51">
        <f>'Fiscal Forecasts'!H$22</f>
        <v>0</v>
      </c>
      <c r="I249" s="51">
        <f>'Fiscal Forecasts'!I$22</f>
        <v>0</v>
      </c>
      <c r="J249" s="51">
        <f>'Fiscal Forecasts'!J$22</f>
        <v>0</v>
      </c>
      <c r="K249" s="51">
        <f>'Fiscal Forecasts'!K$22</f>
        <v>0</v>
      </c>
      <c r="L249" s="47">
        <f ca="1">IF(OFFSET(Assumptions!$B$57,0,$C$1)="Yes",0,'Fiscal Forecasts'!L$22)</f>
        <v>-2.6</v>
      </c>
      <c r="M249" s="47">
        <f ca="1">IF(OFFSET(Assumptions!$B$57,0,$C$1)="Yes",0,'Fiscal Forecasts'!M$22)</f>
        <v>-0.8</v>
      </c>
      <c r="N249" s="47">
        <f ca="1">IF(OFFSET(Assumptions!$B$57,0,$C$1)="Yes",0,'Fiscal Forecasts'!N$22)</f>
        <v>-0.65</v>
      </c>
      <c r="O249" s="47">
        <f ca="1">IF(OFFSET(Assumptions!$B$57,0,$C$1)="Yes",0,'Fiscal Forecasts'!O$22)</f>
        <v>-0.65</v>
      </c>
      <c r="P249" s="47">
        <f ca="1">IF(OFFSET(Assumptions!$B$57,0,$C$1)="Yes",0,'Fiscal Forecasts'!P$22)</f>
        <v>-0.65</v>
      </c>
      <c r="Q249" s="21">
        <f ca="1">IF(Q$6=OFFSET(Assumptions!$B$8,0,$C$1),OFFSET(Assumptions!$B$9,0,$C$1),P$249)</f>
        <v>0</v>
      </c>
      <c r="R249" s="21">
        <f ca="1">IF(R$6=OFFSET(Assumptions!$B$8,0,$C$1),OFFSET(Assumptions!$B$9,0,$C$1),Q$249)</f>
        <v>0</v>
      </c>
      <c r="S249" s="21">
        <f ca="1">IF(S$6=OFFSET(Assumptions!$B$8,0,$C$1),OFFSET(Assumptions!$B$9,0,$C$1),R$249)</f>
        <v>0</v>
      </c>
      <c r="T249" s="21">
        <f ca="1">IF(T$6=OFFSET(Assumptions!$B$8,0,$C$1),OFFSET(Assumptions!$B$9,0,$C$1),S$249)</f>
        <v>0</v>
      </c>
      <c r="U249" s="21">
        <f ca="1">IF(U$6=OFFSET(Assumptions!$B$8,0,$C$1),OFFSET(Assumptions!$B$9,0,$C$1),T$249)</f>
        <v>0</v>
      </c>
      <c r="V249" s="21">
        <f ca="1">IF(V$6=OFFSET(Assumptions!$B$8,0,$C$1),OFFSET(Assumptions!$B$9,0,$C$1),U$249)</f>
        <v>0</v>
      </c>
      <c r="W249" s="21">
        <f ca="1">IF(W$6=OFFSET(Assumptions!$B$8,0,$C$1),OFFSET(Assumptions!$B$9,0,$C$1),V$249)</f>
        <v>0</v>
      </c>
      <c r="X249" s="21">
        <f ca="1">IF(X$6=OFFSET(Assumptions!$B$8,0,$C$1),OFFSET(Assumptions!$B$9,0,$C$1),W$249)</f>
        <v>0</v>
      </c>
      <c r="Y249" s="21">
        <f ca="1">IF(Y$6=OFFSET(Assumptions!$B$8,0,$C$1),OFFSET(Assumptions!$B$9,0,$C$1),X$249)</f>
        <v>0</v>
      </c>
      <c r="Z249" s="21">
        <f ca="1">IF(Z$6=OFFSET(Assumptions!$B$8,0,$C$1),OFFSET(Assumptions!$B$9,0,$C$1),Y$249)</f>
        <v>0</v>
      </c>
    </row>
    <row r="251" spans="1:26" x14ac:dyDescent="0.25">
      <c r="A251" s="11" t="s">
        <v>1271</v>
      </c>
    </row>
    <row r="252" spans="1:26" x14ac:dyDescent="0.25">
      <c r="A252" s="11" t="s">
        <v>1272</v>
      </c>
      <c r="B252" s="14" t="str">
        <f>$B$38</f>
        <v>From Fiscal Forecasts</v>
      </c>
      <c r="D252" s="51">
        <f>'Fiscal Forecasts'!D$69</f>
        <v>6.6000000000000003E-2</v>
      </c>
      <c r="E252" s="51">
        <f>'Fiscal Forecasts'!E$69</f>
        <v>7.2999999999999995E-2</v>
      </c>
      <c r="F252" s="51">
        <f>'Fiscal Forecasts'!F$69</f>
        <v>9.9000000000000005E-2</v>
      </c>
      <c r="G252" s="51">
        <f>'Fiscal Forecasts'!G$69</f>
        <v>9.4E-2</v>
      </c>
      <c r="H252" s="51">
        <f>'Fiscal Forecasts'!H$69</f>
        <v>6.0999999999999999E-2</v>
      </c>
      <c r="I252" s="51">
        <f>'Fiscal Forecasts'!I$69</f>
        <v>6.9000000000000006E-2</v>
      </c>
      <c r="J252" s="51">
        <f>'Fiscal Forecasts'!J$69</f>
        <v>6.5000000000000002E-2</v>
      </c>
      <c r="K252" s="51">
        <f>'Fiscal Forecasts'!K$69</f>
        <v>6.0999999999999999E-2</v>
      </c>
      <c r="L252" s="47">
        <f>'Fiscal Forecasts'!L$69</f>
        <v>4.5999999999999999E-2</v>
      </c>
      <c r="M252" s="47">
        <f>'Fiscal Forecasts'!M$69</f>
        <v>4.8000000000000001E-2</v>
      </c>
      <c r="N252" s="47">
        <f>'Fiscal Forecasts'!N$69</f>
        <v>4.7E-2</v>
      </c>
      <c r="O252" s="47">
        <f>'Fiscal Forecasts'!O$69</f>
        <v>4.5999999999999999E-2</v>
      </c>
      <c r="P252" s="47">
        <f>'Fiscal Forecasts'!P$69</f>
        <v>4.4999999999999998E-2</v>
      </c>
      <c r="Q252" s="21">
        <f>P$252*Exogenous!AB$34/Exogenous!AA$34</f>
        <v>4.2880886426592796E-2</v>
      </c>
      <c r="R252" s="21">
        <f>Q$252*Exogenous!AC$34/Exogenous!AB$34</f>
        <v>4.07617728531856E-2</v>
      </c>
      <c r="S252" s="21">
        <f>R$252*Exogenous!AD$34/Exogenous!AC$34</f>
        <v>3.8642659279778398E-2</v>
      </c>
      <c r="T252" s="21">
        <f>S$252*Exogenous!AE$34/Exogenous!AD$34</f>
        <v>3.6398891966759002E-2</v>
      </c>
      <c r="U252" s="21">
        <f>T$252*Exogenous!AF$34/Exogenous!AE$34</f>
        <v>3.4404432132963993E-2</v>
      </c>
      <c r="V252" s="21">
        <f>U$252*Exogenous!AG$34/Exogenous!AF$34</f>
        <v>3.2409972299168976E-2</v>
      </c>
      <c r="W252" s="21">
        <f>V$252*Exogenous!AH$34/Exogenous!AG$34</f>
        <v>3.029085872576177E-2</v>
      </c>
      <c r="X252" s="21">
        <f>W$252*Exogenous!AI$34/Exogenous!AH$34</f>
        <v>2.8171745152354568E-2</v>
      </c>
      <c r="Y252" s="21">
        <f>X$252*Exogenous!AJ$34/Exogenous!AI$34</f>
        <v>2.6301939058171742E-2</v>
      </c>
      <c r="Z252" s="21">
        <f>Y$252*Exogenous!AK$34/Exogenous!AJ$34</f>
        <v>2.4432132963988915E-2</v>
      </c>
    </row>
    <row r="253" spans="1:26" x14ac:dyDescent="0.25">
      <c r="A253" s="11" t="s">
        <v>1273</v>
      </c>
      <c r="B253" s="14" t="str">
        <f>$B$38</f>
        <v>From Fiscal Forecasts</v>
      </c>
      <c r="D253" s="51">
        <f>'Fiscal Forecasts'!D$52</f>
        <v>0.08</v>
      </c>
      <c r="E253" s="51">
        <f>'Fiscal Forecasts'!E$52</f>
        <v>8.6999999999999994E-2</v>
      </c>
      <c r="F253" s="51">
        <f>'Fiscal Forecasts'!F$52</f>
        <v>0.114</v>
      </c>
      <c r="G253" s="51">
        <f>'Fiscal Forecasts'!G$52</f>
        <v>0.11</v>
      </c>
      <c r="H253" s="51">
        <f>'Fiscal Forecasts'!H$52</f>
        <v>7.8E-2</v>
      </c>
      <c r="I253" s="51">
        <f>'Fiscal Forecasts'!I$52</f>
        <v>9.4E-2</v>
      </c>
      <c r="J253" s="51">
        <f>'Fiscal Forecasts'!J$52</f>
        <v>8.3000000000000004E-2</v>
      </c>
      <c r="K253" s="51">
        <f>'Fiscal Forecasts'!K$52</f>
        <v>7.0000000000000007E-2</v>
      </c>
      <c r="L253" s="47">
        <f>'Fiscal Forecasts'!L$52</f>
        <v>5.3999999999999999E-2</v>
      </c>
      <c r="M253" s="47">
        <f>'Fiscal Forecasts'!M$52</f>
        <v>5.6000000000000001E-2</v>
      </c>
      <c r="N253" s="47">
        <f>'Fiscal Forecasts'!N$52</f>
        <v>5.5E-2</v>
      </c>
      <c r="O253" s="47">
        <f>'Fiscal Forecasts'!O$52</f>
        <v>5.3999999999999999E-2</v>
      </c>
      <c r="P253" s="47">
        <f>'Fiscal Forecasts'!P$52</f>
        <v>5.2999999999999999E-2</v>
      </c>
      <c r="Q253" s="21">
        <f>P$253*Exogenous!AB$34/Exogenous!AA$34</f>
        <v>5.0504155124653734E-2</v>
      </c>
      <c r="R253" s="21">
        <f>Q$253*Exogenous!AC$34/Exogenous!AB$34</f>
        <v>4.8008310249307476E-2</v>
      </c>
      <c r="S253" s="21">
        <f>R$253*Exogenous!AD$34/Exogenous!AC$34</f>
        <v>4.5512465373961218E-2</v>
      </c>
      <c r="T253" s="21">
        <f>S$253*Exogenous!AE$34/Exogenous!AD$34</f>
        <v>4.2869806094182825E-2</v>
      </c>
      <c r="U253" s="21">
        <f>T$253*Exogenous!AF$34/Exogenous!AE$34</f>
        <v>4.0520775623268702E-2</v>
      </c>
      <c r="V253" s="21">
        <f>U$253*Exogenous!AG$34/Exogenous!AF$34</f>
        <v>3.8171745152354573E-2</v>
      </c>
      <c r="W253" s="21">
        <f>V$253*Exogenous!AH$34/Exogenous!AG$34</f>
        <v>3.5675900277008316E-2</v>
      </c>
      <c r="X253" s="21">
        <f>W$253*Exogenous!AI$34/Exogenous!AH$34</f>
        <v>3.3180055401662058E-2</v>
      </c>
      <c r="Y253" s="21">
        <f>X$253*Exogenous!AJ$34/Exogenous!AI$34</f>
        <v>3.0977839335180061E-2</v>
      </c>
      <c r="Z253" s="21">
        <f>Y$253*Exogenous!AK$34/Exogenous!AJ$34</f>
        <v>2.8775623268698067E-2</v>
      </c>
    </row>
    <row r="255" spans="1:26" x14ac:dyDescent="0.25">
      <c r="A255" s="11" t="s">
        <v>1274</v>
      </c>
      <c r="D255" s="2"/>
      <c r="E255" s="2"/>
      <c r="F255" s="2"/>
      <c r="G255" s="2"/>
      <c r="H255" s="2"/>
      <c r="I255" s="2"/>
      <c r="J255" s="2"/>
      <c r="K255" s="2"/>
      <c r="L255" s="2"/>
    </row>
    <row r="256" spans="1:26" x14ac:dyDescent="0.25">
      <c r="A256" s="11" t="s">
        <v>1275</v>
      </c>
      <c r="B256" s="14" t="str">
        <f>$B$38</f>
        <v>From Fiscal Forecasts</v>
      </c>
      <c r="D256" s="51">
        <f>'Fiscal Forecasts'!D$58</f>
        <v>18.268000000000001</v>
      </c>
      <c r="E256" s="51">
        <f>'Fiscal Forecasts'!E$58</f>
        <v>19.890999999999998</v>
      </c>
      <c r="F256" s="51">
        <f>'Fiscal Forecasts'!F$58</f>
        <v>22.783999999999999</v>
      </c>
      <c r="G256" s="51">
        <f>'Fiscal Forecasts'!G$58</f>
        <v>27.780999999999999</v>
      </c>
      <c r="H256" s="51">
        <f>'Fiscal Forecasts'!H$58</f>
        <v>28.489000000000001</v>
      </c>
      <c r="I256" s="51">
        <f>'Fiscal Forecasts'!I$58</f>
        <v>29.998999999999999</v>
      </c>
      <c r="J256" s="51">
        <f>'Fiscal Forecasts'!J$58</f>
        <v>30.311</v>
      </c>
      <c r="K256" s="51">
        <f>'Fiscal Forecasts'!K$58</f>
        <v>32.917000000000002</v>
      </c>
      <c r="L256" s="47">
        <f ca="1">'Fiscal Forecasts'!L$58+IF(OFFSET(Assumptions!$B$57,0,$C$1)="Yes",Allocation!C$11,0)</f>
        <v>34.472000000000001</v>
      </c>
      <c r="M256" s="47">
        <f ca="1">'Fiscal Forecasts'!M$58+IF(OFFSET(Assumptions!$B$57,0,$C$1)="Yes",Allocation!D$11,0)</f>
        <v>34.094000000000001</v>
      </c>
      <c r="N256" s="47">
        <f ca="1">'Fiscal Forecasts'!N$58+IF(OFFSET(Assumptions!$B$57,0,$C$1)="Yes",Allocation!E$11,0)</f>
        <v>34.209000000000003</v>
      </c>
      <c r="O256" s="47">
        <f ca="1">'Fiscal Forecasts'!O$58+IF(OFFSET(Assumptions!$B$57,0,$C$1)="Yes",Allocation!F$11,0)</f>
        <v>34.293999999999997</v>
      </c>
      <c r="P256" s="47">
        <f ca="1">'Fiscal Forecasts'!P$58+IF(OFFSET(Assumptions!$B$57,0,$C$1)="Yes",Allocation!G$11,0)</f>
        <v>34.451999999999998</v>
      </c>
      <c r="Q256" s="21">
        <f ca="1">P$256+IF(OFFSET(Assumptions!$B$58,0,$C$1)="Yes",Allocation!$B$11*Q$248,IF(OFFSET(Assumptions!$B$59,0,$C$1)="Yes",Q$530-P$256,0))</f>
        <v>34.451999999999998</v>
      </c>
      <c r="R256" s="21">
        <f ca="1">Q$256+IF(OFFSET(Assumptions!$B$58,0,$C$1)="Yes",Allocation!$B$11*R$248,IF(OFFSET(Assumptions!$B$59,0,$C$1)="Yes",R$530-Q$256,0))</f>
        <v>34.451999999999998</v>
      </c>
      <c r="S256" s="21">
        <f ca="1">R$256+IF(OFFSET(Assumptions!$B$58,0,$C$1)="Yes",Allocation!$B$11*S$248,IF(OFFSET(Assumptions!$B$59,0,$C$1)="Yes",S$530-R$256,0))</f>
        <v>34.451999999999998</v>
      </c>
      <c r="T256" s="21">
        <f ca="1">S$256+IF(OFFSET(Assumptions!$B$58,0,$C$1)="Yes",Allocation!$B$11*T$248,IF(OFFSET(Assumptions!$B$59,0,$C$1)="Yes",T$530-S$256,0))</f>
        <v>34.451999999999998</v>
      </c>
      <c r="U256" s="21">
        <f ca="1">T$256+IF(OFFSET(Assumptions!$B$58,0,$C$1)="Yes",Allocation!$B$11*U$248,IF(OFFSET(Assumptions!$B$59,0,$C$1)="Yes",U$530-T$256,0))</f>
        <v>34.451999999999998</v>
      </c>
      <c r="V256" s="21">
        <f ca="1">U$256+IF(OFFSET(Assumptions!$B$58,0,$C$1)="Yes",Allocation!$B$11*V$248,IF(OFFSET(Assumptions!$B$59,0,$C$1)="Yes",V$530-U$256,0))</f>
        <v>34.451999999999998</v>
      </c>
      <c r="W256" s="21">
        <f ca="1">V$256+IF(OFFSET(Assumptions!$B$58,0,$C$1)="Yes",Allocation!$B$11*W$248,IF(OFFSET(Assumptions!$B$59,0,$C$1)="Yes",W$530-V$256,0))</f>
        <v>34.451999999999998</v>
      </c>
      <c r="X256" s="21">
        <f ca="1">W$256+IF(OFFSET(Assumptions!$B$58,0,$C$1)="Yes",Allocation!$B$11*X$248,IF(OFFSET(Assumptions!$B$59,0,$C$1)="Yes",X$530-W$256,0))</f>
        <v>34.451999999999998</v>
      </c>
      <c r="Y256" s="21">
        <f ca="1">X$256+IF(OFFSET(Assumptions!$B$58,0,$C$1)="Yes",Allocation!$B$11*Y$248,IF(OFFSET(Assumptions!$B$59,0,$C$1)="Yes",Y$530-X$256,0))</f>
        <v>34.451999999999998</v>
      </c>
      <c r="Z256" s="21">
        <f ca="1">Y$256+IF(OFFSET(Assumptions!$B$58,0,$C$1)="Yes",Allocation!$B$11*Z$248,IF(OFFSET(Assumptions!$B$59,0,$C$1)="Yes",Z$530-Y$256,0))</f>
        <v>34.451999999999998</v>
      </c>
    </row>
    <row r="257" spans="1:26" x14ac:dyDescent="0.25">
      <c r="A257" s="12" t="s">
        <v>1020</v>
      </c>
      <c r="B257" s="14" t="str">
        <f>$B$38</f>
        <v>From Fiscal Forecasts</v>
      </c>
      <c r="D257" s="50">
        <f>'Fiscal Forecasts'!D$207</f>
        <v>16.579000000000001</v>
      </c>
      <c r="E257" s="50">
        <f>'Fiscal Forecasts'!E$207</f>
        <v>17.788</v>
      </c>
      <c r="F257" s="50">
        <f>'Fiscal Forecasts'!F$207</f>
        <v>18.856000000000002</v>
      </c>
      <c r="G257" s="50">
        <f>'Fiscal Forecasts'!G$207</f>
        <v>22.004999999999999</v>
      </c>
      <c r="H257" s="50">
        <f>'Fiscal Forecasts'!H$207</f>
        <v>27.765999999999998</v>
      </c>
      <c r="I257" s="50">
        <f>'Fiscal Forecasts'!I$207</f>
        <v>27.89</v>
      </c>
      <c r="J257" s="50">
        <f>'Fiscal Forecasts'!J$207</f>
        <v>27.827000000000002</v>
      </c>
      <c r="K257" s="50">
        <f>'Fiscal Forecasts'!K$207</f>
        <v>29.77</v>
      </c>
      <c r="L257" s="48">
        <f>'Fiscal Forecasts'!L$207</f>
        <v>31.096</v>
      </c>
      <c r="M257" s="48">
        <f>'Fiscal Forecasts'!M$207</f>
        <v>30.754999999999999</v>
      </c>
      <c r="N257" s="48">
        <f>'Fiscal Forecasts'!N$207</f>
        <v>30.608000000000001</v>
      </c>
      <c r="O257" s="48">
        <f>'Fiscal Forecasts'!O$207</f>
        <v>30.402999999999999</v>
      </c>
      <c r="P257" s="48">
        <f>'Fiscal Forecasts'!P$207</f>
        <v>30.282</v>
      </c>
      <c r="Q257" s="20">
        <f t="shared" ref="Q257:Z257" ca="1" si="151">P$257+Q$256-P$256</f>
        <v>30.281999999999996</v>
      </c>
      <c r="R257" s="20">
        <f t="shared" ca="1" si="151"/>
        <v>30.281999999999996</v>
      </c>
      <c r="S257" s="20">
        <f t="shared" ca="1" si="151"/>
        <v>30.281999999999996</v>
      </c>
      <c r="T257" s="20">
        <f t="shared" ca="1" si="151"/>
        <v>30.281999999999996</v>
      </c>
      <c r="U257" s="20">
        <f t="shared" ca="1" si="151"/>
        <v>30.281999999999996</v>
      </c>
      <c r="V257" s="20">
        <f t="shared" ca="1" si="151"/>
        <v>30.281999999999996</v>
      </c>
      <c r="W257" s="20">
        <f t="shared" ca="1" si="151"/>
        <v>30.281999999999996</v>
      </c>
      <c r="X257" s="20">
        <f t="shared" ca="1" si="151"/>
        <v>30.281999999999996</v>
      </c>
      <c r="Y257" s="20">
        <f t="shared" ca="1" si="151"/>
        <v>30.281999999999996</v>
      </c>
      <c r="Z257" s="20">
        <f t="shared" ca="1" si="151"/>
        <v>30.281999999999996</v>
      </c>
    </row>
    <row r="258" spans="1:26" x14ac:dyDescent="0.25">
      <c r="A258" s="12" t="s">
        <v>1228</v>
      </c>
      <c r="B258" s="14" t="str">
        <f>$B$38</f>
        <v>From Fiscal Forecasts</v>
      </c>
      <c r="D258" s="50">
        <f>'Fiscal Forecasts'!D$41-SUM(D$256:D$257)</f>
        <v>-16.187000000000001</v>
      </c>
      <c r="E258" s="50">
        <f>'Fiscal Forecasts'!E$41-SUM(E$256:E$257)</f>
        <v>-17.21</v>
      </c>
      <c r="F258" s="50">
        <f>'Fiscal Forecasts'!F$41-SUM(F$256:F$257)</f>
        <v>-19.042000000000002</v>
      </c>
      <c r="G258" s="50">
        <f>'Fiscal Forecasts'!G$41-SUM(G$256:G$257)</f>
        <v>-22.128</v>
      </c>
      <c r="H258" s="50">
        <f>'Fiscal Forecasts'!H$41-SUM(H$256:H$257)</f>
        <v>-26.430999999999994</v>
      </c>
      <c r="I258" s="50">
        <f>'Fiscal Forecasts'!I$41-SUM(I$256:I$257)</f>
        <v>-28.048999999999996</v>
      </c>
      <c r="J258" s="50">
        <f>'Fiscal Forecasts'!J$41-SUM(J$256:J$257)</f>
        <v>-28.285000000000004</v>
      </c>
      <c r="K258" s="50">
        <f>'Fiscal Forecasts'!K$41-SUM(K$256:K$257)</f>
        <v>-30.897999999999996</v>
      </c>
      <c r="L258" s="48">
        <f ca="1">'Fiscal Forecasts'!L$41-SUM(L$256:L$257)+IF(OFFSET(Assumptions!$B$57,0,$C$1)="Yes",Allocation!C$11,0)</f>
        <v>-31.817999999999998</v>
      </c>
      <c r="M258" s="48">
        <f ca="1">'Fiscal Forecasts'!M$41-SUM(M$256:M$257)+IF(OFFSET(Assumptions!$B$57,0,$C$1)="Yes",Allocation!D$11,0)</f>
        <v>-31.799000000000007</v>
      </c>
      <c r="N258" s="48">
        <f ca="1">'Fiscal Forecasts'!N$41-SUM(N$256:N$257)+IF(OFFSET(Assumptions!$B$57,0,$C$1)="Yes",Allocation!E$11,0)</f>
        <v>-31.965000000000011</v>
      </c>
      <c r="O258" s="48">
        <f ca="1">'Fiscal Forecasts'!O$41-SUM(O$256:O$257)+IF(OFFSET(Assumptions!$B$57,0,$C$1)="Yes",Allocation!F$11,0)</f>
        <v>-32.077000000000005</v>
      </c>
      <c r="P258" s="48">
        <f ca="1">'Fiscal Forecasts'!P$41-SUM(P$256:P$257)+IF(OFFSET(Assumptions!$B$57,0,$C$1)="Yes",Allocation!G$11,0)</f>
        <v>-32.281999999999996</v>
      </c>
      <c r="Q258" s="20">
        <f t="shared" ref="Q258:Z258" ca="1" si="152">P$258-(Q$256-P$256)</f>
        <v>-32.281999999999996</v>
      </c>
      <c r="R258" s="20">
        <f t="shared" ca="1" si="152"/>
        <v>-32.281999999999996</v>
      </c>
      <c r="S258" s="20">
        <f t="shared" ca="1" si="152"/>
        <v>-32.281999999999996</v>
      </c>
      <c r="T258" s="20">
        <f t="shared" ca="1" si="152"/>
        <v>-32.281999999999996</v>
      </c>
      <c r="U258" s="20">
        <f t="shared" ca="1" si="152"/>
        <v>-32.281999999999996</v>
      </c>
      <c r="V258" s="20">
        <f t="shared" ca="1" si="152"/>
        <v>-32.281999999999996</v>
      </c>
      <c r="W258" s="20">
        <f t="shared" ca="1" si="152"/>
        <v>-32.281999999999996</v>
      </c>
      <c r="X258" s="20">
        <f t="shared" ca="1" si="152"/>
        <v>-32.281999999999996</v>
      </c>
      <c r="Y258" s="20">
        <f t="shared" ca="1" si="152"/>
        <v>-32.281999999999996</v>
      </c>
      <c r="Z258" s="20">
        <f t="shared" ca="1" si="152"/>
        <v>-32.281999999999996</v>
      </c>
    </row>
    <row r="259" spans="1:26" x14ac:dyDescent="0.25">
      <c r="A259" s="11" t="s">
        <v>1276</v>
      </c>
      <c r="D259" s="94">
        <f t="shared" ref="D259:Z259" si="153">SUM(D$256:D$258)</f>
        <v>18.66</v>
      </c>
      <c r="E259" s="94">
        <f t="shared" si="153"/>
        <v>20.469000000000001</v>
      </c>
      <c r="F259" s="94">
        <f t="shared" si="153"/>
        <v>22.597999999999999</v>
      </c>
      <c r="G259" s="94">
        <f t="shared" si="153"/>
        <v>27.658000000000001</v>
      </c>
      <c r="H259" s="94">
        <f t="shared" si="153"/>
        <v>29.824000000000002</v>
      </c>
      <c r="I259" s="94">
        <f t="shared" si="153"/>
        <v>29.84</v>
      </c>
      <c r="J259" s="94">
        <f t="shared" si="153"/>
        <v>29.853000000000002</v>
      </c>
      <c r="K259" s="94">
        <f t="shared" si="153"/>
        <v>31.789000000000001</v>
      </c>
      <c r="L259" s="95">
        <f t="shared" ca="1" si="153"/>
        <v>33.75</v>
      </c>
      <c r="M259" s="95">
        <f t="shared" ca="1" si="153"/>
        <v>33.049999999999997</v>
      </c>
      <c r="N259" s="95">
        <f t="shared" ca="1" si="153"/>
        <v>32.851999999999997</v>
      </c>
      <c r="O259" s="95">
        <f t="shared" ca="1" si="153"/>
        <v>32.619999999999997</v>
      </c>
      <c r="P259" s="95">
        <f t="shared" ca="1" si="153"/>
        <v>32.451999999999998</v>
      </c>
      <c r="Q259" s="96">
        <f t="shared" ca="1" si="153"/>
        <v>32.451999999999998</v>
      </c>
      <c r="R259" s="96">
        <f t="shared" ca="1" si="153"/>
        <v>32.451999999999998</v>
      </c>
      <c r="S259" s="96">
        <f t="shared" ca="1" si="153"/>
        <v>32.451999999999998</v>
      </c>
      <c r="T259" s="96">
        <f t="shared" ca="1" si="153"/>
        <v>32.451999999999998</v>
      </c>
      <c r="U259" s="96">
        <f t="shared" ca="1" si="153"/>
        <v>32.451999999999998</v>
      </c>
      <c r="V259" s="96">
        <f t="shared" ca="1" si="153"/>
        <v>32.451999999999998</v>
      </c>
      <c r="W259" s="96">
        <f t="shared" ca="1" si="153"/>
        <v>32.451999999999998</v>
      </c>
      <c r="X259" s="96">
        <f t="shared" ca="1" si="153"/>
        <v>32.451999999999998</v>
      </c>
      <c r="Y259" s="96">
        <f t="shared" ca="1" si="153"/>
        <v>32.451999999999998</v>
      </c>
      <c r="Z259" s="96">
        <f t="shared" ca="1" si="153"/>
        <v>32.451999999999998</v>
      </c>
    </row>
    <row r="260" spans="1:26" x14ac:dyDescent="0.25">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row>
    <row r="261" spans="1:26" x14ac:dyDescent="0.25">
      <c r="A261" s="11" t="s">
        <v>1277</v>
      </c>
    </row>
    <row r="262" spans="1:26" x14ac:dyDescent="0.25">
      <c r="A262" s="12" t="s">
        <v>693</v>
      </c>
      <c r="D262" s="50">
        <f>D$190</f>
        <v>0.58299999999999996</v>
      </c>
      <c r="E262" s="50">
        <f t="shared" ref="E262:Z262" si="154">E$190</f>
        <v>0.56699999999999995</v>
      </c>
      <c r="F262" s="50">
        <f t="shared" si="154"/>
        <v>0.59</v>
      </c>
      <c r="G262" s="50">
        <f t="shared" si="154"/>
        <v>0.55600000000000005</v>
      </c>
      <c r="H262" s="50">
        <f t="shared" si="154"/>
        <v>0.52500000000000002</v>
      </c>
      <c r="I262" s="50">
        <f t="shared" si="154"/>
        <v>0.52600000000000002</v>
      </c>
      <c r="J262" s="50">
        <f t="shared" si="154"/>
        <v>0.57399999999999995</v>
      </c>
      <c r="K262" s="50">
        <f t="shared" si="154"/>
        <v>0.64100000000000001</v>
      </c>
      <c r="L262" s="48">
        <f t="shared" si="154"/>
        <v>0.70399999999999996</v>
      </c>
      <c r="M262" s="48">
        <f t="shared" si="154"/>
        <v>0.71499999999999997</v>
      </c>
      <c r="N262" s="48">
        <f t="shared" si="154"/>
        <v>0.69899999999999995</v>
      </c>
      <c r="O262" s="48">
        <f t="shared" si="154"/>
        <v>0.68899999999999995</v>
      </c>
      <c r="P262" s="48">
        <f t="shared" si="154"/>
        <v>0.68899999999999995</v>
      </c>
      <c r="Q262" s="20">
        <f t="shared" ca="1" si="154"/>
        <v>0.7042704052526918</v>
      </c>
      <c r="R262" s="20">
        <f t="shared" ca="1" si="154"/>
        <v>0.7200817868108712</v>
      </c>
      <c r="S262" s="20">
        <f t="shared" ca="1" si="154"/>
        <v>0.7364441451154754</v>
      </c>
      <c r="T262" s="20">
        <f t="shared" ca="1" si="154"/>
        <v>0.75426820881386147</v>
      </c>
      <c r="U262" s="20">
        <f t="shared" ca="1" si="154"/>
        <v>0.77251950077583986</v>
      </c>
      <c r="V262" s="20">
        <f t="shared" ca="1" si="154"/>
        <v>0.79212822197401689</v>
      </c>
      <c r="W262" s="20">
        <f t="shared" ca="1" si="154"/>
        <v>0.81256650909083683</v>
      </c>
      <c r="X262" s="20">
        <f t="shared" ca="1" si="154"/>
        <v>0.834167094857449</v>
      </c>
      <c r="Y262" s="20">
        <f t="shared" ca="1" si="154"/>
        <v>0.85705810709086938</v>
      </c>
      <c r="Z262" s="20">
        <f t="shared" ca="1" si="154"/>
        <v>0.87732856685740601</v>
      </c>
    </row>
    <row r="263" spans="1:26" x14ac:dyDescent="0.25">
      <c r="A263" s="12" t="s">
        <v>1278</v>
      </c>
      <c r="D263" s="50">
        <f>D$402</f>
        <v>0.56299999999999994</v>
      </c>
      <c r="E263" s="50">
        <f t="shared" ref="E263:Z263" si="155">E$402</f>
        <v>0.50600000000000001</v>
      </c>
      <c r="F263" s="50">
        <f t="shared" si="155"/>
        <v>0.46899999999999997</v>
      </c>
      <c r="G263" s="50">
        <f t="shared" si="155"/>
        <v>0.48899999999999999</v>
      </c>
      <c r="H263" s="50">
        <f t="shared" si="155"/>
        <v>0.55100000000000005</v>
      </c>
      <c r="I263" s="50">
        <f t="shared" si="155"/>
        <v>0.54400000000000004</v>
      </c>
      <c r="J263" s="50">
        <f t="shared" si="155"/>
        <v>0.58499999999999996</v>
      </c>
      <c r="K263" s="50">
        <f t="shared" si="155"/>
        <v>0.76300000000000001</v>
      </c>
      <c r="L263" s="48">
        <f t="shared" si="155"/>
        <v>0.72399999999999998</v>
      </c>
      <c r="M263" s="48">
        <f t="shared" si="155"/>
        <v>0.78600000000000003</v>
      </c>
      <c r="N263" s="48">
        <f t="shared" si="155"/>
        <v>0.82099999999999995</v>
      </c>
      <c r="O263" s="48">
        <f t="shared" si="155"/>
        <v>0.85299999999999998</v>
      </c>
      <c r="P263" s="48">
        <f t="shared" si="155"/>
        <v>0.88300000000000001</v>
      </c>
      <c r="Q263" s="20">
        <f t="shared" si="155"/>
        <v>0.91100000000000003</v>
      </c>
      <c r="R263" s="20">
        <f t="shared" si="155"/>
        <v>0.93799999999999994</v>
      </c>
      <c r="S263" s="20">
        <f t="shared" si="155"/>
        <v>0.96199999999999997</v>
      </c>
      <c r="T263" s="20">
        <f t="shared" si="155"/>
        <v>0.98499999999999999</v>
      </c>
      <c r="U263" s="20">
        <f t="shared" si="155"/>
        <v>1.006</v>
      </c>
      <c r="V263" s="20">
        <f t="shared" si="155"/>
        <v>1.0249999999999999</v>
      </c>
      <c r="W263" s="20">
        <f t="shared" si="155"/>
        <v>1.046</v>
      </c>
      <c r="X263" s="20">
        <f t="shared" si="155"/>
        <v>1.0669999999999999</v>
      </c>
      <c r="Y263" s="20">
        <f t="shared" si="155"/>
        <v>1.0880000000000001</v>
      </c>
      <c r="Z263" s="20">
        <f t="shared" si="155"/>
        <v>1.109</v>
      </c>
    </row>
    <row r="264" spans="1:26" x14ac:dyDescent="0.25">
      <c r="A264" s="12" t="s">
        <v>1279</v>
      </c>
      <c r="B264" s="14" t="str">
        <f>$B$38</f>
        <v>From Fiscal Forecasts</v>
      </c>
      <c r="D264" s="50">
        <f>'Fiscal Forecasts'!D$59-SUM(D$262:D$263)</f>
        <v>13.146999999999998</v>
      </c>
      <c r="E264" s="50">
        <f>'Fiscal Forecasts'!E$59-SUM(E$262:E$263)</f>
        <v>15.248999999999999</v>
      </c>
      <c r="F264" s="50">
        <f>'Fiscal Forecasts'!F$59-SUM(F$262:F$263)</f>
        <v>14.980000000000002</v>
      </c>
      <c r="G264" s="50">
        <f>'Fiscal Forecasts'!G$59-SUM(G$262:G$263)</f>
        <v>16.978000000000002</v>
      </c>
      <c r="H264" s="50">
        <f>'Fiscal Forecasts'!H$59-SUM(H$262:H$263)</f>
        <v>17.326999999999998</v>
      </c>
      <c r="I264" s="50">
        <f>'Fiscal Forecasts'!I$59-SUM(I$262:I$263)</f>
        <v>19.152999999999999</v>
      </c>
      <c r="J264" s="50">
        <f>'Fiscal Forecasts'!J$59-SUM(J$262:J$263)</f>
        <v>19.736000000000001</v>
      </c>
      <c r="K264" s="50">
        <f>'Fiscal Forecasts'!K$59-SUM(K$262:K$263)</f>
        <v>19.802</v>
      </c>
      <c r="L264" s="48">
        <f ca="1">'Fiscal Forecasts'!L$59+IF(OFFSET(Assumptions!$B$57,0,$C$1)="Yes",Allocation!C$12,0)-SUM(L$262:L$263)</f>
        <v>20.759</v>
      </c>
      <c r="M264" s="48">
        <f ca="1">'Fiscal Forecasts'!M$59+IF(OFFSET(Assumptions!$B$57,0,$C$1)="Yes",Allocation!D$12,0)-SUM(M$262:M$263)</f>
        <v>20.567999999999998</v>
      </c>
      <c r="N264" s="48">
        <f ca="1">'Fiscal Forecasts'!N$59+IF(OFFSET(Assumptions!$B$57,0,$C$1)="Yes",Allocation!E$12,0)-SUM(N$262:N$263)</f>
        <v>20.428000000000001</v>
      </c>
      <c r="O264" s="48">
        <f ca="1">'Fiscal Forecasts'!O$59+IF(OFFSET(Assumptions!$B$57,0,$C$1)="Yes",Allocation!F$12,0)-SUM(O$262:O$263)</f>
        <v>20.410000000000004</v>
      </c>
      <c r="P264" s="48">
        <f ca="1">'Fiscal Forecasts'!P$59+IF(OFFSET(Assumptions!$B$57,0,$C$1)="Yes",Allocation!G$12,0)-SUM(P$262:P$263)</f>
        <v>20.446999999999999</v>
      </c>
      <c r="Q264" s="20">
        <f ca="1">P$264+IF(OFFSET(Assumptions!$B$58,0,$C$1)="Yes",Allocation!$B$12*Q$248,IF(OFFSET(Assumptions!$B$59,0,$C$1)="Yes",SUM(Q$533:Q$536,Q$539)-P$264,0))</f>
        <v>20.446999999999999</v>
      </c>
      <c r="R264" s="20">
        <f ca="1">Q$264+IF(OFFSET(Assumptions!$B$58,0,$C$1)="Yes",Allocation!$B$12*R$248,IF(OFFSET(Assumptions!$B$59,0,$C$1)="Yes",SUM(R$533:R$536,R$539)-Q$264,0))</f>
        <v>20.446999999999999</v>
      </c>
      <c r="S264" s="20">
        <f ca="1">R$264+IF(OFFSET(Assumptions!$B$58,0,$C$1)="Yes",Allocation!$B$12*S$248,IF(OFFSET(Assumptions!$B$59,0,$C$1)="Yes",SUM(S$533:S$536,S$539)-R$264,0))</f>
        <v>20.446999999999999</v>
      </c>
      <c r="T264" s="20">
        <f ca="1">S$264+IF(OFFSET(Assumptions!$B$58,0,$C$1)="Yes",Allocation!$B$12*T$248,IF(OFFSET(Assumptions!$B$59,0,$C$1)="Yes",SUM(T$533:T$536,T$539)-S$264,0))</f>
        <v>20.446999999999999</v>
      </c>
      <c r="U264" s="20">
        <f ca="1">T$264+IF(OFFSET(Assumptions!$B$58,0,$C$1)="Yes",Allocation!$B$12*U$248,IF(OFFSET(Assumptions!$B$59,0,$C$1)="Yes",SUM(U$533:U$536,U$539)-T$264,0))</f>
        <v>20.446999999999999</v>
      </c>
      <c r="V264" s="20">
        <f ca="1">U$264+IF(OFFSET(Assumptions!$B$58,0,$C$1)="Yes",Allocation!$B$12*V$248,IF(OFFSET(Assumptions!$B$59,0,$C$1)="Yes",SUM(V$533:V$536,V$539)-U$264,0))</f>
        <v>20.446999999999999</v>
      </c>
      <c r="W264" s="20">
        <f ca="1">V$264+IF(OFFSET(Assumptions!$B$58,0,$C$1)="Yes",Allocation!$B$12*W$248,IF(OFFSET(Assumptions!$B$59,0,$C$1)="Yes",SUM(W$533:W$536,W$539)-V$264,0))</f>
        <v>20.446999999999999</v>
      </c>
      <c r="X264" s="20">
        <f ca="1">W$264+IF(OFFSET(Assumptions!$B$58,0,$C$1)="Yes",Allocation!$B$12*X$248,IF(OFFSET(Assumptions!$B$59,0,$C$1)="Yes",SUM(X$533:X$536,X$539)-W$264,0))</f>
        <v>20.446999999999999</v>
      </c>
      <c r="Y264" s="20">
        <f ca="1">X$264+IF(OFFSET(Assumptions!$B$58,0,$C$1)="Yes",Allocation!$B$12*Y$248,IF(OFFSET(Assumptions!$B$59,0,$C$1)="Yes",SUM(Y$533:Y$536,Y$539)-X$264,0))</f>
        <v>20.446999999999999</v>
      </c>
      <c r="Z264" s="20">
        <f ca="1">Y$264+IF(OFFSET(Assumptions!$B$58,0,$C$1)="Yes",Allocation!$B$12*Z$248,IF(OFFSET(Assumptions!$B$59,0,$C$1)="Yes",SUM(Z$533:Z$536,Z$539)-Y$264,0))</f>
        <v>20.446999999999999</v>
      </c>
    </row>
    <row r="265" spans="1:26" x14ac:dyDescent="0.25">
      <c r="A265" s="11" t="s">
        <v>1128</v>
      </c>
      <c r="D265" s="94">
        <f>SUM(D$262:D$264)</f>
        <v>14.292999999999999</v>
      </c>
      <c r="E265" s="94">
        <f t="shared" ref="E265:Z265" si="156">SUM(E$262:E$264)</f>
        <v>16.321999999999999</v>
      </c>
      <c r="F265" s="94">
        <f t="shared" si="156"/>
        <v>16.039000000000001</v>
      </c>
      <c r="G265" s="94">
        <f t="shared" si="156"/>
        <v>18.023000000000003</v>
      </c>
      <c r="H265" s="94">
        <f t="shared" si="156"/>
        <v>18.402999999999999</v>
      </c>
      <c r="I265" s="94">
        <f t="shared" si="156"/>
        <v>20.222999999999999</v>
      </c>
      <c r="J265" s="94">
        <f t="shared" si="156"/>
        <v>20.895</v>
      </c>
      <c r="K265" s="94">
        <f t="shared" si="156"/>
        <v>21.206</v>
      </c>
      <c r="L265" s="95">
        <f t="shared" ca="1" si="156"/>
        <v>22.187000000000001</v>
      </c>
      <c r="M265" s="95">
        <f t="shared" ca="1" si="156"/>
        <v>22.068999999999999</v>
      </c>
      <c r="N265" s="95">
        <f t="shared" ca="1" si="156"/>
        <v>21.948</v>
      </c>
      <c r="O265" s="95">
        <f t="shared" ca="1" si="156"/>
        <v>21.952000000000005</v>
      </c>
      <c r="P265" s="95">
        <f t="shared" ca="1" si="156"/>
        <v>22.018999999999998</v>
      </c>
      <c r="Q265" s="96">
        <f t="shared" ca="1" si="156"/>
        <v>22.06227040525269</v>
      </c>
      <c r="R265" s="96">
        <f t="shared" ca="1" si="156"/>
        <v>22.105081786810871</v>
      </c>
      <c r="S265" s="96">
        <f t="shared" ca="1" si="156"/>
        <v>22.145444145115476</v>
      </c>
      <c r="T265" s="96">
        <f t="shared" ca="1" si="156"/>
        <v>22.186268208813861</v>
      </c>
      <c r="U265" s="96">
        <f t="shared" ca="1" si="156"/>
        <v>22.225519500775839</v>
      </c>
      <c r="V265" s="96">
        <f t="shared" ca="1" si="156"/>
        <v>22.264128221974016</v>
      </c>
      <c r="W265" s="96">
        <f t="shared" ca="1" si="156"/>
        <v>22.305566509090838</v>
      </c>
      <c r="X265" s="96">
        <f t="shared" ca="1" si="156"/>
        <v>22.348167094857448</v>
      </c>
      <c r="Y265" s="96">
        <f t="shared" ca="1" si="156"/>
        <v>22.392058107090868</v>
      </c>
      <c r="Z265" s="96">
        <f t="shared" ca="1" si="156"/>
        <v>22.433328566857405</v>
      </c>
    </row>
    <row r="266" spans="1:26" x14ac:dyDescent="0.25">
      <c r="A266" s="12" t="s">
        <v>1020</v>
      </c>
      <c r="B266" s="14" t="str">
        <f>$B$38</f>
        <v>From Fiscal Forecasts</v>
      </c>
      <c r="D266" s="50">
        <f>'Fiscal Forecasts'!D$208</f>
        <v>11.428000000000001</v>
      </c>
      <c r="E266" s="50">
        <f>'Fiscal Forecasts'!E$208</f>
        <v>13.705</v>
      </c>
      <c r="F266" s="50">
        <f>'Fiscal Forecasts'!F$208</f>
        <v>12.840999999999999</v>
      </c>
      <c r="G266" s="50">
        <f>'Fiscal Forecasts'!G$208</f>
        <v>13.805</v>
      </c>
      <c r="H266" s="50">
        <f>'Fiscal Forecasts'!H$208</f>
        <v>14.166</v>
      </c>
      <c r="I266" s="50">
        <f>'Fiscal Forecasts'!I$208</f>
        <v>15.346</v>
      </c>
      <c r="J266" s="50">
        <f>'Fiscal Forecasts'!J$208</f>
        <v>16.091999999999999</v>
      </c>
      <c r="K266" s="50">
        <f>'Fiscal Forecasts'!K$208</f>
        <v>16.541</v>
      </c>
      <c r="L266" s="48">
        <f>'Fiscal Forecasts'!L$208</f>
        <v>17.132000000000001</v>
      </c>
      <c r="M266" s="48">
        <f>'Fiscal Forecasts'!M$208</f>
        <v>17.181999999999999</v>
      </c>
      <c r="N266" s="48">
        <f>'Fiscal Forecasts'!N$208</f>
        <v>16.97</v>
      </c>
      <c r="O266" s="48">
        <f>'Fiscal Forecasts'!O$208</f>
        <v>17.021000000000001</v>
      </c>
      <c r="P266" s="48">
        <f>'Fiscal Forecasts'!P$208</f>
        <v>17.047999999999998</v>
      </c>
      <c r="Q266" s="20">
        <f t="shared" ref="Q266:Z266" ca="1" si="157">SUM(P$266,Q$264-P$264)</f>
        <v>17.047999999999998</v>
      </c>
      <c r="R266" s="20">
        <f t="shared" ca="1" si="157"/>
        <v>17.047999999999998</v>
      </c>
      <c r="S266" s="20">
        <f t="shared" ca="1" si="157"/>
        <v>17.047999999999998</v>
      </c>
      <c r="T266" s="20">
        <f t="shared" ca="1" si="157"/>
        <v>17.047999999999998</v>
      </c>
      <c r="U266" s="20">
        <f t="shared" ca="1" si="157"/>
        <v>17.047999999999998</v>
      </c>
      <c r="V266" s="20">
        <f t="shared" ca="1" si="157"/>
        <v>17.047999999999998</v>
      </c>
      <c r="W266" s="20">
        <f t="shared" ca="1" si="157"/>
        <v>17.047999999999998</v>
      </c>
      <c r="X266" s="20">
        <f t="shared" ca="1" si="157"/>
        <v>17.047999999999998</v>
      </c>
      <c r="Y266" s="20">
        <f t="shared" ca="1" si="157"/>
        <v>17.047999999999998</v>
      </c>
      <c r="Z266" s="20">
        <f t="shared" ca="1" si="157"/>
        <v>17.047999999999998</v>
      </c>
    </row>
    <row r="267" spans="1:26" x14ac:dyDescent="0.25">
      <c r="A267" s="12" t="s">
        <v>1228</v>
      </c>
      <c r="B267" s="14" t="str">
        <f>$B$38</f>
        <v>From Fiscal Forecasts</v>
      </c>
      <c r="D267" s="50">
        <f>'Fiscal Forecasts'!D$42-SUM(D$265:D$266)</f>
        <v>-10.441000000000001</v>
      </c>
      <c r="E267" s="50">
        <f>'Fiscal Forecasts'!E$42-SUM(E$265:E$266)</f>
        <v>-12.446000000000002</v>
      </c>
      <c r="F267" s="50">
        <f>'Fiscal Forecasts'!F$42-SUM(F$265:F$266)</f>
        <v>-11.496000000000002</v>
      </c>
      <c r="G267" s="50">
        <f>'Fiscal Forecasts'!G$42-SUM(G$265:G$266)</f>
        <v>-12.917000000000002</v>
      </c>
      <c r="H267" s="50">
        <f>'Fiscal Forecasts'!H$42-SUM(H$265:H$266)</f>
        <v>-12.96</v>
      </c>
      <c r="I267" s="50">
        <f>'Fiscal Forecasts'!I$42-SUM(I$265:I$266)</f>
        <v>-14.383000000000003</v>
      </c>
      <c r="J267" s="50">
        <f>'Fiscal Forecasts'!J$42-SUM(J$265:J$266)</f>
        <v>-14.678999999999995</v>
      </c>
      <c r="K267" s="50">
        <f>'Fiscal Forecasts'!K$42-SUM(K$265:K$266)</f>
        <v>-14.896000000000001</v>
      </c>
      <c r="L267" s="48">
        <f ca="1">'Fiscal Forecasts'!L$42-SUM(L$265:L$266)+IF(OFFSET(Assumptions!$B$57,0,$C$1)="Yes",Allocation!C$12,0)</f>
        <v>-15.548000000000002</v>
      </c>
      <c r="M267" s="48">
        <f ca="1">'Fiscal Forecasts'!M$42-SUM(M$265:M$266)+IF(OFFSET(Assumptions!$B$57,0,$C$1)="Yes",Allocation!D$12,0)</f>
        <v>-15.472999999999999</v>
      </c>
      <c r="N267" s="48">
        <f ca="1">'Fiscal Forecasts'!N$42-SUM(N$265:N$266)+IF(OFFSET(Assumptions!$B$57,0,$C$1)="Yes",Allocation!E$12,0)</f>
        <v>-15.25</v>
      </c>
      <c r="O267" s="48">
        <f ca="1">'Fiscal Forecasts'!O$42-SUM(O$265:O$266)+IF(OFFSET(Assumptions!$B$57,0,$C$1)="Yes",Allocation!F$12,0)</f>
        <v>-15.261000000000006</v>
      </c>
      <c r="P267" s="48">
        <f ca="1">'Fiscal Forecasts'!P$42-SUM(P$265:P$266)+IF(OFFSET(Assumptions!$B$57,0,$C$1)="Yes",Allocation!G$12,0)</f>
        <v>-15.240999999999993</v>
      </c>
      <c r="Q267" s="20">
        <f t="shared" ref="Q267:Z267" ca="1" si="158">P$267-(Q$264-P$264)</f>
        <v>-15.240999999999993</v>
      </c>
      <c r="R267" s="20">
        <f t="shared" ca="1" si="158"/>
        <v>-15.240999999999993</v>
      </c>
      <c r="S267" s="20">
        <f t="shared" ca="1" si="158"/>
        <v>-15.240999999999993</v>
      </c>
      <c r="T267" s="20">
        <f t="shared" ca="1" si="158"/>
        <v>-15.240999999999993</v>
      </c>
      <c r="U267" s="20">
        <f t="shared" ca="1" si="158"/>
        <v>-15.240999999999993</v>
      </c>
      <c r="V267" s="20">
        <f t="shared" ca="1" si="158"/>
        <v>-15.240999999999993</v>
      </c>
      <c r="W267" s="20">
        <f t="shared" ca="1" si="158"/>
        <v>-15.240999999999993</v>
      </c>
      <c r="X267" s="20">
        <f t="shared" ca="1" si="158"/>
        <v>-15.240999999999993</v>
      </c>
      <c r="Y267" s="20">
        <f t="shared" ca="1" si="158"/>
        <v>-15.240999999999993</v>
      </c>
      <c r="Z267" s="20">
        <f t="shared" ca="1" si="158"/>
        <v>-15.240999999999993</v>
      </c>
    </row>
    <row r="268" spans="1:26" x14ac:dyDescent="0.25">
      <c r="A268" s="11" t="s">
        <v>1280</v>
      </c>
      <c r="D268" s="94">
        <f t="shared" ref="D268:K268" si="159">SUM(D$265:D$267)</f>
        <v>15.28</v>
      </c>
      <c r="E268" s="94">
        <f t="shared" si="159"/>
        <v>17.581</v>
      </c>
      <c r="F268" s="94">
        <f t="shared" si="159"/>
        <v>17.384</v>
      </c>
      <c r="G268" s="94">
        <f t="shared" si="159"/>
        <v>18.911000000000001</v>
      </c>
      <c r="H268" s="94">
        <f t="shared" si="159"/>
        <v>19.609000000000002</v>
      </c>
      <c r="I268" s="94">
        <f t="shared" si="159"/>
        <v>21.186</v>
      </c>
      <c r="J268" s="94">
        <f t="shared" si="159"/>
        <v>22.308</v>
      </c>
      <c r="K268" s="94">
        <f t="shared" si="159"/>
        <v>22.850999999999999</v>
      </c>
      <c r="L268" s="95">
        <f t="shared" ref="L268:Z268" ca="1" si="160">SUM(L$265:L$267)</f>
        <v>23.771000000000001</v>
      </c>
      <c r="M268" s="95">
        <f t="shared" ca="1" si="160"/>
        <v>23.777999999999999</v>
      </c>
      <c r="N268" s="95">
        <f t="shared" ca="1" si="160"/>
        <v>23.667999999999999</v>
      </c>
      <c r="O268" s="95">
        <f t="shared" ca="1" si="160"/>
        <v>23.712</v>
      </c>
      <c r="P268" s="95">
        <f t="shared" ca="1" si="160"/>
        <v>23.826000000000001</v>
      </c>
      <c r="Q268" s="96">
        <f t="shared" ca="1" si="160"/>
        <v>23.869270405252699</v>
      </c>
      <c r="R268" s="96">
        <f t="shared" ca="1" si="160"/>
        <v>23.91208178681088</v>
      </c>
      <c r="S268" s="96">
        <f t="shared" ca="1" si="160"/>
        <v>23.952444145115486</v>
      </c>
      <c r="T268" s="96">
        <f t="shared" ca="1" si="160"/>
        <v>23.993268208813866</v>
      </c>
      <c r="U268" s="96">
        <f t="shared" ca="1" si="160"/>
        <v>24.032519500775841</v>
      </c>
      <c r="V268" s="96">
        <f t="shared" ca="1" si="160"/>
        <v>24.071128221974021</v>
      </c>
      <c r="W268" s="96">
        <f t="shared" ca="1" si="160"/>
        <v>24.112566509090847</v>
      </c>
      <c r="X268" s="96">
        <f t="shared" ca="1" si="160"/>
        <v>24.155167094857454</v>
      </c>
      <c r="Y268" s="96">
        <f t="shared" ca="1" si="160"/>
        <v>24.19905810709087</v>
      </c>
      <c r="Z268" s="96">
        <f t="shared" ca="1" si="160"/>
        <v>24.240328566857407</v>
      </c>
    </row>
    <row r="270" spans="1:26" x14ac:dyDescent="0.25">
      <c r="A270" s="11" t="s">
        <v>1281</v>
      </c>
    </row>
    <row r="271" spans="1:26" x14ac:dyDescent="0.25">
      <c r="A271" s="12" t="s">
        <v>1282</v>
      </c>
      <c r="D271" s="50">
        <f t="shared" ref="D271:Z271" si="161">D$377</f>
        <v>0.13</v>
      </c>
      <c r="E271" s="50">
        <f t="shared" si="161"/>
        <v>0.15</v>
      </c>
      <c r="F271" s="50">
        <f t="shared" si="161"/>
        <v>0.125</v>
      </c>
      <c r="G271" s="50">
        <f t="shared" si="161"/>
        <v>-0.51700000000000002</v>
      </c>
      <c r="H271" s="50">
        <f t="shared" si="161"/>
        <v>1.054</v>
      </c>
      <c r="I271" s="50">
        <f t="shared" si="161"/>
        <v>0.189</v>
      </c>
      <c r="J271" s="50">
        <f t="shared" si="161"/>
        <v>0.193</v>
      </c>
      <c r="K271" s="50">
        <f t="shared" si="161"/>
        <v>0.215</v>
      </c>
      <c r="L271" s="48">
        <f t="shared" si="161"/>
        <v>0.32200000000000001</v>
      </c>
      <c r="M271" s="48">
        <f t="shared" si="161"/>
        <v>0.33600000000000002</v>
      </c>
      <c r="N271" s="48">
        <f t="shared" si="161"/>
        <v>0.35199999999999998</v>
      </c>
      <c r="O271" s="48">
        <f t="shared" si="161"/>
        <v>0.371</v>
      </c>
      <c r="P271" s="48">
        <f t="shared" si="161"/>
        <v>0.39100000000000001</v>
      </c>
      <c r="Q271" s="20">
        <f t="shared" si="161"/>
        <v>0.41851304952192758</v>
      </c>
      <c r="R271" s="20">
        <f t="shared" si="161"/>
        <v>0.44419562346666575</v>
      </c>
      <c r="S271" s="20">
        <f t="shared" si="161"/>
        <v>0.47094294413192073</v>
      </c>
      <c r="T271" s="20">
        <f t="shared" si="161"/>
        <v>0.49880208501132234</v>
      </c>
      <c r="U271" s="20">
        <f t="shared" si="161"/>
        <v>0.52777449577495117</v>
      </c>
      <c r="V271" s="20">
        <f t="shared" si="161"/>
        <v>0.55788491961991127</v>
      </c>
      <c r="W271" s="20">
        <f t="shared" si="161"/>
        <v>0.58937223378136083</v>
      </c>
      <c r="X271" s="20">
        <f t="shared" si="161"/>
        <v>0.62254596552159913</v>
      </c>
      <c r="Y271" s="20">
        <f t="shared" si="161"/>
        <v>0.65777533085606932</v>
      </c>
      <c r="Z271" s="20">
        <f t="shared" si="161"/>
        <v>0.69547030412768118</v>
      </c>
    </row>
    <row r="272" spans="1:26" x14ac:dyDescent="0.25">
      <c r="A272" s="12" t="s">
        <v>1283</v>
      </c>
      <c r="D272" s="50">
        <f t="shared" ref="D272:Z272" si="162">D$193</f>
        <v>0.70799999999999996</v>
      </c>
      <c r="E272" s="50">
        <f t="shared" si="162"/>
        <v>0.73599999999999999</v>
      </c>
      <c r="F272" s="50">
        <f t="shared" si="162"/>
        <v>0.80400000000000005</v>
      </c>
      <c r="G272" s="50">
        <f t="shared" si="162"/>
        <v>0.82699999999999996</v>
      </c>
      <c r="H272" s="50">
        <f t="shared" si="162"/>
        <v>0.97099999999999997</v>
      </c>
      <c r="I272" s="50">
        <f t="shared" si="162"/>
        <v>1.202</v>
      </c>
      <c r="J272" s="50">
        <f t="shared" si="162"/>
        <v>0.95299999999999996</v>
      </c>
      <c r="K272" s="50">
        <f t="shared" si="162"/>
        <v>0.95599999999999996</v>
      </c>
      <c r="L272" s="48">
        <f t="shared" si="162"/>
        <v>1.151</v>
      </c>
      <c r="M272" s="48">
        <f t="shared" si="162"/>
        <v>0.98199999999999998</v>
      </c>
      <c r="N272" s="48">
        <f t="shared" si="162"/>
        <v>0.98199999999999998</v>
      </c>
      <c r="O272" s="48">
        <f t="shared" si="162"/>
        <v>0.98199999999999998</v>
      </c>
      <c r="P272" s="48">
        <f t="shared" si="162"/>
        <v>0.98199999999999998</v>
      </c>
      <c r="Q272" s="20">
        <f t="shared" ca="1" si="162"/>
        <v>1.0016400000000001</v>
      </c>
      <c r="R272" s="20">
        <f t="shared" ca="1" si="162"/>
        <v>1.0216728000000002</v>
      </c>
      <c r="S272" s="20">
        <f t="shared" ca="1" si="162"/>
        <v>1.0421062560000003</v>
      </c>
      <c r="T272" s="20">
        <f t="shared" ca="1" si="162"/>
        <v>1.0629483811200002</v>
      </c>
      <c r="U272" s="20">
        <f t="shared" ca="1" si="162"/>
        <v>1.0842073487424002</v>
      </c>
      <c r="V272" s="20">
        <f t="shared" ca="1" si="162"/>
        <v>1.1058914957172483</v>
      </c>
      <c r="W272" s="20">
        <f t="shared" ca="1" si="162"/>
        <v>1.1280093256315933</v>
      </c>
      <c r="X272" s="20">
        <f t="shared" ca="1" si="162"/>
        <v>1.1505695121442252</v>
      </c>
      <c r="Y272" s="20">
        <f t="shared" ca="1" si="162"/>
        <v>1.1735809023871098</v>
      </c>
      <c r="Z272" s="20">
        <f t="shared" ca="1" si="162"/>
        <v>1.1970525204348519</v>
      </c>
    </row>
    <row r="273" spans="1:26" x14ac:dyDescent="0.25">
      <c r="A273" s="12" t="s">
        <v>1284</v>
      </c>
      <c r="B273" s="14" t="s">
        <v>1285</v>
      </c>
      <c r="D273" s="50">
        <f>Exogenous!O$39</f>
        <v>0.82899999999999996</v>
      </c>
      <c r="E273" s="50">
        <f>Exogenous!P$39</f>
        <v>1.3560000000000001</v>
      </c>
      <c r="F273" s="50">
        <f>Exogenous!Q$39</f>
        <v>0.88200000000000001</v>
      </c>
      <c r="G273" s="50">
        <f>Exogenous!R$39</f>
        <v>0.66200000000000003</v>
      </c>
      <c r="H273" s="50">
        <f>Exogenous!S$39</f>
        <v>1.4530000000000001</v>
      </c>
      <c r="I273" s="50">
        <f>Exogenous!T$39</f>
        <v>2.3929999999999998</v>
      </c>
      <c r="J273" s="50">
        <f>Exogenous!U$39</f>
        <v>1.8720000000000001</v>
      </c>
      <c r="K273" s="50">
        <f>Exogenous!V$39</f>
        <v>1.17</v>
      </c>
      <c r="L273" s="48">
        <f>Exogenous!W$39</f>
        <v>1.5249999999999999</v>
      </c>
      <c r="M273" s="48">
        <f>Exogenous!X$39</f>
        <v>1.3839999999999999</v>
      </c>
      <c r="N273" s="48">
        <f>Exogenous!Y$39</f>
        <v>1.39</v>
      </c>
      <c r="O273" s="48">
        <f>Exogenous!Z$39</f>
        <v>1.4</v>
      </c>
      <c r="P273" s="48">
        <f>Exogenous!AA$39</f>
        <v>1.41</v>
      </c>
      <c r="Q273" s="20">
        <f t="shared" ref="Q273:Z273" ca="1" si="163">P$273*Q$142/P$142</f>
        <v>1.4669564263751242</v>
      </c>
      <c r="R273" s="20">
        <f t="shared" ca="1" si="163"/>
        <v>1.52388960834636</v>
      </c>
      <c r="S273" s="20">
        <f t="shared" ca="1" si="163"/>
        <v>1.583806697349128</v>
      </c>
      <c r="T273" s="20">
        <f t="shared" ca="1" si="163"/>
        <v>1.6478767020008633</v>
      </c>
      <c r="U273" s="20">
        <f t="shared" ca="1" si="163"/>
        <v>1.7150417727138572</v>
      </c>
      <c r="V273" s="20">
        <f t="shared" ca="1" si="163"/>
        <v>1.7844811043638282</v>
      </c>
      <c r="W273" s="20">
        <f t="shared" ca="1" si="163"/>
        <v>1.8558263889754574</v>
      </c>
      <c r="X273" s="20">
        <f t="shared" ca="1" si="163"/>
        <v>1.9292192456274495</v>
      </c>
      <c r="Y273" s="20">
        <f t="shared" ca="1" si="163"/>
        <v>2.0050475281790781</v>
      </c>
      <c r="Z273" s="20">
        <f t="shared" ca="1" si="163"/>
        <v>2.0833235271462041</v>
      </c>
    </row>
    <row r="274" spans="1:26" x14ac:dyDescent="0.25">
      <c r="A274" s="12" t="s">
        <v>1286</v>
      </c>
      <c r="B274" s="14" t="str">
        <f>$B$38</f>
        <v>From Fiscal Forecasts</v>
      </c>
      <c r="C274" s="100" cm="1">
        <f t="array" aca="1" ref="C274" ca="1">SUMPRODUCT(OFFSET($P$274,0,0,1,-OFFSET(Assumptions!$B$60,0,$C$1))/OFFSET($P$13,0,0,1,-OFFSET(Assumptions!$B$60,0,$C$1)))/OFFSET(Assumptions!$B$60,0,$C$1)</f>
        <v>8.567326071189596E-3</v>
      </c>
      <c r="D274" s="50">
        <f>'Fiscal Forecasts'!D$60-SUM(D$271:D$273)</f>
        <v>3.4990000000000006</v>
      </c>
      <c r="E274" s="50">
        <f>'Fiscal Forecasts'!E$60-SUM(E$271:E$273)</f>
        <v>3.8410000000000002</v>
      </c>
      <c r="F274" s="50">
        <f>'Fiscal Forecasts'!F$60-SUM(F$271:F$273)</f>
        <v>3.9429999999999996</v>
      </c>
      <c r="G274" s="50">
        <f>'Fiscal Forecasts'!G$60-SUM(G$271:G$273)</f>
        <v>4.7479999999999993</v>
      </c>
      <c r="H274" s="50">
        <f>'Fiscal Forecasts'!H$60-SUM(H$271:H$273)</f>
        <v>3.3280000000000003</v>
      </c>
      <c r="I274" s="50">
        <f>'Fiscal Forecasts'!I$60-SUM(I$271:I$273)</f>
        <v>4.6840000000000002</v>
      </c>
      <c r="J274" s="50">
        <f>'Fiscal Forecasts'!J$60-SUM(J$271:J$273)</f>
        <v>4.8900000000000006</v>
      </c>
      <c r="K274" s="50">
        <f>'Fiscal Forecasts'!K$60-SUM(K$271:K$273)</f>
        <v>3.6390000000000002</v>
      </c>
      <c r="L274" s="48">
        <f ca="1">'Fiscal Forecasts'!L$60-SUM(L$271:L$273)+IF(OFFSET(Assumptions!$B$57,0,$C$1)="Yes",Allocation!C$13,0)</f>
        <v>3.6589999999999998</v>
      </c>
      <c r="M274" s="48">
        <f ca="1">'Fiscal Forecasts'!M$60-SUM(M$271:M$273)+IF(OFFSET(Assumptions!$B$57,0,$C$1)="Yes",Allocation!D$13,0)</f>
        <v>3.6849999999999996</v>
      </c>
      <c r="N274" s="48">
        <f ca="1">'Fiscal Forecasts'!N$60-SUM(N$271:N$273)+IF(OFFSET(Assumptions!$B$57,0,$C$1)="Yes",Allocation!E$13,0)</f>
        <v>3.6049999999999995</v>
      </c>
      <c r="O274" s="48">
        <f ca="1">'Fiscal Forecasts'!O$60-SUM(O$271:O$273)+IF(OFFSET(Assumptions!$B$57,0,$C$1)="Yes",Allocation!F$13,0)</f>
        <v>3.5739999999999998</v>
      </c>
      <c r="P274" s="48">
        <f ca="1">'Fiscal Forecasts'!P$60-SUM(P$271:P$273)+IF(OFFSET(Assumptions!$B$57,0,$C$1)="Yes",Allocation!G$13,0)</f>
        <v>3.48</v>
      </c>
      <c r="Q274" s="20">
        <f ca="1">P$274+IF(OFFSET(Assumptions!$B$58,0,$C$1)="Yes",Allocation!$B$13*Q$248,IF(OFFSET(Assumptions!$B$59,0,$C$1)="Yes",(P$274/P$13+MIN(ABS($C$274-P$274/P$13),OFFSET(Assumptions!$B$61,0,$C$1))*SIGN($C$274-P$274/P$13))*Q$13-P$274,0))</f>
        <v>3.48</v>
      </c>
      <c r="R274" s="20">
        <f ca="1">Q$274+IF(OFFSET(Assumptions!$B$58,0,$C$1)="Yes",Allocation!$B$13*R$248,IF(OFFSET(Assumptions!$B$59,0,$C$1)="Yes",(Q$274/Q$13+MIN(ABS($C$274-Q$274/Q$13),OFFSET(Assumptions!$B$61,0,$C$1))*SIGN($C$274-Q$274/Q$13))*R$13-Q$274,0))</f>
        <v>3.48</v>
      </c>
      <c r="S274" s="20">
        <f ca="1">R$274+IF(OFFSET(Assumptions!$B$58,0,$C$1)="Yes",Allocation!$B$13*S$248,IF(OFFSET(Assumptions!$B$59,0,$C$1)="Yes",(R$274/R$13+MIN(ABS($C$274-R$274/R$13),OFFSET(Assumptions!$B$61,0,$C$1))*SIGN($C$274-R$274/R$13))*S$13-R$274,0))</f>
        <v>3.48</v>
      </c>
      <c r="T274" s="20">
        <f ca="1">S$274+IF(OFFSET(Assumptions!$B$58,0,$C$1)="Yes",Allocation!$B$13*T$248,IF(OFFSET(Assumptions!$B$59,0,$C$1)="Yes",(S$274/S$13+MIN(ABS($C$274-S$274/S$13),OFFSET(Assumptions!$B$61,0,$C$1))*SIGN($C$274-S$274/S$13))*T$13-S$274,0))</f>
        <v>3.48</v>
      </c>
      <c r="U274" s="20">
        <f ca="1">T$274+IF(OFFSET(Assumptions!$B$58,0,$C$1)="Yes",Allocation!$B$13*U$248,IF(OFFSET(Assumptions!$B$59,0,$C$1)="Yes",(T$274/T$13+MIN(ABS($C$274-T$274/T$13),OFFSET(Assumptions!$B$61,0,$C$1))*SIGN($C$274-T$274/T$13))*U$13-T$274,0))</f>
        <v>3.48</v>
      </c>
      <c r="V274" s="20">
        <f ca="1">U$274+IF(OFFSET(Assumptions!$B$58,0,$C$1)="Yes",Allocation!$B$13*V$248,IF(OFFSET(Assumptions!$B$59,0,$C$1)="Yes",(U$274/U$13+MIN(ABS($C$274-U$274/U$13),OFFSET(Assumptions!$B$61,0,$C$1))*SIGN($C$274-U$274/U$13))*V$13-U$274,0))</f>
        <v>3.48</v>
      </c>
      <c r="W274" s="20">
        <f ca="1">V$274+IF(OFFSET(Assumptions!$B$58,0,$C$1)="Yes",Allocation!$B$13*W$248,IF(OFFSET(Assumptions!$B$59,0,$C$1)="Yes",(V$274/V$13+MIN(ABS($C$274-V$274/V$13),OFFSET(Assumptions!$B$61,0,$C$1))*SIGN($C$274-V$274/V$13))*W$13-V$274,0))</f>
        <v>3.48</v>
      </c>
      <c r="X274" s="20">
        <f ca="1">W$274+IF(OFFSET(Assumptions!$B$58,0,$C$1)="Yes",Allocation!$B$13*X$248,IF(OFFSET(Assumptions!$B$59,0,$C$1)="Yes",(W$274/W$13+MIN(ABS($C$274-W$274/W$13),OFFSET(Assumptions!$B$61,0,$C$1))*SIGN($C$274-W$274/W$13))*X$13-W$274,0))</f>
        <v>3.48</v>
      </c>
      <c r="Y274" s="20">
        <f ca="1">X$274+IF(OFFSET(Assumptions!$B$58,0,$C$1)="Yes",Allocation!$B$13*Y$248,IF(OFFSET(Assumptions!$B$59,0,$C$1)="Yes",(X$274/X$13+MIN(ABS($C$274-X$274/X$13),OFFSET(Assumptions!$B$61,0,$C$1))*SIGN($C$274-X$274/X$13))*Y$13-X$274,0))</f>
        <v>3.48</v>
      </c>
      <c r="Z274" s="20">
        <f ca="1">Y$274+IF(OFFSET(Assumptions!$B$58,0,$C$1)="Yes",Allocation!$B$13*Z$248,IF(OFFSET(Assumptions!$B$59,0,$C$1)="Yes",(Y$274/Y$13+MIN(ABS($C$274-Y$274/Y$13),OFFSET(Assumptions!$B$61,0,$C$1))*SIGN($C$274-Y$274/Y$13))*Z$13-Y$274,0))</f>
        <v>3.48</v>
      </c>
    </row>
    <row r="275" spans="1:26" x14ac:dyDescent="0.25">
      <c r="A275" s="11" t="s">
        <v>1287</v>
      </c>
      <c r="D275" s="94">
        <f t="shared" ref="D275:Z275" si="164">SUM(D$271:D$274)</f>
        <v>5.1660000000000004</v>
      </c>
      <c r="E275" s="94">
        <f t="shared" si="164"/>
        <v>6.0830000000000002</v>
      </c>
      <c r="F275" s="94">
        <f t="shared" si="164"/>
        <v>5.7539999999999996</v>
      </c>
      <c r="G275" s="94">
        <f t="shared" si="164"/>
        <v>5.7199999999999989</v>
      </c>
      <c r="H275" s="94">
        <f t="shared" si="164"/>
        <v>6.806</v>
      </c>
      <c r="I275" s="94">
        <f t="shared" si="164"/>
        <v>8.468</v>
      </c>
      <c r="J275" s="94">
        <f t="shared" si="164"/>
        <v>7.9080000000000004</v>
      </c>
      <c r="K275" s="94">
        <f t="shared" si="164"/>
        <v>5.98</v>
      </c>
      <c r="L275" s="95">
        <f t="shared" ca="1" si="164"/>
        <v>6.657</v>
      </c>
      <c r="M275" s="95">
        <f t="shared" ca="1" si="164"/>
        <v>6.3869999999999996</v>
      </c>
      <c r="N275" s="95">
        <f t="shared" ca="1" si="164"/>
        <v>6.3289999999999997</v>
      </c>
      <c r="O275" s="95">
        <f t="shared" ca="1" si="164"/>
        <v>6.327</v>
      </c>
      <c r="P275" s="95">
        <f t="shared" ca="1" si="164"/>
        <v>6.2629999999999999</v>
      </c>
      <c r="Q275" s="96">
        <f t="shared" ca="1" si="164"/>
        <v>6.3671094758970526</v>
      </c>
      <c r="R275" s="96">
        <f t="shared" ca="1" si="164"/>
        <v>6.4697580318130257</v>
      </c>
      <c r="S275" s="96">
        <f t="shared" ca="1" si="164"/>
        <v>6.5768558974810496</v>
      </c>
      <c r="T275" s="96">
        <f t="shared" ca="1" si="164"/>
        <v>6.6896271681321853</v>
      </c>
      <c r="U275" s="96">
        <f t="shared" ca="1" si="164"/>
        <v>6.8070236172312084</v>
      </c>
      <c r="V275" s="96">
        <f t="shared" ca="1" si="164"/>
        <v>6.9282575197009884</v>
      </c>
      <c r="W275" s="96">
        <f t="shared" ca="1" si="164"/>
        <v>7.0532079483884118</v>
      </c>
      <c r="X275" s="96">
        <f t="shared" ca="1" si="164"/>
        <v>7.1823347232932733</v>
      </c>
      <c r="Y275" s="96">
        <f t="shared" ca="1" si="164"/>
        <v>7.316403761422257</v>
      </c>
      <c r="Z275" s="96">
        <f t="shared" ca="1" si="164"/>
        <v>7.455846351708737</v>
      </c>
    </row>
    <row r="276" spans="1:26" x14ac:dyDescent="0.25">
      <c r="A276" s="11" t="s">
        <v>1288</v>
      </c>
      <c r="B276" s="14" t="str">
        <f>$B$38</f>
        <v>From Fiscal Forecasts</v>
      </c>
      <c r="D276" s="51">
        <f>'Fiscal Forecasts'!D$43</f>
        <v>4.7320000000000002</v>
      </c>
      <c r="E276" s="51">
        <f>'Fiscal Forecasts'!E$43</f>
        <v>5.8689999999999998</v>
      </c>
      <c r="F276" s="51">
        <f>'Fiscal Forecasts'!F$43</f>
        <v>5.6020000000000003</v>
      </c>
      <c r="G276" s="51">
        <f>'Fiscal Forecasts'!G$43</f>
        <v>5.4260000000000002</v>
      </c>
      <c r="H276" s="51">
        <f>'Fiscal Forecasts'!H$43</f>
        <v>6.6630000000000003</v>
      </c>
      <c r="I276" s="51">
        <f>'Fiscal Forecasts'!I$43</f>
        <v>8.1780000000000008</v>
      </c>
      <c r="J276" s="51">
        <f>'Fiscal Forecasts'!J$43</f>
        <v>7.7750000000000004</v>
      </c>
      <c r="K276" s="51">
        <f>'Fiscal Forecasts'!K$43</f>
        <v>5.6</v>
      </c>
      <c r="L276" s="47">
        <f ca="1">'Fiscal Forecasts'!L$43+IF(OFFSET(Assumptions!$B$57,0,$C$1)="Yes",Allocation!C$13,0)</f>
        <v>6.1420000000000003</v>
      </c>
      <c r="M276" s="47">
        <f ca="1">'Fiscal Forecasts'!M$43+IF(OFFSET(Assumptions!$B$57,0,$C$1)="Yes",Allocation!D$13,0)</f>
        <v>5.984</v>
      </c>
      <c r="N276" s="47">
        <f ca="1">'Fiscal Forecasts'!N$43+IF(OFFSET(Assumptions!$B$57,0,$C$1)="Yes",Allocation!E$13,0)</f>
        <v>6.1669999999999998</v>
      </c>
      <c r="O276" s="47">
        <f ca="1">'Fiscal Forecasts'!O$43+IF(OFFSET(Assumptions!$B$57,0,$C$1)="Yes",Allocation!F$13,0)</f>
        <v>6.1909999999999998</v>
      </c>
      <c r="P276" s="47">
        <f ca="1">'Fiscal Forecasts'!P$43+IF(OFFSET(Assumptions!$B$57,0,$C$1)="Yes",Allocation!G$13,0)</f>
        <v>6.1319999999999997</v>
      </c>
      <c r="Q276" s="21">
        <f t="shared" ref="Q276:Z276" ca="1" si="165">Q$275+P$276-P$275</f>
        <v>6.2361094758970523</v>
      </c>
      <c r="R276" s="21">
        <f t="shared" ca="1" si="165"/>
        <v>6.3387580318130254</v>
      </c>
      <c r="S276" s="21">
        <f t="shared" ca="1" si="165"/>
        <v>6.4458558974810494</v>
      </c>
      <c r="T276" s="21">
        <f t="shared" ca="1" si="165"/>
        <v>6.558627168132185</v>
      </c>
      <c r="U276" s="21">
        <f t="shared" ca="1" si="165"/>
        <v>6.6760236172312073</v>
      </c>
      <c r="V276" s="21">
        <f t="shared" ca="1" si="165"/>
        <v>6.7972575197009872</v>
      </c>
      <c r="W276" s="21">
        <f t="shared" ca="1" si="165"/>
        <v>6.9222079483884116</v>
      </c>
      <c r="X276" s="21">
        <f t="shared" ca="1" si="165"/>
        <v>7.051334723293273</v>
      </c>
      <c r="Y276" s="21">
        <f t="shared" ca="1" si="165"/>
        <v>7.1854037614222577</v>
      </c>
      <c r="Z276" s="21">
        <f t="shared" ca="1" si="165"/>
        <v>7.3248463517087368</v>
      </c>
    </row>
    <row r="278" spans="1:26" x14ac:dyDescent="0.25">
      <c r="A278" s="11" t="s">
        <v>1289</v>
      </c>
    </row>
    <row r="279" spans="1:26" x14ac:dyDescent="0.25">
      <c r="A279" s="11" t="s">
        <v>1290</v>
      </c>
      <c r="B279" s="14" t="str">
        <f>$B$38</f>
        <v>From Fiscal Forecasts</v>
      </c>
      <c r="C279" s="100" cm="1">
        <f t="array" aca="1" ref="C279" ca="1">SUMPRODUCT(OFFSET($P$279,0,0,1,-OFFSET(Assumptions!$B$60,0,$C$1))/OFFSET($P$13,0,0,1,-OFFSET(Assumptions!$B$60,0,$C$1)))/OFFSET(Assumptions!$B$60,0,$C$1)</f>
        <v>1.4739639541978919E-2</v>
      </c>
      <c r="D279" s="51">
        <f>'Fiscal Forecasts'!D$61</f>
        <v>4.625</v>
      </c>
      <c r="E279" s="51">
        <f>'Fiscal Forecasts'!E$61</f>
        <v>4.9109999999999996</v>
      </c>
      <c r="F279" s="51">
        <f>'Fiscal Forecasts'!F$61</f>
        <v>5.202</v>
      </c>
      <c r="G279" s="51">
        <f>'Fiscal Forecasts'!G$61</f>
        <v>5.444</v>
      </c>
      <c r="H279" s="51">
        <f>'Fiscal Forecasts'!H$61</f>
        <v>6.165</v>
      </c>
      <c r="I279" s="51">
        <f>'Fiscal Forecasts'!I$61</f>
        <v>6.5270000000000001</v>
      </c>
      <c r="J279" s="51">
        <f>'Fiscal Forecasts'!J$61</f>
        <v>6.734</v>
      </c>
      <c r="K279" s="51">
        <f>'Fiscal Forecasts'!K$61</f>
        <v>7.077</v>
      </c>
      <c r="L279" s="47">
        <f ca="1">'Fiscal Forecasts'!L$61+IF(OFFSET(Assumptions!$B$57,0,$C$1)="Yes",Allocation!C$14,0)</f>
        <v>7.7619999999999996</v>
      </c>
      <c r="M279" s="47">
        <f ca="1">'Fiscal Forecasts'!M$61+IF(OFFSET(Assumptions!$B$57,0,$C$1)="Yes",Allocation!D$14,0)</f>
        <v>7.4859999999999998</v>
      </c>
      <c r="N279" s="47">
        <f ca="1">'Fiscal Forecasts'!N$61+IF(OFFSET(Assumptions!$B$57,0,$C$1)="Yes",Allocation!E$14,0)</f>
        <v>7.34</v>
      </c>
      <c r="O279" s="47">
        <f ca="1">'Fiscal Forecasts'!O$61+IF(OFFSET(Assumptions!$B$57,0,$C$1)="Yes",Allocation!F$14,0)</f>
        <v>7.3689999999999998</v>
      </c>
      <c r="P279" s="47">
        <f ca="1">'Fiscal Forecasts'!P$61+IF(OFFSET(Assumptions!$B$57,0,$C$1)="Yes",Allocation!G$14,0)</f>
        <v>7.4039999999999999</v>
      </c>
      <c r="Q279" s="21">
        <f ca="1">P$279+IF(OFFSET(Assumptions!$B$58,0,$C$1)="Yes",Allocation!$B$14*Q$248,IF(OFFSET(Assumptions!$B$59,0,$C$1)="Yes",(P$279/P$13+MIN(ABS($C$279-P$279/P$13),OFFSET(Assumptions!$B$61,0,$C$1))*SIGN($C$279-P$279/P$13))*Q$13-P$279,0))</f>
        <v>7.4039999999999999</v>
      </c>
      <c r="R279" s="21">
        <f ca="1">Q$279+IF(OFFSET(Assumptions!$B$58,0,$C$1)="Yes",Allocation!$B$14*R$248,IF(OFFSET(Assumptions!$B$59,0,$C$1)="Yes",(Q$279/Q$13+MIN(ABS($C$279-Q$279/Q$13),OFFSET(Assumptions!$B$61,0,$C$1))*SIGN($C$279-Q$279/Q$13))*R$13-Q$279,0))</f>
        <v>7.4039999999999999</v>
      </c>
      <c r="S279" s="21">
        <f ca="1">R$279+IF(OFFSET(Assumptions!$B$58,0,$C$1)="Yes",Allocation!$B$14*S$248,IF(OFFSET(Assumptions!$B$59,0,$C$1)="Yes",(R$279/R$13+MIN(ABS($C$279-R$279/R$13),OFFSET(Assumptions!$B$61,0,$C$1))*SIGN($C$279-R$279/R$13))*S$13-R$279,0))</f>
        <v>7.4039999999999999</v>
      </c>
      <c r="T279" s="21">
        <f ca="1">S$279+IF(OFFSET(Assumptions!$B$58,0,$C$1)="Yes",Allocation!$B$14*T$248,IF(OFFSET(Assumptions!$B$59,0,$C$1)="Yes",(S$279/S$13+MIN(ABS($C$279-S$279/S$13),OFFSET(Assumptions!$B$61,0,$C$1))*SIGN($C$279-S$279/S$13))*T$13-S$279,0))</f>
        <v>7.4039999999999999</v>
      </c>
      <c r="U279" s="21">
        <f ca="1">T$279+IF(OFFSET(Assumptions!$B$58,0,$C$1)="Yes",Allocation!$B$14*U$248,IF(OFFSET(Assumptions!$B$59,0,$C$1)="Yes",(T$279/T$13+MIN(ABS($C$279-T$279/T$13),OFFSET(Assumptions!$B$61,0,$C$1))*SIGN($C$279-T$279/T$13))*U$13-T$279,0))</f>
        <v>7.4039999999999999</v>
      </c>
      <c r="V279" s="21">
        <f ca="1">U$279+IF(OFFSET(Assumptions!$B$58,0,$C$1)="Yes",Allocation!$B$14*V$248,IF(OFFSET(Assumptions!$B$59,0,$C$1)="Yes",(U$279/U$13+MIN(ABS($C$279-U$279/U$13),OFFSET(Assumptions!$B$61,0,$C$1))*SIGN($C$279-U$279/U$13))*V$13-U$279,0))</f>
        <v>7.4039999999999999</v>
      </c>
      <c r="W279" s="21">
        <f ca="1">V$279+IF(OFFSET(Assumptions!$B$58,0,$C$1)="Yes",Allocation!$B$14*W$248,IF(OFFSET(Assumptions!$B$59,0,$C$1)="Yes",(V$279/V$13+MIN(ABS($C$279-V$279/V$13),OFFSET(Assumptions!$B$61,0,$C$1))*SIGN($C$279-V$279/V$13))*W$13-V$279,0))</f>
        <v>7.4039999999999999</v>
      </c>
      <c r="X279" s="21">
        <f ca="1">W$279+IF(OFFSET(Assumptions!$B$58,0,$C$1)="Yes",Allocation!$B$14*X$248,IF(OFFSET(Assumptions!$B$59,0,$C$1)="Yes",(W$279/W$13+MIN(ABS($C$279-W$279/W$13),OFFSET(Assumptions!$B$61,0,$C$1))*SIGN($C$279-W$279/W$13))*X$13-W$279,0))</f>
        <v>7.4039999999999999</v>
      </c>
      <c r="Y279" s="21">
        <f ca="1">X$279+IF(OFFSET(Assumptions!$B$58,0,$C$1)="Yes",Allocation!$B$14*Y$248,IF(OFFSET(Assumptions!$B$59,0,$C$1)="Yes",(X$279/X$13+MIN(ABS($C$279-X$279/X$13),OFFSET(Assumptions!$B$61,0,$C$1))*SIGN($C$279-X$279/X$13))*Y$13-X$279,0))</f>
        <v>7.4039999999999999</v>
      </c>
      <c r="Z279" s="21">
        <f ca="1">Y$279+IF(OFFSET(Assumptions!$B$58,0,$C$1)="Yes",Allocation!$B$14*Z$248,IF(OFFSET(Assumptions!$B$59,0,$C$1)="Yes",(Y$279/Y$13+MIN(ABS($C$279-Y$279/Y$13),OFFSET(Assumptions!$B$61,0,$C$1))*SIGN($C$279-Y$279/Y$13))*Z$13-Y$279,0))</f>
        <v>7.4039999999999999</v>
      </c>
    </row>
    <row r="280" spans="1:26" x14ac:dyDescent="0.25">
      <c r="A280" s="11" t="s">
        <v>1291</v>
      </c>
      <c r="B280" s="14" t="str">
        <f>$B$38</f>
        <v>From Fiscal Forecasts</v>
      </c>
      <c r="D280" s="51">
        <f>'Fiscal Forecasts'!D$44</f>
        <v>5.05</v>
      </c>
      <c r="E280" s="51">
        <f>'Fiscal Forecasts'!E$44</f>
        <v>5.3040000000000003</v>
      </c>
      <c r="F280" s="51">
        <f>'Fiscal Forecasts'!F$44</f>
        <v>5.5330000000000004</v>
      </c>
      <c r="G280" s="51">
        <f>'Fiscal Forecasts'!G$44</f>
        <v>5.9210000000000003</v>
      </c>
      <c r="H280" s="51">
        <f>'Fiscal Forecasts'!H$44</f>
        <v>6.6660000000000004</v>
      </c>
      <c r="I280" s="51">
        <f>'Fiscal Forecasts'!I$44</f>
        <v>7.0720000000000001</v>
      </c>
      <c r="J280" s="51">
        <f>'Fiscal Forecasts'!J$44</f>
        <v>7.3090000000000002</v>
      </c>
      <c r="K280" s="51">
        <f>'Fiscal Forecasts'!K$44</f>
        <v>7.6340000000000003</v>
      </c>
      <c r="L280" s="47">
        <f ca="1">'Fiscal Forecasts'!L$44+IF(OFFSET(Assumptions!$B$57,0,$C$1)="Yes",Allocation!C$14,0)</f>
        <v>8.4649999999999999</v>
      </c>
      <c r="M280" s="47">
        <f ca="1">'Fiscal Forecasts'!M$44+IF(OFFSET(Assumptions!$B$57,0,$C$1)="Yes",Allocation!D$14,0)</f>
        <v>8.2680000000000007</v>
      </c>
      <c r="N280" s="47">
        <f ca="1">'Fiscal Forecasts'!N$44+IF(OFFSET(Assumptions!$B$57,0,$C$1)="Yes",Allocation!E$14,0)</f>
        <v>8.0830000000000002</v>
      </c>
      <c r="O280" s="47">
        <f ca="1">'Fiscal Forecasts'!O$44+IF(OFFSET(Assumptions!$B$57,0,$C$1)="Yes",Allocation!F$14,0)</f>
        <v>8.1440000000000001</v>
      </c>
      <c r="P280" s="47">
        <f ca="1">'Fiscal Forecasts'!P$44+IF(OFFSET(Assumptions!$B$57,0,$C$1)="Yes",Allocation!G$14,0)</f>
        <v>8.2080000000000002</v>
      </c>
      <c r="Q280" s="21">
        <f t="shared" ref="Q280:Z280" ca="1" si="166">Q$279+(P$280-P$279)*(1+Q$29)</f>
        <v>8.2240800000000007</v>
      </c>
      <c r="R280" s="21">
        <f t="shared" ca="1" si="166"/>
        <v>8.2404816000000007</v>
      </c>
      <c r="S280" s="21">
        <f t="shared" ca="1" si="166"/>
        <v>8.2572112320000013</v>
      </c>
      <c r="T280" s="21">
        <f t="shared" ca="1" si="166"/>
        <v>8.2742754566400016</v>
      </c>
      <c r="U280" s="21">
        <f t="shared" ca="1" si="166"/>
        <v>8.2916809657728017</v>
      </c>
      <c r="V280" s="21">
        <f t="shared" ca="1" si="166"/>
        <v>8.3094345850882583</v>
      </c>
      <c r="W280" s="21">
        <f t="shared" ca="1" si="166"/>
        <v>8.3275432767900242</v>
      </c>
      <c r="X280" s="21">
        <f t="shared" ca="1" si="166"/>
        <v>8.3460141423258243</v>
      </c>
      <c r="Y280" s="21">
        <f t="shared" ca="1" si="166"/>
        <v>8.3648544251723411</v>
      </c>
      <c r="Z280" s="21">
        <f t="shared" ca="1" si="166"/>
        <v>8.3840715136757886</v>
      </c>
    </row>
    <row r="282" spans="1:26" x14ac:dyDescent="0.25">
      <c r="A282" s="11" t="s">
        <v>1292</v>
      </c>
    </row>
    <row r="283" spans="1:26" x14ac:dyDescent="0.25">
      <c r="A283" s="11" t="s">
        <v>1293</v>
      </c>
      <c r="B283" s="14" t="str">
        <f>$B$38</f>
        <v>From Fiscal Forecasts</v>
      </c>
      <c r="D283" s="51">
        <f>'Fiscal Forecasts'!D$62</f>
        <v>2.8889999999999998</v>
      </c>
      <c r="E283" s="51">
        <f>'Fiscal Forecasts'!E$62</f>
        <v>3.1789999999999998</v>
      </c>
      <c r="F283" s="51">
        <f>'Fiscal Forecasts'!F$62</f>
        <v>5.6559999999999997</v>
      </c>
      <c r="G283" s="51">
        <f>'Fiscal Forecasts'!G$62</f>
        <v>4.657</v>
      </c>
      <c r="H283" s="51">
        <f>'Fiscal Forecasts'!H$62</f>
        <v>5.4720000000000004</v>
      </c>
      <c r="I283" s="51">
        <f>'Fiscal Forecasts'!I$62</f>
        <v>5.4870000000000001</v>
      </c>
      <c r="J283" s="51">
        <f>'Fiscal Forecasts'!J$62</f>
        <v>5.4720000000000004</v>
      </c>
      <c r="K283" s="51">
        <f>'Fiscal Forecasts'!K$62</f>
        <v>6.0350000000000001</v>
      </c>
      <c r="L283" s="47">
        <f>'Fiscal Forecasts'!L$62</f>
        <v>5.3330000000000002</v>
      </c>
      <c r="M283" s="47">
        <f>'Fiscal Forecasts'!M$62</f>
        <v>5.4080000000000004</v>
      </c>
      <c r="N283" s="47">
        <f>'Fiscal Forecasts'!N$62</f>
        <v>5.65</v>
      </c>
      <c r="O283" s="47">
        <f>'Fiscal Forecasts'!O$62</f>
        <v>5.5910000000000002</v>
      </c>
      <c r="P283" s="47">
        <f>'Fiscal Forecasts'!P$62</f>
        <v>5.6349999999999998</v>
      </c>
      <c r="Q283" s="21">
        <f t="shared" ref="Q283:Z283" ca="1" si="167">P$283+Q$138-P$138</f>
        <v>5.6284616931386271</v>
      </c>
      <c r="R283" s="21">
        <f t="shared" ca="1" si="167"/>
        <v>5.6021153676319475</v>
      </c>
      <c r="S283" s="21">
        <f t="shared" ca="1" si="167"/>
        <v>5.5569111583079076</v>
      </c>
      <c r="T283" s="21">
        <f t="shared" ca="1" si="167"/>
        <v>5.7307336419171619</v>
      </c>
      <c r="U283" s="21">
        <f t="shared" ca="1" si="167"/>
        <v>6.0141229383904831</v>
      </c>
      <c r="V283" s="21">
        <f t="shared" ca="1" si="167"/>
        <v>6.3071620316660963</v>
      </c>
      <c r="W283" s="21">
        <f t="shared" ca="1" si="167"/>
        <v>6.6083725443632204</v>
      </c>
      <c r="X283" s="21">
        <f t="shared" ca="1" si="167"/>
        <v>6.9182566713754809</v>
      </c>
      <c r="Y283" s="21">
        <f t="shared" ca="1" si="167"/>
        <v>7.2384349123008267</v>
      </c>
      <c r="Z283" s="21">
        <f t="shared" ca="1" si="167"/>
        <v>7.5689898458804947</v>
      </c>
    </row>
    <row r="284" spans="1:26" x14ac:dyDescent="0.25">
      <c r="A284" s="12" t="s">
        <v>1020</v>
      </c>
      <c r="B284" s="14" t="str">
        <f>$B$38</f>
        <v>From Fiscal Forecasts</v>
      </c>
      <c r="D284" s="50">
        <f>'Fiscal Forecasts'!D$209</f>
        <v>3.21</v>
      </c>
      <c r="E284" s="50">
        <f>'Fiscal Forecasts'!E$209</f>
        <v>3.8239999999999998</v>
      </c>
      <c r="F284" s="50">
        <f>'Fiscal Forecasts'!F$209</f>
        <v>4.2590000000000003</v>
      </c>
      <c r="G284" s="50">
        <f>'Fiscal Forecasts'!G$209</f>
        <v>4.5030000000000001</v>
      </c>
      <c r="H284" s="50">
        <f>'Fiscal Forecasts'!H$209</f>
        <v>6.1050000000000004</v>
      </c>
      <c r="I284" s="50">
        <f>'Fiscal Forecasts'!I$209</f>
        <v>6.6280000000000001</v>
      </c>
      <c r="J284" s="50">
        <f>'Fiscal Forecasts'!J$209</f>
        <v>5.9779999999999998</v>
      </c>
      <c r="K284" s="50">
        <f>'Fiscal Forecasts'!K$209</f>
        <v>6.0049999999999999</v>
      </c>
      <c r="L284" s="48">
        <f>'Fiscal Forecasts'!L$209</f>
        <v>7.1070000000000002</v>
      </c>
      <c r="M284" s="48">
        <f>'Fiscal Forecasts'!M$209</f>
        <v>6.2469999999999999</v>
      </c>
      <c r="N284" s="48">
        <f>'Fiscal Forecasts'!N$209</f>
        <v>6.1429999999999998</v>
      </c>
      <c r="O284" s="48">
        <f>'Fiscal Forecasts'!O$209</f>
        <v>6.085</v>
      </c>
      <c r="P284" s="48">
        <f>'Fiscal Forecasts'!P$209</f>
        <v>6.2039999999999997</v>
      </c>
      <c r="Q284" s="20">
        <f t="shared" ref="Q284:Z284" ca="1" si="168">Q$283+(P$284-P$283)*(1+Q$29)</f>
        <v>6.208841693138627</v>
      </c>
      <c r="R284" s="20">
        <f t="shared" ca="1" si="168"/>
        <v>6.194102967631947</v>
      </c>
      <c r="S284" s="20">
        <f t="shared" ca="1" si="168"/>
        <v>6.1607385103079073</v>
      </c>
      <c r="T284" s="20">
        <f t="shared" ca="1" si="168"/>
        <v>6.346637540957162</v>
      </c>
      <c r="U284" s="20">
        <f t="shared" ca="1" si="168"/>
        <v>6.6423449154112832</v>
      </c>
      <c r="V284" s="20">
        <f t="shared" ca="1" si="168"/>
        <v>6.9479484482273124</v>
      </c>
      <c r="W284" s="20">
        <f t="shared" ca="1" si="168"/>
        <v>7.2619746892556609</v>
      </c>
      <c r="X284" s="20">
        <f t="shared" ca="1" si="168"/>
        <v>7.5849308591657705</v>
      </c>
      <c r="Y284" s="20">
        <f t="shared" ca="1" si="168"/>
        <v>7.9184425838469217</v>
      </c>
      <c r="Z284" s="20">
        <f t="shared" ca="1" si="168"/>
        <v>8.2625976708575113</v>
      </c>
    </row>
    <row r="285" spans="1:26" x14ac:dyDescent="0.25">
      <c r="A285" s="12" t="s">
        <v>1227</v>
      </c>
      <c r="B285" s="14" t="str">
        <f>$B$38</f>
        <v>From Fiscal Forecasts</v>
      </c>
      <c r="D285" s="50">
        <f>'Fiscal Forecasts'!D$210</f>
        <v>5.4009999999999998</v>
      </c>
      <c r="E285" s="50">
        <f>'Fiscal Forecasts'!E$210</f>
        <v>8.9149999999999991</v>
      </c>
      <c r="F285" s="50">
        <f>'Fiscal Forecasts'!F$210</f>
        <v>5.8360000000000003</v>
      </c>
      <c r="G285" s="50">
        <f>'Fiscal Forecasts'!G$210</f>
        <v>4.8730000000000002</v>
      </c>
      <c r="H285" s="50">
        <f>'Fiscal Forecasts'!H$210</f>
        <v>8.5990000000000002</v>
      </c>
      <c r="I285" s="50">
        <f>'Fiscal Forecasts'!I$210</f>
        <v>10.317</v>
      </c>
      <c r="J285" s="50">
        <f>'Fiscal Forecasts'!J$210</f>
        <v>10.045999999999999</v>
      </c>
      <c r="K285" s="50">
        <f>'Fiscal Forecasts'!K$210</f>
        <v>10.468999999999999</v>
      </c>
      <c r="L285" s="48">
        <f>'Fiscal Forecasts'!L$210</f>
        <v>10.717000000000001</v>
      </c>
      <c r="M285" s="48">
        <f>'Fiscal Forecasts'!M$210</f>
        <v>10.779</v>
      </c>
      <c r="N285" s="48">
        <f>'Fiscal Forecasts'!N$210</f>
        <v>11.085000000000001</v>
      </c>
      <c r="O285" s="48">
        <f>'Fiscal Forecasts'!O$210</f>
        <v>11.627000000000001</v>
      </c>
      <c r="P285" s="48">
        <f>'Fiscal Forecasts'!P$210</f>
        <v>11.731999999999999</v>
      </c>
      <c r="Q285" s="20">
        <f t="shared" ref="Q285:Z285" ca="1" si="169">P$285*(1+Q$14)</f>
        <v>12.242704393330598</v>
      </c>
      <c r="R285" s="20">
        <f t="shared" ca="1" si="169"/>
        <v>12.763816731665804</v>
      </c>
      <c r="S285" s="20">
        <f t="shared" ca="1" si="169"/>
        <v>13.298734787619493</v>
      </c>
      <c r="T285" s="20">
        <f t="shared" ca="1" si="169"/>
        <v>13.846207380884191</v>
      </c>
      <c r="U285" s="20">
        <f t="shared" ca="1" si="169"/>
        <v>14.412770747506283</v>
      </c>
      <c r="V285" s="20">
        <f t="shared" ca="1" si="169"/>
        <v>14.998626378979461</v>
      </c>
      <c r="W285" s="20">
        <f t="shared" ca="1" si="169"/>
        <v>15.600818643328848</v>
      </c>
      <c r="X285" s="20">
        <f t="shared" ca="1" si="169"/>
        <v>16.220351548938577</v>
      </c>
      <c r="Y285" s="20">
        <f t="shared" ca="1" si="169"/>
        <v>16.860464864279972</v>
      </c>
      <c r="Z285" s="20">
        <f t="shared" ca="1" si="169"/>
        <v>17.521323684119242</v>
      </c>
    </row>
    <row r="286" spans="1:26" x14ac:dyDescent="0.25">
      <c r="A286" s="12" t="s">
        <v>1228</v>
      </c>
      <c r="B286" s="14" t="str">
        <f>$B$38</f>
        <v>From Fiscal Forecasts</v>
      </c>
      <c r="D286" s="50">
        <f>'Fiscal Forecasts'!D$45-SUM(D$283:D$285)</f>
        <v>-3.0709999999999997</v>
      </c>
      <c r="E286" s="50">
        <f>'Fiscal Forecasts'!E$45-SUM(E$283:E$285)</f>
        <v>-2.9559999999999995</v>
      </c>
      <c r="F286" s="50">
        <f>'Fiscal Forecasts'!F$45-SUM(F$283:F$285)</f>
        <v>-5.4159999999999986</v>
      </c>
      <c r="G286" s="50">
        <f>'Fiscal Forecasts'!G$45-SUM(G$283:G$285)</f>
        <v>-4.5050000000000008</v>
      </c>
      <c r="H286" s="50">
        <f>'Fiscal Forecasts'!H$45-SUM(H$283:H$285)</f>
        <v>-5.7480000000000011</v>
      </c>
      <c r="I286" s="50">
        <f>'Fiscal Forecasts'!I$45-SUM(I$283:I$285)</f>
        <v>-5.6990000000000016</v>
      </c>
      <c r="J286" s="50">
        <f>'Fiscal Forecasts'!J$45-SUM(J$283:J$285)</f>
        <v>-5.6659999999999986</v>
      </c>
      <c r="K286" s="50">
        <f>'Fiscal Forecasts'!K$45-SUM(K$283:K$285)</f>
        <v>-5.0489999999999995</v>
      </c>
      <c r="L286" s="48">
        <f>'Fiscal Forecasts'!L$45-SUM(L$283:L$285)</f>
        <v>-5.6200000000000045</v>
      </c>
      <c r="M286" s="48">
        <f>'Fiscal Forecasts'!M$45-SUM(M$283:M$285)</f>
        <v>-5.4649999999999999</v>
      </c>
      <c r="N286" s="48">
        <f>'Fiscal Forecasts'!N$45-SUM(N$283:N$285)</f>
        <v>-5.7719999999999985</v>
      </c>
      <c r="O286" s="48">
        <f>'Fiscal Forecasts'!O$45-SUM(O$283:O$285)</f>
        <v>-5.6340000000000003</v>
      </c>
      <c r="P286" s="48">
        <f>'Fiscal Forecasts'!P$45-SUM(P$283:P$285)</f>
        <v>-5.8219999999999992</v>
      </c>
      <c r="Q286" s="20">
        <f ca="1">IF(Q$6=OFFSET(Assumptions!$B$8,0,$C$1),AVERAGE(N$286/N$283,O$286/O$283,P$286/P$283),P$286/P$283)*Q$283</f>
        <v>-5.745663714385798</v>
      </c>
      <c r="R286" s="20">
        <f ca="1">IF(R$6=OFFSET(Assumptions!$B$8,0,$C$1),AVERAGE(O$286/O$283,P$286/P$283,Q$286/Q$283),Q$286/Q$283)*R$283</f>
        <v>-5.7187687767058168</v>
      </c>
      <c r="S286" s="20">
        <f ca="1">IF(S$6=OFFSET(Assumptions!$B$8,0,$C$1),AVERAGE(P$286/P$283,Q$286/Q$283,R$286/R$283),R$286/R$283)*S$283</f>
        <v>-5.6726232756060657</v>
      </c>
      <c r="T286" s="20">
        <f ca="1">IF(T$6=OFFSET(Assumptions!$B$8,0,$C$1),AVERAGE(Q$286/Q$283,R$286/R$283,S$286/S$283),S$286/S$283)*T$283</f>
        <v>-5.8500652821912063</v>
      </c>
      <c r="U286" s="20">
        <f ca="1">IF(U$6=OFFSET(Assumptions!$B$8,0,$C$1),AVERAGE(R$286/R$283,S$286/S$283,T$286/T$283),T$286/T$283)*U$283</f>
        <v>-6.1393556223523564</v>
      </c>
      <c r="V286" s="20">
        <f ca="1">IF(V$6=OFFSET(Assumptions!$B$8,0,$C$1),AVERAGE(S$286/S$283,T$286/T$283,U$286/U$283),U$286/U$283)*V$283</f>
        <v>-6.438496698000562</v>
      </c>
      <c r="W286" s="20">
        <f ca="1">IF(W$6=OFFSET(Assumptions!$B$8,0,$C$1),AVERAGE(T$286/T$283,U$286/U$283,V$286/V$283),V$286/V$283)*W$283</f>
        <v>-6.7459793473548535</v>
      </c>
      <c r="X286" s="20">
        <f ca="1">IF(X$6=OFFSET(Assumptions!$B$8,0,$C$1),AVERAGE(U$286/U$283,V$286/V$283,W$286/W$283),W$286/W$283)*X$283</f>
        <v>-7.062316222563398</v>
      </c>
      <c r="Y286" s="20">
        <f ca="1">IF(Y$6=OFFSET(Assumptions!$B$8,0,$C$1),AVERAGE(V$286/V$283,W$286/W$283,X$286/X$283),X$286/X$283)*Y$283</f>
        <v>-7.3891615670494835</v>
      </c>
      <c r="Z286" s="20">
        <f ca="1">IF(Z$6=OFFSET(Assumptions!$B$8,0,$C$1),AVERAGE(W$286/W$283,X$286/X$283,Y$286/Y$283),Y$286/Y$283)*Z$283</f>
        <v>-7.7265996790997438</v>
      </c>
    </row>
    <row r="287" spans="1:26" x14ac:dyDescent="0.25">
      <c r="A287" s="11" t="s">
        <v>1294</v>
      </c>
      <c r="D287" s="94">
        <f t="shared" ref="D287:Z287" si="170">SUM(D$283:D$286)</f>
        <v>8.4290000000000003</v>
      </c>
      <c r="E287" s="94">
        <f t="shared" si="170"/>
        <v>12.962</v>
      </c>
      <c r="F287" s="94">
        <f t="shared" si="170"/>
        <v>10.335000000000001</v>
      </c>
      <c r="G287" s="94">
        <f t="shared" si="170"/>
        <v>9.5280000000000005</v>
      </c>
      <c r="H287" s="94">
        <f t="shared" si="170"/>
        <v>14.428000000000001</v>
      </c>
      <c r="I287" s="94">
        <f t="shared" si="170"/>
        <v>16.733000000000001</v>
      </c>
      <c r="J287" s="94">
        <f t="shared" si="170"/>
        <v>15.83</v>
      </c>
      <c r="K287" s="94">
        <f t="shared" si="170"/>
        <v>17.46</v>
      </c>
      <c r="L287" s="95">
        <f t="shared" si="170"/>
        <v>17.536999999999999</v>
      </c>
      <c r="M287" s="95">
        <f t="shared" si="170"/>
        <v>16.969000000000001</v>
      </c>
      <c r="N287" s="95">
        <f t="shared" si="170"/>
        <v>17.106000000000002</v>
      </c>
      <c r="O287" s="95">
        <f t="shared" si="170"/>
        <v>17.669</v>
      </c>
      <c r="P287" s="95">
        <f t="shared" si="170"/>
        <v>17.748999999999999</v>
      </c>
      <c r="Q287" s="96">
        <f t="shared" ca="1" si="170"/>
        <v>18.334344065222055</v>
      </c>
      <c r="R287" s="96">
        <f t="shared" ca="1" si="170"/>
        <v>18.841266290223885</v>
      </c>
      <c r="S287" s="96">
        <f t="shared" ca="1" si="170"/>
        <v>19.343761180629244</v>
      </c>
      <c r="T287" s="96">
        <f t="shared" ca="1" si="170"/>
        <v>20.073513281567308</v>
      </c>
      <c r="U287" s="96">
        <f t="shared" ca="1" si="170"/>
        <v>20.929882978955696</v>
      </c>
      <c r="V287" s="96">
        <f t="shared" ca="1" si="170"/>
        <v>21.815240160872307</v>
      </c>
      <c r="W287" s="96">
        <f t="shared" ca="1" si="170"/>
        <v>22.725186529592875</v>
      </c>
      <c r="X287" s="96">
        <f t="shared" ca="1" si="170"/>
        <v>23.661222856916432</v>
      </c>
      <c r="Y287" s="96">
        <f t="shared" ca="1" si="170"/>
        <v>24.628180793378235</v>
      </c>
      <c r="Z287" s="96">
        <f t="shared" ca="1" si="170"/>
        <v>25.626311521757508</v>
      </c>
    </row>
    <row r="289" spans="1:26" x14ac:dyDescent="0.25">
      <c r="A289" s="11" t="s">
        <v>1295</v>
      </c>
    </row>
    <row r="290" spans="1:26" x14ac:dyDescent="0.25">
      <c r="A290" s="12" t="s">
        <v>1264</v>
      </c>
      <c r="D290" s="50">
        <f t="shared" ref="D290:Z290" si="171">D$238</f>
        <v>0</v>
      </c>
      <c r="E290" s="50">
        <f t="shared" si="171"/>
        <v>0</v>
      </c>
      <c r="F290" s="50">
        <f t="shared" si="171"/>
        <v>1E-3</v>
      </c>
      <c r="G290" s="50">
        <f t="shared" si="171"/>
        <v>1E-3</v>
      </c>
      <c r="H290" s="50">
        <f t="shared" si="171"/>
        <v>3.0000000000000001E-3</v>
      </c>
      <c r="I290" s="50">
        <f t="shared" si="171"/>
        <v>2E-3</v>
      </c>
      <c r="J290" s="50">
        <f t="shared" si="171"/>
        <v>3.0000000000000001E-3</v>
      </c>
      <c r="K290" s="50">
        <f t="shared" si="171"/>
        <v>2E-3</v>
      </c>
      <c r="L290" s="48">
        <f t="shared" si="171"/>
        <v>0</v>
      </c>
      <c r="M290" s="48">
        <f t="shared" si="171"/>
        <v>0</v>
      </c>
      <c r="N290" s="48">
        <f t="shared" si="171"/>
        <v>0</v>
      </c>
      <c r="O290" s="48">
        <f t="shared" si="171"/>
        <v>0</v>
      </c>
      <c r="P290" s="48">
        <f t="shared" si="171"/>
        <v>0</v>
      </c>
      <c r="Q290" s="20">
        <f t="shared" ca="1" si="171"/>
        <v>0</v>
      </c>
      <c r="R290" s="20">
        <f t="shared" ca="1" si="171"/>
        <v>0</v>
      </c>
      <c r="S290" s="20">
        <f t="shared" ca="1" si="171"/>
        <v>0</v>
      </c>
      <c r="T290" s="20">
        <f t="shared" ca="1" si="171"/>
        <v>0</v>
      </c>
      <c r="U290" s="20">
        <f t="shared" ca="1" si="171"/>
        <v>0</v>
      </c>
      <c r="V290" s="20">
        <f t="shared" ca="1" si="171"/>
        <v>0</v>
      </c>
      <c r="W290" s="20">
        <f t="shared" ca="1" si="171"/>
        <v>0</v>
      </c>
      <c r="X290" s="20">
        <f t="shared" ca="1" si="171"/>
        <v>0</v>
      </c>
      <c r="Y290" s="20">
        <f t="shared" ca="1" si="171"/>
        <v>0</v>
      </c>
      <c r="Z290" s="20">
        <f t="shared" ca="1" si="171"/>
        <v>0</v>
      </c>
    </row>
    <row r="291" spans="1:26" x14ac:dyDescent="0.25">
      <c r="A291" s="12" t="s">
        <v>694</v>
      </c>
      <c r="D291" s="50">
        <f t="shared" ref="D291:Z291" si="172">D$192</f>
        <v>0.95099999999999996</v>
      </c>
      <c r="E291" s="50">
        <f t="shared" si="172"/>
        <v>0.89300000000000002</v>
      </c>
      <c r="F291" s="50">
        <f t="shared" si="172"/>
        <v>0.91600000000000004</v>
      </c>
      <c r="G291" s="50">
        <f t="shared" si="172"/>
        <v>0.96399999999999997</v>
      </c>
      <c r="H291" s="50">
        <f t="shared" si="172"/>
        <v>0.997</v>
      </c>
      <c r="I291" s="50">
        <f t="shared" si="172"/>
        <v>1.014</v>
      </c>
      <c r="J291" s="50">
        <f t="shared" si="172"/>
        <v>1.02</v>
      </c>
      <c r="K291" s="50">
        <f t="shared" si="172"/>
        <v>0.47</v>
      </c>
      <c r="L291" s="48">
        <f t="shared" si="172"/>
        <v>0.49399999999999999</v>
      </c>
      <c r="M291" s="48">
        <f t="shared" si="172"/>
        <v>0.51600000000000001</v>
      </c>
      <c r="N291" s="48">
        <f t="shared" si="172"/>
        <v>0.54100000000000004</v>
      </c>
      <c r="O291" s="48">
        <f t="shared" si="172"/>
        <v>0.56499999999999995</v>
      </c>
      <c r="P291" s="48">
        <f t="shared" si="172"/>
        <v>0.58899999999999997</v>
      </c>
      <c r="Q291" s="20">
        <f t="shared" si="172"/>
        <v>0.61599999999999999</v>
      </c>
      <c r="R291" s="20">
        <f t="shared" ca="1" si="172"/>
        <v>0.6356043150767996</v>
      </c>
      <c r="S291" s="20">
        <f t="shared" ca="1" si="172"/>
        <v>0.65552518581783481</v>
      </c>
      <c r="T291" s="20">
        <f t="shared" ca="1" si="172"/>
        <v>0.67575382923088023</v>
      </c>
      <c r="U291" s="20">
        <f t="shared" ca="1" si="172"/>
        <v>0.69644013067364774</v>
      </c>
      <c r="V291" s="20">
        <f t="shared" ca="1" si="172"/>
        <v>0.71757355095976472</v>
      </c>
      <c r="W291" s="20">
        <f t="shared" ca="1" si="172"/>
        <v>0.73899406472158069</v>
      </c>
      <c r="X291" s="20">
        <f t="shared" ca="1" si="172"/>
        <v>0.76073334129191916</v>
      </c>
      <c r="Y291" s="20">
        <f t="shared" ca="1" si="172"/>
        <v>0.78292535697248833</v>
      </c>
      <c r="Z291" s="20">
        <f t="shared" ca="1" si="172"/>
        <v>0.80555714389500477</v>
      </c>
    </row>
    <row r="292" spans="1:26" x14ac:dyDescent="0.25">
      <c r="A292" s="12" t="s">
        <v>1296</v>
      </c>
      <c r="B292" s="14" t="str">
        <f>$B$38</f>
        <v>From Fiscal Forecasts</v>
      </c>
      <c r="C292" s="100" cm="1">
        <f t="array" aca="1" ref="C292" ca="1">SUMPRODUCT(OFFSET($P$292,0,0,1,-OFFSET(Assumptions!$B$60,0,$C$1)+1)/OFFSET($P$13,0,0,1,-OFFSET(Assumptions!$B$60,0,$C$1)+1))/(OFFSET(Assumptions!$B$60,0,$C$1)-1)</f>
        <v>5.7166810749682655E-3</v>
      </c>
      <c r="D292" s="50">
        <f>'Fiscal Forecasts'!D$63-SUM(D$290:D$291)</f>
        <v>2.0549999999999997</v>
      </c>
      <c r="E292" s="50">
        <f>'Fiscal Forecasts'!E$63-SUM(E$290:E$291)</f>
        <v>3.0949999999999998</v>
      </c>
      <c r="F292" s="50">
        <f>'Fiscal Forecasts'!F$63-SUM(F$290:F$291)</f>
        <v>3.5640000000000001</v>
      </c>
      <c r="G292" s="50">
        <f>'Fiscal Forecasts'!G$63-SUM(G$290:G$291)</f>
        <v>7.1129999999999995</v>
      </c>
      <c r="H292" s="50">
        <f>'Fiscal Forecasts'!H$63-SUM(H$290:H$291)</f>
        <v>2.69</v>
      </c>
      <c r="I292" s="50">
        <f>'Fiscal Forecasts'!I$63-SUM(I$290:I$291)</f>
        <v>2.9939999999999998</v>
      </c>
      <c r="J292" s="50">
        <f>'Fiscal Forecasts'!J$63-SUM(J$290:J$291)</f>
        <v>2.4909999999999997</v>
      </c>
      <c r="K292" s="50">
        <f>'Fiscal Forecasts'!K$63-SUM(K$290:K$291)</f>
        <v>2.54</v>
      </c>
      <c r="L292" s="48">
        <f ca="1">'Fiscal Forecasts'!L$63-SUM(L$290:L$291)+IF(OFFSET(Assumptions!$B$57,0,$C$1)="Yes",Allocation!C$15,0)</f>
        <v>3.274</v>
      </c>
      <c r="M292" s="48">
        <f ca="1">'Fiscal Forecasts'!M$63-SUM(M$290:M$291)+IF(OFFSET(Assumptions!$B$57,0,$C$1)="Yes",Allocation!D$15,0)</f>
        <v>2.5270000000000001</v>
      </c>
      <c r="N292" s="48">
        <f ca="1">'Fiscal Forecasts'!N$63-SUM(N$290:N$291)+IF(OFFSET(Assumptions!$B$57,0,$C$1)="Yes",Allocation!E$15,0)</f>
        <v>2.6920000000000002</v>
      </c>
      <c r="O292" s="48">
        <f ca="1">'Fiscal Forecasts'!O$63-SUM(O$290:O$291)+IF(OFFSET(Assumptions!$B$57,0,$C$1)="Yes",Allocation!F$15,0)</f>
        <v>2.7</v>
      </c>
      <c r="P292" s="48">
        <f ca="1">'Fiscal Forecasts'!P$63-SUM(P$290:P$291)+IF(OFFSET(Assumptions!$B$57,0,$C$1)="Yes",Allocation!G$15,0)</f>
        <v>2.7050000000000001</v>
      </c>
      <c r="Q292" s="20">
        <f ca="1">P$292+IF(OFFSET(Assumptions!$B$58,0,$C$1)="Yes",Allocation!$B$15*Q$248,IF(OFFSET(Assumptions!$B$59,0,$C$1)="Yes",(P$292/P$13+MIN(ABS($C$292-P$292/P$13),OFFSET(Assumptions!$B$61,0,$C$1))*SIGN($C$292-P$292/P$13))*Q$13-P$292,0))</f>
        <v>2.7050000000000001</v>
      </c>
      <c r="R292" s="20">
        <f ca="1">Q$292+IF(OFFSET(Assumptions!$B$58,0,$C$1)="Yes",Allocation!$B$15*R$248,IF(OFFSET(Assumptions!$B$59,0,$C$1)="Yes",(Q$292/Q$13+MIN(ABS($C$292-Q$292/Q$13),OFFSET(Assumptions!$B$61,0,$C$1))*SIGN($C$292-Q$292/Q$13))*R$13-Q$292,0))</f>
        <v>2.7050000000000001</v>
      </c>
      <c r="S292" s="20">
        <f ca="1">R$292+IF(OFFSET(Assumptions!$B$58,0,$C$1)="Yes",Allocation!$B$15*S$248,IF(OFFSET(Assumptions!$B$59,0,$C$1)="Yes",(R$292/R$13+MIN(ABS($C$292-R$292/R$13),OFFSET(Assumptions!$B$61,0,$C$1))*SIGN($C$292-R$292/R$13))*S$13-R$292,0))</f>
        <v>2.7050000000000001</v>
      </c>
      <c r="T292" s="20">
        <f ca="1">S$292+IF(OFFSET(Assumptions!$B$58,0,$C$1)="Yes",Allocation!$B$15*T$248,IF(OFFSET(Assumptions!$B$59,0,$C$1)="Yes",(S$292/S$13+MIN(ABS($C$292-S$292/S$13),OFFSET(Assumptions!$B$61,0,$C$1))*SIGN($C$292-S$292/S$13))*T$13-S$292,0))</f>
        <v>2.7050000000000001</v>
      </c>
      <c r="U292" s="20">
        <f ca="1">T$292+IF(OFFSET(Assumptions!$B$58,0,$C$1)="Yes",Allocation!$B$15*U$248,IF(OFFSET(Assumptions!$B$59,0,$C$1)="Yes",(T$292/T$13+MIN(ABS($C$292-T$292/T$13),OFFSET(Assumptions!$B$61,0,$C$1))*SIGN($C$292-T$292/T$13))*U$13-T$292,0))</f>
        <v>2.7050000000000001</v>
      </c>
      <c r="V292" s="20">
        <f ca="1">U$292+IF(OFFSET(Assumptions!$B$58,0,$C$1)="Yes",Allocation!$B$15*V$248,IF(OFFSET(Assumptions!$B$59,0,$C$1)="Yes",(U$292/U$13+MIN(ABS($C$292-U$292/U$13),OFFSET(Assumptions!$B$61,0,$C$1))*SIGN($C$292-U$292/U$13))*V$13-U$292,0))</f>
        <v>2.7050000000000001</v>
      </c>
      <c r="W292" s="20">
        <f ca="1">V$292+IF(OFFSET(Assumptions!$B$58,0,$C$1)="Yes",Allocation!$B$15*W$248,IF(OFFSET(Assumptions!$B$59,0,$C$1)="Yes",(V$292/V$13+MIN(ABS($C$292-V$292/V$13),OFFSET(Assumptions!$B$61,0,$C$1))*SIGN($C$292-V$292/V$13))*W$13-V$292,0))</f>
        <v>2.7050000000000001</v>
      </c>
      <c r="X292" s="20">
        <f ca="1">W$292+IF(OFFSET(Assumptions!$B$58,0,$C$1)="Yes",Allocation!$B$15*X$248,IF(OFFSET(Assumptions!$B$59,0,$C$1)="Yes",(W$292/W$13+MIN(ABS($C$292-W$292/W$13),OFFSET(Assumptions!$B$61,0,$C$1))*SIGN($C$292-W$292/W$13))*X$13-W$292,0))</f>
        <v>2.7050000000000001</v>
      </c>
      <c r="Y292" s="20">
        <f ca="1">X$292+IF(OFFSET(Assumptions!$B$58,0,$C$1)="Yes",Allocation!$B$15*Y$248,IF(OFFSET(Assumptions!$B$59,0,$C$1)="Yes",(X$292/X$13+MIN(ABS($C$292-X$292/X$13),OFFSET(Assumptions!$B$61,0,$C$1))*SIGN($C$292-X$292/X$13))*Y$13-X$292,0))</f>
        <v>2.7050000000000001</v>
      </c>
      <c r="Z292" s="20">
        <f ca="1">Y$292+IF(OFFSET(Assumptions!$B$58,0,$C$1)="Yes",Allocation!$B$15*Z$248,IF(OFFSET(Assumptions!$B$59,0,$C$1)="Yes",(Y$292/Y$13+MIN(ABS($C$292-Y$292/Y$13),OFFSET(Assumptions!$B$61,0,$C$1))*SIGN($C$292-Y$292/Y$13))*Z$13-Y$292,0))</f>
        <v>2.7050000000000001</v>
      </c>
    </row>
    <row r="293" spans="1:26" x14ac:dyDescent="0.25">
      <c r="A293" s="11" t="s">
        <v>1297</v>
      </c>
      <c r="D293" s="94">
        <f t="shared" ref="D293:Z293" si="173">SUM(D$290:D$292)</f>
        <v>3.0059999999999998</v>
      </c>
      <c r="E293" s="94">
        <f t="shared" si="173"/>
        <v>3.9879999999999995</v>
      </c>
      <c r="F293" s="94">
        <f t="shared" si="173"/>
        <v>4.4809999999999999</v>
      </c>
      <c r="G293" s="94">
        <f t="shared" si="173"/>
        <v>8.0779999999999994</v>
      </c>
      <c r="H293" s="94">
        <f t="shared" si="173"/>
        <v>3.69</v>
      </c>
      <c r="I293" s="94">
        <f t="shared" si="173"/>
        <v>4.01</v>
      </c>
      <c r="J293" s="94">
        <f t="shared" si="173"/>
        <v>3.5139999999999993</v>
      </c>
      <c r="K293" s="94">
        <f t="shared" si="173"/>
        <v>3.012</v>
      </c>
      <c r="L293" s="95">
        <f t="shared" ca="1" si="173"/>
        <v>3.7679999999999998</v>
      </c>
      <c r="M293" s="95">
        <f t="shared" ca="1" si="173"/>
        <v>3.0430000000000001</v>
      </c>
      <c r="N293" s="95">
        <f t="shared" ca="1" si="173"/>
        <v>3.2330000000000001</v>
      </c>
      <c r="O293" s="95">
        <f t="shared" ca="1" si="173"/>
        <v>3.2650000000000001</v>
      </c>
      <c r="P293" s="95">
        <f t="shared" ca="1" si="173"/>
        <v>3.294</v>
      </c>
      <c r="Q293" s="96">
        <f t="shared" ca="1" si="173"/>
        <v>3.3210000000000002</v>
      </c>
      <c r="R293" s="96">
        <f t="shared" ca="1" si="173"/>
        <v>3.3406043150767997</v>
      </c>
      <c r="S293" s="96">
        <f t="shared" ca="1" si="173"/>
        <v>3.3605251858178349</v>
      </c>
      <c r="T293" s="96">
        <f t="shared" ca="1" si="173"/>
        <v>3.3807538292308803</v>
      </c>
      <c r="U293" s="96">
        <f t="shared" ca="1" si="173"/>
        <v>3.4014401306736479</v>
      </c>
      <c r="V293" s="96">
        <f t="shared" ca="1" si="173"/>
        <v>3.4225735509597648</v>
      </c>
      <c r="W293" s="96">
        <f t="shared" ca="1" si="173"/>
        <v>3.443994064721581</v>
      </c>
      <c r="X293" s="96">
        <f t="shared" ca="1" si="173"/>
        <v>3.4657333412919193</v>
      </c>
      <c r="Y293" s="96">
        <f t="shared" ca="1" si="173"/>
        <v>3.4879253569724886</v>
      </c>
      <c r="Z293" s="96">
        <f t="shared" ca="1" si="173"/>
        <v>3.5105571438950047</v>
      </c>
    </row>
    <row r="294" spans="1:26" x14ac:dyDescent="0.25">
      <c r="A294" s="11" t="s">
        <v>1298</v>
      </c>
      <c r="B294" s="14" t="str">
        <f>$B$38</f>
        <v>From Fiscal Forecasts</v>
      </c>
      <c r="D294" s="51">
        <f>'Fiscal Forecasts'!D$46</f>
        <v>10.433</v>
      </c>
      <c r="E294" s="51">
        <f>'Fiscal Forecasts'!E$46</f>
        <v>11.246</v>
      </c>
      <c r="F294" s="51">
        <f>'Fiscal Forecasts'!F$46</f>
        <v>13.429</v>
      </c>
      <c r="G294" s="51">
        <f>'Fiscal Forecasts'!G$46</f>
        <v>16.672999999999998</v>
      </c>
      <c r="H294" s="51">
        <f>'Fiscal Forecasts'!H$46</f>
        <v>12.384</v>
      </c>
      <c r="I294" s="51">
        <f>'Fiscal Forecasts'!I$46</f>
        <v>16.007999999999999</v>
      </c>
      <c r="J294" s="51">
        <f>'Fiscal Forecasts'!J$46</f>
        <v>16.152999999999999</v>
      </c>
      <c r="K294" s="51">
        <f>'Fiscal Forecasts'!K$46</f>
        <v>12.811999999999999</v>
      </c>
      <c r="L294" s="47">
        <f ca="1">'Fiscal Forecasts'!L$46+IF(OFFSET(Assumptions!$B$57,0,$C$1)="Yes",Allocation!C$15,0)</f>
        <v>15.704000000000001</v>
      </c>
      <c r="M294" s="47">
        <f ca="1">'Fiscal Forecasts'!M$46+IF(OFFSET(Assumptions!$B$57,0,$C$1)="Yes",Allocation!D$15,0)</f>
        <v>14.314</v>
      </c>
      <c r="N294" s="47">
        <f ca="1">'Fiscal Forecasts'!N$46+IF(OFFSET(Assumptions!$B$57,0,$C$1)="Yes",Allocation!E$15,0)</f>
        <v>14.819000000000001</v>
      </c>
      <c r="O294" s="47">
        <f ca="1">'Fiscal Forecasts'!O$46+IF(OFFSET(Assumptions!$B$57,0,$C$1)="Yes",Allocation!F$15,0)</f>
        <v>15.06</v>
      </c>
      <c r="P294" s="47">
        <f ca="1">'Fiscal Forecasts'!P$46+IF(OFFSET(Assumptions!$B$57,0,$C$1)="Yes",Allocation!G$15,0)</f>
        <v>15.331</v>
      </c>
      <c r="Q294" s="21">
        <f t="shared" ref="Q294:Z294" ca="1" si="174">Q$293+(P$294-P$293)*(1+Q$19)*(1+Q$29)</f>
        <v>15.756501383750182</v>
      </c>
      <c r="R294" s="21">
        <f t="shared" ca="1" si="174"/>
        <v>16.180565255401348</v>
      </c>
      <c r="S294" s="21">
        <f t="shared" ca="1" si="174"/>
        <v>16.61373540690343</v>
      </c>
      <c r="T294" s="21">
        <f t="shared" ca="1" si="174"/>
        <v>17.052095959730426</v>
      </c>
      <c r="U294" s="21">
        <f t="shared" ca="1" si="174"/>
        <v>17.502942533426591</v>
      </c>
      <c r="V294" s="21">
        <f t="shared" ca="1" si="174"/>
        <v>17.962598258781647</v>
      </c>
      <c r="W294" s="21">
        <f t="shared" ca="1" si="174"/>
        <v>18.41985949608177</v>
      </c>
      <c r="X294" s="21">
        <f t="shared" ca="1" si="174"/>
        <v>18.886613828147752</v>
      </c>
      <c r="Y294" s="21">
        <f t="shared" ca="1" si="174"/>
        <v>19.367313358540336</v>
      </c>
      <c r="Z294" s="21">
        <f t="shared" ca="1" si="174"/>
        <v>19.858495687002389</v>
      </c>
    </row>
    <row r="296" spans="1:26" x14ac:dyDescent="0.25">
      <c r="A296" s="11" t="s">
        <v>1299</v>
      </c>
    </row>
    <row r="297" spans="1:26" x14ac:dyDescent="0.25">
      <c r="A297" s="11" t="s">
        <v>1300</v>
      </c>
      <c r="B297" s="14" t="str">
        <f>$B$38</f>
        <v>From Fiscal Forecasts</v>
      </c>
      <c r="C297" s="100" cm="1">
        <f t="array" aca="1" ref="C297" ca="1">SUMPRODUCT(OFFSET($P$297,0,0,1,-OFFSET(Assumptions!$B$60,0,$C$1))/OFFSET($P$13,0,0,1,-OFFSET(Assumptions!$B$60,0,$C$1)))/OFFSET(Assumptions!$B$60,0,$C$1)</f>
        <v>7.4547299267952536E-3</v>
      </c>
      <c r="D297" s="51">
        <f>'Fiscal Forecasts'!D$64</f>
        <v>2.395</v>
      </c>
      <c r="E297" s="51">
        <f>'Fiscal Forecasts'!E$64</f>
        <v>2.4990000000000001</v>
      </c>
      <c r="F297" s="51">
        <f>'Fiscal Forecasts'!F$64</f>
        <v>2.6640000000000001</v>
      </c>
      <c r="G297" s="51">
        <f>'Fiscal Forecasts'!G$64</f>
        <v>2.8319999999999999</v>
      </c>
      <c r="H297" s="51">
        <f>'Fiscal Forecasts'!H$64</f>
        <v>2.8860000000000001</v>
      </c>
      <c r="I297" s="51">
        <f>'Fiscal Forecasts'!I$64</f>
        <v>3.1629999999999998</v>
      </c>
      <c r="J297" s="51">
        <f>'Fiscal Forecasts'!J$64</f>
        <v>3.2709999999999999</v>
      </c>
      <c r="K297" s="51">
        <f>'Fiscal Forecasts'!K$64</f>
        <v>3.5249999999999999</v>
      </c>
      <c r="L297" s="47">
        <f ca="1">'Fiscal Forecasts'!L$64+IF(OFFSET(Assumptions!$B$57,0,$C$1)="Yes",Allocation!C$16,0)</f>
        <v>3.8780000000000001</v>
      </c>
      <c r="M297" s="47">
        <f ca="1">'Fiscal Forecasts'!M$64+IF(OFFSET(Assumptions!$B$57,0,$C$1)="Yes",Allocation!D$16,0)</f>
        <v>3.8580000000000001</v>
      </c>
      <c r="N297" s="47">
        <f ca="1">'Fiscal Forecasts'!N$64+IF(OFFSET(Assumptions!$B$57,0,$C$1)="Yes",Allocation!E$16,0)</f>
        <v>3.9</v>
      </c>
      <c r="O297" s="47">
        <f ca="1">'Fiscal Forecasts'!O$64+IF(OFFSET(Assumptions!$B$57,0,$C$1)="Yes",Allocation!F$16,0)</f>
        <v>3.9359999999999999</v>
      </c>
      <c r="P297" s="47">
        <f ca="1">'Fiscal Forecasts'!P$64+IF(OFFSET(Assumptions!$B$57,0,$C$1)="Yes",Allocation!G$16,0)</f>
        <v>3.948</v>
      </c>
      <c r="Q297" s="21">
        <f ca="1">P$297+IF(OFFSET(Assumptions!$B$58,0,$C$1)="Yes",Allocation!$B$16*Q$248,IF(OFFSET(Assumptions!$B$59,0,$C$1)="Yes",(P$297/P$13+MIN(ABS($C$297-P$297/P$13),OFFSET(Assumptions!$B$61,0,$C$1))*SIGN($C$297-P$297/P$13))*Q$13-P$297,0))</f>
        <v>3.948</v>
      </c>
      <c r="R297" s="21">
        <f ca="1">Q$297+IF(OFFSET(Assumptions!$B$58,0,$C$1)="Yes",Allocation!$B$16*R$248,IF(OFFSET(Assumptions!$B$59,0,$C$1)="Yes",(Q$297/Q$13+MIN(ABS($C$297-Q$297/Q$13),OFFSET(Assumptions!$B$61,0,$C$1))*SIGN($C$297-Q$297/Q$13))*R$13-Q$297,0))</f>
        <v>3.948</v>
      </c>
      <c r="S297" s="21">
        <f ca="1">R$297+IF(OFFSET(Assumptions!$B$58,0,$C$1)="Yes",Allocation!$B$16*S$248,IF(OFFSET(Assumptions!$B$59,0,$C$1)="Yes",(R$297/R$13+MIN(ABS($C$297-R$297/R$13),OFFSET(Assumptions!$B$61,0,$C$1))*SIGN($C$297-R$297/R$13))*S$13-R$297,0))</f>
        <v>3.948</v>
      </c>
      <c r="T297" s="21">
        <f ca="1">S$297+IF(OFFSET(Assumptions!$B$58,0,$C$1)="Yes",Allocation!$B$16*T$248,IF(OFFSET(Assumptions!$B$59,0,$C$1)="Yes",(S$297/S$13+MIN(ABS($C$297-S$297/S$13),OFFSET(Assumptions!$B$61,0,$C$1))*SIGN($C$297-S$297/S$13))*T$13-S$297,0))</f>
        <v>3.948</v>
      </c>
      <c r="U297" s="21">
        <f ca="1">T$297+IF(OFFSET(Assumptions!$B$58,0,$C$1)="Yes",Allocation!$B$16*U$248,IF(OFFSET(Assumptions!$B$59,0,$C$1)="Yes",(T$297/T$13+MIN(ABS($C$297-T$297/T$13),OFFSET(Assumptions!$B$61,0,$C$1))*SIGN($C$297-T$297/T$13))*U$13-T$297,0))</f>
        <v>3.948</v>
      </c>
      <c r="V297" s="21">
        <f ca="1">U$297+IF(OFFSET(Assumptions!$B$58,0,$C$1)="Yes",Allocation!$B$16*V$248,IF(OFFSET(Assumptions!$B$59,0,$C$1)="Yes",(U$297/U$13+MIN(ABS($C$297-U$297/U$13),OFFSET(Assumptions!$B$61,0,$C$1))*SIGN($C$297-U$297/U$13))*V$13-U$297,0))</f>
        <v>3.948</v>
      </c>
      <c r="W297" s="21">
        <f ca="1">V$297+IF(OFFSET(Assumptions!$B$58,0,$C$1)="Yes",Allocation!$B$16*W$248,IF(OFFSET(Assumptions!$B$59,0,$C$1)="Yes",(V$297/V$13+MIN(ABS($C$297-V$297/V$13),OFFSET(Assumptions!$B$61,0,$C$1))*SIGN($C$297-V$297/V$13))*W$13-V$297,0))</f>
        <v>3.948</v>
      </c>
      <c r="X297" s="21">
        <f ca="1">W$297+IF(OFFSET(Assumptions!$B$58,0,$C$1)="Yes",Allocation!$B$16*X$248,IF(OFFSET(Assumptions!$B$59,0,$C$1)="Yes",(W$297/W$13+MIN(ABS($C$297-W$297/W$13),OFFSET(Assumptions!$B$61,0,$C$1))*SIGN($C$297-W$297/W$13))*X$13-W$297,0))</f>
        <v>3.948</v>
      </c>
      <c r="Y297" s="21">
        <f ca="1">X$297+IF(OFFSET(Assumptions!$B$58,0,$C$1)="Yes",Allocation!$B$16*Y$248,IF(OFFSET(Assumptions!$B$59,0,$C$1)="Yes",(X$297/X$13+MIN(ABS($C$297-X$297/X$13),OFFSET(Assumptions!$B$61,0,$C$1))*SIGN($C$297-X$297/X$13))*Y$13-X$297,0))</f>
        <v>3.948</v>
      </c>
      <c r="Z297" s="21">
        <f ca="1">Y$297+IF(OFFSET(Assumptions!$B$58,0,$C$1)="Yes",Allocation!$B$16*Z$248,IF(OFFSET(Assumptions!$B$59,0,$C$1)="Yes",(Y$297/Y$13+MIN(ABS($C$297-Y$297/Y$13),OFFSET(Assumptions!$B$61,0,$C$1))*SIGN($C$297-Y$297/Y$13))*Z$13-Y$297,0))</f>
        <v>3.948</v>
      </c>
    </row>
    <row r="298" spans="1:26" x14ac:dyDescent="0.25">
      <c r="A298" s="11" t="s">
        <v>1301</v>
      </c>
      <c r="B298" s="14" t="str">
        <f>$B$38</f>
        <v>From Fiscal Forecasts</v>
      </c>
      <c r="D298" s="51">
        <f>'Fiscal Forecasts'!D$47</f>
        <v>2.39</v>
      </c>
      <c r="E298" s="51">
        <f>'Fiscal Forecasts'!E$47</f>
        <v>2.4820000000000002</v>
      </c>
      <c r="F298" s="51">
        <f>'Fiscal Forecasts'!F$47</f>
        <v>2.6480000000000001</v>
      </c>
      <c r="G298" s="51">
        <f>'Fiscal Forecasts'!G$47</f>
        <v>2.8029999999999999</v>
      </c>
      <c r="H298" s="51">
        <f>'Fiscal Forecasts'!H$47</f>
        <v>2.8380000000000001</v>
      </c>
      <c r="I298" s="51">
        <f>'Fiscal Forecasts'!I$47</f>
        <v>3.125</v>
      </c>
      <c r="J298" s="51">
        <f>'Fiscal Forecasts'!J$47</f>
        <v>3.226</v>
      </c>
      <c r="K298" s="51">
        <f>'Fiscal Forecasts'!K$47</f>
        <v>3.484</v>
      </c>
      <c r="L298" s="47">
        <f ca="1">'Fiscal Forecasts'!L$47+IF(OFFSET(Assumptions!$B$57,0,$C$1)="Yes",Allocation!C$16,0)</f>
        <v>3.835</v>
      </c>
      <c r="M298" s="47">
        <f ca="1">'Fiscal Forecasts'!M$47+IF(OFFSET(Assumptions!$B$57,0,$C$1)="Yes",Allocation!D$16,0)</f>
        <v>3.8140000000000001</v>
      </c>
      <c r="N298" s="47">
        <f ca="1">'Fiscal Forecasts'!N$47+IF(OFFSET(Assumptions!$B$57,0,$C$1)="Yes",Allocation!E$16,0)</f>
        <v>3.8559999999999999</v>
      </c>
      <c r="O298" s="47">
        <f ca="1">'Fiscal Forecasts'!O$47+IF(OFFSET(Assumptions!$B$57,0,$C$1)="Yes",Allocation!F$16,0)</f>
        <v>3.8919999999999999</v>
      </c>
      <c r="P298" s="47">
        <f ca="1">'Fiscal Forecasts'!P$47+IF(OFFSET(Assumptions!$B$57,0,$C$1)="Yes",Allocation!G$16,0)</f>
        <v>3.9039999999999999</v>
      </c>
      <c r="Q298" s="21">
        <f t="shared" ref="Q298:Z298" ca="1" si="175">Q$297</f>
        <v>3.948</v>
      </c>
      <c r="R298" s="21">
        <f t="shared" ca="1" si="175"/>
        <v>3.948</v>
      </c>
      <c r="S298" s="21">
        <f t="shared" ca="1" si="175"/>
        <v>3.948</v>
      </c>
      <c r="T298" s="21">
        <f t="shared" ca="1" si="175"/>
        <v>3.948</v>
      </c>
      <c r="U298" s="21">
        <f t="shared" ca="1" si="175"/>
        <v>3.948</v>
      </c>
      <c r="V298" s="21">
        <f t="shared" ca="1" si="175"/>
        <v>3.948</v>
      </c>
      <c r="W298" s="21">
        <f t="shared" ca="1" si="175"/>
        <v>3.948</v>
      </c>
      <c r="X298" s="21">
        <f t="shared" ca="1" si="175"/>
        <v>3.948</v>
      </c>
      <c r="Y298" s="21">
        <f t="shared" ca="1" si="175"/>
        <v>3.948</v>
      </c>
      <c r="Z298" s="21">
        <f t="shared" ca="1" si="175"/>
        <v>3.948</v>
      </c>
    </row>
    <row r="300" spans="1:26" x14ac:dyDescent="0.25">
      <c r="A300" s="11" t="s">
        <v>1302</v>
      </c>
    </row>
    <row r="301" spans="1:26" x14ac:dyDescent="0.25">
      <c r="A301" s="11" t="s">
        <v>1303</v>
      </c>
      <c r="B301" s="14" t="str">
        <f>$B$38</f>
        <v>From Fiscal Forecasts</v>
      </c>
      <c r="C301" s="100" cm="1">
        <f t="array" aca="1" ref="C301" ca="1">SUMPRODUCT(OFFSET($P$301,0,0,1,-OFFSET(Assumptions!$B$60,0,$C$1))/OFFSET($P$13,0,0,1,-OFFSET(Assumptions!$B$60,0,$C$1)))/OFFSET(Assumptions!$B$60,0,$C$1)</f>
        <v>3.1109948324532836E-3</v>
      </c>
      <c r="D301" s="51">
        <f>'Fiscal Forecasts'!D$65</f>
        <v>0.91800000000000004</v>
      </c>
      <c r="E301" s="51">
        <f>'Fiscal Forecasts'!E$65</f>
        <v>1.1060000000000001</v>
      </c>
      <c r="F301" s="51">
        <f>'Fiscal Forecasts'!F$65</f>
        <v>1.42</v>
      </c>
      <c r="G301" s="51">
        <f>'Fiscal Forecasts'!G$65</f>
        <v>1.468</v>
      </c>
      <c r="H301" s="51">
        <f>'Fiscal Forecasts'!H$65</f>
        <v>1.5369999999999999</v>
      </c>
      <c r="I301" s="51">
        <f>'Fiscal Forecasts'!I$65</f>
        <v>1.504</v>
      </c>
      <c r="J301" s="51">
        <f>'Fiscal Forecasts'!J$65</f>
        <v>1.4570000000000001</v>
      </c>
      <c r="K301" s="51">
        <f>'Fiscal Forecasts'!K$65</f>
        <v>1.4390000000000001</v>
      </c>
      <c r="L301" s="47">
        <f ca="1">'Fiscal Forecasts'!L$65+IF(OFFSET(Assumptions!$B$57,0,$C$1)="Yes",Allocation!C$17,0)</f>
        <v>1.4419999999999999</v>
      </c>
      <c r="M301" s="47">
        <f ca="1">'Fiscal Forecasts'!M$65+IF(OFFSET(Assumptions!$B$57,0,$C$1)="Yes",Allocation!D$17,0)</f>
        <v>1.4119999999999999</v>
      </c>
      <c r="N301" s="47">
        <f ca="1">'Fiscal Forecasts'!N$65+IF(OFFSET(Assumptions!$B$57,0,$C$1)="Yes",Allocation!E$17,0)</f>
        <v>1.3959999999999999</v>
      </c>
      <c r="O301" s="47">
        <f ca="1">'Fiscal Forecasts'!O$65+IF(OFFSET(Assumptions!$B$57,0,$C$1)="Yes",Allocation!F$17,0)</f>
        <v>1.365</v>
      </c>
      <c r="P301" s="47">
        <f ca="1">'Fiscal Forecasts'!P$65+IF(OFFSET(Assumptions!$B$57,0,$C$1)="Yes",Allocation!G$17,0)</f>
        <v>1.357</v>
      </c>
      <c r="Q301" s="21">
        <f ca="1">P$301+IF(OFFSET(Assumptions!$B$58,0,$C$1)="Yes",Allocation!$B$17*Q$248,IF(OFFSET(Assumptions!$B$59,0,$C$1)="Yes",(P$301/P$13+MIN(ABS($C$301-P$301/P$13),OFFSET(Assumptions!$B$61,0,$C$1))*SIGN($C$301-P$301/P$13))*Q$13-P$301,0))</f>
        <v>1.357</v>
      </c>
      <c r="R301" s="21">
        <f ca="1">Q$301+IF(OFFSET(Assumptions!$B$58,0,$C$1)="Yes",Allocation!$B$17*R$248,IF(OFFSET(Assumptions!$B$59,0,$C$1)="Yes",(Q$301/Q$13+MIN(ABS($C$301-Q$301/Q$13),OFFSET(Assumptions!$B$61,0,$C$1))*SIGN($C$301-Q$301/Q$13))*R$13-Q$301,0))</f>
        <v>1.357</v>
      </c>
      <c r="S301" s="21">
        <f ca="1">R$301+IF(OFFSET(Assumptions!$B$58,0,$C$1)="Yes",Allocation!$B$17*S$248,IF(OFFSET(Assumptions!$B$59,0,$C$1)="Yes",(R$301/R$13+MIN(ABS($C$301-R$301/R$13),OFFSET(Assumptions!$B$61,0,$C$1))*SIGN($C$301-R$301/R$13))*S$13-R$301,0))</f>
        <v>1.357</v>
      </c>
      <c r="T301" s="21">
        <f ca="1">S$301+IF(OFFSET(Assumptions!$B$58,0,$C$1)="Yes",Allocation!$B$17*T$248,IF(OFFSET(Assumptions!$B$59,0,$C$1)="Yes",(S$301/S$13+MIN(ABS($C$301-S$301/S$13),OFFSET(Assumptions!$B$61,0,$C$1))*SIGN($C$301-S$301/S$13))*T$13-S$301,0))</f>
        <v>1.357</v>
      </c>
      <c r="U301" s="21">
        <f ca="1">T$301+IF(OFFSET(Assumptions!$B$58,0,$C$1)="Yes",Allocation!$B$17*U$248,IF(OFFSET(Assumptions!$B$59,0,$C$1)="Yes",(T$301/T$13+MIN(ABS($C$301-T$301/T$13),OFFSET(Assumptions!$B$61,0,$C$1))*SIGN($C$301-T$301/T$13))*U$13-T$301,0))</f>
        <v>1.357</v>
      </c>
      <c r="V301" s="21">
        <f ca="1">U$301+IF(OFFSET(Assumptions!$B$58,0,$C$1)="Yes",Allocation!$B$17*V$248,IF(OFFSET(Assumptions!$B$59,0,$C$1)="Yes",(U$301/U$13+MIN(ABS($C$301-U$301/U$13),OFFSET(Assumptions!$B$61,0,$C$1))*SIGN($C$301-U$301/U$13))*V$13-U$301,0))</f>
        <v>1.357</v>
      </c>
      <c r="W301" s="21">
        <f ca="1">V$301+IF(OFFSET(Assumptions!$B$58,0,$C$1)="Yes",Allocation!$B$17*W$248,IF(OFFSET(Assumptions!$B$59,0,$C$1)="Yes",(V$301/V$13+MIN(ABS($C$301-V$301/V$13),OFFSET(Assumptions!$B$61,0,$C$1))*SIGN($C$301-V$301/V$13))*W$13-V$301,0))</f>
        <v>1.357</v>
      </c>
      <c r="X301" s="21">
        <f ca="1">W$301+IF(OFFSET(Assumptions!$B$58,0,$C$1)="Yes",Allocation!$B$17*X$248,IF(OFFSET(Assumptions!$B$59,0,$C$1)="Yes",(W$301/W$13+MIN(ABS($C$301-W$301/W$13),OFFSET(Assumptions!$B$61,0,$C$1))*SIGN($C$301-W$301/W$13))*X$13-W$301,0))</f>
        <v>1.357</v>
      </c>
      <c r="Y301" s="21">
        <f ca="1">X$301+IF(OFFSET(Assumptions!$B$58,0,$C$1)="Yes",Allocation!$B$17*Y$248,IF(OFFSET(Assumptions!$B$59,0,$C$1)="Yes",(X$301/X$13+MIN(ABS($C$301-X$301/X$13),OFFSET(Assumptions!$B$61,0,$C$1))*SIGN($C$301-X$301/X$13))*Y$13-X$301,0))</f>
        <v>1.357</v>
      </c>
      <c r="Z301" s="21">
        <f ca="1">Y$301+IF(OFFSET(Assumptions!$B$58,0,$C$1)="Yes",Allocation!$B$17*Z$248,IF(OFFSET(Assumptions!$B$59,0,$C$1)="Yes",(Y$301/Y$13+MIN(ABS($C$301-Y$301/Y$13),OFFSET(Assumptions!$B$61,0,$C$1))*SIGN($C$301-Y$301/Y$13))*Z$13-Y$301,0))</f>
        <v>1.357</v>
      </c>
    </row>
    <row r="302" spans="1:26" x14ac:dyDescent="0.25">
      <c r="A302" s="11" t="s">
        <v>1304</v>
      </c>
      <c r="B302" s="14" t="str">
        <f>$B$38</f>
        <v>From Fiscal Forecasts</v>
      </c>
      <c r="D302" s="51">
        <f>'Fiscal Forecasts'!D$48</f>
        <v>2.5030000000000001</v>
      </c>
      <c r="E302" s="51">
        <f>'Fiscal Forecasts'!E$48</f>
        <v>2.9039999999999999</v>
      </c>
      <c r="F302" s="51">
        <f>'Fiscal Forecasts'!F$48</f>
        <v>3.0230000000000001</v>
      </c>
      <c r="G302" s="51">
        <f>'Fiscal Forecasts'!G$48</f>
        <v>3.26</v>
      </c>
      <c r="H302" s="51">
        <f>'Fiscal Forecasts'!H$48</f>
        <v>3.4169999999999998</v>
      </c>
      <c r="I302" s="51">
        <f>'Fiscal Forecasts'!I$48</f>
        <v>3.6080000000000001</v>
      </c>
      <c r="J302" s="51">
        <f>'Fiscal Forecasts'!J$48</f>
        <v>3.3809999999999998</v>
      </c>
      <c r="K302" s="51">
        <f>'Fiscal Forecasts'!K$48</f>
        <v>3.5270000000000001</v>
      </c>
      <c r="L302" s="47">
        <f ca="1">'Fiscal Forecasts'!L$48+IF(OFFSET(Assumptions!$B$57,0,$C$1)="Yes",Allocation!C$17,0)</f>
        <v>3.528</v>
      </c>
      <c r="M302" s="47">
        <f ca="1">'Fiscal Forecasts'!M$48+IF(OFFSET(Assumptions!$B$57,0,$C$1)="Yes",Allocation!D$17,0)</f>
        <v>3.4950000000000001</v>
      </c>
      <c r="N302" s="47">
        <f ca="1">'Fiscal Forecasts'!N$48+IF(OFFSET(Assumptions!$B$57,0,$C$1)="Yes",Allocation!E$17,0)</f>
        <v>3.5459999999999998</v>
      </c>
      <c r="O302" s="47">
        <f ca="1">'Fiscal Forecasts'!O$48+IF(OFFSET(Assumptions!$B$57,0,$C$1)="Yes",Allocation!F$17,0)</f>
        <v>3.5680000000000001</v>
      </c>
      <c r="P302" s="47">
        <f ca="1">'Fiscal Forecasts'!P$48+IF(OFFSET(Assumptions!$B$57,0,$C$1)="Yes",Allocation!G$17,0)</f>
        <v>3.5990000000000002</v>
      </c>
      <c r="Q302" s="21">
        <f t="shared" ref="Q302:Z302" ca="1" si="176">Q$301+(P$302-P$301)*(1+Q$29)</f>
        <v>3.64384</v>
      </c>
      <c r="R302" s="21">
        <f t="shared" ca="1" si="176"/>
        <v>3.6895768000000002</v>
      </c>
      <c r="S302" s="21">
        <f t="shared" ca="1" si="176"/>
        <v>3.7362283359999999</v>
      </c>
      <c r="T302" s="21">
        <f t="shared" ca="1" si="176"/>
        <v>3.7838129027199994</v>
      </c>
      <c r="U302" s="21">
        <f t="shared" ca="1" si="176"/>
        <v>3.8323491607743989</v>
      </c>
      <c r="V302" s="21">
        <f t="shared" ca="1" si="176"/>
        <v>3.8818561439898867</v>
      </c>
      <c r="W302" s="21">
        <f t="shared" ca="1" si="176"/>
        <v>3.9323532668696846</v>
      </c>
      <c r="X302" s="21">
        <f t="shared" ca="1" si="176"/>
        <v>3.9838603322070778</v>
      </c>
      <c r="Y302" s="21">
        <f t="shared" ca="1" si="176"/>
        <v>4.0363975388512188</v>
      </c>
      <c r="Z302" s="21">
        <f t="shared" ca="1" si="176"/>
        <v>4.0899854896282433</v>
      </c>
    </row>
    <row r="304" spans="1:26" x14ac:dyDescent="0.25">
      <c r="A304" s="11" t="s">
        <v>1305</v>
      </c>
    </row>
    <row r="305" spans="1:26" x14ac:dyDescent="0.25">
      <c r="A305" s="11" t="s">
        <v>1306</v>
      </c>
      <c r="B305" s="14" t="str">
        <f>$B$38</f>
        <v>From Fiscal Forecasts</v>
      </c>
      <c r="C305" s="100" cm="1">
        <f t="array" aca="1" ref="C305" ca="1">SUMPRODUCT(OFFSET($P$305,0,0,1,-OFFSET(Assumptions!$B$60,0,$C$1))/OFFSET($P$13,0,0,1,-OFFSET(Assumptions!$B$60,0,$C$1)))/OFFSET(Assumptions!$B$60,0,$C$1)</f>
        <v>2.3716813443995723E-3</v>
      </c>
      <c r="D305" s="51">
        <f>'Fiscal Forecasts'!D$66</f>
        <v>0.96</v>
      </c>
      <c r="E305" s="51">
        <f>'Fiscal Forecasts'!E$66</f>
        <v>0.96099999999999997</v>
      </c>
      <c r="F305" s="51">
        <f>'Fiscal Forecasts'!F$66</f>
        <v>1.0149999999999999</v>
      </c>
      <c r="G305" s="51">
        <f>'Fiscal Forecasts'!G$66</f>
        <v>0.94899999999999995</v>
      </c>
      <c r="H305" s="51">
        <f>'Fiscal Forecasts'!H$66</f>
        <v>1.1559999999999999</v>
      </c>
      <c r="I305" s="51">
        <f>'Fiscal Forecasts'!I$66</f>
        <v>1.0620000000000001</v>
      </c>
      <c r="J305" s="51">
        <f>'Fiscal Forecasts'!J$66</f>
        <v>0.996</v>
      </c>
      <c r="K305" s="51">
        <f>'Fiscal Forecasts'!K$66</f>
        <v>1.03</v>
      </c>
      <c r="L305" s="47">
        <f ca="1">'Fiscal Forecasts'!L$66+IF(OFFSET(Assumptions!$B$57,0,$C$1)="Yes",Allocation!C$18,0)</f>
        <v>1.351</v>
      </c>
      <c r="M305" s="47">
        <f ca="1">'Fiscal Forecasts'!M$66+IF(OFFSET(Assumptions!$B$57,0,$C$1)="Yes",Allocation!D$18,0)</f>
        <v>1.1359999999999999</v>
      </c>
      <c r="N305" s="47">
        <f ca="1">'Fiscal Forecasts'!N$66+IF(OFFSET(Assumptions!$B$57,0,$C$1)="Yes",Allocation!E$18,0)</f>
        <v>1.1259999999999999</v>
      </c>
      <c r="O305" s="47">
        <f ca="1">'Fiscal Forecasts'!O$66+IF(OFFSET(Assumptions!$B$57,0,$C$1)="Yes",Allocation!F$18,0)</f>
        <v>1.18</v>
      </c>
      <c r="P305" s="47">
        <f ca="1">'Fiscal Forecasts'!P$66+IF(OFFSET(Assumptions!$B$57,0,$C$1)="Yes",Allocation!G$18,0)</f>
        <v>1.0980000000000001</v>
      </c>
      <c r="Q305" s="21">
        <f ca="1">P$305+IF(OFFSET(Assumptions!$B$58,0,$C$1)="Yes",Allocation!$B$18*Q$248,IF(OFFSET(Assumptions!$B$59,0,$C$1)="Yes",(P$305/P$13+MIN(ABS($C$305-P$305/P$13),OFFSET(Assumptions!$B$61,0,$C$1))*SIGN($C$305-P$305/P$13))*Q$13-P$305,0))</f>
        <v>1.0980000000000001</v>
      </c>
      <c r="R305" s="21">
        <f ca="1">Q$305+IF(OFFSET(Assumptions!$B$58,0,$C$1)="Yes",Allocation!$B$18*R$248,IF(OFFSET(Assumptions!$B$59,0,$C$1)="Yes",(Q$305/Q$13+MIN(ABS($C$305-Q$305/Q$13),OFFSET(Assumptions!$B$61,0,$C$1))*SIGN($C$305-Q$305/Q$13))*R$13-Q$305,0))</f>
        <v>1.0980000000000001</v>
      </c>
      <c r="S305" s="21">
        <f ca="1">R$305+IF(OFFSET(Assumptions!$B$58,0,$C$1)="Yes",Allocation!$B$18*S$248,IF(OFFSET(Assumptions!$B$59,0,$C$1)="Yes",(R$305/R$13+MIN(ABS($C$305-R$305/R$13),OFFSET(Assumptions!$B$61,0,$C$1))*SIGN($C$305-R$305/R$13))*S$13-R$305,0))</f>
        <v>1.0980000000000001</v>
      </c>
      <c r="T305" s="21">
        <f ca="1">S$305+IF(OFFSET(Assumptions!$B$58,0,$C$1)="Yes",Allocation!$B$18*T$248,IF(OFFSET(Assumptions!$B$59,0,$C$1)="Yes",(S$305/S$13+MIN(ABS($C$305-S$305/S$13),OFFSET(Assumptions!$B$61,0,$C$1))*SIGN($C$305-S$305/S$13))*T$13-S$305,0))</f>
        <v>1.0980000000000001</v>
      </c>
      <c r="U305" s="21">
        <f ca="1">T$305+IF(OFFSET(Assumptions!$B$58,0,$C$1)="Yes",Allocation!$B$18*U$248,IF(OFFSET(Assumptions!$B$59,0,$C$1)="Yes",(T$305/T$13+MIN(ABS($C$305-T$305/T$13),OFFSET(Assumptions!$B$61,0,$C$1))*SIGN($C$305-T$305/T$13))*U$13-T$305,0))</f>
        <v>1.0980000000000001</v>
      </c>
      <c r="V305" s="21">
        <f ca="1">U$305+IF(OFFSET(Assumptions!$B$58,0,$C$1)="Yes",Allocation!$B$18*V$248,IF(OFFSET(Assumptions!$B$59,0,$C$1)="Yes",(U$305/U$13+MIN(ABS($C$305-U$305/U$13),OFFSET(Assumptions!$B$61,0,$C$1))*SIGN($C$305-U$305/U$13))*V$13-U$305,0))</f>
        <v>1.0980000000000001</v>
      </c>
      <c r="W305" s="21">
        <f ca="1">V$305+IF(OFFSET(Assumptions!$B$58,0,$C$1)="Yes",Allocation!$B$18*W$248,IF(OFFSET(Assumptions!$B$59,0,$C$1)="Yes",(V$305/V$13+MIN(ABS($C$305-V$305/V$13),OFFSET(Assumptions!$B$61,0,$C$1))*SIGN($C$305-V$305/V$13))*W$13-V$305,0))</f>
        <v>1.0980000000000001</v>
      </c>
      <c r="X305" s="21">
        <f ca="1">W$305+IF(OFFSET(Assumptions!$B$58,0,$C$1)="Yes",Allocation!$B$18*X$248,IF(OFFSET(Assumptions!$B$59,0,$C$1)="Yes",(W$305/W$13+MIN(ABS($C$305-W$305/W$13),OFFSET(Assumptions!$B$61,0,$C$1))*SIGN($C$305-W$305/W$13))*X$13-W$305,0))</f>
        <v>1.0980000000000001</v>
      </c>
      <c r="Y305" s="21">
        <f ca="1">X$305+IF(OFFSET(Assumptions!$B$58,0,$C$1)="Yes",Allocation!$B$18*Y$248,IF(OFFSET(Assumptions!$B$59,0,$C$1)="Yes",(X$305/X$13+MIN(ABS($C$305-X$305/X$13),OFFSET(Assumptions!$B$61,0,$C$1))*SIGN($C$305-X$305/X$13))*Y$13-X$305,0))</f>
        <v>1.0980000000000001</v>
      </c>
      <c r="Z305" s="21">
        <f ca="1">Y$305+IF(OFFSET(Assumptions!$B$58,0,$C$1)="Yes",Allocation!$B$18*Z$248,IF(OFFSET(Assumptions!$B$59,0,$C$1)="Yes",(Y$305/Y$13+MIN(ABS($C$305-Y$305/Y$13),OFFSET(Assumptions!$B$61,0,$C$1))*SIGN($C$305-Y$305/Y$13))*Z$13-Y$305,0))</f>
        <v>1.0980000000000001</v>
      </c>
    </row>
    <row r="306" spans="1:26" x14ac:dyDescent="0.25">
      <c r="A306" s="11" t="s">
        <v>1307</v>
      </c>
      <c r="B306" s="14" t="str">
        <f>$B$38</f>
        <v>From Fiscal Forecasts</v>
      </c>
      <c r="D306" s="51">
        <f>'Fiscal Forecasts'!D$49</f>
        <v>2.395</v>
      </c>
      <c r="E306" s="51">
        <f>'Fiscal Forecasts'!E$49</f>
        <v>2.4300000000000002</v>
      </c>
      <c r="F306" s="51">
        <f>'Fiscal Forecasts'!F$49</f>
        <v>2.3980000000000001</v>
      </c>
      <c r="G306" s="51">
        <f>'Fiscal Forecasts'!G$49</f>
        <v>2.302</v>
      </c>
      <c r="H306" s="51">
        <f>'Fiscal Forecasts'!H$49</f>
        <v>2.74</v>
      </c>
      <c r="I306" s="51">
        <f>'Fiscal Forecasts'!I$49</f>
        <v>2.6360000000000001</v>
      </c>
      <c r="J306" s="51">
        <f>'Fiscal Forecasts'!J$49</f>
        <v>2.5249999999999999</v>
      </c>
      <c r="K306" s="51">
        <f>'Fiscal Forecasts'!K$49</f>
        <v>2.4449999999999998</v>
      </c>
      <c r="L306" s="47">
        <f ca="1">'Fiscal Forecasts'!L$49+IF(OFFSET(Assumptions!$B$57,0,$C$1)="Yes",Allocation!C$18,0)</f>
        <v>2.7530000000000001</v>
      </c>
      <c r="M306" s="47">
        <f ca="1">'Fiscal Forecasts'!M$49+IF(OFFSET(Assumptions!$B$57,0,$C$1)="Yes",Allocation!D$18,0)</f>
        <v>2.3940000000000001</v>
      </c>
      <c r="N306" s="47">
        <f ca="1">'Fiscal Forecasts'!N$49+IF(OFFSET(Assumptions!$B$57,0,$C$1)="Yes",Allocation!E$18,0)</f>
        <v>2.2040000000000002</v>
      </c>
      <c r="O306" s="47">
        <f ca="1">'Fiscal Forecasts'!O$49+IF(OFFSET(Assumptions!$B$57,0,$C$1)="Yes",Allocation!F$18,0)</f>
        <v>2.2759999999999998</v>
      </c>
      <c r="P306" s="47">
        <f ca="1">'Fiscal Forecasts'!P$49+IF(OFFSET(Assumptions!$B$57,0,$C$1)="Yes",Allocation!G$18,0)</f>
        <v>2.2250000000000001</v>
      </c>
      <c r="Q306" s="21">
        <f t="shared" ref="Q306:Z306" ca="1" si="177">Q$305+(P$306-P$305)*(1+Q$29)</f>
        <v>2.2475399999999999</v>
      </c>
      <c r="R306" s="21">
        <f t="shared" ca="1" si="177"/>
        <v>2.2705308</v>
      </c>
      <c r="S306" s="21">
        <f t="shared" ca="1" si="177"/>
        <v>2.2939814160000003</v>
      </c>
      <c r="T306" s="21">
        <f t="shared" ca="1" si="177"/>
        <v>2.3179010443200001</v>
      </c>
      <c r="U306" s="21">
        <f t="shared" ca="1" si="177"/>
        <v>2.3422990652064</v>
      </c>
      <c r="V306" s="21">
        <f t="shared" ca="1" si="177"/>
        <v>2.367185046510528</v>
      </c>
      <c r="W306" s="21">
        <f t="shared" ca="1" si="177"/>
        <v>2.3925687474407384</v>
      </c>
      <c r="X306" s="21">
        <f t="shared" ca="1" si="177"/>
        <v>2.4184601223895532</v>
      </c>
      <c r="Y306" s="21">
        <f t="shared" ca="1" si="177"/>
        <v>2.4448693248373443</v>
      </c>
      <c r="Z306" s="21">
        <f t="shared" ca="1" si="177"/>
        <v>2.4718067113340911</v>
      </c>
    </row>
    <row r="308" spans="1:26" x14ac:dyDescent="0.25">
      <c r="A308" s="11" t="s">
        <v>1308</v>
      </c>
    </row>
    <row r="309" spans="1:26" x14ac:dyDescent="0.25">
      <c r="A309" s="11" t="s">
        <v>1309</v>
      </c>
      <c r="B309" s="14" t="str">
        <f>$B$38</f>
        <v>From Fiscal Forecasts</v>
      </c>
      <c r="C309" s="100" cm="1">
        <f t="array" aca="1" ref="C309" ca="1">SUMPRODUCT(OFFSET($P$309,0,0,1,-OFFSET(Assumptions!$B$60,0,$C$1))/OFFSET($P$13,0,0,1,-OFFSET(Assumptions!$B$60,0,$C$1)))/OFFSET(Assumptions!$B$60,0,$C$1)</f>
        <v>4.4750855307662731E-3</v>
      </c>
      <c r="D309" s="51">
        <f>'Fiscal Forecasts'!D$67</f>
        <v>0.72699999999999998</v>
      </c>
      <c r="E309" s="51">
        <f>'Fiscal Forecasts'!E$67</f>
        <v>1.0149999999999999</v>
      </c>
      <c r="F309" s="51">
        <f>'Fiscal Forecasts'!F$67</f>
        <v>1.8129999999999999</v>
      </c>
      <c r="G309" s="51">
        <f>'Fiscal Forecasts'!G$67</f>
        <v>2.0329999999999999</v>
      </c>
      <c r="H309" s="51">
        <f>'Fiscal Forecasts'!H$67</f>
        <v>2.3119999999999998</v>
      </c>
      <c r="I309" s="51">
        <f>'Fiscal Forecasts'!I$67</f>
        <v>2.512</v>
      </c>
      <c r="J309" s="51">
        <f>'Fiscal Forecasts'!J$67</f>
        <v>2.15</v>
      </c>
      <c r="K309" s="51">
        <f>'Fiscal Forecasts'!K$67</f>
        <v>1.958</v>
      </c>
      <c r="L309" s="47">
        <f ca="1">'Fiscal Forecasts'!L$67+IF(OFFSET(Assumptions!$B$57,0,$C$1)="Yes",Allocation!C$19,0)</f>
        <v>2.2890000000000001</v>
      </c>
      <c r="M309" s="47">
        <f ca="1">'Fiscal Forecasts'!M$67+IF(OFFSET(Assumptions!$B$57,0,$C$1)="Yes",Allocation!D$19,0)</f>
        <v>1.9079999999999999</v>
      </c>
      <c r="N309" s="47">
        <f ca="1">'Fiscal Forecasts'!N$67+IF(OFFSET(Assumptions!$B$57,0,$C$1)="Yes",Allocation!E$19,0)</f>
        <v>1.8520000000000001</v>
      </c>
      <c r="O309" s="47">
        <f ca="1">'Fiscal Forecasts'!O$67+IF(OFFSET(Assumptions!$B$57,0,$C$1)="Yes",Allocation!F$19,0)</f>
        <v>1.7490000000000001</v>
      </c>
      <c r="P309" s="47">
        <f ca="1">'Fiscal Forecasts'!P$67+IF(OFFSET(Assumptions!$B$57,0,$C$1)="Yes",Allocation!G$19,0)</f>
        <v>1.7949999999999999</v>
      </c>
      <c r="Q309" s="21">
        <f ca="1">P$309+IF(OFFSET(Assumptions!$B$58,0,$C$1)="Yes",Allocation!$B$19*Q$248,IF(OFFSET(Assumptions!$B$59,0,$C$1)="Yes",(P$309/P$13+MIN(ABS($C$309-P$309/P$13),OFFSET(Assumptions!$B$61,0,$C$1))*SIGN($C$309-P$309/P$13))*Q$13-P$309,0))</f>
        <v>1.7949999999999999</v>
      </c>
      <c r="R309" s="21">
        <f ca="1">Q$309+IF(OFFSET(Assumptions!$B$58,0,$C$1)="Yes",Allocation!$B$19*R$248,IF(OFFSET(Assumptions!$B$59,0,$C$1)="Yes",(Q$309/Q$13+MIN(ABS($C$309-Q$309/Q$13),OFFSET(Assumptions!$B$61,0,$C$1))*SIGN($C$309-Q$309/Q$13))*R$13-Q$309,0))</f>
        <v>1.7949999999999999</v>
      </c>
      <c r="S309" s="21">
        <f ca="1">R$309+IF(OFFSET(Assumptions!$B$58,0,$C$1)="Yes",Allocation!$B$19*S$248,IF(OFFSET(Assumptions!$B$59,0,$C$1)="Yes",(R$309/R$13+MIN(ABS($C$309-R$309/R$13),OFFSET(Assumptions!$B$61,0,$C$1))*SIGN($C$309-R$309/R$13))*S$13-R$309,0))</f>
        <v>1.7949999999999999</v>
      </c>
      <c r="T309" s="21">
        <f ca="1">S$309+IF(OFFSET(Assumptions!$B$58,0,$C$1)="Yes",Allocation!$B$19*T$248,IF(OFFSET(Assumptions!$B$59,0,$C$1)="Yes",(S$309/S$13+MIN(ABS($C$309-S$309/S$13),OFFSET(Assumptions!$B$61,0,$C$1))*SIGN($C$309-S$309/S$13))*T$13-S$309,0))</f>
        <v>1.7949999999999999</v>
      </c>
      <c r="U309" s="21">
        <f ca="1">T$309+IF(OFFSET(Assumptions!$B$58,0,$C$1)="Yes",Allocation!$B$19*U$248,IF(OFFSET(Assumptions!$B$59,0,$C$1)="Yes",(T$309/T$13+MIN(ABS($C$309-T$309/T$13),OFFSET(Assumptions!$B$61,0,$C$1))*SIGN($C$309-T$309/T$13))*U$13-T$309,0))</f>
        <v>1.7949999999999999</v>
      </c>
      <c r="V309" s="21">
        <f ca="1">U$309+IF(OFFSET(Assumptions!$B$58,0,$C$1)="Yes",Allocation!$B$19*V$248,IF(OFFSET(Assumptions!$B$59,0,$C$1)="Yes",(U$309/U$13+MIN(ABS($C$309-U$309/U$13),OFFSET(Assumptions!$B$61,0,$C$1))*SIGN($C$309-U$309/U$13))*V$13-U$309,0))</f>
        <v>1.7949999999999999</v>
      </c>
      <c r="W309" s="21">
        <f ca="1">V$309+IF(OFFSET(Assumptions!$B$58,0,$C$1)="Yes",Allocation!$B$19*W$248,IF(OFFSET(Assumptions!$B$59,0,$C$1)="Yes",(V$309/V$13+MIN(ABS($C$309-V$309/V$13),OFFSET(Assumptions!$B$61,0,$C$1))*SIGN($C$309-V$309/V$13))*W$13-V$309,0))</f>
        <v>1.7949999999999999</v>
      </c>
      <c r="X309" s="21">
        <f ca="1">W$309+IF(OFFSET(Assumptions!$B$58,0,$C$1)="Yes",Allocation!$B$19*X$248,IF(OFFSET(Assumptions!$B$59,0,$C$1)="Yes",(W$309/W$13+MIN(ABS($C$309-W$309/W$13),OFFSET(Assumptions!$B$61,0,$C$1))*SIGN($C$309-W$309/W$13))*X$13-W$309,0))</f>
        <v>1.7949999999999999</v>
      </c>
      <c r="Y309" s="21">
        <f ca="1">X$309+IF(OFFSET(Assumptions!$B$58,0,$C$1)="Yes",Allocation!$B$19*Y$248,IF(OFFSET(Assumptions!$B$59,0,$C$1)="Yes",(X$309/X$13+MIN(ABS($C$309-X$309/X$13),OFFSET(Assumptions!$B$61,0,$C$1))*SIGN($C$309-X$309/X$13))*Y$13-X$309,0))</f>
        <v>1.7949999999999999</v>
      </c>
      <c r="Z309" s="21">
        <f ca="1">Y$309+IF(OFFSET(Assumptions!$B$58,0,$C$1)="Yes",Allocation!$B$19*Z$248,IF(OFFSET(Assumptions!$B$59,0,$C$1)="Yes",(Y$309/Y$13+MIN(ABS($C$309-Y$309/Y$13),OFFSET(Assumptions!$B$61,0,$C$1))*SIGN($C$309-Y$309/Y$13))*Z$13-Y$309,0))</f>
        <v>1.7949999999999999</v>
      </c>
    </row>
    <row r="310" spans="1:26" x14ac:dyDescent="0.25">
      <c r="A310" s="11" t="s">
        <v>1310</v>
      </c>
      <c r="B310" s="14" t="str">
        <f>$B$38</f>
        <v>From Fiscal Forecasts</v>
      </c>
      <c r="D310" s="51">
        <f>'Fiscal Forecasts'!D$50</f>
        <v>2.02</v>
      </c>
      <c r="E310" s="51">
        <f>'Fiscal Forecasts'!E$50</f>
        <v>2.3929999999999998</v>
      </c>
      <c r="F310" s="51">
        <f>'Fiscal Forecasts'!F$50</f>
        <v>3.351</v>
      </c>
      <c r="G310" s="51">
        <f>'Fiscal Forecasts'!G$50</f>
        <v>3.9350000000000001</v>
      </c>
      <c r="H310" s="51">
        <f>'Fiscal Forecasts'!H$50</f>
        <v>4.3959999999999999</v>
      </c>
      <c r="I310" s="51">
        <f>'Fiscal Forecasts'!I$50</f>
        <v>4.7889999999999997</v>
      </c>
      <c r="J310" s="51">
        <f>'Fiscal Forecasts'!J$50</f>
        <v>4.5069999999999997</v>
      </c>
      <c r="K310" s="51">
        <f>'Fiscal Forecasts'!K$50</f>
        <v>4.0339999999999998</v>
      </c>
      <c r="L310" s="47">
        <f ca="1">'Fiscal Forecasts'!L$50+IF(OFFSET(Assumptions!$B$57,0,$C$1)="Yes",Allocation!C$19,0)</f>
        <v>4.266</v>
      </c>
      <c r="M310" s="47">
        <f ca="1">'Fiscal Forecasts'!M$50+IF(OFFSET(Assumptions!$B$57,0,$C$1)="Yes",Allocation!D$19,0)</f>
        <v>3.915</v>
      </c>
      <c r="N310" s="47">
        <f ca="1">'Fiscal Forecasts'!N$50+IF(OFFSET(Assumptions!$B$57,0,$C$1)="Yes",Allocation!E$19,0)</f>
        <v>3.8740000000000001</v>
      </c>
      <c r="O310" s="47">
        <f ca="1">'Fiscal Forecasts'!O$50+IF(OFFSET(Assumptions!$B$57,0,$C$1)="Yes",Allocation!F$19,0)</f>
        <v>3.7850000000000001</v>
      </c>
      <c r="P310" s="47">
        <f ca="1">'Fiscal Forecasts'!P$50+IF(OFFSET(Assumptions!$B$57,0,$C$1)="Yes",Allocation!G$19,0)</f>
        <v>3.786</v>
      </c>
      <c r="Q310" s="21">
        <f t="shared" ref="Q310:Z310" ca="1" si="178">Q$309+(P$310-P$309)*(1+Q$29)</f>
        <v>3.8258200000000002</v>
      </c>
      <c r="R310" s="21">
        <f t="shared" ca="1" si="178"/>
        <v>3.8664364000000004</v>
      </c>
      <c r="S310" s="21">
        <f t="shared" ca="1" si="178"/>
        <v>3.9078651280000005</v>
      </c>
      <c r="T310" s="21">
        <f t="shared" ca="1" si="178"/>
        <v>3.9501224305600005</v>
      </c>
      <c r="U310" s="21">
        <f t="shared" ca="1" si="178"/>
        <v>3.9932248791712004</v>
      </c>
      <c r="V310" s="21">
        <f t="shared" ca="1" si="178"/>
        <v>4.0371893767546245</v>
      </c>
      <c r="W310" s="21">
        <f t="shared" ca="1" si="178"/>
        <v>4.082033164289717</v>
      </c>
      <c r="X310" s="21">
        <f t="shared" ca="1" si="178"/>
        <v>4.1277738275755116</v>
      </c>
      <c r="Y310" s="21">
        <f t="shared" ca="1" si="178"/>
        <v>4.1744293041270222</v>
      </c>
      <c r="Z310" s="21">
        <f t="shared" ca="1" si="178"/>
        <v>4.2220178902095622</v>
      </c>
    </row>
    <row r="312" spans="1:26" x14ac:dyDescent="0.25">
      <c r="A312" s="11" t="s">
        <v>1311</v>
      </c>
    </row>
    <row r="313" spans="1:26" x14ac:dyDescent="0.25">
      <c r="A313" s="12" t="s">
        <v>1312</v>
      </c>
      <c r="B313" s="14" t="str">
        <f>$B$38</f>
        <v>From Fiscal Forecasts</v>
      </c>
      <c r="D313" s="50">
        <f>'Fiscal Forecasts'!D$376</f>
        <v>0.54300000000000004</v>
      </c>
      <c r="E313" s="50">
        <f>'Fiscal Forecasts'!E$376</f>
        <v>0.65</v>
      </c>
      <c r="F313" s="50">
        <f>'Fiscal Forecasts'!F$376</f>
        <v>1.853</v>
      </c>
      <c r="G313" s="50">
        <f>'Fiscal Forecasts'!G$376</f>
        <v>1.4890000000000001</v>
      </c>
      <c r="H313" s="50">
        <f>'Fiscal Forecasts'!H$376</f>
        <v>1.103</v>
      </c>
      <c r="I313" s="50">
        <f>'Fiscal Forecasts'!I$376</f>
        <v>0.83399999999999996</v>
      </c>
      <c r="J313" s="50">
        <f>'Fiscal Forecasts'!J$376</f>
        <v>1.075</v>
      </c>
      <c r="K313" s="50">
        <f>'Fiscal Forecasts'!K$376</f>
        <v>1.2929999999999999</v>
      </c>
      <c r="L313" s="48">
        <f>'Fiscal Forecasts'!L$376</f>
        <v>1.23</v>
      </c>
      <c r="M313" s="48">
        <f>'Fiscal Forecasts'!M$376</f>
        <v>1.304</v>
      </c>
      <c r="N313" s="48">
        <f>'Fiscal Forecasts'!N$376</f>
        <v>1.369</v>
      </c>
      <c r="O313" s="48">
        <f>'Fiscal Forecasts'!O$376</f>
        <v>1.4179999999999999</v>
      </c>
      <c r="P313" s="48">
        <f>'Fiscal Forecasts'!P$376</f>
        <v>1.446</v>
      </c>
      <c r="Q313" s="20">
        <f t="shared" ref="Q313:Z313" ca="1" si="179">P$313*(1+Q$29)</f>
        <v>1.47492</v>
      </c>
      <c r="R313" s="20">
        <f t="shared" ca="1" si="179"/>
        <v>1.5044184</v>
      </c>
      <c r="S313" s="20">
        <f t="shared" ca="1" si="179"/>
        <v>1.534506768</v>
      </c>
      <c r="T313" s="20">
        <f t="shared" ca="1" si="179"/>
        <v>1.5651969033599999</v>
      </c>
      <c r="U313" s="20">
        <f t="shared" ca="1" si="179"/>
        <v>1.5965008414271999</v>
      </c>
      <c r="V313" s="20">
        <f t="shared" ca="1" si="179"/>
        <v>1.6284308582557441</v>
      </c>
      <c r="W313" s="20">
        <f t="shared" ca="1" si="179"/>
        <v>1.660999475420859</v>
      </c>
      <c r="X313" s="20">
        <f t="shared" ca="1" si="179"/>
        <v>1.6942194649292763</v>
      </c>
      <c r="Y313" s="20">
        <f t="shared" ca="1" si="179"/>
        <v>1.7281038542278619</v>
      </c>
      <c r="Z313" s="20">
        <f t="shared" ca="1" si="179"/>
        <v>1.7626659313124191</v>
      </c>
    </row>
    <row r="314" spans="1:26" x14ac:dyDescent="0.25">
      <c r="A314" s="12" t="s">
        <v>1313</v>
      </c>
      <c r="B314" s="14" t="str">
        <f>$B$38</f>
        <v>From Fiscal Forecasts</v>
      </c>
      <c r="C314" s="100" cm="1">
        <f t="array" aca="1" ref="C314" ca="1">SUMPRODUCT(OFFSET($P$314,0,0,1,-OFFSET(Assumptions!$B$60,0,$C$1))/OFFSET($P$13,0,0,1,-OFFSET(Assumptions!$B$60,0,$C$1)))/OFFSET(Assumptions!$B$60,0,$C$1)</f>
        <v>2.8172870122465314E-3</v>
      </c>
      <c r="D314" s="50">
        <f>'Fiscal Forecasts'!D$68-D$313</f>
        <v>0.57599999999999996</v>
      </c>
      <c r="E314" s="50">
        <f>'Fiscal Forecasts'!E$68-E$313</f>
        <v>0.83500000000000008</v>
      </c>
      <c r="F314" s="50">
        <f>'Fiscal Forecasts'!F$68-F$313</f>
        <v>5.2999999999999936E-2</v>
      </c>
      <c r="G314" s="50">
        <f>'Fiscal Forecasts'!G$68-G$313</f>
        <v>1.0599999999999998</v>
      </c>
      <c r="H314" s="50">
        <f>'Fiscal Forecasts'!H$68-H$313</f>
        <v>1.2779999999999998</v>
      </c>
      <c r="I314" s="50">
        <f>'Fiscal Forecasts'!I$68-I$313</f>
        <v>1.4630000000000001</v>
      </c>
      <c r="J314" s="50">
        <f>'Fiscal Forecasts'!J$68-J$313</f>
        <v>1.3350000000000002</v>
      </c>
      <c r="K314" s="50">
        <f>'Fiscal Forecasts'!K$68-K$313</f>
        <v>1.216</v>
      </c>
      <c r="L314" s="48">
        <f ca="1">'Fiscal Forecasts'!L$68-L$313+IF(OFFSET(Assumptions!$B$57,0,$C$1)="Yes",Allocation!C$20,0)</f>
        <v>1.6440000000000001</v>
      </c>
      <c r="M314" s="48">
        <f ca="1">'Fiscal Forecasts'!M$68-M$313+IF(OFFSET(Assumptions!$B$57,0,$C$1)="Yes",Allocation!D$20,0)</f>
        <v>1.4120000000000001</v>
      </c>
      <c r="N314" s="48">
        <f ca="1">'Fiscal Forecasts'!N$68-N$313+IF(OFFSET(Assumptions!$B$57,0,$C$1)="Yes",Allocation!E$20,0)</f>
        <v>1.3219999999999998</v>
      </c>
      <c r="O314" s="48">
        <f ca="1">'Fiscal Forecasts'!O$68-O$313+IF(OFFSET(Assumptions!$B$57,0,$C$1)="Yes",Allocation!F$20,0)</f>
        <v>1.1910000000000001</v>
      </c>
      <c r="P314" s="48">
        <f ca="1">'Fiscal Forecasts'!P$68-P$313+IF(OFFSET(Assumptions!$B$57,0,$C$1)="Yes",Allocation!G$20,0)</f>
        <v>1.1950000000000001</v>
      </c>
      <c r="Q314" s="20">
        <f ca="1">P$314+IF(OFFSET(Assumptions!$B$58,0,$C$1)="Yes",Allocation!$B$20*Q$248,IF(OFFSET(Assumptions!$B$59,0,$C$1)="Yes",(P$314/P$13+MIN(ABS($C$314-P$314/P$13),OFFSET(Assumptions!$B$61,0,$C$1))*SIGN($C$314-P$314/P$13))*Q$13-P$314,0))</f>
        <v>1.1950000000000001</v>
      </c>
      <c r="R314" s="20">
        <f ca="1">Q$314+IF(OFFSET(Assumptions!$B$58,0,$C$1)="Yes",Allocation!$B$20*R$248,IF(OFFSET(Assumptions!$B$59,0,$C$1)="Yes",(Q$314/Q$13+MIN(ABS($C$314-Q$314/Q$13),OFFSET(Assumptions!$B$61,0,$C$1))*SIGN($C$314-Q$314/Q$13))*R$13-Q$314,0))</f>
        <v>1.1950000000000001</v>
      </c>
      <c r="S314" s="20">
        <f ca="1">R$314+IF(OFFSET(Assumptions!$B$58,0,$C$1)="Yes",Allocation!$B$20*S$248,IF(OFFSET(Assumptions!$B$59,0,$C$1)="Yes",(R$314/R$13+MIN(ABS($C$314-R$314/R$13),OFFSET(Assumptions!$B$61,0,$C$1))*SIGN($C$314-R$314/R$13))*S$13-R$314,0))</f>
        <v>1.1950000000000001</v>
      </c>
      <c r="T314" s="20">
        <f ca="1">S$314+IF(OFFSET(Assumptions!$B$58,0,$C$1)="Yes",Allocation!$B$20*T$248,IF(OFFSET(Assumptions!$B$59,0,$C$1)="Yes",(S$314/S$13+MIN(ABS($C$314-S$314/S$13),OFFSET(Assumptions!$B$61,0,$C$1))*SIGN($C$314-S$314/S$13))*T$13-S$314,0))</f>
        <v>1.1950000000000001</v>
      </c>
      <c r="U314" s="20">
        <f ca="1">T$314+IF(OFFSET(Assumptions!$B$58,0,$C$1)="Yes",Allocation!$B$20*U$248,IF(OFFSET(Assumptions!$B$59,0,$C$1)="Yes",(T$314/T$13+MIN(ABS($C$314-T$314/T$13),OFFSET(Assumptions!$B$61,0,$C$1))*SIGN($C$314-T$314/T$13))*U$13-T$314,0))</f>
        <v>1.1950000000000001</v>
      </c>
      <c r="V314" s="20">
        <f ca="1">U$314+IF(OFFSET(Assumptions!$B$58,0,$C$1)="Yes",Allocation!$B$20*V$248,IF(OFFSET(Assumptions!$B$59,0,$C$1)="Yes",(U$314/U$13+MIN(ABS($C$314-U$314/U$13),OFFSET(Assumptions!$B$61,0,$C$1))*SIGN($C$314-U$314/U$13))*V$13-U$314,0))</f>
        <v>1.1950000000000001</v>
      </c>
      <c r="W314" s="20">
        <f ca="1">V$314+IF(OFFSET(Assumptions!$B$58,0,$C$1)="Yes",Allocation!$B$20*W$248,IF(OFFSET(Assumptions!$B$59,0,$C$1)="Yes",(V$314/V$13+MIN(ABS($C$314-V$314/V$13),OFFSET(Assumptions!$B$61,0,$C$1))*SIGN($C$314-V$314/V$13))*W$13-V$314,0))</f>
        <v>1.1950000000000001</v>
      </c>
      <c r="X314" s="20">
        <f ca="1">W$314+IF(OFFSET(Assumptions!$B$58,0,$C$1)="Yes",Allocation!$B$20*X$248,IF(OFFSET(Assumptions!$B$59,0,$C$1)="Yes",(W$314/W$13+MIN(ABS($C$314-W$314/W$13),OFFSET(Assumptions!$B$61,0,$C$1))*SIGN($C$314-W$314/W$13))*X$13-W$314,0))</f>
        <v>1.1950000000000001</v>
      </c>
      <c r="Y314" s="20">
        <f ca="1">X$314+IF(OFFSET(Assumptions!$B$58,0,$C$1)="Yes",Allocation!$B$20*Y$248,IF(OFFSET(Assumptions!$B$59,0,$C$1)="Yes",(X$314/X$13+MIN(ABS($C$314-X$314/X$13),OFFSET(Assumptions!$B$61,0,$C$1))*SIGN($C$314-X$314/X$13))*Y$13-X$314,0))</f>
        <v>1.1950000000000001</v>
      </c>
      <c r="Z314" s="20">
        <f ca="1">Y$314+IF(OFFSET(Assumptions!$B$58,0,$C$1)="Yes",Allocation!$B$20*Z$248,IF(OFFSET(Assumptions!$B$59,0,$C$1)="Yes",(Y$314/Y$13+MIN(ABS($C$314-Y$314/Y$13),OFFSET(Assumptions!$B$61,0,$C$1))*SIGN($C$314-Y$314/Y$13))*Z$13-Y$314,0))</f>
        <v>1.1950000000000001</v>
      </c>
    </row>
    <row r="315" spans="1:26" x14ac:dyDescent="0.25">
      <c r="A315" s="11" t="s">
        <v>1314</v>
      </c>
      <c r="D315" s="94">
        <f t="shared" ref="D315:Z315" si="180">SUM(D$313:D$314)</f>
        <v>1.119</v>
      </c>
      <c r="E315" s="94">
        <f t="shared" si="180"/>
        <v>1.4850000000000001</v>
      </c>
      <c r="F315" s="94">
        <f t="shared" si="180"/>
        <v>1.9059999999999999</v>
      </c>
      <c r="G315" s="94">
        <f t="shared" si="180"/>
        <v>2.5489999999999999</v>
      </c>
      <c r="H315" s="94">
        <f t="shared" si="180"/>
        <v>2.3809999999999998</v>
      </c>
      <c r="I315" s="94">
        <f t="shared" si="180"/>
        <v>2.2970000000000002</v>
      </c>
      <c r="J315" s="94">
        <f t="shared" si="180"/>
        <v>2.41</v>
      </c>
      <c r="K315" s="94">
        <f t="shared" si="180"/>
        <v>2.5089999999999999</v>
      </c>
      <c r="L315" s="95">
        <f t="shared" ca="1" si="180"/>
        <v>2.8740000000000001</v>
      </c>
      <c r="M315" s="95">
        <f t="shared" ca="1" si="180"/>
        <v>2.7160000000000002</v>
      </c>
      <c r="N315" s="95">
        <f t="shared" ca="1" si="180"/>
        <v>2.6909999999999998</v>
      </c>
      <c r="O315" s="95">
        <f t="shared" ca="1" si="180"/>
        <v>2.609</v>
      </c>
      <c r="P315" s="95">
        <f t="shared" ca="1" si="180"/>
        <v>2.641</v>
      </c>
      <c r="Q315" s="96">
        <f t="shared" ca="1" si="180"/>
        <v>2.6699200000000003</v>
      </c>
      <c r="R315" s="96">
        <f t="shared" ca="1" si="180"/>
        <v>2.6994183999999999</v>
      </c>
      <c r="S315" s="96">
        <f t="shared" ca="1" si="180"/>
        <v>2.7295067680000002</v>
      </c>
      <c r="T315" s="96">
        <f t="shared" ca="1" si="180"/>
        <v>2.7601969033599998</v>
      </c>
      <c r="U315" s="96">
        <f t="shared" ca="1" si="180"/>
        <v>2.7915008414272</v>
      </c>
      <c r="V315" s="96">
        <f t="shared" ca="1" si="180"/>
        <v>2.8234308582557439</v>
      </c>
      <c r="W315" s="96">
        <f t="shared" ca="1" si="180"/>
        <v>2.8559994754208589</v>
      </c>
      <c r="X315" s="96">
        <f t="shared" ca="1" si="180"/>
        <v>2.8892194649292762</v>
      </c>
      <c r="Y315" s="96">
        <f t="shared" ca="1" si="180"/>
        <v>2.923103854227862</v>
      </c>
      <c r="Z315" s="96">
        <f t="shared" ca="1" si="180"/>
        <v>2.9576659313124192</v>
      </c>
    </row>
    <row r="316" spans="1:26" x14ac:dyDescent="0.25">
      <c r="A316" s="11" t="s">
        <v>1315</v>
      </c>
      <c r="B316" s="14" t="str">
        <f>$B$38</f>
        <v>From Fiscal Forecasts</v>
      </c>
      <c r="D316" s="51">
        <f>'Fiscal Forecasts'!D$51</f>
        <v>1.1080000000000001</v>
      </c>
      <c r="E316" s="51">
        <f>'Fiscal Forecasts'!E$51</f>
        <v>1.472</v>
      </c>
      <c r="F316" s="51">
        <f>'Fiscal Forecasts'!F$51</f>
        <v>1.889</v>
      </c>
      <c r="G316" s="51">
        <f>'Fiscal Forecasts'!G$51</f>
        <v>2.5350000000000001</v>
      </c>
      <c r="H316" s="51">
        <f>'Fiscal Forecasts'!H$51</f>
        <v>2.3530000000000002</v>
      </c>
      <c r="I316" s="51">
        <f>'Fiscal Forecasts'!I$51</f>
        <v>2.2770000000000001</v>
      </c>
      <c r="J316" s="51">
        <f>'Fiscal Forecasts'!J$51</f>
        <v>2.4</v>
      </c>
      <c r="K316" s="51">
        <f>'Fiscal Forecasts'!K$51</f>
        <v>2.5099999999999998</v>
      </c>
      <c r="L316" s="47">
        <f ca="1">'Fiscal Forecasts'!L$51+IF(OFFSET(Assumptions!$B$57,0,$C$1)="Yes",Allocation!C$20,0)</f>
        <v>2.9060000000000001</v>
      </c>
      <c r="M316" s="47">
        <f ca="1">'Fiscal Forecasts'!M$51+IF(OFFSET(Assumptions!$B$57,0,$C$1)="Yes",Allocation!D$20,0)</f>
        <v>2.7480000000000002</v>
      </c>
      <c r="N316" s="47">
        <f ca="1">'Fiscal Forecasts'!N$51+IF(OFFSET(Assumptions!$B$57,0,$C$1)="Yes",Allocation!E$20,0)</f>
        <v>2.7229999999999999</v>
      </c>
      <c r="O316" s="47">
        <f ca="1">'Fiscal Forecasts'!O$51+IF(OFFSET(Assumptions!$B$57,0,$C$1)="Yes",Allocation!F$20,0)</f>
        <v>2.641</v>
      </c>
      <c r="P316" s="47">
        <f ca="1">'Fiscal Forecasts'!P$51+IF(OFFSET(Assumptions!$B$57,0,$C$1)="Yes",Allocation!G$20,0)</f>
        <v>2.673</v>
      </c>
      <c r="Q316" s="21">
        <f t="shared" ref="Q316:Z316" ca="1" si="181">Q$315</f>
        <v>2.6699200000000003</v>
      </c>
      <c r="R316" s="21">
        <f t="shared" ca="1" si="181"/>
        <v>2.6994183999999999</v>
      </c>
      <c r="S316" s="21">
        <f t="shared" ca="1" si="181"/>
        <v>2.7295067680000002</v>
      </c>
      <c r="T316" s="21">
        <f t="shared" ca="1" si="181"/>
        <v>2.7601969033599998</v>
      </c>
      <c r="U316" s="21">
        <f t="shared" ca="1" si="181"/>
        <v>2.7915008414272</v>
      </c>
      <c r="V316" s="21">
        <f t="shared" ca="1" si="181"/>
        <v>2.8234308582557439</v>
      </c>
      <c r="W316" s="21">
        <f t="shared" ca="1" si="181"/>
        <v>2.8559994754208589</v>
      </c>
      <c r="X316" s="21">
        <f t="shared" ca="1" si="181"/>
        <v>2.8892194649292762</v>
      </c>
      <c r="Y316" s="21">
        <f t="shared" ca="1" si="181"/>
        <v>2.923103854227862</v>
      </c>
      <c r="Z316" s="21">
        <f t="shared" ca="1" si="181"/>
        <v>2.9576659313124192</v>
      </c>
    </row>
    <row r="318" spans="1:26" x14ac:dyDescent="0.25">
      <c r="A318" s="11" t="s">
        <v>1316</v>
      </c>
    </row>
    <row r="319" spans="1:26" x14ac:dyDescent="0.25">
      <c r="A319" s="11" t="s">
        <v>1317</v>
      </c>
      <c r="B319" s="14" t="str">
        <f>$B$38</f>
        <v>From Fiscal Forecasts</v>
      </c>
      <c r="D319" s="51">
        <f>'Fiscal Forecasts'!D$70</f>
        <v>9.7000000000000003E-2</v>
      </c>
      <c r="E319" s="51">
        <f>'Fiscal Forecasts'!E$70</f>
        <v>6.3E-2</v>
      </c>
      <c r="F319" s="51">
        <f>'Fiscal Forecasts'!F$70</f>
        <v>0.254</v>
      </c>
      <c r="G319" s="51">
        <f>'Fiscal Forecasts'!G$70</f>
        <v>0.26900000000000002</v>
      </c>
      <c r="H319" s="51">
        <f>'Fiscal Forecasts'!H$70</f>
        <v>0.13300000000000001</v>
      </c>
      <c r="I319" s="51">
        <f>'Fiscal Forecasts'!I$70</f>
        <v>0.14499999999999999</v>
      </c>
      <c r="J319" s="51">
        <f>'Fiscal Forecasts'!J$70</f>
        <v>0.127</v>
      </c>
      <c r="K319" s="51">
        <f>'Fiscal Forecasts'!K$70</f>
        <v>0.189</v>
      </c>
      <c r="L319" s="47">
        <f>'Fiscal Forecasts'!L$70</f>
        <v>0.21</v>
      </c>
      <c r="M319" s="47">
        <f>'Fiscal Forecasts'!M$70</f>
        <v>8.1000000000000003E-2</v>
      </c>
      <c r="N319" s="47">
        <f>'Fiscal Forecasts'!N$70</f>
        <v>0.27700000000000002</v>
      </c>
      <c r="O319" s="47">
        <f>'Fiscal Forecasts'!O$70</f>
        <v>0.27600000000000002</v>
      </c>
      <c r="P319" s="47">
        <f>'Fiscal Forecasts'!P$70</f>
        <v>0.27600000000000002</v>
      </c>
      <c r="Q319" s="21">
        <f ca="1">IF(Q$6=OFFSET(Assumptions!$B$8,0,$C$1),OFFSET(Assumptions!$B$9,0,$C$1),P$319)</f>
        <v>0</v>
      </c>
      <c r="R319" s="21">
        <f ca="1">IF(R$6=OFFSET(Assumptions!$B$8,0,$C$1),OFFSET(Assumptions!$B$9,0,$C$1),Q$319)</f>
        <v>0</v>
      </c>
      <c r="S319" s="21">
        <f ca="1">IF(S$6=OFFSET(Assumptions!$B$8,0,$C$1),OFFSET(Assumptions!$B$9,0,$C$1),R$319)</f>
        <v>0</v>
      </c>
      <c r="T319" s="21">
        <f ca="1">IF(T$6=OFFSET(Assumptions!$B$8,0,$C$1),OFFSET(Assumptions!$B$9,0,$C$1),S$319)</f>
        <v>0</v>
      </c>
      <c r="U319" s="21">
        <f ca="1">IF(U$6=OFFSET(Assumptions!$B$8,0,$C$1),OFFSET(Assumptions!$B$9,0,$C$1),T$319)</f>
        <v>0</v>
      </c>
      <c r="V319" s="21">
        <f ca="1">IF(V$6=OFFSET(Assumptions!$B$8,0,$C$1),OFFSET(Assumptions!$B$9,0,$C$1),U$319)</f>
        <v>0</v>
      </c>
      <c r="W319" s="21">
        <f ca="1">IF(W$6=OFFSET(Assumptions!$B$8,0,$C$1),OFFSET(Assumptions!$B$9,0,$C$1),V$319)</f>
        <v>0</v>
      </c>
      <c r="X319" s="21">
        <f ca="1">IF(X$6=OFFSET(Assumptions!$B$8,0,$C$1),OFFSET(Assumptions!$B$9,0,$C$1),W$319)</f>
        <v>0</v>
      </c>
      <c r="Y319" s="21">
        <f ca="1">IF(Y$6=OFFSET(Assumptions!$B$8,0,$C$1),OFFSET(Assumptions!$B$9,0,$C$1),X$319)</f>
        <v>0</v>
      </c>
      <c r="Z319" s="21">
        <f ca="1">IF(Z$6=OFFSET(Assumptions!$B$8,0,$C$1),OFFSET(Assumptions!$B$9,0,$C$1),Y$319)</f>
        <v>0</v>
      </c>
    </row>
    <row r="320" spans="1:26" x14ac:dyDescent="0.25">
      <c r="A320" s="11" t="s">
        <v>1318</v>
      </c>
      <c r="B320" s="14" t="str">
        <f>$B$38</f>
        <v>From Fiscal Forecasts</v>
      </c>
      <c r="D320" s="51">
        <f>'Fiscal Forecasts'!D$53</f>
        <v>9.6000000000000002E-2</v>
      </c>
      <c r="E320" s="51">
        <f>'Fiscal Forecasts'!E$53</f>
        <v>6.3E-2</v>
      </c>
      <c r="F320" s="51">
        <f>'Fiscal Forecasts'!F$53</f>
        <v>0.254</v>
      </c>
      <c r="G320" s="51">
        <f>'Fiscal Forecasts'!G$53</f>
        <v>0.24199999999999999</v>
      </c>
      <c r="H320" s="51">
        <f>'Fiscal Forecasts'!H$53</f>
        <v>0.13300000000000001</v>
      </c>
      <c r="I320" s="51">
        <f>'Fiscal Forecasts'!I$53</f>
        <v>0.14499999999999999</v>
      </c>
      <c r="J320" s="51">
        <f>'Fiscal Forecasts'!J$53</f>
        <v>0.127</v>
      </c>
      <c r="K320" s="51">
        <f>'Fiscal Forecasts'!K$53</f>
        <v>0.189</v>
      </c>
      <c r="L320" s="47">
        <f>'Fiscal Forecasts'!L$53</f>
        <v>0.21</v>
      </c>
      <c r="M320" s="47">
        <f>'Fiscal Forecasts'!M$53</f>
        <v>8.1000000000000003E-2</v>
      </c>
      <c r="N320" s="47">
        <f>'Fiscal Forecasts'!N$53</f>
        <v>0.27700000000000002</v>
      </c>
      <c r="O320" s="47">
        <f>'Fiscal Forecasts'!O$53</f>
        <v>0.27600000000000002</v>
      </c>
      <c r="P320" s="47">
        <f>'Fiscal Forecasts'!P$53</f>
        <v>0.27600000000000002</v>
      </c>
      <c r="Q320" s="21">
        <f ca="1">IF(Q$6=OFFSET(Assumptions!$B$8,0,$C$1),OFFSET(Assumptions!$B$9,0,$C$1),P$320)</f>
        <v>0</v>
      </c>
      <c r="R320" s="21">
        <f ca="1">IF(R$6=OFFSET(Assumptions!$B$8,0,$C$1),OFFSET(Assumptions!$B$9,0,$C$1),Q$320)</f>
        <v>0</v>
      </c>
      <c r="S320" s="21">
        <f ca="1">IF(S$6=OFFSET(Assumptions!$B$8,0,$C$1),OFFSET(Assumptions!$B$9,0,$C$1),R$320)</f>
        <v>0</v>
      </c>
      <c r="T320" s="21">
        <f ca="1">IF(T$6=OFFSET(Assumptions!$B$8,0,$C$1),OFFSET(Assumptions!$B$9,0,$C$1),S$320)</f>
        <v>0</v>
      </c>
      <c r="U320" s="21">
        <f ca="1">IF(U$6=OFFSET(Assumptions!$B$8,0,$C$1),OFFSET(Assumptions!$B$9,0,$C$1),T$320)</f>
        <v>0</v>
      </c>
      <c r="V320" s="21">
        <f ca="1">IF(V$6=OFFSET(Assumptions!$B$8,0,$C$1),OFFSET(Assumptions!$B$9,0,$C$1),U$320)</f>
        <v>0</v>
      </c>
      <c r="W320" s="21">
        <f ca="1">IF(W$6=OFFSET(Assumptions!$B$8,0,$C$1),OFFSET(Assumptions!$B$9,0,$C$1),V$320)</f>
        <v>0</v>
      </c>
      <c r="X320" s="21">
        <f ca="1">IF(X$6=OFFSET(Assumptions!$B$8,0,$C$1),OFFSET(Assumptions!$B$9,0,$C$1),W$320)</f>
        <v>0</v>
      </c>
      <c r="Y320" s="21">
        <f ca="1">IF(Y$6=OFFSET(Assumptions!$B$8,0,$C$1),OFFSET(Assumptions!$B$9,0,$C$1),X$320)</f>
        <v>0</v>
      </c>
      <c r="Z320" s="21">
        <f ca="1">IF(Z$6=OFFSET(Assumptions!$B$8,0,$C$1),OFFSET(Assumptions!$B$9,0,$C$1),Y$320)</f>
        <v>0</v>
      </c>
    </row>
    <row r="322" spans="1:26" x14ac:dyDescent="0.25">
      <c r="A322" s="57" t="s">
        <v>1319</v>
      </c>
    </row>
    <row r="323" spans="1:26" x14ac:dyDescent="0.25">
      <c r="A323" s="11" t="s">
        <v>1320</v>
      </c>
      <c r="D323" s="51">
        <f>SUM(D$196,D$256,D$264,D$274,D$279,D$292,D$297,D$301,D$305,D$309,D$314)</f>
        <v>50.065999999999995</v>
      </c>
      <c r="E323" s="51">
        <f t="shared" ref="E323:Z323" si="182">SUM(E$196,E$256,E$264,E$274,E$279,E$292,E$297,E$301,E$305,E$309,E$314)</f>
        <v>57.019999999999996</v>
      </c>
      <c r="F323" s="51">
        <f t="shared" si="182"/>
        <v>61.080000000000005</v>
      </c>
      <c r="G323" s="51">
        <f t="shared" si="182"/>
        <v>71.525999999999996</v>
      </c>
      <c r="H323" s="51">
        <f t="shared" si="182"/>
        <v>72.372000000000014</v>
      </c>
      <c r="I323" s="51">
        <f t="shared" si="182"/>
        <v>78.45499999999997</v>
      </c>
      <c r="J323" s="51">
        <f t="shared" si="182"/>
        <v>78.74199999999999</v>
      </c>
      <c r="K323" s="51">
        <f t="shared" si="182"/>
        <v>80.757999999999996</v>
      </c>
      <c r="L323" s="47">
        <f t="shared" ca="1" si="182"/>
        <v>86.76100000000001</v>
      </c>
      <c r="M323" s="47">
        <f t="shared" ca="1" si="182"/>
        <v>84.192000000000007</v>
      </c>
      <c r="N323" s="47">
        <f t="shared" ca="1" si="182"/>
        <v>84.03100000000002</v>
      </c>
      <c r="O323" s="47">
        <f t="shared" ca="1" si="182"/>
        <v>83.710999999999999</v>
      </c>
      <c r="P323" s="47">
        <f t="shared" ca="1" si="182"/>
        <v>83.884999999999977</v>
      </c>
      <c r="Q323" s="21">
        <f t="shared" ca="1" si="182"/>
        <v>83.884999999999977</v>
      </c>
      <c r="R323" s="21">
        <f t="shared" ca="1" si="182"/>
        <v>83.884999999999977</v>
      </c>
      <c r="S323" s="21">
        <f t="shared" ca="1" si="182"/>
        <v>83.884999999999977</v>
      </c>
      <c r="T323" s="21">
        <f t="shared" ca="1" si="182"/>
        <v>83.884999999999977</v>
      </c>
      <c r="U323" s="21">
        <f t="shared" ca="1" si="182"/>
        <v>83.884999999999977</v>
      </c>
      <c r="V323" s="21">
        <f t="shared" ca="1" si="182"/>
        <v>83.884999999999977</v>
      </c>
      <c r="W323" s="21">
        <f t="shared" ca="1" si="182"/>
        <v>83.884999999999977</v>
      </c>
      <c r="X323" s="21">
        <f t="shared" ca="1" si="182"/>
        <v>83.884999999999977</v>
      </c>
      <c r="Y323" s="21">
        <f t="shared" ca="1" si="182"/>
        <v>83.884999999999977</v>
      </c>
      <c r="Z323" s="21">
        <f t="shared" ca="1" si="182"/>
        <v>83.884999999999977</v>
      </c>
    </row>
    <row r="324" spans="1:26" x14ac:dyDescent="0.25">
      <c r="A324" s="11" t="s">
        <v>1321</v>
      </c>
      <c r="D324" s="51">
        <f>SUM(D$256,D$263,D$264,D$271,D$273,D$283,D$313,D$319)</f>
        <v>36.466000000000001</v>
      </c>
      <c r="E324" s="51">
        <f t="shared" ref="E324:Z324" si="183">SUM(E$256,E$263,E$264,E$271,E$273,E$283,E$313,E$319)</f>
        <v>41.044000000000004</v>
      </c>
      <c r="F324" s="51">
        <f t="shared" si="183"/>
        <v>47.003</v>
      </c>
      <c r="G324" s="51">
        <f t="shared" si="183"/>
        <v>51.807999999999993</v>
      </c>
      <c r="H324" s="51">
        <f t="shared" si="183"/>
        <v>55.582000000000008</v>
      </c>
      <c r="I324" s="51">
        <f t="shared" si="183"/>
        <v>58.744000000000007</v>
      </c>
      <c r="J324" s="51">
        <f t="shared" si="183"/>
        <v>59.371000000000009</v>
      </c>
      <c r="K324" s="51">
        <f t="shared" si="183"/>
        <v>62.384</v>
      </c>
      <c r="L324" s="47">
        <f t="shared" ca="1" si="183"/>
        <v>64.574999999999989</v>
      </c>
      <c r="M324" s="47">
        <f t="shared" ca="1" si="183"/>
        <v>63.961000000000006</v>
      </c>
      <c r="N324" s="47">
        <f t="shared" ca="1" si="183"/>
        <v>64.495999999999995</v>
      </c>
      <c r="O324" s="47">
        <f t="shared" ca="1" si="183"/>
        <v>64.613</v>
      </c>
      <c r="P324" s="47">
        <f t="shared" ca="1" si="183"/>
        <v>64.939999999999984</v>
      </c>
      <c r="Q324" s="21">
        <f t="shared" ca="1" si="183"/>
        <v>64.798851169035686</v>
      </c>
      <c r="R324" s="21">
        <f t="shared" ca="1" si="183"/>
        <v>64.911618999444983</v>
      </c>
      <c r="S324" s="21">
        <f t="shared" ca="1" si="183"/>
        <v>65.007167567788954</v>
      </c>
      <c r="T324" s="21">
        <f t="shared" ca="1" si="183"/>
        <v>65.326609332289351</v>
      </c>
      <c r="U324" s="21">
        <f t="shared" ca="1" si="183"/>
        <v>65.758440048306497</v>
      </c>
      <c r="V324" s="21">
        <f t="shared" ca="1" si="183"/>
        <v>66.201958913905571</v>
      </c>
      <c r="W324" s="21">
        <f t="shared" ca="1" si="183"/>
        <v>66.659570642540899</v>
      </c>
      <c r="X324" s="21">
        <f t="shared" ca="1" si="183"/>
        <v>67.130241347453804</v>
      </c>
      <c r="Y324" s="21">
        <f t="shared" ca="1" si="183"/>
        <v>67.61636162556384</v>
      </c>
      <c r="Z324" s="21">
        <f t="shared" ca="1" si="183"/>
        <v>68.11844960846679</v>
      </c>
    </row>
    <row r="325" spans="1:26" x14ac:dyDescent="0.25">
      <c r="A325" s="57" t="s">
        <v>1322</v>
      </c>
    </row>
    <row r="326" spans="1:26" x14ac:dyDescent="0.25">
      <c r="A326" s="11" t="s">
        <v>1323</v>
      </c>
      <c r="B326" s="14" t="str">
        <f>$B$38</f>
        <v>From Fiscal Forecasts</v>
      </c>
      <c r="D326" s="51">
        <f>'Fiscal Forecasts'!D$211</f>
        <v>6.7160000000000002</v>
      </c>
      <c r="E326" s="51">
        <f>'Fiscal Forecasts'!E$211</f>
        <v>7.5140000000000002</v>
      </c>
      <c r="F326" s="51">
        <f>'Fiscal Forecasts'!F$211</f>
        <v>8.0459999999999994</v>
      </c>
      <c r="G326" s="51">
        <f>'Fiscal Forecasts'!G$211</f>
        <v>8.5389999999999997</v>
      </c>
      <c r="H326" s="51">
        <f>'Fiscal Forecasts'!H$211</f>
        <v>10.163</v>
      </c>
      <c r="I326" s="51">
        <f>'Fiscal Forecasts'!I$211</f>
        <v>10.747999999999999</v>
      </c>
      <c r="J326" s="51">
        <f>'Fiscal Forecasts'!J$211</f>
        <v>10.837999999999999</v>
      </c>
      <c r="K326" s="51">
        <f>'Fiscal Forecasts'!K$211</f>
        <v>10.319000000000001</v>
      </c>
      <c r="L326" s="47">
        <f>'Fiscal Forecasts'!L$211</f>
        <v>9.8490000000000002</v>
      </c>
      <c r="M326" s="47">
        <f>'Fiscal Forecasts'!M$211</f>
        <v>9.5570000000000004</v>
      </c>
      <c r="N326" s="47">
        <f>'Fiscal Forecasts'!N$211</f>
        <v>9.7430000000000003</v>
      </c>
      <c r="O326" s="47">
        <f>'Fiscal Forecasts'!O$211</f>
        <v>9.9640000000000004</v>
      </c>
      <c r="P326" s="47">
        <f>'Fiscal Forecasts'!P$211</f>
        <v>10.074999999999999</v>
      </c>
      <c r="Q326" s="21">
        <f ca="1">IF(Q$6=OFFSET(Assumptions!$B$8,0,$C$1),AVERAGE(N$326/SUM(N$253-N$252,N$276-N$275,N$280-N$279,,N$298-N$297,N$302-N$301,N$306-N$305,N$310-N$309,N$316-N$315),O$326/SUM(O$253-O$252,O$276-O$275,O$280-O$279,,O$298-O$297,O$302-O$301,O$306-O$305,O$310-O$309,O$316-O$315),P$326/SUM(P$253-P$252,P$276-P$275,P$280-P$279,,P$298-P$297,P$302-P$301,P$306-P$305,P$310-P$309,P$316-P$315)),P$326/SUM(P$253-P$252,P$276-P$275,P$280-P$279,,P$298-P$297,P$302-P$301,P$306-P$305,P$310-P$309,P$316-P$315))*SUM(Q$253-Q$252,Q$276-Q$275,Q$280-Q$279,,Q$298-Q$297,Q$302-Q$301,Q$306-Q$305,Q$310-Q$309,Q$316-Q$315)</f>
        <v>10.298126454289063</v>
      </c>
      <c r="R326" s="21">
        <f ca="1">IF(R$6=OFFSET(Assumptions!$B$8,0,$C$1),AVERAGE(O$326/SUM(O$253-O$252,O$276-O$275,O$280-O$279,,O$298-O$297,O$302-O$301,O$306-O$305,O$310-O$309,O$316-O$315),P$326/SUM(P$253-P$252,P$276-P$275,P$280-P$279,,P$298-P$297,P$302-P$301,P$306-P$305,P$310-P$309,P$316-P$315),Q$326/SUM(Q$253-Q$252,Q$276-Q$275,Q$280-Q$279,,Q$298-Q$297,Q$302-Q$301,Q$306-Q$305,Q$310-Q$309,Q$316-Q$315)),Q$326/SUM(Q$253-Q$252,Q$276-Q$275,Q$280-Q$279,,Q$298-Q$297,Q$302-Q$301,Q$306-Q$305,Q$310-Q$309,Q$316-Q$315))*SUM(R$253-R$252,R$276-R$275,R$280-R$279,,R$298-R$297,R$302-R$301,R$306-R$305,R$310-R$309,R$316-R$315)</f>
        <v>10.507582120123432</v>
      </c>
      <c r="S326" s="21">
        <f ca="1">IF(S$6=OFFSET(Assumptions!$B$8,0,$C$1),AVERAGE(P$326/SUM(P$253-P$252,P$276-P$275,P$280-P$279,,P$298-P$297,P$302-P$301,P$306-P$305,P$310-P$309,P$316-P$315),Q$326/SUM(Q$253-Q$252,Q$276-Q$275,Q$280-Q$279,,Q$298-Q$297,Q$302-Q$301,Q$306-Q$305,Q$310-Q$309,Q$316-Q$315),R$326/SUM(R$253-R$252,R$276-R$275,R$280-R$279,,R$298-R$297,R$302-R$301,R$306-R$305,R$310-R$309,R$316-R$315)),R$326/SUM(R$253-R$252,R$276-R$275,R$280-R$279,,R$298-R$297,R$302-R$301,R$306-R$305,R$310-R$309,R$316-R$315))*SUM(S$253-S$252,S$276-S$275,S$280-S$279,,S$298-S$297,S$302-S$301,S$306-S$305,S$310-S$309,S$316-S$315)</f>
        <v>10.721239487488216</v>
      </c>
      <c r="T326" s="21">
        <f ca="1">IF(T$6=OFFSET(Assumptions!$B$8,0,$C$1),AVERAGE(Q$326/SUM(Q$253-Q$252,Q$276-Q$275,Q$280-Q$279,,Q$298-Q$297,Q$302-Q$301,Q$306-Q$305,Q$310-Q$309,Q$316-Q$315),R$326/SUM(R$253-R$252,R$276-R$275,R$280-R$279,,R$298-R$297,R$302-R$301,R$306-R$305,R$310-R$309,R$316-R$315),S$326/SUM(S$253-S$252,S$276-S$275,S$280-S$279,,S$298-S$297,S$302-S$301,S$306-S$305,S$310-S$309,S$316-S$315)),S$326/SUM(S$253-S$252,S$276-S$275,S$280-S$279,,S$298-S$297,S$302-S$301,S$306-S$305,S$310-S$309,S$316-S$315))*SUM(T$253-T$252,T$276-T$275,T$280-T$279,,T$298-T$297,T$302-T$301,T$306-T$305,T$310-T$309,T$316-T$315)</f>
        <v>10.939145566256</v>
      </c>
      <c r="U326" s="21">
        <f ca="1">IF(U$6=OFFSET(Assumptions!$B$8,0,$C$1),AVERAGE(R$326/SUM(R$253-R$252,R$276-R$275,R$280-R$279,,R$298-R$297,R$302-R$301,R$306-R$305,R$310-R$309,R$316-R$315),S$326/SUM(S$253-S$252,S$276-S$275,S$280-S$279,,S$298-S$297,S$302-S$301,S$306-S$305,S$310-S$309,S$316-S$315),T$326/SUM(T$253-T$252,T$276-T$275,T$280-T$279,,T$298-T$297,T$302-T$301,T$306-T$305,T$310-T$309,T$316-T$315)),T$326/SUM(T$253-T$252,T$276-T$275,T$280-T$279,,T$298-T$297,T$302-T$301,T$306-T$305,T$310-T$309,T$316-T$315))*SUM(U$253-U$252,U$276-U$275,U$280-U$279,,U$298-U$297,U$302-U$301,U$306-U$305,U$310-U$309,U$316-U$315)</f>
        <v>11.16149714361206</v>
      </c>
      <c r="V326" s="21">
        <f ca="1">IF(V$6=OFFSET(Assumptions!$B$8,0,$C$1),AVERAGE(S$326/SUM(S$253-S$252,S$276-S$275,S$280-S$279,,S$298-S$297,S$302-S$301,S$306-S$305,S$310-S$309,S$316-S$315),T$326/SUM(T$253-T$252,T$276-T$275,T$280-T$279,,T$298-T$297,T$302-T$301,T$306-T$305,T$310-T$309,T$316-T$315),U$326/SUM(U$253-U$252,U$276-U$275,U$280-U$279,,U$298-U$297,U$302-U$301,U$306-U$305,U$310-U$309,U$316-U$315)),U$326/SUM(U$253-U$252,U$276-U$275,U$280-U$279,,U$298-U$297,U$302-U$301,U$306-U$305,U$310-U$309,U$316-U$315))*SUM(V$253-V$252,V$276-V$275,V$280-V$279,,V$298-V$297,V$302-V$301,V$306-V$305,V$310-V$309,V$316-V$315)</f>
        <v>11.388307600245811</v>
      </c>
      <c r="W326" s="21">
        <f ca="1">IF(W$6=OFFSET(Assumptions!$B$8,0,$C$1),AVERAGE(T$326/SUM(T$253-T$252,T$276-T$275,T$280-T$279,,T$298-T$297,T$302-T$301,T$306-T$305,T$310-T$309,T$316-T$315),U$326/SUM(U$253-U$252,U$276-U$275,U$280-U$279,,U$298-U$297,U$302-U$301,U$306-U$305,U$310-U$309,U$316-U$315),V$326/SUM(V$253-V$252,V$276-V$275,V$280-V$279,,V$298-V$297,V$302-V$301,V$306-V$305,V$310-V$309,V$316-V$315)),V$326/SUM(V$253-V$252,V$276-V$275,V$280-V$279,,V$298-V$297,V$302-V$301,V$306-V$305,V$310-V$309,V$316-V$315))*SUM(W$253-W$252,W$276-W$275,W$280-W$279,,W$298-W$297,W$302-W$301,W$306-W$305,W$310-W$309,W$316-W$315)</f>
        <v>11.619629089584787</v>
      </c>
      <c r="X326" s="21">
        <f ca="1">IF(X$6=OFFSET(Assumptions!$B$8,0,$C$1),AVERAGE(U$326/SUM(U$253-U$252,U$276-U$275,U$280-U$279,,U$298-U$297,U$302-U$301,U$306-U$305,U$310-U$309,U$316-U$315),V$326/SUM(V$253-V$252,V$276-V$275,V$280-V$279,,V$298-V$297,V$302-V$301,V$306-V$305,V$310-V$309,V$316-V$315),W$326/SUM(W$253-W$252,W$276-W$275,W$280-W$279,,W$298-W$297,W$302-W$301,W$306-W$305,W$310-W$309,W$316-W$315)),W$326/SUM(W$253-W$252,W$276-W$275,W$280-W$279,,W$298-W$297,W$302-W$301,W$306-W$305,W$310-W$309,W$316-W$315))*SUM(X$253-X$252,X$276-X$275,X$280-X$279,,X$298-X$297,X$302-X$301,X$306-X$305,X$310-X$309,X$316-X$315)</f>
        <v>11.855589596924265</v>
      </c>
      <c r="Y326" s="21">
        <f ca="1">IF(Y$6=OFFSET(Assumptions!$B$8,0,$C$1),AVERAGE(V$326/SUM(V$253-V$252,V$276-V$275,V$280-V$279,,V$298-V$297,V$302-V$301,V$306-V$305,V$310-V$309,V$316-V$315),W$326/SUM(W$253-W$252,W$276-W$275,W$280-W$279,,W$298-W$297,W$302-W$301,W$306-W$305,W$310-W$309,W$316-W$315),X$326/SUM(X$253-X$252,X$276-X$275,X$280-X$279,,X$298-X$297,X$302-X$301,X$306-X$305,X$310-X$309,X$316-X$315)),X$326/SUM(X$253-X$252,X$276-X$275,X$280-X$279,,X$298-X$297,X$302-X$301,X$306-X$305,X$310-X$309,X$316-X$315))*SUM(Y$253-Y$252,Y$276-Y$275,Y$280-Y$279,,Y$298-Y$297,Y$302-Y$301,Y$306-Y$305,Y$310-Y$309,Y$316-Y$315)</f>
        <v>12.096355950940298</v>
      </c>
      <c r="Z326" s="21">
        <f ca="1">IF(Z$6=OFFSET(Assumptions!$B$8,0,$C$1),AVERAGE(W$326/SUM(W$253-W$252,W$276-W$275,W$280-W$279,,W$298-W$297,W$302-W$301,W$306-W$305,W$310-W$309,W$316-W$315),X$326/SUM(X$253-X$252,X$276-X$275,X$280-X$279,,X$298-X$297,X$302-X$301,X$306-X$305,X$310-X$309,X$316-X$315),Y$326/SUM(Y$253-Y$252,Y$276-Y$275,Y$280-Y$279,,Y$298-Y$297,Y$302-Y$301,Y$306-Y$305,Y$310-Y$309,Y$316-Y$315)),Y$326/SUM(Y$253-Y$252,Y$276-Y$275,Y$280-Y$279,,Y$298-Y$297,Y$302-Y$301,Y$306-Y$305,Y$310-Y$309,Y$316-Y$315))*SUM(Z$253-Z$252,Z$276-Z$275,Z$280-Z$279,,Z$298-Z$297,Z$302-Z$301,Z$306-Z$305,Z$310-Z$309,Z$316-Z$315)</f>
        <v>12.341948739284053</v>
      </c>
    </row>
    <row r="327" spans="1:26" x14ac:dyDescent="0.25">
      <c r="A327" s="11" t="s">
        <v>1324</v>
      </c>
      <c r="B327" s="14" t="str">
        <f>$B$38</f>
        <v>From Fiscal Forecasts</v>
      </c>
      <c r="D327" s="51">
        <f>'Fiscal Forecasts'!D$212</f>
        <v>8.64</v>
      </c>
      <c r="E327" s="51">
        <f>'Fiscal Forecasts'!E$212</f>
        <v>8.3070000000000004</v>
      </c>
      <c r="F327" s="51">
        <f>'Fiscal Forecasts'!F$212</f>
        <v>10.321999999999999</v>
      </c>
      <c r="G327" s="51">
        <f>'Fiscal Forecasts'!G$212</f>
        <v>9.5259999999999998</v>
      </c>
      <c r="H327" s="51">
        <f>'Fiscal Forecasts'!H$212</f>
        <v>8.5609999999999999</v>
      </c>
      <c r="I327" s="51">
        <f>'Fiscal Forecasts'!I$212</f>
        <v>12.183</v>
      </c>
      <c r="J327" s="51">
        <f>'Fiscal Forecasts'!J$212</f>
        <v>12.195</v>
      </c>
      <c r="K327" s="51">
        <f>'Fiscal Forecasts'!K$212</f>
        <v>9.9339999999999993</v>
      </c>
      <c r="L327" s="47">
        <f>'Fiscal Forecasts'!L$212</f>
        <v>11.852</v>
      </c>
      <c r="M327" s="47">
        <f>'Fiscal Forecasts'!M$212</f>
        <v>11.510999999999999</v>
      </c>
      <c r="N327" s="47">
        <f>'Fiscal Forecasts'!N$212</f>
        <v>11.73</v>
      </c>
      <c r="O327" s="47">
        <f>'Fiscal Forecasts'!O$212</f>
        <v>12.061999999999999</v>
      </c>
      <c r="P327" s="47">
        <f>'Fiscal Forecasts'!P$212</f>
        <v>12.221</v>
      </c>
      <c r="Q327" s="21">
        <f ca="1">IF(Q$6=OFFSET(Assumptions!$B$8,0,$C$1),AVERAGE(N$327/(N$294-N$293),O$327/(O$294-O$293),P$327/(P$294-P$293)),P$327/(P$294-P$293))*(Q$294-Q$293)</f>
        <v>12.644217615000324</v>
      </c>
      <c r="R327" s="21">
        <f ca="1">IF(R$6=OFFSET(Assumptions!$B$8,0,$C$1),AVERAGE(O$327/(O$294-O$293),P$327/(P$294-P$293),Q$327/(Q$294-Q$293)),Q$327/(Q$294-Q$293))*(R$294-R$293)</f>
        <v>13.055465580962959</v>
      </c>
      <c r="S327" s="21">
        <f ca="1">IF(S$6=OFFSET(Assumptions!$B$8,0,$C$1),AVERAGE(P$327/(P$294-P$293),Q$327/(Q$294-Q$293),R$327/(R$294-R$293)),R$327/(R$294-R$293))*(S$294-S$293)</f>
        <v>13.475650796977892</v>
      </c>
      <c r="T327" s="21">
        <f ca="1">IF(T$6=OFFSET(Assumptions!$B$8,0,$C$1),AVERAGE(Q$327/(Q$294-Q$293),R$327/(R$294-R$293),S$327/(S$294-S$293)),S$327/(S$294-S$293))*(T$294-T$293)</f>
        <v>13.90080059120446</v>
      </c>
      <c r="U327" s="21">
        <f ca="1">IF(U$6=OFFSET(Assumptions!$B$8,0,$C$1),AVERAGE(R$327/(R$294-R$293),S$327/(S$294-S$293),T$327/(T$294-T$293)),T$327/(T$294-T$293))*(U$294-U$293)</f>
        <v>14.338180631128468</v>
      </c>
      <c r="V327" s="21">
        <f ca="1">IF(V$6=OFFSET(Assumptions!$B$8,0,$C$1),AVERAGE(S$327/(S$294-S$293),T$327/(T$294-T$293),U$327/(U$294-U$293)),U$327/(U$294-U$293))*(V$294-V$293)</f>
        <v>14.784063051403757</v>
      </c>
      <c r="W327" s="21">
        <f ca="1">IF(W$6=OFFSET(Assumptions!$B$8,0,$C$1),AVERAGE(T$327/(T$294-T$293),U$327/(U$294-U$293),V$327/(V$294-V$293)),V$327/(V$294-V$293))*(W$294-W$293)</f>
        <v>15.227218882747941</v>
      </c>
      <c r="X327" s="21">
        <f ca="1">IF(X$6=OFFSET(Assumptions!$B$8,0,$C$1),AVERAGE(U$327/(U$294-U$293),V$327/(V$294-V$293),W$327/(W$294-W$293)),W$327/(W$294-W$293))*(X$294-X$293)</f>
        <v>15.679703027134041</v>
      </c>
      <c r="Y327" s="21">
        <f ca="1">IF(Y$6=OFFSET(Assumptions!$B$8,0,$C$1),AVERAGE(V$327/(V$294-V$293),W$327/(W$294-W$293),X$327/(X$294-X$293)),X$327/(X$294-X$293))*(Y$294-Y$293)</f>
        <v>16.14590608684399</v>
      </c>
      <c r="Z327" s="21">
        <f ca="1">IF(Z$6=OFFSET(Assumptions!$B$8,0,$C$1),AVERAGE(W$327/(W$294-W$293),X$327/(X$294-X$293),Y$327/(Y$294-Y$293)),Y$327/(Y$294-Y$293))*(Z$294-Z$293)</f>
        <v>16.622320734555245</v>
      </c>
    </row>
    <row r="328" spans="1:26" x14ac:dyDescent="0.25">
      <c r="A328" s="11" t="s">
        <v>1325</v>
      </c>
      <c r="B328" s="14" t="str">
        <f>$B$38</f>
        <v>From Fiscal Forecasts</v>
      </c>
      <c r="D328" s="51">
        <f>'Fiscal Forecasts'!D$213</f>
        <v>-3.629</v>
      </c>
      <c r="E328" s="51">
        <f>'Fiscal Forecasts'!E$213</f>
        <v>-3.7549999999999999</v>
      </c>
      <c r="F328" s="51">
        <f>'Fiscal Forecasts'!F$213</f>
        <v>-4.7350000000000003</v>
      </c>
      <c r="G328" s="51">
        <f>'Fiscal Forecasts'!G$213</f>
        <v>-4.2939999999999996</v>
      </c>
      <c r="H328" s="51">
        <f>'Fiscal Forecasts'!H$213</f>
        <v>-4.1829999999999998</v>
      </c>
      <c r="I328" s="51">
        <f>'Fiscal Forecasts'!I$213</f>
        <v>-4.7560000000000002</v>
      </c>
      <c r="J328" s="51">
        <f>'Fiscal Forecasts'!J$213</f>
        <v>-4.1790000000000003</v>
      </c>
      <c r="K328" s="51">
        <f>'Fiscal Forecasts'!K$213</f>
        <v>-4.7279999999999998</v>
      </c>
      <c r="L328" s="47">
        <f>'Fiscal Forecasts'!L$213</f>
        <v>-4.1150000000000002</v>
      </c>
      <c r="M328" s="47">
        <f>'Fiscal Forecasts'!M$213</f>
        <v>-4.0739999999999998</v>
      </c>
      <c r="N328" s="47">
        <f>'Fiscal Forecasts'!N$213</f>
        <v>-4.0599999999999996</v>
      </c>
      <c r="O328" s="47">
        <f>'Fiscal Forecasts'!O$213</f>
        <v>-4.2610000000000001</v>
      </c>
      <c r="P328" s="47">
        <f>'Fiscal Forecasts'!P$213</f>
        <v>-4.2300000000000004</v>
      </c>
      <c r="Q328" s="21">
        <f t="shared" ref="Q328:Z328" ca="1" si="184">SUM(Q$253-Q$252,Q$276-Q$275,Q$280-Q$279,Q$294-Q$293,Q$298-Q$297,Q$302-Q$301,Q$306-Q$305,Q$310-Q$309,Q$316-Q$315,-Q$326,-Q$327)</f>
        <v>-4.3429394168411442</v>
      </c>
      <c r="R328" s="21">
        <f t="shared" ca="1" si="184"/>
        <v>-4.4338146233657216</v>
      </c>
      <c r="S328" s="21">
        <f t="shared" ca="1" si="184"/>
        <v>-4.5265241452863307</v>
      </c>
      <c r="T328" s="21">
        <f t="shared" ca="1" si="184"/>
        <v>-4.6210212785934885</v>
      </c>
      <c r="U328" s="21">
        <f t="shared" ca="1" si="184"/>
        <v>-4.7175049575724852</v>
      </c>
      <c r="V328" s="21">
        <f t="shared" ca="1" si="184"/>
        <v>-4.815919018631206</v>
      </c>
      <c r="W328" s="21">
        <f t="shared" ca="1" si="184"/>
        <v>-4.9160990440311281</v>
      </c>
      <c r="X328" s="21">
        <f t="shared" ca="1" si="184"/>
        <v>-5.0182954024552</v>
      </c>
      <c r="Y328" s="21">
        <f t="shared" ca="1" si="184"/>
        <v>-5.1226475429515066</v>
      </c>
      <c r="Z328" s="21">
        <f t="shared" ca="1" si="184"/>
        <v>-5.2291058355795208</v>
      </c>
    </row>
    <row r="330" spans="1:26" x14ac:dyDescent="0.25">
      <c r="A330" s="11" t="s">
        <v>1326</v>
      </c>
    </row>
    <row r="331" spans="1:26" x14ac:dyDescent="0.25">
      <c r="A331" s="12" t="s">
        <v>1327</v>
      </c>
      <c r="D331" s="50">
        <f t="shared" ref="D331:Z331" si="185">D$378</f>
        <v>1.9550000000000001</v>
      </c>
      <c r="E331" s="50">
        <f t="shared" si="185"/>
        <v>1.7000000000000001E-2</v>
      </c>
      <c r="F331" s="50">
        <f t="shared" si="185"/>
        <v>12.786</v>
      </c>
      <c r="G331" s="50">
        <f t="shared" si="185"/>
        <v>-5.133</v>
      </c>
      <c r="H331" s="50">
        <f t="shared" si="185"/>
        <v>5.766</v>
      </c>
      <c r="I331" s="50">
        <f t="shared" si="185"/>
        <v>8.3520000000000003</v>
      </c>
      <c r="J331" s="50">
        <f t="shared" si="185"/>
        <v>7.3129999999999997</v>
      </c>
      <c r="K331" s="50">
        <f t="shared" si="185"/>
        <v>10.266999999999999</v>
      </c>
      <c r="L331" s="48">
        <f t="shared" si="185"/>
        <v>5.2359999999999998</v>
      </c>
      <c r="M331" s="48">
        <f t="shared" si="185"/>
        <v>5.6260000000000003</v>
      </c>
      <c r="N331" s="48">
        <f t="shared" si="185"/>
        <v>6.0119999999999996</v>
      </c>
      <c r="O331" s="48">
        <f t="shared" si="185"/>
        <v>6.4580000000000002</v>
      </c>
      <c r="P331" s="48">
        <f t="shared" si="185"/>
        <v>6.9329999999999998</v>
      </c>
      <c r="Q331" s="20">
        <f t="shared" si="185"/>
        <v>7.2834499423829602</v>
      </c>
      <c r="R331" s="20">
        <f t="shared" si="185"/>
        <v>7.7304079092414062</v>
      </c>
      <c r="S331" s="20">
        <f t="shared" si="185"/>
        <v>8.1958958346018864</v>
      </c>
      <c r="T331" s="20">
        <f t="shared" si="185"/>
        <v>8.6807329460484794</v>
      </c>
      <c r="U331" s="20">
        <f t="shared" si="185"/>
        <v>9.1849444724228615</v>
      </c>
      <c r="V331" s="20">
        <f t="shared" si="185"/>
        <v>9.7089610235655766</v>
      </c>
      <c r="W331" s="20">
        <f t="shared" si="185"/>
        <v>10.256939818437033</v>
      </c>
      <c r="X331" s="20">
        <f t="shared" si="185"/>
        <v>10.834267609788034</v>
      </c>
      <c r="Y331" s="20">
        <f t="shared" si="185"/>
        <v>11.447369923344665</v>
      </c>
      <c r="Z331" s="20">
        <f t="shared" si="185"/>
        <v>12.103381608564206</v>
      </c>
    </row>
    <row r="332" spans="1:26" x14ac:dyDescent="0.25">
      <c r="A332" s="12" t="s">
        <v>1328</v>
      </c>
      <c r="B332" s="14" t="str">
        <f>$B$38</f>
        <v>From Fiscal Forecasts</v>
      </c>
      <c r="D332" s="50">
        <f>SUM('Fiscal Forecasts'!D$301,'Fiscal Forecasts'!D$307)-D$331</f>
        <v>1.2330000000000001</v>
      </c>
      <c r="E332" s="50">
        <f>SUM('Fiscal Forecasts'!E$301,'Fiscal Forecasts'!E$307)-E$331</f>
        <v>-3.9489999999999994</v>
      </c>
      <c r="F332" s="50">
        <f>SUM('Fiscal Forecasts'!F$301,'Fiscal Forecasts'!F$307)-F$331</f>
        <v>-5.2540000000000004</v>
      </c>
      <c r="G332" s="50">
        <f>SUM('Fiscal Forecasts'!G$301,'Fiscal Forecasts'!G$307)-G$331</f>
        <v>-6.0860000000000012</v>
      </c>
      <c r="H332" s="50">
        <f>SUM('Fiscal Forecasts'!H$301,'Fiscal Forecasts'!H$307)-H$331</f>
        <v>6.798</v>
      </c>
      <c r="I332" s="50">
        <f>SUM('Fiscal Forecasts'!I$301,'Fiscal Forecasts'!I$307)-I$331</f>
        <v>-0.45800000000000018</v>
      </c>
      <c r="J332" s="50">
        <f>SUM('Fiscal Forecasts'!J$301,'Fiscal Forecasts'!J$307)-J$331</f>
        <v>0.43100000000000094</v>
      </c>
      <c r="K332" s="50">
        <f>SUM('Fiscal Forecasts'!K$301,'Fiscal Forecasts'!K$307)-K$331</f>
        <v>1.7420000000000009</v>
      </c>
      <c r="L332" s="48">
        <f>SUM('Fiscal Forecasts'!L$301,'Fiscal Forecasts'!L$307)-L$331</f>
        <v>-6.2999999999999723E-2</v>
      </c>
      <c r="M332" s="48">
        <f>SUM('Fiscal Forecasts'!M$301,'Fiscal Forecasts'!M$307)-M$331</f>
        <v>-9.7000000000000419E-2</v>
      </c>
      <c r="N332" s="48">
        <f>SUM('Fiscal Forecasts'!N$301,'Fiscal Forecasts'!N$307)-N$331</f>
        <v>-0.12600000000000033</v>
      </c>
      <c r="O332" s="48">
        <f>SUM('Fiscal Forecasts'!O$301,'Fiscal Forecasts'!O$307)-O$331</f>
        <v>-0.13100000000000023</v>
      </c>
      <c r="P332" s="48">
        <f>SUM('Fiscal Forecasts'!P$301,'Fiscal Forecasts'!P$307)-P$331</f>
        <v>-0.13400000000000034</v>
      </c>
      <c r="Q332" s="20">
        <f t="shared" ref="Q332:Z332" ca="1" si="186">P$332*(1+Q$29)</f>
        <v>-0.13668000000000036</v>
      </c>
      <c r="R332" s="20">
        <f t="shared" ca="1" si="186"/>
        <v>-0.13941360000000036</v>
      </c>
      <c r="S332" s="20">
        <f t="shared" ca="1" si="186"/>
        <v>-0.14220187200000037</v>
      </c>
      <c r="T332" s="20">
        <f t="shared" ca="1" si="186"/>
        <v>-0.14504590944000037</v>
      </c>
      <c r="U332" s="20">
        <f t="shared" ca="1" si="186"/>
        <v>-0.14794682762880038</v>
      </c>
      <c r="V332" s="20">
        <f t="shared" ca="1" si="186"/>
        <v>-0.15090576418137638</v>
      </c>
      <c r="W332" s="20">
        <f t="shared" ca="1" si="186"/>
        <v>-0.15392387946500391</v>
      </c>
      <c r="X332" s="20">
        <f t="shared" ca="1" si="186"/>
        <v>-0.15700235705430399</v>
      </c>
      <c r="Y332" s="20">
        <f t="shared" ca="1" si="186"/>
        <v>-0.16014240419539008</v>
      </c>
      <c r="Z332" s="20">
        <f t="shared" ca="1" si="186"/>
        <v>-0.16334525227929789</v>
      </c>
    </row>
    <row r="333" spans="1:26" x14ac:dyDescent="0.25">
      <c r="A333" s="11" t="s">
        <v>1329</v>
      </c>
      <c r="D333" s="94">
        <f t="shared" ref="D333:P333" si="187">SUM(D$331:D$332)</f>
        <v>3.1880000000000002</v>
      </c>
      <c r="E333" s="94">
        <f t="shared" si="187"/>
        <v>-3.9319999999999995</v>
      </c>
      <c r="F333" s="94">
        <f t="shared" si="187"/>
        <v>7.5319999999999991</v>
      </c>
      <c r="G333" s="94">
        <f t="shared" si="187"/>
        <v>-11.219000000000001</v>
      </c>
      <c r="H333" s="94">
        <f t="shared" si="187"/>
        <v>12.564</v>
      </c>
      <c r="I333" s="94">
        <f t="shared" si="187"/>
        <v>7.8940000000000001</v>
      </c>
      <c r="J333" s="94">
        <f t="shared" si="187"/>
        <v>7.7440000000000007</v>
      </c>
      <c r="K333" s="94">
        <f t="shared" si="187"/>
        <v>12.009</v>
      </c>
      <c r="L333" s="95">
        <f t="shared" si="187"/>
        <v>5.173</v>
      </c>
      <c r="M333" s="95">
        <f t="shared" si="187"/>
        <v>5.5289999999999999</v>
      </c>
      <c r="N333" s="95">
        <f t="shared" si="187"/>
        <v>5.8859999999999992</v>
      </c>
      <c r="O333" s="95">
        <f t="shared" si="187"/>
        <v>6.327</v>
      </c>
      <c r="P333" s="95">
        <f t="shared" si="187"/>
        <v>6.7989999999999995</v>
      </c>
      <c r="Q333" s="96">
        <f t="shared" ref="Q333:Z333" ca="1" si="188">SUM(Q$331:Q$332)</f>
        <v>7.14676994238296</v>
      </c>
      <c r="R333" s="96">
        <f t="shared" ca="1" si="188"/>
        <v>7.5909943092414061</v>
      </c>
      <c r="S333" s="96">
        <f t="shared" ca="1" si="188"/>
        <v>8.0536939626018853</v>
      </c>
      <c r="T333" s="96">
        <f t="shared" ca="1" si="188"/>
        <v>8.5356870366084792</v>
      </c>
      <c r="U333" s="96">
        <f t="shared" ca="1" si="188"/>
        <v>9.0369976447940612</v>
      </c>
      <c r="V333" s="96">
        <f t="shared" ca="1" si="188"/>
        <v>9.5580552593842008</v>
      </c>
      <c r="W333" s="96">
        <f t="shared" ca="1" si="188"/>
        <v>10.103015938972028</v>
      </c>
      <c r="X333" s="96">
        <f t="shared" ca="1" si="188"/>
        <v>10.677265252733729</v>
      </c>
      <c r="Y333" s="96">
        <f t="shared" ca="1" si="188"/>
        <v>11.287227519149274</v>
      </c>
      <c r="Z333" s="96">
        <f t="shared" ca="1" si="188"/>
        <v>11.940036356284908</v>
      </c>
    </row>
    <row r="334" spans="1:26" x14ac:dyDescent="0.25">
      <c r="A334" s="12" t="s">
        <v>1020</v>
      </c>
      <c r="B334" s="14" t="str">
        <f>$B$38</f>
        <v>From Fiscal Forecasts</v>
      </c>
      <c r="D334" s="50">
        <f>SUM('Fiscal Forecasts'!D$302,'Fiscal Forecasts'!D$308)</f>
        <v>-7.8920000000000003</v>
      </c>
      <c r="E334" s="50">
        <f>SUM('Fiscal Forecasts'!E$302,'Fiscal Forecasts'!E$308)</f>
        <v>-4.32</v>
      </c>
      <c r="F334" s="50">
        <f>SUM('Fiscal Forecasts'!F$302,'Fiscal Forecasts'!F$308)</f>
        <v>12.293999999999999</v>
      </c>
      <c r="G334" s="50">
        <f>SUM('Fiscal Forecasts'!G$302,'Fiscal Forecasts'!G$308)</f>
        <v>1.3290000000000006</v>
      </c>
      <c r="H334" s="50">
        <f>SUM('Fiscal Forecasts'!H$302,'Fiscal Forecasts'!H$308)</f>
        <v>3</v>
      </c>
      <c r="I334" s="50">
        <f>SUM('Fiscal Forecasts'!I$302,'Fiscal Forecasts'!I$308)</f>
        <v>-3.415</v>
      </c>
      <c r="J334" s="50">
        <f>SUM('Fiscal Forecasts'!J$302,'Fiscal Forecasts'!J$308)</f>
        <v>2.9449999999999998</v>
      </c>
      <c r="K334" s="50">
        <f>SUM('Fiscal Forecasts'!K$302,'Fiscal Forecasts'!K$308)</f>
        <v>1.198</v>
      </c>
      <c r="L334" s="48">
        <f>SUM('Fiscal Forecasts'!L$302,'Fiscal Forecasts'!L$308)</f>
        <v>0.38500000000000001</v>
      </c>
      <c r="M334" s="48">
        <f>SUM('Fiscal Forecasts'!M$302,'Fiscal Forecasts'!M$308)</f>
        <v>0.70499999999999996</v>
      </c>
      <c r="N334" s="48">
        <f>SUM('Fiscal Forecasts'!N$302,'Fiscal Forecasts'!N$308)</f>
        <v>0.80200000000000005</v>
      </c>
      <c r="O334" s="48">
        <f>SUM('Fiscal Forecasts'!O$302,'Fiscal Forecasts'!O$308)</f>
        <v>0.90300000000000002</v>
      </c>
      <c r="P334" s="48">
        <f>SUM('Fiscal Forecasts'!P$302,'Fiscal Forecasts'!P$308)</f>
        <v>0.99999999999999989</v>
      </c>
      <c r="Q334" s="20">
        <f>P$334*Exogenous!AB$29/Exogenous!AA$29</f>
        <v>1.0363267389769488</v>
      </c>
      <c r="R334" s="20">
        <f>Q$334*Exogenous!AC$29/Exogenous!AB$29</f>
        <v>1.0802950857122942</v>
      </c>
      <c r="S334" s="20">
        <f>R$334*Exogenous!AD$29/Exogenous!AC$29</f>
        <v>1.1330471897300756</v>
      </c>
      <c r="T334" s="20">
        <f>S$334*Exogenous!AE$29/Exogenous!AD$29</f>
        <v>1.1969652329408531</v>
      </c>
      <c r="U334" s="20">
        <f>T$334*Exogenous!AF$29/Exogenous!AE$29</f>
        <v>1.2715589598048667</v>
      </c>
      <c r="V334" s="20">
        <f>U$334*Exogenous!AG$29/Exogenous!AF$29</f>
        <v>1.3495622108889265</v>
      </c>
      <c r="W334" s="20">
        <f>V$334*Exogenous!AH$29/Exogenous!AG$29</f>
        <v>1.4301190120455329</v>
      </c>
      <c r="X334" s="20">
        <f>W$334*Exogenous!AI$29/Exogenous!AH$29</f>
        <v>1.5127368065797728</v>
      </c>
      <c r="Y334" s="20">
        <f>X$334*Exogenous!AJ$29/Exogenous!AI$29</f>
        <v>1.598162204448075</v>
      </c>
      <c r="Z334" s="20">
        <f>Y$334*Exogenous!AK$29/Exogenous!AJ$29</f>
        <v>1.6858232592274347</v>
      </c>
    </row>
    <row r="335" spans="1:26" x14ac:dyDescent="0.25">
      <c r="A335" s="12" t="s">
        <v>1227</v>
      </c>
      <c r="B335" s="14" t="str">
        <f>$B$38</f>
        <v>From Fiscal Forecasts</v>
      </c>
      <c r="D335" s="50">
        <f>SUM('Fiscal Forecasts'!D$303,'Fiscal Forecasts'!D$309)</f>
        <v>0.254</v>
      </c>
      <c r="E335" s="50">
        <f>SUM('Fiscal Forecasts'!E$303,'Fiscal Forecasts'!E$309)</f>
        <v>-6.9000000000000006E-2</v>
      </c>
      <c r="F335" s="50">
        <f>SUM('Fiscal Forecasts'!F$303,'Fiscal Forecasts'!F$309)</f>
        <v>0.23199999999999998</v>
      </c>
      <c r="G335" s="50">
        <f>SUM('Fiscal Forecasts'!G$303,'Fiscal Forecasts'!G$309)</f>
        <v>0.85899999999999999</v>
      </c>
      <c r="H335" s="50">
        <f>SUM('Fiscal Forecasts'!H$303,'Fiscal Forecasts'!H$309)</f>
        <v>-0.13799999999999998</v>
      </c>
      <c r="I335" s="50">
        <f>SUM('Fiscal Forecasts'!I$303,'Fiscal Forecasts'!I$309)</f>
        <v>0.46499999999999997</v>
      </c>
      <c r="J335" s="50">
        <f>SUM('Fiscal Forecasts'!J$303,'Fiscal Forecasts'!J$309)</f>
        <v>-1.071</v>
      </c>
      <c r="K335" s="50">
        <f>SUM('Fiscal Forecasts'!K$303,'Fiscal Forecasts'!K$309)</f>
        <v>-0.81699999999999995</v>
      </c>
      <c r="L335" s="48">
        <f>SUM('Fiscal Forecasts'!L$303,'Fiscal Forecasts'!L$309)</f>
        <v>0.12</v>
      </c>
      <c r="M335" s="48">
        <f>SUM('Fiscal Forecasts'!M$303,'Fiscal Forecasts'!M$309)</f>
        <v>5.7000000000000002E-2</v>
      </c>
      <c r="N335" s="48">
        <f>SUM('Fiscal Forecasts'!N$303,'Fiscal Forecasts'!N$309)</f>
        <v>0.109</v>
      </c>
      <c r="O335" s="48">
        <f>SUM('Fiscal Forecasts'!O$303,'Fiscal Forecasts'!O$309)</f>
        <v>0.106</v>
      </c>
      <c r="P335" s="48">
        <f>SUM('Fiscal Forecasts'!P$303,'Fiscal Forecasts'!P$309)</f>
        <v>0.111</v>
      </c>
      <c r="Q335" s="20">
        <f t="shared" ref="Q335:Z335" ca="1" si="189">P$335*(1+Q$14)</f>
        <v>0.11583192871289606</v>
      </c>
      <c r="R335" s="20">
        <f t="shared" ca="1" si="189"/>
        <v>0.12076233014105901</v>
      </c>
      <c r="S335" s="20">
        <f t="shared" ca="1" si="189"/>
        <v>0.12582335163874564</v>
      </c>
      <c r="T335" s="20">
        <f t="shared" ca="1" si="189"/>
        <v>0.13100315541068408</v>
      </c>
      <c r="U335" s="20">
        <f t="shared" ca="1" si="189"/>
        <v>0.13636358276280239</v>
      </c>
      <c r="V335" s="20">
        <f t="shared" ca="1" si="189"/>
        <v>0.14190654006705766</v>
      </c>
      <c r="W335" s="20">
        <f t="shared" ca="1" si="189"/>
        <v>0.14760406319549119</v>
      </c>
      <c r="X335" s="20">
        <f t="shared" ca="1" si="189"/>
        <v>0.15346565137505819</v>
      </c>
      <c r="Y335" s="20">
        <f t="shared" ca="1" si="189"/>
        <v>0.15952195703503902</v>
      </c>
      <c r="Z335" s="20">
        <f t="shared" ca="1" si="189"/>
        <v>0.16577454218694485</v>
      </c>
    </row>
    <row r="336" spans="1:26" x14ac:dyDescent="0.25">
      <c r="A336" s="12" t="s">
        <v>1228</v>
      </c>
      <c r="B336" s="14" t="str">
        <f>$B$38</f>
        <v>From Fiscal Forecasts</v>
      </c>
      <c r="D336" s="50">
        <f>SUM('Fiscal Forecasts'!D$24,'Fiscal Forecasts'!D$25)-SUM(D$333:D$335)</f>
        <v>-2.6809999999999983</v>
      </c>
      <c r="E336" s="50">
        <f>SUM('Fiscal Forecasts'!E$24,'Fiscal Forecasts'!E$25)-SUM(E$333:E$335)</f>
        <v>-0.4009999999999998</v>
      </c>
      <c r="F336" s="50">
        <f>SUM('Fiscal Forecasts'!F$24,'Fiscal Forecasts'!F$25)-SUM(F$333:F$335)</f>
        <v>0.96500000000000341</v>
      </c>
      <c r="G336" s="50">
        <f>SUM('Fiscal Forecasts'!G$24,'Fiscal Forecasts'!G$25)-SUM(G$333:G$335)</f>
        <v>2.3090000000000011</v>
      </c>
      <c r="H336" s="50">
        <f>SUM('Fiscal Forecasts'!H$24,'Fiscal Forecasts'!H$25)-SUM(H$333:H$335)</f>
        <v>-0.76799999999999891</v>
      </c>
      <c r="I336" s="50">
        <f>SUM('Fiscal Forecasts'!I$24,'Fiscal Forecasts'!I$25)-SUM(I$333:I$335)</f>
        <v>-0.27700000000000014</v>
      </c>
      <c r="J336" s="50">
        <f>SUM('Fiscal Forecasts'!J$24,'Fiscal Forecasts'!J$25)-SUM(J$333:J$335)</f>
        <v>-0.74799999999999933</v>
      </c>
      <c r="K336" s="50">
        <f>SUM('Fiscal Forecasts'!K$24,'Fiscal Forecasts'!K$25)-SUM(K$333:K$335)</f>
        <v>-1.1380000000000017</v>
      </c>
      <c r="L336" s="48">
        <f>SUM('Fiscal Forecasts'!L$24,'Fiscal Forecasts'!L$25)-SUM(L$333:L$335)</f>
        <v>-8.3000000000000185E-2</v>
      </c>
      <c r="M336" s="48">
        <f>SUM('Fiscal Forecasts'!M$24,'Fiscal Forecasts'!M$25)-SUM(M$333:M$335)</f>
        <v>-0.10500000000000043</v>
      </c>
      <c r="N336" s="48">
        <f>SUM('Fiscal Forecasts'!N$24,'Fiscal Forecasts'!N$25)-SUM(N$333:N$335)</f>
        <v>-0.12699999999999889</v>
      </c>
      <c r="O336" s="48">
        <f>SUM('Fiscal Forecasts'!O$24,'Fiscal Forecasts'!O$25)-SUM(O$333:O$335)</f>
        <v>-0.17400000000000038</v>
      </c>
      <c r="P336" s="48">
        <f>SUM('Fiscal Forecasts'!P$24,'Fiscal Forecasts'!P$25)-SUM(P$333:P$335)</f>
        <v>-0.10499999999999954</v>
      </c>
      <c r="Q336" s="20">
        <f t="shared" ref="Q336:Z336" ca="1" si="190">P$336*(1+Q$14)</f>
        <v>-0.10957074337706335</v>
      </c>
      <c r="R336" s="20">
        <f t="shared" ca="1" si="190"/>
        <v>-0.11423463661992017</v>
      </c>
      <c r="S336" s="20">
        <f t="shared" ca="1" si="190"/>
        <v>-0.11902208938800209</v>
      </c>
      <c r="T336" s="20">
        <f t="shared" ca="1" si="190"/>
        <v>-0.12392190376686274</v>
      </c>
      <c r="U336" s="20">
        <f t="shared" ca="1" si="190"/>
        <v>-0.12899257828913679</v>
      </c>
      <c r="V336" s="20">
        <f t="shared" ca="1" si="190"/>
        <v>-0.13423591627964851</v>
      </c>
      <c r="W336" s="20">
        <f t="shared" ca="1" si="190"/>
        <v>-0.13962546518492344</v>
      </c>
      <c r="X336" s="20">
        <f t="shared" ca="1" si="190"/>
        <v>-0.14517021076018949</v>
      </c>
      <c r="Y336" s="20">
        <f t="shared" ca="1" si="190"/>
        <v>-0.15089914854665781</v>
      </c>
      <c r="Z336" s="20">
        <f t="shared" ca="1" si="190"/>
        <v>-0.15681375612278492</v>
      </c>
    </row>
    <row r="337" spans="1:26" x14ac:dyDescent="0.25">
      <c r="A337" s="11" t="s">
        <v>1330</v>
      </c>
      <c r="D337" s="94">
        <f t="shared" ref="D337:P337" si="191">SUM(D$333:D$336)</f>
        <v>-7.1309999999999993</v>
      </c>
      <c r="E337" s="94">
        <f t="shared" si="191"/>
        <v>-8.7219999999999995</v>
      </c>
      <c r="F337" s="94">
        <f t="shared" si="191"/>
        <v>21.023</v>
      </c>
      <c r="G337" s="94">
        <f t="shared" si="191"/>
        <v>-6.7219999999999995</v>
      </c>
      <c r="H337" s="94">
        <f t="shared" si="191"/>
        <v>14.658000000000001</v>
      </c>
      <c r="I337" s="94">
        <f t="shared" si="191"/>
        <v>4.6669999999999998</v>
      </c>
      <c r="J337" s="94">
        <f t="shared" si="191"/>
        <v>8.870000000000001</v>
      </c>
      <c r="K337" s="94">
        <f t="shared" si="191"/>
        <v>11.251999999999999</v>
      </c>
      <c r="L337" s="95">
        <f t="shared" si="191"/>
        <v>5.5949999999999998</v>
      </c>
      <c r="M337" s="95">
        <f t="shared" si="191"/>
        <v>6.1859999999999999</v>
      </c>
      <c r="N337" s="95">
        <f t="shared" si="191"/>
        <v>6.67</v>
      </c>
      <c r="O337" s="95">
        <f t="shared" si="191"/>
        <v>7.1619999999999999</v>
      </c>
      <c r="P337" s="95">
        <f t="shared" si="191"/>
        <v>7.8049999999999997</v>
      </c>
      <c r="Q337" s="96">
        <f t="shared" ref="Q337:Z337" ca="1" si="192">SUM(Q$333:Q$336)</f>
        <v>8.1893578666957438</v>
      </c>
      <c r="R337" s="96">
        <f t="shared" ca="1" si="192"/>
        <v>8.6778170884748373</v>
      </c>
      <c r="S337" s="96">
        <f t="shared" ca="1" si="192"/>
        <v>9.1935424145827049</v>
      </c>
      <c r="T337" s="96">
        <f t="shared" ca="1" si="192"/>
        <v>9.7397335211931519</v>
      </c>
      <c r="U337" s="96">
        <f t="shared" ca="1" si="192"/>
        <v>10.315927609072595</v>
      </c>
      <c r="V337" s="96">
        <f t="shared" ca="1" si="192"/>
        <v>10.915288094060537</v>
      </c>
      <c r="W337" s="96">
        <f t="shared" ca="1" si="192"/>
        <v>11.541113549028129</v>
      </c>
      <c r="X337" s="96">
        <f t="shared" ca="1" si="192"/>
        <v>12.198297499928369</v>
      </c>
      <c r="Y337" s="96">
        <f t="shared" ca="1" si="192"/>
        <v>12.89401253208573</v>
      </c>
      <c r="Z337" s="96">
        <f t="shared" ca="1" si="192"/>
        <v>13.634820401576503</v>
      </c>
    </row>
    <row r="339" spans="1:26" x14ac:dyDescent="0.25">
      <c r="A339" s="11" t="s">
        <v>881</v>
      </c>
    </row>
    <row r="340" spans="1:26" x14ac:dyDescent="0.25">
      <c r="A340" s="11" t="s">
        <v>1331</v>
      </c>
      <c r="B340" s="14" t="str">
        <f>$B$38</f>
        <v>From Fiscal Forecasts</v>
      </c>
      <c r="D340" s="51">
        <f>'Fiscal Forecasts'!D$177-SUM('Fiscal Forecasts'!D$301,'Fiscal Forecasts'!D$307)</f>
        <v>4.0000000000000036E-3</v>
      </c>
      <c r="E340" s="51">
        <f>'Fiscal Forecasts'!E$177-SUM('Fiscal Forecasts'!E$301,'Fiscal Forecasts'!E$307)</f>
        <v>-4.2000000000000703E-2</v>
      </c>
      <c r="F340" s="51">
        <f>'Fiscal Forecasts'!F$177-SUM('Fiscal Forecasts'!F$301,'Fiscal Forecasts'!F$307)</f>
        <v>-3.199999999999914E-2</v>
      </c>
      <c r="G340" s="51">
        <f>'Fiscal Forecasts'!G$177-SUM('Fiscal Forecasts'!G$301,'Fiscal Forecasts'!G$307)</f>
        <v>-0.18699999999999939</v>
      </c>
      <c r="H340" s="51">
        <f>'Fiscal Forecasts'!H$177-SUM('Fiscal Forecasts'!H$301,'Fiscal Forecasts'!H$307)</f>
        <v>-9.5000000000000639E-2</v>
      </c>
      <c r="I340" s="51">
        <f>'Fiscal Forecasts'!I$177-SUM('Fiscal Forecasts'!I$301,'Fiscal Forecasts'!I$307)</f>
        <v>-9.9999999999997868E-3</v>
      </c>
      <c r="J340" s="51">
        <f>'Fiscal Forecasts'!J$177-SUM('Fiscal Forecasts'!J$301,'Fiscal Forecasts'!J$307)</f>
        <v>-5.7000000000000384E-2</v>
      </c>
      <c r="K340" s="51">
        <f>'Fiscal Forecasts'!K$177-SUM('Fiscal Forecasts'!K$301,'Fiscal Forecasts'!K$307)</f>
        <v>-3.2000000000000028E-2</v>
      </c>
      <c r="L340" s="47">
        <f>'Fiscal Forecasts'!L$177-SUM('Fiscal Forecasts'!L$301,'Fiscal Forecasts'!L$307)</f>
        <v>3.9999999999995595E-3</v>
      </c>
      <c r="M340" s="47">
        <f>'Fiscal Forecasts'!M$177-SUM('Fiscal Forecasts'!M$301,'Fiscal Forecasts'!M$307)</f>
        <v>1.499999999999968E-2</v>
      </c>
      <c r="N340" s="47">
        <f>'Fiscal Forecasts'!N$177-SUM('Fiscal Forecasts'!N$301,'Fiscal Forecasts'!N$307)</f>
        <v>1.1000000000001009E-2</v>
      </c>
      <c r="O340" s="47">
        <f>'Fiscal Forecasts'!O$177-SUM('Fiscal Forecasts'!O$301,'Fiscal Forecasts'!O$307)</f>
        <v>1.2000000000000455E-2</v>
      </c>
      <c r="P340" s="47">
        <f>'Fiscal Forecasts'!P$177-SUM('Fiscal Forecasts'!P$301,'Fiscal Forecasts'!P$307)</f>
        <v>1.0000000000000675E-2</v>
      </c>
      <c r="Q340" s="21">
        <f t="shared" ref="Q340:Z340" ca="1" si="193">P$340*(1+Q$14)</f>
        <v>1.0435308893054404E-2</v>
      </c>
      <c r="R340" s="21">
        <f t="shared" ca="1" si="193"/>
        <v>1.0879489201897944E-2</v>
      </c>
      <c r="S340" s="21">
        <f t="shared" ca="1" si="193"/>
        <v>1.1335437084572445E-2</v>
      </c>
      <c r="T340" s="21">
        <f t="shared" ca="1" si="193"/>
        <v>1.1802086073035397E-2</v>
      </c>
      <c r="U340" s="21">
        <f t="shared" ca="1" si="193"/>
        <v>1.2285007456109151E-2</v>
      </c>
      <c r="V340" s="21">
        <f t="shared" ca="1" si="193"/>
        <v>1.2784372979015064E-2</v>
      </c>
      <c r="W340" s="21">
        <f t="shared" ca="1" si="193"/>
        <v>1.3297663350946046E-2</v>
      </c>
      <c r="X340" s="21">
        <f t="shared" ca="1" si="193"/>
        <v>1.3825734358114281E-2</v>
      </c>
      <c r="Y340" s="21">
        <f t="shared" ca="1" si="193"/>
        <v>1.4371347480635113E-2</v>
      </c>
      <c r="Z340" s="21">
        <f t="shared" ca="1" si="193"/>
        <v>1.4934643440266305E-2</v>
      </c>
    </row>
    <row r="341" spans="1:26" x14ac:dyDescent="0.25">
      <c r="A341" s="11" t="s">
        <v>1332</v>
      </c>
      <c r="B341" s="14" t="str">
        <f>$B$38</f>
        <v>From Fiscal Forecasts</v>
      </c>
      <c r="D341" s="51">
        <f>'Fiscal Forecasts'!D$27</f>
        <v>0.20599999999999999</v>
      </c>
      <c r="E341" s="51">
        <f>'Fiscal Forecasts'!E$27</f>
        <v>1.1930000000000001</v>
      </c>
      <c r="F341" s="51">
        <f>'Fiscal Forecasts'!F$27</f>
        <v>-0.36</v>
      </c>
      <c r="G341" s="51">
        <f>'Fiscal Forecasts'!G$27</f>
        <v>-0.126</v>
      </c>
      <c r="H341" s="51">
        <f>'Fiscal Forecasts'!H$27</f>
        <v>2.9000000000000001E-2</v>
      </c>
      <c r="I341" s="51">
        <f>'Fiscal Forecasts'!I$27</f>
        <v>0.12</v>
      </c>
      <c r="J341" s="51">
        <f>'Fiscal Forecasts'!J$27</f>
        <v>0.214</v>
      </c>
      <c r="K341" s="51">
        <f>'Fiscal Forecasts'!K$27</f>
        <v>0.27400000000000002</v>
      </c>
      <c r="L341" s="47">
        <f>'Fiscal Forecasts'!L$27</f>
        <v>0.26500000000000001</v>
      </c>
      <c r="M341" s="47">
        <f>'Fiscal Forecasts'!M$27</f>
        <v>0.252</v>
      </c>
      <c r="N341" s="47">
        <f>'Fiscal Forecasts'!N$27</f>
        <v>0.22</v>
      </c>
      <c r="O341" s="47">
        <f>'Fiscal Forecasts'!O$27</f>
        <v>0.127</v>
      </c>
      <c r="P341" s="47">
        <f>'Fiscal Forecasts'!P$27</f>
        <v>7.0000000000000007E-2</v>
      </c>
      <c r="Q341" s="21">
        <f t="shared" ref="Q341:Z341" ca="1" si="194">Q$340+(P$341-P$340)*(1+Q$14)</f>
        <v>7.3047162251375891E-2</v>
      </c>
      <c r="R341" s="21">
        <f t="shared" ca="1" si="194"/>
        <v>7.6156424413280466E-2</v>
      </c>
      <c r="S341" s="21">
        <f t="shared" ca="1" si="194"/>
        <v>7.9348059592001752E-2</v>
      </c>
      <c r="T341" s="21">
        <f t="shared" ca="1" si="194"/>
        <v>8.2614602511242197E-2</v>
      </c>
      <c r="U341" s="21">
        <f t="shared" ca="1" si="194"/>
        <v>8.5995052192758242E-2</v>
      </c>
      <c r="V341" s="21">
        <f t="shared" ca="1" si="194"/>
        <v>8.9490610853099395E-2</v>
      </c>
      <c r="W341" s="21">
        <f t="shared" ca="1" si="194"/>
        <v>9.308364345661603E-2</v>
      </c>
      <c r="X341" s="21">
        <f t="shared" ca="1" si="194"/>
        <v>9.6780140506793413E-2</v>
      </c>
      <c r="Y341" s="21">
        <f t="shared" ca="1" si="194"/>
        <v>0.10059943236443897</v>
      </c>
      <c r="Z341" s="21">
        <f t="shared" ca="1" si="194"/>
        <v>0.10454250408185706</v>
      </c>
    </row>
    <row r="343" spans="1:26" x14ac:dyDescent="0.25">
      <c r="A343" s="11" t="s">
        <v>941</v>
      </c>
    </row>
    <row r="344" spans="1:26" x14ac:dyDescent="0.25">
      <c r="A344" s="12" t="s">
        <v>1333</v>
      </c>
      <c r="D344" s="50">
        <f ca="1">OFFSET(Assumptions!$B$50,0,$C$1)*(D$384-D$350-D$391)</f>
        <v>1.31616</v>
      </c>
      <c r="E344" s="50">
        <f ca="1">OFFSET(Assumptions!$B$50,0,$C$1)*(E$384-E$350-E$391)</f>
        <v>1.29735</v>
      </c>
      <c r="F344" s="50">
        <f ca="1">OFFSET(Assumptions!$B$50,0,$C$1)*(F$384-F$350-F$391)</f>
        <v>1.6793399999999998</v>
      </c>
      <c r="G344" s="50">
        <f ca="1">OFFSET(Assumptions!$B$50,0,$C$1)*(G$384-G$350-G$391)</f>
        <v>1.8089399999999998</v>
      </c>
      <c r="H344" s="50">
        <f ca="1">OFFSET(Assumptions!$B$50,0,$C$1)*(H$384-H$350-H$391)</f>
        <v>1.7712000000000003</v>
      </c>
      <c r="I344" s="50">
        <f ca="1">OFFSET(Assumptions!$B$50,0,$C$1)*(I$384-I$350-I$391)</f>
        <v>2.0238899999999997</v>
      </c>
      <c r="J344" s="50">
        <f ca="1">OFFSET(Assumptions!$B$50,0,$C$1)*(J$384-J$350-J$391)</f>
        <v>2.2551899999999998</v>
      </c>
      <c r="K344" s="50">
        <f ca="1">OFFSET(Assumptions!$B$50,0,$C$1)*(K$384-K$350-K$391)</f>
        <v>2.5261199999999997</v>
      </c>
      <c r="L344" s="48">
        <f ca="1">OFFSET(Assumptions!$B$50,0,$C$1)*(L$384-L$350-L$391)</f>
        <v>2.8082699999999998</v>
      </c>
      <c r="M344" s="48">
        <f ca="1">OFFSET(Assumptions!$B$50,0,$C$1)*(M$384-M$350-M$391)</f>
        <v>3.0734999999999997</v>
      </c>
      <c r="N344" s="48">
        <f ca="1">OFFSET(Assumptions!$B$50,0,$C$1)*(N$384-N$350-N$391)</f>
        <v>3.2325900000000001</v>
      </c>
      <c r="O344" s="48">
        <f ca="1">OFFSET(Assumptions!$B$50,0,$C$1)*(O$384-O$350-O$391)</f>
        <v>3.4293900000000002</v>
      </c>
      <c r="P344" s="48">
        <f ca="1">OFFSET(Assumptions!$B$50,0,$C$1)*(P$384-P$350-P$391)</f>
        <v>3.6507000000000001</v>
      </c>
      <c r="Q344" s="20">
        <f ca="1">OFFSET(Assumptions!$B$50,0,$C$1)*(Q$384-Q$350-Q$391)</f>
        <v>3.8555168836921516</v>
      </c>
      <c r="R344" s="20">
        <f ca="1">OFFSET(Assumptions!$B$50,0,$C$1)*(R$384-R$350-R$391)</f>
        <v>4.0907614936116232</v>
      </c>
      <c r="S344" s="20">
        <f ca="1">OFFSET(Assumptions!$B$50,0,$C$1)*(S$384-S$350-S$391)</f>
        <v>4.3355826994696205</v>
      </c>
      <c r="T344" s="20">
        <f ca="1">OFFSET(Assumptions!$B$50,0,$C$1)*(T$384-T$350-T$391)</f>
        <v>4.5908237902422755</v>
      </c>
      <c r="U344" s="20">
        <f ca="1">OFFSET(Assumptions!$B$50,0,$C$1)*(U$384-U$350-U$391)</f>
        <v>4.8554975253519128</v>
      </c>
      <c r="V344" s="20">
        <f ca="1">OFFSET(Assumptions!$B$50,0,$C$1)*(V$384-V$350-V$391)</f>
        <v>5.1312818162294684</v>
      </c>
      <c r="W344" s="20">
        <f ca="1">OFFSET(Assumptions!$B$50,0,$C$1)*(W$384-W$350-W$391)</f>
        <v>5.4208727375388328</v>
      </c>
      <c r="X344" s="20">
        <f ca="1">OFFSET(Assumptions!$B$50,0,$C$1)*(X$384-X$350-X$391)</f>
        <v>5.7271350366906253</v>
      </c>
      <c r="Y344" s="20">
        <f ca="1">OFFSET(Assumptions!$B$50,0,$C$1)*(Y$384-Y$350-Y$391)</f>
        <v>6.0539090089442951</v>
      </c>
      <c r="Z344" s="20">
        <f ca="1">OFFSET(Assumptions!$B$50,0,$C$1)*(Z$384-Z$350-Z$391)</f>
        <v>6.4046646546135451</v>
      </c>
    </row>
    <row r="345" spans="1:26" x14ac:dyDescent="0.25">
      <c r="A345" s="12" t="s">
        <v>1334</v>
      </c>
      <c r="B345" s="14" t="str">
        <f>$B$38</f>
        <v>From Fiscal Forecasts</v>
      </c>
      <c r="D345" s="50">
        <f ca="1">'Fiscal Forecasts'!D$180-D$344</f>
        <v>16.06184</v>
      </c>
      <c r="E345" s="50">
        <f ca="1">'Fiscal Forecasts'!E$180-E$344</f>
        <v>16.883649999999999</v>
      </c>
      <c r="F345" s="50">
        <f ca="1">'Fiscal Forecasts'!F$180-F$344</f>
        <v>11.44966</v>
      </c>
      <c r="G345" s="50">
        <f ca="1">'Fiscal Forecasts'!G$180-G$344</f>
        <v>9.5990599999999997</v>
      </c>
      <c r="H345" s="50">
        <f ca="1">'Fiscal Forecasts'!H$180-H$344</f>
        <v>9.2018000000000004</v>
      </c>
      <c r="I345" s="50">
        <f ca="1">'Fiscal Forecasts'!I$180-I$344</f>
        <v>7.0871100000000009</v>
      </c>
      <c r="J345" s="50">
        <f ca="1">'Fiscal Forecasts'!J$180-J$344</f>
        <v>13.806810000000002</v>
      </c>
      <c r="K345" s="50">
        <f ca="1">'Fiscal Forecasts'!K$180-K$344</f>
        <v>17.553879999999999</v>
      </c>
      <c r="L345" s="48">
        <f ca="1">'Fiscal Forecasts'!L$180-L$344</f>
        <v>18.414729999999999</v>
      </c>
      <c r="M345" s="48">
        <f ca="1">'Fiscal Forecasts'!M$180-M$344</f>
        <v>18.426500000000001</v>
      </c>
      <c r="N345" s="48">
        <f ca="1">'Fiscal Forecasts'!N$180-N$344</f>
        <v>18.488410000000002</v>
      </c>
      <c r="O345" s="48">
        <f ca="1">'Fiscal Forecasts'!O$180-O$344</f>
        <v>18.16161</v>
      </c>
      <c r="P345" s="48">
        <f ca="1">'Fiscal Forecasts'!P$180-P$344</f>
        <v>17.622299999999999</v>
      </c>
      <c r="Q345" s="20">
        <f t="shared" ref="Q345:Z345" ca="1" si="195">P$345*(1+Q$14)</f>
        <v>18.389414390606017</v>
      </c>
      <c r="R345" s="20">
        <f t="shared" ca="1" si="195"/>
        <v>19.172162256259313</v>
      </c>
      <c r="S345" s="20">
        <f t="shared" ca="1" si="195"/>
        <v>19.975647293544743</v>
      </c>
      <c r="T345" s="20">
        <f t="shared" ca="1" si="195"/>
        <v>20.797990140483755</v>
      </c>
      <c r="U345" s="20">
        <f t="shared" ca="1" si="195"/>
        <v>21.649008689377759</v>
      </c>
      <c r="V345" s="20">
        <f t="shared" ca="1" si="195"/>
        <v>22.529005594808186</v>
      </c>
      <c r="W345" s="20">
        <f t="shared" ca="1" si="195"/>
        <v>23.433541286936059</v>
      </c>
      <c r="X345" s="20">
        <f t="shared" ca="1" si="195"/>
        <v>24.364123857898072</v>
      </c>
      <c r="Y345" s="20">
        <f t="shared" ca="1" si="195"/>
        <v>25.325619670797892</v>
      </c>
      <c r="Z345" s="20">
        <f t="shared" ca="1" si="195"/>
        <v>26.318276709738701</v>
      </c>
    </row>
    <row r="346" spans="1:26" x14ac:dyDescent="0.25">
      <c r="A346" s="11" t="s">
        <v>1335</v>
      </c>
      <c r="D346" s="94">
        <f t="shared" ref="D346:Z346" ca="1" si="196">SUM(D$344:D$345)</f>
        <v>17.378</v>
      </c>
      <c r="E346" s="94">
        <f t="shared" ca="1" si="196"/>
        <v>18.181000000000001</v>
      </c>
      <c r="F346" s="94">
        <f t="shared" ca="1" si="196"/>
        <v>13.129</v>
      </c>
      <c r="G346" s="94">
        <f t="shared" ca="1" si="196"/>
        <v>11.407999999999999</v>
      </c>
      <c r="H346" s="94">
        <f t="shared" ca="1" si="196"/>
        <v>10.973000000000001</v>
      </c>
      <c r="I346" s="94">
        <f t="shared" ca="1" si="196"/>
        <v>9.1110000000000007</v>
      </c>
      <c r="J346" s="94">
        <f t="shared" ca="1" si="196"/>
        <v>16.062000000000001</v>
      </c>
      <c r="K346" s="94">
        <f t="shared" ca="1" si="196"/>
        <v>20.079999999999998</v>
      </c>
      <c r="L346" s="95">
        <f t="shared" ca="1" si="196"/>
        <v>21.222999999999999</v>
      </c>
      <c r="M346" s="95">
        <f t="shared" ca="1" si="196"/>
        <v>21.5</v>
      </c>
      <c r="N346" s="95">
        <f t="shared" ca="1" si="196"/>
        <v>21.721000000000004</v>
      </c>
      <c r="O346" s="95">
        <f t="shared" ca="1" si="196"/>
        <v>21.591000000000001</v>
      </c>
      <c r="P346" s="95">
        <f t="shared" ca="1" si="196"/>
        <v>21.273</v>
      </c>
      <c r="Q346" s="96">
        <f t="shared" ca="1" si="196"/>
        <v>22.244931274298168</v>
      </c>
      <c r="R346" s="96">
        <f t="shared" ca="1" si="196"/>
        <v>23.262923749870936</v>
      </c>
      <c r="S346" s="96">
        <f t="shared" ca="1" si="196"/>
        <v>24.311229993014365</v>
      </c>
      <c r="T346" s="96">
        <f t="shared" ca="1" si="196"/>
        <v>25.38881393072603</v>
      </c>
      <c r="U346" s="96">
        <f t="shared" ca="1" si="196"/>
        <v>26.504506214729673</v>
      </c>
      <c r="V346" s="96">
        <f t="shared" ca="1" si="196"/>
        <v>27.660287411037654</v>
      </c>
      <c r="W346" s="96">
        <f t="shared" ca="1" si="196"/>
        <v>28.854414024474892</v>
      </c>
      <c r="X346" s="96">
        <f t="shared" ca="1" si="196"/>
        <v>30.091258894588698</v>
      </c>
      <c r="Y346" s="96">
        <f t="shared" ca="1" si="196"/>
        <v>31.379528679742187</v>
      </c>
      <c r="Z346" s="96">
        <f t="shared" ca="1" si="196"/>
        <v>32.722941364352245</v>
      </c>
    </row>
    <row r="347" spans="1:26" x14ac:dyDescent="0.25">
      <c r="A347" s="11" t="s">
        <v>1336</v>
      </c>
      <c r="B347" s="14" t="str">
        <f>$B$38</f>
        <v>From Fiscal Forecasts</v>
      </c>
      <c r="D347" s="51">
        <f>'Fiscal Forecasts'!D$120</f>
        <v>20.248000000000001</v>
      </c>
      <c r="E347" s="51">
        <f>'Fiscal Forecasts'!E$120</f>
        <v>21.927</v>
      </c>
      <c r="F347" s="51">
        <f>'Fiscal Forecasts'!F$120</f>
        <v>18.754999999999999</v>
      </c>
      <c r="G347" s="51">
        <f>'Fiscal Forecasts'!G$120</f>
        <v>17.835000000000001</v>
      </c>
      <c r="H347" s="51">
        <f>'Fiscal Forecasts'!H$120</f>
        <v>18.791</v>
      </c>
      <c r="I347" s="51">
        <f>'Fiscal Forecasts'!I$120</f>
        <v>16.212</v>
      </c>
      <c r="J347" s="51">
        <f>'Fiscal Forecasts'!J$120</f>
        <v>23.667999999999999</v>
      </c>
      <c r="K347" s="51">
        <f>'Fiscal Forecasts'!K$120</f>
        <v>28.646000000000001</v>
      </c>
      <c r="L347" s="47">
        <f>'Fiscal Forecasts'!L$120</f>
        <v>28.898</v>
      </c>
      <c r="M347" s="47">
        <f>'Fiscal Forecasts'!M$120</f>
        <v>28.678000000000001</v>
      </c>
      <c r="N347" s="47">
        <f>'Fiscal Forecasts'!N$120</f>
        <v>28.951000000000001</v>
      </c>
      <c r="O347" s="47">
        <f>'Fiscal Forecasts'!O$120</f>
        <v>28.582000000000001</v>
      </c>
      <c r="P347" s="47">
        <f>'Fiscal Forecasts'!P$120</f>
        <v>28.151</v>
      </c>
      <c r="Q347" s="21">
        <f t="shared" ref="Q347:Z347" ca="1" si="197">Q$346+(P$347-P$346)*(1+Q$14)</f>
        <v>29.422336730940501</v>
      </c>
      <c r="R347" s="21">
        <f t="shared" ca="1" si="197"/>
        <v>30.745836422935835</v>
      </c>
      <c r="S347" s="21">
        <f t="shared" ca="1" si="197"/>
        <v>32.107743619782767</v>
      </c>
      <c r="T347" s="21">
        <f t="shared" ca="1" si="197"/>
        <v>33.506288731759227</v>
      </c>
      <c r="U347" s="21">
        <f t="shared" ca="1" si="197"/>
        <v>34.954134343040977</v>
      </c>
      <c r="V347" s="21">
        <f t="shared" ca="1" si="197"/>
        <v>36.45337914600362</v>
      </c>
      <c r="W347" s="21">
        <f t="shared" ca="1" si="197"/>
        <v>38.000546877254962</v>
      </c>
      <c r="X347" s="21">
        <f t="shared" ca="1" si="197"/>
        <v>39.600598986099058</v>
      </c>
      <c r="Y347" s="21">
        <f t="shared" ca="1" si="197"/>
        <v>41.264141476922347</v>
      </c>
      <c r="Z347" s="21">
        <f t="shared" ca="1" si="197"/>
        <v>42.994989122566714</v>
      </c>
    </row>
    <row r="349" spans="1:26" x14ac:dyDescent="0.25">
      <c r="A349" s="11" t="s">
        <v>942</v>
      </c>
    </row>
    <row r="350" spans="1:26" x14ac:dyDescent="0.25">
      <c r="A350" s="12" t="s">
        <v>1337</v>
      </c>
      <c r="D350" s="50">
        <f t="shared" ref="D350:P350" si="198">D$384-D$76+D$75-D$72</f>
        <v>-1.567999999999997</v>
      </c>
      <c r="E350" s="50">
        <f t="shared" si="198"/>
        <v>1.2899999999999934</v>
      </c>
      <c r="F350" s="50">
        <f t="shared" si="198"/>
        <v>0.86300000000000299</v>
      </c>
      <c r="G350" s="50">
        <f t="shared" si="198"/>
        <v>0.49900000000000599</v>
      </c>
      <c r="H350" s="50">
        <f t="shared" si="198"/>
        <v>1.8429999999999807</v>
      </c>
      <c r="I350" s="50">
        <f t="shared" si="198"/>
        <v>2.6770000000000094</v>
      </c>
      <c r="J350" s="50">
        <f t="shared" si="198"/>
        <v>2.1510000000000047</v>
      </c>
      <c r="K350" s="50">
        <f t="shared" si="198"/>
        <v>4.8140000000000036</v>
      </c>
      <c r="L350" s="48">
        <f t="shared" si="198"/>
        <v>2.475000000000013</v>
      </c>
      <c r="M350" s="48">
        <f t="shared" si="198"/>
        <v>1.1260000000000125</v>
      </c>
      <c r="N350" s="48">
        <f t="shared" si="198"/>
        <v>1.8230000000000068</v>
      </c>
      <c r="O350" s="48">
        <f t="shared" si="198"/>
        <v>2.1649999999999965</v>
      </c>
      <c r="P350" s="48">
        <f t="shared" si="198"/>
        <v>2.3500000000000014</v>
      </c>
      <c r="Q350" s="20">
        <f t="shared" ref="Q350:Z350" ca="1" si="199">SUM(P$350,Q$442-P$442,Q$468-P$468)</f>
        <v>3.1163783738709481</v>
      </c>
      <c r="R350" s="20">
        <f t="shared" ca="1" si="199"/>
        <v>3.2719890369741136</v>
      </c>
      <c r="S350" s="20">
        <f t="shared" ca="1" si="199"/>
        <v>3.4339344698506422</v>
      </c>
      <c r="T350" s="20">
        <f t="shared" ca="1" si="199"/>
        <v>3.602772495087025</v>
      </c>
      <c r="U350" s="20">
        <f t="shared" ca="1" si="199"/>
        <v>3.7778500683436431</v>
      </c>
      <c r="V350" s="20">
        <f t="shared" ca="1" si="199"/>
        <v>3.9602771020239529</v>
      </c>
      <c r="W350" s="20">
        <f t="shared" ca="1" si="199"/>
        <v>4.1518370077282043</v>
      </c>
      <c r="X350" s="20">
        <f t="shared" ca="1" si="199"/>
        <v>4.3544247714640987</v>
      </c>
      <c r="Y350" s="20">
        <f t="shared" ca="1" si="199"/>
        <v>4.5705806890201046</v>
      </c>
      <c r="Z350" s="20">
        <f t="shared" ca="1" si="199"/>
        <v>4.802600111817739</v>
      </c>
    </row>
    <row r="351" spans="1:26" x14ac:dyDescent="0.25">
      <c r="A351" s="12" t="s">
        <v>1063</v>
      </c>
      <c r="B351" s="14" t="str">
        <f>$B$38</f>
        <v>From Fiscal Forecasts</v>
      </c>
      <c r="D351" s="50">
        <f>'Fiscal Forecasts'!D$319</f>
        <v>13.763999999999999</v>
      </c>
      <c r="E351" s="50">
        <f>'Fiscal Forecasts'!E$319</f>
        <v>14.29</v>
      </c>
      <c r="F351" s="50">
        <f>'Fiscal Forecasts'!F$319</f>
        <v>15.641999999999999</v>
      </c>
      <c r="G351" s="50">
        <f>'Fiscal Forecasts'!G$319</f>
        <v>20.076000000000001</v>
      </c>
      <c r="H351" s="50">
        <f>'Fiscal Forecasts'!H$319</f>
        <v>20.298999999999999</v>
      </c>
      <c r="I351" s="50">
        <f>'Fiscal Forecasts'!I$319</f>
        <v>22.413</v>
      </c>
      <c r="J351" s="50">
        <f>'Fiscal Forecasts'!J$319</f>
        <v>20.936</v>
      </c>
      <c r="K351" s="50">
        <f>'Fiscal Forecasts'!K$319</f>
        <v>19.382999999999999</v>
      </c>
      <c r="L351" s="48">
        <f>'Fiscal Forecasts'!L$319</f>
        <v>23.151</v>
      </c>
      <c r="M351" s="48">
        <f>'Fiscal Forecasts'!M$319</f>
        <v>24.097999999999999</v>
      </c>
      <c r="N351" s="48">
        <f>'Fiscal Forecasts'!N$319</f>
        <v>24.632999999999999</v>
      </c>
      <c r="O351" s="48">
        <f>'Fiscal Forecasts'!O$319</f>
        <v>25.231000000000002</v>
      </c>
      <c r="P351" s="48">
        <f>'Fiscal Forecasts'!P$319</f>
        <v>25.943000000000001</v>
      </c>
      <c r="Q351" s="20">
        <f t="shared" ref="Q351:Z351" ca="1" si="200">P$351*Q$142/P$142</f>
        <v>26.990957850673652</v>
      </c>
      <c r="R351" s="20">
        <f t="shared" ca="1" si="200"/>
        <v>28.038488020801154</v>
      </c>
      <c r="S351" s="20">
        <f t="shared" ca="1" si="200"/>
        <v>29.140919964062721</v>
      </c>
      <c r="T351" s="20">
        <f t="shared" ca="1" si="200"/>
        <v>30.31976260993504</v>
      </c>
      <c r="U351" s="20">
        <f t="shared" ca="1" si="200"/>
        <v>31.555552276252204</v>
      </c>
      <c r="V351" s="20">
        <f t="shared" ca="1" si="200"/>
        <v>32.833186730858728</v>
      </c>
      <c r="W351" s="20">
        <f t="shared" ca="1" si="200"/>
        <v>34.145889368220068</v>
      </c>
      <c r="X351" s="20">
        <f t="shared" ca="1" si="200"/>
        <v>35.496265878945337</v>
      </c>
      <c r="Y351" s="20">
        <f t="shared" ca="1" si="200"/>
        <v>36.891452498971518</v>
      </c>
      <c r="Z351" s="20">
        <f t="shared" ca="1" si="200"/>
        <v>38.331675365073757</v>
      </c>
    </row>
    <row r="352" spans="1:26" x14ac:dyDescent="0.25">
      <c r="A352" s="12" t="s">
        <v>1338</v>
      </c>
      <c r="B352" s="14" t="str">
        <f>$B$38</f>
        <v>From Fiscal Forecasts</v>
      </c>
      <c r="D352" s="50">
        <f>'Fiscal Forecasts'!D$181-SUM(D$350:D$351)</f>
        <v>4.3769999999999989</v>
      </c>
      <c r="E352" s="50">
        <f>'Fiscal Forecasts'!E$181-SUM(E$350:E$351)</f>
        <v>2.5200000000000085</v>
      </c>
      <c r="F352" s="50">
        <f>'Fiscal Forecasts'!F$181-SUM(F$350:F$351)</f>
        <v>3.7319999999999958</v>
      </c>
      <c r="G352" s="50">
        <f>'Fiscal Forecasts'!G$181-SUM(G$350:G$351)</f>
        <v>7.7129999999999939</v>
      </c>
      <c r="H352" s="50">
        <f>'Fiscal Forecasts'!H$181-SUM(H$350:H$351)</f>
        <v>3.5320000000000178</v>
      </c>
      <c r="I352" s="50">
        <f>'Fiscal Forecasts'!I$181-SUM(I$350:I$351)</f>
        <v>3.5489999999999888</v>
      </c>
      <c r="J352" s="50">
        <f>'Fiscal Forecasts'!J$181-SUM(J$350:J$351)</f>
        <v>3.1879999999999953</v>
      </c>
      <c r="K352" s="50">
        <f>'Fiscal Forecasts'!K$181-SUM(K$350:K$351)</f>
        <v>3.9099999999999966</v>
      </c>
      <c r="L352" s="48">
        <f>'Fiscal Forecasts'!L$181-SUM(L$350:L$351)</f>
        <v>3.8129999999999882</v>
      </c>
      <c r="M352" s="48">
        <f>'Fiscal Forecasts'!M$181-SUM(M$350:M$351)</f>
        <v>5.3349999999999902</v>
      </c>
      <c r="N352" s="48">
        <f>'Fiscal Forecasts'!N$181-SUM(N$350:N$351)</f>
        <v>4.9249999999999936</v>
      </c>
      <c r="O352" s="48">
        <f>'Fiscal Forecasts'!O$181-SUM(O$350:O$351)</f>
        <v>4.887000000000004</v>
      </c>
      <c r="P352" s="48">
        <f>'Fiscal Forecasts'!P$181-SUM(P$350:P$351)</f>
        <v>4.9369999999999941</v>
      </c>
      <c r="Q352" s="20">
        <f t="shared" ref="Q352:Z352" ca="1" si="201">SUM(P$352,Q$444-P$444,Q$469-P$469)</f>
        <v>5.1888399999999946</v>
      </c>
      <c r="R352" s="20">
        <f t="shared" ca="1" si="201"/>
        <v>5.4457167999999943</v>
      </c>
      <c r="S352" s="20">
        <f t="shared" ca="1" si="201"/>
        <v>5.7077311359999943</v>
      </c>
      <c r="T352" s="20">
        <f t="shared" ca="1" si="201"/>
        <v>5.9749857587199946</v>
      </c>
      <c r="U352" s="20">
        <f t="shared" ca="1" si="201"/>
        <v>6.2475854738943948</v>
      </c>
      <c r="V352" s="20">
        <f t="shared" ca="1" si="201"/>
        <v>6.5256371833722824</v>
      </c>
      <c r="W352" s="20">
        <f t="shared" ca="1" si="201"/>
        <v>6.809249927039728</v>
      </c>
      <c r="X352" s="20">
        <f t="shared" ca="1" si="201"/>
        <v>7.0985349255805223</v>
      </c>
      <c r="Y352" s="20">
        <f t="shared" ca="1" si="201"/>
        <v>7.3936056240921326</v>
      </c>
      <c r="Z352" s="20">
        <f t="shared" ca="1" si="201"/>
        <v>7.6945777365739758</v>
      </c>
    </row>
    <row r="353" spans="1:26" x14ac:dyDescent="0.25">
      <c r="A353" s="11" t="s">
        <v>1339</v>
      </c>
      <c r="D353" s="94">
        <f t="shared" ref="D353:P353" si="202">SUM(D$350:D$352)</f>
        <v>16.573</v>
      </c>
      <c r="E353" s="94">
        <f t="shared" si="202"/>
        <v>18.100000000000001</v>
      </c>
      <c r="F353" s="94">
        <f t="shared" si="202"/>
        <v>20.236999999999998</v>
      </c>
      <c r="G353" s="94">
        <f t="shared" si="202"/>
        <v>28.288</v>
      </c>
      <c r="H353" s="94">
        <f t="shared" si="202"/>
        <v>25.673999999999999</v>
      </c>
      <c r="I353" s="94">
        <f t="shared" si="202"/>
        <v>28.638999999999999</v>
      </c>
      <c r="J353" s="94">
        <f t="shared" si="202"/>
        <v>26.274999999999999</v>
      </c>
      <c r="K353" s="94">
        <f t="shared" si="202"/>
        <v>28.106999999999999</v>
      </c>
      <c r="L353" s="95">
        <f t="shared" si="202"/>
        <v>29.439</v>
      </c>
      <c r="M353" s="95">
        <f t="shared" si="202"/>
        <v>30.559000000000001</v>
      </c>
      <c r="N353" s="95">
        <f t="shared" si="202"/>
        <v>31.381</v>
      </c>
      <c r="O353" s="95">
        <f t="shared" si="202"/>
        <v>32.283000000000001</v>
      </c>
      <c r="P353" s="95">
        <f t="shared" si="202"/>
        <v>33.229999999999997</v>
      </c>
      <c r="Q353" s="96">
        <f t="shared" ref="Q353:Z353" ca="1" si="203">SUM(Q$350:Q$352)</f>
        <v>35.296176224544595</v>
      </c>
      <c r="R353" s="96">
        <f t="shared" ca="1" si="203"/>
        <v>36.756193857775258</v>
      </c>
      <c r="S353" s="96">
        <f t="shared" ca="1" si="203"/>
        <v>38.282585569913358</v>
      </c>
      <c r="T353" s="96">
        <f t="shared" ca="1" si="203"/>
        <v>39.897520863742059</v>
      </c>
      <c r="U353" s="96">
        <f t="shared" ca="1" si="203"/>
        <v>41.580987818490243</v>
      </c>
      <c r="V353" s="96">
        <f t="shared" ca="1" si="203"/>
        <v>43.319101016254962</v>
      </c>
      <c r="W353" s="96">
        <f t="shared" ca="1" si="203"/>
        <v>45.106976302988002</v>
      </c>
      <c r="X353" s="96">
        <f t="shared" ca="1" si="203"/>
        <v>46.949225575989956</v>
      </c>
      <c r="Y353" s="96">
        <f t="shared" ca="1" si="203"/>
        <v>48.855638812083754</v>
      </c>
      <c r="Z353" s="96">
        <f t="shared" ca="1" si="203"/>
        <v>50.828853213465472</v>
      </c>
    </row>
    <row r="354" spans="1:26" x14ac:dyDescent="0.25">
      <c r="A354" s="11" t="s">
        <v>1340</v>
      </c>
      <c r="B354" s="14" t="str">
        <f>$B$38</f>
        <v>From Fiscal Forecasts</v>
      </c>
      <c r="D354" s="51">
        <f>'Fiscal Forecasts'!D$121</f>
        <v>23.327000000000002</v>
      </c>
      <c r="E354" s="51">
        <f>'Fiscal Forecasts'!E$121</f>
        <v>24.742999999999999</v>
      </c>
      <c r="F354" s="51">
        <f>'Fiscal Forecasts'!F$121</f>
        <v>26.829000000000001</v>
      </c>
      <c r="G354" s="51">
        <f>'Fiscal Forecasts'!G$121</f>
        <v>35.134999999999998</v>
      </c>
      <c r="H354" s="51">
        <f>'Fiscal Forecasts'!H$121</f>
        <v>33.548000000000002</v>
      </c>
      <c r="I354" s="51">
        <f>'Fiscal Forecasts'!I$121</f>
        <v>37.231999999999999</v>
      </c>
      <c r="J354" s="51">
        <f>'Fiscal Forecasts'!J$121</f>
        <v>34.76</v>
      </c>
      <c r="K354" s="51">
        <f>'Fiscal Forecasts'!K$121</f>
        <v>36.582000000000001</v>
      </c>
      <c r="L354" s="47">
        <f>'Fiscal Forecasts'!L$121</f>
        <v>38.957000000000001</v>
      </c>
      <c r="M354" s="47">
        <f>'Fiscal Forecasts'!M$121</f>
        <v>40.423999999999999</v>
      </c>
      <c r="N354" s="47">
        <f>'Fiscal Forecasts'!N$121</f>
        <v>41.817999999999998</v>
      </c>
      <c r="O354" s="47">
        <f>'Fiscal Forecasts'!O$121</f>
        <v>43.411999999999999</v>
      </c>
      <c r="P354" s="47">
        <f>'Fiscal Forecasts'!P$121</f>
        <v>43.962000000000003</v>
      </c>
      <c r="Q354" s="21">
        <f t="shared" ref="Q354:Z354" ca="1" si="204">SUM(P$354,Q$353-P$353,,Q$446-P$446,Q$454-P$454,Q$471-P$471)-SUM(Q$445-P$445,Q$453-P$453,Q$470-P$470)</f>
        <v>46.301656224544608</v>
      </c>
      <c r="R354" s="21">
        <f t="shared" ca="1" si="204"/>
        <v>48.040623457775276</v>
      </c>
      <c r="S354" s="21">
        <f t="shared" ca="1" si="204"/>
        <v>49.851543761913376</v>
      </c>
      <c r="T354" s="21">
        <f t="shared" ca="1" si="204"/>
        <v>51.756698219582084</v>
      </c>
      <c r="U354" s="21">
        <f t="shared" ca="1" si="204"/>
        <v>53.736188721447064</v>
      </c>
      <c r="V354" s="21">
        <f t="shared" ca="1" si="204"/>
        <v>55.776245937270922</v>
      </c>
      <c r="W354" s="21">
        <f t="shared" ca="1" si="204"/>
        <v>57.872104122424275</v>
      </c>
      <c r="X354" s="21">
        <f t="shared" ca="1" si="204"/>
        <v>60.028495951814961</v>
      </c>
      <c r="Y354" s="21">
        <f t="shared" ca="1" si="204"/>
        <v>62.255334595425261</v>
      </c>
      <c r="Z354" s="21">
        <f t="shared" ca="1" si="204"/>
        <v>64.555382912473803</v>
      </c>
    </row>
    <row r="356" spans="1:26" x14ac:dyDescent="0.25">
      <c r="A356" s="11" t="s">
        <v>943</v>
      </c>
    </row>
    <row r="357" spans="1:26" x14ac:dyDescent="0.25">
      <c r="A357" s="12" t="s">
        <v>1341</v>
      </c>
      <c r="D357" s="50">
        <f ca="1">OFFSET(Assumptions!$B$51,0,$C$1)*(D$384-D$350-D$391)</f>
        <v>13.60032</v>
      </c>
      <c r="E357" s="50">
        <f ca="1">OFFSET(Assumptions!$B$51,0,$C$1)*(E$384-E$350-E$391)</f>
        <v>13.405950000000001</v>
      </c>
      <c r="F357" s="50">
        <f ca="1">OFFSET(Assumptions!$B$51,0,$C$1)*(F$384-F$350-F$391)</f>
        <v>17.353179999999998</v>
      </c>
      <c r="G357" s="50">
        <f ca="1">OFFSET(Assumptions!$B$51,0,$C$1)*(G$384-G$350-G$391)</f>
        <v>18.69238</v>
      </c>
      <c r="H357" s="50">
        <f ca="1">OFFSET(Assumptions!$B$51,0,$C$1)*(H$384-H$350-H$391)</f>
        <v>18.302400000000006</v>
      </c>
      <c r="I357" s="50">
        <f ca="1">OFFSET(Assumptions!$B$51,0,$C$1)*(I$384-I$350-I$391)</f>
        <v>20.913529999999998</v>
      </c>
      <c r="J357" s="50">
        <f ca="1">OFFSET(Assumptions!$B$51,0,$C$1)*(J$384-J$350-J$391)</f>
        <v>23.303630000000002</v>
      </c>
      <c r="K357" s="50">
        <f ca="1">OFFSET(Assumptions!$B$51,0,$C$1)*(K$384-K$350-K$391)</f>
        <v>26.10324</v>
      </c>
      <c r="L357" s="48">
        <f ca="1">OFFSET(Assumptions!$B$51,0,$C$1)*(L$384-L$350-L$391)</f>
        <v>29.018789999999999</v>
      </c>
      <c r="M357" s="48">
        <f ca="1">OFFSET(Assumptions!$B$51,0,$C$1)*(M$384-M$350-M$391)</f>
        <v>31.759499999999996</v>
      </c>
      <c r="N357" s="48">
        <f ca="1">OFFSET(Assumptions!$B$51,0,$C$1)*(N$384-N$350-N$391)</f>
        <v>33.40343</v>
      </c>
      <c r="O357" s="48">
        <f ca="1">OFFSET(Assumptions!$B$51,0,$C$1)*(O$384-O$350-O$391)</f>
        <v>35.437030000000007</v>
      </c>
      <c r="P357" s="48">
        <f ca="1">OFFSET(Assumptions!$B$51,0,$C$1)*(P$384-P$350-P$391)</f>
        <v>37.7239</v>
      </c>
      <c r="Q357" s="20">
        <f ca="1">OFFSET(Assumptions!$B$51,0,$C$1)*(Q$384-Q$350-Q$391)</f>
        <v>39.840341131485566</v>
      </c>
      <c r="R357" s="20">
        <f ca="1">OFFSET(Assumptions!$B$51,0,$C$1)*(R$384-R$350-R$391)</f>
        <v>42.27120210065344</v>
      </c>
      <c r="S357" s="20">
        <f ca="1">OFFSET(Assumptions!$B$51,0,$C$1)*(S$384-S$350-S$391)</f>
        <v>44.80102122785275</v>
      </c>
      <c r="T357" s="20">
        <f ca="1">OFFSET(Assumptions!$B$51,0,$C$1)*(T$384-T$350-T$391)</f>
        <v>47.43851249917018</v>
      </c>
      <c r="U357" s="20">
        <f ca="1">OFFSET(Assumptions!$B$51,0,$C$1)*(U$384-U$350-U$391)</f>
        <v>50.173474428636439</v>
      </c>
      <c r="V357" s="20">
        <f ca="1">OFFSET(Assumptions!$B$51,0,$C$1)*(V$384-V$350-V$391)</f>
        <v>53.023245434371177</v>
      </c>
      <c r="W357" s="20">
        <f ca="1">OFFSET(Assumptions!$B$51,0,$C$1)*(W$384-W$350-W$391)</f>
        <v>56.015684954567938</v>
      </c>
      <c r="X357" s="20">
        <f ca="1">OFFSET(Assumptions!$B$51,0,$C$1)*(X$384-X$350-X$391)</f>
        <v>59.180395379136463</v>
      </c>
      <c r="Y357" s="20">
        <f ca="1">OFFSET(Assumptions!$B$51,0,$C$1)*(Y$384-Y$350-Y$391)</f>
        <v>62.557059759091054</v>
      </c>
      <c r="Z357" s="20">
        <f ca="1">OFFSET(Assumptions!$B$51,0,$C$1)*(Z$384-Z$350-Z$391)</f>
        <v>66.181534764339972</v>
      </c>
    </row>
    <row r="358" spans="1:26" x14ac:dyDescent="0.25">
      <c r="A358" s="12" t="s">
        <v>1342</v>
      </c>
      <c r="B358" s="14" t="str">
        <f>$B$38</f>
        <v>From Fiscal Forecasts</v>
      </c>
      <c r="D358" s="50">
        <f ca="1">'Fiscal Forecasts'!D$182-D$357</f>
        <v>13.805679999999999</v>
      </c>
      <c r="E358" s="50">
        <f ca="1">'Fiscal Forecasts'!E$182-E$357</f>
        <v>30.260049999999996</v>
      </c>
      <c r="F358" s="50">
        <f ca="1">'Fiscal Forecasts'!F$182-F$357</f>
        <v>20.379819999999999</v>
      </c>
      <c r="G358" s="50">
        <f ca="1">'Fiscal Forecasts'!G$182-G$357</f>
        <v>25.071620000000003</v>
      </c>
      <c r="H358" s="50">
        <f ca="1">'Fiscal Forecasts'!H$182-H$357</f>
        <v>26.112599999999993</v>
      </c>
      <c r="I358" s="50">
        <f ca="1">'Fiscal Forecasts'!I$182-I$357</f>
        <v>31.057469999999999</v>
      </c>
      <c r="J358" s="50">
        <f ca="1">'Fiscal Forecasts'!J$182-J$357</f>
        <v>38.810369999999992</v>
      </c>
      <c r="K358" s="50">
        <f ca="1">'Fiscal Forecasts'!K$182-K$357</f>
        <v>42.483760000000004</v>
      </c>
      <c r="L358" s="48">
        <f ca="1">'Fiscal Forecasts'!L$182-L$357</f>
        <v>36.714210000000008</v>
      </c>
      <c r="M358" s="48">
        <f ca="1">'Fiscal Forecasts'!M$182-M$357</f>
        <v>38.716500000000003</v>
      </c>
      <c r="N358" s="48">
        <f ca="1">'Fiscal Forecasts'!N$182-N$357</f>
        <v>42.012569999999997</v>
      </c>
      <c r="O358" s="48">
        <f ca="1">'Fiscal Forecasts'!O$182-O$357</f>
        <v>43.351969999999994</v>
      </c>
      <c r="P358" s="48">
        <f ca="1">'Fiscal Forecasts'!P$182-P$357</f>
        <v>42.542100000000005</v>
      </c>
      <c r="Q358" s="20">
        <f t="shared" ref="Q358:Z358" ca="1" si="205">P$358*(1+Q$14)</f>
        <v>44.39399544591798</v>
      </c>
      <c r="R358" s="20">
        <f t="shared" ca="1" si="205"/>
        <v>46.283631757603125</v>
      </c>
      <c r="S358" s="20">
        <f t="shared" ca="1" si="205"/>
        <v>48.223329799555685</v>
      </c>
      <c r="T358" s="20">
        <f t="shared" ca="1" si="205"/>
        <v>50.208552592764534</v>
      </c>
      <c r="U358" s="20">
        <f t="shared" ca="1" si="205"/>
        <v>52.263001569850594</v>
      </c>
      <c r="V358" s="20">
        <f t="shared" ca="1" si="205"/>
        <v>54.387407371052014</v>
      </c>
      <c r="W358" s="20">
        <f t="shared" ca="1" si="205"/>
        <v>56.571052404224368</v>
      </c>
      <c r="X358" s="20">
        <f t="shared" ca="1" si="205"/>
        <v>58.81757736362939</v>
      </c>
      <c r="Y358" s="20">
        <f t="shared" ca="1" si="205"/>
        <v>61.138730165588584</v>
      </c>
      <c r="Z358" s="20">
        <f t="shared" ca="1" si="205"/>
        <v>63.535109470011037</v>
      </c>
    </row>
    <row r="359" spans="1:26" x14ac:dyDescent="0.25">
      <c r="A359" s="11" t="s">
        <v>1343</v>
      </c>
      <c r="D359" s="94">
        <f t="shared" ref="D359:Z359" ca="1" si="206">SUM(D$357:D$358)</f>
        <v>27.405999999999999</v>
      </c>
      <c r="E359" s="94">
        <f t="shared" ca="1" si="206"/>
        <v>43.665999999999997</v>
      </c>
      <c r="F359" s="94">
        <f t="shared" ca="1" si="206"/>
        <v>37.732999999999997</v>
      </c>
      <c r="G359" s="94">
        <f t="shared" ca="1" si="206"/>
        <v>43.764000000000003</v>
      </c>
      <c r="H359" s="94">
        <f t="shared" ca="1" si="206"/>
        <v>44.414999999999999</v>
      </c>
      <c r="I359" s="94">
        <f t="shared" ca="1" si="206"/>
        <v>51.970999999999997</v>
      </c>
      <c r="J359" s="94">
        <f t="shared" ca="1" si="206"/>
        <v>62.11399999999999</v>
      </c>
      <c r="K359" s="94">
        <f t="shared" ca="1" si="206"/>
        <v>68.587000000000003</v>
      </c>
      <c r="L359" s="95">
        <f t="shared" ca="1" si="206"/>
        <v>65.733000000000004</v>
      </c>
      <c r="M359" s="95">
        <f t="shared" ca="1" si="206"/>
        <v>70.475999999999999</v>
      </c>
      <c r="N359" s="95">
        <f t="shared" ca="1" si="206"/>
        <v>75.415999999999997</v>
      </c>
      <c r="O359" s="95">
        <f t="shared" ca="1" si="206"/>
        <v>78.789000000000001</v>
      </c>
      <c r="P359" s="95">
        <f t="shared" ca="1" si="206"/>
        <v>80.266000000000005</v>
      </c>
      <c r="Q359" s="96">
        <f t="shared" ca="1" si="206"/>
        <v>84.234336577403553</v>
      </c>
      <c r="R359" s="96">
        <f t="shared" ca="1" si="206"/>
        <v>88.554833858256558</v>
      </c>
      <c r="S359" s="96">
        <f t="shared" ca="1" si="206"/>
        <v>93.024351027408443</v>
      </c>
      <c r="T359" s="96">
        <f t="shared" ca="1" si="206"/>
        <v>97.647065091934707</v>
      </c>
      <c r="U359" s="96">
        <f t="shared" ca="1" si="206"/>
        <v>102.43647599848703</v>
      </c>
      <c r="V359" s="96">
        <f t="shared" ca="1" si="206"/>
        <v>107.41065280542318</v>
      </c>
      <c r="W359" s="96">
        <f t="shared" ca="1" si="206"/>
        <v>112.58673735879231</v>
      </c>
      <c r="X359" s="96">
        <f t="shared" ca="1" si="206"/>
        <v>117.99797274276585</v>
      </c>
      <c r="Y359" s="96">
        <f t="shared" ca="1" si="206"/>
        <v>123.69578992467964</v>
      </c>
      <c r="Z359" s="96">
        <f t="shared" ca="1" si="206"/>
        <v>129.71664423435101</v>
      </c>
    </row>
    <row r="360" spans="1:26" x14ac:dyDescent="0.25">
      <c r="A360" s="12" t="s">
        <v>1020</v>
      </c>
      <c r="B360" s="14" t="str">
        <f>$B$38</f>
        <v>From Fiscal Forecasts</v>
      </c>
      <c r="D360" s="50">
        <f>'Fiscal Forecasts'!D$214</f>
        <v>33.838000000000001</v>
      </c>
      <c r="E360" s="50">
        <f>'Fiscal Forecasts'!E$214</f>
        <v>34.494</v>
      </c>
      <c r="F360" s="50">
        <f>'Fiscal Forecasts'!F$214</f>
        <v>33.545999999999999</v>
      </c>
      <c r="G360" s="50">
        <f>'Fiscal Forecasts'!G$214</f>
        <v>31.513000000000002</v>
      </c>
      <c r="H360" s="50">
        <f>'Fiscal Forecasts'!H$214</f>
        <v>34.506</v>
      </c>
      <c r="I360" s="50">
        <f>'Fiscal Forecasts'!I$214</f>
        <v>39.212000000000003</v>
      </c>
      <c r="J360" s="50">
        <f>'Fiscal Forecasts'!J$214</f>
        <v>44.944000000000003</v>
      </c>
      <c r="K360" s="50">
        <f>'Fiscal Forecasts'!K$214</f>
        <v>47.911000000000001</v>
      </c>
      <c r="L360" s="48">
        <f>'Fiscal Forecasts'!L$214</f>
        <v>48.524999999999999</v>
      </c>
      <c r="M360" s="48">
        <f>'Fiscal Forecasts'!M$214</f>
        <v>49.545999999999999</v>
      </c>
      <c r="N360" s="48">
        <f>'Fiscal Forecasts'!N$214</f>
        <v>50.540999999999997</v>
      </c>
      <c r="O360" s="48">
        <f>'Fiscal Forecasts'!O$214</f>
        <v>52.61</v>
      </c>
      <c r="P360" s="48">
        <f>'Fiscal Forecasts'!P$214</f>
        <v>54.841999999999999</v>
      </c>
      <c r="Q360" s="20">
        <f ca="1">P$360*AVERAGE(Exogenous!AB$29/Exogenous!AA$29,1+Q$14)</f>
        <v>57.031776025129474</v>
      </c>
      <c r="R360" s="20">
        <f ca="1">Q$360*AVERAGE(Exogenous!AC$29/Exogenous!AB$29,1+R$14)</f>
        <v>59.455405252808703</v>
      </c>
      <c r="S360" s="20">
        <f ca="1">R$360*AVERAGE(Exogenous!AD$29/Exogenous!AC$29,1+S$14)</f>
        <v>62.152901174691372</v>
      </c>
      <c r="T360" s="20">
        <f ca="1">S$360*AVERAGE(Exogenous!AE$29/Exogenous!AD$29,1+T$14)</f>
        <v>65.185334557155159</v>
      </c>
      <c r="U360" s="20">
        <f ca="1">T$360*AVERAGE(Exogenous!AF$29/Exogenous!AE$29,1+U$14)</f>
        <v>68.550115135603448</v>
      </c>
      <c r="V360" s="20">
        <f ca="1">U$360*AVERAGE(Exogenous!AG$29/Exogenous!AF$29,1+V$14)</f>
        <v>72.04592937288129</v>
      </c>
      <c r="W360" s="20">
        <f ca="1">V$360*AVERAGE(Exogenous!AH$29/Exogenous!AG$29,1+W$14)</f>
        <v>75.642494203682332</v>
      </c>
      <c r="X360" s="20">
        <f ca="1">W$360*AVERAGE(Exogenous!AI$29/Exogenous!AH$29,1+X$14)</f>
        <v>79.329363736532812</v>
      </c>
      <c r="Y360" s="20">
        <f ca="1">X$360*AVERAGE(Exogenous!AJ$29/Exogenous!AI$29,1+Y$14)</f>
        <v>83.134569258151942</v>
      </c>
      <c r="Z360" s="20">
        <f ca="1">Y$360*AVERAGE(Exogenous!AK$29/Exogenous!AJ$29,1+Z$14)</f>
        <v>87.043844665109802</v>
      </c>
    </row>
    <row r="361" spans="1:26" x14ac:dyDescent="0.25">
      <c r="A361" s="12" t="s">
        <v>1227</v>
      </c>
      <c r="B361" s="14" t="str">
        <f>$B$38</f>
        <v>From Fiscal Forecasts</v>
      </c>
      <c r="D361" s="50">
        <f>'Fiscal Forecasts'!D$215</f>
        <v>3.3879999999999999</v>
      </c>
      <c r="E361" s="50">
        <f>'Fiscal Forecasts'!E$215</f>
        <v>3.88</v>
      </c>
      <c r="F361" s="50">
        <f>'Fiscal Forecasts'!F$215</f>
        <v>3.3250000000000002</v>
      </c>
      <c r="G361" s="50">
        <f>'Fiscal Forecasts'!G$215</f>
        <v>5.3479999999999999</v>
      </c>
      <c r="H361" s="50">
        <f>'Fiscal Forecasts'!H$215</f>
        <v>3.9380000000000002</v>
      </c>
      <c r="I361" s="50">
        <f>'Fiscal Forecasts'!I$215</f>
        <v>2.9710000000000001</v>
      </c>
      <c r="J361" s="50">
        <f>'Fiscal Forecasts'!J$215</f>
        <v>2.6240000000000001</v>
      </c>
      <c r="K361" s="50">
        <f>'Fiscal Forecasts'!K$215</f>
        <v>2.4279999999999999</v>
      </c>
      <c r="L361" s="48">
        <f>'Fiscal Forecasts'!L$215</f>
        <v>2.3250000000000002</v>
      </c>
      <c r="M361" s="48">
        <f>'Fiscal Forecasts'!M$215</f>
        <v>2.4729999999999999</v>
      </c>
      <c r="N361" s="48">
        <f>'Fiscal Forecasts'!N$215</f>
        <v>2.6179999999999999</v>
      </c>
      <c r="O361" s="48">
        <f>'Fiscal Forecasts'!O$215</f>
        <v>2.7669999999999999</v>
      </c>
      <c r="P361" s="48">
        <f>'Fiscal Forecasts'!P$215</f>
        <v>2.6669999999999998</v>
      </c>
      <c r="Q361" s="20">
        <f t="shared" ref="Q361:Z361" ca="1" si="207">P$361*(1+Q$14)</f>
        <v>2.7830968817774213</v>
      </c>
      <c r="R361" s="20">
        <f t="shared" ca="1" si="207"/>
        <v>2.901559770145985</v>
      </c>
      <c r="S361" s="20">
        <f t="shared" ca="1" si="207"/>
        <v>3.0231610704552661</v>
      </c>
      <c r="T361" s="20">
        <f t="shared" ca="1" si="207"/>
        <v>3.147616355678327</v>
      </c>
      <c r="U361" s="20">
        <f t="shared" ca="1" si="207"/>
        <v>3.2764114885440887</v>
      </c>
      <c r="V361" s="20">
        <f t="shared" ca="1" si="207"/>
        <v>3.4095922735030868</v>
      </c>
      <c r="W361" s="20">
        <f t="shared" ca="1" si="207"/>
        <v>3.5464868156970701</v>
      </c>
      <c r="X361" s="20">
        <f t="shared" ca="1" si="207"/>
        <v>3.6873233533088285</v>
      </c>
      <c r="Y361" s="20">
        <f t="shared" ca="1" si="207"/>
        <v>3.8328383730851243</v>
      </c>
      <c r="Z361" s="20">
        <f t="shared" ca="1" si="207"/>
        <v>3.9830694055187532</v>
      </c>
    </row>
    <row r="362" spans="1:26" x14ac:dyDescent="0.25">
      <c r="A362" s="12" t="s">
        <v>1228</v>
      </c>
      <c r="B362" s="14" t="str">
        <f>$B$38</f>
        <v>From Fiscal Forecasts</v>
      </c>
      <c r="D362" s="50">
        <f ca="1">'Fiscal Forecasts'!D$122-SUM(D$359:D$361)</f>
        <v>-21.016000000000005</v>
      </c>
      <c r="E362" s="50">
        <f ca="1">'Fiscal Forecasts'!E$122-SUM(E$359:E$361)</f>
        <v>-21.034999999999989</v>
      </c>
      <c r="F362" s="50">
        <f ca="1">'Fiscal Forecasts'!F$122-SUM(F$359:F$361)</f>
        <v>-17.820999999999998</v>
      </c>
      <c r="G362" s="50">
        <f ca="1">'Fiscal Forecasts'!G$122-SUM(G$359:G$361)</f>
        <v>-15.168999999999997</v>
      </c>
      <c r="H362" s="50">
        <f ca="1">'Fiscal Forecasts'!H$122-SUM(H$359:H$361)</f>
        <v>-16.369</v>
      </c>
      <c r="I362" s="50">
        <f ca="1">'Fiscal Forecasts'!I$122-SUM(I$359:I$361)</f>
        <v>-20.507999999999996</v>
      </c>
      <c r="J362" s="50">
        <f ca="1">'Fiscal Forecasts'!J$122-SUM(J$359:J$361)</f>
        <v>-27.137999999999991</v>
      </c>
      <c r="K362" s="50">
        <f ca="1">'Fiscal Forecasts'!K$122-SUM(K$359:K$361)</f>
        <v>-29.459000000000003</v>
      </c>
      <c r="L362" s="48">
        <f ca="1">'Fiscal Forecasts'!L$122-SUM(L$359:L$361)</f>
        <v>-29.169000000000011</v>
      </c>
      <c r="M362" s="48">
        <f ca="1">'Fiscal Forecasts'!M$122-SUM(M$359:M$361)</f>
        <v>-29.719999999999985</v>
      </c>
      <c r="N362" s="48">
        <f ca="1">'Fiscal Forecasts'!N$122-SUM(N$359:N$361)</f>
        <v>-30.209999999999994</v>
      </c>
      <c r="O362" s="48">
        <f ca="1">'Fiscal Forecasts'!O$122-SUM(O$359:O$361)</f>
        <v>-30.920999999999992</v>
      </c>
      <c r="P362" s="48">
        <f ca="1">'Fiscal Forecasts'!P$122-SUM(P$359:P$361)</f>
        <v>-31.77600000000001</v>
      </c>
      <c r="Q362" s="20">
        <f t="shared" ref="Q362:Z362" ca="1" si="208">P$362*Q$360/P$360</f>
        <v>-33.044777998149499</v>
      </c>
      <c r="R362" s="20">
        <f t="shared" ca="1" si="208"/>
        <v>-34.449052866657851</v>
      </c>
      <c r="S362" s="20">
        <f t="shared" ca="1" si="208"/>
        <v>-36.012008820374781</v>
      </c>
      <c r="T362" s="20">
        <f t="shared" ca="1" si="208"/>
        <v>-37.769030868461449</v>
      </c>
      <c r="U362" s="20">
        <f t="shared" ca="1" si="208"/>
        <v>-39.718618185860024</v>
      </c>
      <c r="V362" s="20">
        <f t="shared" ca="1" si="208"/>
        <v>-41.744127707827509</v>
      </c>
      <c r="W362" s="20">
        <f t="shared" ca="1" si="208"/>
        <v>-43.828013125272783</v>
      </c>
      <c r="X362" s="20">
        <f t="shared" ca="1" si="208"/>
        <v>-45.964221984830367</v>
      </c>
      <c r="Y362" s="20">
        <f t="shared" ca="1" si="208"/>
        <v>-48.168995892692401</v>
      </c>
      <c r="Z362" s="20">
        <f t="shared" ca="1" si="208"/>
        <v>-50.434068926708171</v>
      </c>
    </row>
    <row r="363" spans="1:26" x14ac:dyDescent="0.25">
      <c r="A363" s="11" t="s">
        <v>1344</v>
      </c>
      <c r="D363" s="94">
        <f t="shared" ref="D363:Z363" ca="1" si="209">SUM(D$359:D$362)</f>
        <v>43.616</v>
      </c>
      <c r="E363" s="94">
        <f t="shared" ca="1" si="209"/>
        <v>61.005000000000003</v>
      </c>
      <c r="F363" s="94">
        <f t="shared" ca="1" si="209"/>
        <v>56.783000000000001</v>
      </c>
      <c r="G363" s="94">
        <f t="shared" ca="1" si="209"/>
        <v>65.456000000000003</v>
      </c>
      <c r="H363" s="94">
        <f t="shared" ca="1" si="209"/>
        <v>66.489999999999995</v>
      </c>
      <c r="I363" s="94">
        <f t="shared" ca="1" si="209"/>
        <v>73.646000000000001</v>
      </c>
      <c r="J363" s="94">
        <f t="shared" ca="1" si="209"/>
        <v>82.543999999999997</v>
      </c>
      <c r="K363" s="94">
        <f t="shared" ca="1" si="209"/>
        <v>89.466999999999999</v>
      </c>
      <c r="L363" s="95">
        <f t="shared" ca="1" si="209"/>
        <v>87.414000000000001</v>
      </c>
      <c r="M363" s="95">
        <f t="shared" ca="1" si="209"/>
        <v>92.775000000000006</v>
      </c>
      <c r="N363" s="95">
        <f t="shared" ca="1" si="209"/>
        <v>98.364999999999995</v>
      </c>
      <c r="O363" s="95">
        <f t="shared" ca="1" si="209"/>
        <v>103.245</v>
      </c>
      <c r="P363" s="95">
        <f t="shared" ca="1" si="209"/>
        <v>105.999</v>
      </c>
      <c r="Q363" s="96">
        <f t="shared" ca="1" si="209"/>
        <v>111.00443148616097</v>
      </c>
      <c r="R363" s="96">
        <f t="shared" ca="1" si="209"/>
        <v>116.46274601455339</v>
      </c>
      <c r="S363" s="96">
        <f t="shared" ca="1" si="209"/>
        <v>122.18840445218032</v>
      </c>
      <c r="T363" s="96">
        <f t="shared" ca="1" si="209"/>
        <v>128.21098513630676</v>
      </c>
      <c r="U363" s="96">
        <f t="shared" ca="1" si="209"/>
        <v>134.54438443677452</v>
      </c>
      <c r="V363" s="96">
        <f t="shared" ca="1" si="209"/>
        <v>141.12204674398004</v>
      </c>
      <c r="W363" s="96">
        <f t="shared" ca="1" si="209"/>
        <v>147.94770525289894</v>
      </c>
      <c r="X363" s="96">
        <f t="shared" ca="1" si="209"/>
        <v>155.05043784777712</v>
      </c>
      <c r="Y363" s="96">
        <f t="shared" ca="1" si="209"/>
        <v>162.49420166322432</v>
      </c>
      <c r="Z363" s="96">
        <f t="shared" ca="1" si="209"/>
        <v>170.30948937827142</v>
      </c>
    </row>
    <row r="365" spans="1:26" x14ac:dyDescent="0.25">
      <c r="A365" s="11" t="s">
        <v>944</v>
      </c>
    </row>
    <row r="366" spans="1:26" x14ac:dyDescent="0.25">
      <c r="A366" s="12" t="s">
        <v>1345</v>
      </c>
      <c r="D366" s="50">
        <f ca="1">SUM(OFFSET(Assumptions!$B$52,0,$C$1),OFFSET(Assumptions!$B$53,0,$C$1))*(D$384-D$350-D$391)-D$388</f>
        <v>25.267520000000001</v>
      </c>
      <c r="E366" s="50">
        <f ca="1">SUM(OFFSET(Assumptions!$B$52,0,$C$1),OFFSET(Assumptions!$B$53,0,$C$1))*(E$384-E$350-E$391)-E$388</f>
        <v>24.321700000000007</v>
      </c>
      <c r="F366" s="50">
        <f ca="1">SUM(OFFSET(Assumptions!$B$52,0,$C$1),OFFSET(Assumptions!$B$53,0,$C$1))*(F$384-F$350-F$391)-F$388</f>
        <v>32.22748</v>
      </c>
      <c r="G366" s="50">
        <f ca="1">SUM(OFFSET(Assumptions!$B$52,0,$C$1),OFFSET(Assumptions!$B$53,0,$C$1))*(G$384-G$350-G$391)-G$388</f>
        <v>33.700679999999991</v>
      </c>
      <c r="H366" s="50">
        <f ca="1">SUM(OFFSET(Assumptions!$B$52,0,$C$1),OFFSET(Assumptions!$B$53,0,$C$1))*(H$384-H$350-H$391)-H$388</f>
        <v>31.649400000000007</v>
      </c>
      <c r="I366" s="50">
        <f ca="1">SUM(OFFSET(Assumptions!$B$52,0,$C$1),OFFSET(Assumptions!$B$53,0,$C$1))*(I$384-I$350-I$391)-I$388</f>
        <v>37.351579999999998</v>
      </c>
      <c r="J366" s="50">
        <f ca="1">SUM(OFFSET(Assumptions!$B$52,0,$C$1),OFFSET(Assumptions!$B$53,0,$C$1))*(J$384-J$350-J$391)-J$388</f>
        <v>41.521180000000001</v>
      </c>
      <c r="K366" s="50">
        <f ca="1">SUM(OFFSET(Assumptions!$B$52,0,$C$1),OFFSET(Assumptions!$B$53,0,$C$1))*(K$384-K$350-K$391)-K$388</f>
        <v>45.071639999999995</v>
      </c>
      <c r="L366" s="48">
        <f ca="1">SUM(OFFSET(Assumptions!$B$52,0,$C$1),OFFSET(Assumptions!$B$53,0,$C$1))*(L$384-L$350-L$391)-L$388</f>
        <v>50.456940000000003</v>
      </c>
      <c r="M366" s="48">
        <f ca="1">SUM(OFFSET(Assumptions!$B$52,0,$C$1),OFFSET(Assumptions!$B$53,0,$C$1))*(M$384-M$350-M$391)-M$388</f>
        <v>55.367999999999988</v>
      </c>
      <c r="N366" s="48">
        <f ca="1">SUM(OFFSET(Assumptions!$B$52,0,$C$1),OFFSET(Assumptions!$B$53,0,$C$1))*(N$384-N$350-N$391)-N$388</f>
        <v>57.913979999999995</v>
      </c>
      <c r="O366" s="48">
        <f ca="1">SUM(OFFSET(Assumptions!$B$52,0,$C$1),OFFSET(Assumptions!$B$53,0,$C$1))*(O$384-O$350-O$391)-O$388</f>
        <v>61.21858000000001</v>
      </c>
      <c r="P366" s="48">
        <f ca="1">SUM(OFFSET(Assumptions!$B$52,0,$C$1),OFFSET(Assumptions!$B$53,0,$C$1))*(P$384-P$350-P$391)-P$388</f>
        <v>64.983400000000017</v>
      </c>
      <c r="Q366" s="20">
        <f ca="1">OFFSET(Assumptions!$B$52,0,$C$1)*(Q$384-Q$350-Q$391)</f>
        <v>70.68447620102279</v>
      </c>
      <c r="R366" s="20">
        <f ca="1">OFFSET(Assumptions!$B$52,0,$C$1)*(R$384-R$350-R$391)</f>
        <v>74.997294049546426</v>
      </c>
      <c r="S366" s="20">
        <f ca="1">OFFSET(Assumptions!$B$52,0,$C$1)*(S$384-S$350-S$391)</f>
        <v>79.485682823609721</v>
      </c>
      <c r="T366" s="20">
        <f ca="1">OFFSET(Assumptions!$B$52,0,$C$1)*(T$384-T$350-T$391)</f>
        <v>84.165102821108391</v>
      </c>
      <c r="U366" s="20">
        <f ca="1">OFFSET(Assumptions!$B$52,0,$C$1)*(U$384-U$350-U$391)</f>
        <v>89.017454631451756</v>
      </c>
      <c r="V366" s="20">
        <f ca="1">OFFSET(Assumptions!$B$52,0,$C$1)*(V$384-V$350-V$391)</f>
        <v>94.073499964206945</v>
      </c>
      <c r="W366" s="20">
        <f ca="1">OFFSET(Assumptions!$B$52,0,$C$1)*(W$384-W$350-W$391)</f>
        <v>99.382666854878607</v>
      </c>
      <c r="X366" s="20">
        <f ca="1">OFFSET(Assumptions!$B$52,0,$C$1)*(X$384-X$350-X$391)</f>
        <v>104.99747567266147</v>
      </c>
      <c r="Y366" s="20">
        <f ca="1">OFFSET(Assumptions!$B$52,0,$C$1)*(Y$384-Y$350-Y$391)</f>
        <v>110.98833183064544</v>
      </c>
      <c r="Z366" s="20">
        <f ca="1">OFFSET(Assumptions!$B$52,0,$C$1)*(Z$384-Z$350-Z$391)</f>
        <v>117.41885200124834</v>
      </c>
    </row>
    <row r="367" spans="1:26" x14ac:dyDescent="0.25">
      <c r="A367" s="12" t="s">
        <v>1346</v>
      </c>
      <c r="B367" s="14" t="str">
        <f>$B$38</f>
        <v>From Fiscal Forecasts</v>
      </c>
      <c r="D367" s="50">
        <f ca="1">'Fiscal Forecasts'!D$183-D$366</f>
        <v>1.1274799999999985</v>
      </c>
      <c r="E367" s="50">
        <f ca="1">'Fiscal Forecasts'!E$183-E$366</f>
        <v>-6.4617000000000075</v>
      </c>
      <c r="F367" s="50">
        <f ca="1">'Fiscal Forecasts'!F$183-F$366</f>
        <v>-3.5834800000000016</v>
      </c>
      <c r="G367" s="50">
        <f ca="1">'Fiscal Forecasts'!G$183-G$366</f>
        <v>-4.5476799999999926</v>
      </c>
      <c r="H367" s="50">
        <f ca="1">'Fiscal Forecasts'!H$183-H$366</f>
        <v>-2.651400000000006</v>
      </c>
      <c r="I367" s="50">
        <f ca="1">'Fiscal Forecasts'!I$183-I$366</f>
        <v>-1.3579999999997483E-2</v>
      </c>
      <c r="J367" s="50">
        <f ca="1">'Fiscal Forecasts'!J$183-J$366</f>
        <v>1.4638199999999983</v>
      </c>
      <c r="K367" s="50">
        <f ca="1">'Fiscal Forecasts'!K$183-K$366</f>
        <v>5.6813600000000051</v>
      </c>
      <c r="L367" s="48">
        <f ca="1">'Fiscal Forecasts'!L$183-L$366</f>
        <v>3.6750599999999949</v>
      </c>
      <c r="M367" s="48">
        <f ca="1">'Fiscal Forecasts'!M$183-M$366</f>
        <v>3.0080000000000098</v>
      </c>
      <c r="N367" s="48">
        <f ca="1">'Fiscal Forecasts'!N$183-N$366</f>
        <v>3.1720200000000034</v>
      </c>
      <c r="O367" s="48">
        <f ca="1">'Fiscal Forecasts'!O$183-O$366</f>
        <v>3.6244199999999935</v>
      </c>
      <c r="P367" s="48">
        <f ca="1">'Fiscal Forecasts'!P$183-P$366</f>
        <v>3.9635999999999854</v>
      </c>
      <c r="Q367" s="20">
        <f t="shared" ref="Q367:Z367" ca="1" si="210">P$367*(1+Q$14)</f>
        <v>4.1361390328507488</v>
      </c>
      <c r="R367" s="20">
        <f t="shared" ca="1" si="210"/>
        <v>4.3121943400639617</v>
      </c>
      <c r="S367" s="20">
        <f t="shared" ca="1" si="210"/>
        <v>4.4929138428408137</v>
      </c>
      <c r="T367" s="20">
        <f t="shared" ca="1" si="210"/>
        <v>4.6778748359079767</v>
      </c>
      <c r="U367" s="20">
        <f t="shared" ca="1" si="210"/>
        <v>4.8692855553030761</v>
      </c>
      <c r="V367" s="20">
        <f t="shared" ca="1" si="210"/>
        <v>5.0672140739620497</v>
      </c>
      <c r="W367" s="20">
        <f t="shared" ca="1" si="210"/>
        <v>5.2706618457805989</v>
      </c>
      <c r="X367" s="20">
        <f t="shared" ca="1" si="210"/>
        <v>5.4799680701817852</v>
      </c>
      <c r="Y367" s="20">
        <f t="shared" ca="1" si="210"/>
        <v>5.6962272874241267</v>
      </c>
      <c r="Z367" s="20">
        <f t="shared" ca="1" si="210"/>
        <v>5.9194952739835305</v>
      </c>
    </row>
    <row r="368" spans="1:26" x14ac:dyDescent="0.25">
      <c r="A368" s="11" t="s">
        <v>1347</v>
      </c>
      <c r="D368" s="94">
        <f t="shared" ref="D368:Z368" ca="1" si="211">SUM(D$366:D$367)</f>
        <v>26.395</v>
      </c>
      <c r="E368" s="94">
        <f t="shared" ca="1" si="211"/>
        <v>17.86</v>
      </c>
      <c r="F368" s="94">
        <f t="shared" ca="1" si="211"/>
        <v>28.643999999999998</v>
      </c>
      <c r="G368" s="94">
        <f t="shared" ca="1" si="211"/>
        <v>29.152999999999999</v>
      </c>
      <c r="H368" s="94">
        <f t="shared" ca="1" si="211"/>
        <v>28.998000000000001</v>
      </c>
      <c r="I368" s="94">
        <f t="shared" ca="1" si="211"/>
        <v>37.338000000000001</v>
      </c>
      <c r="J368" s="94">
        <f t="shared" ca="1" si="211"/>
        <v>42.984999999999999</v>
      </c>
      <c r="K368" s="94">
        <f t="shared" ca="1" si="211"/>
        <v>50.753</v>
      </c>
      <c r="L368" s="95">
        <f t="shared" ca="1" si="211"/>
        <v>54.131999999999998</v>
      </c>
      <c r="M368" s="95">
        <f t="shared" ca="1" si="211"/>
        <v>58.375999999999998</v>
      </c>
      <c r="N368" s="95">
        <f t="shared" ca="1" si="211"/>
        <v>61.085999999999999</v>
      </c>
      <c r="O368" s="95">
        <f t="shared" ca="1" si="211"/>
        <v>64.843000000000004</v>
      </c>
      <c r="P368" s="95">
        <f t="shared" ca="1" si="211"/>
        <v>68.947000000000003</v>
      </c>
      <c r="Q368" s="96">
        <f t="shared" ca="1" si="211"/>
        <v>74.820615233873539</v>
      </c>
      <c r="R368" s="96">
        <f t="shared" ca="1" si="211"/>
        <v>79.309488389610394</v>
      </c>
      <c r="S368" s="96">
        <f t="shared" ca="1" si="211"/>
        <v>83.978596666450528</v>
      </c>
      <c r="T368" s="96">
        <f t="shared" ca="1" si="211"/>
        <v>88.842977657016363</v>
      </c>
      <c r="U368" s="96">
        <f t="shared" ca="1" si="211"/>
        <v>93.886740186754835</v>
      </c>
      <c r="V368" s="96">
        <f t="shared" ca="1" si="211"/>
        <v>99.140714038168994</v>
      </c>
      <c r="W368" s="96">
        <f t="shared" ca="1" si="211"/>
        <v>104.6533287006592</v>
      </c>
      <c r="X368" s="96">
        <f t="shared" ca="1" si="211"/>
        <v>110.47744374284325</v>
      </c>
      <c r="Y368" s="96">
        <f t="shared" ca="1" si="211"/>
        <v>116.68455911806956</v>
      </c>
      <c r="Z368" s="96">
        <f t="shared" ca="1" si="211"/>
        <v>123.33834727523187</v>
      </c>
    </row>
    <row r="369" spans="1:26" x14ac:dyDescent="0.25">
      <c r="A369" s="12" t="s">
        <v>1020</v>
      </c>
      <c r="B369" s="14" t="str">
        <f>$B$38</f>
        <v>From Fiscal Forecasts</v>
      </c>
      <c r="D369" s="50">
        <f>'Fiscal Forecasts'!D$216</f>
        <v>14.254</v>
      </c>
      <c r="E369" s="50">
        <f>'Fiscal Forecasts'!E$216</f>
        <v>17.135000000000002</v>
      </c>
      <c r="F369" s="50">
        <f>'Fiscal Forecasts'!F$216</f>
        <v>21.521999999999998</v>
      </c>
      <c r="G369" s="50">
        <f>'Fiscal Forecasts'!G$216</f>
        <v>18.613</v>
      </c>
      <c r="H369" s="50">
        <f>'Fiscal Forecasts'!H$216</f>
        <v>19.635000000000002</v>
      </c>
      <c r="I369" s="50">
        <f>'Fiscal Forecasts'!I$216</f>
        <v>16.818999999999999</v>
      </c>
      <c r="J369" s="50">
        <f>'Fiscal Forecasts'!J$216</f>
        <v>17.253</v>
      </c>
      <c r="K369" s="50">
        <f>'Fiscal Forecasts'!K$216</f>
        <v>17.209</v>
      </c>
      <c r="L369" s="48">
        <f>'Fiscal Forecasts'!L$216</f>
        <v>16.515999999999998</v>
      </c>
      <c r="M369" s="48">
        <f>'Fiscal Forecasts'!M$216</f>
        <v>16.759</v>
      </c>
      <c r="N369" s="48">
        <f>'Fiscal Forecasts'!N$216</f>
        <v>16.863</v>
      </c>
      <c r="O369" s="48">
        <f>'Fiscal Forecasts'!O$216</f>
        <v>16.975000000000001</v>
      </c>
      <c r="P369" s="48">
        <f>'Fiscal Forecasts'!P$216</f>
        <v>17.091000000000001</v>
      </c>
      <c r="Q369" s="20">
        <f ca="1">P$369*AVERAGE(Exogenous!AB$29/Exogenous!AA$29,1+Q$14)</f>
        <v>17.773423362486561</v>
      </c>
      <c r="R369" s="20">
        <f ca="1">Q$369*AVERAGE(Exogenous!AC$29/Exogenous!AB$29,1+R$14)</f>
        <v>18.528724903828337</v>
      </c>
      <c r="S369" s="20">
        <f ca="1">R$369*AVERAGE(Exogenous!AD$29/Exogenous!AC$29,1+S$14)</f>
        <v>19.369374457106787</v>
      </c>
      <c r="T369" s="20">
        <f ca="1">S$369*AVERAGE(Exogenous!AE$29/Exogenous!AD$29,1+T$14)</f>
        <v>20.314404159518965</v>
      </c>
      <c r="U369" s="20">
        <f ca="1">T$369*AVERAGE(Exogenous!AF$29/Exogenous!AE$29,1+U$14)</f>
        <v>21.363006779158287</v>
      </c>
      <c r="V369" s="20">
        <f ca="1">U$369*AVERAGE(Exogenous!AG$29/Exogenous!AF$29,1+V$14)</f>
        <v>22.452444821704432</v>
      </c>
      <c r="W369" s="20">
        <f ca="1">V$369*AVERAGE(Exogenous!AH$29/Exogenous!AG$29,1+W$14)</f>
        <v>23.573280851083751</v>
      </c>
      <c r="X369" s="20">
        <f ca="1">W$369*AVERAGE(Exogenous!AI$29/Exogenous!AH$29,1+X$14)</f>
        <v>24.72225950222608</v>
      </c>
      <c r="Y369" s="20">
        <f ca="1">X$369*AVERAGE(Exogenous!AJ$29/Exogenous!AI$29,1+Y$14)</f>
        <v>25.908116465319925</v>
      </c>
      <c r="Z369" s="20">
        <f ca="1">Y$369*AVERAGE(Exogenous!AK$29/Exogenous!AJ$29,1+Z$14)</f>
        <v>27.126405841716061</v>
      </c>
    </row>
    <row r="370" spans="1:26" x14ac:dyDescent="0.25">
      <c r="A370" s="12" t="s">
        <v>1227</v>
      </c>
      <c r="B370" s="14" t="str">
        <f>$B$38</f>
        <v>From Fiscal Forecasts</v>
      </c>
      <c r="D370" s="50">
        <f>'Fiscal Forecasts'!D$217</f>
        <v>0.27900000000000003</v>
      </c>
      <c r="E370" s="50">
        <f>'Fiscal Forecasts'!E$217</f>
        <v>3.7999999999999999E-2</v>
      </c>
      <c r="F370" s="50">
        <f>'Fiscal Forecasts'!F$217</f>
        <v>3.7999999999999999E-2</v>
      </c>
      <c r="G370" s="50">
        <f>'Fiscal Forecasts'!G$217</f>
        <v>3.4000000000000002E-2</v>
      </c>
      <c r="H370" s="50">
        <f>'Fiscal Forecasts'!H$217</f>
        <v>3.5999999999999997E-2</v>
      </c>
      <c r="I370" s="50">
        <f>'Fiscal Forecasts'!I$217</f>
        <v>3.2000000000000001E-2</v>
      </c>
      <c r="J370" s="50">
        <f>'Fiscal Forecasts'!J$217</f>
        <v>0.04</v>
      </c>
      <c r="K370" s="50">
        <f>'Fiscal Forecasts'!K$217</f>
        <v>4.2000000000000003E-2</v>
      </c>
      <c r="L370" s="48">
        <f>'Fiscal Forecasts'!L$217</f>
        <v>4.2000000000000003E-2</v>
      </c>
      <c r="M370" s="48">
        <f>'Fiscal Forecasts'!M$217</f>
        <v>4.2000000000000003E-2</v>
      </c>
      <c r="N370" s="48">
        <f>'Fiscal Forecasts'!N$217</f>
        <v>4.2000000000000003E-2</v>
      </c>
      <c r="O370" s="48">
        <f>'Fiscal Forecasts'!O$217</f>
        <v>4.2000000000000003E-2</v>
      </c>
      <c r="P370" s="48">
        <f>'Fiscal Forecasts'!P$217</f>
        <v>4.2000000000000003E-2</v>
      </c>
      <c r="Q370" s="20">
        <f t="shared" ref="Q370:Z370" ca="1" si="212">P$370*(1+Q$14)</f>
        <v>4.3828297350825537E-2</v>
      </c>
      <c r="R370" s="20">
        <f t="shared" ca="1" si="212"/>
        <v>4.5693854647968275E-2</v>
      </c>
      <c r="S370" s="20">
        <f t="shared" ca="1" si="212"/>
        <v>4.760883575520105E-2</v>
      </c>
      <c r="T370" s="20">
        <f t="shared" ca="1" si="212"/>
        <v>4.9568761506745322E-2</v>
      </c>
      <c r="U370" s="20">
        <f t="shared" ca="1" si="212"/>
        <v>5.1597031315654955E-2</v>
      </c>
      <c r="V370" s="20">
        <f t="shared" ca="1" si="212"/>
        <v>5.3694366511859652E-2</v>
      </c>
      <c r="W370" s="20">
        <f t="shared" ca="1" si="212"/>
        <v>5.5850186073969632E-2</v>
      </c>
      <c r="X370" s="20">
        <f t="shared" ca="1" si="212"/>
        <v>5.8068084304076062E-2</v>
      </c>
      <c r="Y370" s="20">
        <f t="shared" ca="1" si="212"/>
        <v>6.0359659418663399E-2</v>
      </c>
      <c r="Z370" s="20">
        <f t="shared" ca="1" si="212"/>
        <v>6.2725502449114248E-2</v>
      </c>
    </row>
    <row r="371" spans="1:26" x14ac:dyDescent="0.25">
      <c r="A371" s="12" t="s">
        <v>1228</v>
      </c>
      <c r="B371" s="14" t="str">
        <f>$B$38</f>
        <v>From Fiscal Forecasts</v>
      </c>
      <c r="D371" s="50">
        <f ca="1">'Fiscal Forecasts'!D$123-SUM(D$368:D$370)</f>
        <v>-1.3760000000000048</v>
      </c>
      <c r="E371" s="50">
        <f ca="1">'Fiscal Forecasts'!E$123-SUM(E$368:E$370)</f>
        <v>-1.2420000000000044</v>
      </c>
      <c r="F371" s="50">
        <f ca="1">'Fiscal Forecasts'!F$123-SUM(F$368:F$370)</f>
        <v>-1.664999999999992</v>
      </c>
      <c r="G371" s="50">
        <f ca="1">'Fiscal Forecasts'!G$123-SUM(G$368:G$370)</f>
        <v>-1.5389999999999944</v>
      </c>
      <c r="H371" s="50">
        <f ca="1">'Fiscal Forecasts'!H$123-SUM(H$368:H$370)</f>
        <v>-0.62300000000000466</v>
      </c>
      <c r="I371" s="50">
        <f ca="1">'Fiscal Forecasts'!I$123-SUM(I$368:I$370)</f>
        <v>-0.69399999999999551</v>
      </c>
      <c r="J371" s="50">
        <f ca="1">'Fiscal Forecasts'!J$123-SUM(J$368:J$370)</f>
        <v>-0.70499999999999829</v>
      </c>
      <c r="K371" s="50">
        <f ca="1">'Fiscal Forecasts'!K$123-SUM(K$368:K$370)</f>
        <v>-0.78300000000000125</v>
      </c>
      <c r="L371" s="48">
        <f ca="1">'Fiscal Forecasts'!L$123-SUM(L$368:L$370)</f>
        <v>-0.80100000000000193</v>
      </c>
      <c r="M371" s="48">
        <f ca="1">'Fiscal Forecasts'!M$123-SUM(M$368:M$370)</f>
        <v>-0.82599999999999341</v>
      </c>
      <c r="N371" s="48">
        <f ca="1">'Fiscal Forecasts'!N$123-SUM(N$368:N$370)</f>
        <v>-0.85599999999999454</v>
      </c>
      <c r="O371" s="48">
        <f ca="1">'Fiscal Forecasts'!O$123-SUM(O$368:O$370)</f>
        <v>-0.89300000000001489</v>
      </c>
      <c r="P371" s="48">
        <f ca="1">'Fiscal Forecasts'!P$123-SUM(P$368:P$370)</f>
        <v>-0.93300000000000693</v>
      </c>
      <c r="Q371" s="20">
        <f t="shared" ref="Q371:Z371" ca="1" si="213">P$371*AVERAGE(Q$368/P$368,Q$369/P$369)</f>
        <v>-0.99136806417422074</v>
      </c>
      <c r="R371" s="20">
        <f t="shared" ca="1" si="213"/>
        <v>-1.0421713445826555</v>
      </c>
      <c r="S371" s="20">
        <f t="shared" ca="1" si="213"/>
        <v>-1.096490394418975</v>
      </c>
      <c r="T371" s="20">
        <f t="shared" ca="1" si="213"/>
        <v>-1.1549958046523725</v>
      </c>
      <c r="U371" s="20">
        <f t="shared" ca="1" si="213"/>
        <v>-1.2175909904198992</v>
      </c>
      <c r="V371" s="20">
        <f t="shared" ca="1" si="213"/>
        <v>-1.2827060766582203</v>
      </c>
      <c r="W371" s="20">
        <f t="shared" ca="1" si="213"/>
        <v>-1.3503844636311129</v>
      </c>
      <c r="X371" s="20">
        <f t="shared" ca="1" si="213"/>
        <v>-1.4208692808337247</v>
      </c>
      <c r="Y371" s="20">
        <f t="shared" ca="1" si="213"/>
        <v>-1.4948622097055599</v>
      </c>
      <c r="Z371" s="20">
        <f t="shared" ca="1" si="213"/>
        <v>-1.5726303146332583</v>
      </c>
    </row>
    <row r="372" spans="1:26" x14ac:dyDescent="0.25">
      <c r="A372" s="11" t="s">
        <v>1348</v>
      </c>
      <c r="D372" s="94">
        <f t="shared" ref="D372:Z372" ca="1" si="214">SUM(D$368:D$371)</f>
        <v>39.552</v>
      </c>
      <c r="E372" s="94">
        <f t="shared" ca="1" si="214"/>
        <v>33.790999999999997</v>
      </c>
      <c r="F372" s="94">
        <f t="shared" ca="1" si="214"/>
        <v>48.539000000000001</v>
      </c>
      <c r="G372" s="94">
        <f t="shared" ca="1" si="214"/>
        <v>46.261000000000003</v>
      </c>
      <c r="H372" s="94">
        <f t="shared" ca="1" si="214"/>
        <v>48.045999999999999</v>
      </c>
      <c r="I372" s="94">
        <f t="shared" ca="1" si="214"/>
        <v>53.494999999999997</v>
      </c>
      <c r="J372" s="94">
        <f t="shared" ca="1" si="214"/>
        <v>59.573</v>
      </c>
      <c r="K372" s="94">
        <f t="shared" ca="1" si="214"/>
        <v>67.221000000000004</v>
      </c>
      <c r="L372" s="95">
        <f t="shared" ca="1" si="214"/>
        <v>69.888999999999996</v>
      </c>
      <c r="M372" s="95">
        <f t="shared" ca="1" si="214"/>
        <v>74.350999999999999</v>
      </c>
      <c r="N372" s="95">
        <f t="shared" ca="1" si="214"/>
        <v>77.135000000000005</v>
      </c>
      <c r="O372" s="95">
        <f t="shared" ca="1" si="214"/>
        <v>80.966999999999999</v>
      </c>
      <c r="P372" s="95">
        <f t="shared" ca="1" si="214"/>
        <v>85.147000000000006</v>
      </c>
      <c r="Q372" s="96">
        <f t="shared" ca="1" si="214"/>
        <v>91.646498829536696</v>
      </c>
      <c r="R372" s="96">
        <f t="shared" ca="1" si="214"/>
        <v>96.841735803504037</v>
      </c>
      <c r="S372" s="96">
        <f t="shared" ca="1" si="214"/>
        <v>102.29908956489353</v>
      </c>
      <c r="T372" s="96">
        <f t="shared" ca="1" si="214"/>
        <v>108.0519547733897</v>
      </c>
      <c r="U372" s="96">
        <f t="shared" ca="1" si="214"/>
        <v>114.08375300680888</v>
      </c>
      <c r="V372" s="96">
        <f t="shared" ca="1" si="214"/>
        <v>120.36414714972707</v>
      </c>
      <c r="W372" s="96">
        <f t="shared" ca="1" si="214"/>
        <v>126.93207527418582</v>
      </c>
      <c r="X372" s="96">
        <f t="shared" ca="1" si="214"/>
        <v>133.83690204853966</v>
      </c>
      <c r="Y372" s="96">
        <f t="shared" ca="1" si="214"/>
        <v>141.15817303310257</v>
      </c>
      <c r="Z372" s="96">
        <f t="shared" ca="1" si="214"/>
        <v>148.9548483047638</v>
      </c>
    </row>
    <row r="374" spans="1:26" x14ac:dyDescent="0.25">
      <c r="A374" s="11" t="s">
        <v>1088</v>
      </c>
    </row>
    <row r="375" spans="1:26" x14ac:dyDescent="0.25">
      <c r="A375" s="12" t="s">
        <v>524</v>
      </c>
      <c r="B375" s="14" t="str">
        <f>$B$38</f>
        <v>From Fiscal Forecasts</v>
      </c>
      <c r="D375" s="50">
        <f>'Fiscal Forecasts'!D$358</f>
        <v>0.98199999999999998</v>
      </c>
      <c r="E375" s="50">
        <f>'Fiscal Forecasts'!E$358</f>
        <v>0.80300000000000005</v>
      </c>
      <c r="F375" s="50">
        <f>'Fiscal Forecasts'!F$358</f>
        <v>0.74199999999999999</v>
      </c>
      <c r="G375" s="50">
        <f>'Fiscal Forecasts'!G$358</f>
        <v>1.077</v>
      </c>
      <c r="H375" s="50">
        <f>'Fiscal Forecasts'!H$358</f>
        <v>1.32</v>
      </c>
      <c r="I375" s="50">
        <f>'Fiscal Forecasts'!I$358</f>
        <v>1.659</v>
      </c>
      <c r="J375" s="50">
        <f>'Fiscal Forecasts'!J$358</f>
        <v>1.784</v>
      </c>
      <c r="K375" s="50">
        <f>'Fiscal Forecasts'!K$358</f>
        <v>1.794</v>
      </c>
      <c r="L375" s="48">
        <f>'Fiscal Forecasts'!L$358</f>
        <v>1.7829999999999999</v>
      </c>
      <c r="M375" s="48">
        <f>'Fiscal Forecasts'!M$358</f>
        <v>1.8460000000000001</v>
      </c>
      <c r="N375" s="48">
        <f>'Fiscal Forecasts'!N$358</f>
        <v>1.9339999999999999</v>
      </c>
      <c r="O375" s="48">
        <f>'Fiscal Forecasts'!O$358</f>
        <v>2.0230000000000001</v>
      </c>
      <c r="P375" s="48">
        <f>'Fiscal Forecasts'!P$358</f>
        <v>2.117</v>
      </c>
      <c r="Q375" s="20">
        <f>Exogenous!AB$7</f>
        <v>2.2826423397519768</v>
      </c>
      <c r="R375" s="20">
        <f>Exogenous!AC$7</f>
        <v>2.4227195267047787</v>
      </c>
      <c r="S375" s="20">
        <f>Exogenous!AD$7</f>
        <v>2.5686040258743446</v>
      </c>
      <c r="T375" s="20">
        <f>Exogenous!AE$7</f>
        <v>2.7205525842122014</v>
      </c>
      <c r="U375" s="20">
        <f>Exogenous!AF$7</f>
        <v>2.8785731084689492</v>
      </c>
      <c r="V375" s="20">
        <f>Exogenous!AG$7</f>
        <v>3.0428005523082655</v>
      </c>
      <c r="W375" s="20">
        <f>Exogenous!AH$7</f>
        <v>3.2145377933622776</v>
      </c>
      <c r="X375" s="20">
        <f>Exogenous!AI$7</f>
        <v>3.3954730466939047</v>
      </c>
      <c r="Y375" s="20">
        <f>Exogenous!AJ$7</f>
        <v>3.5876200801183402</v>
      </c>
      <c r="Z375" s="20">
        <f>Exogenous!AK$7</f>
        <v>3.7932149643970732</v>
      </c>
    </row>
    <row r="376" spans="1:26" x14ac:dyDescent="0.25">
      <c r="A376" s="12" t="s">
        <v>672</v>
      </c>
      <c r="B376" s="14" t="str">
        <f>$B$38</f>
        <v>From Fiscal Forecasts</v>
      </c>
      <c r="D376" s="50">
        <f>'Fiscal Forecasts'!D$359</f>
        <v>0.504</v>
      </c>
      <c r="E376" s="50">
        <f>'Fiscal Forecasts'!E$359</f>
        <v>0.44800000000000001</v>
      </c>
      <c r="F376" s="50">
        <f>'Fiscal Forecasts'!F$359</f>
        <v>2.1560000000000001</v>
      </c>
      <c r="G376" s="50">
        <f>'Fiscal Forecasts'!G$359</f>
        <v>3.5000000000000003E-2</v>
      </c>
      <c r="H376" s="50">
        <f>'Fiscal Forecasts'!H$359</f>
        <v>0.127</v>
      </c>
      <c r="I376" s="50">
        <f>'Fiscal Forecasts'!I$359</f>
        <v>1.29</v>
      </c>
      <c r="J376" s="50">
        <f>'Fiscal Forecasts'!J$359</f>
        <v>1.7549999999999999</v>
      </c>
      <c r="K376" s="50">
        <f>'Fiscal Forecasts'!K$359</f>
        <v>1.196</v>
      </c>
      <c r="L376" s="48">
        <f>'Fiscal Forecasts'!L$359</f>
        <v>1.1910000000000001</v>
      </c>
      <c r="M376" s="48">
        <f>'Fiscal Forecasts'!M$359</f>
        <v>1.2689999999999999</v>
      </c>
      <c r="N376" s="48">
        <f>'Fiscal Forecasts'!N$359</f>
        <v>1.351</v>
      </c>
      <c r="O376" s="48">
        <f>'Fiscal Forecasts'!O$359</f>
        <v>1.4419999999999999</v>
      </c>
      <c r="P376" s="48">
        <f>'Fiscal Forecasts'!P$359</f>
        <v>1.54</v>
      </c>
      <c r="Q376" s="20">
        <f>Exogenous!AB$8</f>
        <v>1.6465642618703413</v>
      </c>
      <c r="R376" s="20">
        <f>Exogenous!AC$8</f>
        <v>1.7476077262463132</v>
      </c>
      <c r="S376" s="20">
        <f>Exogenous!AD$8</f>
        <v>1.8528402449419756</v>
      </c>
      <c r="T376" s="20">
        <f>Exogenous!AE$8</f>
        <v>1.9624470201448843</v>
      </c>
      <c r="U376" s="20">
        <f>Exogenous!AF$8</f>
        <v>2.0764337553210344</v>
      </c>
      <c r="V376" s="20">
        <f>Exogenous!AG$8</f>
        <v>2.194897798125707</v>
      </c>
      <c r="W376" s="20">
        <f>Exogenous!AH$8</f>
        <v>2.3187789680432305</v>
      </c>
      <c r="X376" s="20">
        <f>Exogenous!AI$8</f>
        <v>2.4492950443728607</v>
      </c>
      <c r="Y376" s="20">
        <f>Exogenous!AJ$8</f>
        <v>2.5878986410692479</v>
      </c>
      <c r="Z376" s="20">
        <f>Exogenous!AK$8</f>
        <v>2.736202728390047</v>
      </c>
    </row>
    <row r="377" spans="1:26" x14ac:dyDescent="0.25">
      <c r="A377" s="12" t="s">
        <v>664</v>
      </c>
      <c r="B377" s="14" t="str">
        <f>$B$38</f>
        <v>From Fiscal Forecasts</v>
      </c>
      <c r="D377" s="50">
        <f>'Fiscal Forecasts'!D$360</f>
        <v>0.13</v>
      </c>
      <c r="E377" s="50">
        <f>'Fiscal Forecasts'!E$360</f>
        <v>0.15</v>
      </c>
      <c r="F377" s="50">
        <f>'Fiscal Forecasts'!F$360</f>
        <v>0.125</v>
      </c>
      <c r="G377" s="50">
        <f>'Fiscal Forecasts'!G$360</f>
        <v>-0.51700000000000002</v>
      </c>
      <c r="H377" s="50">
        <f>'Fiscal Forecasts'!H$360</f>
        <v>1.054</v>
      </c>
      <c r="I377" s="50">
        <f>'Fiscal Forecasts'!I$360</f>
        <v>0.189</v>
      </c>
      <c r="J377" s="50">
        <f>'Fiscal Forecasts'!J$360</f>
        <v>0.193</v>
      </c>
      <c r="K377" s="50">
        <f>'Fiscal Forecasts'!K$360</f>
        <v>0.215</v>
      </c>
      <c r="L377" s="48">
        <f>'Fiscal Forecasts'!L$360</f>
        <v>0.32200000000000001</v>
      </c>
      <c r="M377" s="48">
        <f>'Fiscal Forecasts'!M$360</f>
        <v>0.33600000000000002</v>
      </c>
      <c r="N377" s="48">
        <f>'Fiscal Forecasts'!N$360</f>
        <v>0.35199999999999998</v>
      </c>
      <c r="O377" s="48">
        <f>'Fiscal Forecasts'!O$360</f>
        <v>0.371</v>
      </c>
      <c r="P377" s="48">
        <f>'Fiscal Forecasts'!P$360</f>
        <v>0.39100000000000001</v>
      </c>
      <c r="Q377" s="20">
        <f>Exogenous!AB$9</f>
        <v>0.41851304952192758</v>
      </c>
      <c r="R377" s="20">
        <f>Exogenous!AC$9</f>
        <v>0.44419562346666575</v>
      </c>
      <c r="S377" s="20">
        <f>Exogenous!AD$9</f>
        <v>0.47094294413192073</v>
      </c>
      <c r="T377" s="20">
        <f>Exogenous!AE$9</f>
        <v>0.49880208501132234</v>
      </c>
      <c r="U377" s="20">
        <f>Exogenous!AF$9</f>
        <v>0.52777449577495117</v>
      </c>
      <c r="V377" s="20">
        <f>Exogenous!AG$9</f>
        <v>0.55788491961991127</v>
      </c>
      <c r="W377" s="20">
        <f>Exogenous!AH$9</f>
        <v>0.58937223378136083</v>
      </c>
      <c r="X377" s="20">
        <f>Exogenous!AI$9</f>
        <v>0.62254596552159913</v>
      </c>
      <c r="Y377" s="20">
        <f>Exogenous!AJ$9</f>
        <v>0.65777533085606932</v>
      </c>
      <c r="Z377" s="20">
        <f>Exogenous!AK$9</f>
        <v>0.69547030412768118</v>
      </c>
    </row>
    <row r="378" spans="1:26" x14ac:dyDescent="0.25">
      <c r="A378" s="12" t="s">
        <v>527</v>
      </c>
      <c r="B378" s="14" t="str">
        <f>$B$38</f>
        <v>From Fiscal Forecasts</v>
      </c>
      <c r="D378" s="50">
        <f>'Fiscal Forecasts'!D$361</f>
        <v>1.9550000000000001</v>
      </c>
      <c r="E378" s="50">
        <f>'Fiscal Forecasts'!E$361</f>
        <v>1.7000000000000001E-2</v>
      </c>
      <c r="F378" s="50">
        <f>'Fiscal Forecasts'!F$361</f>
        <v>12.786</v>
      </c>
      <c r="G378" s="50">
        <f>'Fiscal Forecasts'!G$361</f>
        <v>-5.133</v>
      </c>
      <c r="H378" s="50">
        <f>'Fiscal Forecasts'!H$361</f>
        <v>5.766</v>
      </c>
      <c r="I378" s="50">
        <f>'Fiscal Forecasts'!I$361</f>
        <v>8.3520000000000003</v>
      </c>
      <c r="J378" s="50">
        <f>'Fiscal Forecasts'!J$361</f>
        <v>7.3129999999999997</v>
      </c>
      <c r="K378" s="50">
        <f>'Fiscal Forecasts'!K$361</f>
        <v>10.266999999999999</v>
      </c>
      <c r="L378" s="48">
        <f>'Fiscal Forecasts'!L$361</f>
        <v>5.2359999999999998</v>
      </c>
      <c r="M378" s="48">
        <f>'Fiscal Forecasts'!M$361</f>
        <v>5.6260000000000003</v>
      </c>
      <c r="N378" s="48">
        <f>'Fiscal Forecasts'!N$361</f>
        <v>6.0119999999999996</v>
      </c>
      <c r="O378" s="48">
        <f>'Fiscal Forecasts'!O$361</f>
        <v>6.4580000000000002</v>
      </c>
      <c r="P378" s="48">
        <f>'Fiscal Forecasts'!P$361</f>
        <v>6.9329999999999998</v>
      </c>
      <c r="Q378" s="20">
        <f>Exogenous!AB$10</f>
        <v>7.2834499423829602</v>
      </c>
      <c r="R378" s="20">
        <f>Exogenous!AC$10</f>
        <v>7.7304079092414062</v>
      </c>
      <c r="S378" s="20">
        <f>Exogenous!AD$10</f>
        <v>8.1958958346018864</v>
      </c>
      <c r="T378" s="20">
        <f>Exogenous!AE$10</f>
        <v>8.6807329460484794</v>
      </c>
      <c r="U378" s="20">
        <f>Exogenous!AF$10</f>
        <v>9.1849444724228615</v>
      </c>
      <c r="V378" s="20">
        <f>Exogenous!AG$10</f>
        <v>9.7089610235655766</v>
      </c>
      <c r="W378" s="20">
        <f>Exogenous!AH$10</f>
        <v>10.256939818437033</v>
      </c>
      <c r="X378" s="20">
        <f>Exogenous!AI$10</f>
        <v>10.834267609788034</v>
      </c>
      <c r="Y378" s="20">
        <f>Exogenous!AJ$10</f>
        <v>11.447369923344665</v>
      </c>
      <c r="Z378" s="20">
        <f>Exogenous!AK$10</f>
        <v>12.103381608564206</v>
      </c>
    </row>
    <row r="379" spans="1:26" x14ac:dyDescent="0.25">
      <c r="A379" s="11" t="s">
        <v>1349</v>
      </c>
      <c r="D379" s="94">
        <f t="shared" ref="D379:Z379" si="215">D$375-D$376-D$377+D$378</f>
        <v>2.3029999999999999</v>
      </c>
      <c r="E379" s="94">
        <f t="shared" si="215"/>
        <v>0.22200000000000003</v>
      </c>
      <c r="F379" s="94">
        <f t="shared" si="215"/>
        <v>11.247</v>
      </c>
      <c r="G379" s="94">
        <f t="shared" si="215"/>
        <v>-3.5739999999999998</v>
      </c>
      <c r="H379" s="94">
        <f t="shared" si="215"/>
        <v>5.9050000000000002</v>
      </c>
      <c r="I379" s="94">
        <f t="shared" si="215"/>
        <v>8.532</v>
      </c>
      <c r="J379" s="94">
        <f t="shared" si="215"/>
        <v>7.149</v>
      </c>
      <c r="K379" s="94">
        <f t="shared" si="215"/>
        <v>10.65</v>
      </c>
      <c r="L379" s="95">
        <f t="shared" si="215"/>
        <v>5.5059999999999993</v>
      </c>
      <c r="M379" s="95">
        <f t="shared" si="215"/>
        <v>5.8670000000000009</v>
      </c>
      <c r="N379" s="95">
        <f t="shared" si="215"/>
        <v>6.2429999999999994</v>
      </c>
      <c r="O379" s="95">
        <f t="shared" si="215"/>
        <v>6.6680000000000001</v>
      </c>
      <c r="P379" s="95">
        <f t="shared" si="215"/>
        <v>7.1189999999999998</v>
      </c>
      <c r="Q379" s="96">
        <f t="shared" si="215"/>
        <v>7.5010149707426681</v>
      </c>
      <c r="R379" s="96">
        <f t="shared" si="215"/>
        <v>7.9613240862332058</v>
      </c>
      <c r="S379" s="96">
        <f t="shared" si="215"/>
        <v>8.4407166714023347</v>
      </c>
      <c r="T379" s="96">
        <f t="shared" si="215"/>
        <v>8.9400364251044735</v>
      </c>
      <c r="U379" s="96">
        <f t="shared" si="215"/>
        <v>9.4593093297958255</v>
      </c>
      <c r="V379" s="96">
        <f t="shared" si="215"/>
        <v>9.9989788581282237</v>
      </c>
      <c r="W379" s="96">
        <f t="shared" si="215"/>
        <v>10.563326409974719</v>
      </c>
      <c r="X379" s="96">
        <f t="shared" si="215"/>
        <v>11.157899646587479</v>
      </c>
      <c r="Y379" s="96">
        <f t="shared" si="215"/>
        <v>11.789316031537687</v>
      </c>
      <c r="Z379" s="96">
        <f t="shared" si="215"/>
        <v>12.46492354044355</v>
      </c>
    </row>
    <row r="380" spans="1:26" x14ac:dyDescent="0.25">
      <c r="A380" s="12" t="s">
        <v>1350</v>
      </c>
      <c r="B380" s="14" t="str">
        <f>$B$38</f>
        <v>From Fiscal Forecasts</v>
      </c>
      <c r="D380" s="50">
        <f>'Fiscal Forecasts'!D$362</f>
        <v>1</v>
      </c>
      <c r="E380" s="50">
        <f>'Fiscal Forecasts'!E$362</f>
        <v>1.46</v>
      </c>
      <c r="F380" s="50">
        <f>'Fiscal Forecasts'!F$362</f>
        <v>2.12</v>
      </c>
      <c r="G380" s="50">
        <f>'Fiscal Forecasts'!G$362</f>
        <v>2.42</v>
      </c>
      <c r="H380" s="50">
        <f>'Fiscal Forecasts'!H$362</f>
        <v>2.5579999999999998</v>
      </c>
      <c r="I380" s="50">
        <f>'Fiscal Forecasts'!I$362</f>
        <v>1.6140000000000001</v>
      </c>
      <c r="J380" s="50">
        <f>'Fiscal Forecasts'!J$362</f>
        <v>0.879</v>
      </c>
      <c r="K380" s="50">
        <f>'Fiscal Forecasts'!K$362</f>
        <v>0</v>
      </c>
      <c r="L380" s="48">
        <f>'Fiscal Forecasts'!L$362</f>
        <v>0.56200000000000006</v>
      </c>
      <c r="M380" s="48">
        <f>'Fiscal Forecasts'!M$362</f>
        <v>0.155</v>
      </c>
      <c r="N380" s="48">
        <f>'Fiscal Forecasts'!N$362</f>
        <v>0.35</v>
      </c>
      <c r="O380" s="48">
        <f>'Fiscal Forecasts'!O$362</f>
        <v>0.44900000000000001</v>
      </c>
      <c r="P380" s="48">
        <f>'Fiscal Forecasts'!P$362</f>
        <v>0.47299999999999998</v>
      </c>
      <c r="Q380" s="20">
        <f>Exogenous!AB$11</f>
        <v>0.35431289191672377</v>
      </c>
      <c r="R380" s="20">
        <f>Exogenous!AC$11</f>
        <v>0.22475822866131523</v>
      </c>
      <c r="S380" s="20">
        <f>Exogenous!AD$11</f>
        <v>7.8613672750343255E-2</v>
      </c>
      <c r="T380" s="20">
        <f>Exogenous!AE$11</f>
        <v>-5.8113137154620631E-2</v>
      </c>
      <c r="U380" s="20">
        <f>Exogenous!AF$11</f>
        <v>-0.24914726512719909</v>
      </c>
      <c r="V380" s="20">
        <f>Exogenous!AG$11</f>
        <v>-0.40218976675939189</v>
      </c>
      <c r="W380" s="20">
        <f>Exogenous!AH$11</f>
        <v>-0.48609182297989406</v>
      </c>
      <c r="X380" s="20">
        <f>Exogenous!AI$11</f>
        <v>-0.50053159184796669</v>
      </c>
      <c r="Y380" s="20">
        <f>Exogenous!AJ$11</f>
        <v>-0.41817925544185641</v>
      </c>
      <c r="Z380" s="20">
        <f>Exogenous!AK$11</f>
        <v>-0.2592683764618755</v>
      </c>
    </row>
    <row r="381" spans="1:26" x14ac:dyDescent="0.25">
      <c r="A381" s="12" t="s">
        <v>529</v>
      </c>
      <c r="B381" s="14" t="str">
        <f>$B$38</f>
        <v>From Fiscal Forecasts</v>
      </c>
      <c r="D381" s="50">
        <f>'Fiscal Forecasts'!D$363</f>
        <v>8.8999999999999996E-2</v>
      </c>
      <c r="E381" s="50">
        <f>'Fiscal Forecasts'!E$363</f>
        <v>-0.13</v>
      </c>
      <c r="F381" s="50">
        <f>'Fiscal Forecasts'!F$363</f>
        <v>1E-3</v>
      </c>
      <c r="G381" s="50">
        <f>'Fiscal Forecasts'!G$363</f>
        <v>-1E-3</v>
      </c>
      <c r="H381" s="50">
        <f>'Fiscal Forecasts'!H$363</f>
        <v>0</v>
      </c>
      <c r="I381" s="50">
        <f>'Fiscal Forecasts'!I$363</f>
        <v>0</v>
      </c>
      <c r="J381" s="50">
        <f>'Fiscal Forecasts'!J$363</f>
        <v>0</v>
      </c>
      <c r="K381" s="50">
        <f>'Fiscal Forecasts'!K$363</f>
        <v>0</v>
      </c>
      <c r="L381" s="48">
        <f>'Fiscal Forecasts'!L$363</f>
        <v>0</v>
      </c>
      <c r="M381" s="48">
        <f>'Fiscal Forecasts'!M$363</f>
        <v>0</v>
      </c>
      <c r="N381" s="48">
        <f>'Fiscal Forecasts'!N$363</f>
        <v>0</v>
      </c>
      <c r="O381" s="48">
        <f>'Fiscal Forecasts'!O$363</f>
        <v>0</v>
      </c>
      <c r="P381" s="48">
        <f>'Fiscal Forecasts'!P$363</f>
        <v>0</v>
      </c>
      <c r="Q381" s="20">
        <f>Exogenous!AB$12</f>
        <v>0</v>
      </c>
      <c r="R381" s="20">
        <f>Exogenous!AC$12</f>
        <v>0</v>
      </c>
      <c r="S381" s="20">
        <f>Exogenous!AD$12</f>
        <v>0</v>
      </c>
      <c r="T381" s="20">
        <f>Exogenous!AE$12</f>
        <v>0</v>
      </c>
      <c r="U381" s="20">
        <f>Exogenous!AF$12</f>
        <v>0</v>
      </c>
      <c r="V381" s="20">
        <f>Exogenous!AG$12</f>
        <v>0</v>
      </c>
      <c r="W381" s="20">
        <f>Exogenous!AH$12</f>
        <v>0</v>
      </c>
      <c r="X381" s="20">
        <f>Exogenous!AI$12</f>
        <v>0</v>
      </c>
      <c r="Y381" s="20">
        <f>Exogenous!AJ$12</f>
        <v>0</v>
      </c>
      <c r="Z381" s="20">
        <f>Exogenous!AK$12</f>
        <v>0</v>
      </c>
    </row>
    <row r="382" spans="1:26" x14ac:dyDescent="0.25">
      <c r="A382" s="11" t="s">
        <v>1093</v>
      </c>
      <c r="C382" s="103">
        <f>'Fiscal Forecasts'!$C$364</f>
        <v>39.052999999999997</v>
      </c>
      <c r="D382" s="94">
        <f t="shared" ref="D382:Z382" si="216">SUM(C$382,D$379,D$380,D$381)</f>
        <v>42.444999999999993</v>
      </c>
      <c r="E382" s="94">
        <f t="shared" si="216"/>
        <v>43.996999999999993</v>
      </c>
      <c r="F382" s="94">
        <f t="shared" si="216"/>
        <v>57.364999999999988</v>
      </c>
      <c r="G382" s="94">
        <f t="shared" si="216"/>
        <v>56.209999999999994</v>
      </c>
      <c r="H382" s="94">
        <f t="shared" si="216"/>
        <v>64.673000000000002</v>
      </c>
      <c r="I382" s="94">
        <f t="shared" si="216"/>
        <v>74.819000000000003</v>
      </c>
      <c r="J382" s="94">
        <f t="shared" si="216"/>
        <v>82.847000000000008</v>
      </c>
      <c r="K382" s="94">
        <f t="shared" si="216"/>
        <v>93.497000000000014</v>
      </c>
      <c r="L382" s="95">
        <f t="shared" si="216"/>
        <v>99.565000000000012</v>
      </c>
      <c r="M382" s="95">
        <f t="shared" si="216"/>
        <v>105.58700000000002</v>
      </c>
      <c r="N382" s="95">
        <f t="shared" si="216"/>
        <v>112.18</v>
      </c>
      <c r="O382" s="95">
        <f t="shared" si="216"/>
        <v>119.29700000000001</v>
      </c>
      <c r="P382" s="95">
        <f t="shared" si="216"/>
        <v>126.88900000000001</v>
      </c>
      <c r="Q382" s="96">
        <f t="shared" si="216"/>
        <v>134.74432786265939</v>
      </c>
      <c r="R382" s="96">
        <f t="shared" si="216"/>
        <v>142.93041017755394</v>
      </c>
      <c r="S382" s="96">
        <f t="shared" si="216"/>
        <v>151.44974052170662</v>
      </c>
      <c r="T382" s="96">
        <f t="shared" si="216"/>
        <v>160.33166380965645</v>
      </c>
      <c r="U382" s="96">
        <f t="shared" si="216"/>
        <v>169.54182587432507</v>
      </c>
      <c r="V382" s="96">
        <f t="shared" si="216"/>
        <v>179.1386149656939</v>
      </c>
      <c r="W382" s="96">
        <f t="shared" si="216"/>
        <v>189.21584955268872</v>
      </c>
      <c r="X382" s="96">
        <f t="shared" si="216"/>
        <v>199.87321760742824</v>
      </c>
      <c r="Y382" s="96">
        <f t="shared" si="216"/>
        <v>211.24435438352407</v>
      </c>
      <c r="Z382" s="96">
        <f t="shared" si="216"/>
        <v>223.45000954750574</v>
      </c>
    </row>
    <row r="383" spans="1:26" x14ac:dyDescent="0.25">
      <c r="A383" s="14" t="s">
        <v>1351</v>
      </c>
    </row>
    <row r="384" spans="1:26" x14ac:dyDescent="0.25">
      <c r="A384" s="12" t="s">
        <v>1094</v>
      </c>
      <c r="B384" s="14" t="str">
        <f>$B$38</f>
        <v>From Fiscal Forecasts</v>
      </c>
      <c r="D384" s="50">
        <f>'Fiscal Forecasts'!D$365</f>
        <v>44.307000000000002</v>
      </c>
      <c r="E384" s="50">
        <f>'Fiscal Forecasts'!E$365</f>
        <v>48.220999999999997</v>
      </c>
      <c r="F384" s="50">
        <f>'Fiscal Forecasts'!F$365</f>
        <v>62.311999999999998</v>
      </c>
      <c r="G384" s="50">
        <f>'Fiscal Forecasts'!G$365</f>
        <v>65.411000000000001</v>
      </c>
      <c r="H384" s="50">
        <f>'Fiscal Forecasts'!H$365</f>
        <v>68.233999999999995</v>
      </c>
      <c r="I384" s="50">
        <f>'Fiscal Forecasts'!I$365</f>
        <v>79.058000000000007</v>
      </c>
      <c r="J384" s="50">
        <f>'Fiscal Forecasts'!J$365</f>
        <v>87.295000000000002</v>
      </c>
      <c r="K384" s="50">
        <f>'Fiscal Forecasts'!K$365</f>
        <v>98.241</v>
      </c>
      <c r="L384" s="48">
        <f>'Fiscal Forecasts'!L$365</f>
        <v>105.30500000000001</v>
      </c>
      <c r="M384" s="48">
        <f>'Fiscal Forecasts'!M$365</f>
        <v>112.79900000000001</v>
      </c>
      <c r="N384" s="48">
        <f>'Fiscal Forecasts'!N$365</f>
        <v>118.80200000000001</v>
      </c>
      <c r="O384" s="48">
        <f>'Fiscal Forecasts'!O$365</f>
        <v>125.7</v>
      </c>
      <c r="P384" s="48">
        <f>'Fiscal Forecasts'!P$365</f>
        <v>133.26300000000001</v>
      </c>
      <c r="Q384" s="20">
        <f ca="1">IF(Q$6=OFFSET(Assumptions!$B$8,0,$C$1),AVERAGE(N$384/N$382,O$384/O$382,P$384/P$382),P$384/P$382)*Q$382</f>
        <v>142.06255178800495</v>
      </c>
      <c r="R384" s="20">
        <f ca="1">IF(R$6=OFFSET(Assumptions!$B$8,0,$C$1),AVERAGE(O$384/O$382,P$384/P$382,Q$384/Q$382),Q$384/Q$382)*R$382</f>
        <v>150.69323599747997</v>
      </c>
      <c r="S384" s="20">
        <f ca="1">IF(S$6=OFFSET(Assumptions!$B$8,0,$C$1),AVERAGE(P$384/P$382,Q$384/Q$382,R$384/R$382),R$384/R$382)*S$382</f>
        <v>159.67526757842273</v>
      </c>
      <c r="T384" s="20">
        <f ca="1">IF(T$6=OFFSET(Assumptions!$B$8,0,$C$1),AVERAGE(Q$384/Q$382,R$384/R$382,S$384/S$382),S$384/S$382)*T$382</f>
        <v>169.0395852241908</v>
      </c>
      <c r="U384" s="20">
        <f ca="1">IF(U$6=OFFSET(Assumptions!$B$8,0,$C$1),AVERAGE(R$384/R$382,S$384/S$382,T$384/T$382),T$384/T$382)*U$382</f>
        <v>178.74996892673548</v>
      </c>
      <c r="V384" s="20">
        <f ca="1">IF(V$6=OFFSET(Assumptions!$B$8,0,$C$1),AVERAGE(S$384/S$382,T$384/T$382,U$384/U$382),U$384/U$382)*V$382</f>
        <v>188.86797811433377</v>
      </c>
      <c r="W384" s="20">
        <f ca="1">IF(W$6=OFFSET(Assumptions!$B$8,0,$C$1),AVERAGE(T$384/T$382,U$384/U$382,V$384/V$382),V$384/V$382)*W$382</f>
        <v>199.49252671762645</v>
      </c>
      <c r="X384" s="20">
        <f ca="1">IF(X$6=OFFSET(Assumptions!$B$8,0,$C$1),AVERAGE(U$384/U$382,V$384/V$382,W$384/W$382),W$384/W$382)*X$382</f>
        <v>210.72871695446852</v>
      </c>
      <c r="Y384" s="20">
        <f ca="1">IF(Y$6=OFFSET(Assumptions!$B$8,0,$C$1),AVERAGE(V$384/V$382,W$384/W$382,X$384/X$382),X$384/X$382)*Y$382</f>
        <v>222.71744206643865</v>
      </c>
      <c r="Z384" s="20">
        <f ca="1">IF(Z$6=OFFSET(Assumptions!$B$8,0,$C$1),AVERAGE(W$384/W$382,X$384/X$382,Y$384/Y$382),Y$384/Y$382)*Z$382</f>
        <v>235.58600986698499</v>
      </c>
    </row>
    <row r="385" spans="1:26" x14ac:dyDescent="0.25">
      <c r="A385" s="12" t="s">
        <v>1352</v>
      </c>
      <c r="B385" s="14" t="str">
        <f>$B$38</f>
        <v>From Fiscal Forecasts</v>
      </c>
      <c r="D385" s="50">
        <f>-'Fiscal Forecasts'!D$366</f>
        <v>1.9910000000000001</v>
      </c>
      <c r="E385" s="50">
        <f>-'Fiscal Forecasts'!E$366</f>
        <v>4.226</v>
      </c>
      <c r="F385" s="50">
        <f>-'Fiscal Forecasts'!F$366</f>
        <v>4.9489999999999998</v>
      </c>
      <c r="G385" s="50">
        <f>-'Fiscal Forecasts'!G$366</f>
        <v>9.1020000000000003</v>
      </c>
      <c r="H385" s="50">
        <f>-'Fiscal Forecasts'!H$366</f>
        <v>3.5009999999999999</v>
      </c>
      <c r="I385" s="50">
        <f>-'Fiscal Forecasts'!I$366</f>
        <v>4.2350000000000003</v>
      </c>
      <c r="J385" s="50">
        <f>-'Fiscal Forecasts'!J$366</f>
        <v>4.5149999999999997</v>
      </c>
      <c r="K385" s="50">
        <f>-'Fiscal Forecasts'!K$366</f>
        <v>4.7569999999999997</v>
      </c>
      <c r="L385" s="48">
        <f>-'Fiscal Forecasts'!L$366</f>
        <v>5.7220000000000004</v>
      </c>
      <c r="M385" s="48">
        <f>-'Fiscal Forecasts'!M$366</f>
        <v>7.1920000000000002</v>
      </c>
      <c r="N385" s="48">
        <f>-'Fiscal Forecasts'!N$366</f>
        <v>6.5979999999999999</v>
      </c>
      <c r="O385" s="48">
        <f>-'Fiscal Forecasts'!O$366</f>
        <v>6.3760000000000003</v>
      </c>
      <c r="P385" s="48">
        <f>-'Fiscal Forecasts'!P$366</f>
        <v>6.343</v>
      </c>
      <c r="Q385" s="20">
        <f t="shared" ref="Q385:Z385" ca="1" si="217">Q$384-Q$382</f>
        <v>7.3182239253455634</v>
      </c>
      <c r="R385" s="20">
        <f t="shared" ca="1" si="217"/>
        <v>7.7628258199260358</v>
      </c>
      <c r="S385" s="20">
        <f t="shared" ca="1" si="217"/>
        <v>8.2255270567161176</v>
      </c>
      <c r="T385" s="20">
        <f t="shared" ca="1" si="217"/>
        <v>8.7079214145343542</v>
      </c>
      <c r="U385" s="20">
        <f t="shared" ca="1" si="217"/>
        <v>9.2081430524104064</v>
      </c>
      <c r="V385" s="20">
        <f t="shared" ca="1" si="217"/>
        <v>9.7293631486398624</v>
      </c>
      <c r="W385" s="20">
        <f t="shared" ca="1" si="217"/>
        <v>10.276677164937723</v>
      </c>
      <c r="X385" s="20">
        <f t="shared" ca="1" si="217"/>
        <v>10.855499347040279</v>
      </c>
      <c r="Y385" s="20">
        <f t="shared" ca="1" si="217"/>
        <v>11.473087682914581</v>
      </c>
      <c r="Z385" s="20">
        <f t="shared" ca="1" si="217"/>
        <v>12.136000319479251</v>
      </c>
    </row>
    <row r="386" spans="1:26" x14ac:dyDescent="0.25">
      <c r="A386" s="12" t="s">
        <v>1096</v>
      </c>
      <c r="B386" s="14" t="str">
        <f>$B$38</f>
        <v>From Fiscal Forecasts</v>
      </c>
      <c r="D386" s="50">
        <f>'Fiscal Forecasts'!D$367</f>
        <v>0</v>
      </c>
      <c r="E386" s="50">
        <f>'Fiscal Forecasts'!E$367</f>
        <v>2E-3</v>
      </c>
      <c r="F386" s="50">
        <f>'Fiscal Forecasts'!F$367</f>
        <v>2E-3</v>
      </c>
      <c r="G386" s="50">
        <f>'Fiscal Forecasts'!G$367</f>
        <v>-9.9000000000000005E-2</v>
      </c>
      <c r="H386" s="50">
        <f>'Fiscal Forecasts'!H$367</f>
        <v>-0.06</v>
      </c>
      <c r="I386" s="50">
        <f>'Fiscal Forecasts'!I$367</f>
        <v>-4.0000000000000001E-3</v>
      </c>
      <c r="J386" s="50">
        <f>'Fiscal Forecasts'!J$367</f>
        <v>6.7000000000000004E-2</v>
      </c>
      <c r="K386" s="50">
        <f>'Fiscal Forecasts'!K$367</f>
        <v>1.2999999999999999E-2</v>
      </c>
      <c r="L386" s="48">
        <f>'Fiscal Forecasts'!L$367</f>
        <v>-1.7999999999999999E-2</v>
      </c>
      <c r="M386" s="48">
        <f>'Fiscal Forecasts'!M$367</f>
        <v>-0.02</v>
      </c>
      <c r="N386" s="48">
        <f>'Fiscal Forecasts'!N$367</f>
        <v>-2.4E-2</v>
      </c>
      <c r="O386" s="48">
        <f>'Fiscal Forecasts'!O$367</f>
        <v>-2.7E-2</v>
      </c>
      <c r="P386" s="48">
        <f>'Fiscal Forecasts'!P$367</f>
        <v>-3.1E-2</v>
      </c>
      <c r="Q386" s="20">
        <f ca="1">IF(Q$6=OFFSET(Assumptions!$B$8,0,$C$1),OFFSET(Assumptions!$B$9,0,$C$1),P$386)</f>
        <v>0</v>
      </c>
      <c r="R386" s="20">
        <f ca="1">IF(R$6=OFFSET(Assumptions!$B$8,0,$C$1),OFFSET(Assumptions!$B$9,0,$C$1),Q$386)</f>
        <v>0</v>
      </c>
      <c r="S386" s="20">
        <f ca="1">IF(S$6=OFFSET(Assumptions!$B$8,0,$C$1),OFFSET(Assumptions!$B$9,0,$C$1),R$386)</f>
        <v>0</v>
      </c>
      <c r="T386" s="20">
        <f ca="1">IF(T$6=OFFSET(Assumptions!$B$8,0,$C$1),OFFSET(Assumptions!$B$9,0,$C$1),S$386)</f>
        <v>0</v>
      </c>
      <c r="U386" s="20">
        <f ca="1">IF(U$6=OFFSET(Assumptions!$B$8,0,$C$1),OFFSET(Assumptions!$B$9,0,$C$1),T$386)</f>
        <v>0</v>
      </c>
      <c r="V386" s="20">
        <f ca="1">IF(V$6=OFFSET(Assumptions!$B$8,0,$C$1),OFFSET(Assumptions!$B$9,0,$C$1),U$386)</f>
        <v>0</v>
      </c>
      <c r="W386" s="20">
        <f ca="1">IF(W$6=OFFSET(Assumptions!$B$8,0,$C$1),OFFSET(Assumptions!$B$9,0,$C$1),V$386)</f>
        <v>0</v>
      </c>
      <c r="X386" s="20">
        <f ca="1">IF(X$6=OFFSET(Assumptions!$B$8,0,$C$1),OFFSET(Assumptions!$B$9,0,$C$1),W$386)</f>
        <v>0</v>
      </c>
      <c r="Y386" s="20">
        <f ca="1">IF(Y$6=OFFSET(Assumptions!$B$8,0,$C$1),OFFSET(Assumptions!$B$9,0,$C$1),X$386)</f>
        <v>0</v>
      </c>
      <c r="Z386" s="20">
        <f ca="1">IF(Z$6=OFFSET(Assumptions!$B$8,0,$C$1),OFFSET(Assumptions!$B$9,0,$C$1),Y$386)</f>
        <v>0</v>
      </c>
    </row>
    <row r="388" spans="1:26" x14ac:dyDescent="0.25">
      <c r="A388" s="11" t="s">
        <v>1353</v>
      </c>
      <c r="B388" s="14" t="str">
        <f>$B$38</f>
        <v>From Fiscal Forecasts</v>
      </c>
      <c r="D388" s="51">
        <f>'Fiscal Forecasts'!D$125</f>
        <v>3.6880000000000002</v>
      </c>
      <c r="E388" s="51">
        <f>'Fiscal Forecasts'!E$125</f>
        <v>4.22</v>
      </c>
      <c r="F388" s="51">
        <f>'Fiscal Forecasts'!F$125</f>
        <v>4.718</v>
      </c>
      <c r="G388" s="51">
        <f>'Fiscal Forecasts'!G$125</f>
        <v>6.0960000000000001</v>
      </c>
      <c r="H388" s="51">
        <f>'Fiscal Forecasts'!H$125</f>
        <v>7.3170000000000002</v>
      </c>
      <c r="I388" s="51">
        <f>'Fiscal Forecasts'!I$125</f>
        <v>7.1740000000000004</v>
      </c>
      <c r="J388" s="51">
        <f>'Fiscal Forecasts'!J$125</f>
        <v>8.093</v>
      </c>
      <c r="K388" s="51">
        <f>'Fiscal Forecasts'!K$125</f>
        <v>10.503</v>
      </c>
      <c r="L388" s="47">
        <f>'Fiscal Forecasts'!L$125</f>
        <v>11.324999999999999</v>
      </c>
      <c r="M388" s="47">
        <f>'Fiscal Forecasts'!M$125</f>
        <v>12.249000000000001</v>
      </c>
      <c r="N388" s="47">
        <f>'Fiscal Forecasts'!N$125</f>
        <v>13.202999999999999</v>
      </c>
      <c r="O388" s="47">
        <f>'Fiscal Forecasts'!O$125</f>
        <v>14.228</v>
      </c>
      <c r="P388" s="47">
        <f>'Fiscal Forecasts'!P$125</f>
        <v>15.332000000000001</v>
      </c>
      <c r="Q388" s="21">
        <f ca="1">OFFSET(Assumptions!$B$53,0,$C$1)*(Q$384-Q$350-Q$391)</f>
        <v>14.136895240204558</v>
      </c>
      <c r="R388" s="21">
        <f ca="1">OFFSET(Assumptions!$B$53,0,$C$1)*(R$384-R$350-R$391)</f>
        <v>14.999458809909285</v>
      </c>
      <c r="S388" s="21">
        <f ca="1">OFFSET(Assumptions!$B$53,0,$C$1)*(S$384-S$350-S$391)</f>
        <v>15.897136564721942</v>
      </c>
      <c r="T388" s="21">
        <f ca="1">OFFSET(Assumptions!$B$53,0,$C$1)*(T$384-T$350-T$391)</f>
        <v>16.833020564221677</v>
      </c>
      <c r="U388" s="21">
        <f ca="1">OFFSET(Assumptions!$B$53,0,$C$1)*(U$384-U$350-U$391)</f>
        <v>17.803490926290348</v>
      </c>
      <c r="V388" s="21">
        <f ca="1">OFFSET(Assumptions!$B$53,0,$C$1)*(V$384-V$350-V$391)</f>
        <v>18.814699992841387</v>
      </c>
      <c r="W388" s="21">
        <f ca="1">OFFSET(Assumptions!$B$53,0,$C$1)*(W$384-W$350-W$391)</f>
        <v>19.876533370975721</v>
      </c>
      <c r="X388" s="21">
        <f ca="1">OFFSET(Assumptions!$B$53,0,$C$1)*(X$384-X$350-X$391)</f>
        <v>20.999495134532292</v>
      </c>
      <c r="Y388" s="21">
        <f ca="1">OFFSET(Assumptions!$B$53,0,$C$1)*(Y$384-Y$350-Y$391)</f>
        <v>22.197666366129084</v>
      </c>
      <c r="Z388" s="21">
        <f ca="1">OFFSET(Assumptions!$B$53,0,$C$1)*(Z$384-Z$350-Z$391)</f>
        <v>23.483770400249664</v>
      </c>
    </row>
    <row r="389" spans="1:26" x14ac:dyDescent="0.25">
      <c r="A389" s="11"/>
      <c r="B389" s="14"/>
      <c r="D389" s="50"/>
      <c r="E389" s="50"/>
      <c r="F389" s="50"/>
      <c r="G389" s="50"/>
      <c r="H389" s="50"/>
      <c r="I389" s="50"/>
      <c r="J389" s="50"/>
      <c r="K389" s="50"/>
      <c r="L389" s="48"/>
      <c r="M389" s="48"/>
      <c r="N389" s="48"/>
      <c r="O389" s="48"/>
      <c r="P389" s="48"/>
    </row>
    <row r="390" spans="1:26" x14ac:dyDescent="0.25">
      <c r="A390" s="11" t="s">
        <v>945</v>
      </c>
    </row>
    <row r="391" spans="1:26" x14ac:dyDescent="0.25">
      <c r="A391" s="12" t="s">
        <v>1354</v>
      </c>
      <c r="B391" s="14" t="str">
        <f>$B$38</f>
        <v>From Fiscal Forecasts</v>
      </c>
      <c r="D391" s="50">
        <f>'Fiscal Forecasts'!D$185-D$77</f>
        <v>2.0030000000000001</v>
      </c>
      <c r="E391" s="50">
        <f>'Fiscal Forecasts'!E$185-E$77</f>
        <v>3.6860000000000017</v>
      </c>
      <c r="F391" s="50">
        <f>'Fiscal Forecasts'!F$185-F$77</f>
        <v>5.4710000000000001</v>
      </c>
      <c r="G391" s="50">
        <f>'Fiscal Forecasts'!G$185-G$77</f>
        <v>4.6139999999999972</v>
      </c>
      <c r="H391" s="50">
        <f>'Fiscal Forecasts'!H$185-H$77</f>
        <v>7.3510000000000062</v>
      </c>
      <c r="I391" s="50">
        <f>'Fiscal Forecasts'!I$185-I$77</f>
        <v>8.9179999999999993</v>
      </c>
      <c r="J391" s="50">
        <f>'Fiscal Forecasts'!J$185-J$77</f>
        <v>9.9709999999999965</v>
      </c>
      <c r="K391" s="50">
        <f>'Fiscal Forecasts'!K$185-K$77</f>
        <v>9.2230000000000025</v>
      </c>
      <c r="L391" s="48">
        <f>'Fiscal Forecasts'!L$185-L$77</f>
        <v>9.2210000000000001</v>
      </c>
      <c r="M391" s="48">
        <f>'Fiscal Forecasts'!M$185-M$77</f>
        <v>9.222999999999999</v>
      </c>
      <c r="N391" s="48">
        <f>'Fiscal Forecasts'!N$185-N$77</f>
        <v>9.2259999999999991</v>
      </c>
      <c r="O391" s="48">
        <f>'Fiscal Forecasts'!O$185-O$77</f>
        <v>9.2220000000000013</v>
      </c>
      <c r="P391" s="48">
        <f>'Fiscal Forecasts'!P$185-P$77</f>
        <v>9.222999999999999</v>
      </c>
      <c r="Q391" s="20">
        <f ca="1">IF(Q$6=OFFSET(Assumptions!$B$8,0,$C$1),AVERAGE(N$391/N$384,O$391/O$384,P$391/P$384),P$391/P$384)*Q$384</f>
        <v>10.428943957728947</v>
      </c>
      <c r="R391" s="20">
        <f ca="1">IF(R$6=OFFSET(Assumptions!$B$8,0,$C$1),AVERAGE(O$391/O$384,P$391/P$384,Q$391/Q$384),Q$391/Q$384)*R$384</f>
        <v>11.062530506785087</v>
      </c>
      <c r="S391" s="20">
        <f ca="1">IF(S$6=OFFSET(Assumptions!$B$8,0,$C$1),AVERAGE(P$391/P$384,Q$391/Q$384,R$391/R$384),R$391/R$384)*S$384</f>
        <v>11.721909792918062</v>
      </c>
      <c r="T391" s="20">
        <f ca="1">IF(T$6=OFFSET(Assumptions!$B$8,0,$C$1),AVERAGE(Q$391/Q$384,R$391/R$384,S$391/S$384),S$391/S$384)*T$384</f>
        <v>12.409353054361247</v>
      </c>
      <c r="U391" s="20">
        <f ca="1">IF(U$6=OFFSET(Assumptions!$B$8,0,$C$1),AVERAGE(R$391/R$384,S$391/S$384,T$391/T$384),T$391/T$384)*U$384</f>
        <v>13.122201346661411</v>
      </c>
      <c r="V391" s="20">
        <f ca="1">IF(V$6=OFFSET(Assumptions!$B$8,0,$C$1),AVERAGE(S$391/S$384,T$391/T$384,U$391/U$384),U$391/U$384)*V$384</f>
        <v>13.864973804660851</v>
      </c>
      <c r="W391" s="20">
        <f ca="1">IF(W$6=OFFSET(Assumptions!$B$8,0,$C$1),AVERAGE(T$391/T$384,U$391/U$384,V$391/V$384),V$391/V$384)*W$384</f>
        <v>14.644931791937145</v>
      </c>
      <c r="X391" s="20">
        <f ca="1">IF(X$6=OFFSET(Assumptions!$B$8,0,$C$1),AVERAGE(U$391/U$384,V$391/V$384,W$391/W$384),W$391/W$384)*X$384</f>
        <v>15.46979095998358</v>
      </c>
      <c r="Y391" s="20">
        <f ca="1">IF(Y$6=OFFSET(Assumptions!$B$8,0,$C$1),AVERAGE(V$391/V$384,W$391/W$384,X$391/X$384),X$391/X$384)*Y$384</f>
        <v>16.349894412608673</v>
      </c>
      <c r="Z391" s="20">
        <f ca="1">IF(Z$6=OFFSET(Assumptions!$B$8,0,$C$1),AVERAGE(W$391/W$384,X$391/X$384,Y$391/Y$384),Y$391/Y$384)*Z$384</f>
        <v>17.294587934715778</v>
      </c>
    </row>
    <row r="392" spans="1:26" x14ac:dyDescent="0.25">
      <c r="A392" s="12" t="s">
        <v>1355</v>
      </c>
      <c r="D392" s="50">
        <f t="shared" ref="D392:Z392" si="218">D$406</f>
        <v>10.731</v>
      </c>
      <c r="E392" s="50">
        <f t="shared" si="218"/>
        <v>10.395</v>
      </c>
      <c r="F392" s="50">
        <f t="shared" si="218"/>
        <v>10.841000000000001</v>
      </c>
      <c r="G392" s="50">
        <f t="shared" si="218"/>
        <v>9.2089999999999996</v>
      </c>
      <c r="H392" s="50">
        <f t="shared" si="218"/>
        <v>9.3729999999999993</v>
      </c>
      <c r="I392" s="50">
        <f t="shared" si="218"/>
        <v>9.5960000000000001</v>
      </c>
      <c r="J392" s="50">
        <f t="shared" si="218"/>
        <v>10.053999999999998</v>
      </c>
      <c r="K392" s="50">
        <f t="shared" si="218"/>
        <v>10.545</v>
      </c>
      <c r="L392" s="48">
        <f t="shared" si="218"/>
        <v>10.648</v>
      </c>
      <c r="M392" s="48">
        <f t="shared" si="218"/>
        <v>10.73</v>
      </c>
      <c r="N392" s="48">
        <f t="shared" si="218"/>
        <v>10.746000000000002</v>
      </c>
      <c r="O392" s="48">
        <f t="shared" si="218"/>
        <v>10.714000000000002</v>
      </c>
      <c r="P392" s="48">
        <f t="shared" si="218"/>
        <v>10.643000000000004</v>
      </c>
      <c r="Q392" s="20">
        <f t="shared" si="218"/>
        <v>10.645000000000003</v>
      </c>
      <c r="R392" s="20">
        <f t="shared" si="218"/>
        <v>10.643000000000002</v>
      </c>
      <c r="S392" s="20">
        <f t="shared" si="218"/>
        <v>10.637000000000002</v>
      </c>
      <c r="T392" s="20">
        <f t="shared" si="218"/>
        <v>10.622000000000003</v>
      </c>
      <c r="U392" s="20">
        <f t="shared" si="218"/>
        <v>10.598000000000003</v>
      </c>
      <c r="V392" s="20">
        <f t="shared" si="218"/>
        <v>10.571000000000002</v>
      </c>
      <c r="W392" s="20">
        <f t="shared" si="218"/>
        <v>10.539000000000003</v>
      </c>
      <c r="X392" s="20">
        <f t="shared" si="218"/>
        <v>10.508000000000003</v>
      </c>
      <c r="Y392" s="20">
        <f t="shared" si="218"/>
        <v>10.485000000000005</v>
      </c>
      <c r="Z392" s="20">
        <f t="shared" si="218"/>
        <v>10.470000000000004</v>
      </c>
    </row>
    <row r="393" spans="1:26" x14ac:dyDescent="0.25">
      <c r="A393" s="12" t="s">
        <v>1356</v>
      </c>
      <c r="D393" s="50">
        <f t="shared" ref="D393:P393" si="219">D$77-D$406</f>
        <v>3.1140000000000008</v>
      </c>
      <c r="E393" s="50">
        <f t="shared" si="219"/>
        <v>4.1609999999999996</v>
      </c>
      <c r="F393" s="50">
        <f t="shared" si="219"/>
        <v>7.8870000000000005</v>
      </c>
      <c r="G393" s="50">
        <f t="shared" si="219"/>
        <v>16.894000000000002</v>
      </c>
      <c r="H393" s="50">
        <f t="shared" si="219"/>
        <v>27.167999999999999</v>
      </c>
      <c r="I393" s="50">
        <f t="shared" si="219"/>
        <v>30.791999999999998</v>
      </c>
      <c r="J393" s="50">
        <f t="shared" si="219"/>
        <v>24.257000000000001</v>
      </c>
      <c r="K393" s="50">
        <f t="shared" si="219"/>
        <v>17.386000000000003</v>
      </c>
      <c r="L393" s="48">
        <f t="shared" si="219"/>
        <v>20.164000000000001</v>
      </c>
      <c r="M393" s="48">
        <f t="shared" si="219"/>
        <v>22.080000000000002</v>
      </c>
      <c r="N393" s="48">
        <f t="shared" si="219"/>
        <v>24.045999999999999</v>
      </c>
      <c r="O393" s="48">
        <f t="shared" si="219"/>
        <v>25.786999999999995</v>
      </c>
      <c r="P393" s="48">
        <f t="shared" si="219"/>
        <v>25.721999999999998</v>
      </c>
      <c r="Q393" s="20">
        <f t="shared" ref="Q393:Z393" ca="1" si="220">P$393*(1+Q$29)</f>
        <v>26.236439999999998</v>
      </c>
      <c r="R393" s="20">
        <f t="shared" ca="1" si="220"/>
        <v>26.7611688</v>
      </c>
      <c r="S393" s="20">
        <f t="shared" ca="1" si="220"/>
        <v>27.296392176000001</v>
      </c>
      <c r="T393" s="20">
        <f t="shared" ca="1" si="220"/>
        <v>27.842320019520002</v>
      </c>
      <c r="U393" s="20">
        <f t="shared" ca="1" si="220"/>
        <v>28.399166419910404</v>
      </c>
      <c r="V393" s="20">
        <f t="shared" ca="1" si="220"/>
        <v>28.967149748308614</v>
      </c>
      <c r="W393" s="20">
        <f t="shared" ca="1" si="220"/>
        <v>29.546492743274786</v>
      </c>
      <c r="X393" s="20">
        <f t="shared" ca="1" si="220"/>
        <v>30.137422598140283</v>
      </c>
      <c r="Y393" s="20">
        <f t="shared" ca="1" si="220"/>
        <v>30.74017105010309</v>
      </c>
      <c r="Z393" s="20">
        <f t="shared" ca="1" si="220"/>
        <v>31.354974471105152</v>
      </c>
    </row>
    <row r="394" spans="1:26" x14ac:dyDescent="0.25">
      <c r="A394" s="11" t="s">
        <v>1357</v>
      </c>
      <c r="D394" s="94">
        <f t="shared" ref="D394:P394" si="221">SUM(D$391:D$393)</f>
        <v>15.848000000000001</v>
      </c>
      <c r="E394" s="94">
        <f t="shared" si="221"/>
        <v>18.242000000000001</v>
      </c>
      <c r="F394" s="94">
        <f t="shared" si="221"/>
        <v>24.199000000000002</v>
      </c>
      <c r="G394" s="94">
        <f t="shared" si="221"/>
        <v>30.716999999999999</v>
      </c>
      <c r="H394" s="94">
        <f t="shared" si="221"/>
        <v>43.892000000000003</v>
      </c>
      <c r="I394" s="94">
        <f t="shared" si="221"/>
        <v>49.305999999999997</v>
      </c>
      <c r="J394" s="94">
        <f t="shared" si="221"/>
        <v>44.281999999999996</v>
      </c>
      <c r="K394" s="94">
        <f t="shared" si="221"/>
        <v>37.154000000000003</v>
      </c>
      <c r="L394" s="95">
        <f t="shared" si="221"/>
        <v>40.033000000000001</v>
      </c>
      <c r="M394" s="95">
        <f t="shared" si="221"/>
        <v>42.033000000000001</v>
      </c>
      <c r="N394" s="95">
        <f t="shared" si="221"/>
        <v>44.018000000000001</v>
      </c>
      <c r="O394" s="95">
        <f t="shared" si="221"/>
        <v>45.722999999999999</v>
      </c>
      <c r="P394" s="95">
        <f t="shared" si="221"/>
        <v>45.588000000000001</v>
      </c>
      <c r="Q394" s="96">
        <f t="shared" ref="Q394:Z394" ca="1" si="222">SUM(Q$391:Q$393)</f>
        <v>47.310383957728945</v>
      </c>
      <c r="R394" s="96">
        <f t="shared" ca="1" si="222"/>
        <v>48.466699306785088</v>
      </c>
      <c r="S394" s="96">
        <f t="shared" ca="1" si="222"/>
        <v>49.655301968918067</v>
      </c>
      <c r="T394" s="96">
        <f t="shared" ca="1" si="222"/>
        <v>50.87367307388125</v>
      </c>
      <c r="U394" s="96">
        <f t="shared" ca="1" si="222"/>
        <v>52.119367766571813</v>
      </c>
      <c r="V394" s="96">
        <f t="shared" ca="1" si="222"/>
        <v>53.403123552969468</v>
      </c>
      <c r="W394" s="96">
        <f t="shared" ca="1" si="222"/>
        <v>54.730424535211938</v>
      </c>
      <c r="X394" s="96">
        <f t="shared" ca="1" si="222"/>
        <v>56.11521355812387</v>
      </c>
      <c r="Y394" s="96">
        <f t="shared" ca="1" si="222"/>
        <v>57.575065462711763</v>
      </c>
      <c r="Z394" s="96">
        <f t="shared" ca="1" si="222"/>
        <v>59.119562405820936</v>
      </c>
    </row>
    <row r="395" spans="1:26" x14ac:dyDescent="0.25">
      <c r="A395" s="12" t="s">
        <v>1358</v>
      </c>
      <c r="B395" s="14" t="str">
        <f>$B$38</f>
        <v>From Fiscal Forecasts</v>
      </c>
      <c r="D395" s="50">
        <f>'Fiscal Forecasts'!D$324</f>
        <v>20.411000000000001</v>
      </c>
      <c r="E395" s="50">
        <f>'Fiscal Forecasts'!E$324</f>
        <v>22.189</v>
      </c>
      <c r="F395" s="50">
        <f>'Fiscal Forecasts'!F$324</f>
        <v>25.206</v>
      </c>
      <c r="G395" s="50">
        <f>'Fiscal Forecasts'!G$324</f>
        <v>27.786000000000001</v>
      </c>
      <c r="H395" s="50">
        <f>'Fiscal Forecasts'!H$324</f>
        <v>29.785</v>
      </c>
      <c r="I395" s="50">
        <f>'Fiscal Forecasts'!I$324</f>
        <v>32.487000000000002</v>
      </c>
      <c r="J395" s="50">
        <f>'Fiscal Forecasts'!J$324</f>
        <v>35.942</v>
      </c>
      <c r="K395" s="50">
        <f>'Fiscal Forecasts'!K$324</f>
        <v>38.999000000000002</v>
      </c>
      <c r="L395" s="48">
        <f>'Fiscal Forecasts'!L$324</f>
        <v>42.354999999999997</v>
      </c>
      <c r="M395" s="48">
        <f>'Fiscal Forecasts'!M$324</f>
        <v>46.854999999999997</v>
      </c>
      <c r="N395" s="48">
        <f>'Fiscal Forecasts'!N$324</f>
        <v>52.057000000000002</v>
      </c>
      <c r="O395" s="48">
        <f>'Fiscal Forecasts'!O$324</f>
        <v>57.710999999999999</v>
      </c>
      <c r="P395" s="48">
        <f>'Fiscal Forecasts'!P$324</f>
        <v>63.762999999999998</v>
      </c>
      <c r="Q395" s="20">
        <f t="shared" ref="Q395:Z395" ca="1" si="223">P$395*(1+Q$14)</f>
        <v>66.538660094778294</v>
      </c>
      <c r="R395" s="20">
        <f t="shared" ca="1" si="223"/>
        <v>69.370886998057159</v>
      </c>
      <c r="S395" s="20">
        <f t="shared" ca="1" si="223"/>
        <v>72.278147482354385</v>
      </c>
      <c r="T395" s="20">
        <f t="shared" ca="1" si="223"/>
        <v>75.253641427490507</v>
      </c>
      <c r="U395" s="20">
        <f t="shared" ca="1" si="223"/>
        <v>78.332893042383475</v>
      </c>
      <c r="V395" s="20">
        <f t="shared" ca="1" si="223"/>
        <v>81.516997426088238</v>
      </c>
      <c r="W395" s="20">
        <f t="shared" ca="1" si="223"/>
        <v>84.789890824631541</v>
      </c>
      <c r="X395" s="20">
        <f t="shared" ca="1" si="223"/>
        <v>88.157029987638126</v>
      </c>
      <c r="Y395" s="20">
        <f t="shared" ca="1" si="223"/>
        <v>91.636022940767475</v>
      </c>
      <c r="Z395" s="20">
        <f t="shared" ca="1" si="223"/>
        <v>95.227766968163607</v>
      </c>
    </row>
    <row r="396" spans="1:26" x14ac:dyDescent="0.25">
      <c r="A396" s="12" t="s">
        <v>1359</v>
      </c>
      <c r="B396" s="14" t="str">
        <f>$B$38</f>
        <v>From Fiscal Forecasts</v>
      </c>
      <c r="D396" s="50">
        <f>'Fiscal Forecasts'!D$124-SUM(D$394:D$395)</f>
        <v>-2.5690000000000026</v>
      </c>
      <c r="E396" s="50">
        <f>'Fiscal Forecasts'!E$124-SUM(E$394:E$395)</f>
        <v>-2.8019999999999996</v>
      </c>
      <c r="F396" s="50">
        <f>'Fiscal Forecasts'!F$124-SUM(F$394:F$395)</f>
        <v>-3.7929999999999993</v>
      </c>
      <c r="G396" s="50">
        <f>'Fiscal Forecasts'!G$124-SUM(G$394:G$395)</f>
        <v>-3.8440000000000012</v>
      </c>
      <c r="H396" s="50">
        <f>'Fiscal Forecasts'!H$124-SUM(H$394:H$395)</f>
        <v>-7.1880000000000024</v>
      </c>
      <c r="I396" s="50">
        <f>'Fiscal Forecasts'!I$124-SUM(I$394:I$395)</f>
        <v>-12.415000000000006</v>
      </c>
      <c r="J396" s="50">
        <f>'Fiscal Forecasts'!J$124-SUM(J$394:J$395)</f>
        <v>-15.312999999999988</v>
      </c>
      <c r="K396" s="50">
        <f>'Fiscal Forecasts'!K$124-SUM(K$394:K$395)</f>
        <v>-15.880000000000003</v>
      </c>
      <c r="L396" s="48">
        <f>'Fiscal Forecasts'!L$124-SUM(L$394:L$395)</f>
        <v>-18.657000000000004</v>
      </c>
      <c r="M396" s="48">
        <f>'Fiscal Forecasts'!M$124-SUM(M$394:M$395)</f>
        <v>-20.274000000000001</v>
      </c>
      <c r="N396" s="48">
        <f>'Fiscal Forecasts'!N$124-SUM(N$394:N$395)</f>
        <v>-22.240000000000009</v>
      </c>
      <c r="O396" s="48">
        <f>'Fiscal Forecasts'!O$124-SUM(O$394:O$395)</f>
        <v>-23.875999999999991</v>
      </c>
      <c r="P396" s="48">
        <f>'Fiscal Forecasts'!P$124-SUM(P$394:P$395)</f>
        <v>-23.781000000000006</v>
      </c>
      <c r="Q396" s="20">
        <f t="shared" ref="Q396:Z396" ca="1" si="224">P$396-(Q$393-P$393)</f>
        <v>-24.295440000000006</v>
      </c>
      <c r="R396" s="20">
        <f t="shared" ca="1" si="224"/>
        <v>-24.820168800000008</v>
      </c>
      <c r="S396" s="20">
        <f t="shared" ca="1" si="224"/>
        <v>-25.355392176000009</v>
      </c>
      <c r="T396" s="20">
        <f t="shared" ca="1" si="224"/>
        <v>-25.901320019520011</v>
      </c>
      <c r="U396" s="20">
        <f t="shared" ca="1" si="224"/>
        <v>-26.458166419910413</v>
      </c>
      <c r="V396" s="20">
        <f t="shared" ca="1" si="224"/>
        <v>-27.026149748308622</v>
      </c>
      <c r="W396" s="20">
        <f t="shared" ca="1" si="224"/>
        <v>-27.605492743274795</v>
      </c>
      <c r="X396" s="20">
        <f t="shared" ca="1" si="224"/>
        <v>-28.196422598140291</v>
      </c>
      <c r="Y396" s="20">
        <f t="shared" ca="1" si="224"/>
        <v>-28.799171050103098</v>
      </c>
      <c r="Z396" s="20">
        <f t="shared" ca="1" si="224"/>
        <v>-29.41397447110516</v>
      </c>
    </row>
    <row r="397" spans="1:26" x14ac:dyDescent="0.25">
      <c r="A397" s="11" t="s">
        <v>1360</v>
      </c>
      <c r="D397" s="94">
        <f t="shared" ref="D397:P397" si="225">SUM(D$394:D$396)</f>
        <v>33.69</v>
      </c>
      <c r="E397" s="94">
        <f t="shared" si="225"/>
        <v>37.628999999999998</v>
      </c>
      <c r="F397" s="94">
        <f t="shared" si="225"/>
        <v>45.612000000000002</v>
      </c>
      <c r="G397" s="94">
        <f t="shared" si="225"/>
        <v>54.658999999999999</v>
      </c>
      <c r="H397" s="94">
        <f t="shared" si="225"/>
        <v>66.489000000000004</v>
      </c>
      <c r="I397" s="94">
        <f t="shared" si="225"/>
        <v>69.378</v>
      </c>
      <c r="J397" s="94">
        <f t="shared" si="225"/>
        <v>64.911000000000001</v>
      </c>
      <c r="K397" s="94">
        <f t="shared" si="225"/>
        <v>60.273000000000003</v>
      </c>
      <c r="L397" s="95">
        <f t="shared" si="225"/>
        <v>63.731000000000002</v>
      </c>
      <c r="M397" s="95">
        <f t="shared" si="225"/>
        <v>68.614000000000004</v>
      </c>
      <c r="N397" s="95">
        <f t="shared" si="225"/>
        <v>73.834999999999994</v>
      </c>
      <c r="O397" s="95">
        <f t="shared" si="225"/>
        <v>79.558000000000007</v>
      </c>
      <c r="P397" s="95">
        <f t="shared" si="225"/>
        <v>85.57</v>
      </c>
      <c r="Q397" s="96">
        <f t="shared" ref="Q397:Z397" ca="1" si="226">SUM(Q$394:Q$396)</f>
        <v>89.553604052507239</v>
      </c>
      <c r="R397" s="96">
        <f t="shared" ca="1" si="226"/>
        <v>93.017417504842243</v>
      </c>
      <c r="S397" s="96">
        <f t="shared" ca="1" si="226"/>
        <v>96.578057275272442</v>
      </c>
      <c r="T397" s="96">
        <f t="shared" ca="1" si="226"/>
        <v>100.22599448185174</v>
      </c>
      <c r="U397" s="96">
        <f t="shared" ca="1" si="226"/>
        <v>103.99409438904488</v>
      </c>
      <c r="V397" s="96">
        <f t="shared" ca="1" si="226"/>
        <v>107.89397123074909</v>
      </c>
      <c r="W397" s="96">
        <f t="shared" ca="1" si="226"/>
        <v>111.9148226165687</v>
      </c>
      <c r="X397" s="96">
        <f t="shared" ca="1" si="226"/>
        <v>116.07582094762171</v>
      </c>
      <c r="Y397" s="96">
        <f t="shared" ca="1" si="226"/>
        <v>120.41191735337614</v>
      </c>
      <c r="Z397" s="96">
        <f t="shared" ca="1" si="226"/>
        <v>124.93335490287937</v>
      </c>
    </row>
    <row r="399" spans="1:26" x14ac:dyDescent="0.25">
      <c r="A399" s="11" t="s">
        <v>1355</v>
      </c>
    </row>
    <row r="400" spans="1:26" x14ac:dyDescent="0.25">
      <c r="A400" s="12" t="s">
        <v>532</v>
      </c>
      <c r="B400" s="14" t="str">
        <f t="shared" ref="B400:B405" si="227">$B$38</f>
        <v>From Fiscal Forecasts</v>
      </c>
      <c r="D400" s="50">
        <f>'Fiscal Forecasts'!D$326</f>
        <v>1.361</v>
      </c>
      <c r="E400" s="50">
        <f>'Fiscal Forecasts'!E$326</f>
        <v>1.413</v>
      </c>
      <c r="F400" s="50">
        <f>'Fiscal Forecasts'!F$326</f>
        <v>1.43</v>
      </c>
      <c r="G400" s="50">
        <f>'Fiscal Forecasts'!G$326</f>
        <v>1.2949999999999999</v>
      </c>
      <c r="H400" s="50">
        <f>'Fiscal Forecasts'!H$326</f>
        <v>1.2709999999999999</v>
      </c>
      <c r="I400" s="50">
        <f>'Fiscal Forecasts'!I$326</f>
        <v>1.3480000000000001</v>
      </c>
      <c r="J400" s="50">
        <f>'Fiscal Forecasts'!J$326</f>
        <v>1.7090000000000001</v>
      </c>
      <c r="K400" s="50">
        <f>'Fiscal Forecasts'!K$326</f>
        <v>2.0089999999999999</v>
      </c>
      <c r="L400" s="48">
        <f>'Fiscal Forecasts'!L$326</f>
        <v>2.1560000000000001</v>
      </c>
      <c r="M400" s="48">
        <f>'Fiscal Forecasts'!M$326</f>
        <v>2.1890000000000001</v>
      </c>
      <c r="N400" s="48">
        <f>'Fiscal Forecasts'!N$326</f>
        <v>2.1920000000000002</v>
      </c>
      <c r="O400" s="48">
        <f>'Fiscal Forecasts'!O$326</f>
        <v>2.2149999999999999</v>
      </c>
      <c r="P400" s="48">
        <f>'Fiscal Forecasts'!P$326</f>
        <v>2.2530000000000001</v>
      </c>
      <c r="Q400" s="20">
        <f>Exogenous!AB$16</f>
        <v>2.2959999999999998</v>
      </c>
      <c r="R400" s="20">
        <f>Exogenous!AC$16</f>
        <v>2.3319999999999999</v>
      </c>
      <c r="S400" s="20">
        <f>Exogenous!AD$16</f>
        <v>2.3660000000000001</v>
      </c>
      <c r="T400" s="20">
        <f>Exogenous!AE$16</f>
        <v>2.3969999999999998</v>
      </c>
      <c r="U400" s="20">
        <f>Exogenous!AF$16</f>
        <v>2.4260000000000002</v>
      </c>
      <c r="V400" s="20">
        <f>Exogenous!AG$16</f>
        <v>2.456</v>
      </c>
      <c r="W400" s="20">
        <f>Exogenous!AH$16</f>
        <v>2.4860000000000002</v>
      </c>
      <c r="X400" s="20">
        <f>Exogenous!AI$16</f>
        <v>2.5179999999999998</v>
      </c>
      <c r="Y400" s="20">
        <f>Exogenous!AJ$16</f>
        <v>2.5510000000000002</v>
      </c>
      <c r="Z400" s="20">
        <f>Exogenous!AK$16</f>
        <v>2.5840000000000001</v>
      </c>
    </row>
    <row r="401" spans="1:26" x14ac:dyDescent="0.25">
      <c r="A401" s="12" t="s">
        <v>533</v>
      </c>
      <c r="B401" s="14" t="str">
        <f t="shared" si="227"/>
        <v>From Fiscal Forecasts</v>
      </c>
      <c r="D401" s="50">
        <f>'Fiscal Forecasts'!D$327</f>
        <v>3.5999999999999997E-2</v>
      </c>
      <c r="E401" s="50">
        <f>'Fiscal Forecasts'!E$327</f>
        <v>3.5999999999999997E-2</v>
      </c>
      <c r="F401" s="50">
        <f>'Fiscal Forecasts'!F$327</f>
        <v>3.7999999999999999E-2</v>
      </c>
      <c r="G401" s="50">
        <f>'Fiscal Forecasts'!G$327</f>
        <v>3.7999999999999999E-2</v>
      </c>
      <c r="H401" s="50">
        <f>'Fiscal Forecasts'!H$327</f>
        <v>0.03</v>
      </c>
      <c r="I401" s="50">
        <f>'Fiscal Forecasts'!I$327</f>
        <v>2.8000000000000001E-2</v>
      </c>
      <c r="J401" s="50">
        <f>'Fiscal Forecasts'!J$327</f>
        <v>2.5999999999999999E-2</v>
      </c>
      <c r="K401" s="50">
        <f>'Fiscal Forecasts'!K$327</f>
        <v>2.8000000000000001E-2</v>
      </c>
      <c r="L401" s="48">
        <f>'Fiscal Forecasts'!L$327</f>
        <v>3.4000000000000002E-2</v>
      </c>
      <c r="M401" s="48">
        <f>'Fiscal Forecasts'!M$327</f>
        <v>3.4000000000000002E-2</v>
      </c>
      <c r="N401" s="48">
        <f>'Fiscal Forecasts'!N$327</f>
        <v>3.4000000000000002E-2</v>
      </c>
      <c r="O401" s="48">
        <f>'Fiscal Forecasts'!O$327</f>
        <v>3.6999999999999998E-2</v>
      </c>
      <c r="P401" s="48">
        <f>'Fiscal Forecasts'!P$327</f>
        <v>3.7999999999999999E-2</v>
      </c>
      <c r="Q401" s="20">
        <f>Exogenous!AB$17</f>
        <v>3.9E-2</v>
      </c>
      <c r="R401" s="20">
        <f>Exogenous!AC$17</f>
        <v>0.04</v>
      </c>
      <c r="S401" s="20">
        <f>Exogenous!AD$17</f>
        <v>4.1000000000000002E-2</v>
      </c>
      <c r="T401" s="20">
        <f>Exogenous!AE$17</f>
        <v>4.2000000000000003E-2</v>
      </c>
      <c r="U401" s="20">
        <f>Exogenous!AF$17</f>
        <v>4.2999999999999997E-2</v>
      </c>
      <c r="V401" s="20">
        <f>Exogenous!AG$17</f>
        <v>4.3999999999999997E-2</v>
      </c>
      <c r="W401" s="20">
        <f>Exogenous!AH$17</f>
        <v>4.4999999999999998E-2</v>
      </c>
      <c r="X401" s="20">
        <f>Exogenous!AI$17</f>
        <v>4.5999999999999999E-2</v>
      </c>
      <c r="Y401" s="20">
        <f>Exogenous!AJ$17</f>
        <v>4.7E-2</v>
      </c>
      <c r="Z401" s="20">
        <f>Exogenous!AK$17</f>
        <v>4.8000000000000001E-2</v>
      </c>
    </row>
    <row r="402" spans="1:26" x14ac:dyDescent="0.25">
      <c r="A402" s="12" t="s">
        <v>1361</v>
      </c>
      <c r="B402" s="14" t="str">
        <f t="shared" si="227"/>
        <v>From Fiscal Forecasts</v>
      </c>
      <c r="D402" s="50">
        <f>'Fiscal Forecasts'!D$328</f>
        <v>0.56299999999999994</v>
      </c>
      <c r="E402" s="50">
        <f>'Fiscal Forecasts'!E$328</f>
        <v>0.50600000000000001</v>
      </c>
      <c r="F402" s="50">
        <f>'Fiscal Forecasts'!F$328</f>
        <v>0.46899999999999997</v>
      </c>
      <c r="G402" s="50">
        <f>'Fiscal Forecasts'!G$328</f>
        <v>0.48899999999999999</v>
      </c>
      <c r="H402" s="50">
        <f>'Fiscal Forecasts'!H$328</f>
        <v>0.55100000000000005</v>
      </c>
      <c r="I402" s="50">
        <f>'Fiscal Forecasts'!I$328</f>
        <v>0.54400000000000004</v>
      </c>
      <c r="J402" s="50">
        <f>'Fiscal Forecasts'!J$328</f>
        <v>0.58499999999999996</v>
      </c>
      <c r="K402" s="50">
        <f>'Fiscal Forecasts'!K$328</f>
        <v>0.76300000000000001</v>
      </c>
      <c r="L402" s="48">
        <f>'Fiscal Forecasts'!L$328</f>
        <v>0.72399999999999998</v>
      </c>
      <c r="M402" s="48">
        <f>'Fiscal Forecasts'!M$328</f>
        <v>0.78600000000000003</v>
      </c>
      <c r="N402" s="48">
        <f>'Fiscal Forecasts'!N$328</f>
        <v>0.82099999999999995</v>
      </c>
      <c r="O402" s="48">
        <f>'Fiscal Forecasts'!O$328</f>
        <v>0.85299999999999998</v>
      </c>
      <c r="P402" s="48">
        <f>'Fiscal Forecasts'!P$328</f>
        <v>0.88300000000000001</v>
      </c>
      <c r="Q402" s="20">
        <f>Exogenous!AB$18</f>
        <v>0.91100000000000003</v>
      </c>
      <c r="R402" s="20">
        <f>Exogenous!AC$18</f>
        <v>0.93799999999999994</v>
      </c>
      <c r="S402" s="20">
        <f>Exogenous!AD$18</f>
        <v>0.96199999999999997</v>
      </c>
      <c r="T402" s="20">
        <f>Exogenous!AE$18</f>
        <v>0.98499999999999999</v>
      </c>
      <c r="U402" s="20">
        <f>Exogenous!AF$18</f>
        <v>1.006</v>
      </c>
      <c r="V402" s="20">
        <f>Exogenous!AG$18</f>
        <v>1.0249999999999999</v>
      </c>
      <c r="W402" s="20">
        <f>Exogenous!AH$18</f>
        <v>1.046</v>
      </c>
      <c r="X402" s="20">
        <f>Exogenous!AI$18</f>
        <v>1.0669999999999999</v>
      </c>
      <c r="Y402" s="20">
        <f>Exogenous!AJ$18</f>
        <v>1.0880000000000001</v>
      </c>
      <c r="Z402" s="20">
        <f>Exogenous!AK$18</f>
        <v>1.109</v>
      </c>
    </row>
    <row r="403" spans="1:26" x14ac:dyDescent="0.25">
      <c r="A403" s="12" t="s">
        <v>1362</v>
      </c>
      <c r="B403" s="14" t="str">
        <f t="shared" si="227"/>
        <v>From Fiscal Forecasts</v>
      </c>
      <c r="D403" s="50">
        <f>'Fiscal Forecasts'!D$329</f>
        <v>1.371</v>
      </c>
      <c r="E403" s="50">
        <f>'Fiscal Forecasts'!E$329</f>
        <v>1.4770000000000001</v>
      </c>
      <c r="F403" s="50">
        <f>'Fiscal Forecasts'!F$329</f>
        <v>1.4950000000000001</v>
      </c>
      <c r="G403" s="50">
        <f>'Fiscal Forecasts'!G$329</f>
        <v>1.605</v>
      </c>
      <c r="H403" s="50">
        <f>'Fiscal Forecasts'!H$329</f>
        <v>1.6339999999999999</v>
      </c>
      <c r="I403" s="50">
        <f>'Fiscal Forecasts'!I$329</f>
        <v>1.5980000000000001</v>
      </c>
      <c r="J403" s="50">
        <f>'Fiscal Forecasts'!J$329</f>
        <v>1.5620000000000001</v>
      </c>
      <c r="K403" s="50">
        <f>'Fiscal Forecasts'!K$329</f>
        <v>1.6279999999999999</v>
      </c>
      <c r="L403" s="48">
        <f>'Fiscal Forecasts'!L$329</f>
        <v>1.726</v>
      </c>
      <c r="M403" s="48">
        <f>'Fiscal Forecasts'!M$329</f>
        <v>1.8009999999999999</v>
      </c>
      <c r="N403" s="48">
        <f>'Fiscal Forecasts'!N$329</f>
        <v>1.863</v>
      </c>
      <c r="O403" s="48">
        <f>'Fiscal Forecasts'!O$329</f>
        <v>1.9319999999999999</v>
      </c>
      <c r="P403" s="48">
        <f>'Fiscal Forecasts'!P$329</f>
        <v>2.0049999999999999</v>
      </c>
      <c r="Q403" s="20">
        <f>Exogenous!AB$19</f>
        <v>1.9910000000000001</v>
      </c>
      <c r="R403" s="20">
        <f>Exogenous!AC$19</f>
        <v>2.0409999999999999</v>
      </c>
      <c r="S403" s="20">
        <f>Exogenous!AD$19</f>
        <v>2.09</v>
      </c>
      <c r="T403" s="20">
        <f>Exogenous!AE$19</f>
        <v>2.1389999999999998</v>
      </c>
      <c r="U403" s="20">
        <f>Exogenous!AF$19</f>
        <v>2.1859999999999999</v>
      </c>
      <c r="V403" s="20">
        <f>Exogenous!AG$19</f>
        <v>2.2309999999999999</v>
      </c>
      <c r="W403" s="20">
        <f>Exogenous!AH$19</f>
        <v>2.2759999999999998</v>
      </c>
      <c r="X403" s="20">
        <f>Exogenous!AI$19</f>
        <v>2.319</v>
      </c>
      <c r="Y403" s="20">
        <f>Exogenous!AJ$19</f>
        <v>2.3570000000000002</v>
      </c>
      <c r="Z403" s="20">
        <f>Exogenous!AK$19</f>
        <v>2.395</v>
      </c>
    </row>
    <row r="404" spans="1:26" x14ac:dyDescent="0.25">
      <c r="A404" s="12" t="s">
        <v>536</v>
      </c>
      <c r="B404" s="14" t="str">
        <f t="shared" si="227"/>
        <v>From Fiscal Forecasts</v>
      </c>
      <c r="D404" s="50">
        <f>'Fiscal Forecasts'!D$330</f>
        <v>0.39400000000000002</v>
      </c>
      <c r="E404" s="50">
        <f>'Fiscal Forecasts'!E$330</f>
        <v>0.33100000000000002</v>
      </c>
      <c r="F404" s="50">
        <f>'Fiscal Forecasts'!F$330</f>
        <v>0.23499999999999999</v>
      </c>
      <c r="G404" s="50">
        <f>'Fiscal Forecasts'!G$330</f>
        <v>0.28000000000000003</v>
      </c>
      <c r="H404" s="50">
        <f>'Fiscal Forecasts'!H$330</f>
        <v>0.57699999999999996</v>
      </c>
      <c r="I404" s="50">
        <f>'Fiscal Forecasts'!I$330</f>
        <v>0.63400000000000001</v>
      </c>
      <c r="J404" s="50">
        <f>'Fiscal Forecasts'!J$330</f>
        <v>0.49199999999999999</v>
      </c>
      <c r="K404" s="50">
        <f>'Fiscal Forecasts'!K$330</f>
        <v>0.311</v>
      </c>
      <c r="L404" s="48">
        <f>'Fiscal Forecasts'!L$330</f>
        <v>0.36299999999999999</v>
      </c>
      <c r="M404" s="48">
        <f>'Fiscal Forecasts'!M$330</f>
        <v>0.44600000000000001</v>
      </c>
      <c r="N404" s="48">
        <f>'Fiscal Forecasts'!N$330</f>
        <v>0.47399999999999998</v>
      </c>
      <c r="O404" s="48">
        <f>'Fiscal Forecasts'!O$330</f>
        <v>0.501</v>
      </c>
      <c r="P404" s="48">
        <f>'Fiscal Forecasts'!P$330</f>
        <v>0.52600000000000002</v>
      </c>
      <c r="Q404" s="20">
        <f>Exogenous!AB$20</f>
        <v>0.56899999999999995</v>
      </c>
      <c r="R404" s="20">
        <f>Exogenous!AC$20</f>
        <v>0.60499999999999998</v>
      </c>
      <c r="S404" s="20">
        <f>Exogenous!AD$20</f>
        <v>0.63900000000000001</v>
      </c>
      <c r="T404" s="20">
        <f>Exogenous!AE$20</f>
        <v>0.67</v>
      </c>
      <c r="U404" s="20">
        <f>Exogenous!AF$20</f>
        <v>0.69899999999999995</v>
      </c>
      <c r="V404" s="20">
        <f>Exogenous!AG$20</f>
        <v>0.72899999999999998</v>
      </c>
      <c r="W404" s="20">
        <f>Exogenous!AH$20</f>
        <v>0.75900000000000001</v>
      </c>
      <c r="X404" s="20">
        <f>Exogenous!AI$20</f>
        <v>0.79100000000000004</v>
      </c>
      <c r="Y404" s="20">
        <f>Exogenous!AJ$20</f>
        <v>0.82399999999999995</v>
      </c>
      <c r="Z404" s="20">
        <f>Exogenous!AK$20</f>
        <v>0.85699999999999998</v>
      </c>
    </row>
    <row r="405" spans="1:26" x14ac:dyDescent="0.25">
      <c r="A405" s="12" t="s">
        <v>537</v>
      </c>
      <c r="B405" s="14" t="str">
        <f t="shared" si="227"/>
        <v>From Fiscal Forecasts</v>
      </c>
      <c r="D405" s="50">
        <f>'Fiscal Forecasts'!D$331</f>
        <v>0.94499999999999995</v>
      </c>
      <c r="E405" s="50">
        <f>'Fiscal Forecasts'!E$331</f>
        <v>-0.13300000000000001</v>
      </c>
      <c r="F405" s="50">
        <f>'Fiscal Forecasts'!F$331</f>
        <v>0.70699999999999996</v>
      </c>
      <c r="G405" s="50">
        <f>'Fiscal Forecasts'!G$331</f>
        <v>-1.151</v>
      </c>
      <c r="H405" s="50">
        <f>'Fiscal Forecasts'!H$331</f>
        <v>0.47099999999999997</v>
      </c>
      <c r="I405" s="50">
        <f>'Fiscal Forecasts'!I$331</f>
        <v>0.35499999999999998</v>
      </c>
      <c r="J405" s="50">
        <f>'Fiscal Forecasts'!J$331</f>
        <v>0.378</v>
      </c>
      <c r="K405" s="50">
        <f>'Fiscal Forecasts'!K$331</f>
        <v>0.53400000000000003</v>
      </c>
      <c r="L405" s="48">
        <f>'Fiscal Forecasts'!L$331</f>
        <v>0</v>
      </c>
      <c r="M405" s="48">
        <f>'Fiscal Forecasts'!M$331</f>
        <v>0</v>
      </c>
      <c r="N405" s="48">
        <f>'Fiscal Forecasts'!N$331</f>
        <v>0</v>
      </c>
      <c r="O405" s="48">
        <f>'Fiscal Forecasts'!O$331</f>
        <v>0</v>
      </c>
      <c r="P405" s="48">
        <f>'Fiscal Forecasts'!P$331</f>
        <v>0</v>
      </c>
      <c r="Q405" s="20">
        <f>Exogenous!AB$21</f>
        <v>0</v>
      </c>
      <c r="R405" s="20">
        <f>Exogenous!AC$21</f>
        <v>0</v>
      </c>
      <c r="S405" s="20">
        <f>Exogenous!AD$21</f>
        <v>0</v>
      </c>
      <c r="T405" s="20">
        <f>Exogenous!AE$21</f>
        <v>0</v>
      </c>
      <c r="U405" s="20">
        <f>Exogenous!AF$21</f>
        <v>0</v>
      </c>
      <c r="V405" s="20">
        <f>Exogenous!AG$21</f>
        <v>0</v>
      </c>
      <c r="W405" s="20">
        <f>Exogenous!AH$21</f>
        <v>0</v>
      </c>
      <c r="X405" s="20">
        <f>Exogenous!AI$21</f>
        <v>0</v>
      </c>
      <c r="Y405" s="20">
        <f>Exogenous!AJ$21</f>
        <v>0</v>
      </c>
      <c r="Z405" s="20">
        <f>Exogenous!AK$21</f>
        <v>0</v>
      </c>
    </row>
    <row r="406" spans="1:26" x14ac:dyDescent="0.25">
      <c r="A406" s="11" t="s">
        <v>1071</v>
      </c>
      <c r="C406" s="103">
        <f>'Fiscal Forecasts'!$C$332</f>
        <v>9.9290000000000003</v>
      </c>
      <c r="D406" s="94">
        <f>SUM(C$406,D$400,D$401,-D$402,-D$403,D$404,D$405)</f>
        <v>10.731</v>
      </c>
      <c r="E406" s="94">
        <f t="shared" ref="E406:Z406" si="228">SUM(D$406,E$400,E$401,-E$402,-E$403,E$404,E$405)</f>
        <v>10.395</v>
      </c>
      <c r="F406" s="94">
        <f t="shared" si="228"/>
        <v>10.841000000000001</v>
      </c>
      <c r="G406" s="94">
        <f t="shared" si="228"/>
        <v>9.2089999999999996</v>
      </c>
      <c r="H406" s="94">
        <f t="shared" si="228"/>
        <v>9.3729999999999993</v>
      </c>
      <c r="I406" s="94">
        <f t="shared" si="228"/>
        <v>9.5960000000000001</v>
      </c>
      <c r="J406" s="94">
        <f t="shared" si="228"/>
        <v>10.053999999999998</v>
      </c>
      <c r="K406" s="94">
        <f t="shared" si="228"/>
        <v>10.545</v>
      </c>
      <c r="L406" s="95">
        <f t="shared" si="228"/>
        <v>10.648</v>
      </c>
      <c r="M406" s="95">
        <f t="shared" si="228"/>
        <v>10.73</v>
      </c>
      <c r="N406" s="95">
        <f t="shared" si="228"/>
        <v>10.746000000000002</v>
      </c>
      <c r="O406" s="95">
        <f t="shared" si="228"/>
        <v>10.714000000000002</v>
      </c>
      <c r="P406" s="95">
        <f t="shared" si="228"/>
        <v>10.643000000000004</v>
      </c>
      <c r="Q406" s="96">
        <f t="shared" si="228"/>
        <v>10.645000000000003</v>
      </c>
      <c r="R406" s="96">
        <f t="shared" si="228"/>
        <v>10.643000000000002</v>
      </c>
      <c r="S406" s="96">
        <f t="shared" si="228"/>
        <v>10.637000000000002</v>
      </c>
      <c r="T406" s="96">
        <f t="shared" si="228"/>
        <v>10.622000000000003</v>
      </c>
      <c r="U406" s="96">
        <f t="shared" si="228"/>
        <v>10.598000000000003</v>
      </c>
      <c r="V406" s="96">
        <f t="shared" si="228"/>
        <v>10.571000000000002</v>
      </c>
      <c r="W406" s="96">
        <f t="shared" si="228"/>
        <v>10.539000000000003</v>
      </c>
      <c r="X406" s="96">
        <f t="shared" si="228"/>
        <v>10.508000000000003</v>
      </c>
      <c r="Y406" s="96">
        <f t="shared" si="228"/>
        <v>10.485000000000005</v>
      </c>
      <c r="Z406" s="96">
        <f t="shared" si="228"/>
        <v>10.470000000000004</v>
      </c>
    </row>
    <row r="408" spans="1:26" x14ac:dyDescent="0.25">
      <c r="A408" s="11" t="s">
        <v>947</v>
      </c>
    </row>
    <row r="409" spans="1:26" x14ac:dyDescent="0.25">
      <c r="A409" s="11" t="s">
        <v>1363</v>
      </c>
      <c r="B409" s="14" t="str">
        <f>$B$38</f>
        <v>From Fiscal Forecasts</v>
      </c>
      <c r="D409" s="51">
        <f>ROUND('Fiscal Forecasts'!D$189*D$410/SUM(D$410,D$414),3)</f>
        <v>0.75700000000000001</v>
      </c>
      <c r="E409" s="51">
        <f>ROUND('Fiscal Forecasts'!E$189*E$410/SUM(E$410,E$414),3)</f>
        <v>1.0569999999999999</v>
      </c>
      <c r="F409" s="51">
        <f>ROUND('Fiscal Forecasts'!F$189*F$410/SUM(F$410,F$414),3)</f>
        <v>1.169</v>
      </c>
      <c r="G409" s="51">
        <f>ROUND('Fiscal Forecasts'!G$189*G$410/SUM(G$410,G$414),3)</f>
        <v>1.7330000000000001</v>
      </c>
      <c r="H409" s="51">
        <f>ROUND('Fiscal Forecasts'!H$189*H$410/SUM(H$410,H$414),3)</f>
        <v>1.5860000000000001</v>
      </c>
      <c r="I409" s="51">
        <f>ROUND('Fiscal Forecasts'!I$189*I$410/SUM(I$410,I$414),3)</f>
        <v>1.6120000000000001</v>
      </c>
      <c r="J409" s="51">
        <f>ROUND('Fiscal Forecasts'!J$189*J$410/SUM(J$410,J$414),3)</f>
        <v>1.704</v>
      </c>
      <c r="K409" s="51">
        <f>ROUND('Fiscal Forecasts'!K$189*K$410/SUM(K$410,K$414),3)</f>
        <v>1.722</v>
      </c>
      <c r="L409" s="47">
        <f>ROUND('Fiscal Forecasts'!L$189*L$410/SUM(L$410,L$414),3)</f>
        <v>1.7230000000000001</v>
      </c>
      <c r="M409" s="47">
        <f>ROUND('Fiscal Forecasts'!M$189*M$410/SUM(M$410,M$414),3)</f>
        <v>1.6459999999999999</v>
      </c>
      <c r="N409" s="47">
        <f>ROUND('Fiscal Forecasts'!N$189*N$410/SUM(N$410,N$414),3)</f>
        <v>1.6339999999999999</v>
      </c>
      <c r="O409" s="47">
        <f>ROUND('Fiscal Forecasts'!O$189*O$410/SUM(O$410,O$414),3)</f>
        <v>1.629</v>
      </c>
      <c r="P409" s="47">
        <f>ROUND('Fiscal Forecasts'!P$189*P$410/SUM(P$410,P$414),3)</f>
        <v>1.61</v>
      </c>
      <c r="Q409" s="21">
        <f t="shared" ref="Q409:Z409" ca="1" si="229">P$409*(1+Q$29)</f>
        <v>1.6422000000000001</v>
      </c>
      <c r="R409" s="21">
        <f t="shared" ca="1" si="229"/>
        <v>1.6750440000000002</v>
      </c>
      <c r="S409" s="21">
        <f t="shared" ca="1" si="229"/>
        <v>1.7085448800000003</v>
      </c>
      <c r="T409" s="21">
        <f t="shared" ca="1" si="229"/>
        <v>1.7427157776000004</v>
      </c>
      <c r="U409" s="21">
        <f t="shared" ca="1" si="229"/>
        <v>1.7775700931520004</v>
      </c>
      <c r="V409" s="21">
        <f t="shared" ca="1" si="229"/>
        <v>1.8131214950150405</v>
      </c>
      <c r="W409" s="21">
        <f t="shared" ca="1" si="229"/>
        <v>1.8493839249153414</v>
      </c>
      <c r="X409" s="21">
        <f t="shared" ca="1" si="229"/>
        <v>1.8863716034136482</v>
      </c>
      <c r="Y409" s="21">
        <f t="shared" ca="1" si="229"/>
        <v>1.9240990354819212</v>
      </c>
      <c r="Z409" s="21">
        <f t="shared" ca="1" si="229"/>
        <v>1.9625810161915596</v>
      </c>
    </row>
    <row r="410" spans="1:26" x14ac:dyDescent="0.25">
      <c r="A410" s="11" t="s">
        <v>1364</v>
      </c>
      <c r="B410" s="14" t="str">
        <f>$B$38</f>
        <v>From Fiscal Forecasts</v>
      </c>
      <c r="D410" s="51">
        <f>'Fiscal Forecasts'!D$126</f>
        <v>1.5169999999999999</v>
      </c>
      <c r="E410" s="51">
        <f>'Fiscal Forecasts'!E$126</f>
        <v>1.7729999999999999</v>
      </c>
      <c r="F410" s="51">
        <f>'Fiscal Forecasts'!F$126</f>
        <v>2.194</v>
      </c>
      <c r="G410" s="51">
        <f>'Fiscal Forecasts'!G$126</f>
        <v>3.0680000000000001</v>
      </c>
      <c r="H410" s="51">
        <f>'Fiscal Forecasts'!H$126</f>
        <v>3.0409999999999999</v>
      </c>
      <c r="I410" s="51">
        <f>'Fiscal Forecasts'!I$126</f>
        <v>2.8610000000000002</v>
      </c>
      <c r="J410" s="51">
        <f>'Fiscal Forecasts'!J$126</f>
        <v>3.1</v>
      </c>
      <c r="K410" s="51">
        <f>'Fiscal Forecasts'!K$126</f>
        <v>3.2650000000000001</v>
      </c>
      <c r="L410" s="47">
        <f>'Fiscal Forecasts'!L$126</f>
        <v>3.1110000000000002</v>
      </c>
      <c r="M410" s="47">
        <f>'Fiscal Forecasts'!M$126</f>
        <v>3.03</v>
      </c>
      <c r="N410" s="47">
        <f>'Fiscal Forecasts'!N$126</f>
        <v>3.05</v>
      </c>
      <c r="O410" s="47">
        <f>'Fiscal Forecasts'!O$126</f>
        <v>3.0790000000000002</v>
      </c>
      <c r="P410" s="47">
        <f>'Fiscal Forecasts'!P$126</f>
        <v>3.0670000000000002</v>
      </c>
      <c r="Q410" s="21">
        <f t="shared" ref="Q410:Z410" ca="1" si="230">Q$409+(P$410-P$409)*(1+Q$29)</f>
        <v>3.1283400000000001</v>
      </c>
      <c r="R410" s="21">
        <f t="shared" ca="1" si="230"/>
        <v>3.1909068000000005</v>
      </c>
      <c r="S410" s="21">
        <f t="shared" ca="1" si="230"/>
        <v>3.2547249360000006</v>
      </c>
      <c r="T410" s="21">
        <f t="shared" ca="1" si="230"/>
        <v>3.3198194347200007</v>
      </c>
      <c r="U410" s="21">
        <f t="shared" ca="1" si="230"/>
        <v>3.3862158234144006</v>
      </c>
      <c r="V410" s="21">
        <f t="shared" ca="1" si="230"/>
        <v>3.4539401398826888</v>
      </c>
      <c r="W410" s="21">
        <f t="shared" ca="1" si="230"/>
        <v>3.5230189426803427</v>
      </c>
      <c r="X410" s="21">
        <f t="shared" ca="1" si="230"/>
        <v>3.5934793215339496</v>
      </c>
      <c r="Y410" s="21">
        <f t="shared" ca="1" si="230"/>
        <v>3.6653489079646286</v>
      </c>
      <c r="Z410" s="21">
        <f t="shared" ca="1" si="230"/>
        <v>3.7386558861239214</v>
      </c>
    </row>
    <row r="412" spans="1:26" x14ac:dyDescent="0.25">
      <c r="A412" s="11" t="s">
        <v>1365</v>
      </c>
    </row>
    <row r="413" spans="1:26" x14ac:dyDescent="0.25">
      <c r="A413" s="11" t="s">
        <v>1366</v>
      </c>
      <c r="B413" s="14" t="str">
        <f>$B$38</f>
        <v>From Fiscal Forecasts</v>
      </c>
      <c r="D413" s="51">
        <f>'Fiscal Forecasts'!D$189-D$409</f>
        <v>1.4119999999999999</v>
      </c>
      <c r="E413" s="51">
        <f>'Fiscal Forecasts'!E$189-E$409</f>
        <v>2.153</v>
      </c>
      <c r="F413" s="51">
        <f>'Fiscal Forecasts'!F$189-F$409</f>
        <v>2.0920000000000001</v>
      </c>
      <c r="G413" s="51">
        <f>'Fiscal Forecasts'!G$189-G$409</f>
        <v>2.3759999999999999</v>
      </c>
      <c r="H413" s="51">
        <f>'Fiscal Forecasts'!H$189-H$409</f>
        <v>2.4050000000000002</v>
      </c>
      <c r="I413" s="51">
        <f>'Fiscal Forecasts'!I$189-I$409</f>
        <v>2.8419999999999996</v>
      </c>
      <c r="J413" s="51">
        <f>'Fiscal Forecasts'!J$189-J$409</f>
        <v>2.835</v>
      </c>
      <c r="K413" s="51">
        <f>'Fiscal Forecasts'!K$189-K$409</f>
        <v>2.927</v>
      </c>
      <c r="L413" s="47">
        <f>'Fiscal Forecasts'!L$189-L$409</f>
        <v>3.1180000000000003</v>
      </c>
      <c r="M413" s="47">
        <f>'Fiscal Forecasts'!M$189-M$409</f>
        <v>3.0280000000000005</v>
      </c>
      <c r="N413" s="47">
        <f>'Fiscal Forecasts'!N$189-N$409</f>
        <v>2.8540000000000005</v>
      </c>
      <c r="O413" s="47">
        <f>'Fiscal Forecasts'!O$189-O$409</f>
        <v>2.8160000000000003</v>
      </c>
      <c r="P413" s="47">
        <f>'Fiscal Forecasts'!P$189-P$409</f>
        <v>2.7879999999999994</v>
      </c>
      <c r="Q413" s="21">
        <f t="shared" ref="Q413:Z413" ca="1" si="231">P$413*(1+Q$29)</f>
        <v>2.8437599999999996</v>
      </c>
      <c r="R413" s="21">
        <f t="shared" ca="1" si="231"/>
        <v>2.9006351999999995</v>
      </c>
      <c r="S413" s="21">
        <f t="shared" ca="1" si="231"/>
        <v>2.9586479039999998</v>
      </c>
      <c r="T413" s="21">
        <f t="shared" ca="1" si="231"/>
        <v>3.0178208620799998</v>
      </c>
      <c r="U413" s="21">
        <f t="shared" ca="1" si="231"/>
        <v>3.0781772793215998</v>
      </c>
      <c r="V413" s="21">
        <f t="shared" ca="1" si="231"/>
        <v>3.1397408249080319</v>
      </c>
      <c r="W413" s="21">
        <f t="shared" ca="1" si="231"/>
        <v>3.2025356414061927</v>
      </c>
      <c r="X413" s="21">
        <f t="shared" ca="1" si="231"/>
        <v>3.2665863542343168</v>
      </c>
      <c r="Y413" s="21">
        <f t="shared" ca="1" si="231"/>
        <v>3.331918081319003</v>
      </c>
      <c r="Z413" s="21">
        <f t="shared" ca="1" si="231"/>
        <v>3.3985564429453832</v>
      </c>
    </row>
    <row r="414" spans="1:26" x14ac:dyDescent="0.25">
      <c r="A414" s="11" t="s">
        <v>1367</v>
      </c>
      <c r="B414" s="14" t="str">
        <f>$B$38</f>
        <v>From Fiscal Forecasts</v>
      </c>
      <c r="D414" s="51">
        <f>'Fiscal Forecasts'!D$127</f>
        <v>2.8279999999999998</v>
      </c>
      <c r="E414" s="51">
        <f>'Fiscal Forecasts'!E$127</f>
        <v>3.61</v>
      </c>
      <c r="F414" s="51">
        <f>'Fiscal Forecasts'!F$127</f>
        <v>3.9279999999999999</v>
      </c>
      <c r="G414" s="51">
        <f>'Fiscal Forecasts'!G$127</f>
        <v>4.2080000000000002</v>
      </c>
      <c r="H414" s="51">
        <f>'Fiscal Forecasts'!H$127</f>
        <v>4.6120000000000001</v>
      </c>
      <c r="I414" s="51">
        <f>'Fiscal Forecasts'!I$127</f>
        <v>5.0449999999999999</v>
      </c>
      <c r="J414" s="51">
        <f>'Fiscal Forecasts'!J$127</f>
        <v>5.157</v>
      </c>
      <c r="K414" s="51">
        <f>'Fiscal Forecasts'!K$127</f>
        <v>5.55</v>
      </c>
      <c r="L414" s="47">
        <f>'Fiscal Forecasts'!L$127</f>
        <v>5.6280000000000001</v>
      </c>
      <c r="M414" s="47">
        <f>'Fiscal Forecasts'!M$127</f>
        <v>5.5730000000000004</v>
      </c>
      <c r="N414" s="47">
        <f>'Fiscal Forecasts'!N$127</f>
        <v>5.3250000000000002</v>
      </c>
      <c r="O414" s="47">
        <f>'Fiscal Forecasts'!O$127</f>
        <v>5.3239999999999998</v>
      </c>
      <c r="P414" s="47">
        <f>'Fiscal Forecasts'!P$127</f>
        <v>5.3129999999999997</v>
      </c>
      <c r="Q414" s="21">
        <f t="shared" ref="Q414:Z414" ca="1" si="232">Q$413+(P$414-P$413)*(1+Q$29)</f>
        <v>5.4192599999999995</v>
      </c>
      <c r="R414" s="21">
        <f t="shared" ca="1" si="232"/>
        <v>5.5276451999999994</v>
      </c>
      <c r="S414" s="21">
        <f t="shared" ca="1" si="232"/>
        <v>5.6381981039999998</v>
      </c>
      <c r="T414" s="21">
        <f t="shared" ca="1" si="232"/>
        <v>5.7509620660799996</v>
      </c>
      <c r="U414" s="21">
        <f t="shared" ca="1" si="232"/>
        <v>5.8659813074015998</v>
      </c>
      <c r="V414" s="21">
        <f t="shared" ca="1" si="232"/>
        <v>5.9833009335496321</v>
      </c>
      <c r="W414" s="21">
        <f t="shared" ca="1" si="232"/>
        <v>6.1029669522206245</v>
      </c>
      <c r="X414" s="21">
        <f t="shared" ca="1" si="232"/>
        <v>6.2250262912650367</v>
      </c>
      <c r="Y414" s="21">
        <f t="shared" ca="1" si="232"/>
        <v>6.3495268170903376</v>
      </c>
      <c r="Z414" s="21">
        <f t="shared" ca="1" si="232"/>
        <v>6.4765173534321443</v>
      </c>
    </row>
    <row r="416" spans="1:26" x14ac:dyDescent="0.25">
      <c r="A416" s="11" t="s">
        <v>1368</v>
      </c>
    </row>
    <row r="417" spans="1:26" x14ac:dyDescent="0.25">
      <c r="A417" s="11" t="s">
        <v>1369</v>
      </c>
      <c r="B417" s="14" t="str">
        <f>$B$38</f>
        <v>From Fiscal Forecasts</v>
      </c>
      <c r="D417" s="51">
        <f>'Fiscal Forecasts'!D$186</f>
        <v>43.683999999999997</v>
      </c>
      <c r="E417" s="51">
        <f>'Fiscal Forecasts'!E$186</f>
        <v>45.167000000000002</v>
      </c>
      <c r="F417" s="51">
        <f>'Fiscal Forecasts'!F$186</f>
        <v>51.92</v>
      </c>
      <c r="G417" s="51">
        <f>'Fiscal Forecasts'!G$186</f>
        <v>56.518999999999998</v>
      </c>
      <c r="H417" s="51">
        <f>'Fiscal Forecasts'!H$186</f>
        <v>63.033999999999999</v>
      </c>
      <c r="I417" s="51">
        <f>'Fiscal Forecasts'!I$186</f>
        <v>67.997</v>
      </c>
      <c r="J417" s="51">
        <f>'Fiscal Forecasts'!J$186</f>
        <v>67.518000000000001</v>
      </c>
      <c r="K417" s="51">
        <f>'Fiscal Forecasts'!K$186</f>
        <v>65.867999999999995</v>
      </c>
      <c r="L417" s="47">
        <f>'Fiscal Forecasts'!L$186</f>
        <v>67.391000000000005</v>
      </c>
      <c r="M417" s="47">
        <f>'Fiscal Forecasts'!M$186</f>
        <v>68.777000000000001</v>
      </c>
      <c r="N417" s="47">
        <f>'Fiscal Forecasts'!N$186</f>
        <v>69.62</v>
      </c>
      <c r="O417" s="47">
        <f>'Fiscal Forecasts'!O$186</f>
        <v>69.459000000000003</v>
      </c>
      <c r="P417" s="47">
        <f>'Fiscal Forecasts'!P$186</f>
        <v>69.108000000000004</v>
      </c>
      <c r="Q417" s="21">
        <f t="shared" ref="Q417:Z417" si="233">P$417</f>
        <v>69.108000000000004</v>
      </c>
      <c r="R417" s="21">
        <f t="shared" si="233"/>
        <v>69.108000000000004</v>
      </c>
      <c r="S417" s="21">
        <f t="shared" si="233"/>
        <v>69.108000000000004</v>
      </c>
      <c r="T417" s="21">
        <f t="shared" si="233"/>
        <v>69.108000000000004</v>
      </c>
      <c r="U417" s="21">
        <f t="shared" si="233"/>
        <v>69.108000000000004</v>
      </c>
      <c r="V417" s="21">
        <f t="shared" si="233"/>
        <v>69.108000000000004</v>
      </c>
      <c r="W417" s="21">
        <f t="shared" si="233"/>
        <v>69.108000000000004</v>
      </c>
      <c r="X417" s="21">
        <f t="shared" si="233"/>
        <v>69.108000000000004</v>
      </c>
      <c r="Y417" s="21">
        <f t="shared" si="233"/>
        <v>69.108000000000004</v>
      </c>
      <c r="Z417" s="21">
        <f t="shared" si="233"/>
        <v>69.108000000000004</v>
      </c>
    </row>
    <row r="418" spans="1:26" x14ac:dyDescent="0.25">
      <c r="A418" s="12" t="s">
        <v>1370</v>
      </c>
      <c r="B418" s="14" t="str">
        <f>$B$38</f>
        <v>From Fiscal Forecasts</v>
      </c>
      <c r="D418" s="50">
        <f>'Fiscal Forecasts'!D$335</f>
        <v>93.730999999999995</v>
      </c>
      <c r="E418" s="50">
        <f>'Fiscal Forecasts'!E$335</f>
        <v>101.509</v>
      </c>
      <c r="F418" s="50">
        <f>'Fiscal Forecasts'!F$335</f>
        <v>119.682</v>
      </c>
      <c r="G418" s="50">
        <f>'Fiscal Forecasts'!G$335</f>
        <v>145.18600000000001</v>
      </c>
      <c r="H418" s="50">
        <f>'Fiscal Forecasts'!H$335</f>
        <v>151.042</v>
      </c>
      <c r="I418" s="50">
        <f>'Fiscal Forecasts'!I$335</f>
        <v>158.06800000000001</v>
      </c>
      <c r="J418" s="50">
        <f>'Fiscal Forecasts'!J$335</f>
        <v>164.292</v>
      </c>
      <c r="K418" s="50">
        <f>'Fiscal Forecasts'!K$335</f>
        <v>165.83799999999999</v>
      </c>
      <c r="L418" s="48">
        <f>'Fiscal Forecasts'!L$335</f>
        <v>169.78800000000001</v>
      </c>
      <c r="M418" s="48">
        <f>'Fiscal Forecasts'!M$335</f>
        <v>173.96600000000001</v>
      </c>
      <c r="N418" s="48">
        <f>'Fiscal Forecasts'!N$335</f>
        <v>177.459</v>
      </c>
      <c r="O418" s="48">
        <f>'Fiscal Forecasts'!O$335</f>
        <v>179.83199999999999</v>
      </c>
      <c r="P418" s="48">
        <f>'Fiscal Forecasts'!P$335</f>
        <v>181.584</v>
      </c>
      <c r="Q418" s="20">
        <f t="shared" ref="Q418:Z418" ca="1" si="234">(P$418-P$423)*(1+Q$29)+Q$423</f>
        <v>183.21564000000001</v>
      </c>
      <c r="R418" s="20">
        <f t="shared" ca="1" si="234"/>
        <v>184.8799128</v>
      </c>
      <c r="S418" s="20">
        <f t="shared" ca="1" si="234"/>
        <v>186.57747105600001</v>
      </c>
      <c r="T418" s="20">
        <f t="shared" ca="1" si="234"/>
        <v>188.30898047712</v>
      </c>
      <c r="U418" s="20">
        <f t="shared" ca="1" si="234"/>
        <v>190.07512008666242</v>
      </c>
      <c r="V418" s="20">
        <f t="shared" ca="1" si="234"/>
        <v>191.87658248839568</v>
      </c>
      <c r="W418" s="20">
        <f t="shared" ca="1" si="234"/>
        <v>193.7140741381636</v>
      </c>
      <c r="X418" s="20">
        <f t="shared" ca="1" si="234"/>
        <v>195.58831562092686</v>
      </c>
      <c r="Y418" s="20">
        <f t="shared" ca="1" si="234"/>
        <v>197.50004193334541</v>
      </c>
      <c r="Z418" s="20">
        <f t="shared" ca="1" si="234"/>
        <v>199.45000277201234</v>
      </c>
    </row>
    <row r="419" spans="1:26" x14ac:dyDescent="0.25">
      <c r="A419" s="12" t="s">
        <v>1371</v>
      </c>
      <c r="B419" s="14" t="str">
        <f>$B$38</f>
        <v>From Fiscal Forecasts</v>
      </c>
      <c r="D419" s="50">
        <f>SUM('Fiscal Forecasts'!D$336:D$337)</f>
        <v>40.21</v>
      </c>
      <c r="E419" s="50">
        <f>SUM('Fiscal Forecasts'!E$336:E$337)</f>
        <v>39.826000000000001</v>
      </c>
      <c r="F419" s="50">
        <f>SUM('Fiscal Forecasts'!F$336:F$337)</f>
        <v>41.613999999999997</v>
      </c>
      <c r="G419" s="50">
        <f>SUM('Fiscal Forecasts'!G$336:G$337)</f>
        <v>47.476999999999997</v>
      </c>
      <c r="H419" s="50">
        <f>SUM('Fiscal Forecasts'!H$336:H$337)</f>
        <v>53.314</v>
      </c>
      <c r="I419" s="50">
        <f>SUM('Fiscal Forecasts'!I$336:I$337)</f>
        <v>57.724999999999994</v>
      </c>
      <c r="J419" s="50">
        <f>SUM('Fiscal Forecasts'!J$336:J$337)</f>
        <v>60.790999999999997</v>
      </c>
      <c r="K419" s="50">
        <f>SUM('Fiscal Forecasts'!K$336:K$337)</f>
        <v>64.260999999999996</v>
      </c>
      <c r="L419" s="48">
        <f>SUM('Fiscal Forecasts'!L$336:L$337)</f>
        <v>65.998000000000005</v>
      </c>
      <c r="M419" s="48">
        <f>SUM('Fiscal Forecasts'!M$336:M$337)</f>
        <v>67.91</v>
      </c>
      <c r="N419" s="48">
        <f>SUM('Fiscal Forecasts'!N$336:N$337)</f>
        <v>69.397999999999996</v>
      </c>
      <c r="O419" s="48">
        <f>SUM('Fiscal Forecasts'!O$336:O$337)</f>
        <v>70.602999999999994</v>
      </c>
      <c r="P419" s="48">
        <f>SUM('Fiscal Forecasts'!P$336:P$337)</f>
        <v>72.019000000000005</v>
      </c>
      <c r="Q419" s="20">
        <f t="shared" ref="Q419:Z419" ca="1" si="235">P$419*(1+Q$29)</f>
        <v>73.45938000000001</v>
      </c>
      <c r="R419" s="20">
        <f t="shared" ca="1" si="235"/>
        <v>74.928567600000008</v>
      </c>
      <c r="S419" s="20">
        <f t="shared" ca="1" si="235"/>
        <v>76.427138952000007</v>
      </c>
      <c r="T419" s="20">
        <f t="shared" ca="1" si="235"/>
        <v>77.955681731040002</v>
      </c>
      <c r="U419" s="20">
        <f t="shared" ca="1" si="235"/>
        <v>79.514795365660802</v>
      </c>
      <c r="V419" s="20">
        <f t="shared" ca="1" si="235"/>
        <v>81.105091272974022</v>
      </c>
      <c r="W419" s="20">
        <f t="shared" ca="1" si="235"/>
        <v>82.727193098433503</v>
      </c>
      <c r="X419" s="20">
        <f t="shared" ca="1" si="235"/>
        <v>84.381736960402179</v>
      </c>
      <c r="Y419" s="20">
        <f t="shared" ca="1" si="235"/>
        <v>86.06937169961023</v>
      </c>
      <c r="Z419" s="20">
        <f t="shared" ca="1" si="235"/>
        <v>87.790759133602435</v>
      </c>
    </row>
    <row r="420" spans="1:26" x14ac:dyDescent="0.25">
      <c r="A420" s="11" t="s">
        <v>1372</v>
      </c>
      <c r="D420" s="94">
        <f t="shared" ref="D420:I420" si="236">SUM(D$417:D$419)</f>
        <v>177.625</v>
      </c>
      <c r="E420" s="94">
        <f t="shared" si="236"/>
        <v>186.50199999999998</v>
      </c>
      <c r="F420" s="94">
        <f t="shared" si="236"/>
        <v>213.21600000000001</v>
      </c>
      <c r="G420" s="94">
        <f t="shared" si="236"/>
        <v>249.18200000000002</v>
      </c>
      <c r="H420" s="94">
        <f t="shared" si="236"/>
        <v>267.39</v>
      </c>
      <c r="I420" s="94">
        <f t="shared" si="236"/>
        <v>283.78999999999996</v>
      </c>
      <c r="J420" s="94">
        <f t="shared" ref="J420:P420" si="237">SUM(J$417:J$419)</f>
        <v>292.601</v>
      </c>
      <c r="K420" s="94">
        <f t="shared" si="237"/>
        <v>295.96699999999998</v>
      </c>
      <c r="L420" s="95">
        <f t="shared" si="237"/>
        <v>303.17700000000002</v>
      </c>
      <c r="M420" s="95">
        <f t="shared" si="237"/>
        <v>310.65300000000002</v>
      </c>
      <c r="N420" s="95">
        <f t="shared" si="237"/>
        <v>316.47699999999998</v>
      </c>
      <c r="O420" s="95">
        <f t="shared" si="237"/>
        <v>319.89400000000001</v>
      </c>
      <c r="P420" s="95">
        <f t="shared" si="237"/>
        <v>322.71100000000001</v>
      </c>
      <c r="Q420" s="96">
        <f t="shared" ref="Q420:Z420" ca="1" si="238">SUM(Q$417:Q$419)</f>
        <v>325.78302000000002</v>
      </c>
      <c r="R420" s="96">
        <f t="shared" ca="1" si="238"/>
        <v>328.91648040000001</v>
      </c>
      <c r="S420" s="96">
        <f t="shared" ca="1" si="238"/>
        <v>332.11261000800005</v>
      </c>
      <c r="T420" s="96">
        <f t="shared" ca="1" si="238"/>
        <v>335.37266220815997</v>
      </c>
      <c r="U420" s="96">
        <f t="shared" ca="1" si="238"/>
        <v>338.69791545232323</v>
      </c>
      <c r="V420" s="96">
        <f t="shared" ca="1" si="238"/>
        <v>342.08967376136968</v>
      </c>
      <c r="W420" s="96">
        <f t="shared" ca="1" si="238"/>
        <v>345.54926723659707</v>
      </c>
      <c r="X420" s="96">
        <f t="shared" ca="1" si="238"/>
        <v>349.07805258132902</v>
      </c>
      <c r="Y420" s="96">
        <f t="shared" ca="1" si="238"/>
        <v>352.67741363295568</v>
      </c>
      <c r="Z420" s="96">
        <f t="shared" ca="1" si="238"/>
        <v>356.34876190561477</v>
      </c>
    </row>
    <row r="422" spans="1:26" x14ac:dyDescent="0.25">
      <c r="A422" s="11" t="s">
        <v>950</v>
      </c>
    </row>
    <row r="423" spans="1:26" x14ac:dyDescent="0.25">
      <c r="A423" s="11" t="s">
        <v>1373</v>
      </c>
      <c r="B423" s="14" t="str">
        <f>$B$38</f>
        <v>From Fiscal Forecasts</v>
      </c>
      <c r="D423" s="51">
        <f>'Fiscal Forecasts'!D$187</f>
        <v>46.601999999999997</v>
      </c>
      <c r="E423" s="51">
        <f>'Fiscal Forecasts'!E$187</f>
        <v>49.604999999999997</v>
      </c>
      <c r="F423" s="51">
        <f>'Fiscal Forecasts'!F$187</f>
        <v>53.877000000000002</v>
      </c>
      <c r="G423" s="51">
        <f>'Fiscal Forecasts'!G$187</f>
        <v>57.801000000000002</v>
      </c>
      <c r="H423" s="51">
        <f>'Fiscal Forecasts'!H$187</f>
        <v>64.816999999999993</v>
      </c>
      <c r="I423" s="51">
        <f>'Fiscal Forecasts'!I$187</f>
        <v>69.174000000000007</v>
      </c>
      <c r="J423" s="51">
        <f>'Fiscal Forecasts'!J$187</f>
        <v>74.98</v>
      </c>
      <c r="K423" s="51">
        <f>'Fiscal Forecasts'!K$187</f>
        <v>79.525999999999996</v>
      </c>
      <c r="L423" s="47">
        <f>'Fiscal Forecasts'!L$187</f>
        <v>85.882999999999996</v>
      </c>
      <c r="M423" s="47">
        <f>'Fiscal Forecasts'!M$187</f>
        <v>91.435000000000002</v>
      </c>
      <c r="N423" s="47">
        <f>'Fiscal Forecasts'!N$187</f>
        <v>95.393000000000001</v>
      </c>
      <c r="O423" s="47">
        <f>'Fiscal Forecasts'!O$187</f>
        <v>98.093000000000004</v>
      </c>
      <c r="P423" s="47">
        <f>'Fiscal Forecasts'!P$187</f>
        <v>100.002</v>
      </c>
      <c r="Q423" s="21">
        <f t="shared" ref="Q423:Z423" si="239">P$423</f>
        <v>100.002</v>
      </c>
      <c r="R423" s="21">
        <f t="shared" si="239"/>
        <v>100.002</v>
      </c>
      <c r="S423" s="21">
        <f t="shared" si="239"/>
        <v>100.002</v>
      </c>
      <c r="T423" s="21">
        <f t="shared" si="239"/>
        <v>100.002</v>
      </c>
      <c r="U423" s="21">
        <f t="shared" si="239"/>
        <v>100.002</v>
      </c>
      <c r="V423" s="21">
        <f t="shared" si="239"/>
        <v>100.002</v>
      </c>
      <c r="W423" s="21">
        <f t="shared" si="239"/>
        <v>100.002</v>
      </c>
      <c r="X423" s="21">
        <f t="shared" si="239"/>
        <v>100.002</v>
      </c>
      <c r="Y423" s="21">
        <f t="shared" si="239"/>
        <v>100.002</v>
      </c>
      <c r="Z423" s="21">
        <f t="shared" si="239"/>
        <v>100.002</v>
      </c>
    </row>
    <row r="424" spans="1:26" x14ac:dyDescent="0.25">
      <c r="A424" s="11" t="s">
        <v>1374</v>
      </c>
      <c r="B424" s="14" t="str">
        <f>$B$38</f>
        <v>From Fiscal Forecasts</v>
      </c>
      <c r="D424" s="51">
        <f>'Fiscal Forecasts'!D$129</f>
        <v>14.65</v>
      </c>
      <c r="E424" s="51">
        <f>'Fiscal Forecasts'!E$129</f>
        <v>14.308</v>
      </c>
      <c r="F424" s="51">
        <f>'Fiscal Forecasts'!F$129</f>
        <v>14.420999999999999</v>
      </c>
      <c r="G424" s="51">
        <f>'Fiscal Forecasts'!G$129</f>
        <v>16.247</v>
      </c>
      <c r="H424" s="51">
        <f>'Fiscal Forecasts'!H$129</f>
        <v>17.033999999999999</v>
      </c>
      <c r="I424" s="51">
        <f>'Fiscal Forecasts'!I$129</f>
        <v>17.951000000000001</v>
      </c>
      <c r="J424" s="51">
        <f>'Fiscal Forecasts'!J$129</f>
        <v>19.478000000000002</v>
      </c>
      <c r="K424" s="51">
        <f>'Fiscal Forecasts'!K$129</f>
        <v>18.126999999999999</v>
      </c>
      <c r="L424" s="47">
        <f>'Fiscal Forecasts'!L$129</f>
        <v>18.913</v>
      </c>
      <c r="M424" s="47">
        <f>'Fiscal Forecasts'!M$129</f>
        <v>19.36</v>
      </c>
      <c r="N424" s="47">
        <f>'Fiscal Forecasts'!N$129</f>
        <v>19.609000000000002</v>
      </c>
      <c r="O424" s="47">
        <f>'Fiscal Forecasts'!O$129</f>
        <v>19.724</v>
      </c>
      <c r="P424" s="47">
        <f>'Fiscal Forecasts'!P$129</f>
        <v>19.824999999999999</v>
      </c>
      <c r="Q424" s="21">
        <f t="shared" ref="Q424:Z424" ca="1" si="240">P$424*(1+Q$29)</f>
        <v>20.221499999999999</v>
      </c>
      <c r="R424" s="21">
        <f t="shared" ca="1" si="240"/>
        <v>20.62593</v>
      </c>
      <c r="S424" s="21">
        <f t="shared" ca="1" si="240"/>
        <v>21.038448600000002</v>
      </c>
      <c r="T424" s="21">
        <f t="shared" ca="1" si="240"/>
        <v>21.459217572000004</v>
      </c>
      <c r="U424" s="21">
        <f t="shared" ca="1" si="240"/>
        <v>21.888401923440004</v>
      </c>
      <c r="V424" s="21">
        <f t="shared" ca="1" si="240"/>
        <v>22.326169961908803</v>
      </c>
      <c r="W424" s="21">
        <f t="shared" ca="1" si="240"/>
        <v>22.772693361146981</v>
      </c>
      <c r="X424" s="21">
        <f t="shared" ca="1" si="240"/>
        <v>23.22814722836992</v>
      </c>
      <c r="Y424" s="21">
        <f t="shared" ca="1" si="240"/>
        <v>23.692710172937318</v>
      </c>
      <c r="Z424" s="21">
        <f t="shared" ca="1" si="240"/>
        <v>24.166564376396064</v>
      </c>
    </row>
    <row r="426" spans="1:26" x14ac:dyDescent="0.25">
      <c r="A426" s="11" t="s">
        <v>951</v>
      </c>
    </row>
    <row r="427" spans="1:26" x14ac:dyDescent="0.25">
      <c r="A427" s="11" t="s">
        <v>1375</v>
      </c>
      <c r="B427" s="14" t="str">
        <f>$B$38</f>
        <v>From Fiscal Forecasts</v>
      </c>
      <c r="D427" s="51">
        <f>'Fiscal Forecasts'!D$188</f>
        <v>1.681</v>
      </c>
      <c r="E427" s="51">
        <f>'Fiscal Forecasts'!E$188</f>
        <v>1.57</v>
      </c>
      <c r="F427" s="51">
        <f>'Fiscal Forecasts'!F$188</f>
        <v>1.637</v>
      </c>
      <c r="G427" s="51">
        <f>'Fiscal Forecasts'!G$188</f>
        <v>1.4650000000000001</v>
      </c>
      <c r="H427" s="51">
        <f>'Fiscal Forecasts'!H$188</f>
        <v>1.583</v>
      </c>
      <c r="I427" s="51">
        <f>'Fiscal Forecasts'!I$188</f>
        <v>1.577</v>
      </c>
      <c r="J427" s="51">
        <f>'Fiscal Forecasts'!J$188</f>
        <v>1.53</v>
      </c>
      <c r="K427" s="51">
        <f>'Fiscal Forecasts'!K$188</f>
        <v>1.4570000000000001</v>
      </c>
      <c r="L427" s="47">
        <f>'Fiscal Forecasts'!L$188</f>
        <v>1.4379999999999999</v>
      </c>
      <c r="M427" s="47">
        <f>'Fiscal Forecasts'!M$188</f>
        <v>1.389</v>
      </c>
      <c r="N427" s="47">
        <f>'Fiscal Forecasts'!N$188</f>
        <v>1.294</v>
      </c>
      <c r="O427" s="47">
        <f>'Fiscal Forecasts'!O$188</f>
        <v>1.224</v>
      </c>
      <c r="P427" s="47">
        <f>'Fiscal Forecasts'!P$188</f>
        <v>1.163</v>
      </c>
      <c r="Q427" s="21">
        <f t="shared" ref="Q427:Z427" si="241">P$427</f>
        <v>1.163</v>
      </c>
      <c r="R427" s="21">
        <f t="shared" si="241"/>
        <v>1.163</v>
      </c>
      <c r="S427" s="21">
        <f t="shared" si="241"/>
        <v>1.163</v>
      </c>
      <c r="T427" s="21">
        <f t="shared" si="241"/>
        <v>1.163</v>
      </c>
      <c r="U427" s="21">
        <f t="shared" si="241"/>
        <v>1.163</v>
      </c>
      <c r="V427" s="21">
        <f t="shared" si="241"/>
        <v>1.163</v>
      </c>
      <c r="W427" s="21">
        <f t="shared" si="241"/>
        <v>1.163</v>
      </c>
      <c r="X427" s="21">
        <f t="shared" si="241"/>
        <v>1.163</v>
      </c>
      <c r="Y427" s="21">
        <f t="shared" si="241"/>
        <v>1.163</v>
      </c>
      <c r="Z427" s="21">
        <f t="shared" si="241"/>
        <v>1.163</v>
      </c>
    </row>
    <row r="428" spans="1:26" x14ac:dyDescent="0.25">
      <c r="A428" s="12" t="s">
        <v>1376</v>
      </c>
      <c r="B428" s="14" t="str">
        <f>$B$38</f>
        <v>From Fiscal Forecasts</v>
      </c>
      <c r="D428" s="50">
        <f>SUM('Fiscal Forecasts'!D$353:D$355)</f>
        <v>2.23</v>
      </c>
      <c r="E428" s="50">
        <f>SUM('Fiscal Forecasts'!E$353:E$355)</f>
        <v>2.3220000000000001</v>
      </c>
      <c r="F428" s="50">
        <f>SUM('Fiscal Forecasts'!F$353:F$355)</f>
        <v>1.964</v>
      </c>
      <c r="G428" s="50">
        <f>SUM('Fiscal Forecasts'!G$353:G$355)</f>
        <v>2.2320000000000002</v>
      </c>
      <c r="H428" s="50">
        <f>SUM('Fiscal Forecasts'!H$353:H$355)</f>
        <v>2.3249999999999997</v>
      </c>
      <c r="I428" s="50">
        <f>SUM('Fiscal Forecasts'!I$353:I$355)</f>
        <v>2.5069999999999997</v>
      </c>
      <c r="J428" s="50">
        <f>SUM('Fiscal Forecasts'!J$353:J$355)</f>
        <v>2.5609999999999999</v>
      </c>
      <c r="K428" s="50">
        <f>SUM('Fiscal Forecasts'!K$353:K$355)</f>
        <v>2.5070000000000001</v>
      </c>
      <c r="L428" s="48">
        <f>SUM('Fiscal Forecasts'!L$353:L$355)</f>
        <v>2.5920000000000001</v>
      </c>
      <c r="M428" s="48">
        <f>SUM('Fiscal Forecasts'!M$353:M$355)</f>
        <v>2.5659999999999998</v>
      </c>
      <c r="N428" s="48">
        <f>SUM('Fiscal Forecasts'!N$353:N$355)</f>
        <v>2.6120000000000001</v>
      </c>
      <c r="O428" s="48">
        <f>SUM('Fiscal Forecasts'!O$353:O$355)</f>
        <v>2.7010000000000001</v>
      </c>
      <c r="P428" s="48">
        <f>SUM('Fiscal Forecasts'!P$353:P$355)</f>
        <v>2.7700000000000005</v>
      </c>
      <c r="Q428" s="20">
        <f t="shared" ref="Q428:Z428" ca="1" si="242">P$428*(1+Q$14)</f>
        <v>2.8905805633758748</v>
      </c>
      <c r="R428" s="20">
        <f t="shared" ca="1" si="242"/>
        <v>3.0136185089255267</v>
      </c>
      <c r="S428" s="20">
        <f t="shared" ca="1" si="242"/>
        <v>3.1399160724263551</v>
      </c>
      <c r="T428" s="20">
        <f t="shared" ca="1" si="242"/>
        <v>3.2691778422305844</v>
      </c>
      <c r="U428" s="20">
        <f t="shared" ca="1" si="242"/>
        <v>3.4029470653420053</v>
      </c>
      <c r="V428" s="20">
        <f t="shared" ca="1" si="242"/>
        <v>3.5412713151869339</v>
      </c>
      <c r="W428" s="20">
        <f t="shared" ca="1" si="242"/>
        <v>3.6834527482118062</v>
      </c>
      <c r="X428" s="20">
        <f t="shared" ca="1" si="242"/>
        <v>3.8297284171973973</v>
      </c>
      <c r="Y428" s="20">
        <f t="shared" ca="1" si="242"/>
        <v>3.9808632521356575</v>
      </c>
      <c r="Z428" s="20">
        <f t="shared" ca="1" si="242"/>
        <v>4.1368962329534877</v>
      </c>
    </row>
    <row r="429" spans="1:26" x14ac:dyDescent="0.25">
      <c r="A429" s="11" t="s">
        <v>1377</v>
      </c>
      <c r="D429" s="94">
        <f t="shared" ref="D429:Z429" si="243">SUM(D$427:D$428)</f>
        <v>3.911</v>
      </c>
      <c r="E429" s="94">
        <f t="shared" si="243"/>
        <v>3.8920000000000003</v>
      </c>
      <c r="F429" s="94">
        <f t="shared" si="243"/>
        <v>3.601</v>
      </c>
      <c r="G429" s="94">
        <f t="shared" si="243"/>
        <v>3.6970000000000001</v>
      </c>
      <c r="H429" s="94">
        <f t="shared" si="243"/>
        <v>3.9079999999999995</v>
      </c>
      <c r="I429" s="94">
        <f t="shared" si="243"/>
        <v>4.0839999999999996</v>
      </c>
      <c r="J429" s="94">
        <f t="shared" si="243"/>
        <v>4.0910000000000002</v>
      </c>
      <c r="K429" s="94">
        <f t="shared" si="243"/>
        <v>3.9640000000000004</v>
      </c>
      <c r="L429" s="95">
        <f t="shared" si="243"/>
        <v>4.03</v>
      </c>
      <c r="M429" s="95">
        <f t="shared" si="243"/>
        <v>3.9550000000000001</v>
      </c>
      <c r="N429" s="95">
        <f t="shared" si="243"/>
        <v>3.9060000000000001</v>
      </c>
      <c r="O429" s="95">
        <f t="shared" si="243"/>
        <v>3.9249999999999998</v>
      </c>
      <c r="P429" s="95">
        <f t="shared" si="243"/>
        <v>3.9330000000000007</v>
      </c>
      <c r="Q429" s="96">
        <f t="shared" ca="1" si="243"/>
        <v>4.053580563375875</v>
      </c>
      <c r="R429" s="96">
        <f t="shared" ca="1" si="243"/>
        <v>4.176618508925527</v>
      </c>
      <c r="S429" s="96">
        <f t="shared" ca="1" si="243"/>
        <v>4.3029160724263553</v>
      </c>
      <c r="T429" s="96">
        <f t="shared" ca="1" si="243"/>
        <v>4.4321778422305842</v>
      </c>
      <c r="U429" s="96">
        <f t="shared" ca="1" si="243"/>
        <v>4.5659470653420051</v>
      </c>
      <c r="V429" s="96">
        <f t="shared" ca="1" si="243"/>
        <v>4.7042713151869338</v>
      </c>
      <c r="W429" s="96">
        <f t="shared" ca="1" si="243"/>
        <v>4.8464527482118065</v>
      </c>
      <c r="X429" s="96">
        <f t="shared" ca="1" si="243"/>
        <v>4.9927284171973971</v>
      </c>
      <c r="Y429" s="96">
        <f t="shared" ca="1" si="243"/>
        <v>5.1438632521356578</v>
      </c>
      <c r="Z429" s="96">
        <f t="shared" ca="1" si="243"/>
        <v>5.299896232953488</v>
      </c>
    </row>
    <row r="431" spans="1:26" x14ac:dyDescent="0.25">
      <c r="A431" s="11" t="s">
        <v>1378</v>
      </c>
    </row>
    <row r="432" spans="1:26" x14ac:dyDescent="0.25">
      <c r="A432" s="11" t="s">
        <v>1048</v>
      </c>
      <c r="D432" s="51">
        <f>SUM($D$433:D$434)</f>
        <v>0</v>
      </c>
      <c r="E432" s="51">
        <f>SUM($D$433:E$434)</f>
        <v>0</v>
      </c>
      <c r="F432" s="51">
        <f>SUM($D$433:F$434)</f>
        <v>0</v>
      </c>
      <c r="G432" s="51">
        <f>SUM($D$433:G$434)</f>
        <v>0</v>
      </c>
      <c r="H432" s="51">
        <f>SUM($D$433:H$434)</f>
        <v>0</v>
      </c>
      <c r="I432" s="51">
        <f>SUM($D$433:I$434)</f>
        <v>0</v>
      </c>
      <c r="J432" s="51">
        <f>SUM($D$433:J$434)</f>
        <v>0</v>
      </c>
      <c r="K432" s="51">
        <f>SUM($D$433:K$434)</f>
        <v>0</v>
      </c>
      <c r="L432" s="47">
        <f>SUM($D$433:L$434)</f>
        <v>1.994</v>
      </c>
      <c r="M432" s="47">
        <f>SUM($D$433:M$434)</f>
        <v>5.0810000000000004</v>
      </c>
      <c r="N432" s="47">
        <f>SUM($D$433:N$434)</f>
        <v>8.8090000000000011</v>
      </c>
      <c r="O432" s="47">
        <f>SUM($D$433:O$434)</f>
        <v>13.289000000000001</v>
      </c>
      <c r="P432" s="47">
        <f>SUM($D$433:P$434)</f>
        <v>18.557000000000002</v>
      </c>
      <c r="Q432" s="21">
        <f ca="1">SUM($D$433:Q$434)</f>
        <v>23.639000000000003</v>
      </c>
      <c r="R432" s="21">
        <f ca="1">SUM($D$433:R$434)</f>
        <v>28.958500000000001</v>
      </c>
      <c r="S432" s="21">
        <f ca="1">SUM($D$433:S$434)</f>
        <v>34.457374999999999</v>
      </c>
      <c r="T432" s="21">
        <f ca="1">SUM($D$433:T$434)</f>
        <v>39.962593749999996</v>
      </c>
      <c r="U432" s="21">
        <f ca="1">SUM($D$433:U$434)</f>
        <v>45.743073437499994</v>
      </c>
      <c r="V432" s="21">
        <f ca="1">SUM($D$433:V$434)</f>
        <v>51.812577109374999</v>
      </c>
      <c r="W432" s="21">
        <f ca="1">SUM($D$433:W$434)</f>
        <v>58.185555964843751</v>
      </c>
      <c r="X432" s="21">
        <f ca="1">SUM($D$433:X$434)</f>
        <v>64.877183763085938</v>
      </c>
      <c r="Y432" s="21">
        <f ca="1">SUM($D$433:Y$434)</f>
        <v>71.903392951240235</v>
      </c>
      <c r="Z432" s="21">
        <f ca="1">SUM($D$433:Z$434)</f>
        <v>79.280912598802246</v>
      </c>
    </row>
    <row r="433" spans="1:26" x14ac:dyDescent="0.25">
      <c r="A433" s="12" t="s">
        <v>1049</v>
      </c>
      <c r="B433" s="14" t="str">
        <f>$B$38</f>
        <v>From Fiscal Forecasts</v>
      </c>
      <c r="D433" s="50">
        <f>'Fiscal Forecasts'!D$294</f>
        <v>0</v>
      </c>
      <c r="E433" s="50">
        <f>'Fiscal Forecasts'!E$294</f>
        <v>0</v>
      </c>
      <c r="F433" s="50">
        <f>'Fiscal Forecasts'!F$294</f>
        <v>0</v>
      </c>
      <c r="G433" s="50">
        <f>'Fiscal Forecasts'!G$294</f>
        <v>0</v>
      </c>
      <c r="H433" s="50">
        <f>'Fiscal Forecasts'!H$294</f>
        <v>0</v>
      </c>
      <c r="I433" s="50">
        <f>'Fiscal Forecasts'!I$294</f>
        <v>0</v>
      </c>
      <c r="J433" s="50">
        <f>'Fiscal Forecasts'!J$294</f>
        <v>0</v>
      </c>
      <c r="K433" s="50">
        <f>'Fiscal Forecasts'!K$294</f>
        <v>0</v>
      </c>
      <c r="L433" s="48">
        <f>'Fiscal Forecasts'!L$294</f>
        <v>1.8939999999999999</v>
      </c>
      <c r="M433" s="48">
        <f>'Fiscal Forecasts'!M$294</f>
        <v>1.8620000000000001</v>
      </c>
      <c r="N433" s="48">
        <f>'Fiscal Forecasts'!N$294</f>
        <v>1.278</v>
      </c>
      <c r="O433" s="48">
        <f>'Fiscal Forecasts'!O$294</f>
        <v>0.80500000000000005</v>
      </c>
      <c r="P433" s="48">
        <f>'Fiscal Forecasts'!P$294</f>
        <v>0.71799999999999997</v>
      </c>
      <c r="Q433" s="20">
        <f ca="1">IF(Q$6&lt;OFFSET(Assumptions!$B$8,0,$C$1)+3,OFFSET(Assumptions!$B$45,0,$C$1)/3,OFFSET(Assumptions!$B$9,0,$C$1))</f>
        <v>0.23199999999999998</v>
      </c>
      <c r="R433" s="20">
        <f ca="1">IF(R$6&lt;OFFSET(Assumptions!$B$8,0,$C$1)+3,OFFSET(Assumptions!$B$45,0,$C$1)/3,OFFSET(Assumptions!$B$9,0,$C$1))</f>
        <v>0.23199999999999998</v>
      </c>
      <c r="S433" s="20">
        <f ca="1">IF(S$6&lt;OFFSET(Assumptions!$B$8,0,$C$1)+3,OFFSET(Assumptions!$B$45,0,$C$1)/3,OFFSET(Assumptions!$B$9,0,$C$1))</f>
        <v>0.23199999999999998</v>
      </c>
      <c r="T433" s="20">
        <f ca="1">IF(T$6&lt;OFFSET(Assumptions!$B$8,0,$C$1)+3,OFFSET(Assumptions!$B$45,0,$C$1)/3,OFFSET(Assumptions!$B$9,0,$C$1))</f>
        <v>0</v>
      </c>
      <c r="U433" s="20">
        <f ca="1">IF(U$6&lt;OFFSET(Assumptions!$B$8,0,$C$1)+3,OFFSET(Assumptions!$B$45,0,$C$1)/3,OFFSET(Assumptions!$B$9,0,$C$1))</f>
        <v>0</v>
      </c>
      <c r="V433" s="20">
        <f ca="1">IF(V$6&lt;OFFSET(Assumptions!$B$8,0,$C$1)+3,OFFSET(Assumptions!$B$45,0,$C$1)/3,OFFSET(Assumptions!$B$9,0,$C$1))</f>
        <v>0</v>
      </c>
      <c r="W433" s="20">
        <f ca="1">IF(W$6&lt;OFFSET(Assumptions!$B$8,0,$C$1)+3,OFFSET(Assumptions!$B$45,0,$C$1)/3,OFFSET(Assumptions!$B$9,0,$C$1))</f>
        <v>0</v>
      </c>
      <c r="X433" s="20">
        <f ca="1">IF(X$6&lt;OFFSET(Assumptions!$B$8,0,$C$1)+3,OFFSET(Assumptions!$B$45,0,$C$1)/3,OFFSET(Assumptions!$B$9,0,$C$1))</f>
        <v>0</v>
      </c>
      <c r="Y433" s="20">
        <f ca="1">IF(Y$6&lt;OFFSET(Assumptions!$B$8,0,$C$1)+3,OFFSET(Assumptions!$B$45,0,$C$1)/3,OFFSET(Assumptions!$B$9,0,$C$1))</f>
        <v>0</v>
      </c>
      <c r="Z433" s="20">
        <f ca="1">IF(Z$6&lt;OFFSET(Assumptions!$B$8,0,$C$1)+3,OFFSET(Assumptions!$B$45,0,$C$1)/3,OFFSET(Assumptions!$B$9,0,$C$1))</f>
        <v>0</v>
      </c>
    </row>
    <row r="434" spans="1:26" x14ac:dyDescent="0.25">
      <c r="A434" s="12" t="s">
        <v>1379</v>
      </c>
      <c r="B434" s="14" t="str">
        <f>$B$38</f>
        <v>From Fiscal Forecasts</v>
      </c>
      <c r="D434" s="50">
        <f>SUM('Fiscal Forecasts'!D$295:D$298)</f>
        <v>0</v>
      </c>
      <c r="E434" s="50">
        <f>SUM('Fiscal Forecasts'!E$295:E$298)</f>
        <v>0</v>
      </c>
      <c r="F434" s="50">
        <f>SUM('Fiscal Forecasts'!F$295:F$298)</f>
        <v>0</v>
      </c>
      <c r="G434" s="50">
        <f>SUM('Fiscal Forecasts'!G$295:G$298)</f>
        <v>0</v>
      </c>
      <c r="H434" s="50">
        <f>SUM('Fiscal Forecasts'!H$295:H$298)</f>
        <v>0</v>
      </c>
      <c r="I434" s="50">
        <f>SUM('Fiscal Forecasts'!I$295:I$298)</f>
        <v>0</v>
      </c>
      <c r="J434" s="50">
        <f>SUM('Fiscal Forecasts'!J$295:J$298)</f>
        <v>0</v>
      </c>
      <c r="K434" s="50">
        <f>SUM('Fiscal Forecasts'!K$295:K$298)</f>
        <v>0</v>
      </c>
      <c r="L434" s="48">
        <f>SUM('Fiscal Forecasts'!L$295:L$298)</f>
        <v>0.1</v>
      </c>
      <c r="M434" s="48">
        <f>SUM('Fiscal Forecasts'!M$295:M$298)</f>
        <v>1.2250000000000001</v>
      </c>
      <c r="N434" s="48">
        <f>SUM('Fiscal Forecasts'!N$295:N$298)</f>
        <v>2.4500000000000002</v>
      </c>
      <c r="O434" s="48">
        <f>SUM('Fiscal Forecasts'!O$295:O$298)</f>
        <v>3.6749999999999998</v>
      </c>
      <c r="P434" s="48">
        <f>SUM('Fiscal Forecasts'!P$295:P$298)</f>
        <v>4.55</v>
      </c>
      <c r="Q434" s="20">
        <f ca="1">IF(Q$6=OFFSET(Assumptions!$B$8,0,$C$1),0.35*Q$436+Exogenous!$AB$41,IF(Q$6=OFFSET(Assumptions!$B$8,0,$C$1)+1,0.35*Q$436+0.35*P$436+Exogenous!$AC$41,IF(Q$6=OFFSET(Assumptions!$B$8,0,$C$1)+2,0.35*Q$436+0.35*P$436+0.2*O$436+Exogenous!$AD$41,0.35*Q$436+0.35*P$436+0.2*O$436+0.1*N$436)))</f>
        <v>4.8499999999999996</v>
      </c>
      <c r="R434" s="20">
        <f ca="1">IF(R$6=OFFSET(Assumptions!$B$8,0,$C$1),0.35*R$436+Exogenous!$AB$41,IF(R$6=OFFSET(Assumptions!$B$8,0,$C$1)+1,0.35*R$436+0.35*Q$436+Exogenous!$AC$41,IF(R$6=OFFSET(Assumptions!$B$8,0,$C$1)+2,0.35*R$436+0.35*Q$436+0.2*P$436+Exogenous!$AD$41,0.35*R$436+0.35*Q$436+0.2*P$436+0.1*O$436)))</f>
        <v>5.0875000000000004</v>
      </c>
      <c r="S434" s="20">
        <f ca="1">IF(S$6=OFFSET(Assumptions!$B$8,0,$C$1),0.35*S$436+Exogenous!$AB$41,IF(S$6=OFFSET(Assumptions!$B$8,0,$C$1)+1,0.35*S$436+0.35*R$436+Exogenous!$AC$41,IF(S$6=OFFSET(Assumptions!$B$8,0,$C$1)+2,0.35*S$436+0.35*R$436+0.2*Q$436+Exogenous!$AD$41,0.35*S$436+0.35*R$436+0.2*Q$436+0.1*P$436)))</f>
        <v>5.2668749999999998</v>
      </c>
      <c r="T434" s="20">
        <f ca="1">IF(T$6=OFFSET(Assumptions!$B$8,0,$C$1),0.35*T$436+Exogenous!$AB$41,IF(T$6=OFFSET(Assumptions!$B$8,0,$C$1)+1,0.35*T$436+0.35*S$436+Exogenous!$AC$41,IF(T$6=OFFSET(Assumptions!$B$8,0,$C$1)+2,0.35*T$436+0.35*S$436+0.2*R$436+Exogenous!$AD$41,0.35*T$436+0.35*S$436+0.2*R$436+0.1*Q$436)))</f>
        <v>5.50521875</v>
      </c>
      <c r="U434" s="20">
        <f ca="1">IF(U$6=OFFSET(Assumptions!$B$8,0,$C$1),0.35*U$436+Exogenous!$AB$41,IF(U$6=OFFSET(Assumptions!$B$8,0,$C$1)+1,0.35*U$436+0.35*T$436+Exogenous!$AC$41,IF(U$6=OFFSET(Assumptions!$B$8,0,$C$1)+2,0.35*U$436+0.35*T$436+0.2*S$436+Exogenous!$AD$41,0.35*U$436+0.35*T$436+0.2*S$436+0.1*R$436)))</f>
        <v>5.7804796875000006</v>
      </c>
      <c r="V434" s="20">
        <f ca="1">IF(V$6=OFFSET(Assumptions!$B$8,0,$C$1),0.35*V$436+Exogenous!$AB$41,IF(V$6=OFFSET(Assumptions!$B$8,0,$C$1)+1,0.35*V$436+0.35*U$436+Exogenous!$AC$41,IF(V$6=OFFSET(Assumptions!$B$8,0,$C$1)+2,0.35*V$436+0.35*U$436+0.2*T$436+Exogenous!$AD$41,0.35*V$436+0.35*U$436+0.2*T$436+0.1*S$436)))</f>
        <v>6.0695036718750011</v>
      </c>
      <c r="W434" s="20">
        <f ca="1">IF(W$6=OFFSET(Assumptions!$B$8,0,$C$1),0.35*W$436+Exogenous!$AB$41,IF(W$6=OFFSET(Assumptions!$B$8,0,$C$1)+1,0.35*W$436+0.35*V$436+Exogenous!$AC$41,IF(W$6=OFFSET(Assumptions!$B$8,0,$C$1)+2,0.35*W$436+0.35*V$436+0.2*U$436+Exogenous!$AD$41,0.35*W$436+0.35*V$436+0.2*U$436+0.1*T$436)))</f>
        <v>6.3729788554687499</v>
      </c>
      <c r="X434" s="20">
        <f ca="1">IF(X$6=OFFSET(Assumptions!$B$8,0,$C$1),0.35*X$436+Exogenous!$AB$41,IF(X$6=OFFSET(Assumptions!$B$8,0,$C$1)+1,0.35*X$436+0.35*W$436+Exogenous!$AC$41,IF(X$6=OFFSET(Assumptions!$B$8,0,$C$1)+2,0.35*X$436+0.35*W$436+0.2*V$436+Exogenous!$AD$41,0.35*X$436+0.35*W$436+0.2*V$436+0.1*U$436)))</f>
        <v>6.6916277982421892</v>
      </c>
      <c r="Y434" s="20">
        <f ca="1">IF(Y$6=OFFSET(Assumptions!$B$8,0,$C$1),0.35*Y$436+Exogenous!$AB$41,IF(Y$6=OFFSET(Assumptions!$B$8,0,$C$1)+1,0.35*Y$436+0.35*X$436+Exogenous!$AC$41,IF(Y$6=OFFSET(Assumptions!$B$8,0,$C$1)+2,0.35*Y$436+0.35*X$436+0.2*W$436+Exogenous!$AD$41,0.35*Y$436+0.35*X$436+0.2*W$436+0.1*V$436)))</f>
        <v>7.026209188154299</v>
      </c>
      <c r="Z434" s="20">
        <f ca="1">IF(Z$6=OFFSET(Assumptions!$B$8,0,$C$1),0.35*Z$436+Exogenous!$AB$41,IF(Z$6=OFFSET(Assumptions!$B$8,0,$C$1)+1,0.35*Z$436+0.35*Y$436+Exogenous!$AC$41,IF(Z$6=OFFSET(Assumptions!$B$8,0,$C$1)+2,0.35*Z$436+0.35*Y$436+0.2*X$436+Exogenous!$AD$41,0.35*Z$436+0.35*Y$436+0.2*X$436+0.1*W$436)))</f>
        <v>7.3775196475620142</v>
      </c>
    </row>
    <row r="435" spans="1:26" x14ac:dyDescent="0.25">
      <c r="A435" s="11" t="s">
        <v>1380</v>
      </c>
      <c r="B435" s="14" t="str">
        <f>$B$38</f>
        <v>From Fiscal Forecasts</v>
      </c>
      <c r="D435" s="51">
        <f>'Fiscal Forecasts'!D$132</f>
        <v>0</v>
      </c>
      <c r="E435" s="51">
        <f>'Fiscal Forecasts'!E$132</f>
        <v>0</v>
      </c>
      <c r="F435" s="51">
        <f>'Fiscal Forecasts'!F$132</f>
        <v>0</v>
      </c>
      <c r="G435" s="51">
        <f>'Fiscal Forecasts'!G$132</f>
        <v>0</v>
      </c>
      <c r="H435" s="51">
        <f>'Fiscal Forecasts'!H$132</f>
        <v>0</v>
      </c>
      <c r="I435" s="51">
        <f>'Fiscal Forecasts'!I$132</f>
        <v>0</v>
      </c>
      <c r="J435" s="51">
        <f>'Fiscal Forecasts'!J$132</f>
        <v>0</v>
      </c>
      <c r="K435" s="51">
        <f>'Fiscal Forecasts'!K$132</f>
        <v>0</v>
      </c>
      <c r="L435" s="47">
        <f>'Fiscal Forecasts'!L$132</f>
        <v>-2</v>
      </c>
      <c r="M435" s="47">
        <f>'Fiscal Forecasts'!M$132</f>
        <v>-2.7</v>
      </c>
      <c r="N435" s="47">
        <f>'Fiscal Forecasts'!N$132</f>
        <v>-2.8</v>
      </c>
      <c r="O435" s="47">
        <f>'Fiscal Forecasts'!O$132</f>
        <v>-2.9</v>
      </c>
      <c r="P435" s="47">
        <f>'Fiscal Forecasts'!P$132</f>
        <v>-3</v>
      </c>
      <c r="Q435" s="21">
        <f t="shared" ref="Q435:Z435" si="244">P$435</f>
        <v>-3</v>
      </c>
      <c r="R435" s="21">
        <f t="shared" si="244"/>
        <v>-3</v>
      </c>
      <c r="S435" s="21">
        <f t="shared" si="244"/>
        <v>-3</v>
      </c>
      <c r="T435" s="21">
        <f t="shared" si="244"/>
        <v>-3</v>
      </c>
      <c r="U435" s="21">
        <f t="shared" si="244"/>
        <v>-3</v>
      </c>
      <c r="V435" s="21">
        <f t="shared" si="244"/>
        <v>-3</v>
      </c>
      <c r="W435" s="21">
        <f t="shared" si="244"/>
        <v>-3</v>
      </c>
      <c r="X435" s="21">
        <f t="shared" si="244"/>
        <v>-3</v>
      </c>
      <c r="Y435" s="21">
        <f t="shared" si="244"/>
        <v>-3</v>
      </c>
      <c r="Z435" s="21">
        <f t="shared" si="244"/>
        <v>-3</v>
      </c>
    </row>
    <row r="436" spans="1:26" x14ac:dyDescent="0.25">
      <c r="A436" s="11" t="s">
        <v>1381</v>
      </c>
      <c r="Q436" s="20">
        <f ca="1">IF(Q$6=OFFSET(Assumptions!$B$8,0,$C$1),OFFSET(Assumptions!$B$43,0,$C$1),P$436*(1+OFFSET(Assumptions!$B$44,0,$C$1)))</f>
        <v>5</v>
      </c>
      <c r="R436" s="20">
        <f ca="1">IF(R$6=OFFSET(Assumptions!$B$8,0,$C$1),OFFSET(Assumptions!$B$43,0,$C$1),Q$436*(1+OFFSET(Assumptions!$B$44,0,$C$1)))</f>
        <v>5.25</v>
      </c>
      <c r="S436" s="20">
        <f ca="1">IF(S$6=OFFSET(Assumptions!$B$8,0,$C$1),OFFSET(Assumptions!$B$43,0,$C$1),R$436*(1+OFFSET(Assumptions!$B$44,0,$C$1)))</f>
        <v>5.5125000000000002</v>
      </c>
      <c r="T436" s="20">
        <f ca="1">IF(T$6=OFFSET(Assumptions!$B$8,0,$C$1),OFFSET(Assumptions!$B$43,0,$C$1),S$436*(1+OFFSET(Assumptions!$B$44,0,$C$1)))</f>
        <v>5.7881250000000009</v>
      </c>
      <c r="U436" s="20">
        <f ca="1">IF(U$6=OFFSET(Assumptions!$B$8,0,$C$1),OFFSET(Assumptions!$B$43,0,$C$1),T$436*(1+OFFSET(Assumptions!$B$44,0,$C$1)))</f>
        <v>6.0775312500000007</v>
      </c>
      <c r="V436" s="20">
        <f ca="1">IF(V$6=OFFSET(Assumptions!$B$8,0,$C$1),OFFSET(Assumptions!$B$43,0,$C$1),U$436*(1+OFFSET(Assumptions!$B$44,0,$C$1)))</f>
        <v>6.3814078125000009</v>
      </c>
      <c r="W436" s="20">
        <f ca="1">IF(W$6=OFFSET(Assumptions!$B$8,0,$C$1),OFFSET(Assumptions!$B$43,0,$C$1),V$436*(1+OFFSET(Assumptions!$B$44,0,$C$1)))</f>
        <v>6.7004782031250016</v>
      </c>
      <c r="X436" s="20">
        <f ca="1">IF(X$6=OFFSET(Assumptions!$B$8,0,$C$1),OFFSET(Assumptions!$B$43,0,$C$1),W$436*(1+OFFSET(Assumptions!$B$44,0,$C$1)))</f>
        <v>7.0355021132812521</v>
      </c>
      <c r="Y436" s="20">
        <f ca="1">IF(Y$6=OFFSET(Assumptions!$B$8,0,$C$1),OFFSET(Assumptions!$B$43,0,$C$1),X$436*(1+OFFSET(Assumptions!$B$44,0,$C$1)))</f>
        <v>7.3872772189453153</v>
      </c>
      <c r="Z436" s="20">
        <f ca="1">IF(Z$6=OFFSET(Assumptions!$B$8,0,$C$1),OFFSET(Assumptions!$B$43,0,$C$1),Y$436*(1+OFFSET(Assumptions!$B$44,0,$C$1)))</f>
        <v>7.7566410798925816</v>
      </c>
    </row>
    <row r="437" spans="1:26" x14ac:dyDescent="0.25">
      <c r="A437" s="11"/>
    </row>
    <row r="438" spans="1:26" x14ac:dyDescent="0.25">
      <c r="A438" s="11" t="s">
        <v>955</v>
      </c>
    </row>
    <row r="439" spans="1:26" x14ac:dyDescent="0.25">
      <c r="A439" s="11" t="s">
        <v>1382</v>
      </c>
      <c r="B439" s="14" t="str">
        <f>$B$38</f>
        <v>From Fiscal Forecasts</v>
      </c>
      <c r="D439" s="51">
        <f>'Fiscal Forecasts'!D$134</f>
        <v>6.8129999999999997</v>
      </c>
      <c r="E439" s="51">
        <f>'Fiscal Forecasts'!E$134</f>
        <v>8.0220000000000002</v>
      </c>
      <c r="F439" s="51">
        <f>'Fiscal Forecasts'!F$134</f>
        <v>8.2560000000000002</v>
      </c>
      <c r="G439" s="51">
        <f>'Fiscal Forecasts'!G$134</f>
        <v>9.0609999999999999</v>
      </c>
      <c r="H439" s="51">
        <f>'Fiscal Forecasts'!H$134</f>
        <v>9.0020000000000007</v>
      </c>
      <c r="I439" s="51">
        <f>'Fiscal Forecasts'!I$134</f>
        <v>8.9770000000000003</v>
      </c>
      <c r="J439" s="51">
        <f>'Fiscal Forecasts'!J$134</f>
        <v>9.1519999999999992</v>
      </c>
      <c r="K439" s="51">
        <f>'Fiscal Forecasts'!K$134</f>
        <v>10.262</v>
      </c>
      <c r="L439" s="47">
        <f>'Fiscal Forecasts'!L$134</f>
        <v>9.8059999999999992</v>
      </c>
      <c r="M439" s="47">
        <f>'Fiscal Forecasts'!M$134</f>
        <v>9.9039999999999999</v>
      </c>
      <c r="N439" s="47">
        <f>'Fiscal Forecasts'!N$134</f>
        <v>10.003</v>
      </c>
      <c r="O439" s="47">
        <f>'Fiscal Forecasts'!O$134</f>
        <v>10.103</v>
      </c>
      <c r="P439" s="47">
        <f>'Fiscal Forecasts'!P$134</f>
        <v>10.204000000000001</v>
      </c>
      <c r="Q439" s="21">
        <f t="shared" ref="Q439:Z439" ca="1" si="245">P$439*(1+Q$29)</f>
        <v>10.40808</v>
      </c>
      <c r="R439" s="21">
        <f t="shared" ca="1" si="245"/>
        <v>10.6162416</v>
      </c>
      <c r="S439" s="21">
        <f t="shared" ca="1" si="245"/>
        <v>10.828566432000001</v>
      </c>
      <c r="T439" s="21">
        <f t="shared" ca="1" si="245"/>
        <v>11.045137760640001</v>
      </c>
      <c r="U439" s="21">
        <f t="shared" ca="1" si="245"/>
        <v>11.266040515852801</v>
      </c>
      <c r="V439" s="21">
        <f t="shared" ca="1" si="245"/>
        <v>11.491361326169857</v>
      </c>
      <c r="W439" s="21">
        <f t="shared" ca="1" si="245"/>
        <v>11.721188552693254</v>
      </c>
      <c r="X439" s="21">
        <f t="shared" ca="1" si="245"/>
        <v>11.95561232374712</v>
      </c>
      <c r="Y439" s="21">
        <f t="shared" ca="1" si="245"/>
        <v>12.194724570222062</v>
      </c>
      <c r="Z439" s="21">
        <f t="shared" ca="1" si="245"/>
        <v>12.438619061626504</v>
      </c>
    </row>
    <row r="441" spans="1:26" x14ac:dyDescent="0.25">
      <c r="A441" s="11" t="s">
        <v>956</v>
      </c>
    </row>
    <row r="442" spans="1:26" x14ac:dyDescent="0.25">
      <c r="A442" s="12" t="s">
        <v>1383</v>
      </c>
      <c r="D442" s="50">
        <f t="shared" ref="D442:Z442" si="246">D$385-D$73</f>
        <v>1.0880000000000001</v>
      </c>
      <c r="E442" s="50">
        <f t="shared" si="246"/>
        <v>1.5510000000000002</v>
      </c>
      <c r="F442" s="50">
        <f t="shared" si="246"/>
        <v>2.7319999999999998</v>
      </c>
      <c r="G442" s="50">
        <f t="shared" si="246"/>
        <v>-0.8879999999999999</v>
      </c>
      <c r="H442" s="50">
        <f t="shared" si="246"/>
        <v>0.40799999999999992</v>
      </c>
      <c r="I442" s="50">
        <f t="shared" si="246"/>
        <v>1.4810000000000003</v>
      </c>
      <c r="J442" s="50">
        <f t="shared" si="246"/>
        <v>1.7999999999999998</v>
      </c>
      <c r="K442" s="50">
        <f t="shared" si="246"/>
        <v>0.34199999999999964</v>
      </c>
      <c r="L442" s="48">
        <f t="shared" si="246"/>
        <v>1.3720000000000008</v>
      </c>
      <c r="M442" s="48">
        <f t="shared" si="246"/>
        <v>1.4710000000000001</v>
      </c>
      <c r="N442" s="48">
        <f t="shared" si="246"/>
        <v>1.5510000000000002</v>
      </c>
      <c r="O442" s="48">
        <f t="shared" si="246"/>
        <v>1.6400000000000006</v>
      </c>
      <c r="P442" s="48">
        <f t="shared" si="246"/>
        <v>1.7640000000000002</v>
      </c>
      <c r="Q442" s="20">
        <f t="shared" ca="1" si="246"/>
        <v>2.561378373870947</v>
      </c>
      <c r="R442" s="20">
        <f t="shared" ca="1" si="246"/>
        <v>2.7169890369741125</v>
      </c>
      <c r="S442" s="20">
        <f t="shared" ca="1" si="246"/>
        <v>2.8789344698506412</v>
      </c>
      <c r="T442" s="20">
        <f t="shared" ca="1" si="246"/>
        <v>3.047772495087024</v>
      </c>
      <c r="U442" s="20">
        <f t="shared" ca="1" si="246"/>
        <v>3.2228500683436421</v>
      </c>
      <c r="V442" s="20">
        <f t="shared" ca="1" si="246"/>
        <v>3.4052771020239518</v>
      </c>
      <c r="W442" s="20">
        <f t="shared" ca="1" si="246"/>
        <v>3.5968370077282028</v>
      </c>
      <c r="X442" s="20">
        <f t="shared" ca="1" si="246"/>
        <v>3.7994247714640972</v>
      </c>
      <c r="Y442" s="20">
        <f t="shared" ca="1" si="246"/>
        <v>4.0155806890201031</v>
      </c>
      <c r="Z442" s="20">
        <f t="shared" ca="1" si="246"/>
        <v>4.2476001118177376</v>
      </c>
    </row>
    <row r="443" spans="1:26" x14ac:dyDescent="0.25">
      <c r="A443" s="12" t="s">
        <v>1099</v>
      </c>
      <c r="B443" s="14" t="str">
        <f>$B$38</f>
        <v>From Fiscal Forecasts</v>
      </c>
      <c r="D443" s="50">
        <f>'Fiscal Forecasts'!D$371</f>
        <v>6.2930000000000001</v>
      </c>
      <c r="E443" s="50">
        <f>'Fiscal Forecasts'!E$371</f>
        <v>5.0430000000000001</v>
      </c>
      <c r="F443" s="50">
        <f>'Fiscal Forecasts'!F$371</f>
        <v>5.3979999999999997</v>
      </c>
      <c r="G443" s="50">
        <f>'Fiscal Forecasts'!G$371</f>
        <v>5.4870000000000001</v>
      </c>
      <c r="H443" s="50">
        <f>'Fiscal Forecasts'!H$371</f>
        <v>6.2060000000000004</v>
      </c>
      <c r="I443" s="50">
        <f>'Fiscal Forecasts'!I$371</f>
        <v>6.65</v>
      </c>
      <c r="J443" s="50">
        <f>'Fiscal Forecasts'!J$371</f>
        <v>7.024</v>
      </c>
      <c r="K443" s="50">
        <f>'Fiscal Forecasts'!K$371</f>
        <v>6.77</v>
      </c>
      <c r="L443" s="48">
        <f>'Fiscal Forecasts'!L$371</f>
        <v>7.0110000000000001</v>
      </c>
      <c r="M443" s="48">
        <f>'Fiscal Forecasts'!M$371</f>
        <v>7.3529999999999998</v>
      </c>
      <c r="N443" s="48">
        <f>'Fiscal Forecasts'!N$371</f>
        <v>7.5469999999999997</v>
      </c>
      <c r="O443" s="48">
        <f>'Fiscal Forecasts'!O$371</f>
        <v>7.7809999999999997</v>
      </c>
      <c r="P443" s="48">
        <f>'Fiscal Forecasts'!P$371</f>
        <v>8.1940000000000008</v>
      </c>
      <c r="Q443" s="20">
        <f t="shared" ref="Q443:Z443" ca="1" si="247">P$443*Q$142/P$142</f>
        <v>8.5249935870338795</v>
      </c>
      <c r="R443" s="20">
        <f t="shared" ca="1" si="247"/>
        <v>8.8558520927589193</v>
      </c>
      <c r="S443" s="20">
        <f t="shared" ca="1" si="247"/>
        <v>9.2040511192047916</v>
      </c>
      <c r="T443" s="20">
        <f t="shared" ca="1" si="247"/>
        <v>9.5763841816986339</v>
      </c>
      <c r="U443" s="20">
        <f t="shared" ca="1" si="247"/>
        <v>9.9667037486647843</v>
      </c>
      <c r="V443" s="20">
        <f t="shared" ca="1" si="247"/>
        <v>10.370239836281709</v>
      </c>
      <c r="W443" s="20">
        <f t="shared" ca="1" si="247"/>
        <v>10.784852078911277</v>
      </c>
      <c r="X443" s="20">
        <f t="shared" ca="1" si="247"/>
        <v>11.211363474234982</v>
      </c>
      <c r="Y443" s="20">
        <f t="shared" ca="1" si="247"/>
        <v>11.652027975815157</v>
      </c>
      <c r="Z443" s="20">
        <f t="shared" ca="1" si="247"/>
        <v>12.10691700811064</v>
      </c>
    </row>
    <row r="444" spans="1:26" x14ac:dyDescent="0.25">
      <c r="A444" s="12" t="s">
        <v>1384</v>
      </c>
      <c r="B444" s="14" t="str">
        <f>$B$38</f>
        <v>From Fiscal Forecasts</v>
      </c>
      <c r="D444" s="50">
        <f>'Fiscal Forecasts'!D$192-SUM(D$442:D$443)</f>
        <v>3.0849999999999991</v>
      </c>
      <c r="E444" s="50">
        <f>'Fiscal Forecasts'!E$192-SUM(E$442:E$443)</f>
        <v>4.2559999999999993</v>
      </c>
      <c r="F444" s="50">
        <f>'Fiscal Forecasts'!F$192-SUM(F$442:F$443)</f>
        <v>3.9080000000000013</v>
      </c>
      <c r="G444" s="50">
        <f>'Fiscal Forecasts'!G$192-SUM(G$442:G$443)</f>
        <v>11.707999999999998</v>
      </c>
      <c r="H444" s="50">
        <f>'Fiscal Forecasts'!H$192-SUM(H$442:H$443)</f>
        <v>5.7219999999999995</v>
      </c>
      <c r="I444" s="50">
        <f>'Fiscal Forecasts'!I$192-SUM(I$442:I$443)</f>
        <v>4.6649999999999991</v>
      </c>
      <c r="J444" s="50">
        <f>'Fiscal Forecasts'!J$192-SUM(J$442:J$443)</f>
        <v>3.1690000000000005</v>
      </c>
      <c r="K444" s="50">
        <f>'Fiscal Forecasts'!K$192-SUM(K$442:K$443)</f>
        <v>4.926000000000001</v>
      </c>
      <c r="L444" s="48">
        <f>'Fiscal Forecasts'!L$192-SUM(L$442:L$443)</f>
        <v>3.3359999999999985</v>
      </c>
      <c r="M444" s="48">
        <f>'Fiscal Forecasts'!M$192-SUM(M$442:M$443)</f>
        <v>4.6810000000000009</v>
      </c>
      <c r="N444" s="48">
        <f>'Fiscal Forecasts'!N$192-SUM(N$442:N$443)</f>
        <v>4.1620000000000008</v>
      </c>
      <c r="O444" s="48">
        <f>'Fiscal Forecasts'!O$192-SUM(O$442:O$443)</f>
        <v>4.0230000000000015</v>
      </c>
      <c r="P444" s="48">
        <f>'Fiscal Forecasts'!P$192-SUM(P$442:P$443)</f>
        <v>3.8559999999999981</v>
      </c>
      <c r="Q444" s="20">
        <f t="shared" ref="Q444:Z444" ca="1" si="248">P$444*(1+Q$29)</f>
        <v>3.933119999999998</v>
      </c>
      <c r="R444" s="20">
        <f t="shared" ca="1" si="248"/>
        <v>4.0117823999999978</v>
      </c>
      <c r="S444" s="20">
        <f t="shared" ca="1" si="248"/>
        <v>4.0920180479999981</v>
      </c>
      <c r="T444" s="20">
        <f t="shared" ca="1" si="248"/>
        <v>4.1738584089599984</v>
      </c>
      <c r="U444" s="20">
        <f t="shared" ca="1" si="248"/>
        <v>4.2573355771391981</v>
      </c>
      <c r="V444" s="20">
        <f t="shared" ca="1" si="248"/>
        <v>4.3424822886819818</v>
      </c>
      <c r="W444" s="20">
        <f t="shared" ca="1" si="248"/>
        <v>4.4293319344556217</v>
      </c>
      <c r="X444" s="20">
        <f t="shared" ca="1" si="248"/>
        <v>4.5179185731447342</v>
      </c>
      <c r="Y444" s="20">
        <f t="shared" ca="1" si="248"/>
        <v>4.6082769446076286</v>
      </c>
      <c r="Z444" s="20">
        <f t="shared" ca="1" si="248"/>
        <v>4.7004424834997813</v>
      </c>
    </row>
    <row r="445" spans="1:26" x14ac:dyDescent="0.25">
      <c r="A445" s="11" t="s">
        <v>1385</v>
      </c>
      <c r="D445" s="94">
        <f t="shared" ref="D445:P445" si="249">SUM(D$442:D$444)</f>
        <v>10.465999999999999</v>
      </c>
      <c r="E445" s="94">
        <f t="shared" si="249"/>
        <v>10.85</v>
      </c>
      <c r="F445" s="94">
        <f t="shared" si="249"/>
        <v>12.038</v>
      </c>
      <c r="G445" s="94">
        <f t="shared" si="249"/>
        <v>16.306999999999999</v>
      </c>
      <c r="H445" s="94">
        <f t="shared" si="249"/>
        <v>12.336</v>
      </c>
      <c r="I445" s="94">
        <f t="shared" si="249"/>
        <v>12.795999999999999</v>
      </c>
      <c r="J445" s="94">
        <f t="shared" si="249"/>
        <v>11.993</v>
      </c>
      <c r="K445" s="94">
        <f t="shared" si="249"/>
        <v>12.038</v>
      </c>
      <c r="L445" s="95">
        <f t="shared" si="249"/>
        <v>11.718999999999999</v>
      </c>
      <c r="M445" s="95">
        <f t="shared" si="249"/>
        <v>13.505000000000001</v>
      </c>
      <c r="N445" s="95">
        <f t="shared" si="249"/>
        <v>13.26</v>
      </c>
      <c r="O445" s="95">
        <f t="shared" si="249"/>
        <v>13.444000000000001</v>
      </c>
      <c r="P445" s="95">
        <f t="shared" si="249"/>
        <v>13.814</v>
      </c>
      <c r="Q445" s="96">
        <f t="shared" ref="Q445:Z445" ca="1" si="250">SUM(Q$442:Q$444)</f>
        <v>15.019491960904826</v>
      </c>
      <c r="R445" s="96">
        <f t="shared" ca="1" si="250"/>
        <v>15.58462352973303</v>
      </c>
      <c r="S445" s="96">
        <f t="shared" ca="1" si="250"/>
        <v>16.175003637055433</v>
      </c>
      <c r="T445" s="96">
        <f t="shared" ca="1" si="250"/>
        <v>16.798015085745657</v>
      </c>
      <c r="U445" s="96">
        <f t="shared" ca="1" si="250"/>
        <v>17.446889394147625</v>
      </c>
      <c r="V445" s="96">
        <f t="shared" ca="1" si="250"/>
        <v>18.117999226987642</v>
      </c>
      <c r="W445" s="96">
        <f t="shared" ca="1" si="250"/>
        <v>18.811021021095101</v>
      </c>
      <c r="X445" s="96">
        <f t="shared" ca="1" si="250"/>
        <v>19.528706818843812</v>
      </c>
      <c r="Y445" s="96">
        <f t="shared" ca="1" si="250"/>
        <v>20.275885609442888</v>
      </c>
      <c r="Z445" s="96">
        <f t="shared" ca="1" si="250"/>
        <v>21.054959603428159</v>
      </c>
    </row>
    <row r="446" spans="1:26" x14ac:dyDescent="0.25">
      <c r="A446" s="11" t="s">
        <v>1386</v>
      </c>
      <c r="B446" s="14" t="str">
        <f>$B$38</f>
        <v>From Fiscal Forecasts</v>
      </c>
      <c r="D446" s="51">
        <f>'Fiscal Forecasts'!D$135</f>
        <v>16.742000000000001</v>
      </c>
      <c r="E446" s="51">
        <f>'Fiscal Forecasts'!E$135</f>
        <v>16.971</v>
      </c>
      <c r="F446" s="51">
        <f>'Fiscal Forecasts'!F$135</f>
        <v>17.577000000000002</v>
      </c>
      <c r="G446" s="51">
        <f>'Fiscal Forecasts'!G$135</f>
        <v>21.42</v>
      </c>
      <c r="H446" s="51">
        <f>'Fiscal Forecasts'!H$135</f>
        <v>18.725999999999999</v>
      </c>
      <c r="I446" s="51">
        <f>'Fiscal Forecasts'!I$135</f>
        <v>19.863</v>
      </c>
      <c r="J446" s="51">
        <f>'Fiscal Forecasts'!J$135</f>
        <v>21.957000000000001</v>
      </c>
      <c r="K446" s="51">
        <f>'Fiscal Forecasts'!K$135</f>
        <v>20.308</v>
      </c>
      <c r="L446" s="47">
        <f>'Fiscal Forecasts'!L$135</f>
        <v>20.341000000000001</v>
      </c>
      <c r="M446" s="47">
        <f>'Fiscal Forecasts'!M$135</f>
        <v>22.204999999999998</v>
      </c>
      <c r="N446" s="47">
        <f>'Fiscal Forecasts'!N$135</f>
        <v>21.843</v>
      </c>
      <c r="O446" s="47">
        <f>'Fiscal Forecasts'!O$135</f>
        <v>22.009</v>
      </c>
      <c r="P446" s="47">
        <f>'Fiscal Forecasts'!P$135</f>
        <v>22.122</v>
      </c>
      <c r="Q446" s="21">
        <f t="shared" ref="Q446:Z446" ca="1" si="251">Q$445+(P$446-P$445)*(1+Q$29)</f>
        <v>23.493651960904828</v>
      </c>
      <c r="R446" s="21">
        <f t="shared" ca="1" si="251"/>
        <v>24.228266729733029</v>
      </c>
      <c r="S446" s="21">
        <f t="shared" ca="1" si="251"/>
        <v>24.991519701055431</v>
      </c>
      <c r="T446" s="21">
        <f t="shared" ca="1" si="251"/>
        <v>25.790861471025657</v>
      </c>
      <c r="U446" s="21">
        <f t="shared" ca="1" si="251"/>
        <v>26.619592707133226</v>
      </c>
      <c r="V446" s="21">
        <f t="shared" ca="1" si="251"/>
        <v>27.474156606232953</v>
      </c>
      <c r="W446" s="21">
        <f t="shared" ca="1" si="251"/>
        <v>28.354301547925317</v>
      </c>
      <c r="X446" s="21">
        <f t="shared" ca="1" si="251"/>
        <v>29.262852956210633</v>
      </c>
      <c r="Y446" s="21">
        <f t="shared" ca="1" si="251"/>
        <v>30.204714669557045</v>
      </c>
      <c r="Z446" s="21">
        <f t="shared" ca="1" si="251"/>
        <v>31.182365244744602</v>
      </c>
    </row>
    <row r="448" spans="1:26" x14ac:dyDescent="0.25">
      <c r="A448" s="11" t="s">
        <v>957</v>
      </c>
    </row>
    <row r="449" spans="1:26" x14ac:dyDescent="0.25">
      <c r="A449" s="11" t="s">
        <v>1387</v>
      </c>
      <c r="B449" s="14" t="str">
        <f>$B$38</f>
        <v>From Fiscal Forecasts</v>
      </c>
      <c r="D449" s="51">
        <f>'Fiscal Forecasts'!D$193</f>
        <v>0.44900000000000001</v>
      </c>
      <c r="E449" s="51">
        <f>'Fiscal Forecasts'!E$193</f>
        <v>0.39800000000000002</v>
      </c>
      <c r="F449" s="51">
        <f>'Fiscal Forecasts'!F$193</f>
        <v>0.505</v>
      </c>
      <c r="G449" s="51">
        <f>'Fiscal Forecasts'!G$193</f>
        <v>0.56999999999999995</v>
      </c>
      <c r="H449" s="51">
        <f>'Fiscal Forecasts'!H$193</f>
        <v>0.504</v>
      </c>
      <c r="I449" s="51">
        <f>'Fiscal Forecasts'!I$193</f>
        <v>0.498</v>
      </c>
      <c r="J449" s="51">
        <f>'Fiscal Forecasts'!J$193</f>
        <v>0.47599999999999998</v>
      </c>
      <c r="K449" s="51">
        <f>'Fiscal Forecasts'!K$193</f>
        <v>0.441</v>
      </c>
      <c r="L449" s="47">
        <f>'Fiscal Forecasts'!L$193</f>
        <v>0.4</v>
      </c>
      <c r="M449" s="47">
        <f>'Fiscal Forecasts'!M$193</f>
        <v>0.35899999999999999</v>
      </c>
      <c r="N449" s="47">
        <f>'Fiscal Forecasts'!N$193</f>
        <v>0.318</v>
      </c>
      <c r="O449" s="47">
        <f>'Fiscal Forecasts'!O$193</f>
        <v>0.27700000000000002</v>
      </c>
      <c r="P449" s="47">
        <f>'Fiscal Forecasts'!P$193</f>
        <v>0.23599999999999999</v>
      </c>
      <c r="Q449" s="21">
        <f t="shared" ref="Q449:Z449" ca="1" si="252">SUM(P$449,Q$409-P$409,Q$413-P$413)</f>
        <v>0.32396000000000025</v>
      </c>
      <c r="R449" s="21">
        <f t="shared" ca="1" si="252"/>
        <v>0.41367920000000025</v>
      </c>
      <c r="S449" s="21">
        <f t="shared" ca="1" si="252"/>
        <v>0.50519278400000056</v>
      </c>
      <c r="T449" s="21">
        <f t="shared" ca="1" si="252"/>
        <v>0.5985366396800007</v>
      </c>
      <c r="U449" s="21">
        <f t="shared" ca="1" si="252"/>
        <v>0.69374737247360074</v>
      </c>
      <c r="V449" s="21">
        <f t="shared" ca="1" si="252"/>
        <v>0.79086231992307288</v>
      </c>
      <c r="W449" s="21">
        <f t="shared" ca="1" si="252"/>
        <v>0.88991956632153468</v>
      </c>
      <c r="X449" s="21">
        <f t="shared" ca="1" si="252"/>
        <v>0.99095795764796546</v>
      </c>
      <c r="Y449" s="21">
        <f t="shared" ca="1" si="252"/>
        <v>1.0940171168009247</v>
      </c>
      <c r="Z449" s="21">
        <f t="shared" ca="1" si="252"/>
        <v>1.1991374591369433</v>
      </c>
    </row>
    <row r="450" spans="1:26" x14ac:dyDescent="0.25">
      <c r="A450" s="11" t="s">
        <v>1388</v>
      </c>
      <c r="B450" s="14" t="str">
        <f>$B$38</f>
        <v>From Fiscal Forecasts</v>
      </c>
      <c r="D450" s="51">
        <f>'Fiscal Forecasts'!D$136</f>
        <v>2.5230000000000001</v>
      </c>
      <c r="E450" s="51">
        <f>'Fiscal Forecasts'!E$136</f>
        <v>2.59</v>
      </c>
      <c r="F450" s="51">
        <f>'Fiscal Forecasts'!F$136</f>
        <v>2.5489999999999999</v>
      </c>
      <c r="G450" s="51">
        <f>'Fiscal Forecasts'!G$136</f>
        <v>3.3679999999999999</v>
      </c>
      <c r="H450" s="51">
        <f>'Fiscal Forecasts'!H$136</f>
        <v>3.61</v>
      </c>
      <c r="I450" s="51">
        <f>'Fiscal Forecasts'!I$136</f>
        <v>3.4529999999999998</v>
      </c>
      <c r="J450" s="51">
        <f>'Fiscal Forecasts'!J$136</f>
        <v>3.5270000000000001</v>
      </c>
      <c r="K450" s="51">
        <f>'Fiscal Forecasts'!K$136</f>
        <v>3.806</v>
      </c>
      <c r="L450" s="47">
        <f>'Fiscal Forecasts'!L$136</f>
        <v>3.7029999999999998</v>
      </c>
      <c r="M450" s="47">
        <f>'Fiscal Forecasts'!M$136</f>
        <v>3.6640000000000001</v>
      </c>
      <c r="N450" s="47">
        <f>'Fiscal Forecasts'!N$136</f>
        <v>3.6930000000000001</v>
      </c>
      <c r="O450" s="47">
        <f>'Fiscal Forecasts'!O$136</f>
        <v>3.7509999999999999</v>
      </c>
      <c r="P450" s="47">
        <f>'Fiscal Forecasts'!P$136</f>
        <v>3.847</v>
      </c>
      <c r="Q450" s="21">
        <f t="shared" ref="Q450:Z450" ca="1" si="253">SUM(P$450,Q$410-P$410,Q$414-P$414)</f>
        <v>4.0145999999999997</v>
      </c>
      <c r="R450" s="21">
        <f t="shared" ca="1" si="253"/>
        <v>4.1855520000000004</v>
      </c>
      <c r="S450" s="21">
        <f t="shared" ca="1" si="253"/>
        <v>4.3599230400000009</v>
      </c>
      <c r="T450" s="21">
        <f t="shared" ca="1" si="253"/>
        <v>4.5377815008000004</v>
      </c>
      <c r="U450" s="21">
        <f t="shared" ca="1" si="253"/>
        <v>4.7191971308160001</v>
      </c>
      <c r="V450" s="21">
        <f t="shared" ca="1" si="253"/>
        <v>4.9042410734323205</v>
      </c>
      <c r="W450" s="21">
        <f t="shared" ca="1" si="253"/>
        <v>5.0929858949009663</v>
      </c>
      <c r="X450" s="21">
        <f t="shared" ca="1" si="253"/>
        <v>5.2855056127989855</v>
      </c>
      <c r="Y450" s="21">
        <f t="shared" ca="1" si="253"/>
        <v>5.4818757250549659</v>
      </c>
      <c r="Z450" s="21">
        <f t="shared" ca="1" si="253"/>
        <v>5.6821732395560653</v>
      </c>
    </row>
    <row r="452" spans="1:26" x14ac:dyDescent="0.25">
      <c r="A452" s="11" t="s">
        <v>1389</v>
      </c>
    </row>
    <row r="453" spans="1:26" x14ac:dyDescent="0.25">
      <c r="A453" s="11" t="s">
        <v>1390</v>
      </c>
      <c r="B453" s="14" t="str">
        <f>$B$38</f>
        <v>From Fiscal Forecasts</v>
      </c>
      <c r="D453" s="51">
        <f>'Fiscal Forecasts'!D$194</f>
        <v>2.8839999999999999</v>
      </c>
      <c r="E453" s="51">
        <f>'Fiscal Forecasts'!E$194</f>
        <v>3.8039999999999998</v>
      </c>
      <c r="F453" s="51">
        <f>'Fiscal Forecasts'!F$194</f>
        <v>5.8239999999999998</v>
      </c>
      <c r="G453" s="51">
        <f>'Fiscal Forecasts'!G$194</f>
        <v>11.461</v>
      </c>
      <c r="H453" s="51">
        <f>'Fiscal Forecasts'!H$194</f>
        <v>6.093</v>
      </c>
      <c r="I453" s="51">
        <f>'Fiscal Forecasts'!I$194</f>
        <v>6.8659999999999997</v>
      </c>
      <c r="J453" s="51">
        <f>'Fiscal Forecasts'!J$194</f>
        <v>7.3860000000000001</v>
      </c>
      <c r="K453" s="51">
        <f>'Fiscal Forecasts'!K$194</f>
        <v>6.407</v>
      </c>
      <c r="L453" s="47">
        <f>'Fiscal Forecasts'!L$194</f>
        <v>5.8460000000000001</v>
      </c>
      <c r="M453" s="47">
        <f>'Fiscal Forecasts'!M$194</f>
        <v>5.4980000000000002</v>
      </c>
      <c r="N453" s="47">
        <f>'Fiscal Forecasts'!N$194</f>
        <v>5.1710000000000003</v>
      </c>
      <c r="O453" s="47">
        <f>'Fiscal Forecasts'!O$194</f>
        <v>4.9290000000000003</v>
      </c>
      <c r="P453" s="47">
        <f>'Fiscal Forecasts'!P$194</f>
        <v>4.7519999999999998</v>
      </c>
      <c r="Q453" s="21">
        <f t="shared" ref="Q453:Z453" ca="1" si="254">SUM(P$453,-Q$145,Q$151,Q$313)</f>
        <v>4.7049199999999995</v>
      </c>
      <c r="R453" s="21">
        <f t="shared" ca="1" si="254"/>
        <v>4.6873383999999998</v>
      </c>
      <c r="S453" s="21">
        <f t="shared" ca="1" si="254"/>
        <v>4.6998451679999995</v>
      </c>
      <c r="T453" s="21">
        <f t="shared" ca="1" si="254"/>
        <v>4.7368451679999994</v>
      </c>
      <c r="U453" s="21">
        <f t="shared" ca="1" si="254"/>
        <v>4.7738451679999994</v>
      </c>
      <c r="V453" s="21">
        <f t="shared" ca="1" si="254"/>
        <v>4.8108451679999993</v>
      </c>
      <c r="W453" s="21">
        <f t="shared" ca="1" si="254"/>
        <v>4.8478451679999992</v>
      </c>
      <c r="X453" s="21">
        <f t="shared" ca="1" si="254"/>
        <v>4.8848451679999991</v>
      </c>
      <c r="Y453" s="21">
        <f t="shared" ca="1" si="254"/>
        <v>4.921845167999999</v>
      </c>
      <c r="Z453" s="21">
        <f t="shared" ca="1" si="254"/>
        <v>4.958845167999999</v>
      </c>
    </row>
    <row r="454" spans="1:26" x14ac:dyDescent="0.25">
      <c r="A454" s="11" t="s">
        <v>1391</v>
      </c>
      <c r="B454" s="14" t="str">
        <f>$B$38</f>
        <v>From Fiscal Forecasts</v>
      </c>
      <c r="D454" s="51">
        <f>'Fiscal Forecasts'!D$138</f>
        <v>2.8839999999999999</v>
      </c>
      <c r="E454" s="51">
        <f>'Fiscal Forecasts'!E$138</f>
        <v>3.8039999999999998</v>
      </c>
      <c r="F454" s="51">
        <f>'Fiscal Forecasts'!F$138</f>
        <v>5.8239999999999998</v>
      </c>
      <c r="G454" s="51">
        <f>'Fiscal Forecasts'!G$138</f>
        <v>11.308</v>
      </c>
      <c r="H454" s="51">
        <f>'Fiscal Forecasts'!H$138</f>
        <v>6.125</v>
      </c>
      <c r="I454" s="51">
        <f>'Fiscal Forecasts'!I$138</f>
        <v>6.6260000000000003</v>
      </c>
      <c r="J454" s="51">
        <f>'Fiscal Forecasts'!J$138</f>
        <v>7.1559999999999997</v>
      </c>
      <c r="K454" s="51">
        <f>'Fiscal Forecasts'!K$138</f>
        <v>6.2789999999999999</v>
      </c>
      <c r="L454" s="47">
        <f>'Fiscal Forecasts'!L$138</f>
        <v>5.7809999999999997</v>
      </c>
      <c r="M454" s="47">
        <f>'Fiscal Forecasts'!M$138</f>
        <v>5.4080000000000004</v>
      </c>
      <c r="N454" s="47">
        <f>'Fiscal Forecasts'!N$138</f>
        <v>5.0949999999999998</v>
      </c>
      <c r="O454" s="47">
        <f>'Fiscal Forecasts'!O$138</f>
        <v>4.8460000000000001</v>
      </c>
      <c r="P454" s="47">
        <f>'Fiscal Forecasts'!P$138</f>
        <v>4.6710000000000003</v>
      </c>
      <c r="Q454" s="21">
        <f t="shared" ref="Q454:Z454" ca="1" si="255">SUM(P$454,-Q$145,Q$151,Q$313)</f>
        <v>4.62392</v>
      </c>
      <c r="R454" s="21">
        <f t="shared" ca="1" si="255"/>
        <v>4.6063384000000003</v>
      </c>
      <c r="S454" s="21">
        <f t="shared" ca="1" si="255"/>
        <v>4.618845168</v>
      </c>
      <c r="T454" s="21">
        <f t="shared" ca="1" si="255"/>
        <v>4.6558451679999999</v>
      </c>
      <c r="U454" s="21">
        <f t="shared" ca="1" si="255"/>
        <v>4.6928451679999998</v>
      </c>
      <c r="V454" s="21">
        <f t="shared" ca="1" si="255"/>
        <v>4.7298451679999998</v>
      </c>
      <c r="W454" s="21">
        <f t="shared" ca="1" si="255"/>
        <v>4.7668451679999997</v>
      </c>
      <c r="X454" s="21">
        <f t="shared" ca="1" si="255"/>
        <v>4.8038451679999996</v>
      </c>
      <c r="Y454" s="21">
        <f t="shared" ca="1" si="255"/>
        <v>4.8408451679999995</v>
      </c>
      <c r="Z454" s="21">
        <f t="shared" ca="1" si="255"/>
        <v>4.8778451679999995</v>
      </c>
    </row>
    <row r="456" spans="1:26" x14ac:dyDescent="0.25">
      <c r="A456" s="11" t="s">
        <v>959</v>
      </c>
    </row>
    <row r="457" spans="1:26" x14ac:dyDescent="0.25">
      <c r="A457" s="11" t="s">
        <v>1392</v>
      </c>
      <c r="B457" s="14" t="str">
        <f>$B$38</f>
        <v>From Fiscal Forecasts</v>
      </c>
      <c r="D457" s="51">
        <f>'Fiscal Forecasts'!D$195</f>
        <v>4.0000000000000001E-3</v>
      </c>
      <c r="E457" s="51">
        <f>'Fiscal Forecasts'!E$195</f>
        <v>5.0000000000000001E-3</v>
      </c>
      <c r="F457" s="51">
        <f>'Fiscal Forecasts'!F$195</f>
        <v>4.0000000000000001E-3</v>
      </c>
      <c r="G457" s="51">
        <f>'Fiscal Forecasts'!G$195</f>
        <v>2E-3</v>
      </c>
      <c r="H457" s="51">
        <f>'Fiscal Forecasts'!H$195</f>
        <v>3.0000000000000001E-3</v>
      </c>
      <c r="I457" s="51">
        <f>'Fiscal Forecasts'!I$195</f>
        <v>2E-3</v>
      </c>
      <c r="J457" s="51">
        <f>'Fiscal Forecasts'!J$195</f>
        <v>2E-3</v>
      </c>
      <c r="K457" s="51">
        <f>'Fiscal Forecasts'!K$195</f>
        <v>2E-3</v>
      </c>
      <c r="L457" s="47">
        <f>'Fiscal Forecasts'!L$195</f>
        <v>2E-3</v>
      </c>
      <c r="M457" s="47">
        <f>'Fiscal Forecasts'!M$195</f>
        <v>2E-3</v>
      </c>
      <c r="N457" s="47">
        <f>'Fiscal Forecasts'!N$195</f>
        <v>2E-3</v>
      </c>
      <c r="O457" s="47">
        <f>'Fiscal Forecasts'!O$195</f>
        <v>2E-3</v>
      </c>
      <c r="P457" s="47">
        <f>'Fiscal Forecasts'!P$195</f>
        <v>2E-3</v>
      </c>
      <c r="Q457" s="21">
        <f ca="1">IF(Q$6=OFFSET(Assumptions!$B$8,0,$C$1),OFFSET(Assumptions!$B$9,0,$C$1),P$457)</f>
        <v>0</v>
      </c>
      <c r="R457" s="21">
        <f ca="1">IF(R$6=OFFSET(Assumptions!$B$8,0,$C$1),OFFSET(Assumptions!$B$9,0,$C$1),Q$457)</f>
        <v>0</v>
      </c>
      <c r="S457" s="21">
        <f ca="1">IF(S$6=OFFSET(Assumptions!$B$8,0,$C$1),OFFSET(Assumptions!$B$9,0,$C$1),R$457)</f>
        <v>0</v>
      </c>
      <c r="T457" s="21">
        <f ca="1">IF(T$6=OFFSET(Assumptions!$B$8,0,$C$1),OFFSET(Assumptions!$B$9,0,$C$1),S$457)</f>
        <v>0</v>
      </c>
      <c r="U457" s="21">
        <f ca="1">IF(U$6=OFFSET(Assumptions!$B$8,0,$C$1),OFFSET(Assumptions!$B$9,0,$C$1),T$457)</f>
        <v>0</v>
      </c>
      <c r="V457" s="21">
        <f ca="1">IF(V$6=OFFSET(Assumptions!$B$8,0,$C$1),OFFSET(Assumptions!$B$9,0,$C$1),U$457)</f>
        <v>0</v>
      </c>
      <c r="W457" s="21">
        <f ca="1">IF(W$6=OFFSET(Assumptions!$B$8,0,$C$1),OFFSET(Assumptions!$B$9,0,$C$1),V$457)</f>
        <v>0</v>
      </c>
      <c r="X457" s="21">
        <f ca="1">IF(X$6=OFFSET(Assumptions!$B$8,0,$C$1),OFFSET(Assumptions!$B$9,0,$C$1),W$457)</f>
        <v>0</v>
      </c>
      <c r="Y457" s="21">
        <f ca="1">IF(Y$6=OFFSET(Assumptions!$B$8,0,$C$1),OFFSET(Assumptions!$B$9,0,$C$1),X$457)</f>
        <v>0</v>
      </c>
      <c r="Z457" s="21">
        <f ca="1">IF(Z$6=OFFSET(Assumptions!$B$8,0,$C$1),OFFSET(Assumptions!$B$9,0,$C$1),Y$457)</f>
        <v>0</v>
      </c>
    </row>
    <row r="458" spans="1:26" x14ac:dyDescent="0.25">
      <c r="A458" s="12" t="s">
        <v>1393</v>
      </c>
      <c r="B458" s="14" t="str">
        <f>$B$38</f>
        <v>From Fiscal Forecasts</v>
      </c>
      <c r="D458" s="50">
        <f>'Fiscal Forecasts'!D$381</f>
        <v>56.610999999999997</v>
      </c>
      <c r="E458" s="50">
        <f>'Fiscal Forecasts'!E$381</f>
        <v>64.945999999999998</v>
      </c>
      <c r="F458" s="50">
        <f>'Fiscal Forecasts'!F$381</f>
        <v>59.133000000000003</v>
      </c>
      <c r="G458" s="50">
        <f>'Fiscal Forecasts'!G$381</f>
        <v>54.115000000000002</v>
      </c>
      <c r="H458" s="50">
        <f>'Fiscal Forecasts'!H$381</f>
        <v>55.664000000000001</v>
      </c>
      <c r="I458" s="50">
        <f>'Fiscal Forecasts'!I$381</f>
        <v>65.049000000000007</v>
      </c>
      <c r="J458" s="50">
        <f>'Fiscal Forecasts'!J$381</f>
        <v>68.766000000000005</v>
      </c>
      <c r="K458" s="50">
        <f>'Fiscal Forecasts'!K$381</f>
        <v>73.116</v>
      </c>
      <c r="L458" s="48">
        <f>'Fiscal Forecasts'!L$381</f>
        <v>62.813000000000002</v>
      </c>
      <c r="M458" s="48">
        <f>'Fiscal Forecasts'!M$381</f>
        <v>64.894000000000005</v>
      </c>
      <c r="N458" s="48">
        <f>'Fiscal Forecasts'!N$381</f>
        <v>67.055999999999997</v>
      </c>
      <c r="O458" s="48">
        <f>'Fiscal Forecasts'!O$381</f>
        <v>69.384</v>
      </c>
      <c r="P458" s="48">
        <f>'Fiscal Forecasts'!P$381</f>
        <v>71.867999999999995</v>
      </c>
      <c r="Q458" s="20">
        <f>P$458*Exogenous!AB$30/Exogenous!AA$30</f>
        <v>75.350373541238483</v>
      </c>
      <c r="R458" s="20">
        <f>Q$458*Exogenous!AC$30/Exogenous!AB$30</f>
        <v>79.011918457579867</v>
      </c>
      <c r="S458" s="20">
        <f>R$458*Exogenous!AD$30/Exogenous!AC$30</f>
        <v>82.770264303008062</v>
      </c>
      <c r="T458" s="20">
        <f>S$458*Exogenous!AE$30/Exogenous!AD$30</f>
        <v>86.723163331358961</v>
      </c>
      <c r="U458" s="20">
        <f>T$458*Exogenous!AF$30/Exogenous!AE$30</f>
        <v>90.857478323377009</v>
      </c>
      <c r="V458" s="20">
        <f>U$458*Exogenous!AG$30/Exogenous!AF$30</f>
        <v>95.196291127292156</v>
      </c>
      <c r="W458" s="20">
        <f>V$458*Exogenous!AH$30/Exogenous!AG$30</f>
        <v>99.750002013249556</v>
      </c>
      <c r="X458" s="20">
        <f>W$458*Exogenous!AI$30/Exogenous!AH$30</f>
        <v>104.48871142629368</v>
      </c>
      <c r="Y458" s="20">
        <f>X$458*Exogenous!AJ$30/Exogenous!AI$30</f>
        <v>109.45571050869646</v>
      </c>
      <c r="Z458" s="20">
        <f>Y$458*Exogenous!AK$30/Exogenous!AJ$30</f>
        <v>114.59747181447723</v>
      </c>
    </row>
    <row r="459" spans="1:26" x14ac:dyDescent="0.25">
      <c r="A459" s="12" t="s">
        <v>1394</v>
      </c>
      <c r="B459" s="14" t="str">
        <f>$B$38</f>
        <v>From Fiscal Forecasts</v>
      </c>
      <c r="D459" s="50">
        <f>SUM('Fiscal Forecasts'!D$382:D$383)-D$457</f>
        <v>1.601</v>
      </c>
      <c r="E459" s="50">
        <f>SUM('Fiscal Forecasts'!E$382:E$383)-E$457</f>
        <v>1.7390000000000001</v>
      </c>
      <c r="F459" s="50">
        <f>SUM('Fiscal Forecasts'!F$382:F$383)-F$457</f>
        <v>1.1990000000000001</v>
      </c>
      <c r="G459" s="50">
        <f>SUM('Fiscal Forecasts'!G$382:G$383)-G$457</f>
        <v>1.1839999999999999</v>
      </c>
      <c r="H459" s="50">
        <f>SUM('Fiscal Forecasts'!H$382:H$383)-H$457</f>
        <v>1.8440000000000001</v>
      </c>
      <c r="I459" s="50">
        <f>SUM('Fiscal Forecasts'!I$382:I$383)-I$457</f>
        <v>1.524</v>
      </c>
      <c r="J459" s="50">
        <f>SUM('Fiscal Forecasts'!J$382:J$383)-J$457</f>
        <v>1.5579999999999998</v>
      </c>
      <c r="K459" s="50">
        <f>SUM('Fiscal Forecasts'!K$382:K$383)-K$457</f>
        <v>1.4259999999999999</v>
      </c>
      <c r="L459" s="48">
        <f>SUM('Fiscal Forecasts'!L$382:L$383)-L$457</f>
        <v>1.24</v>
      </c>
      <c r="M459" s="48">
        <f>SUM('Fiscal Forecasts'!M$382:M$383)-M$457</f>
        <v>1.157</v>
      </c>
      <c r="N459" s="48">
        <f>SUM('Fiscal Forecasts'!N$382:N$383)-N$457</f>
        <v>1.097</v>
      </c>
      <c r="O459" s="48">
        <f>SUM('Fiscal Forecasts'!O$382:O$383)-O$457</f>
        <v>1.056</v>
      </c>
      <c r="P459" s="48">
        <f>SUM('Fiscal Forecasts'!P$382:P$383)-P$457</f>
        <v>1.03</v>
      </c>
      <c r="Q459" s="20">
        <f t="shared" ref="Q459:Z459" si="256">P$459*Q$458/P$458</f>
        <v>1.0799087876033233</v>
      </c>
      <c r="R459" s="20">
        <f t="shared" si="256"/>
        <v>1.1323854289990993</v>
      </c>
      <c r="S459" s="20">
        <f t="shared" si="256"/>
        <v>1.1862494049103678</v>
      </c>
      <c r="T459" s="20">
        <f t="shared" si="256"/>
        <v>1.24290168407775</v>
      </c>
      <c r="U459" s="20">
        <f t="shared" si="256"/>
        <v>1.3021539861006057</v>
      </c>
      <c r="V459" s="20">
        <f t="shared" si="256"/>
        <v>1.3643371161172</v>
      </c>
      <c r="W459" s="20">
        <f t="shared" si="256"/>
        <v>1.4296001290372218</v>
      </c>
      <c r="X459" s="20">
        <f t="shared" si="256"/>
        <v>1.4975145095046822</v>
      </c>
      <c r="Y459" s="20">
        <f t="shared" si="256"/>
        <v>1.5687006988361631</v>
      </c>
      <c r="Z459" s="20">
        <f t="shared" si="256"/>
        <v>1.6423915507445812</v>
      </c>
    </row>
    <row r="460" spans="1:26" x14ac:dyDescent="0.25">
      <c r="A460" s="11" t="s">
        <v>1395</v>
      </c>
      <c r="D460" s="94">
        <f t="shared" ref="D460:P460" si="257">SUM(D$457:D$459)</f>
        <v>58.215999999999994</v>
      </c>
      <c r="E460" s="94">
        <f t="shared" si="257"/>
        <v>66.69</v>
      </c>
      <c r="F460" s="94">
        <f t="shared" si="257"/>
        <v>60.335999999999999</v>
      </c>
      <c r="G460" s="94">
        <f t="shared" si="257"/>
        <v>55.301000000000002</v>
      </c>
      <c r="H460" s="94">
        <f t="shared" si="257"/>
        <v>57.511000000000003</v>
      </c>
      <c r="I460" s="94">
        <f t="shared" si="257"/>
        <v>66.575000000000003</v>
      </c>
      <c r="J460" s="94">
        <f t="shared" si="257"/>
        <v>70.325999999999993</v>
      </c>
      <c r="K460" s="94">
        <f t="shared" si="257"/>
        <v>74.543999999999997</v>
      </c>
      <c r="L460" s="95">
        <f t="shared" si="257"/>
        <v>64.055000000000007</v>
      </c>
      <c r="M460" s="95">
        <f t="shared" si="257"/>
        <v>66.052999999999997</v>
      </c>
      <c r="N460" s="95">
        <f t="shared" si="257"/>
        <v>68.154999999999987</v>
      </c>
      <c r="O460" s="95">
        <f t="shared" si="257"/>
        <v>70.441999999999993</v>
      </c>
      <c r="P460" s="95">
        <f t="shared" si="257"/>
        <v>72.899999999999991</v>
      </c>
      <c r="Q460" s="96">
        <f t="shared" ref="Q460:Z460" ca="1" si="258">SUM(Q$457:Q$459)</f>
        <v>76.430282328841813</v>
      </c>
      <c r="R460" s="96">
        <f t="shared" ca="1" si="258"/>
        <v>80.144303886578967</v>
      </c>
      <c r="S460" s="96">
        <f t="shared" ca="1" si="258"/>
        <v>83.956513707918432</v>
      </c>
      <c r="T460" s="96">
        <f t="shared" ca="1" si="258"/>
        <v>87.966065015436712</v>
      </c>
      <c r="U460" s="96">
        <f t="shared" ca="1" si="258"/>
        <v>92.159632309477615</v>
      </c>
      <c r="V460" s="96">
        <f t="shared" ca="1" si="258"/>
        <v>96.560628243409354</v>
      </c>
      <c r="W460" s="96">
        <f t="shared" ca="1" si="258"/>
        <v>101.17960214228678</v>
      </c>
      <c r="X460" s="96">
        <f t="shared" ca="1" si="258"/>
        <v>105.98622593579836</v>
      </c>
      <c r="Y460" s="96">
        <f t="shared" ca="1" si="258"/>
        <v>111.02441120753262</v>
      </c>
      <c r="Z460" s="96">
        <f t="shared" ca="1" si="258"/>
        <v>116.23986336522181</v>
      </c>
    </row>
    <row r="462" spans="1:26" x14ac:dyDescent="0.25">
      <c r="A462" s="11" t="s">
        <v>1396</v>
      </c>
    </row>
    <row r="463" spans="1:26" x14ac:dyDescent="0.25">
      <c r="A463" s="11" t="s">
        <v>1397</v>
      </c>
      <c r="B463" s="14" t="str">
        <f>$B$38</f>
        <v>From Fiscal Forecasts</v>
      </c>
      <c r="D463" s="51">
        <f>'Fiscal Forecasts'!D$196</f>
        <v>13.164999999999999</v>
      </c>
      <c r="E463" s="51">
        <f>'Fiscal Forecasts'!E$196</f>
        <v>13.976000000000001</v>
      </c>
      <c r="F463" s="51">
        <f>'Fiscal Forecasts'!F$196</f>
        <v>11.039</v>
      </c>
      <c r="G463" s="51">
        <f>'Fiscal Forecasts'!G$196</f>
        <v>8.7650000000000006</v>
      </c>
      <c r="H463" s="51">
        <f>'Fiscal Forecasts'!H$196</f>
        <v>8.0380000000000003</v>
      </c>
      <c r="I463" s="51">
        <f>'Fiscal Forecasts'!I$196</f>
        <v>7.3339999999999996</v>
      </c>
      <c r="J463" s="51">
        <f>'Fiscal Forecasts'!J$196</f>
        <v>6.6589999999999998</v>
      </c>
      <c r="K463" s="51">
        <f>'Fiscal Forecasts'!K$196</f>
        <v>6.2460000000000004</v>
      </c>
      <c r="L463" s="47">
        <f>'Fiscal Forecasts'!L$196</f>
        <v>5.633</v>
      </c>
      <c r="M463" s="47">
        <f>'Fiscal Forecasts'!M$196</f>
        <v>5.1289999999999996</v>
      </c>
      <c r="N463" s="47">
        <f>'Fiscal Forecasts'!N$196</f>
        <v>4.6379999999999999</v>
      </c>
      <c r="O463" s="47">
        <f>'Fiscal Forecasts'!O$196</f>
        <v>4.1639999999999997</v>
      </c>
      <c r="P463" s="47">
        <f>'Fiscal Forecasts'!P$196</f>
        <v>3.706</v>
      </c>
      <c r="Q463" s="20">
        <f>P$463*Exogenous!AB$35/Exogenous!AA$35</f>
        <v>3.5338867837338257</v>
      </c>
      <c r="R463" s="20">
        <f>Q$463*Exogenous!AC$35/Exogenous!AB$35</f>
        <v>3.3579202865064692</v>
      </c>
      <c r="S463" s="20">
        <f>R$463*Exogenous!AD$35/Exogenous!AC$35</f>
        <v>3.1806693622920514</v>
      </c>
      <c r="T463" s="20">
        <f>S$463*Exogenous!AE$35/Exogenous!AD$35</f>
        <v>3.0029902957486132</v>
      </c>
      <c r="U463" s="20">
        <f>T$463*Exogenous!AF$35/Exogenous!AE$35</f>
        <v>2.8313052218114598</v>
      </c>
      <c r="V463" s="20">
        <f>U$463*Exogenous!AG$35/Exogenous!AF$35</f>
        <v>2.6617608595194078</v>
      </c>
      <c r="W463" s="20">
        <f>V$463*Exogenous!AH$35/Exogenous!AG$35</f>
        <v>2.4947853512014784</v>
      </c>
      <c r="X463" s="20">
        <f>W$463*Exogenous!AI$35/Exogenous!AH$35</f>
        <v>2.3308068391866907</v>
      </c>
      <c r="Y463" s="20">
        <f>X$463*Exogenous!AJ$35/Exogenous!AI$35</f>
        <v>2.1711097504621066</v>
      </c>
      <c r="Z463" s="20">
        <f>Y$463*Exogenous!AK$35/Exogenous!AJ$35</f>
        <v>2.0152659426987056</v>
      </c>
    </row>
    <row r="464" spans="1:26" x14ac:dyDescent="0.25">
      <c r="A464" s="12" t="s">
        <v>1398</v>
      </c>
      <c r="B464" s="14" t="str">
        <f>$B$38</f>
        <v>From Fiscal Forecasts</v>
      </c>
      <c r="D464" s="50">
        <f>'Fiscal Forecasts'!D$140-D$463</f>
        <v>1.4000000000001123E-2</v>
      </c>
      <c r="E464" s="50">
        <f>'Fiscal Forecasts'!E$140-E$463</f>
        <v>6.9999999999996732E-3</v>
      </c>
      <c r="F464" s="50">
        <f>'Fiscal Forecasts'!F$140-F$463</f>
        <v>-9.9999999999944578E-4</v>
      </c>
      <c r="G464" s="50">
        <f>'Fiscal Forecasts'!G$140-G$463</f>
        <v>3.9999999999995595E-3</v>
      </c>
      <c r="H464" s="50">
        <f>'Fiscal Forecasts'!H$140-H$463</f>
        <v>9.9999999999944578E-4</v>
      </c>
      <c r="I464" s="50">
        <f>'Fiscal Forecasts'!I$140-I$463</f>
        <v>3.0000000000001137E-3</v>
      </c>
      <c r="J464" s="50">
        <f>'Fiscal Forecasts'!J$140-J$463</f>
        <v>1.9999999999997797E-3</v>
      </c>
      <c r="K464" s="50">
        <f>'Fiscal Forecasts'!K$140-K$463</f>
        <v>1.9999999999997797E-3</v>
      </c>
      <c r="L464" s="48">
        <f>'Fiscal Forecasts'!L$140-L$463</f>
        <v>1.000000000000334E-3</v>
      </c>
      <c r="M464" s="48">
        <f>'Fiscal Forecasts'!M$140-M$463</f>
        <v>2.0000000000006679E-3</v>
      </c>
      <c r="N464" s="48">
        <f>'Fiscal Forecasts'!N$140-N$463</f>
        <v>1.000000000000334E-3</v>
      </c>
      <c r="O464" s="48">
        <f>'Fiscal Forecasts'!O$140-O$463</f>
        <v>1.000000000000334E-3</v>
      </c>
      <c r="P464" s="48">
        <f>'Fiscal Forecasts'!P$140-P$463</f>
        <v>2.0000000000002238E-3</v>
      </c>
      <c r="Q464" s="20">
        <f ca="1">IF(Q$6=OFFSET(Assumptions!$B$8,0,$C$1),OFFSET(Assumptions!$B$9,0,$C$1),P$464)</f>
        <v>0</v>
      </c>
      <c r="R464" s="20">
        <f ca="1">IF(R$6=OFFSET(Assumptions!$B$8,0,$C$1),OFFSET(Assumptions!$B$9,0,$C$1),Q$464)</f>
        <v>0</v>
      </c>
      <c r="S464" s="20">
        <f ca="1">IF(S$6=OFFSET(Assumptions!$B$8,0,$C$1),OFFSET(Assumptions!$B$9,0,$C$1),R$464)</f>
        <v>0</v>
      </c>
      <c r="T464" s="20">
        <f ca="1">IF(T$6=OFFSET(Assumptions!$B$8,0,$C$1),OFFSET(Assumptions!$B$9,0,$C$1),S$464)</f>
        <v>0</v>
      </c>
      <c r="U464" s="20">
        <f ca="1">IF(U$6=OFFSET(Assumptions!$B$8,0,$C$1),OFFSET(Assumptions!$B$9,0,$C$1),T$464)</f>
        <v>0</v>
      </c>
      <c r="V464" s="20">
        <f ca="1">IF(V$6=OFFSET(Assumptions!$B$8,0,$C$1),OFFSET(Assumptions!$B$9,0,$C$1),U$464)</f>
        <v>0</v>
      </c>
      <c r="W464" s="20">
        <f ca="1">IF(W$6=OFFSET(Assumptions!$B$8,0,$C$1),OFFSET(Assumptions!$B$9,0,$C$1),V$464)</f>
        <v>0</v>
      </c>
      <c r="X464" s="20">
        <f ca="1">IF(X$6=OFFSET(Assumptions!$B$8,0,$C$1),OFFSET(Assumptions!$B$9,0,$C$1),W$464)</f>
        <v>0</v>
      </c>
      <c r="Y464" s="20">
        <f ca="1">IF(Y$6=OFFSET(Assumptions!$B$8,0,$C$1),OFFSET(Assumptions!$B$9,0,$C$1),X$464)</f>
        <v>0</v>
      </c>
      <c r="Z464" s="20">
        <f ca="1">IF(Z$6=OFFSET(Assumptions!$B$8,0,$C$1),OFFSET(Assumptions!$B$9,0,$C$1),Y$464)</f>
        <v>0</v>
      </c>
    </row>
    <row r="465" spans="1:26" x14ac:dyDescent="0.25">
      <c r="A465" s="11" t="s">
        <v>1399</v>
      </c>
      <c r="D465" s="94">
        <f t="shared" ref="D465:Z465" si="259">SUM(D$463:D$464)</f>
        <v>13.179</v>
      </c>
      <c r="E465" s="94">
        <f t="shared" si="259"/>
        <v>13.983000000000001</v>
      </c>
      <c r="F465" s="94">
        <f t="shared" si="259"/>
        <v>11.038</v>
      </c>
      <c r="G465" s="94">
        <f t="shared" si="259"/>
        <v>8.7690000000000001</v>
      </c>
      <c r="H465" s="94">
        <f t="shared" si="259"/>
        <v>8.0389999999999997</v>
      </c>
      <c r="I465" s="94">
        <f t="shared" si="259"/>
        <v>7.3369999999999997</v>
      </c>
      <c r="J465" s="94">
        <f t="shared" si="259"/>
        <v>6.6609999999999996</v>
      </c>
      <c r="K465" s="94">
        <f t="shared" si="259"/>
        <v>6.2480000000000002</v>
      </c>
      <c r="L465" s="95">
        <f t="shared" si="259"/>
        <v>5.6340000000000003</v>
      </c>
      <c r="M465" s="95">
        <f t="shared" si="259"/>
        <v>5.1310000000000002</v>
      </c>
      <c r="N465" s="95">
        <f t="shared" si="259"/>
        <v>4.6390000000000002</v>
      </c>
      <c r="O465" s="95">
        <f t="shared" si="259"/>
        <v>4.165</v>
      </c>
      <c r="P465" s="95">
        <f t="shared" si="259"/>
        <v>3.7080000000000002</v>
      </c>
      <c r="Q465" s="96">
        <f t="shared" ca="1" si="259"/>
        <v>3.5338867837338257</v>
      </c>
      <c r="R465" s="96">
        <f t="shared" ca="1" si="259"/>
        <v>3.3579202865064692</v>
      </c>
      <c r="S465" s="96">
        <f t="shared" ca="1" si="259"/>
        <v>3.1806693622920514</v>
      </c>
      <c r="T465" s="96">
        <f t="shared" ca="1" si="259"/>
        <v>3.0029902957486132</v>
      </c>
      <c r="U465" s="96">
        <f t="shared" ca="1" si="259"/>
        <v>2.8313052218114598</v>
      </c>
      <c r="V465" s="96">
        <f t="shared" ca="1" si="259"/>
        <v>2.6617608595194078</v>
      </c>
      <c r="W465" s="96">
        <f t="shared" ca="1" si="259"/>
        <v>2.4947853512014784</v>
      </c>
      <c r="X465" s="96">
        <f t="shared" ca="1" si="259"/>
        <v>2.3308068391866907</v>
      </c>
      <c r="Y465" s="96">
        <f t="shared" ca="1" si="259"/>
        <v>2.1711097504621066</v>
      </c>
      <c r="Z465" s="96">
        <f t="shared" ca="1" si="259"/>
        <v>2.0152659426987056</v>
      </c>
    </row>
    <row r="467" spans="1:26" x14ac:dyDescent="0.25">
      <c r="A467" s="11" t="s">
        <v>961</v>
      </c>
    </row>
    <row r="468" spans="1:26" x14ac:dyDescent="0.25">
      <c r="A468" s="12" t="s">
        <v>1400</v>
      </c>
      <c r="D468" s="50">
        <f t="shared" ref="D468:P468" si="260">-D$386</f>
        <v>0</v>
      </c>
      <c r="E468" s="50">
        <f t="shared" si="260"/>
        <v>-2E-3</v>
      </c>
      <c r="F468" s="50">
        <f t="shared" si="260"/>
        <v>-2E-3</v>
      </c>
      <c r="G468" s="50">
        <f t="shared" si="260"/>
        <v>9.9000000000000005E-2</v>
      </c>
      <c r="H468" s="50">
        <f t="shared" si="260"/>
        <v>0.06</v>
      </c>
      <c r="I468" s="50">
        <f t="shared" si="260"/>
        <v>4.0000000000000001E-3</v>
      </c>
      <c r="J468" s="50">
        <f t="shared" si="260"/>
        <v>-6.7000000000000004E-2</v>
      </c>
      <c r="K468" s="50">
        <f t="shared" si="260"/>
        <v>-1.2999999999999999E-2</v>
      </c>
      <c r="L468" s="48">
        <f t="shared" si="260"/>
        <v>1.7999999999999999E-2</v>
      </c>
      <c r="M468" s="48">
        <f t="shared" si="260"/>
        <v>0.02</v>
      </c>
      <c r="N468" s="48">
        <f t="shared" si="260"/>
        <v>2.4E-2</v>
      </c>
      <c r="O468" s="48">
        <f t="shared" si="260"/>
        <v>2.7E-2</v>
      </c>
      <c r="P468" s="48">
        <f t="shared" si="260"/>
        <v>3.1E-2</v>
      </c>
      <c r="Q468" s="20">
        <f ca="1">IF(Q$6=OFFSET(Assumptions!$B$8,0,$C$1),OFFSET(Assumptions!$B$9,0,$C$1),P$468)</f>
        <v>0</v>
      </c>
      <c r="R468" s="20">
        <f ca="1">IF(R$6=OFFSET(Assumptions!$B$8,0,$C$1),OFFSET(Assumptions!$B$9,0,$C$1),Q$468)</f>
        <v>0</v>
      </c>
      <c r="S468" s="20">
        <f ca="1">IF(S$6=OFFSET(Assumptions!$B$8,0,$C$1),OFFSET(Assumptions!$B$9,0,$C$1),R$468)</f>
        <v>0</v>
      </c>
      <c r="T468" s="20">
        <f ca="1">IF(T$6=OFFSET(Assumptions!$B$8,0,$C$1),OFFSET(Assumptions!$B$9,0,$C$1),S$468)</f>
        <v>0</v>
      </c>
      <c r="U468" s="20">
        <f ca="1">IF(U$6=OFFSET(Assumptions!$B$8,0,$C$1),OFFSET(Assumptions!$B$9,0,$C$1),T$468)</f>
        <v>0</v>
      </c>
      <c r="V468" s="20">
        <f ca="1">IF(V$6=OFFSET(Assumptions!$B$8,0,$C$1),OFFSET(Assumptions!$B$9,0,$C$1),U$468)</f>
        <v>0</v>
      </c>
      <c r="W468" s="20">
        <f ca="1">IF(W$6=OFFSET(Assumptions!$B$8,0,$C$1),OFFSET(Assumptions!$B$9,0,$C$1),V$468)</f>
        <v>0</v>
      </c>
      <c r="X468" s="20">
        <f ca="1">IF(X$6=OFFSET(Assumptions!$B$8,0,$C$1),OFFSET(Assumptions!$B$9,0,$C$1),W$468)</f>
        <v>0</v>
      </c>
      <c r="Y468" s="20">
        <f ca="1">IF(Y$6=OFFSET(Assumptions!$B$8,0,$C$1),OFFSET(Assumptions!$B$9,0,$C$1),X$468)</f>
        <v>0</v>
      </c>
      <c r="Z468" s="20">
        <f ca="1">IF(Z$6=OFFSET(Assumptions!$B$8,0,$C$1),OFFSET(Assumptions!$B$9,0,$C$1),Y$468)</f>
        <v>0</v>
      </c>
    </row>
    <row r="469" spans="1:26" x14ac:dyDescent="0.25">
      <c r="A469" s="12" t="s">
        <v>1401</v>
      </c>
      <c r="B469" s="14" t="str">
        <f>$B$38</f>
        <v>From Fiscal Forecasts</v>
      </c>
      <c r="D469" s="50">
        <f>'Fiscal Forecasts'!D$197-D$468</f>
        <v>7.5890000000000004</v>
      </c>
      <c r="E469" s="50">
        <f>'Fiscal Forecasts'!E$197-E$468</f>
        <v>9.3109999999999999</v>
      </c>
      <c r="F469" s="50">
        <f>'Fiscal Forecasts'!F$197-F$468</f>
        <v>8.6100000000000012</v>
      </c>
      <c r="G469" s="50">
        <f>'Fiscal Forecasts'!G$197-G$468</f>
        <v>8.7850000000000001</v>
      </c>
      <c r="H469" s="50">
        <f>'Fiscal Forecasts'!H$197-H$468</f>
        <v>8.2880000000000003</v>
      </c>
      <c r="I469" s="50">
        <f>'Fiscal Forecasts'!I$197-I$468</f>
        <v>8.875</v>
      </c>
      <c r="J469" s="50">
        <f>'Fiscal Forecasts'!J$197-J$468</f>
        <v>10.871</v>
      </c>
      <c r="K469" s="50">
        <f>'Fiscal Forecasts'!K$197-K$468</f>
        <v>9.802999999999999</v>
      </c>
      <c r="L469" s="48">
        <f>'Fiscal Forecasts'!L$197-L$468</f>
        <v>9.3669999999999991</v>
      </c>
      <c r="M469" s="48">
        <f>'Fiscal Forecasts'!M$197-M$468</f>
        <v>8.9779999999999998</v>
      </c>
      <c r="N469" s="48">
        <f>'Fiscal Forecasts'!N$197-N$468</f>
        <v>8.8250000000000011</v>
      </c>
      <c r="O469" s="48">
        <f>'Fiscal Forecasts'!O$197-O$468</f>
        <v>8.7780000000000005</v>
      </c>
      <c r="P469" s="48">
        <f>'Fiscal Forecasts'!P$197-P$468</f>
        <v>8.7359999999999989</v>
      </c>
      <c r="Q469" s="20">
        <f t="shared" ref="Q469:Z469" ca="1" si="261">P$469*(1+Q$29)</f>
        <v>8.9107199999999995</v>
      </c>
      <c r="R469" s="20">
        <f t="shared" ca="1" si="261"/>
        <v>9.0889343999999994</v>
      </c>
      <c r="S469" s="20">
        <f t="shared" ca="1" si="261"/>
        <v>9.270713087999999</v>
      </c>
      <c r="T469" s="20">
        <f t="shared" ca="1" si="261"/>
        <v>9.4561273497599991</v>
      </c>
      <c r="U469" s="20">
        <f t="shared" ca="1" si="261"/>
        <v>9.6452498967551996</v>
      </c>
      <c r="V469" s="20">
        <f t="shared" ca="1" si="261"/>
        <v>9.8381548946903035</v>
      </c>
      <c r="W469" s="20">
        <f t="shared" ca="1" si="261"/>
        <v>10.034917992584109</v>
      </c>
      <c r="X469" s="20">
        <f t="shared" ca="1" si="261"/>
        <v>10.235616352435791</v>
      </c>
      <c r="Y469" s="20">
        <f t="shared" ca="1" si="261"/>
        <v>10.440328679484507</v>
      </c>
      <c r="Z469" s="20">
        <f t="shared" ca="1" si="261"/>
        <v>10.649135253074197</v>
      </c>
    </row>
    <row r="470" spans="1:26" x14ac:dyDescent="0.25">
      <c r="A470" s="11" t="s">
        <v>1402</v>
      </c>
      <c r="D470" s="94">
        <f t="shared" ref="D470:P470" si="262">SUM(D$468:D$469)</f>
        <v>7.5890000000000004</v>
      </c>
      <c r="E470" s="94">
        <f t="shared" si="262"/>
        <v>9.3089999999999993</v>
      </c>
      <c r="F470" s="94">
        <f t="shared" si="262"/>
        <v>8.6080000000000005</v>
      </c>
      <c r="G470" s="94">
        <f t="shared" si="262"/>
        <v>8.8840000000000003</v>
      </c>
      <c r="H470" s="94">
        <f t="shared" si="262"/>
        <v>8.3480000000000008</v>
      </c>
      <c r="I470" s="94">
        <f t="shared" si="262"/>
        <v>8.8789999999999996</v>
      </c>
      <c r="J470" s="94">
        <f t="shared" si="262"/>
        <v>10.804</v>
      </c>
      <c r="K470" s="94">
        <f t="shared" si="262"/>
        <v>9.7899999999999991</v>
      </c>
      <c r="L470" s="95">
        <f t="shared" si="262"/>
        <v>9.3849999999999998</v>
      </c>
      <c r="M470" s="95">
        <f t="shared" si="262"/>
        <v>8.9979999999999993</v>
      </c>
      <c r="N470" s="95">
        <f t="shared" si="262"/>
        <v>8.8490000000000002</v>
      </c>
      <c r="O470" s="95">
        <f t="shared" si="262"/>
        <v>8.8049999999999997</v>
      </c>
      <c r="P470" s="95">
        <f t="shared" si="262"/>
        <v>8.7669999999999995</v>
      </c>
      <c r="Q470" s="96">
        <f t="shared" ref="Q470:Z470" ca="1" si="263">SUM(Q$468:Q$469)</f>
        <v>8.9107199999999995</v>
      </c>
      <c r="R470" s="96">
        <f t="shared" ca="1" si="263"/>
        <v>9.0889343999999994</v>
      </c>
      <c r="S470" s="96">
        <f t="shared" ca="1" si="263"/>
        <v>9.270713087999999</v>
      </c>
      <c r="T470" s="96">
        <f t="shared" ca="1" si="263"/>
        <v>9.4561273497599991</v>
      </c>
      <c r="U470" s="96">
        <f t="shared" ca="1" si="263"/>
        <v>9.6452498967551996</v>
      </c>
      <c r="V470" s="96">
        <f t="shared" ca="1" si="263"/>
        <v>9.8381548946903035</v>
      </c>
      <c r="W470" s="96">
        <f t="shared" ca="1" si="263"/>
        <v>10.034917992584109</v>
      </c>
      <c r="X470" s="96">
        <f t="shared" ca="1" si="263"/>
        <v>10.235616352435791</v>
      </c>
      <c r="Y470" s="96">
        <f t="shared" ca="1" si="263"/>
        <v>10.440328679484507</v>
      </c>
      <c r="Z470" s="96">
        <f t="shared" ca="1" si="263"/>
        <v>10.649135253074197</v>
      </c>
    </row>
    <row r="471" spans="1:26" x14ac:dyDescent="0.25">
      <c r="A471" s="11" t="s">
        <v>1403</v>
      </c>
      <c r="B471" s="14" t="str">
        <f>$B$38</f>
        <v>From Fiscal Forecasts</v>
      </c>
      <c r="D471" s="51">
        <f>'Fiscal Forecasts'!D$141</f>
        <v>10.708</v>
      </c>
      <c r="E471" s="51">
        <f>'Fiscal Forecasts'!E$141</f>
        <v>12.68</v>
      </c>
      <c r="F471" s="51">
        <f>'Fiscal Forecasts'!F$141</f>
        <v>13.263</v>
      </c>
      <c r="G471" s="51">
        <f>'Fiscal Forecasts'!G$141</f>
        <v>14.333</v>
      </c>
      <c r="H471" s="51">
        <f>'Fiscal Forecasts'!H$141</f>
        <v>15.426</v>
      </c>
      <c r="I471" s="51">
        <f>'Fiscal Forecasts'!I$141</f>
        <v>16.045000000000002</v>
      </c>
      <c r="J471" s="51">
        <f>'Fiscal Forecasts'!J$141</f>
        <v>17.984000000000002</v>
      </c>
      <c r="K471" s="51">
        <f>'Fiscal Forecasts'!K$141</f>
        <v>16.405000000000001</v>
      </c>
      <c r="L471" s="47">
        <f>'Fiscal Forecasts'!L$141</f>
        <v>14.760999999999999</v>
      </c>
      <c r="M471" s="47">
        <f>'Fiscal Forecasts'!M$141</f>
        <v>14.428000000000001</v>
      </c>
      <c r="N471" s="47">
        <f>'Fiscal Forecasts'!N$141</f>
        <v>14.282999999999999</v>
      </c>
      <c r="O471" s="47">
        <f>'Fiscal Forecasts'!O$141</f>
        <v>14.246</v>
      </c>
      <c r="P471" s="47">
        <f>'Fiscal Forecasts'!P$141</f>
        <v>14.132999999999999</v>
      </c>
      <c r="Q471" s="21">
        <f t="shared" ref="Q471:Z471" ca="1" si="264">Q$470+(P$471-P$470)*(1+Q$29)</f>
        <v>14.384039999999999</v>
      </c>
      <c r="R471" s="21">
        <f t="shared" ca="1" si="264"/>
        <v>14.671720799999999</v>
      </c>
      <c r="S471" s="21">
        <f t="shared" ca="1" si="264"/>
        <v>14.965155215999999</v>
      </c>
      <c r="T471" s="21">
        <f t="shared" ca="1" si="264"/>
        <v>15.264458320319999</v>
      </c>
      <c r="U471" s="21">
        <f t="shared" ca="1" si="264"/>
        <v>15.569747486726399</v>
      </c>
      <c r="V471" s="21">
        <f t="shared" ca="1" si="264"/>
        <v>15.881142436460927</v>
      </c>
      <c r="W471" s="21">
        <f t="shared" ca="1" si="264"/>
        <v>16.198765285190145</v>
      </c>
      <c r="X471" s="21">
        <f t="shared" ca="1" si="264"/>
        <v>16.522740590893946</v>
      </c>
      <c r="Y471" s="21">
        <f t="shared" ca="1" si="264"/>
        <v>16.853195402711826</v>
      </c>
      <c r="Z471" s="21">
        <f t="shared" ca="1" si="264"/>
        <v>17.190259310766063</v>
      </c>
    </row>
    <row r="473" spans="1:26" x14ac:dyDescent="0.25">
      <c r="A473" s="11" t="s">
        <v>1404</v>
      </c>
    </row>
    <row r="474" spans="1:26" x14ac:dyDescent="0.25">
      <c r="A474" s="12" t="s">
        <v>1111</v>
      </c>
      <c r="B474" s="14" t="str">
        <f t="shared" ref="B474:B480" si="265">$B$38</f>
        <v>From Fiscal Forecasts</v>
      </c>
      <c r="D474" s="50">
        <f>'Fiscal Forecasts'!D$387</f>
        <v>83.715999999999994</v>
      </c>
      <c r="E474" s="50">
        <f>'Fiscal Forecasts'!E$387</f>
        <v>84.31</v>
      </c>
      <c r="F474" s="50">
        <f>'Fiscal Forecasts'!F$387</f>
        <v>96.551000000000002</v>
      </c>
      <c r="G474" s="50">
        <f>'Fiscal Forecasts'!G$387</f>
        <v>105.48699999999999</v>
      </c>
      <c r="H474" s="50">
        <f>'Fiscal Forecasts'!H$387</f>
        <v>111.292</v>
      </c>
      <c r="I474" s="50">
        <f>'Fiscal Forecasts'!I$387</f>
        <v>116.73699999999999</v>
      </c>
      <c r="J474" s="50">
        <f>'Fiscal Forecasts'!J$387</f>
        <v>123.536</v>
      </c>
      <c r="K474" s="50">
        <f>'Fiscal Forecasts'!K$387</f>
        <v>129.00200000000001</v>
      </c>
      <c r="L474" s="48">
        <f>'Fiscal Forecasts'!L$387</f>
        <v>132.791</v>
      </c>
      <c r="M474" s="48">
        <f>'Fiscal Forecasts'!M$387</f>
        <v>143.83000000000001</v>
      </c>
      <c r="N474" s="48">
        <f>'Fiscal Forecasts'!N$387</f>
        <v>152.727</v>
      </c>
      <c r="O474" s="48">
        <f>'Fiscal Forecasts'!O$387</f>
        <v>161.23400000000001</v>
      </c>
      <c r="P474" s="48">
        <f>'Fiscal Forecasts'!P$387</f>
        <v>169.50700000000001</v>
      </c>
      <c r="Q474" s="20">
        <f t="shared" ref="Q474:Z474" ca="1" si="266">SUM(Q$142,Q$376,Q$443-P$443)-SUM(Q$351-P$351,Q$273)</f>
        <v>175.988481001586</v>
      </c>
      <c r="R474" s="20">
        <f t="shared" ca="1" si="266"/>
        <v>182.88392420338661</v>
      </c>
      <c r="S474" s="20">
        <f t="shared" ca="1" si="266"/>
        <v>190.10178641277807</v>
      </c>
      <c r="T474" s="20">
        <f t="shared" ca="1" si="266"/>
        <v>197.80489462263114</v>
      </c>
      <c r="U474" s="20">
        <f t="shared" ca="1" si="266"/>
        <v>205.89504788318922</v>
      </c>
      <c r="V474" s="20">
        <f t="shared" ca="1" si="266"/>
        <v>214.27140906409105</v>
      </c>
      <c r="W474" s="20">
        <f t="shared" ca="1" si="266"/>
        <v>222.88527003557277</v>
      </c>
      <c r="X474" s="20">
        <f t="shared" ca="1" si="266"/>
        <v>231.74832972171311</v>
      </c>
      <c r="Y474" s="20">
        <f t="shared" ca="1" si="266"/>
        <v>240.90522559104033</v>
      </c>
      <c r="Z474" s="20">
        <f t="shared" ca="1" si="266"/>
        <v>250.36376486952989</v>
      </c>
    </row>
    <row r="475" spans="1:26" x14ac:dyDescent="0.25">
      <c r="A475" s="12" t="s">
        <v>899</v>
      </c>
      <c r="B475" s="14" t="str">
        <f t="shared" si="265"/>
        <v>From Fiscal Forecasts</v>
      </c>
      <c r="D475" s="50">
        <f>'Fiscal Forecasts'!D$388</f>
        <v>1.359</v>
      </c>
      <c r="E475" s="50">
        <f>'Fiscal Forecasts'!E$388</f>
        <v>1.226</v>
      </c>
      <c r="F475" s="50">
        <f>'Fiscal Forecasts'!F$388</f>
        <v>2.2869999999999999</v>
      </c>
      <c r="G475" s="50">
        <f>'Fiscal Forecasts'!G$388</f>
        <v>3.3639999999999999</v>
      </c>
      <c r="H475" s="50">
        <f>'Fiscal Forecasts'!H$388</f>
        <v>2.492</v>
      </c>
      <c r="I475" s="50">
        <f>'Fiscal Forecasts'!I$388</f>
        <v>1.79</v>
      </c>
      <c r="J475" s="50">
        <f>'Fiscal Forecasts'!J$388</f>
        <v>1.9159999999999999</v>
      </c>
      <c r="K475" s="50">
        <f>'Fiscal Forecasts'!K$388</f>
        <v>1.829</v>
      </c>
      <c r="L475" s="48">
        <f>'Fiscal Forecasts'!L$388</f>
        <v>2.0750000000000002</v>
      </c>
      <c r="M475" s="48">
        <f>'Fiscal Forecasts'!M$388</f>
        <v>2.3180000000000001</v>
      </c>
      <c r="N475" s="48">
        <f>'Fiscal Forecasts'!N$388</f>
        <v>2.2839999999999998</v>
      </c>
      <c r="O475" s="48">
        <f>'Fiscal Forecasts'!O$388</f>
        <v>2.2469999999999999</v>
      </c>
      <c r="P475" s="48">
        <f>'Fiscal Forecasts'!P$388</f>
        <v>2.1859999999999999</v>
      </c>
      <c r="Q475" s="20">
        <f t="shared" ref="Q475:Z475" ca="1" si="267">SUM(Q$146,Q$151)</f>
        <v>2.5836072037006064</v>
      </c>
      <c r="R475" s="20">
        <f t="shared" ca="1" si="267"/>
        <v>2.6664345532857028</v>
      </c>
      <c r="S475" s="20">
        <f t="shared" ca="1" si="267"/>
        <v>2.7510619086961858</v>
      </c>
      <c r="T475" s="20">
        <f t="shared" ca="1" si="267"/>
        <v>2.8366891544140054</v>
      </c>
      <c r="U475" s="20">
        <f t="shared" ca="1" si="267"/>
        <v>2.9247796313687799</v>
      </c>
      <c r="V475" s="20">
        <f t="shared" ca="1" si="267"/>
        <v>3.0145825292665065</v>
      </c>
      <c r="W475" s="20">
        <f t="shared" ca="1" si="267"/>
        <v>3.1038362788321723</v>
      </c>
      <c r="X475" s="20">
        <f t="shared" ca="1" si="267"/>
        <v>3.1949687962199564</v>
      </c>
      <c r="Y475" s="20">
        <f t="shared" ca="1" si="267"/>
        <v>3.2888643701806703</v>
      </c>
      <c r="Z475" s="20">
        <f t="shared" ca="1" si="267"/>
        <v>3.3848166078557522</v>
      </c>
    </row>
    <row r="476" spans="1:26" x14ac:dyDescent="0.25">
      <c r="A476" s="12" t="s">
        <v>1112</v>
      </c>
      <c r="B476" s="14" t="str">
        <f t="shared" si="265"/>
        <v>From Fiscal Forecasts</v>
      </c>
      <c r="D476" s="50">
        <f>'Fiscal Forecasts'!D$389</f>
        <v>0.71199999999999997</v>
      </c>
      <c r="E476" s="50">
        <f>'Fiscal Forecasts'!E$389</f>
        <v>0.42799999999999999</v>
      </c>
      <c r="F476" s="50">
        <f>'Fiscal Forecasts'!F$389</f>
        <v>0.249</v>
      </c>
      <c r="G476" s="50">
        <f>'Fiscal Forecasts'!G$389</f>
        <v>0.39300000000000002</v>
      </c>
      <c r="H476" s="50">
        <f>'Fiscal Forecasts'!H$389</f>
        <v>0.98199999999999998</v>
      </c>
      <c r="I476" s="50">
        <f>'Fiscal Forecasts'!I$389</f>
        <v>1.8779999999999999</v>
      </c>
      <c r="J476" s="50">
        <f>'Fiscal Forecasts'!J$389</f>
        <v>3.3290000000000002</v>
      </c>
      <c r="K476" s="50">
        <f>'Fiscal Forecasts'!K$389</f>
        <v>2.9820000000000002</v>
      </c>
      <c r="L476" s="48">
        <f>'Fiscal Forecasts'!L$389</f>
        <v>1.5740000000000001</v>
      </c>
      <c r="M476" s="48">
        <f>'Fiscal Forecasts'!M$389</f>
        <v>0.9</v>
      </c>
      <c r="N476" s="48">
        <f>'Fiscal Forecasts'!N$389</f>
        <v>1.7070000000000001</v>
      </c>
      <c r="O476" s="48">
        <f>'Fiscal Forecasts'!O$389</f>
        <v>2.1059999999999999</v>
      </c>
      <c r="P476" s="48">
        <f>'Fiscal Forecasts'!P$389</f>
        <v>2.0499999999999998</v>
      </c>
      <c r="Q476" s="20">
        <f t="shared" ref="Q476:Z476" ca="1" si="268">SUM(Q$154,Q$169,Q$177)</f>
        <v>4.9972801498208321</v>
      </c>
      <c r="R476" s="20">
        <f t="shared" ca="1" si="268"/>
        <v>5.1598146268074663</v>
      </c>
      <c r="S476" s="20">
        <f t="shared" ca="1" si="268"/>
        <v>5.3258813067061528</v>
      </c>
      <c r="T476" s="20">
        <f t="shared" ca="1" si="268"/>
        <v>5.4939100999521955</v>
      </c>
      <c r="U476" s="20">
        <f t="shared" ca="1" si="268"/>
        <v>5.6667725623039269</v>
      </c>
      <c r="V476" s="20">
        <f t="shared" ca="1" si="268"/>
        <v>5.8429953572479461</v>
      </c>
      <c r="W476" s="20">
        <f t="shared" ca="1" si="268"/>
        <v>6.0181405427140984</v>
      </c>
      <c r="X476" s="20">
        <f t="shared" ca="1" si="268"/>
        <v>6.1969724880111139</v>
      </c>
      <c r="Y476" s="20">
        <f t="shared" ca="1" si="268"/>
        <v>6.3812264582457301</v>
      </c>
      <c r="Z476" s="20">
        <f t="shared" ca="1" si="268"/>
        <v>6.5695162785084653</v>
      </c>
    </row>
    <row r="477" spans="1:26" x14ac:dyDescent="0.25">
      <c r="A477" s="12" t="s">
        <v>900</v>
      </c>
      <c r="B477" s="14" t="str">
        <f t="shared" si="265"/>
        <v>From Fiscal Forecasts</v>
      </c>
      <c r="D477" s="50">
        <f>'Fiscal Forecasts'!D$390</f>
        <v>3.2</v>
      </c>
      <c r="E477" s="50">
        <f>'Fiscal Forecasts'!E$390</f>
        <v>3.2429999999999999</v>
      </c>
      <c r="F477" s="50">
        <f>'Fiscal Forecasts'!F$390</f>
        <v>2.98</v>
      </c>
      <c r="G477" s="50">
        <f>'Fiscal Forecasts'!G$390</f>
        <v>2.883</v>
      </c>
      <c r="H477" s="50">
        <f>'Fiscal Forecasts'!H$390</f>
        <v>3.9540000000000002</v>
      </c>
      <c r="I477" s="50">
        <f>'Fiscal Forecasts'!I$390</f>
        <v>3.7789999999999999</v>
      </c>
      <c r="J477" s="50">
        <f>'Fiscal Forecasts'!J$390</f>
        <v>3.7040000000000002</v>
      </c>
      <c r="K477" s="50">
        <f>'Fiscal Forecasts'!K$390</f>
        <v>4.173</v>
      </c>
      <c r="L477" s="48">
        <f>'Fiscal Forecasts'!L$390</f>
        <v>3.956</v>
      </c>
      <c r="M477" s="48">
        <f>'Fiscal Forecasts'!M$390</f>
        <v>4.133</v>
      </c>
      <c r="N477" s="48">
        <f>'Fiscal Forecasts'!N$390</f>
        <v>4.359</v>
      </c>
      <c r="O477" s="48">
        <f>'Fiscal Forecasts'!O$390</f>
        <v>4.4089999999999998</v>
      </c>
      <c r="P477" s="48">
        <f>'Fiscal Forecasts'!P$390</f>
        <v>4.5069999999999997</v>
      </c>
      <c r="Q477" s="20">
        <f t="shared" ref="Q477:Z477" ca="1" si="269">SUM(Q$160,Q$332)</f>
        <v>3.7728371999999997</v>
      </c>
      <c r="R477" s="20">
        <f t="shared" ca="1" si="269"/>
        <v>3.8482939439999999</v>
      </c>
      <c r="S477" s="20">
        <f t="shared" ca="1" si="269"/>
        <v>3.9252598228800002</v>
      </c>
      <c r="T477" s="20">
        <f t="shared" ca="1" si="269"/>
        <v>4.0037650193376004</v>
      </c>
      <c r="U477" s="20">
        <f t="shared" ca="1" si="269"/>
        <v>4.0838403197243522</v>
      </c>
      <c r="V477" s="20">
        <f t="shared" ca="1" si="269"/>
        <v>4.1655171261188393</v>
      </c>
      <c r="W477" s="20">
        <f t="shared" ca="1" si="269"/>
        <v>4.2488274686412169</v>
      </c>
      <c r="X477" s="20">
        <f t="shared" ca="1" si="269"/>
        <v>4.3338040180140416</v>
      </c>
      <c r="Y477" s="20">
        <f t="shared" ca="1" si="269"/>
        <v>4.4204800983743215</v>
      </c>
      <c r="Z477" s="20">
        <f t="shared" ca="1" si="269"/>
        <v>4.5088897003418085</v>
      </c>
    </row>
    <row r="478" spans="1:26" x14ac:dyDescent="0.25">
      <c r="A478" s="12" t="s">
        <v>870</v>
      </c>
      <c r="B478" s="14" t="str">
        <f t="shared" si="265"/>
        <v>From Fiscal Forecasts</v>
      </c>
      <c r="D478" s="50">
        <f>'Fiscal Forecasts'!D$391</f>
        <v>28.91</v>
      </c>
      <c r="E478" s="50">
        <f>'Fiscal Forecasts'!E$391</f>
        <v>43.915999999999997</v>
      </c>
      <c r="F478" s="50">
        <f>'Fiscal Forecasts'!F$391</f>
        <v>36.573999999999998</v>
      </c>
      <c r="G478" s="50">
        <f>'Fiscal Forecasts'!G$391</f>
        <v>45.44</v>
      </c>
      <c r="H478" s="50">
        <f>'Fiscal Forecasts'!H$391</f>
        <v>40.417000000000002</v>
      </c>
      <c r="I478" s="50">
        <f>'Fiscal Forecasts'!I$391</f>
        <v>43.494999999999997</v>
      </c>
      <c r="J478" s="50">
        <f>'Fiscal Forecasts'!J$391</f>
        <v>47.421999999999997</v>
      </c>
      <c r="K478" s="50">
        <f>'Fiscal Forecasts'!K$391</f>
        <v>49.707000000000001</v>
      </c>
      <c r="L478" s="48">
        <f>'Fiscal Forecasts'!L$391</f>
        <v>51.792999999999999</v>
      </c>
      <c r="M478" s="48">
        <f>'Fiscal Forecasts'!M$391</f>
        <v>53.119</v>
      </c>
      <c r="N478" s="48">
        <f>'Fiscal Forecasts'!N$391</f>
        <v>54.475999999999999</v>
      </c>
      <c r="O478" s="48">
        <f>'Fiscal Forecasts'!O$391</f>
        <v>56.414999999999999</v>
      </c>
      <c r="P478" s="48">
        <f>'Fiscal Forecasts'!P$391</f>
        <v>58.664999999999999</v>
      </c>
      <c r="Q478" s="20">
        <f t="shared" ref="Q478:Z478" ca="1" si="270">Q$195</f>
        <v>59.10456213375442</v>
      </c>
      <c r="R478" s="20">
        <f t="shared" ca="1" si="270"/>
        <v>61.74023700058391</v>
      </c>
      <c r="S478" s="20">
        <f t="shared" ca="1" si="270"/>
        <v>64.469799952134792</v>
      </c>
      <c r="T478" s="20">
        <f t="shared" ca="1" si="270"/>
        <v>67.280230577711919</v>
      </c>
      <c r="U478" s="20">
        <f t="shared" ca="1" si="270"/>
        <v>70.249267855938541</v>
      </c>
      <c r="V478" s="20">
        <f t="shared" ca="1" si="270"/>
        <v>73.285258596479949</v>
      </c>
      <c r="W478" s="20">
        <f t="shared" ca="1" si="270"/>
        <v>76.330855742633858</v>
      </c>
      <c r="X478" s="20">
        <f t="shared" ca="1" si="270"/>
        <v>79.398091511624841</v>
      </c>
      <c r="Y478" s="20">
        <f t="shared" ca="1" si="270"/>
        <v>82.473442912902243</v>
      </c>
      <c r="Z478" s="20">
        <f t="shared" ca="1" si="270"/>
        <v>85.578471046868486</v>
      </c>
    </row>
    <row r="479" spans="1:26" x14ac:dyDescent="0.25">
      <c r="A479" s="12" t="s">
        <v>1405</v>
      </c>
      <c r="B479" s="14" t="str">
        <f t="shared" si="265"/>
        <v>From Fiscal Forecasts</v>
      </c>
      <c r="D479" s="50">
        <f>'Fiscal Forecasts'!D$392</f>
        <v>50.591000000000001</v>
      </c>
      <c r="E479" s="50">
        <f>'Fiscal Forecasts'!E$392</f>
        <v>56.582999999999998</v>
      </c>
      <c r="F479" s="50">
        <f>'Fiscal Forecasts'!F$392</f>
        <v>63.893999999999998</v>
      </c>
      <c r="G479" s="50">
        <f>'Fiscal Forecasts'!G$392</f>
        <v>71.98</v>
      </c>
      <c r="H479" s="50">
        <f>'Fiscal Forecasts'!H$392</f>
        <v>76.433999999999997</v>
      </c>
      <c r="I479" s="50">
        <f>'Fiscal Forecasts'!I$392</f>
        <v>79.747</v>
      </c>
      <c r="J479" s="50">
        <f>'Fiscal Forecasts'!J$392</f>
        <v>79.742000000000004</v>
      </c>
      <c r="K479" s="50">
        <f>'Fiscal Forecasts'!K$392</f>
        <v>83.323999999999998</v>
      </c>
      <c r="L479" s="48">
        <f ca="1">'Fiscal Forecasts'!L$392+IF(OFFSET(Assumptions!$B$57,0,$C$1)="Yes",SUM(Allocation!C$10:C$20),0)</f>
        <v>89.21</v>
      </c>
      <c r="M479" s="48">
        <f ca="1">'Fiscal Forecasts'!M$392+IF(OFFSET(Assumptions!$B$57,0,$C$1)="Yes",SUM(Allocation!D$10:D$20),0)</f>
        <v>85.76</v>
      </c>
      <c r="N479" s="48">
        <f ca="1">'Fiscal Forecasts'!N$392+IF(OFFSET(Assumptions!$B$57,0,$C$1)="Yes",SUM(Allocation!E$10:E$20),0)</f>
        <v>85.373999999999995</v>
      </c>
      <c r="O479" s="48">
        <f ca="1">'Fiscal Forecasts'!O$392+IF(OFFSET(Assumptions!$B$57,0,$C$1)="Yes",SUM(Allocation!F$10:F$20),0)</f>
        <v>84.783000000000001</v>
      </c>
      <c r="P479" s="48">
        <f ca="1">'Fiscal Forecasts'!P$392+IF(OFFSET(Assumptions!$B$57,0,$C$1)="Yes",SUM(Allocation!G$10:G$20),0)</f>
        <v>85.192999999999998</v>
      </c>
      <c r="Q479" s="20">
        <f t="shared" ref="Q479:Z479" ca="1" si="271">SUM(Q$208,Q$223,Q$238)-SUM(Q$219,Q$263,Q$271,Q$273,Q$313,Q$457-P$457,Q$463-P$463)</f>
        <v>86.572361659650255</v>
      </c>
      <c r="R479" s="20">
        <f t="shared" ca="1" si="271"/>
        <v>86.545749501531347</v>
      </c>
      <c r="S479" s="20">
        <f t="shared" ca="1" si="271"/>
        <v>86.499710605620962</v>
      </c>
      <c r="T479" s="20">
        <f t="shared" ca="1" si="271"/>
        <v>86.6717174642462</v>
      </c>
      <c r="U479" s="20">
        <f t="shared" ca="1" si="271"/>
        <v>86.947118308279457</v>
      </c>
      <c r="V479" s="20">
        <f t="shared" ca="1" si="271"/>
        <v>87.236022230076145</v>
      </c>
      <c r="W479" s="20">
        <f t="shared" ca="1" si="271"/>
        <v>87.532544775225745</v>
      </c>
      <c r="X479" s="20">
        <f t="shared" ca="1" si="271"/>
        <v>87.837312792361459</v>
      </c>
      <c r="Y479" s="20">
        <f t="shared" ca="1" si="271"/>
        <v>88.151339803902403</v>
      </c>
      <c r="Z479" s="20">
        <f t="shared" ca="1" si="271"/>
        <v>88.476171650426721</v>
      </c>
    </row>
    <row r="480" spans="1:26" x14ac:dyDescent="0.25">
      <c r="A480" s="12" t="s">
        <v>904</v>
      </c>
      <c r="B480" s="14" t="str">
        <f t="shared" si="265"/>
        <v>From Fiscal Forecasts</v>
      </c>
      <c r="D480" s="50">
        <f>'Fiscal Forecasts'!D$393</f>
        <v>3.45</v>
      </c>
      <c r="E480" s="50">
        <f>'Fiscal Forecasts'!E$393</f>
        <v>3.016</v>
      </c>
      <c r="F480" s="50">
        <f>'Fiscal Forecasts'!F$393</f>
        <v>2.6419999999999999</v>
      </c>
      <c r="G480" s="50">
        <f>'Fiscal Forecasts'!G$393</f>
        <v>2.8410000000000002</v>
      </c>
      <c r="H480" s="50">
        <f>'Fiscal Forecasts'!H$393</f>
        <v>5.3049999999999997</v>
      </c>
      <c r="I480" s="50">
        <f>'Fiscal Forecasts'!I$393</f>
        <v>7.0439999999999996</v>
      </c>
      <c r="J480" s="50">
        <f>'Fiscal Forecasts'!J$393</f>
        <v>7.0010000000000003</v>
      </c>
      <c r="K480" s="50">
        <f>'Fiscal Forecasts'!K$393</f>
        <v>7.1029999999999998</v>
      </c>
      <c r="L480" s="48">
        <f>'Fiscal Forecasts'!L$393</f>
        <v>8.2070000000000007</v>
      </c>
      <c r="M480" s="48">
        <f>'Fiscal Forecasts'!M$393</f>
        <v>9.19</v>
      </c>
      <c r="N480" s="48">
        <f>'Fiscal Forecasts'!N$393</f>
        <v>10.423999999999999</v>
      </c>
      <c r="O480" s="48">
        <f>'Fiscal Forecasts'!O$393</f>
        <v>11.253</v>
      </c>
      <c r="P480" s="48">
        <f>'Fiscal Forecasts'!P$393</f>
        <v>11.305</v>
      </c>
      <c r="Q480" s="20">
        <f t="shared" ref="Q480:Z480" ca="1" si="272">(2*P$71-SUM(Q$474:Q$477,Q$488,Q$494)+SUM(Q$478,Q$479,Q$481,Q$493,Q$345-P$345))/(2/Q$235-1)</f>
        <v>13.600419708639748</v>
      </c>
      <c r="R480" s="20">
        <f t="shared" ca="1" si="272"/>
        <v>13.485461167836855</v>
      </c>
      <c r="S480" s="20">
        <f t="shared" ca="1" si="272"/>
        <v>13.271610328921172</v>
      </c>
      <c r="T480" s="20">
        <f t="shared" ca="1" si="272"/>
        <v>12.937541264511243</v>
      </c>
      <c r="U480" s="20">
        <f t="shared" ca="1" si="272"/>
        <v>12.475856670758571</v>
      </c>
      <c r="V480" s="20">
        <f t="shared" ca="1" si="272"/>
        <v>11.809058564155048</v>
      </c>
      <c r="W480" s="20">
        <f t="shared" ca="1" si="272"/>
        <v>11.009641325816213</v>
      </c>
      <c r="X480" s="20">
        <f t="shared" ca="1" si="272"/>
        <v>10.072077724763467</v>
      </c>
      <c r="Y480" s="20">
        <f t="shared" ca="1" si="272"/>
        <v>8.9910328819959595</v>
      </c>
      <c r="Z480" s="20">
        <f t="shared" ca="1" si="272"/>
        <v>7.7603497769980789</v>
      </c>
    </row>
    <row r="481" spans="1:26" x14ac:dyDescent="0.25">
      <c r="A481" s="12" t="s">
        <v>1185</v>
      </c>
      <c r="D481" s="50">
        <f t="shared" ref="D481:Z481" si="273">SUM(D$246,D$249)</f>
        <v>0</v>
      </c>
      <c r="E481" s="50">
        <f t="shared" si="273"/>
        <v>0</v>
      </c>
      <c r="F481" s="50">
        <f t="shared" si="273"/>
        <v>0</v>
      </c>
      <c r="G481" s="50">
        <f t="shared" si="273"/>
        <v>0</v>
      </c>
      <c r="H481" s="50">
        <f t="shared" si="273"/>
        <v>0</v>
      </c>
      <c r="I481" s="50">
        <f t="shared" si="273"/>
        <v>0</v>
      </c>
      <c r="J481" s="50">
        <f t="shared" si="273"/>
        <v>0</v>
      </c>
      <c r="K481" s="50">
        <f t="shared" si="273"/>
        <v>0</v>
      </c>
      <c r="L481" s="48">
        <f t="shared" ca="1" si="273"/>
        <v>-1.3420000000000001</v>
      </c>
      <c r="M481" s="48">
        <f t="shared" ca="1" si="273"/>
        <v>2.1680000000000001</v>
      </c>
      <c r="N481" s="48">
        <f t="shared" ca="1" si="273"/>
        <v>4.375</v>
      </c>
      <c r="O481" s="48">
        <f t="shared" ca="1" si="273"/>
        <v>7.1329999999999982</v>
      </c>
      <c r="P481" s="48">
        <f t="shared" ca="1" si="273"/>
        <v>9.4659999999999993</v>
      </c>
      <c r="Q481" s="20">
        <f t="shared" ca="1" si="273"/>
        <v>12.516</v>
      </c>
      <c r="R481" s="20">
        <f t="shared" ca="1" si="273"/>
        <v>15.036</v>
      </c>
      <c r="S481" s="20">
        <f t="shared" ca="1" si="273"/>
        <v>17.681999999999999</v>
      </c>
      <c r="T481" s="20">
        <f t="shared" ca="1" si="273"/>
        <v>20.4603</v>
      </c>
      <c r="U481" s="20">
        <f t="shared" ca="1" si="273"/>
        <v>23.377515000000002</v>
      </c>
      <c r="V481" s="20">
        <f t="shared" ca="1" si="273"/>
        <v>26.440590750000005</v>
      </c>
      <c r="W481" s="20">
        <f t="shared" ca="1" si="273"/>
        <v>29.656820287500008</v>
      </c>
      <c r="X481" s="20">
        <f t="shared" ca="1" si="273"/>
        <v>33.033861301875007</v>
      </c>
      <c r="Y481" s="20">
        <f t="shared" ca="1" si="273"/>
        <v>36.579754366968757</v>
      </c>
      <c r="Z481" s="20">
        <f t="shared" ca="1" si="273"/>
        <v>40.302942085317198</v>
      </c>
    </row>
    <row r="482" spans="1:26" x14ac:dyDescent="0.25">
      <c r="A482" s="11" t="s">
        <v>1406</v>
      </c>
      <c r="D482" s="94">
        <f t="shared" ref="D482:K482" si="274">SUM(D$474:D$477)-SUM(D$478:D$481)</f>
        <v>6.0359999999999872</v>
      </c>
      <c r="E482" s="94">
        <f t="shared" si="274"/>
        <v>-14.308000000000007</v>
      </c>
      <c r="F482" s="94">
        <f t="shared" si="274"/>
        <v>-1.0429999999999779</v>
      </c>
      <c r="G482" s="94">
        <f t="shared" si="274"/>
        <v>-8.1340000000000003</v>
      </c>
      <c r="H482" s="94">
        <f t="shared" si="274"/>
        <v>-3.436000000000007</v>
      </c>
      <c r="I482" s="94">
        <f t="shared" si="274"/>
        <v>-6.1020000000000039</v>
      </c>
      <c r="J482" s="94">
        <f t="shared" si="274"/>
        <v>-1.6799999999999784</v>
      </c>
      <c r="K482" s="94">
        <f t="shared" si="274"/>
        <v>-2.1479999999999961</v>
      </c>
      <c r="L482" s="95">
        <f t="shared" ref="L482:Z482" ca="1" si="275">SUM(L$474:L$477)-SUM(L$478:L$481)</f>
        <v>-7.47199999999998</v>
      </c>
      <c r="M482" s="95">
        <f t="shared" ca="1" si="275"/>
        <v>0.94400000000001683</v>
      </c>
      <c r="N482" s="95">
        <f t="shared" ca="1" si="275"/>
        <v>6.4279999999999973</v>
      </c>
      <c r="O482" s="95">
        <f t="shared" ca="1" si="275"/>
        <v>10.411999999999949</v>
      </c>
      <c r="P482" s="95">
        <f t="shared" ca="1" si="275"/>
        <v>13.621000000000009</v>
      </c>
      <c r="Q482" s="96">
        <f t="shared" ca="1" si="275"/>
        <v>15.548862053063004</v>
      </c>
      <c r="R482" s="96">
        <f t="shared" ca="1" si="275"/>
        <v>17.751019657527678</v>
      </c>
      <c r="S482" s="96">
        <f t="shared" ca="1" si="275"/>
        <v>20.180868564383474</v>
      </c>
      <c r="T482" s="96">
        <f t="shared" ca="1" si="275"/>
        <v>22.789469589865575</v>
      </c>
      <c r="U482" s="96">
        <f t="shared" ca="1" si="275"/>
        <v>25.520682561609703</v>
      </c>
      <c r="V482" s="96">
        <f t="shared" ca="1" si="275"/>
        <v>28.523573936013179</v>
      </c>
      <c r="W482" s="96">
        <f t="shared" ca="1" si="275"/>
        <v>31.726212194584463</v>
      </c>
      <c r="X482" s="96">
        <f t="shared" ca="1" si="275"/>
        <v>35.132731693333483</v>
      </c>
      <c r="Y482" s="96">
        <f t="shared" ca="1" si="275"/>
        <v>38.800226552071706</v>
      </c>
      <c r="Z482" s="96">
        <f t="shared" ca="1" si="275"/>
        <v>42.709052896625394</v>
      </c>
    </row>
    <row r="483" spans="1:26" x14ac:dyDescent="0.25">
      <c r="A483" s="12" t="s">
        <v>1188</v>
      </c>
      <c r="B483" s="14" t="str">
        <f>$B$38</f>
        <v>From Fiscal Forecasts</v>
      </c>
      <c r="D483" s="50">
        <f>-'Fiscal Forecasts'!D$395</f>
        <v>3.0019999999999998</v>
      </c>
      <c r="E483" s="50">
        <f>-'Fiscal Forecasts'!E$395</f>
        <v>2.9550000000000001</v>
      </c>
      <c r="F483" s="50">
        <f>-'Fiscal Forecasts'!F$395</f>
        <v>3.137</v>
      </c>
      <c r="G483" s="50">
        <f>-'Fiscal Forecasts'!G$395</f>
        <v>3.4740000000000002</v>
      </c>
      <c r="H483" s="50">
        <f>-'Fiscal Forecasts'!H$395</f>
        <v>4.4349999999999996</v>
      </c>
      <c r="I483" s="50">
        <f>-'Fiscal Forecasts'!I$395</f>
        <v>4.7009999999999996</v>
      </c>
      <c r="J483" s="50">
        <f>-'Fiscal Forecasts'!J$395</f>
        <v>3.669</v>
      </c>
      <c r="K483" s="50">
        <f>-'Fiscal Forecasts'!K$395</f>
        <v>3.9510000000000001</v>
      </c>
      <c r="L483" s="48">
        <f>-'Fiscal Forecasts'!L$395</f>
        <v>4.55</v>
      </c>
      <c r="M483" s="48">
        <f>-'Fiscal Forecasts'!M$395</f>
        <v>4.2439999999999998</v>
      </c>
      <c r="N483" s="48">
        <f>-'Fiscal Forecasts'!N$395</f>
        <v>3.6379999999999999</v>
      </c>
      <c r="O483" s="48">
        <f>-'Fiscal Forecasts'!O$395</f>
        <v>2.8149999999999999</v>
      </c>
      <c r="P483" s="48">
        <f>-'Fiscal Forecasts'!P$395</f>
        <v>2.7480000000000002</v>
      </c>
      <c r="Q483" s="20">
        <f t="shared" ref="Q483:Z483" ca="1" si="276">SUM(Q$417-P$417,Q$215,Q$427-P$427,Q$219)</f>
        <v>3.158094136181139</v>
      </c>
      <c r="R483" s="20">
        <f t="shared" ca="1" si="276"/>
        <v>3.158094136181139</v>
      </c>
      <c r="S483" s="20">
        <f t="shared" ca="1" si="276"/>
        <v>3.158094136181139</v>
      </c>
      <c r="T483" s="20">
        <f t="shared" ca="1" si="276"/>
        <v>3.158094136181139</v>
      </c>
      <c r="U483" s="20">
        <f t="shared" ca="1" si="276"/>
        <v>3.158094136181139</v>
      </c>
      <c r="V483" s="20">
        <f t="shared" ca="1" si="276"/>
        <v>3.158094136181139</v>
      </c>
      <c r="W483" s="20">
        <f t="shared" ca="1" si="276"/>
        <v>3.158094136181139</v>
      </c>
      <c r="X483" s="20">
        <f t="shared" ca="1" si="276"/>
        <v>3.158094136181139</v>
      </c>
      <c r="Y483" s="20">
        <f t="shared" ca="1" si="276"/>
        <v>3.158094136181139</v>
      </c>
      <c r="Z483" s="20">
        <f t="shared" ca="1" si="276"/>
        <v>3.158094136181139</v>
      </c>
    </row>
    <row r="484" spans="1:26" x14ac:dyDescent="0.25">
      <c r="A484" s="12" t="s">
        <v>1407</v>
      </c>
      <c r="B484" s="14" t="str">
        <f>$B$38</f>
        <v>From Fiscal Forecasts</v>
      </c>
      <c r="D484" s="50">
        <f>-'Fiscal Forecasts'!D$396</f>
        <v>8.5999999999999993E-2</v>
      </c>
      <c r="E484" s="50">
        <f>-'Fiscal Forecasts'!E$396</f>
        <v>1.798</v>
      </c>
      <c r="F484" s="50">
        <f>-'Fiscal Forecasts'!F$396</f>
        <v>3.8679999999999999</v>
      </c>
      <c r="G484" s="50">
        <f>-'Fiscal Forecasts'!G$396</f>
        <v>9.1920000000000002</v>
      </c>
      <c r="H484" s="50">
        <f>-'Fiscal Forecasts'!H$396</f>
        <v>9.1590000000000007</v>
      </c>
      <c r="I484" s="50">
        <f>-'Fiscal Forecasts'!I$396</f>
        <v>2.5329999999999999</v>
      </c>
      <c r="J484" s="50">
        <f>-'Fiscal Forecasts'!J$396</f>
        <v>-6.194</v>
      </c>
      <c r="K484" s="50">
        <f>-'Fiscal Forecasts'!K$396</f>
        <v>-5.851</v>
      </c>
      <c r="L484" s="48">
        <f>-'Fiscal Forecasts'!L$396</f>
        <v>3.1070000000000002</v>
      </c>
      <c r="M484" s="48">
        <f>-'Fiscal Forecasts'!M$396</f>
        <v>2.2669999999999999</v>
      </c>
      <c r="N484" s="48">
        <f>-'Fiscal Forecasts'!N$396</f>
        <v>2.2570000000000001</v>
      </c>
      <c r="O484" s="48">
        <f>-'Fiscal Forecasts'!O$396</f>
        <v>1.9950000000000001</v>
      </c>
      <c r="P484" s="48">
        <f>-'Fiscal Forecasts'!P$396</f>
        <v>0.17799999999999999</v>
      </c>
      <c r="Q484" s="20">
        <f t="shared" ref="Q484:Z484" ca="1" si="277">SUM(Q$392-P$392-Q$404+Q$402,Q$393-P$393)</f>
        <v>0.85843999999999943</v>
      </c>
      <c r="R484" s="20">
        <f t="shared" ca="1" si="277"/>
        <v>0.85572880000000118</v>
      </c>
      <c r="S484" s="20">
        <f t="shared" ca="1" si="277"/>
        <v>0.85222337600000087</v>
      </c>
      <c r="T484" s="20">
        <f t="shared" ca="1" si="277"/>
        <v>0.84592784352000239</v>
      </c>
      <c r="U484" s="20">
        <f t="shared" ca="1" si="277"/>
        <v>0.83984640039040104</v>
      </c>
      <c r="V484" s="20">
        <f t="shared" ca="1" si="277"/>
        <v>0.83698332839820877</v>
      </c>
      <c r="W484" s="20">
        <f t="shared" ca="1" si="277"/>
        <v>0.83434299496617392</v>
      </c>
      <c r="X484" s="20">
        <f t="shared" ca="1" si="277"/>
        <v>0.83592985486549598</v>
      </c>
      <c r="Y484" s="20">
        <f t="shared" ca="1" si="277"/>
        <v>0.84374845196280901</v>
      </c>
      <c r="Z484" s="20">
        <f t="shared" ca="1" si="277"/>
        <v>0.8518034210020613</v>
      </c>
    </row>
    <row r="485" spans="1:26" x14ac:dyDescent="0.25">
      <c r="A485" s="12" t="s">
        <v>1408</v>
      </c>
      <c r="B485" s="14" t="str">
        <f>$B$38</f>
        <v>From Fiscal Forecasts</v>
      </c>
      <c r="D485" s="50">
        <f>-'Fiscal Forecasts'!D$397</f>
        <v>2.6579999999999999</v>
      </c>
      <c r="E485" s="50">
        <f>-'Fiscal Forecasts'!E$397</f>
        <v>3.1709999999999998</v>
      </c>
      <c r="F485" s="50">
        <f>-'Fiscal Forecasts'!F$397</f>
        <v>3.5990000000000002</v>
      </c>
      <c r="G485" s="50">
        <f>-'Fiscal Forecasts'!G$397</f>
        <v>3.823</v>
      </c>
      <c r="H485" s="50">
        <f>-'Fiscal Forecasts'!H$397</f>
        <v>6.06</v>
      </c>
      <c r="I485" s="50">
        <f>-'Fiscal Forecasts'!I$397</f>
        <v>4.3520000000000003</v>
      </c>
      <c r="J485" s="50">
        <f>-'Fiscal Forecasts'!J$397</f>
        <v>5.9619999999999997</v>
      </c>
      <c r="K485" s="50">
        <f>-'Fiscal Forecasts'!K$397</f>
        <v>4.6440000000000001</v>
      </c>
      <c r="L485" s="48">
        <f>-'Fiscal Forecasts'!L$397</f>
        <v>6.3</v>
      </c>
      <c r="M485" s="48">
        <f>-'Fiscal Forecasts'!M$397</f>
        <v>5.4260000000000002</v>
      </c>
      <c r="N485" s="48">
        <f>-'Fiscal Forecasts'!N$397</f>
        <v>3.84</v>
      </c>
      <c r="O485" s="48">
        <f>-'Fiscal Forecasts'!O$397</f>
        <v>2.5550000000000002</v>
      </c>
      <c r="P485" s="48">
        <f>-'Fiscal Forecasts'!P$397</f>
        <v>1.756</v>
      </c>
      <c r="Q485" s="20">
        <f t="shared" ref="Q485:Z485" ca="1" si="278">SUM(Q$423-P$423,-Q$340)</f>
        <v>-1.0435308893054404E-2</v>
      </c>
      <c r="R485" s="20">
        <f t="shared" ca="1" si="278"/>
        <v>-1.0879489201897944E-2</v>
      </c>
      <c r="S485" s="20">
        <f t="shared" ca="1" si="278"/>
        <v>-1.1335437084572445E-2</v>
      </c>
      <c r="T485" s="20">
        <f t="shared" ca="1" si="278"/>
        <v>-1.1802086073035397E-2</v>
      </c>
      <c r="U485" s="20">
        <f t="shared" ca="1" si="278"/>
        <v>-1.2285007456109151E-2</v>
      </c>
      <c r="V485" s="20">
        <f t="shared" ca="1" si="278"/>
        <v>-1.2784372979015064E-2</v>
      </c>
      <c r="W485" s="20">
        <f t="shared" ca="1" si="278"/>
        <v>-1.3297663350946046E-2</v>
      </c>
      <c r="X485" s="20">
        <f t="shared" ca="1" si="278"/>
        <v>-1.3825734358114281E-2</v>
      </c>
      <c r="Y485" s="20">
        <f t="shared" ca="1" si="278"/>
        <v>-1.4371347480635113E-2</v>
      </c>
      <c r="Z485" s="20">
        <f t="shared" ca="1" si="278"/>
        <v>-1.4934643440266305E-2</v>
      </c>
    </row>
    <row r="486" spans="1:26" x14ac:dyDescent="0.25">
      <c r="A486" s="12" t="s">
        <v>1409</v>
      </c>
      <c r="D486" s="50">
        <f t="shared" ref="D486:Z486" si="279">D$380</f>
        <v>1</v>
      </c>
      <c r="E486" s="50">
        <f t="shared" si="279"/>
        <v>1.46</v>
      </c>
      <c r="F486" s="50">
        <f t="shared" si="279"/>
        <v>2.12</v>
      </c>
      <c r="G486" s="50">
        <f t="shared" si="279"/>
        <v>2.42</v>
      </c>
      <c r="H486" s="50">
        <f t="shared" si="279"/>
        <v>2.5579999999999998</v>
      </c>
      <c r="I486" s="50">
        <f t="shared" si="279"/>
        <v>1.6140000000000001</v>
      </c>
      <c r="J486" s="50">
        <f t="shared" si="279"/>
        <v>0.879</v>
      </c>
      <c r="K486" s="50">
        <f t="shared" si="279"/>
        <v>0</v>
      </c>
      <c r="L486" s="48">
        <f t="shared" si="279"/>
        <v>0.56200000000000006</v>
      </c>
      <c r="M486" s="48">
        <f t="shared" si="279"/>
        <v>0.155</v>
      </c>
      <c r="N486" s="48">
        <f t="shared" si="279"/>
        <v>0.35</v>
      </c>
      <c r="O486" s="48">
        <f t="shared" si="279"/>
        <v>0.44900000000000001</v>
      </c>
      <c r="P486" s="48">
        <f t="shared" si="279"/>
        <v>0.47299999999999998</v>
      </c>
      <c r="Q486" s="20">
        <f t="shared" si="279"/>
        <v>0.35431289191672377</v>
      </c>
      <c r="R486" s="20">
        <f t="shared" si="279"/>
        <v>0.22475822866131523</v>
      </c>
      <c r="S486" s="20">
        <f t="shared" si="279"/>
        <v>7.8613672750343255E-2</v>
      </c>
      <c r="T486" s="20">
        <f t="shared" si="279"/>
        <v>-5.8113137154620631E-2</v>
      </c>
      <c r="U486" s="20">
        <f t="shared" si="279"/>
        <v>-0.24914726512719909</v>
      </c>
      <c r="V486" s="20">
        <f t="shared" si="279"/>
        <v>-0.40218976675939189</v>
      </c>
      <c r="W486" s="20">
        <f t="shared" si="279"/>
        <v>-0.48609182297989406</v>
      </c>
      <c r="X486" s="20">
        <f t="shared" si="279"/>
        <v>-0.50053159184796669</v>
      </c>
      <c r="Y486" s="20">
        <f t="shared" si="279"/>
        <v>-0.41817925544185641</v>
      </c>
      <c r="Z486" s="20">
        <f t="shared" si="279"/>
        <v>-0.2592683764618755</v>
      </c>
    </row>
    <row r="487" spans="1:26" x14ac:dyDescent="0.25">
      <c r="A487" s="12" t="s">
        <v>1193</v>
      </c>
      <c r="D487" s="50">
        <f t="shared" ref="D487:Z487" si="280">SUM(D$432-C$432,D$435-C$435)</f>
        <v>0</v>
      </c>
      <c r="E487" s="50">
        <f t="shared" si="280"/>
        <v>0</v>
      </c>
      <c r="F487" s="50">
        <f t="shared" si="280"/>
        <v>0</v>
      </c>
      <c r="G487" s="50">
        <f t="shared" si="280"/>
        <v>0</v>
      </c>
      <c r="H487" s="50">
        <f t="shared" si="280"/>
        <v>0</v>
      </c>
      <c r="I487" s="50">
        <f t="shared" si="280"/>
        <v>0</v>
      </c>
      <c r="J487" s="50">
        <f t="shared" si="280"/>
        <v>0</v>
      </c>
      <c r="K487" s="50">
        <f t="shared" si="280"/>
        <v>0</v>
      </c>
      <c r="L487" s="48">
        <f t="shared" si="280"/>
        <v>-6.0000000000000053E-3</v>
      </c>
      <c r="M487" s="48">
        <f t="shared" si="280"/>
        <v>2.3870000000000005</v>
      </c>
      <c r="N487" s="48">
        <f t="shared" si="280"/>
        <v>3.628000000000001</v>
      </c>
      <c r="O487" s="48">
        <f t="shared" si="280"/>
        <v>4.3800000000000008</v>
      </c>
      <c r="P487" s="48">
        <f t="shared" si="280"/>
        <v>5.168000000000001</v>
      </c>
      <c r="Q487" s="20">
        <f t="shared" ca="1" si="280"/>
        <v>5.0820000000000007</v>
      </c>
      <c r="R487" s="20">
        <f t="shared" ca="1" si="280"/>
        <v>5.3194999999999979</v>
      </c>
      <c r="S487" s="20">
        <f t="shared" ca="1" si="280"/>
        <v>5.4988749999999982</v>
      </c>
      <c r="T487" s="20">
        <f t="shared" ca="1" si="280"/>
        <v>5.5052187499999974</v>
      </c>
      <c r="U487" s="20">
        <f t="shared" ca="1" si="280"/>
        <v>5.780479687499998</v>
      </c>
      <c r="V487" s="20">
        <f t="shared" ca="1" si="280"/>
        <v>6.0695036718750046</v>
      </c>
      <c r="W487" s="20">
        <f t="shared" ca="1" si="280"/>
        <v>6.3729788554687516</v>
      </c>
      <c r="X487" s="20">
        <f t="shared" ca="1" si="280"/>
        <v>6.6916277982421875</v>
      </c>
      <c r="Y487" s="20">
        <f t="shared" ca="1" si="280"/>
        <v>7.0262091881542972</v>
      </c>
      <c r="Z487" s="20">
        <f t="shared" ca="1" si="280"/>
        <v>7.3775196475620106</v>
      </c>
    </row>
    <row r="488" spans="1:26" x14ac:dyDescent="0.25">
      <c r="A488" s="11" t="s">
        <v>1410</v>
      </c>
      <c r="D488" s="94">
        <f t="shared" ref="D488:K488" si="281">-SUM(D$483:D$487)</f>
        <v>-6.7459999999999996</v>
      </c>
      <c r="E488" s="94">
        <f t="shared" si="281"/>
        <v>-9.3840000000000003</v>
      </c>
      <c r="F488" s="94">
        <f t="shared" si="281"/>
        <v>-12.724</v>
      </c>
      <c r="G488" s="94">
        <f t="shared" si="281"/>
        <v>-18.908999999999999</v>
      </c>
      <c r="H488" s="94">
        <f t="shared" si="281"/>
        <v>-22.212</v>
      </c>
      <c r="I488" s="94">
        <f t="shared" si="281"/>
        <v>-13.200000000000001</v>
      </c>
      <c r="J488" s="94">
        <f t="shared" si="281"/>
        <v>-4.3159999999999998</v>
      </c>
      <c r="K488" s="94">
        <f t="shared" si="281"/>
        <v>-2.7440000000000002</v>
      </c>
      <c r="L488" s="95">
        <f>-SUM(L$483:L$487)</f>
        <v>-14.513</v>
      </c>
      <c r="M488" s="95">
        <f>-SUM(M$483:M$487)</f>
        <v>-14.478999999999999</v>
      </c>
      <c r="N488" s="95">
        <f>-SUM(N$483:N$487)</f>
        <v>-13.713000000000001</v>
      </c>
      <c r="O488" s="95">
        <f>-SUM(O$483:O$487)</f>
        <v>-12.194000000000001</v>
      </c>
      <c r="P488" s="95">
        <f>-SUM(P$483:P$487)</f>
        <v>-10.323</v>
      </c>
      <c r="Q488" s="96">
        <f t="shared" ref="Q488:Z488" ca="1" si="282">-SUM(Q$483:Q$487)</f>
        <v>-9.4424117192048094</v>
      </c>
      <c r="R488" s="96">
        <f t="shared" ca="1" si="282"/>
        <v>-9.5472016756405544</v>
      </c>
      <c r="S488" s="96">
        <f t="shared" ca="1" si="282"/>
        <v>-9.5764707478469084</v>
      </c>
      <c r="T488" s="96">
        <f t="shared" ca="1" si="282"/>
        <v>-9.4393255064734838</v>
      </c>
      <c r="U488" s="96">
        <f t="shared" ca="1" si="282"/>
        <v>-9.516987951488229</v>
      </c>
      <c r="V488" s="96">
        <f t="shared" ca="1" si="282"/>
        <v>-9.6496069967159457</v>
      </c>
      <c r="W488" s="96">
        <f t="shared" ca="1" si="282"/>
        <v>-9.8660265002852245</v>
      </c>
      <c r="X488" s="96">
        <f t="shared" ca="1" si="282"/>
        <v>-10.171294463082742</v>
      </c>
      <c r="Y488" s="96">
        <f t="shared" ca="1" si="282"/>
        <v>-10.595501173375753</v>
      </c>
      <c r="Z488" s="96">
        <f t="shared" ca="1" si="282"/>
        <v>-11.11321418484307</v>
      </c>
    </row>
    <row r="489" spans="1:26" x14ac:dyDescent="0.25">
      <c r="A489" s="11" t="s">
        <v>1411</v>
      </c>
      <c r="D489" s="94">
        <f t="shared" ref="D489:Z489" si="283">SUM(D$482,D$488)</f>
        <v>-0.7100000000000124</v>
      </c>
      <c r="E489" s="94">
        <f t="shared" si="283"/>
        <v>-23.692000000000007</v>
      </c>
      <c r="F489" s="94">
        <f t="shared" si="283"/>
        <v>-13.766999999999978</v>
      </c>
      <c r="G489" s="94">
        <f t="shared" si="283"/>
        <v>-27.042999999999999</v>
      </c>
      <c r="H489" s="94">
        <f t="shared" si="283"/>
        <v>-25.648000000000007</v>
      </c>
      <c r="I489" s="94">
        <f t="shared" si="283"/>
        <v>-19.302000000000007</v>
      </c>
      <c r="J489" s="94">
        <f t="shared" si="283"/>
        <v>-5.9959999999999782</v>
      </c>
      <c r="K489" s="94">
        <f t="shared" si="283"/>
        <v>-4.8919999999999959</v>
      </c>
      <c r="L489" s="95">
        <f t="shared" ca="1" si="283"/>
        <v>-21.984999999999978</v>
      </c>
      <c r="M489" s="95">
        <f t="shared" ca="1" si="283"/>
        <v>-13.534999999999982</v>
      </c>
      <c r="N489" s="95">
        <f t="shared" ca="1" si="283"/>
        <v>-7.2850000000000037</v>
      </c>
      <c r="O489" s="95">
        <f t="shared" ca="1" si="283"/>
        <v>-1.7820000000000515</v>
      </c>
      <c r="P489" s="95">
        <f t="shared" ca="1" si="283"/>
        <v>3.2980000000000089</v>
      </c>
      <c r="Q489" s="96">
        <f t="shared" ca="1" si="283"/>
        <v>6.106450333858195</v>
      </c>
      <c r="R489" s="96">
        <f t="shared" ca="1" si="283"/>
        <v>8.2038179818871235</v>
      </c>
      <c r="S489" s="96">
        <f t="shared" ca="1" si="283"/>
        <v>10.604397816536565</v>
      </c>
      <c r="T489" s="96">
        <f t="shared" ca="1" si="283"/>
        <v>13.350144083392092</v>
      </c>
      <c r="U489" s="96">
        <f t="shared" ca="1" si="283"/>
        <v>16.003694610121475</v>
      </c>
      <c r="V489" s="96">
        <f t="shared" ca="1" si="283"/>
        <v>18.873966939297233</v>
      </c>
      <c r="W489" s="96">
        <f t="shared" ca="1" si="283"/>
        <v>21.86018569429924</v>
      </c>
      <c r="X489" s="96">
        <f t="shared" ca="1" si="283"/>
        <v>24.961437230250741</v>
      </c>
      <c r="Y489" s="96">
        <f t="shared" ca="1" si="283"/>
        <v>28.204725378695954</v>
      </c>
      <c r="Z489" s="96">
        <f t="shared" ca="1" si="283"/>
        <v>31.595838711782324</v>
      </c>
    </row>
    <row r="490" spans="1:26" x14ac:dyDescent="0.25">
      <c r="A490" s="11" t="s">
        <v>1412</v>
      </c>
      <c r="B490" s="14" t="str">
        <f>$B$62</f>
        <v>Projected Years only</v>
      </c>
      <c r="Q490" s="97" t="str">
        <f t="shared" ref="Q490:Z490" ca="1" si="284">IF(ROUND(SUM(Q$489,Q$78-P$78,Q$494),3)=0,"OK","ERROR")</f>
        <v>OK</v>
      </c>
      <c r="R490" s="97" t="str">
        <f t="shared" ca="1" si="284"/>
        <v>OK</v>
      </c>
      <c r="S490" s="97" t="str">
        <f t="shared" ca="1" si="284"/>
        <v>OK</v>
      </c>
      <c r="T490" s="97" t="str">
        <f t="shared" ca="1" si="284"/>
        <v>OK</v>
      </c>
      <c r="U490" s="97" t="str">
        <f t="shared" ca="1" si="284"/>
        <v>OK</v>
      </c>
      <c r="V490" s="97" t="str">
        <f t="shared" ca="1" si="284"/>
        <v>OK</v>
      </c>
      <c r="W490" s="97" t="str">
        <f t="shared" ca="1" si="284"/>
        <v>OK</v>
      </c>
      <c r="X490" s="97" t="str">
        <f t="shared" ca="1" si="284"/>
        <v>OK</v>
      </c>
      <c r="Y490" s="97" t="str">
        <f t="shared" ca="1" si="284"/>
        <v>OK</v>
      </c>
      <c r="Z490" s="97" t="str">
        <f t="shared" ca="1" si="284"/>
        <v>OK</v>
      </c>
    </row>
    <row r="491" spans="1:26" x14ac:dyDescent="0.25">
      <c r="A491" s="11"/>
    </row>
    <row r="492" spans="1:26" x14ac:dyDescent="0.25">
      <c r="A492" s="11" t="s">
        <v>1123</v>
      </c>
      <c r="B492" s="14" t="str">
        <f>$B$38</f>
        <v>From Fiscal Forecasts</v>
      </c>
      <c r="D492" s="51">
        <f>'Fiscal Forecasts'!D$401</f>
        <v>-4.9580000000000002</v>
      </c>
      <c r="E492" s="51">
        <f>'Fiscal Forecasts'!E$401</f>
        <v>33.061999999999998</v>
      </c>
      <c r="F492" s="51">
        <f>'Fiscal Forecasts'!F$401</f>
        <v>3.8090000000000002</v>
      </c>
      <c r="G492" s="51">
        <f>'Fiscal Forecasts'!G$401</f>
        <v>28.693999999999999</v>
      </c>
      <c r="H492" s="51">
        <f>'Fiscal Forecasts'!H$401</f>
        <v>22.715</v>
      </c>
      <c r="I492" s="51">
        <f>'Fiscal Forecasts'!I$401</f>
        <v>25.202999999999999</v>
      </c>
      <c r="J492" s="51">
        <f>'Fiscal Forecasts'!J$401</f>
        <v>21.693999999999999</v>
      </c>
      <c r="K492" s="51">
        <f>'Fiscal Forecasts'!K$401</f>
        <v>11.654</v>
      </c>
      <c r="L492" s="47">
        <f>'Fiscal Forecasts'!L$401</f>
        <v>18.459</v>
      </c>
      <c r="M492" s="47">
        <f>'Fiscal Forecasts'!M$401</f>
        <v>14.315</v>
      </c>
      <c r="N492" s="47">
        <f>'Fiscal Forecasts'!N$401</f>
        <v>8.83</v>
      </c>
      <c r="O492" s="47">
        <f>'Fiscal Forecasts'!O$401</f>
        <v>1.5569999999999999</v>
      </c>
      <c r="P492" s="47">
        <f>'Fiscal Forecasts'!P$401</f>
        <v>-5.915</v>
      </c>
      <c r="Q492" s="21">
        <f t="shared" ref="Q492:Z492" ca="1" si="285">-SUM(Q$482,Q$488,Q$496)</f>
        <v>-3.5189814644834376</v>
      </c>
      <c r="R492" s="21">
        <f t="shared" ca="1" si="285"/>
        <v>-5.5635400973354709</v>
      </c>
      <c r="S492" s="21">
        <f t="shared" ca="1" si="285"/>
        <v>-7.8928200665217227</v>
      </c>
      <c r="T492" s="21">
        <f t="shared" ca="1" si="285"/>
        <v>-10.574188778817069</v>
      </c>
      <c r="U492" s="21">
        <f t="shared" ca="1" si="285"/>
        <v>-13.12771911995911</v>
      </c>
      <c r="V492" s="21">
        <f t="shared" ca="1" si="285"/>
        <v>-15.896956524323468</v>
      </c>
      <c r="W492" s="21">
        <f t="shared" ca="1" si="285"/>
        <v>-18.798384423703862</v>
      </c>
      <c r="X492" s="21">
        <f t="shared" ca="1" si="285"/>
        <v>-21.809447246536386</v>
      </c>
      <c r="Y492" s="21">
        <f t="shared" ca="1" si="285"/>
        <v>-24.944929793069541</v>
      </c>
      <c r="Z492" s="21">
        <f t="shared" ca="1" si="285"/>
        <v>-28.227428873264099</v>
      </c>
    </row>
    <row r="493" spans="1:26" x14ac:dyDescent="0.25">
      <c r="A493" s="12" t="s">
        <v>1413</v>
      </c>
      <c r="B493" s="14" t="str">
        <f>$B$38</f>
        <v>From Fiscal Forecasts</v>
      </c>
      <c r="D493" s="50">
        <f>-'Fiscal Forecasts'!D$402</f>
        <v>-5.1630000000000003</v>
      </c>
      <c r="E493" s="50">
        <f>-'Fiscal Forecasts'!E$402</f>
        <v>14.911</v>
      </c>
      <c r="F493" s="50">
        <f>-'Fiscal Forecasts'!F$402</f>
        <v>-6.0419999999999998</v>
      </c>
      <c r="G493" s="50">
        <f>-'Fiscal Forecasts'!G$402</f>
        <v>2.8000000000000001E-2</v>
      </c>
      <c r="H493" s="50">
        <f>-'Fiscal Forecasts'!H$402</f>
        <v>-2.7749999999999999</v>
      </c>
      <c r="I493" s="50">
        <f>-'Fiscal Forecasts'!I$402</f>
        <v>8.4169999999999998</v>
      </c>
      <c r="J493" s="50">
        <f>-'Fiscal Forecasts'!J$402</f>
        <v>8.8219999999999992</v>
      </c>
      <c r="K493" s="50">
        <f>-'Fiscal Forecasts'!K$402</f>
        <v>3.7349999999999999</v>
      </c>
      <c r="L493" s="48">
        <f>-'Fiscal Forecasts'!L$402</f>
        <v>-3.702</v>
      </c>
      <c r="M493" s="48">
        <f>-'Fiscal Forecasts'!M$402</f>
        <v>0.80700000000000005</v>
      </c>
      <c r="N493" s="48">
        <f>-'Fiscal Forecasts'!N$402</f>
        <v>1.5580000000000001</v>
      </c>
      <c r="O493" s="48">
        <f>-'Fiscal Forecasts'!O$402</f>
        <v>-0.224</v>
      </c>
      <c r="P493" s="48">
        <f>-'Fiscal Forecasts'!P$402</f>
        <v>-2.6150000000000002</v>
      </c>
      <c r="Q493" s="20">
        <f t="shared" ref="Q493:Z493" ca="1" si="286">SUM(Q$358-P$358,Q$367-P$367)</f>
        <v>2.0244344787687387</v>
      </c>
      <c r="R493" s="20">
        <f t="shared" ca="1" si="286"/>
        <v>2.0656916188983576</v>
      </c>
      <c r="S493" s="20">
        <f t="shared" ca="1" si="286"/>
        <v>2.1204175447294125</v>
      </c>
      <c r="T493" s="20">
        <f t="shared" ca="1" si="286"/>
        <v>2.1701837862760112</v>
      </c>
      <c r="U493" s="20">
        <f t="shared" ca="1" si="286"/>
        <v>2.2458596964811601</v>
      </c>
      <c r="V493" s="20">
        <f t="shared" ca="1" si="286"/>
        <v>2.322334319860393</v>
      </c>
      <c r="W493" s="20">
        <f t="shared" ca="1" si="286"/>
        <v>2.3870928049909033</v>
      </c>
      <c r="X493" s="20">
        <f t="shared" ca="1" si="286"/>
        <v>2.4558311838062084</v>
      </c>
      <c r="Y493" s="20">
        <f t="shared" ca="1" si="286"/>
        <v>2.5374120192015353</v>
      </c>
      <c r="Z493" s="20">
        <f t="shared" ca="1" si="286"/>
        <v>2.6196472909818569</v>
      </c>
    </row>
    <row r="494" spans="1:26" x14ac:dyDescent="0.25">
      <c r="A494" s="12" t="s">
        <v>914</v>
      </c>
      <c r="D494" s="50">
        <f t="shared" ref="D494:Z494" si="287">D$107</f>
        <v>0.437</v>
      </c>
      <c r="E494" s="50">
        <f t="shared" si="287"/>
        <v>1.2090000000000001</v>
      </c>
      <c r="F494" s="50">
        <f t="shared" si="287"/>
        <v>0.23400000000000001</v>
      </c>
      <c r="G494" s="50">
        <f t="shared" si="287"/>
        <v>0.80500000000000005</v>
      </c>
      <c r="H494" s="50">
        <f t="shared" si="287"/>
        <v>-5.8999999999999997E-2</v>
      </c>
      <c r="I494" s="50">
        <f t="shared" si="287"/>
        <v>-2.4E-2</v>
      </c>
      <c r="J494" s="50">
        <f t="shared" si="287"/>
        <v>0.17499999999999999</v>
      </c>
      <c r="K494" s="50">
        <f t="shared" si="287"/>
        <v>1.1100000000000001</v>
      </c>
      <c r="L494" s="48">
        <f t="shared" si="287"/>
        <v>-0.45600000000000002</v>
      </c>
      <c r="M494" s="48">
        <f t="shared" si="287"/>
        <v>9.8000000000000004E-2</v>
      </c>
      <c r="N494" s="48">
        <f t="shared" si="287"/>
        <v>9.9000000000000005E-2</v>
      </c>
      <c r="O494" s="48">
        <f t="shared" si="287"/>
        <v>0.1</v>
      </c>
      <c r="P494" s="48">
        <f t="shared" si="287"/>
        <v>0.10100000000000001</v>
      </c>
      <c r="Q494" s="20">
        <f t="shared" ca="1" si="287"/>
        <v>0.20407999999999937</v>
      </c>
      <c r="R494" s="20">
        <f t="shared" ca="1" si="287"/>
        <v>0.20816160000000039</v>
      </c>
      <c r="S494" s="20">
        <f t="shared" ca="1" si="287"/>
        <v>0.21232483200000019</v>
      </c>
      <c r="T494" s="20">
        <f t="shared" ca="1" si="287"/>
        <v>0.21657132864000062</v>
      </c>
      <c r="U494" s="20">
        <f t="shared" ca="1" si="287"/>
        <v>0.22090275521279956</v>
      </c>
      <c r="V494" s="20">
        <f t="shared" ca="1" si="287"/>
        <v>0.22532081031705609</v>
      </c>
      <c r="W494" s="20">
        <f t="shared" ca="1" si="287"/>
        <v>0.2298272265233976</v>
      </c>
      <c r="X494" s="20">
        <f t="shared" ca="1" si="287"/>
        <v>0.23442377105386569</v>
      </c>
      <c r="Y494" s="20">
        <f t="shared" ca="1" si="287"/>
        <v>0.23911224647494222</v>
      </c>
      <c r="Z494" s="20">
        <f t="shared" ca="1" si="287"/>
        <v>0.24389449140444164</v>
      </c>
    </row>
    <row r="495" spans="1:26" x14ac:dyDescent="0.25">
      <c r="A495" s="12" t="s">
        <v>921</v>
      </c>
      <c r="B495" s="14" t="str">
        <f>$B$38</f>
        <v>From Fiscal Forecasts</v>
      </c>
      <c r="D495" s="50">
        <f>-'Fiscal Forecasts'!D$403</f>
        <v>-6.8000000000000005E-2</v>
      </c>
      <c r="E495" s="50">
        <f>-'Fiscal Forecasts'!E$403</f>
        <v>-4.3319999999999999</v>
      </c>
      <c r="F495" s="50">
        <f>-'Fiscal Forecasts'!F$403</f>
        <v>-3.6819999999999999</v>
      </c>
      <c r="G495" s="50">
        <f>-'Fiscal Forecasts'!G$403</f>
        <v>2.4279999999999999</v>
      </c>
      <c r="H495" s="50">
        <f>-'Fiscal Forecasts'!H$403</f>
        <v>-0.217</v>
      </c>
      <c r="I495" s="50">
        <f>-'Fiscal Forecasts'!I$403</f>
        <v>-2.54</v>
      </c>
      <c r="J495" s="50">
        <f>-'Fiscal Forecasts'!J$403</f>
        <v>7.0510000000000002</v>
      </c>
      <c r="K495" s="50">
        <f>-'Fiscal Forecasts'!K$403</f>
        <v>4.1369999999999996</v>
      </c>
      <c r="L495" s="48">
        <f>-'Fiscal Forecasts'!L$403</f>
        <v>-0.28000000000000003</v>
      </c>
      <c r="M495" s="48">
        <f>-'Fiscal Forecasts'!M$403</f>
        <v>7.0999999999999994E-2</v>
      </c>
      <c r="N495" s="48">
        <f>-'Fiscal Forecasts'!N$403</f>
        <v>8.5999999999999993E-2</v>
      </c>
      <c r="O495" s="48">
        <f>-'Fiscal Forecasts'!O$403</f>
        <v>9.9000000000000005E-2</v>
      </c>
      <c r="P495" s="48">
        <f>-'Fiscal Forecasts'!P$403</f>
        <v>9.9000000000000005E-2</v>
      </c>
      <c r="Q495" s="20">
        <f t="shared" ref="Q495:Z495" ca="1" si="288">Q$345-P$345</f>
        <v>0.76711439060601805</v>
      </c>
      <c r="R495" s="20">
        <f t="shared" ca="1" si="288"/>
        <v>0.78274786565329535</v>
      </c>
      <c r="S495" s="20">
        <f t="shared" ca="1" si="288"/>
        <v>0.80348503728543008</v>
      </c>
      <c r="T495" s="20">
        <f t="shared" ca="1" si="288"/>
        <v>0.82234284693901216</v>
      </c>
      <c r="U495" s="20">
        <f t="shared" ca="1" si="288"/>
        <v>0.85101854889400386</v>
      </c>
      <c r="V495" s="20">
        <f t="shared" ca="1" si="288"/>
        <v>0.87999690543042774</v>
      </c>
      <c r="W495" s="20">
        <f t="shared" ca="1" si="288"/>
        <v>0.90453569212787244</v>
      </c>
      <c r="X495" s="20">
        <f t="shared" ca="1" si="288"/>
        <v>0.93058257096201302</v>
      </c>
      <c r="Y495" s="20">
        <f t="shared" ca="1" si="288"/>
        <v>0.96149581289981967</v>
      </c>
      <c r="Z495" s="20">
        <f t="shared" ca="1" si="288"/>
        <v>0.99265703894080914</v>
      </c>
    </row>
    <row r="496" spans="1:26" x14ac:dyDescent="0.25">
      <c r="A496" s="11" t="s">
        <v>1414</v>
      </c>
      <c r="D496" s="94">
        <f t="shared" ref="D496:Z496" si="289">SUM(-D$493,D$494,-D$495)</f>
        <v>5.6680000000000001</v>
      </c>
      <c r="E496" s="94">
        <f t="shared" si="289"/>
        <v>-9.370000000000001</v>
      </c>
      <c r="F496" s="94">
        <f t="shared" si="289"/>
        <v>9.9580000000000002</v>
      </c>
      <c r="G496" s="94">
        <f t="shared" si="289"/>
        <v>-1.6509999999999998</v>
      </c>
      <c r="H496" s="94">
        <f t="shared" si="289"/>
        <v>2.9329999999999998</v>
      </c>
      <c r="I496" s="94">
        <f t="shared" si="289"/>
        <v>-5.9009999999999989</v>
      </c>
      <c r="J496" s="94">
        <f t="shared" si="289"/>
        <v>-15.697999999999999</v>
      </c>
      <c r="K496" s="94">
        <f t="shared" si="289"/>
        <v>-6.7619999999999996</v>
      </c>
      <c r="L496" s="95">
        <f t="shared" si="289"/>
        <v>3.5259999999999998</v>
      </c>
      <c r="M496" s="95">
        <f t="shared" si="289"/>
        <v>-0.78</v>
      </c>
      <c r="N496" s="95">
        <f t="shared" si="289"/>
        <v>-1.5450000000000002</v>
      </c>
      <c r="O496" s="95">
        <f t="shared" si="289"/>
        <v>0.22500000000000001</v>
      </c>
      <c r="P496" s="95">
        <f t="shared" si="289"/>
        <v>2.617</v>
      </c>
      <c r="Q496" s="96">
        <f t="shared" ca="1" si="289"/>
        <v>-2.5874688693747574</v>
      </c>
      <c r="R496" s="96">
        <f t="shared" ca="1" si="289"/>
        <v>-2.6402778845516526</v>
      </c>
      <c r="S496" s="96">
        <f t="shared" ca="1" si="289"/>
        <v>-2.7115777500148424</v>
      </c>
      <c r="T496" s="96">
        <f t="shared" ca="1" si="289"/>
        <v>-2.7759553045750227</v>
      </c>
      <c r="U496" s="96">
        <f t="shared" ca="1" si="289"/>
        <v>-2.8759754901623644</v>
      </c>
      <c r="V496" s="96">
        <f t="shared" ca="1" si="289"/>
        <v>-2.9770104149737646</v>
      </c>
      <c r="W496" s="96">
        <f t="shared" ca="1" si="289"/>
        <v>-3.0618012705953781</v>
      </c>
      <c r="X496" s="96">
        <f t="shared" ca="1" si="289"/>
        <v>-3.1519899837143557</v>
      </c>
      <c r="Y496" s="96">
        <f t="shared" ca="1" si="289"/>
        <v>-3.2597955856264127</v>
      </c>
      <c r="Z496" s="96">
        <f t="shared" ca="1" si="289"/>
        <v>-3.3684098385182244</v>
      </c>
    </row>
    <row r="497" spans="1:26" x14ac:dyDescent="0.25">
      <c r="A497" s="11" t="s">
        <v>1415</v>
      </c>
      <c r="D497" s="97" t="str">
        <f t="shared" ref="D497:Z497" si="290">IF(ROUND(SUM(D$489,D$492,D$496),3)=0,"OK","ERROR")</f>
        <v>OK</v>
      </c>
      <c r="E497" s="97" t="str">
        <f t="shared" si="290"/>
        <v>OK</v>
      </c>
      <c r="F497" s="97" t="str">
        <f t="shared" si="290"/>
        <v>OK</v>
      </c>
      <c r="G497" s="97" t="str">
        <f t="shared" si="290"/>
        <v>OK</v>
      </c>
      <c r="H497" s="97" t="str">
        <f t="shared" si="290"/>
        <v>OK</v>
      </c>
      <c r="I497" s="97" t="str">
        <f t="shared" si="290"/>
        <v>OK</v>
      </c>
      <c r="J497" s="97" t="str">
        <f t="shared" si="290"/>
        <v>OK</v>
      </c>
      <c r="K497" s="97" t="str">
        <f t="shared" si="290"/>
        <v>OK</v>
      </c>
      <c r="L497" s="97" t="str">
        <f t="shared" ca="1" si="290"/>
        <v>OK</v>
      </c>
      <c r="M497" s="97" t="str">
        <f t="shared" ca="1" si="290"/>
        <v>OK</v>
      </c>
      <c r="N497" s="97" t="str">
        <f t="shared" ca="1" si="290"/>
        <v>OK</v>
      </c>
      <c r="O497" s="97" t="str">
        <f t="shared" ca="1" si="290"/>
        <v>OK</v>
      </c>
      <c r="P497" s="97" t="str">
        <f t="shared" ca="1" si="290"/>
        <v>OK</v>
      </c>
      <c r="Q497" s="97" t="str">
        <f t="shared" ca="1" si="290"/>
        <v>OK</v>
      </c>
      <c r="R497" s="97" t="str">
        <f t="shared" ca="1" si="290"/>
        <v>OK</v>
      </c>
      <c r="S497" s="97" t="str">
        <f t="shared" ca="1" si="290"/>
        <v>OK</v>
      </c>
      <c r="T497" s="97" t="str">
        <f t="shared" ca="1" si="290"/>
        <v>OK</v>
      </c>
      <c r="U497" s="97" t="str">
        <f t="shared" ca="1" si="290"/>
        <v>OK</v>
      </c>
      <c r="V497" s="97" t="str">
        <f t="shared" ca="1" si="290"/>
        <v>OK</v>
      </c>
      <c r="W497" s="97" t="str">
        <f t="shared" ca="1" si="290"/>
        <v>OK</v>
      </c>
      <c r="X497" s="97" t="str">
        <f t="shared" ca="1" si="290"/>
        <v>OK</v>
      </c>
      <c r="Y497" s="97" t="str">
        <f t="shared" ca="1" si="290"/>
        <v>OK</v>
      </c>
      <c r="Z497" s="97" t="str">
        <f t="shared" ca="1" si="290"/>
        <v>OK</v>
      </c>
    </row>
    <row r="499" spans="1:26" x14ac:dyDescent="0.25">
      <c r="A499" s="57" t="s">
        <v>1416</v>
      </c>
      <c r="B499" s="14" t="str">
        <f>$B$62</f>
        <v>Projected Years only</v>
      </c>
    </row>
    <row r="500" spans="1:26" x14ac:dyDescent="0.25">
      <c r="A500" s="12" t="s">
        <v>1417</v>
      </c>
      <c r="Q500" s="20">
        <f t="shared" ref="Q500:Z500" ca="1" si="291">Q$482-Q$376+Q$375-Q$377</f>
        <v>15.766427081422712</v>
      </c>
      <c r="R500" s="20">
        <f t="shared" ca="1" si="291"/>
        <v>17.981935834519476</v>
      </c>
      <c r="S500" s="20">
        <f t="shared" ca="1" si="291"/>
        <v>20.42568940118392</v>
      </c>
      <c r="T500" s="20">
        <f t="shared" ca="1" si="291"/>
        <v>23.048773068921566</v>
      </c>
      <c r="U500" s="20">
        <f t="shared" ca="1" si="291"/>
        <v>25.795047418982666</v>
      </c>
      <c r="V500" s="20">
        <f t="shared" ca="1" si="291"/>
        <v>28.813591770575822</v>
      </c>
      <c r="W500" s="20">
        <f t="shared" ca="1" si="291"/>
        <v>32.032598786122151</v>
      </c>
      <c r="X500" s="20">
        <f t="shared" ca="1" si="291"/>
        <v>35.456363730132935</v>
      </c>
      <c r="Y500" s="20">
        <f t="shared" ca="1" si="291"/>
        <v>39.142172660264734</v>
      </c>
      <c r="Z500" s="20">
        <f t="shared" ca="1" si="291"/>
        <v>43.070594828504738</v>
      </c>
    </row>
    <row r="501" spans="1:26" x14ac:dyDescent="0.25">
      <c r="A501" s="12" t="s">
        <v>1418</v>
      </c>
      <c r="Q501" s="20">
        <f t="shared" ref="Q501:Z501" ca="1" si="292">Q$488+Q$486-Q$493-SUM(Q$357-P$357,Q$366-P$366,Q$388-P$388,Q$391-P$391,-Q$331)</f>
        <v>-11.657439894115708</v>
      </c>
      <c r="R501" s="20">
        <f t="shared" ca="1" si="292"/>
        <v>-11.897556093088568</v>
      </c>
      <c r="S501" s="20">
        <f t="shared" ca="1" si="292"/>
        <v>-11.99764372743233</v>
      </c>
      <c r="T501" s="20">
        <f t="shared" ca="1" si="292"/>
        <v>-11.927128013614656</v>
      </c>
      <c r="U501" s="20">
        <f t="shared" ca="1" si="292"/>
        <v>-12.097682834852185</v>
      </c>
      <c r="V501" s="20">
        <f t="shared" ca="1" si="292"/>
        <v>-12.32496792281056</v>
      </c>
      <c r="W501" s="20">
        <f t="shared" ca="1" si="292"/>
        <v>-12.625669086098041</v>
      </c>
      <c r="X501" s="20">
        <f t="shared" ca="1" si="292"/>
        <v>-13.020729802903272</v>
      </c>
      <c r="Y501" s="20">
        <f t="shared" ca="1" si="292"/>
        <v>-13.549517746834924</v>
      </c>
      <c r="Z501" s="20">
        <f t="shared" ca="1" si="292"/>
        <v>-14.174540975802103</v>
      </c>
    </row>
    <row r="502" spans="1:26" x14ac:dyDescent="0.25">
      <c r="A502" s="12" t="s">
        <v>914</v>
      </c>
      <c r="Q502" s="20">
        <f t="shared" ref="Q502:Z502" ca="1" si="293">Q$494</f>
        <v>0.20407999999999937</v>
      </c>
      <c r="R502" s="20">
        <f t="shared" ca="1" si="293"/>
        <v>0.20816160000000039</v>
      </c>
      <c r="S502" s="20">
        <f t="shared" ca="1" si="293"/>
        <v>0.21232483200000019</v>
      </c>
      <c r="T502" s="20">
        <f t="shared" ca="1" si="293"/>
        <v>0.21657132864000062</v>
      </c>
      <c r="U502" s="20">
        <f t="shared" ca="1" si="293"/>
        <v>0.22090275521279956</v>
      </c>
      <c r="V502" s="20">
        <f t="shared" ca="1" si="293"/>
        <v>0.22532081031705609</v>
      </c>
      <c r="W502" s="20">
        <f t="shared" ca="1" si="293"/>
        <v>0.2298272265233976</v>
      </c>
      <c r="X502" s="20">
        <f t="shared" ca="1" si="293"/>
        <v>0.23442377105386569</v>
      </c>
      <c r="Y502" s="20">
        <f t="shared" ca="1" si="293"/>
        <v>0.23911224647494222</v>
      </c>
      <c r="Z502" s="20">
        <f t="shared" ca="1" si="293"/>
        <v>0.24389449140444164</v>
      </c>
    </row>
    <row r="503" spans="1:26" x14ac:dyDescent="0.25">
      <c r="A503" s="12" t="s">
        <v>1419</v>
      </c>
      <c r="Q503" s="20">
        <f t="shared" ref="Q503:Z503" ca="1" si="294">SUM(Q$495,Q$344-P$344)-SUM(Q$500:Q$502)</f>
        <v>-3.3411359130088343</v>
      </c>
      <c r="R503" s="20">
        <f t="shared" ca="1" si="294"/>
        <v>-5.2745488658581419</v>
      </c>
      <c r="S503" s="20">
        <f t="shared" ca="1" si="294"/>
        <v>-7.5920642626081634</v>
      </c>
      <c r="T503" s="20">
        <f t="shared" ca="1" si="294"/>
        <v>-10.260632446235244</v>
      </c>
      <c r="U503" s="20">
        <f t="shared" ca="1" si="294"/>
        <v>-12.80257505533964</v>
      </c>
      <c r="V503" s="20">
        <f t="shared" ca="1" si="294"/>
        <v>-15.558163461774335</v>
      </c>
      <c r="W503" s="20">
        <f t="shared" ca="1" si="294"/>
        <v>-18.442630313110268</v>
      </c>
      <c r="X503" s="20">
        <f t="shared" ca="1" si="294"/>
        <v>-21.433212828169722</v>
      </c>
      <c r="Y503" s="20">
        <f t="shared" ca="1" si="294"/>
        <v>-24.543497374751265</v>
      </c>
      <c r="Z503" s="20">
        <f t="shared" ca="1" si="294"/>
        <v>-27.796535659497017</v>
      </c>
    </row>
    <row r="504" spans="1:26" x14ac:dyDescent="0.25">
      <c r="A504" s="11" t="s">
        <v>1420</v>
      </c>
      <c r="Q504" s="96">
        <f t="shared" ref="Q504:Z504" ca="1" si="295">SUM(Q$500:Q$503)</f>
        <v>0.97193127429816961</v>
      </c>
      <c r="R504" s="96">
        <f t="shared" ca="1" si="295"/>
        <v>1.0179924755727665</v>
      </c>
      <c r="S504" s="96">
        <f t="shared" ca="1" si="295"/>
        <v>1.0483062431434274</v>
      </c>
      <c r="T504" s="96">
        <f t="shared" ca="1" si="295"/>
        <v>1.0775839377116672</v>
      </c>
      <c r="U504" s="96">
        <f t="shared" ca="1" si="295"/>
        <v>1.1156922840036412</v>
      </c>
      <c r="V504" s="96">
        <f t="shared" ca="1" si="295"/>
        <v>1.1557811963079843</v>
      </c>
      <c r="W504" s="96">
        <f t="shared" ca="1" si="295"/>
        <v>1.1941266134372377</v>
      </c>
      <c r="X504" s="96">
        <f t="shared" ca="1" si="295"/>
        <v>1.2368448701138064</v>
      </c>
      <c r="Y504" s="96">
        <f t="shared" ca="1" si="295"/>
        <v>1.2882697851534886</v>
      </c>
      <c r="Z504" s="96">
        <f t="shared" ca="1" si="295"/>
        <v>1.3434126846100582</v>
      </c>
    </row>
    <row r="505" spans="1:26" x14ac:dyDescent="0.25">
      <c r="A505" s="57" t="s">
        <v>1198</v>
      </c>
    </row>
    <row r="506" spans="1:26" x14ac:dyDescent="0.25">
      <c r="A506" s="11" t="s">
        <v>1187</v>
      </c>
      <c r="Q506" s="21">
        <f t="shared" ref="Q506:Z506" ca="1" si="296">Q$500</f>
        <v>15.766427081422712</v>
      </c>
      <c r="R506" s="21">
        <f t="shared" ca="1" si="296"/>
        <v>17.981935834519476</v>
      </c>
      <c r="S506" s="21">
        <f t="shared" ca="1" si="296"/>
        <v>20.42568940118392</v>
      </c>
      <c r="T506" s="21">
        <f t="shared" ca="1" si="296"/>
        <v>23.048773068921566</v>
      </c>
      <c r="U506" s="21">
        <f t="shared" ca="1" si="296"/>
        <v>25.795047418982666</v>
      </c>
      <c r="V506" s="21">
        <f t="shared" ca="1" si="296"/>
        <v>28.813591770575822</v>
      </c>
      <c r="W506" s="21">
        <f t="shared" ca="1" si="296"/>
        <v>32.032598786122151</v>
      </c>
      <c r="X506" s="21">
        <f t="shared" ca="1" si="296"/>
        <v>35.456363730132935</v>
      </c>
      <c r="Y506" s="21">
        <f t="shared" ca="1" si="296"/>
        <v>39.142172660264734</v>
      </c>
      <c r="Z506" s="21">
        <f t="shared" ca="1" si="296"/>
        <v>43.070594828504738</v>
      </c>
    </row>
    <row r="507" spans="1:26" x14ac:dyDescent="0.25">
      <c r="A507" s="11" t="s">
        <v>880</v>
      </c>
      <c r="Q507" s="21">
        <f t="shared" ref="Q507:Z507" ca="1" si="297">Q$333</f>
        <v>7.14676994238296</v>
      </c>
      <c r="R507" s="21">
        <f t="shared" ca="1" si="297"/>
        <v>7.5909943092414061</v>
      </c>
      <c r="S507" s="21">
        <f t="shared" ca="1" si="297"/>
        <v>8.0536939626018853</v>
      </c>
      <c r="T507" s="21">
        <f t="shared" ca="1" si="297"/>
        <v>8.5356870366084792</v>
      </c>
      <c r="U507" s="21">
        <f t="shared" ca="1" si="297"/>
        <v>9.0369976447940612</v>
      </c>
      <c r="V507" s="21">
        <f t="shared" ca="1" si="297"/>
        <v>9.5580552593842008</v>
      </c>
      <c r="W507" s="21">
        <f t="shared" ca="1" si="297"/>
        <v>10.103015938972028</v>
      </c>
      <c r="X507" s="21">
        <f t="shared" ca="1" si="297"/>
        <v>10.677265252733729</v>
      </c>
      <c r="Y507" s="21">
        <f t="shared" ca="1" si="297"/>
        <v>11.287227519149274</v>
      </c>
      <c r="Z507" s="21">
        <f t="shared" ca="1" si="297"/>
        <v>11.940036356284908</v>
      </c>
    </row>
    <row r="508" spans="1:26" x14ac:dyDescent="0.25">
      <c r="A508" s="12" t="s">
        <v>1421</v>
      </c>
      <c r="Q508" s="20">
        <f t="shared" ref="Q508:Z508" ca="1" si="298">SUM(Q$215,Q$219)</f>
        <v>3.158094136181139</v>
      </c>
      <c r="R508" s="20">
        <f t="shared" ca="1" si="298"/>
        <v>3.158094136181139</v>
      </c>
      <c r="S508" s="20">
        <f t="shared" ca="1" si="298"/>
        <v>3.158094136181139</v>
      </c>
      <c r="T508" s="20">
        <f t="shared" ca="1" si="298"/>
        <v>3.158094136181139</v>
      </c>
      <c r="U508" s="20">
        <f t="shared" ca="1" si="298"/>
        <v>3.158094136181139</v>
      </c>
      <c r="V508" s="20">
        <f t="shared" ca="1" si="298"/>
        <v>3.158094136181139</v>
      </c>
      <c r="W508" s="20">
        <f t="shared" ca="1" si="298"/>
        <v>3.158094136181139</v>
      </c>
      <c r="X508" s="20">
        <f t="shared" ca="1" si="298"/>
        <v>3.158094136181139</v>
      </c>
      <c r="Y508" s="20">
        <f t="shared" ca="1" si="298"/>
        <v>3.158094136181139</v>
      </c>
      <c r="Z508" s="20">
        <f t="shared" ca="1" si="298"/>
        <v>3.158094136181139</v>
      </c>
    </row>
    <row r="509" spans="1:26" x14ac:dyDescent="0.25">
      <c r="A509" s="12" t="s">
        <v>1422</v>
      </c>
      <c r="Q509" s="20">
        <f t="shared" ref="Q509:Z509" si="299">Q$402</f>
        <v>0.91100000000000003</v>
      </c>
      <c r="R509" s="20">
        <f t="shared" si="299"/>
        <v>0.93799999999999994</v>
      </c>
      <c r="S509" s="20">
        <f t="shared" si="299"/>
        <v>0.96199999999999997</v>
      </c>
      <c r="T509" s="20">
        <f t="shared" si="299"/>
        <v>0.98499999999999999</v>
      </c>
      <c r="U509" s="20">
        <f t="shared" si="299"/>
        <v>1.006</v>
      </c>
      <c r="V509" s="20">
        <f t="shared" si="299"/>
        <v>1.0249999999999999</v>
      </c>
      <c r="W509" s="20">
        <f t="shared" si="299"/>
        <v>1.046</v>
      </c>
      <c r="X509" s="20">
        <f t="shared" si="299"/>
        <v>1.0669999999999999</v>
      </c>
      <c r="Y509" s="20">
        <f t="shared" si="299"/>
        <v>1.0880000000000001</v>
      </c>
      <c r="Z509" s="20">
        <f t="shared" si="299"/>
        <v>1.109</v>
      </c>
    </row>
    <row r="510" spans="1:26" x14ac:dyDescent="0.25">
      <c r="A510" s="12" t="s">
        <v>1423</v>
      </c>
      <c r="Q510" s="20">
        <f t="shared" ref="Q510:Z510" ca="1" si="300">Q$457-P$457</f>
        <v>-2E-3</v>
      </c>
      <c r="R510" s="20">
        <f t="shared" ca="1" si="300"/>
        <v>0</v>
      </c>
      <c r="S510" s="20">
        <f t="shared" ca="1" si="300"/>
        <v>0</v>
      </c>
      <c r="T510" s="20">
        <f t="shared" ca="1" si="300"/>
        <v>0</v>
      </c>
      <c r="U510" s="20">
        <f t="shared" ca="1" si="300"/>
        <v>0</v>
      </c>
      <c r="V510" s="20">
        <f t="shared" ca="1" si="300"/>
        <v>0</v>
      </c>
      <c r="W510" s="20">
        <f t="shared" ca="1" si="300"/>
        <v>0</v>
      </c>
      <c r="X510" s="20">
        <f t="shared" ca="1" si="300"/>
        <v>0</v>
      </c>
      <c r="Y510" s="20">
        <f t="shared" ca="1" si="300"/>
        <v>0</v>
      </c>
      <c r="Z510" s="20">
        <f t="shared" ca="1" si="300"/>
        <v>0</v>
      </c>
    </row>
    <row r="511" spans="1:26" x14ac:dyDescent="0.25">
      <c r="A511" s="12" t="s">
        <v>769</v>
      </c>
      <c r="Q511" s="20">
        <f t="shared" ref="Q511:Z511" ca="1" si="301">-Q$340</f>
        <v>-1.0435308893054404E-2</v>
      </c>
      <c r="R511" s="20">
        <f t="shared" ca="1" si="301"/>
        <v>-1.0879489201897944E-2</v>
      </c>
      <c r="S511" s="20">
        <f t="shared" ca="1" si="301"/>
        <v>-1.1335437084572445E-2</v>
      </c>
      <c r="T511" s="20">
        <f t="shared" ca="1" si="301"/>
        <v>-1.1802086073035397E-2</v>
      </c>
      <c r="U511" s="20">
        <f t="shared" ca="1" si="301"/>
        <v>-1.2285007456109151E-2</v>
      </c>
      <c r="V511" s="20">
        <f t="shared" ca="1" si="301"/>
        <v>-1.2784372979015064E-2</v>
      </c>
      <c r="W511" s="20">
        <f t="shared" ca="1" si="301"/>
        <v>-1.3297663350946046E-2</v>
      </c>
      <c r="X511" s="20">
        <f t="shared" ca="1" si="301"/>
        <v>-1.3825734358114281E-2</v>
      </c>
      <c r="Y511" s="20">
        <f t="shared" ca="1" si="301"/>
        <v>-1.4371347480635113E-2</v>
      </c>
      <c r="Z511" s="20">
        <f t="shared" ca="1" si="301"/>
        <v>-1.4934643440266305E-2</v>
      </c>
    </row>
    <row r="512" spans="1:26" x14ac:dyDescent="0.25">
      <c r="A512" s="11" t="s">
        <v>1201</v>
      </c>
      <c r="Q512" s="96">
        <f t="shared" ref="Q512:Z512" ca="1" si="302">-SUM(Q$508:Q$511)</f>
        <v>-4.0566588272880848</v>
      </c>
      <c r="R512" s="96">
        <f t="shared" ca="1" si="302"/>
        <v>-4.0852146469792414</v>
      </c>
      <c r="S512" s="96">
        <f t="shared" ca="1" si="302"/>
        <v>-4.1087586990965663</v>
      </c>
      <c r="T512" s="96">
        <f t="shared" ca="1" si="302"/>
        <v>-4.1312920501081036</v>
      </c>
      <c r="U512" s="96">
        <f t="shared" ca="1" si="302"/>
        <v>-4.1518091287250298</v>
      </c>
      <c r="V512" s="96">
        <f t="shared" ca="1" si="302"/>
        <v>-4.1703097632021242</v>
      </c>
      <c r="W512" s="96">
        <f t="shared" ca="1" si="302"/>
        <v>-4.1907964728301925</v>
      </c>
      <c r="X512" s="96">
        <f t="shared" ca="1" si="302"/>
        <v>-4.2112684018230242</v>
      </c>
      <c r="Y512" s="96">
        <f t="shared" ca="1" si="302"/>
        <v>-4.2317227887005036</v>
      </c>
      <c r="Z512" s="96">
        <f t="shared" ca="1" si="302"/>
        <v>-4.2521594927408728</v>
      </c>
    </row>
    <row r="513" spans="1:26" x14ac:dyDescent="0.25">
      <c r="A513" s="12" t="s">
        <v>932</v>
      </c>
      <c r="Q513" s="20">
        <f t="shared" ref="Q513:Z513" ca="1" si="303">Q$353-P$353</f>
        <v>2.0661762245445985</v>
      </c>
      <c r="R513" s="20">
        <f t="shared" ca="1" si="303"/>
        <v>1.4600176332306631</v>
      </c>
      <c r="S513" s="20">
        <f t="shared" ca="1" si="303"/>
        <v>1.5263917121380999</v>
      </c>
      <c r="T513" s="20">
        <f t="shared" ca="1" si="303"/>
        <v>1.6149352938287009</v>
      </c>
      <c r="U513" s="20">
        <f t="shared" ca="1" si="303"/>
        <v>1.6834669547481838</v>
      </c>
      <c r="V513" s="20">
        <f t="shared" ca="1" si="303"/>
        <v>1.7381131977647186</v>
      </c>
      <c r="W513" s="20">
        <f t="shared" ca="1" si="303"/>
        <v>1.7878752867330405</v>
      </c>
      <c r="X513" s="20">
        <f t="shared" ca="1" si="303"/>
        <v>1.8422492730019542</v>
      </c>
      <c r="Y513" s="20">
        <f t="shared" ca="1" si="303"/>
        <v>1.9064132360937975</v>
      </c>
      <c r="Z513" s="20">
        <f t="shared" ca="1" si="303"/>
        <v>1.9732144013817177</v>
      </c>
    </row>
    <row r="514" spans="1:26" x14ac:dyDescent="0.25">
      <c r="A514" s="12" t="s">
        <v>933</v>
      </c>
      <c r="Q514" s="20">
        <f t="shared" ref="Q514:Z514" ca="1" si="304">Q$404-Q$332</f>
        <v>0.70568000000000031</v>
      </c>
      <c r="R514" s="20">
        <f t="shared" ca="1" si="304"/>
        <v>0.74441360000000034</v>
      </c>
      <c r="S514" s="20">
        <f t="shared" ca="1" si="304"/>
        <v>0.78120187200000035</v>
      </c>
      <c r="T514" s="20">
        <f t="shared" ca="1" si="304"/>
        <v>0.81504590944000044</v>
      </c>
      <c r="U514" s="20">
        <f t="shared" ca="1" si="304"/>
        <v>0.84694682762880036</v>
      </c>
      <c r="V514" s="20">
        <f t="shared" ca="1" si="304"/>
        <v>0.87990576418137634</v>
      </c>
      <c r="W514" s="20">
        <f t="shared" ca="1" si="304"/>
        <v>0.91292387946500386</v>
      </c>
      <c r="X514" s="20">
        <f t="shared" ca="1" si="304"/>
        <v>0.94800235705430402</v>
      </c>
      <c r="Y514" s="20">
        <f t="shared" ca="1" si="304"/>
        <v>0.98414240419539001</v>
      </c>
      <c r="Z514" s="20">
        <f t="shared" ca="1" si="304"/>
        <v>1.020345252279298</v>
      </c>
    </row>
    <row r="515" spans="1:26" x14ac:dyDescent="0.25">
      <c r="A515" s="12" t="s">
        <v>934</v>
      </c>
      <c r="Q515" s="20">
        <f t="shared" ref="Q515:Z515" ca="1" si="305">Q$409-P$409</f>
        <v>3.2200000000000006E-2</v>
      </c>
      <c r="R515" s="20">
        <f t="shared" ca="1" si="305"/>
        <v>3.2844000000000095E-2</v>
      </c>
      <c r="S515" s="20">
        <f t="shared" ca="1" si="305"/>
        <v>3.3500880000000066E-2</v>
      </c>
      <c r="T515" s="20">
        <f t="shared" ca="1" si="305"/>
        <v>3.4170897600000139E-2</v>
      </c>
      <c r="U515" s="20">
        <f t="shared" ca="1" si="305"/>
        <v>3.4854315552000026E-2</v>
      </c>
      <c r="V515" s="20">
        <f t="shared" ca="1" si="305"/>
        <v>3.5551401863040066E-2</v>
      </c>
      <c r="W515" s="20">
        <f t="shared" ca="1" si="305"/>
        <v>3.626242990030093E-2</v>
      </c>
      <c r="X515" s="20">
        <f t="shared" ca="1" si="305"/>
        <v>3.6987678498306753E-2</v>
      </c>
      <c r="Y515" s="20">
        <f t="shared" ca="1" si="305"/>
        <v>3.7727432068273004E-2</v>
      </c>
      <c r="Z515" s="20">
        <f t="shared" ca="1" si="305"/>
        <v>3.8481980709638375E-2</v>
      </c>
    </row>
    <row r="516" spans="1:26" x14ac:dyDescent="0.25">
      <c r="A516" s="12" t="s">
        <v>935</v>
      </c>
      <c r="Q516" s="20">
        <f t="shared" ref="Q516:Z516" ca="1" si="306">Q$413-P$413</f>
        <v>5.5760000000000254E-2</v>
      </c>
      <c r="R516" s="20">
        <f t="shared" ca="1" si="306"/>
        <v>5.6875199999999904E-2</v>
      </c>
      <c r="S516" s="20">
        <f t="shared" ca="1" si="306"/>
        <v>5.8012704000000248E-2</v>
      </c>
      <c r="T516" s="20">
        <f t="shared" ca="1" si="306"/>
        <v>5.9172958080000004E-2</v>
      </c>
      <c r="U516" s="20">
        <f t="shared" ca="1" si="306"/>
        <v>6.0356417241600013E-2</v>
      </c>
      <c r="V516" s="20">
        <f t="shared" ca="1" si="306"/>
        <v>6.1563545586432067E-2</v>
      </c>
      <c r="W516" s="20">
        <f t="shared" ca="1" si="306"/>
        <v>6.2794816498160877E-2</v>
      </c>
      <c r="X516" s="20">
        <f t="shared" ca="1" si="306"/>
        <v>6.4050712828124023E-2</v>
      </c>
      <c r="Y516" s="20">
        <f t="shared" ca="1" si="306"/>
        <v>6.5331727084686264E-2</v>
      </c>
      <c r="Z516" s="20">
        <f t="shared" ca="1" si="306"/>
        <v>6.6638361626380149E-2</v>
      </c>
    </row>
    <row r="517" spans="1:26" x14ac:dyDescent="0.25">
      <c r="A517" s="12" t="s">
        <v>1424</v>
      </c>
      <c r="Q517" s="20">
        <f t="shared" ref="Q517:Z517" ca="1" si="307">Q$449-P$449</f>
        <v>8.796000000000026E-2</v>
      </c>
      <c r="R517" s="20">
        <f t="shared" ca="1" si="307"/>
        <v>8.9719199999999999E-2</v>
      </c>
      <c r="S517" s="20">
        <f t="shared" ca="1" si="307"/>
        <v>9.1513584000000314E-2</v>
      </c>
      <c r="T517" s="20">
        <f t="shared" ca="1" si="307"/>
        <v>9.3343855680000143E-2</v>
      </c>
      <c r="U517" s="20">
        <f t="shared" ca="1" si="307"/>
        <v>9.5210732793600039E-2</v>
      </c>
      <c r="V517" s="20">
        <f t="shared" ca="1" si="307"/>
        <v>9.7114947449472133E-2</v>
      </c>
      <c r="W517" s="20">
        <f t="shared" ca="1" si="307"/>
        <v>9.9057246398461807E-2</v>
      </c>
      <c r="X517" s="20">
        <f t="shared" ca="1" si="307"/>
        <v>0.10103839132643078</v>
      </c>
      <c r="Y517" s="20">
        <f t="shared" ca="1" si="307"/>
        <v>0.10305915915295927</v>
      </c>
      <c r="Z517" s="20">
        <f t="shared" ca="1" si="307"/>
        <v>0.10512034233601852</v>
      </c>
    </row>
    <row r="518" spans="1:26" x14ac:dyDescent="0.25">
      <c r="A518" s="12" t="s">
        <v>1425</v>
      </c>
      <c r="Q518" s="20">
        <f t="shared" ref="Q518:Z518" ca="1" si="308">SUM(Q$445-P$445,Q$453-P$453,Q$470-P$470)</f>
        <v>1.3021319609048261</v>
      </c>
      <c r="R518" s="20">
        <f t="shared" ca="1" si="308"/>
        <v>0.72576436882820339</v>
      </c>
      <c r="S518" s="20">
        <f t="shared" ca="1" si="308"/>
        <v>0.78466556332240245</v>
      </c>
      <c r="T518" s="20">
        <f t="shared" ca="1" si="308"/>
        <v>0.84542571045022452</v>
      </c>
      <c r="U518" s="20">
        <f t="shared" ca="1" si="308"/>
        <v>0.87499685539716854</v>
      </c>
      <c r="V518" s="20">
        <f t="shared" ca="1" si="308"/>
        <v>0.90101483077512068</v>
      </c>
      <c r="W518" s="20">
        <f t="shared" ca="1" si="308"/>
        <v>0.92678489200126446</v>
      </c>
      <c r="X518" s="20">
        <f t="shared" ca="1" si="308"/>
        <v>0.95538415760039275</v>
      </c>
      <c r="Y518" s="20">
        <f t="shared" ca="1" si="308"/>
        <v>0.9888911176477917</v>
      </c>
      <c r="Z518" s="20">
        <f t="shared" ca="1" si="308"/>
        <v>1.0248805675749617</v>
      </c>
    </row>
    <row r="519" spans="1:26" x14ac:dyDescent="0.25">
      <c r="A519" s="12" t="s">
        <v>1426</v>
      </c>
      <c r="Q519" s="20">
        <f t="shared" ref="Q519:Z519" si="309">Q$463-P$463</f>
        <v>-0.17211321626617426</v>
      </c>
      <c r="R519" s="20">
        <f t="shared" si="309"/>
        <v>-0.17596649722735647</v>
      </c>
      <c r="S519" s="20">
        <f t="shared" si="309"/>
        <v>-0.17725092421441779</v>
      </c>
      <c r="T519" s="20">
        <f t="shared" si="309"/>
        <v>-0.17767906654343824</v>
      </c>
      <c r="U519" s="20">
        <f t="shared" si="309"/>
        <v>-0.17168507393715338</v>
      </c>
      <c r="V519" s="20">
        <f t="shared" si="309"/>
        <v>-0.16954436229205205</v>
      </c>
      <c r="W519" s="20">
        <f t="shared" si="309"/>
        <v>-0.1669755083179294</v>
      </c>
      <c r="X519" s="20">
        <f t="shared" si="309"/>
        <v>-0.16397851201478764</v>
      </c>
      <c r="Y519" s="20">
        <f t="shared" si="309"/>
        <v>-0.1596970887245841</v>
      </c>
      <c r="Z519" s="20">
        <f t="shared" si="309"/>
        <v>-0.15584380776340101</v>
      </c>
    </row>
    <row r="520" spans="1:26" x14ac:dyDescent="0.25">
      <c r="A520" s="11" t="s">
        <v>938</v>
      </c>
      <c r="Q520" s="96">
        <f t="shared" ref="Q520:Z520" ca="1" si="310">SUM(Q$513:Q$516)-SUM(Q$517:Q$519)</f>
        <v>1.6418374799059468</v>
      </c>
      <c r="R520" s="96">
        <f t="shared" ca="1" si="310"/>
        <v>1.6546333616298166</v>
      </c>
      <c r="S520" s="96">
        <f t="shared" ca="1" si="310"/>
        <v>1.7001789450301157</v>
      </c>
      <c r="T520" s="96">
        <f t="shared" ca="1" si="310"/>
        <v>1.7622345593619149</v>
      </c>
      <c r="U520" s="96">
        <f t="shared" ca="1" si="310"/>
        <v>1.8271020009169685</v>
      </c>
      <c r="V520" s="96">
        <f t="shared" ca="1" si="310"/>
        <v>1.8865484934630263</v>
      </c>
      <c r="W520" s="96">
        <f t="shared" ca="1" si="310"/>
        <v>1.9409897825147095</v>
      </c>
      <c r="X520" s="96">
        <f t="shared" ca="1" si="310"/>
        <v>1.9988459844706532</v>
      </c>
      <c r="Y520" s="96">
        <f t="shared" ca="1" si="310"/>
        <v>2.0613616113659798</v>
      </c>
      <c r="Z520" s="96">
        <f t="shared" ca="1" si="310"/>
        <v>2.1245228938494547</v>
      </c>
    </row>
    <row r="521" spans="1:26" x14ac:dyDescent="0.25">
      <c r="A521" s="11" t="s">
        <v>1204</v>
      </c>
      <c r="Q521" s="96">
        <f t="shared" ref="Q521:Z521" ca="1" si="311">SUM(Q$506,Q$507,Q$512,Q$520)</f>
        <v>20.498375676423535</v>
      </c>
      <c r="R521" s="96">
        <f t="shared" ca="1" si="311"/>
        <v>23.142348858411456</v>
      </c>
      <c r="S521" s="96">
        <f t="shared" ca="1" si="311"/>
        <v>26.070803609719356</v>
      </c>
      <c r="T521" s="96">
        <f t="shared" ca="1" si="311"/>
        <v>29.215402614783855</v>
      </c>
      <c r="U521" s="96">
        <f t="shared" ca="1" si="311"/>
        <v>32.507337935968664</v>
      </c>
      <c r="V521" s="96">
        <f t="shared" ca="1" si="311"/>
        <v>36.087885760220921</v>
      </c>
      <c r="W521" s="96">
        <f t="shared" ca="1" si="311"/>
        <v>39.885808034778698</v>
      </c>
      <c r="X521" s="96">
        <f t="shared" ca="1" si="311"/>
        <v>43.921206565514296</v>
      </c>
      <c r="Y521" s="96">
        <f t="shared" ca="1" si="311"/>
        <v>48.25903900207949</v>
      </c>
      <c r="Z521" s="96">
        <f t="shared" ca="1" si="311"/>
        <v>52.882994585898224</v>
      </c>
    </row>
    <row r="522" spans="1:26" x14ac:dyDescent="0.25">
      <c r="A522" s="60" t="s">
        <v>1427</v>
      </c>
      <c r="Q522" s="97" t="str">
        <f t="shared" ref="Q522:Z522" ca="1" si="312">IF(ROUND(Q$49-Q$521,3)=0,"OK","ERROR")</f>
        <v>OK</v>
      </c>
      <c r="R522" s="97" t="str">
        <f t="shared" ca="1" si="312"/>
        <v>OK</v>
      </c>
      <c r="S522" s="97" t="str">
        <f t="shared" ca="1" si="312"/>
        <v>OK</v>
      </c>
      <c r="T522" s="97" t="str">
        <f t="shared" ca="1" si="312"/>
        <v>OK</v>
      </c>
      <c r="U522" s="97" t="str">
        <f t="shared" ca="1" si="312"/>
        <v>OK</v>
      </c>
      <c r="V522" s="97" t="str">
        <f t="shared" ca="1" si="312"/>
        <v>OK</v>
      </c>
      <c r="W522" s="97" t="str">
        <f t="shared" ca="1" si="312"/>
        <v>OK</v>
      </c>
      <c r="X522" s="97" t="str">
        <f t="shared" ca="1" si="312"/>
        <v>OK</v>
      </c>
      <c r="Y522" s="97" t="str">
        <f t="shared" ca="1" si="312"/>
        <v>OK</v>
      </c>
      <c r="Z522" s="97" t="str">
        <f t="shared" ca="1" si="312"/>
        <v>OK</v>
      </c>
    </row>
    <row r="524" spans="1:26" x14ac:dyDescent="0.25">
      <c r="A524" s="11" t="s">
        <v>1428</v>
      </c>
    </row>
    <row r="525" spans="1:26" x14ac:dyDescent="0.25">
      <c r="A525" s="12" t="s">
        <v>1429</v>
      </c>
      <c r="B525" s="14" t="str">
        <f>$B$38</f>
        <v>From Fiscal Forecasts</v>
      </c>
      <c r="D525" s="50">
        <f>Exogenous!$B$81*'Fiscal Forecasts'!D$58</f>
        <v>3.3978480000000002</v>
      </c>
      <c r="E525" s="50">
        <f>Exogenous!$B$81*'Fiscal Forecasts'!E$58</f>
        <v>3.6997259999999996</v>
      </c>
      <c r="F525" s="50">
        <f>Exogenous!$B$81*'Fiscal Forecasts'!F$58</f>
        <v>4.2378239999999998</v>
      </c>
      <c r="G525" s="50">
        <f>Exogenous!$B$81*'Fiscal Forecasts'!G$58</f>
        <v>5.1672659999999997</v>
      </c>
      <c r="H525" s="50">
        <f>Exogenous!$B$81*'Fiscal Forecasts'!H$58</f>
        <v>5.2989540000000002</v>
      </c>
      <c r="I525" s="50">
        <f>Exogenous!$B$81*'Fiscal Forecasts'!I$58</f>
        <v>5.5798139999999998</v>
      </c>
      <c r="J525" s="50">
        <f>Exogenous!$B$81*'Fiscal Forecasts'!J$58</f>
        <v>5.6378459999999997</v>
      </c>
      <c r="K525" s="50">
        <f>Exogenous!$B$81*'Fiscal Forecasts'!K$58</f>
        <v>6.1225620000000003</v>
      </c>
      <c r="L525" s="48">
        <f>Exogenous!$B$81*('Fiscal Forecasts'!L$58+Allocation!C$11)</f>
        <v>6.3194355599999996</v>
      </c>
      <c r="M525" s="48">
        <f>Exogenous!$B$81*('Fiscal Forecasts'!M$58+Allocation!D$11)</f>
        <v>6.4906857599999999</v>
      </c>
      <c r="N525" s="48">
        <f>Exogenous!$B$81*('Fiscal Forecasts'!N$58+Allocation!E$11)</f>
        <v>6.6639615000000001</v>
      </c>
      <c r="O525" s="48">
        <f>Exogenous!$B$81*('Fiscal Forecasts'!O$58+Allocation!F$11)</f>
        <v>6.8695770599999992</v>
      </c>
      <c r="P525" s="48">
        <f>Exogenous!$B$81*('Fiscal Forecasts'!P$58+Allocation!G$11)</f>
        <v>7.0595221199999996</v>
      </c>
      <c r="Q525" s="20">
        <f ca="1">P$525*(1+SUMPRODUCT(Exogenous!$B$84:$B$101,'Population Treasury'!AB$239:AB$256)/('Population Treasury'!AB$275/'Population Treasury'!AA$275)+SUMPRODUCT(Exogenous!$C$84:$C$101,'Population Treasury'!AB$257:AB$274)/('Population Treasury'!AB$277/'Population Treasury'!AA$277))*(1+Q$25)*(1+Q$29)*(1+OFFSET(Assumptions!$B$62,0,$C$1))</f>
        <v>7.4289136356005177</v>
      </c>
      <c r="R525" s="20">
        <f ca="1">Q$525*(1+SUMPRODUCT(Exogenous!$B$84:$B$101,'Population Treasury'!AC$239:AC$256)/('Population Treasury'!AC$275/'Population Treasury'!AB$275)+SUMPRODUCT(Exogenous!$C$84:$C$101,'Population Treasury'!AC$257:AC$274)/('Population Treasury'!AC$277/'Population Treasury'!AB$277))*(1+R$25)*(1+R$29)*(1+OFFSET(Assumptions!$B$62,0,$C$1))</f>
        <v>7.8089864545948906</v>
      </c>
      <c r="S525" s="20">
        <f ca="1">R$525*(1+SUMPRODUCT(Exogenous!$B$84:$B$101,'Population Treasury'!AD$239:AD$256)/('Population Treasury'!AD$275/'Population Treasury'!AC$275)+SUMPRODUCT(Exogenous!$C$84:$C$101,'Population Treasury'!AD$257:AD$274)/('Population Treasury'!AD$277/'Population Treasury'!AC$277))*(1+S$25)*(1+S$29)*(1+OFFSET(Assumptions!$B$62,0,$C$1))</f>
        <v>8.2004967158157598</v>
      </c>
      <c r="T525" s="20">
        <f ca="1">S$525*(1+SUMPRODUCT(Exogenous!$B$84:$B$101,'Population Treasury'!AE$239:AE$256)/('Population Treasury'!AE$275/'Population Treasury'!AD$275)+SUMPRODUCT(Exogenous!$C$84:$C$101,'Population Treasury'!AE$257:AE$274)/('Population Treasury'!AE$277/'Population Treasury'!AD$277))*(1+T$25)*(1+T$29)*(1+OFFSET(Assumptions!$B$62,0,$C$1))</f>
        <v>8.6077692084863369</v>
      </c>
      <c r="U525" s="20">
        <f ca="1">T$525*(1+SUMPRODUCT(Exogenous!$B$84:$B$101,'Population Treasury'!AF$239:AF$256)/('Population Treasury'!AF$275/'Population Treasury'!AE$275)+SUMPRODUCT(Exogenous!$C$84:$C$101,'Population Treasury'!AF$257:AF$274)/('Population Treasury'!AF$277/'Population Treasury'!AE$277))*(1+U$25)*(1+U$29)*(1+OFFSET(Assumptions!$B$62,0,$C$1))</f>
        <v>9.0327962198194633</v>
      </c>
      <c r="V525" s="20">
        <f ca="1">U$525*(1+SUMPRODUCT(Exogenous!$B$84:$B$101,'Population Treasury'!AG$239:AG$256)/('Population Treasury'!AG$275/'Population Treasury'!AF$275)+SUMPRODUCT(Exogenous!$C$84:$C$101,'Population Treasury'!AG$257:AG$274)/('Population Treasury'!AG$277/'Population Treasury'!AF$277))*(1+V$25)*(1+V$29)*(1+OFFSET(Assumptions!$B$62,0,$C$1))</f>
        <v>9.4765936735039134</v>
      </c>
      <c r="W525" s="20">
        <f ca="1">V$525*(1+SUMPRODUCT(Exogenous!$B$84:$B$101,'Population Treasury'!AH$239:AH$256)/('Population Treasury'!AH$275/'Population Treasury'!AG$275)+SUMPRODUCT(Exogenous!$C$84:$C$101,'Population Treasury'!AH$257:AH$274)/('Population Treasury'!AH$277/'Population Treasury'!AG$277))*(1+W$25)*(1+W$29)*(1+OFFSET(Assumptions!$B$62,0,$C$1))</f>
        <v>9.9379445038904652</v>
      </c>
      <c r="X525" s="20">
        <f ca="1">W$525*(1+SUMPRODUCT(Exogenous!$B$84:$B$101,'Population Treasury'!AI$239:AI$256)/('Population Treasury'!AI$275/'Population Treasury'!AH$275)+SUMPRODUCT(Exogenous!$C$84:$C$101,'Population Treasury'!AI$257:AI$274)/('Population Treasury'!AI$277/'Population Treasury'!AH$277))*(1+X$25)*(1+X$29)*(1+OFFSET(Assumptions!$B$62,0,$C$1))</f>
        <v>10.418112207876447</v>
      </c>
      <c r="Y525" s="20">
        <f ca="1">X$525*(1+SUMPRODUCT(Exogenous!$B$84:$B$101,'Population Treasury'!AJ$239:AJ$256)/('Population Treasury'!AJ$275/'Population Treasury'!AI$275)+SUMPRODUCT(Exogenous!$C$84:$C$101,'Population Treasury'!AJ$257:AJ$274)/('Population Treasury'!AJ$277/'Population Treasury'!AI$277))*(1+Y$25)*(1+Y$29)*(1+OFFSET(Assumptions!$B$62,0,$C$1))</f>
        <v>10.920632978553819</v>
      </c>
      <c r="Z525" s="20">
        <f ca="1">Y$525*(1+SUMPRODUCT(Exogenous!$B$84:$B$101,'Population Treasury'!AK$239:AK$256)/('Population Treasury'!AK$275/'Population Treasury'!AJ$275)+SUMPRODUCT(Exogenous!$C$84:$C$101,'Population Treasury'!AK$257:AK$274)/('Population Treasury'!AK$277/'Population Treasury'!AJ$277))*(1+Z$25)*(1+Z$29)*(1+OFFSET(Assumptions!$B$62,0,$C$1))</f>
        <v>11.444226989175426</v>
      </c>
    </row>
    <row r="526" spans="1:26" x14ac:dyDescent="0.25">
      <c r="A526" s="12" t="s">
        <v>1430</v>
      </c>
      <c r="B526" s="14" t="str">
        <f>$B$38</f>
        <v>From Fiscal Forecasts</v>
      </c>
      <c r="D526" s="50">
        <f>Exogenous!$E$81*'Fiscal Forecasts'!D$58</f>
        <v>10.540635999999999</v>
      </c>
      <c r="E526" s="50">
        <f>Exogenous!$E$81*'Fiscal Forecasts'!E$58</f>
        <v>11.477106999999998</v>
      </c>
      <c r="F526" s="50">
        <f>Exogenous!$E$81*'Fiscal Forecasts'!F$58</f>
        <v>13.146367999999999</v>
      </c>
      <c r="G526" s="50">
        <f>Exogenous!$E$81*'Fiscal Forecasts'!G$58</f>
        <v>16.029636999999997</v>
      </c>
      <c r="H526" s="50">
        <f>Exogenous!$E$81*'Fiscal Forecasts'!H$58</f>
        <v>16.438153</v>
      </c>
      <c r="I526" s="50">
        <f>Exogenous!$E$81*'Fiscal Forecasts'!I$58</f>
        <v>17.309422999999999</v>
      </c>
      <c r="J526" s="50">
        <f>Exogenous!$E$81*'Fiscal Forecasts'!J$58</f>
        <v>17.489446999999998</v>
      </c>
      <c r="K526" s="50">
        <f>Exogenous!$E$81*'Fiscal Forecasts'!K$58</f>
        <v>18.993109</v>
      </c>
      <c r="L526" s="48">
        <f>Exogenous!$E$81*('Fiscal Forecasts'!L$58+Allocation!C$11)</f>
        <v>19.603840419999997</v>
      </c>
      <c r="M526" s="48">
        <f>Exogenous!$E$81*('Fiscal Forecasts'!M$58+Allocation!D$11)</f>
        <v>20.135084320000001</v>
      </c>
      <c r="N526" s="48">
        <f>Exogenous!$E$81*('Fiscal Forecasts'!N$58+Allocation!E$11)</f>
        <v>20.672611749999998</v>
      </c>
      <c r="O526" s="48">
        <f>Exogenous!$E$81*('Fiscal Forecasts'!O$58+Allocation!F$11)</f>
        <v>21.310462169999997</v>
      </c>
      <c r="P526" s="48">
        <f>Exogenous!$E$81*('Fiscal Forecasts'!P$58+Allocation!G$11)</f>
        <v>21.899700339999999</v>
      </c>
      <c r="Q526" s="20">
        <f ca="1">P$526*(1+SUMPRODUCT(Exogenous!$E$84:$E$101,'Population Treasury'!AB$239:AB$256)/('Population Treasury'!AB$275/'Population Treasury'!AA$275)+SUMPRODUCT(Exogenous!$F$84:$F$101,'Population Treasury'!AB$257:AB$274)/('Population Treasury'!AB$277/'Population Treasury'!AA$277))*(1+Q$25)*(1+Q$29)*(1+OFFSET(Assumptions!$B$62,0,$C$1))</f>
        <v>23.052601947296143</v>
      </c>
      <c r="R526" s="20">
        <f ca="1">Q$526*(1+SUMPRODUCT(Exogenous!$E$84:$E$101,'Population Treasury'!AC$239:AC$256)/('Population Treasury'!AC$275/'Population Treasury'!AB$275)+SUMPRODUCT(Exogenous!$F$84:$F$101,'Population Treasury'!AC$257:AC$274)/('Population Treasury'!AC$277/'Population Treasury'!AB$277))*(1+R$25)*(1+R$29)*(1+OFFSET(Assumptions!$B$62,0,$C$1))</f>
        <v>24.234511086806748</v>
      </c>
      <c r="S526" s="20">
        <f ca="1">R$526*(1+SUMPRODUCT(Exogenous!$E$84:$E$101,'Population Treasury'!AD$239:AD$256)/('Population Treasury'!AD$275/'Population Treasury'!AC$275)+SUMPRODUCT(Exogenous!$F$84:$F$101,'Population Treasury'!AD$257:AD$274)/('Population Treasury'!AD$277/'Population Treasury'!AC$277))*(1+S$25)*(1+S$29)*(1+OFFSET(Assumptions!$B$62,0,$C$1))</f>
        <v>25.451344799096869</v>
      </c>
      <c r="T526" s="20">
        <f ca="1">S$526*(1+SUMPRODUCT(Exogenous!$E$84:$E$101,'Population Treasury'!AE$239:AE$256)/('Population Treasury'!AE$275/'Population Treasury'!AD$275)+SUMPRODUCT(Exogenous!$F$84:$F$101,'Population Treasury'!AE$257:AE$274)/('Population Treasury'!AE$277/'Population Treasury'!AD$277))*(1+T$25)*(1+T$29)*(1+OFFSET(Assumptions!$B$62,0,$C$1))</f>
        <v>26.712076249096864</v>
      </c>
      <c r="U526" s="20">
        <f ca="1">T$526*(1+SUMPRODUCT(Exogenous!$E$84:$E$101,'Population Treasury'!AF$239:AF$256)/('Population Treasury'!AF$275/'Population Treasury'!AE$275)+SUMPRODUCT(Exogenous!$F$84:$F$101,'Population Treasury'!AF$257:AF$274)/('Population Treasury'!AF$277/'Population Treasury'!AE$277))*(1+U$25)*(1+U$29)*(1+OFFSET(Assumptions!$B$62,0,$C$1))</f>
        <v>28.029342885296561</v>
      </c>
      <c r="V526" s="20">
        <f ca="1">U$526*(1+SUMPRODUCT(Exogenous!$E$84:$E$101,'Population Treasury'!AG$239:AG$256)/('Population Treasury'!AG$275/'Population Treasury'!AF$275)+SUMPRODUCT(Exogenous!$F$84:$F$101,'Population Treasury'!AG$257:AG$274)/('Population Treasury'!AG$277/'Population Treasury'!AF$277))*(1+V$25)*(1+V$29)*(1+OFFSET(Assumptions!$B$62,0,$C$1))</f>
        <v>29.410650097994946</v>
      </c>
      <c r="W526" s="20">
        <f ca="1">V$526*(1+SUMPRODUCT(Exogenous!$E$84:$E$101,'Population Treasury'!AH$239:AH$256)/('Population Treasury'!AH$275/'Population Treasury'!AG$275)+SUMPRODUCT(Exogenous!$F$84:$F$101,'Population Treasury'!AH$257:AH$274)/('Population Treasury'!AH$277/'Population Treasury'!AG$277))*(1+W$25)*(1+W$29)*(1+OFFSET(Assumptions!$B$62,0,$C$1))</f>
        <v>30.84858233451013</v>
      </c>
      <c r="X526" s="20">
        <f ca="1">W$526*(1+SUMPRODUCT(Exogenous!$E$84:$E$101,'Population Treasury'!AI$239:AI$256)/('Population Treasury'!AI$275/'Population Treasury'!AH$275)+SUMPRODUCT(Exogenous!$F$84:$F$101,'Population Treasury'!AI$257:AI$274)/('Population Treasury'!AI$277/'Population Treasury'!AH$277))*(1+X$25)*(1+X$29)*(1+OFFSET(Assumptions!$B$62,0,$C$1))</f>
        <v>32.348987844377653</v>
      </c>
      <c r="Y526" s="20">
        <f ca="1">X$526*(1+SUMPRODUCT(Exogenous!$E$84:$E$101,'Population Treasury'!AJ$239:AJ$256)/('Population Treasury'!AJ$275/'Population Treasury'!AI$275)+SUMPRODUCT(Exogenous!$F$84:$F$101,'Population Treasury'!AJ$257:AJ$274)/('Population Treasury'!AJ$277/'Population Treasury'!AI$277))*(1+Y$25)*(1+Y$29)*(1+OFFSET(Assumptions!$B$62,0,$C$1))</f>
        <v>33.915625471157881</v>
      </c>
      <c r="Z526" s="20">
        <f ca="1">Y$526*(1+SUMPRODUCT(Exogenous!$E$84:$E$101,'Population Treasury'!AK$239:AK$256)/('Population Treasury'!AK$275/'Population Treasury'!AJ$275)+SUMPRODUCT(Exogenous!$F$84:$F$101,'Population Treasury'!AK$257:AK$274)/('Population Treasury'!AK$277/'Population Treasury'!AJ$277))*(1+Z$25)*(1+Z$29)*(1+OFFSET(Assumptions!$B$62,0,$C$1))</f>
        <v>35.551773266129644</v>
      </c>
    </row>
    <row r="527" spans="1:26" x14ac:dyDescent="0.25">
      <c r="A527" s="12" t="s">
        <v>1431</v>
      </c>
      <c r="B527" s="14" t="str">
        <f>$B$38</f>
        <v>From Fiscal Forecasts</v>
      </c>
      <c r="D527" s="50">
        <f>Exogenous!$H$81*'Fiscal Forecasts'!D$58</f>
        <v>1.6806559999999999</v>
      </c>
      <c r="E527" s="50">
        <f>Exogenous!$H$81*'Fiscal Forecasts'!E$58</f>
        <v>1.8299719999999997</v>
      </c>
      <c r="F527" s="50">
        <f>Exogenous!$H$81*'Fiscal Forecasts'!F$58</f>
        <v>2.0961279999999998</v>
      </c>
      <c r="G527" s="50">
        <f>Exogenous!$H$81*'Fiscal Forecasts'!G$58</f>
        <v>2.5558519999999998</v>
      </c>
      <c r="H527" s="50">
        <f>Exogenous!$H$81*'Fiscal Forecasts'!H$58</f>
        <v>2.6209880000000001</v>
      </c>
      <c r="I527" s="50">
        <f>Exogenous!$H$81*'Fiscal Forecasts'!I$58</f>
        <v>2.7599079999999998</v>
      </c>
      <c r="J527" s="50">
        <f>Exogenous!$H$81*'Fiscal Forecasts'!J$58</f>
        <v>2.7886120000000001</v>
      </c>
      <c r="K527" s="50">
        <f>Exogenous!$H$81*'Fiscal Forecasts'!K$58</f>
        <v>3.0283640000000003</v>
      </c>
      <c r="L527" s="48">
        <f>Exogenous!$H$81*('Fiscal Forecasts'!L$58+Allocation!C$11)</f>
        <v>3.1257423199999996</v>
      </c>
      <c r="M527" s="48">
        <f>Exogenous!$H$81*('Fiscal Forecasts'!M$58+Allocation!D$11)</f>
        <v>3.2104467200000002</v>
      </c>
      <c r="N527" s="48">
        <f>Exogenous!$H$81*('Fiscal Forecasts'!N$58+Allocation!E$11)</f>
        <v>3.2961529999999999</v>
      </c>
      <c r="O527" s="48">
        <f>Exogenous!$H$81*('Fiscal Forecasts'!O$58+Allocation!F$11)</f>
        <v>3.3978553199999997</v>
      </c>
      <c r="P527" s="48">
        <f>Exogenous!$H$81*('Fiscal Forecasts'!P$58+Allocation!G$11)</f>
        <v>3.4918066399999996</v>
      </c>
      <c r="Q527" s="20">
        <f ca="1">P$527*(1+SUMPRODUCT(Exogenous!$H$84:$H$101,'Population Treasury'!AB$239:AB$256)/('Population Treasury'!AB$275/'Population Treasury'!AA$275)+SUMPRODUCT(Exogenous!$I$84:$I$101,'Population Treasury'!AB$257:AB$274)/('Population Treasury'!AB$277/'Population Treasury'!AA$277))*(1+Q$25)*(1+Q$29)*(1+OFFSET(Assumptions!$B$62,0,$C$1))</f>
        <v>3.6537129003716093</v>
      </c>
      <c r="R527" s="20">
        <f ca="1">Q$527*(1+SUMPRODUCT(Exogenous!$H$84:$H$101,'Population Treasury'!AC$239:AC$256)/('Population Treasury'!AC$275/'Population Treasury'!AB$275)+SUMPRODUCT(Exogenous!$I$84:$I$101,'Population Treasury'!AC$257:AC$274)/('Population Treasury'!AC$277/'Population Treasury'!AB$277))*(1+R$25)*(1+R$29)*(1+OFFSET(Assumptions!$B$62,0,$C$1))</f>
        <v>3.8193038881661181</v>
      </c>
      <c r="S527" s="20">
        <f ca="1">R$527*(1+SUMPRODUCT(Exogenous!$H$84:$H$101,'Population Treasury'!AD$239:AD$256)/('Population Treasury'!AD$275/'Population Treasury'!AC$275)+SUMPRODUCT(Exogenous!$I$84:$I$101,'Population Treasury'!AD$257:AD$274)/('Population Treasury'!AD$277/'Population Treasury'!AC$277))*(1+S$25)*(1+S$29)*(1+OFFSET(Assumptions!$B$62,0,$C$1))</f>
        <v>3.9901051321366552</v>
      </c>
      <c r="T527" s="20">
        <f ca="1">S$527*(1+SUMPRODUCT(Exogenous!$H$84:$H$101,'Population Treasury'!AE$239:AE$256)/('Population Treasury'!AE$275/'Population Treasury'!AD$275)+SUMPRODUCT(Exogenous!$I$84:$I$101,'Population Treasury'!AE$257:AE$274)/('Population Treasury'!AE$277/'Population Treasury'!AD$277))*(1+T$25)*(1+T$29)*(1+OFFSET(Assumptions!$B$62,0,$C$1))</f>
        <v>4.1671390190779007</v>
      </c>
      <c r="U527" s="20">
        <f ca="1">T$527*(1+SUMPRODUCT(Exogenous!$H$84:$H$101,'Population Treasury'!AF$239:AF$256)/('Population Treasury'!AF$275/'Population Treasury'!AE$275)+SUMPRODUCT(Exogenous!$I$84:$I$101,'Population Treasury'!AF$257:AF$274)/('Population Treasury'!AF$277/'Population Treasury'!AE$277))*(1+U$25)*(1+U$29)*(1+OFFSET(Assumptions!$B$62,0,$C$1))</f>
        <v>4.3519758878716051</v>
      </c>
      <c r="V527" s="20">
        <f ca="1">U$527*(1+SUMPRODUCT(Exogenous!$H$84:$H$101,'Population Treasury'!AG$239:AG$256)/('Population Treasury'!AG$275/'Population Treasury'!AF$275)+SUMPRODUCT(Exogenous!$I$84:$I$101,'Population Treasury'!AG$257:AG$274)/('Population Treasury'!AG$277/'Population Treasury'!AF$277))*(1+V$25)*(1+V$29)*(1+OFFSET(Assumptions!$B$62,0,$C$1))</f>
        <v>4.545102903131367</v>
      </c>
      <c r="W527" s="20">
        <f ca="1">V$527*(1+SUMPRODUCT(Exogenous!$H$84:$H$101,'Population Treasury'!AH$239:AH$256)/('Population Treasury'!AH$275/'Population Treasury'!AG$275)+SUMPRODUCT(Exogenous!$I$84:$I$101,'Population Treasury'!AH$257:AH$274)/('Population Treasury'!AH$277/'Population Treasury'!AG$277))*(1+W$25)*(1+W$29)*(1+OFFSET(Assumptions!$B$62,0,$C$1))</f>
        <v>4.7428816365340367</v>
      </c>
      <c r="X527" s="20">
        <f ca="1">W$527*(1+SUMPRODUCT(Exogenous!$H$84:$H$101,'Population Treasury'!AI$239:AI$256)/('Population Treasury'!AI$275/'Population Treasury'!AH$275)+SUMPRODUCT(Exogenous!$I$84:$I$101,'Population Treasury'!AI$257:AI$274)/('Population Treasury'!AI$277/'Population Treasury'!AH$277))*(1+X$25)*(1+X$29)*(1+OFFSET(Assumptions!$B$62,0,$C$1))</f>
        <v>4.9484375652464072</v>
      </c>
      <c r="Y527" s="20">
        <f ca="1">X$527*(1+SUMPRODUCT(Exogenous!$H$84:$H$101,'Population Treasury'!AJ$239:AJ$256)/('Population Treasury'!AJ$275/'Population Treasury'!AI$275)+SUMPRODUCT(Exogenous!$I$84:$I$101,'Population Treasury'!AJ$257:AJ$274)/('Population Treasury'!AJ$277/'Population Treasury'!AI$277))*(1+Y$25)*(1+Y$29)*(1+OFFSET(Assumptions!$B$62,0,$C$1))</f>
        <v>5.1636257897273579</v>
      </c>
      <c r="Z527" s="20">
        <f ca="1">Y$527*(1+SUMPRODUCT(Exogenous!$H$84:$H$101,'Population Treasury'!AK$239:AK$256)/('Population Treasury'!AK$275/'Population Treasury'!AJ$275)+SUMPRODUCT(Exogenous!$I$84:$I$101,'Population Treasury'!AK$257:AK$274)/('Population Treasury'!AK$277/'Population Treasury'!AJ$277))*(1+Z$25)*(1+Z$29)*(1+OFFSET(Assumptions!$B$62,0,$C$1))</f>
        <v>5.3870590363441053</v>
      </c>
    </row>
    <row r="528" spans="1:26" x14ac:dyDescent="0.25">
      <c r="A528" s="12" t="s">
        <v>1432</v>
      </c>
      <c r="B528" s="14" t="str">
        <f>$B$38</f>
        <v>From Fiscal Forecasts</v>
      </c>
      <c r="D528" s="50">
        <f>Exogenous!$K$81*'Fiscal Forecasts'!D$58</f>
        <v>1.3701000000000001</v>
      </c>
      <c r="E528" s="50">
        <f>Exogenous!$K$81*'Fiscal Forecasts'!E$58</f>
        <v>1.4918249999999997</v>
      </c>
      <c r="F528" s="50">
        <f>Exogenous!$K$81*'Fiscal Forecasts'!F$58</f>
        <v>1.7087999999999999</v>
      </c>
      <c r="G528" s="50">
        <f>Exogenous!$K$81*'Fiscal Forecasts'!G$58</f>
        <v>2.0835749999999997</v>
      </c>
      <c r="H528" s="50">
        <f>Exogenous!$K$81*'Fiscal Forecasts'!H$58</f>
        <v>2.1366749999999999</v>
      </c>
      <c r="I528" s="50">
        <f>Exogenous!$K$81*'Fiscal Forecasts'!I$58</f>
        <v>2.2499249999999997</v>
      </c>
      <c r="J528" s="50">
        <f>Exogenous!$K$81*'Fiscal Forecasts'!J$58</f>
        <v>2.2733249999999998</v>
      </c>
      <c r="K528" s="50">
        <f>Exogenous!$K$81*'Fiscal Forecasts'!K$58</f>
        <v>2.4687749999999999</v>
      </c>
      <c r="L528" s="48">
        <f>Exogenous!$K$81*('Fiscal Forecasts'!L$58+Allocation!C$11)</f>
        <v>2.5481594999999997</v>
      </c>
      <c r="M528" s="48">
        <f>Exogenous!$K$81*('Fiscal Forecasts'!M$58+Allocation!D$11)</f>
        <v>2.6172119999999999</v>
      </c>
      <c r="N528" s="48">
        <f>Exogenous!$K$81*('Fiscal Forecasts'!N$58+Allocation!E$11)</f>
        <v>2.6870812499999999</v>
      </c>
      <c r="O528" s="48">
        <f>Exogenous!$K$81*('Fiscal Forecasts'!O$58+Allocation!F$11)</f>
        <v>2.7699907499999994</v>
      </c>
      <c r="P528" s="48">
        <f>Exogenous!$K$81*('Fiscal Forecasts'!P$58+Allocation!G$11)</f>
        <v>2.8465814999999997</v>
      </c>
      <c r="Q528" s="20">
        <f ca="1">P$528*(1+SUMPRODUCT(Exogenous!$K$84:$K$101,'Population Treasury'!AB$239:AB$256)/('Population Treasury'!AB$276/'Population Treasury'!AA$276)+SUMPRODUCT(Exogenous!$L$84:$L$101,'Population Treasury'!AB$257:AB$274)/('Population Treasury'!AB$278/'Population Treasury'!AA$278))*(1+Q$25)*(1+Q$29)*(1+OFFSET(Assumptions!$B$62,0,$C$1))</f>
        <v>3.0874855282296045</v>
      </c>
      <c r="R528" s="20">
        <f ca="1">Q$528*(1+SUMPRODUCT(Exogenous!$K$84:$K$101,'Population Treasury'!AC$239:AC$256)/('Population Treasury'!AC$276/'Population Treasury'!AB$276)+SUMPRODUCT(Exogenous!$L$84:$L$101,'Population Treasury'!AC$257:AC$274)/('Population Treasury'!AC$278/'Population Treasury'!AB$278))*(1+R$25)*(1+R$29)*(1+OFFSET(Assumptions!$B$62,0,$C$1))</f>
        <v>3.3319428592428166</v>
      </c>
      <c r="S528" s="20">
        <f ca="1">R$528*(1+SUMPRODUCT(Exogenous!$K$84:$K$101,'Population Treasury'!AD$239:AD$256)/('Population Treasury'!AD$276/'Population Treasury'!AC$276)+SUMPRODUCT(Exogenous!$L$84:$L$101,'Population Treasury'!AD$257:AD$274)/('Population Treasury'!AD$278/'Population Treasury'!AC$278))*(1+S$25)*(1+S$29)*(1+OFFSET(Assumptions!$B$62,0,$C$1))</f>
        <v>3.5790959442523009</v>
      </c>
      <c r="T528" s="20">
        <f ca="1">S$528*(1+SUMPRODUCT(Exogenous!$K$84:$K$101,'Population Treasury'!AE$239:AE$256)/('Population Treasury'!AE$276/'Population Treasury'!AD$276)+SUMPRODUCT(Exogenous!$L$84:$L$101,'Population Treasury'!AE$257:AE$274)/('Population Treasury'!AE$278/'Population Treasury'!AD$278))*(1+T$25)*(1+T$29)*(1+OFFSET(Assumptions!$B$62,0,$C$1))</f>
        <v>3.8385640344022876</v>
      </c>
      <c r="U528" s="20">
        <f ca="1">T$528*(1+SUMPRODUCT(Exogenous!$K$84:$K$101,'Population Treasury'!AF$239:AF$256)/('Population Treasury'!AF$276/'Population Treasury'!AE$276)+SUMPRODUCT(Exogenous!$L$84:$L$101,'Population Treasury'!AF$257:AF$274)/('Population Treasury'!AF$278/'Population Treasury'!AE$278))*(1+U$25)*(1+U$29)*(1+OFFSET(Assumptions!$B$62,0,$C$1))</f>
        <v>4.1054307609820002</v>
      </c>
      <c r="V528" s="20">
        <f ca="1">U$528*(1+SUMPRODUCT(Exogenous!$K$84:$K$101,'Population Treasury'!AG$239:AG$256)/('Population Treasury'!AG$276/'Population Treasury'!AF$276)+SUMPRODUCT(Exogenous!$L$84:$L$101,'Population Treasury'!AG$257:AG$274)/('Population Treasury'!AG$278/'Population Treasury'!AF$278))*(1+V$25)*(1+V$29)*(1+OFFSET(Assumptions!$B$62,0,$C$1))</f>
        <v>4.3871140108467168</v>
      </c>
      <c r="W528" s="20">
        <f ca="1">V$528*(1+SUMPRODUCT(Exogenous!$K$84:$K$101,'Population Treasury'!AH$239:AH$256)/('Population Treasury'!AH$276/'Population Treasury'!AG$276)+SUMPRODUCT(Exogenous!$L$84:$L$101,'Population Treasury'!AH$257:AH$274)/('Population Treasury'!AH$278/'Population Treasury'!AG$278))*(1+W$25)*(1+W$29)*(1+OFFSET(Assumptions!$B$62,0,$C$1))</f>
        <v>4.6806104282027867</v>
      </c>
      <c r="X528" s="20">
        <f ca="1">W$528*(1+SUMPRODUCT(Exogenous!$K$84:$K$101,'Population Treasury'!AI$239:AI$256)/('Population Treasury'!AI$276/'Population Treasury'!AH$276)+SUMPRODUCT(Exogenous!$L$84:$L$101,'Population Treasury'!AI$257:AI$274)/('Population Treasury'!AI$278/'Population Treasury'!AH$278))*(1+X$25)*(1+X$29)*(1+OFFSET(Assumptions!$B$62,0,$C$1))</f>
        <v>4.9923185868644184</v>
      </c>
      <c r="Y528" s="20">
        <f ca="1">X$528*(1+SUMPRODUCT(Exogenous!$K$84:$K$101,'Population Treasury'!AJ$239:AJ$256)/('Population Treasury'!AJ$276/'Population Treasury'!AI$276)+SUMPRODUCT(Exogenous!$L$84:$L$101,'Population Treasury'!AJ$257:AJ$274)/('Population Treasury'!AJ$278/'Population Treasury'!AI$278))*(1+Y$25)*(1+Y$29)*(1+OFFSET(Assumptions!$B$62,0,$C$1))</f>
        <v>5.3166139956171197</v>
      </c>
      <c r="Z528" s="20">
        <f ca="1">Y$528*(1+SUMPRODUCT(Exogenous!$K$84:$K$101,'Population Treasury'!AK$239:AK$256)/('Population Treasury'!AK$276/'Population Treasury'!AJ$276)+SUMPRODUCT(Exogenous!$L$84:$L$101,'Population Treasury'!AK$257:AK$274)/('Population Treasury'!AK$278/'Population Treasury'!AJ$278))*(1+Z$25)*(1+Z$29)*(1+OFFSET(Assumptions!$B$62,0,$C$1))</f>
        <v>5.6609245870496947</v>
      </c>
    </row>
    <row r="529" spans="1:26" x14ac:dyDescent="0.25">
      <c r="A529" s="12" t="s">
        <v>1433</v>
      </c>
      <c r="B529" s="14" t="str">
        <f>$B$38</f>
        <v>From Fiscal Forecasts</v>
      </c>
      <c r="D529" s="50">
        <f>Exogenous!$N$81*'Fiscal Forecasts'!D$58</f>
        <v>1.2787600000000001</v>
      </c>
      <c r="E529" s="50">
        <f>Exogenous!$N$81*'Fiscal Forecasts'!E$58</f>
        <v>1.3923700000000001</v>
      </c>
      <c r="F529" s="50">
        <f>Exogenous!$N$81*'Fiscal Forecasts'!F$58</f>
        <v>1.5948800000000001</v>
      </c>
      <c r="G529" s="50">
        <f>Exogenous!$N$81*'Fiscal Forecasts'!G$58</f>
        <v>1.9446700000000001</v>
      </c>
      <c r="H529" s="50">
        <f>Exogenous!$N$81*'Fiscal Forecasts'!H$58</f>
        <v>1.9942300000000002</v>
      </c>
      <c r="I529" s="50">
        <f>Exogenous!$N$81*'Fiscal Forecasts'!I$58</f>
        <v>2.0999300000000001</v>
      </c>
      <c r="J529" s="50">
        <f>Exogenous!$N$81*'Fiscal Forecasts'!J$58</f>
        <v>2.1217700000000002</v>
      </c>
      <c r="K529" s="50">
        <f>Exogenous!$N$81*'Fiscal Forecasts'!K$58</f>
        <v>2.3041900000000002</v>
      </c>
      <c r="L529" s="48">
        <f>Exogenous!$N$81*('Fiscal Forecasts'!L$58+Allocation!C$11)</f>
        <v>2.3782822000000001</v>
      </c>
      <c r="M529" s="48">
        <f>Exogenous!$N$81*('Fiscal Forecasts'!M$58+Allocation!D$11)</f>
        <v>2.4427312000000003</v>
      </c>
      <c r="N529" s="48">
        <f>Exogenous!$N$81*('Fiscal Forecasts'!N$58+Allocation!E$11)</f>
        <v>2.5079425000000004</v>
      </c>
      <c r="O529" s="48">
        <f>Exogenous!$N$81*('Fiscal Forecasts'!O$58+Allocation!F$11)</f>
        <v>2.5853247000000001</v>
      </c>
      <c r="P529" s="48">
        <f>Exogenous!$N$81*('Fiscal Forecasts'!P$58+Allocation!G$11)</f>
        <v>2.6568094000000002</v>
      </c>
      <c r="Q529" s="20">
        <f ca="1">P$529*(1+SUMPRODUCT(Exogenous!$N$84:$N$101,'Population Treasury'!AB$239:AB$256)/('Population Treasury'!AB$276/'Population Treasury'!AA$276)+SUMPRODUCT(Exogenous!$O$84:$O$101,'Population Treasury'!AB$257:AB$274)/('Population Treasury'!AB$278/'Population Treasury'!AA$278))*(1+Q$25)*(1+Q$29)*(1+OFFSET(Assumptions!$B$62,0,$C$1))</f>
        <v>2.860532667525741</v>
      </c>
      <c r="R529" s="20">
        <f ca="1">Q$529*(1+SUMPRODUCT(Exogenous!$N$84:$N$101,'Population Treasury'!AC$239:AC$256)/('Population Treasury'!AC$276/'Population Treasury'!AB$276)+SUMPRODUCT(Exogenous!$O$84:$O$101,'Population Treasury'!AC$257:AC$274)/('Population Treasury'!AC$278/'Population Treasury'!AB$278))*(1+R$25)*(1+R$29)*(1+OFFSET(Assumptions!$B$62,0,$C$1))</f>
        <v>3.0681927900839883</v>
      </c>
      <c r="S529" s="20">
        <f ca="1">R$529*(1+SUMPRODUCT(Exogenous!$N$84:$N$101,'Population Treasury'!AD$239:AD$256)/('Population Treasury'!AD$276/'Population Treasury'!AC$276)+SUMPRODUCT(Exogenous!$O$84:$O$101,'Population Treasury'!AD$257:AD$274)/('Population Treasury'!AD$278/'Population Treasury'!AC$278))*(1+S$25)*(1+S$29)*(1+OFFSET(Assumptions!$B$62,0,$C$1))</f>
        <v>3.2799278302759483</v>
      </c>
      <c r="T529" s="20">
        <f ca="1">S$529*(1+SUMPRODUCT(Exogenous!$N$84:$N$101,'Population Treasury'!AE$239:AE$256)/('Population Treasury'!AE$276/'Population Treasury'!AD$276)+SUMPRODUCT(Exogenous!$O$84:$O$101,'Population Treasury'!AE$257:AE$274)/('Population Treasury'!AE$278/'Population Treasury'!AD$278))*(1+T$25)*(1+T$29)*(1+OFFSET(Assumptions!$B$62,0,$C$1))</f>
        <v>3.5003944589464093</v>
      </c>
      <c r="U529" s="20">
        <f ca="1">T$529*(1+SUMPRODUCT(Exogenous!$N$84:$N$101,'Population Treasury'!AF$239:AF$256)/('Population Treasury'!AF$276/'Population Treasury'!AE$276)+SUMPRODUCT(Exogenous!$O$84:$O$101,'Population Treasury'!AF$257:AF$274)/('Population Treasury'!AF$278/'Population Treasury'!AE$278))*(1+U$25)*(1+U$29)*(1+OFFSET(Assumptions!$B$62,0,$C$1))</f>
        <v>3.7290545008005065</v>
      </c>
      <c r="V529" s="20">
        <f ca="1">U$529*(1+SUMPRODUCT(Exogenous!$N$84:$N$101,'Population Treasury'!AG$239:AG$256)/('Population Treasury'!AG$276/'Population Treasury'!AF$276)+SUMPRODUCT(Exogenous!$O$84:$O$101,'Population Treasury'!AG$257:AG$274)/('Population Treasury'!AG$278/'Population Treasury'!AF$278))*(1+V$25)*(1+V$29)*(1+OFFSET(Assumptions!$B$62,0,$C$1))</f>
        <v>3.9690540100741778</v>
      </c>
      <c r="W529" s="20">
        <f ca="1">V$529*(1+SUMPRODUCT(Exogenous!$N$84:$N$101,'Population Treasury'!AH$239:AH$256)/('Population Treasury'!AH$276/'Population Treasury'!AG$276)+SUMPRODUCT(Exogenous!$O$84:$O$101,'Population Treasury'!AH$257:AH$274)/('Population Treasury'!AH$278/'Population Treasury'!AG$278))*(1+W$25)*(1+W$29)*(1+OFFSET(Assumptions!$B$62,0,$C$1))</f>
        <v>4.2183855861107116</v>
      </c>
      <c r="X529" s="20">
        <f ca="1">W$529*(1+SUMPRODUCT(Exogenous!$N$84:$N$101,'Population Treasury'!AI$239:AI$256)/('Population Treasury'!AI$276/'Population Treasury'!AH$276)+SUMPRODUCT(Exogenous!$O$84:$O$101,'Population Treasury'!AI$257:AI$274)/('Population Treasury'!AI$278/'Population Treasury'!AH$278))*(1+X$25)*(1+X$29)*(1+OFFSET(Assumptions!$B$62,0,$C$1))</f>
        <v>4.4808322631300177</v>
      </c>
      <c r="Y529" s="20">
        <f ca="1">X$529*(1+SUMPRODUCT(Exogenous!$N$84:$N$101,'Population Treasury'!AJ$239:AJ$256)/('Population Treasury'!AJ$276/'Population Treasury'!AI$276)+SUMPRODUCT(Exogenous!$O$84:$O$101,'Population Treasury'!AJ$257:AJ$274)/('Population Treasury'!AJ$278/'Population Treasury'!AI$278))*(1+Y$25)*(1+Y$29)*(1+OFFSET(Assumptions!$B$62,0,$C$1))</f>
        <v>4.7521146106172338</v>
      </c>
      <c r="Z529" s="20">
        <f ca="1">Y$529*(1+SUMPRODUCT(Exogenous!$N$84:$N$101,'Population Treasury'!AK$239:AK$256)/('Population Treasury'!AK$276/'Population Treasury'!AJ$276)+SUMPRODUCT(Exogenous!$O$84:$O$101,'Population Treasury'!AK$257:AK$274)/('Population Treasury'!AK$278/'Population Treasury'!AJ$278))*(1+Z$25)*(1+Z$29)*(1+OFFSET(Assumptions!$B$62,0,$C$1))</f>
        <v>5.0381418012433974</v>
      </c>
    </row>
    <row r="530" spans="1:26" x14ac:dyDescent="0.25">
      <c r="A530" s="11" t="s">
        <v>1275</v>
      </c>
      <c r="D530" s="94">
        <f t="shared" ref="D530:Z530" si="313">SUM(D$525:D$529)</f>
        <v>18.268000000000001</v>
      </c>
      <c r="E530" s="94">
        <f t="shared" si="313"/>
        <v>19.890999999999998</v>
      </c>
      <c r="F530" s="94">
        <f t="shared" si="313"/>
        <v>22.783999999999999</v>
      </c>
      <c r="G530" s="94">
        <f t="shared" si="313"/>
        <v>27.780999999999999</v>
      </c>
      <c r="H530" s="94">
        <f t="shared" si="313"/>
        <v>28.489000000000004</v>
      </c>
      <c r="I530" s="94">
        <f t="shared" si="313"/>
        <v>29.998999999999999</v>
      </c>
      <c r="J530" s="94">
        <f t="shared" si="313"/>
        <v>30.311</v>
      </c>
      <c r="K530" s="94">
        <f t="shared" si="313"/>
        <v>32.917000000000002</v>
      </c>
      <c r="L530" s="95">
        <f t="shared" si="313"/>
        <v>33.975459999999998</v>
      </c>
      <c r="M530" s="95">
        <f t="shared" si="313"/>
        <v>34.896160000000002</v>
      </c>
      <c r="N530" s="95">
        <f t="shared" si="313"/>
        <v>35.827749999999995</v>
      </c>
      <c r="O530" s="95">
        <f t="shared" si="313"/>
        <v>36.933209999999995</v>
      </c>
      <c r="P530" s="95">
        <f t="shared" si="313"/>
        <v>37.954419999999999</v>
      </c>
      <c r="Q530" s="96">
        <f t="shared" ca="1" si="313"/>
        <v>40.083246679023617</v>
      </c>
      <c r="R530" s="96">
        <f t="shared" ca="1" si="313"/>
        <v>42.262937078894559</v>
      </c>
      <c r="S530" s="96">
        <f t="shared" ca="1" si="313"/>
        <v>44.500970421577534</v>
      </c>
      <c r="T530" s="96">
        <f t="shared" ca="1" si="313"/>
        <v>46.825942970009798</v>
      </c>
      <c r="U530" s="96">
        <f t="shared" ca="1" si="313"/>
        <v>49.248600254770139</v>
      </c>
      <c r="V530" s="96">
        <f t="shared" ca="1" si="313"/>
        <v>51.788514695551115</v>
      </c>
      <c r="W530" s="96">
        <f t="shared" ca="1" si="313"/>
        <v>54.428404489248138</v>
      </c>
      <c r="X530" s="96">
        <f t="shared" ca="1" si="313"/>
        <v>57.188688467494948</v>
      </c>
      <c r="Y530" s="96">
        <f t="shared" ca="1" si="313"/>
        <v>60.068612845673407</v>
      </c>
      <c r="Z530" s="96">
        <f t="shared" ca="1" si="313"/>
        <v>63.082125679942266</v>
      </c>
    </row>
    <row r="532" spans="1:26" x14ac:dyDescent="0.25">
      <c r="A532" s="11" t="s">
        <v>1277</v>
      </c>
    </row>
    <row r="533" spans="1:26" x14ac:dyDescent="0.25">
      <c r="A533" s="12" t="s">
        <v>728</v>
      </c>
      <c r="B533" s="14" t="str">
        <f>$B$38</f>
        <v>From Fiscal Forecasts</v>
      </c>
      <c r="D533" s="50">
        <f>'Fiscal Forecasts'!D$408</f>
        <v>1.8959999999999999</v>
      </c>
      <c r="E533" s="50">
        <f>'Fiscal Forecasts'!E$408</f>
        <v>2.0070000000000001</v>
      </c>
      <c r="F533" s="50">
        <f>'Fiscal Forecasts'!F$408</f>
        <v>2.1320000000000001</v>
      </c>
      <c r="G533" s="50">
        <f>'Fiscal Forecasts'!G$408</f>
        <v>2.2469999999999999</v>
      </c>
      <c r="H533" s="50">
        <f>'Fiscal Forecasts'!H$408</f>
        <v>2.355</v>
      </c>
      <c r="I533" s="50">
        <f>'Fiscal Forecasts'!I$408</f>
        <v>2.71</v>
      </c>
      <c r="J533" s="50">
        <f>'Fiscal Forecasts'!J$408</f>
        <v>3.0739999999999998</v>
      </c>
      <c r="K533" s="50">
        <f>'Fiscal Forecasts'!K$408</f>
        <v>3.0179999999999998</v>
      </c>
      <c r="L533" s="48">
        <f>'Fiscal Forecasts'!L$408+Allocation!C$24</f>
        <v>3.05780165</v>
      </c>
      <c r="M533" s="48">
        <f>'Fiscal Forecasts'!M$408+Allocation!D$24</f>
        <v>3.2386334000000003</v>
      </c>
      <c r="N533" s="48">
        <f>'Fiscal Forecasts'!N$408+Allocation!E$24</f>
        <v>3.3726093750000001</v>
      </c>
      <c r="O533" s="48">
        <f>'Fiscal Forecasts'!O$408+Allocation!F$24</f>
        <v>3.5015535249999998</v>
      </c>
      <c r="P533" s="48">
        <f>'Fiscal Forecasts'!P$408+Allocation!G$24</f>
        <v>3.6058670499999996</v>
      </c>
      <c r="Q533" s="20">
        <f ca="1">P$533*(1+SUMPRODUCT(Exogenous!$B$67:$B$72,'Population Treasury'!AB$280:AB$285)+SUMPRODUCT(Exogenous!$C$67:$C$72,'Population Treasury'!AB$304:AB$309))*(1+Q$25)*(1+Q$29)*(1+OFFSET(Assumptions!$B$63,0,$C$1))</f>
        <v>3.7381593928494494</v>
      </c>
      <c r="R533" s="20">
        <f ca="1">Q$533*(1+SUMPRODUCT(Exogenous!$B$67:$B$72,'Population Treasury'!AC$280:AC$285)+SUMPRODUCT(Exogenous!$C$67:$C$72,'Population Treasury'!AC$304:AC$309))*(1+R$25)*(1+R$29)*(1+OFFSET(Assumptions!$B$63,0,$C$1))</f>
        <v>3.8735749199424725</v>
      </c>
      <c r="S533" s="20">
        <f ca="1">R$533*(1+SUMPRODUCT(Exogenous!$B$67:$B$72,'Population Treasury'!AD$280:AD$285)+SUMPRODUCT(Exogenous!$C$67:$C$72,'Population Treasury'!AD$304:AD$309))*(1+S$25)*(1+S$29)*(1+OFFSET(Assumptions!$B$63,0,$C$1))</f>
        <v>4.0135175292436447</v>
      </c>
      <c r="T533" s="20">
        <f ca="1">S$533*(1+SUMPRODUCT(Exogenous!$B$67:$B$72,'Population Treasury'!AE$280:AE$285)+SUMPRODUCT(Exogenous!$C$67:$C$72,'Population Treasury'!AE$304:AE$309))*(1+T$25)*(1+T$29)*(1+OFFSET(Assumptions!$B$63,0,$C$1))</f>
        <v>4.1606999679535024</v>
      </c>
      <c r="U533" s="20">
        <f ca="1">T$533*(1+SUMPRODUCT(Exogenous!$B$67:$B$72,'Population Treasury'!AF$280:AF$285)+SUMPRODUCT(Exogenous!$C$67:$C$72,'Population Treasury'!AF$304:AF$309))*(1+U$25)*(1+U$29)*(1+OFFSET(Assumptions!$B$63,0,$C$1))</f>
        <v>4.3172500258791429</v>
      </c>
      <c r="V533" s="20">
        <f ca="1">U$533*(1+SUMPRODUCT(Exogenous!$B$67:$B$72,'Population Treasury'!AG$280:AG$285)+SUMPRODUCT(Exogenous!$C$67:$C$72,'Population Treasury'!AG$304:AG$309))*(1+V$25)*(1+V$29)*(1+OFFSET(Assumptions!$B$63,0,$C$1))</f>
        <v>4.484471206476095</v>
      </c>
      <c r="W533" s="20">
        <f ca="1">V$533*(1+SUMPRODUCT(Exogenous!$B$67:$B$72,'Population Treasury'!AH$280:AH$285)+SUMPRODUCT(Exogenous!$C$67:$C$72,'Population Treasury'!AH$304:AH$309))*(1+W$25)*(1+W$29)*(1+OFFSET(Assumptions!$B$63,0,$C$1))</f>
        <v>4.6628813449209119</v>
      </c>
      <c r="X533" s="20">
        <f ca="1">W$533*(1+SUMPRODUCT(Exogenous!$B$67:$B$72,'Population Treasury'!AI$280:AI$285)+SUMPRODUCT(Exogenous!$C$67:$C$72,'Population Treasury'!AI$304:AI$309))*(1+X$25)*(1+X$29)*(1+OFFSET(Assumptions!$B$63,0,$C$1))</f>
        <v>4.8527621000834378</v>
      </c>
      <c r="Y533" s="20">
        <f ca="1">X$533*(1+SUMPRODUCT(Exogenous!$B$67:$B$72,'Population Treasury'!AJ$280:AJ$285)+SUMPRODUCT(Exogenous!$C$67:$C$72,'Population Treasury'!AJ$304:AJ$309))*(1+Y$25)*(1+Y$29)*(1+OFFSET(Assumptions!$B$63,0,$C$1))</f>
        <v>5.0545512941973714</v>
      </c>
      <c r="Z533" s="20">
        <f ca="1">Y$533*(1+SUMPRODUCT(Exogenous!$B$67:$B$72,'Population Treasury'!AK$280:AK$285)+SUMPRODUCT(Exogenous!$C$67:$C$72,'Population Treasury'!AK$304:AK$309))*(1+Z$25)*(1+Z$29)*(1+OFFSET(Assumptions!$B$63,0,$C$1))</f>
        <v>5.2672900103709868</v>
      </c>
    </row>
    <row r="534" spans="1:26" x14ac:dyDescent="0.25">
      <c r="A534" s="12" t="s">
        <v>1434</v>
      </c>
      <c r="B534" s="14" t="str">
        <f t="shared" ref="B534:B539" si="314">$B$38</f>
        <v>From Fiscal Forecasts</v>
      </c>
      <c r="D534" s="50">
        <f>'Fiscal Forecasts'!D$409</f>
        <v>3.835</v>
      </c>
      <c r="E534" s="50">
        <f>'Fiscal Forecasts'!E$409</f>
        <v>4.0129999999999999</v>
      </c>
      <c r="F534" s="50">
        <f>'Fiscal Forecasts'!F$409</f>
        <v>4.6470000000000002</v>
      </c>
      <c r="G534" s="50">
        <f>'Fiscal Forecasts'!G$409</f>
        <v>4.7329999999999997</v>
      </c>
      <c r="H534" s="50">
        <f>'Fiscal Forecasts'!H$409</f>
        <v>4.7789999999999999</v>
      </c>
      <c r="I534" s="50">
        <f>'Fiscal Forecasts'!I$409</f>
        <v>5.39</v>
      </c>
      <c r="J534" s="50">
        <f>'Fiscal Forecasts'!J$409</f>
        <v>5.5259999999999998</v>
      </c>
      <c r="K534" s="50">
        <f>'Fiscal Forecasts'!K$409</f>
        <v>5.6630000000000003</v>
      </c>
      <c r="L534" s="48">
        <f>'Fiscal Forecasts'!L$409+Allocation!C$25</f>
        <v>6.1281812000000002</v>
      </c>
      <c r="M534" s="48">
        <f>'Fiscal Forecasts'!M$409+Allocation!D$25</f>
        <v>6.4117951999999994</v>
      </c>
      <c r="N534" s="48">
        <f>'Fiscal Forecasts'!N$409+Allocation!E$25</f>
        <v>6.4693750000000003</v>
      </c>
      <c r="O534" s="48">
        <f>'Fiscal Forecasts'!O$409+Allocation!F$25</f>
        <v>6.6502961999999997</v>
      </c>
      <c r="P534" s="48">
        <f>'Fiscal Forecasts'!P$409+Allocation!G$25</f>
        <v>6.8068724000000005</v>
      </c>
      <c r="Q534" s="20">
        <f ca="1">P$534*(1+SUMPRODUCT(Exogenous!$G$67:$G$75,'Population Treasury'!AB$285:AB$293)+SUMPRODUCT(Exogenous!$H$67:$H$75,'Population Treasury'!AB$309:AB$317))*(1+Q$25)*(1+Q$29)*(1+OFFSET(Assumptions!$B$63,0,$C$1))</f>
        <v>7.0213923532428204</v>
      </c>
      <c r="R534" s="20">
        <f ca="1">Q$534*(1+SUMPRODUCT(Exogenous!$G$67:$G$75,'Population Treasury'!AC$285:AC$293)+SUMPRODUCT(Exogenous!$H$67:$H$75,'Population Treasury'!AC$309:AC$317))*(1+R$25)*(1+R$29)*(1+OFFSET(Assumptions!$B$63,0,$C$1))</f>
        <v>7.2434910204359726</v>
      </c>
      <c r="S534" s="20">
        <f ca="1">R$534*(1+SUMPRODUCT(Exogenous!$G$67:$G$75,'Population Treasury'!AD$285:AD$293)+SUMPRODUCT(Exogenous!$H$67:$H$75,'Population Treasury'!AD$309:AD$317))*(1+S$25)*(1+S$29)*(1+OFFSET(Assumptions!$B$63,0,$C$1))</f>
        <v>7.4698970476595266</v>
      </c>
      <c r="T534" s="20">
        <f ca="1">S$534*(1+SUMPRODUCT(Exogenous!$G$67:$G$75,'Population Treasury'!AE$285:AE$293)+SUMPRODUCT(Exogenous!$H$67:$H$75,'Population Treasury'!AE$309:AE$317))*(1+T$25)*(1+T$29)*(1+OFFSET(Assumptions!$B$63,0,$C$1))</f>
        <v>7.7000963704380743</v>
      </c>
      <c r="U534" s="20">
        <f ca="1">T$534*(1+SUMPRODUCT(Exogenous!$G$67:$G$75,'Population Treasury'!AF$285:AF$293)+SUMPRODUCT(Exogenous!$H$67:$H$75,'Population Treasury'!AF$309:AF$317))*(1+U$25)*(1+U$29)*(1+OFFSET(Assumptions!$B$63,0,$C$1))</f>
        <v>7.968115934886363</v>
      </c>
      <c r="V534" s="20">
        <f ca="1">U$534*(1+SUMPRODUCT(Exogenous!$G$67:$G$75,'Population Treasury'!AG$285:AG$293)+SUMPRODUCT(Exogenous!$H$67:$H$75,'Population Treasury'!AG$309:AG$317))*(1+V$25)*(1+V$29)*(1+OFFSET(Assumptions!$B$63,0,$C$1))</f>
        <v>8.2717781950830123</v>
      </c>
      <c r="W534" s="20">
        <f ca="1">V$534*(1+SUMPRODUCT(Exogenous!$G$67:$G$75,'Population Treasury'!AH$285:AH$293)+SUMPRODUCT(Exogenous!$H$67:$H$75,'Population Treasury'!AH$309:AH$317))*(1+W$25)*(1+W$29)*(1+OFFSET(Assumptions!$B$63,0,$C$1))</f>
        <v>8.5801378433312792</v>
      </c>
      <c r="X534" s="20">
        <f ca="1">W$534*(1+SUMPRODUCT(Exogenous!$G$67:$G$75,'Population Treasury'!AI$285:AI$293)+SUMPRODUCT(Exogenous!$H$67:$H$75,'Population Treasury'!AI$309:AI$317))*(1+X$25)*(1+X$29)*(1+OFFSET(Assumptions!$B$63,0,$C$1))</f>
        <v>8.8936625059541523</v>
      </c>
      <c r="Y534" s="20">
        <f ca="1">X$534*(1+SUMPRODUCT(Exogenous!$G$67:$G$75,'Population Treasury'!AJ$285:AJ$293)+SUMPRODUCT(Exogenous!$H$67:$H$75,'Population Treasury'!AJ$309:AJ$317))*(1+Y$25)*(1+Y$29)*(1+OFFSET(Assumptions!$B$63,0,$C$1))</f>
        <v>9.221137254313188</v>
      </c>
      <c r="Z534" s="20">
        <f ca="1">Y$534*(1+SUMPRODUCT(Exogenous!$G$67:$G$75,'Population Treasury'!AK$285:AK$293)+SUMPRODUCT(Exogenous!$H$67:$H$75,'Population Treasury'!AK$309:AK$317))*(1+Z$25)*(1+Z$29)*(1+OFFSET(Assumptions!$B$63,0,$C$1))</f>
        <v>9.5655850701206955</v>
      </c>
    </row>
    <row r="535" spans="1:26" x14ac:dyDescent="0.25">
      <c r="A535" s="12" t="s">
        <v>1435</v>
      </c>
      <c r="B535" s="14" t="str">
        <f t="shared" si="314"/>
        <v>From Fiscal Forecasts</v>
      </c>
      <c r="D535" s="50">
        <f>'Fiscal Forecasts'!D$410</f>
        <v>2.988</v>
      </c>
      <c r="E535" s="50">
        <f>'Fiscal Forecasts'!E$410</f>
        <v>3.0950000000000002</v>
      </c>
      <c r="F535" s="50">
        <f>'Fiscal Forecasts'!F$410</f>
        <v>3.5830000000000002</v>
      </c>
      <c r="G535" s="50">
        <f>'Fiscal Forecasts'!G$410</f>
        <v>3.7450000000000001</v>
      </c>
      <c r="H535" s="50">
        <f>'Fiscal Forecasts'!H$410</f>
        <v>3.8370000000000002</v>
      </c>
      <c r="I535" s="50">
        <f>'Fiscal Forecasts'!I$410</f>
        <v>4.351</v>
      </c>
      <c r="J535" s="50">
        <f>'Fiscal Forecasts'!J$410</f>
        <v>4.4240000000000004</v>
      </c>
      <c r="K535" s="50">
        <f>'Fiscal Forecasts'!K$410</f>
        <v>4.5599999999999996</v>
      </c>
      <c r="L535" s="48">
        <f>'Fiscal Forecasts'!L$410+Allocation!C$26</f>
        <v>4.9147138000000004</v>
      </c>
      <c r="M535" s="48">
        <f>'Fiscal Forecasts'!M$410+Allocation!D$26</f>
        <v>5.1386248000000005</v>
      </c>
      <c r="N535" s="48">
        <f>'Fiscal Forecasts'!N$410+Allocation!E$26</f>
        <v>5.1814375000000004</v>
      </c>
      <c r="O535" s="48">
        <f>'Fiscal Forecasts'!O$410+Allocation!F$26</f>
        <v>5.3241613000000001</v>
      </c>
      <c r="P535" s="48">
        <f>'Fiscal Forecasts'!P$410+Allocation!G$26</f>
        <v>5.4460426000000002</v>
      </c>
      <c r="Q535" s="20">
        <f ca="1">P$535*(1+SUMPRODUCT(Exogenous!$L$67:$L$73,'Population Treasury'!AB$293:AB$299)+SUMPRODUCT(Exogenous!$M$67:$M$73,'Population Treasury'!AB$317:AB$323))*(1+Q$25)*(1+Q$29)*(1+OFFSET(Assumptions!$B$63,0,$C$1))</f>
        <v>5.6304125364865794</v>
      </c>
      <c r="R535" s="20">
        <f ca="1">Q$535*(1+SUMPRODUCT(Exogenous!$L$67:$L$73,'Population Treasury'!AC$293:AC$299)+SUMPRODUCT(Exogenous!$M$67:$M$73,'Population Treasury'!AC$317:AC$323))*(1+R$25)*(1+R$29)*(1+OFFSET(Assumptions!$B$63,0,$C$1))</f>
        <v>5.8114915747315221</v>
      </c>
      <c r="S535" s="20">
        <f ca="1">R$535*(1+SUMPRODUCT(Exogenous!$L$67:$L$73,'Population Treasury'!AD$293:AD$299)+SUMPRODUCT(Exogenous!$M$67:$M$73,'Population Treasury'!AD$317:AD$323))*(1+S$25)*(1+S$29)*(1+OFFSET(Assumptions!$B$63,0,$C$1))</f>
        <v>6.0024096194187493</v>
      </c>
      <c r="T535" s="20">
        <f ca="1">S$535*(1+SUMPRODUCT(Exogenous!$L$67:$L$73,'Population Treasury'!AE$293:AE$299)+SUMPRODUCT(Exogenous!$M$67:$M$73,'Population Treasury'!AE$317:AE$323))*(1+T$25)*(1+T$29)*(1+OFFSET(Assumptions!$B$63,0,$C$1))</f>
        <v>6.2003281633263878</v>
      </c>
      <c r="U535" s="20">
        <f ca="1">T$535*(1+SUMPRODUCT(Exogenous!$L$67:$L$73,'Population Treasury'!AF$293:AF$299)+SUMPRODUCT(Exogenous!$M$67:$M$73,'Population Treasury'!AF$317:AF$323))*(1+U$25)*(1+U$29)*(1+OFFSET(Assumptions!$B$63,0,$C$1))</f>
        <v>6.373706012087184</v>
      </c>
      <c r="V535" s="20">
        <f ca="1">U$535*(1+SUMPRODUCT(Exogenous!$L$67:$L$73,'Population Treasury'!AG$293:AG$299)+SUMPRODUCT(Exogenous!$M$67:$M$73,'Population Treasury'!AG$317:AG$323))*(1+V$25)*(1+V$29)*(1+OFFSET(Assumptions!$B$63,0,$C$1))</f>
        <v>6.5114889765022825</v>
      </c>
      <c r="W535" s="20">
        <f ca="1">V$535*(1+SUMPRODUCT(Exogenous!$L$67:$L$73,'Population Treasury'!AH$293:AH$299)+SUMPRODUCT(Exogenous!$M$67:$M$73,'Population Treasury'!AH$317:AH$323))*(1+W$25)*(1+W$29)*(1+OFFSET(Assumptions!$B$63,0,$C$1))</f>
        <v>6.6685362998528506</v>
      </c>
      <c r="X535" s="20">
        <f ca="1">W$535*(1+SUMPRODUCT(Exogenous!$L$67:$L$73,'Population Treasury'!AI$293:AI$299)+SUMPRODUCT(Exogenous!$M$67:$M$73,'Population Treasury'!AI$317:AI$323))*(1+X$25)*(1+X$29)*(1+OFFSET(Assumptions!$B$63,0,$C$1))</f>
        <v>6.8454207260889373</v>
      </c>
      <c r="Y535" s="20">
        <f ca="1">X$535*(1+SUMPRODUCT(Exogenous!$L$67:$L$73,'Population Treasury'!AJ$293:AJ$299)+SUMPRODUCT(Exogenous!$M$67:$M$73,'Population Treasury'!AJ$317:AJ$323))*(1+Y$25)*(1+Y$29)*(1+OFFSET(Assumptions!$B$63,0,$C$1))</f>
        <v>7.0508573342863441</v>
      </c>
      <c r="Z535" s="20">
        <f ca="1">Y$535*(1+SUMPRODUCT(Exogenous!$L$67:$L$73,'Population Treasury'!AK$293:AK$299)+SUMPRODUCT(Exogenous!$M$67:$M$73,'Population Treasury'!AK$317:AK$323))*(1+Z$25)*(1+Z$29)*(1+OFFSET(Assumptions!$B$63,0,$C$1))</f>
        <v>7.3195185114415509</v>
      </c>
    </row>
    <row r="536" spans="1:26" x14ac:dyDescent="0.25">
      <c r="A536" s="12" t="s">
        <v>1436</v>
      </c>
      <c r="B536" s="14" t="str">
        <f t="shared" si="314"/>
        <v>From Fiscal Forecasts</v>
      </c>
      <c r="D536" s="50">
        <f>'Fiscal Forecasts'!D$411</f>
        <v>2.9660000000000002</v>
      </c>
      <c r="E536" s="50">
        <f>'Fiscal Forecasts'!E$411</f>
        <v>4.548</v>
      </c>
      <c r="F536" s="50">
        <f>'Fiscal Forecasts'!F$411</f>
        <v>2.7170000000000001</v>
      </c>
      <c r="G536" s="50">
        <f>'Fiscal Forecasts'!G$411</f>
        <v>3.96</v>
      </c>
      <c r="H536" s="50">
        <f>'Fiscal Forecasts'!H$411</f>
        <v>3.8639999999999999</v>
      </c>
      <c r="I536" s="50">
        <f>'Fiscal Forecasts'!I$411</f>
        <v>3.8849999999999998</v>
      </c>
      <c r="J536" s="50">
        <f>'Fiscal Forecasts'!J$411</f>
        <v>3.9209999999999998</v>
      </c>
      <c r="K536" s="50">
        <f>'Fiscal Forecasts'!K$411</f>
        <v>3.8889999999999998</v>
      </c>
      <c r="L536" s="48">
        <f>'Fiscal Forecasts'!L$411+Allocation!C$27</f>
        <v>3.8792917</v>
      </c>
      <c r="M536" s="48">
        <f>'Fiscal Forecasts'!M$411+Allocation!D$27</f>
        <v>3.9521532000000001</v>
      </c>
      <c r="N536" s="48">
        <f>'Fiscal Forecasts'!N$411+Allocation!E$27</f>
        <v>3.9805937500000002</v>
      </c>
      <c r="O536" s="48">
        <f>'Fiscal Forecasts'!O$411+Allocation!F$27</f>
        <v>4.1443504500000001</v>
      </c>
      <c r="P536" s="48">
        <f>'Fiscal Forecasts'!P$411+Allocation!G$27</f>
        <v>4.2821809000000002</v>
      </c>
      <c r="Q536" s="20">
        <f ca="1">P$536*(1+Exogenous!$Q$67*'Population Treasury'!AB$297+SUMPRODUCT(Exogenous!$Q$68:$Q$71,'Population Treasury'!AB$300:AB$303)+Exogenous!$R$67*'Population Treasury'!AB$321+SUMPRODUCT(Exogenous!$R$68:$R$71,'Population Treasury'!AB$324:AB$327))*(1+Q$25)*(1+Q$29)*(1+OFFSET(Assumptions!$B$63,0,$C$1))</f>
        <v>4.4712945393024457</v>
      </c>
      <c r="R536" s="20">
        <f ca="1">Q$536*(1+Exogenous!$Q$67*'Population Treasury'!AC$297+SUMPRODUCT(Exogenous!$Q$68:$Q$71,'Population Treasury'!AC$300:AC$303)+Exogenous!$R$67*'Population Treasury'!AC$321+SUMPRODUCT(Exogenous!$R$68:$R$71,'Population Treasury'!AC$324:AC$327))*(1+R$25)*(1+R$29)*(1+OFFSET(Assumptions!$B$63,0,$C$1))</f>
        <v>4.6554585671214923</v>
      </c>
      <c r="S536" s="20">
        <f ca="1">R$536*(1+Exogenous!$Q$67*'Population Treasury'!AD$297+SUMPRODUCT(Exogenous!$Q$68:$Q$71,'Population Treasury'!AD$300:AD$303)+Exogenous!$R$67*'Population Treasury'!AD$321+SUMPRODUCT(Exogenous!$R$68:$R$71,'Population Treasury'!AD$324:AD$327))*(1+S$25)*(1+S$29)*(1+OFFSET(Assumptions!$B$63,0,$C$1))</f>
        <v>4.8443374941630992</v>
      </c>
      <c r="T536" s="20">
        <f ca="1">S$536*(1+Exogenous!$Q$67*'Population Treasury'!AE$297+SUMPRODUCT(Exogenous!$Q$68:$Q$71,'Population Treasury'!AE$300:AE$303)+Exogenous!$R$67*'Population Treasury'!AE$321+SUMPRODUCT(Exogenous!$R$68:$R$71,'Population Treasury'!AE$324:AE$327))*(1+T$25)*(1+T$29)*(1+OFFSET(Assumptions!$B$63,0,$C$1))</f>
        <v>5.0327257906779934</v>
      </c>
      <c r="U536" s="20">
        <f ca="1">T$536*(1+Exogenous!$Q$67*'Population Treasury'!AF$297+SUMPRODUCT(Exogenous!$Q$68:$Q$71,'Population Treasury'!AF$300:AF$303)+Exogenous!$R$67*'Population Treasury'!AF$321+SUMPRODUCT(Exogenous!$R$68:$R$71,'Population Treasury'!AF$324:AF$327))*(1+U$25)*(1+U$29)*(1+OFFSET(Assumptions!$B$63,0,$C$1))</f>
        <v>5.2254430833794805</v>
      </c>
      <c r="V536" s="20">
        <f ca="1">U$536*(1+Exogenous!$Q$67*'Population Treasury'!AG$297+SUMPRODUCT(Exogenous!$Q$68:$Q$71,'Population Treasury'!AG$300:AG$303)+Exogenous!$R$67*'Population Treasury'!AG$321+SUMPRODUCT(Exogenous!$R$68:$R$71,'Population Treasury'!AG$324:AG$327))*(1+V$25)*(1+V$29)*(1+OFFSET(Assumptions!$B$63,0,$C$1))</f>
        <v>5.4228220255260826</v>
      </c>
      <c r="W536" s="20">
        <f ca="1">V$536*(1+Exogenous!$Q$67*'Population Treasury'!AH$297+SUMPRODUCT(Exogenous!$Q$68:$Q$71,'Population Treasury'!AH$300:AH$303)+Exogenous!$R$67*'Population Treasury'!AH$321+SUMPRODUCT(Exogenous!$R$68:$R$71,'Population Treasury'!AH$324:AH$327))*(1+W$25)*(1+W$29)*(1+OFFSET(Assumptions!$B$63,0,$C$1))</f>
        <v>5.6243492347034856</v>
      </c>
      <c r="X536" s="20">
        <f ca="1">W$536*(1+Exogenous!$Q$67*'Population Treasury'!AI$297+SUMPRODUCT(Exogenous!$Q$68:$Q$71,'Population Treasury'!AI$300:AI$303)+Exogenous!$R$67*'Population Treasury'!AI$321+SUMPRODUCT(Exogenous!$R$68:$R$71,'Population Treasury'!AI$324:AI$327))*(1+X$25)*(1+X$29)*(1+OFFSET(Assumptions!$B$63,0,$C$1))</f>
        <v>5.8410173890930386</v>
      </c>
      <c r="Y536" s="20">
        <f ca="1">X$536*(1+Exogenous!$Q$67*'Population Treasury'!AJ$297+SUMPRODUCT(Exogenous!$Q$68:$Q$71,'Population Treasury'!AJ$300:AJ$303)+Exogenous!$R$67*'Population Treasury'!AJ$321+SUMPRODUCT(Exogenous!$R$68:$R$71,'Population Treasury'!AJ$324:AJ$327))*(1+Y$25)*(1+Y$29)*(1+OFFSET(Assumptions!$B$63,0,$C$1))</f>
        <v>6.0531752151494453</v>
      </c>
      <c r="Z536" s="20">
        <f ca="1">Y$536*(1+Exogenous!$Q$67*'Population Treasury'!AK$297+SUMPRODUCT(Exogenous!$Q$68:$Q$71,'Population Treasury'!AK$300:AK$303)+Exogenous!$R$67*'Population Treasury'!AK$321+SUMPRODUCT(Exogenous!$R$68:$R$71,'Population Treasury'!AK$324:AK$327))*(1+Z$25)*(1+Z$29)*(1+OFFSET(Assumptions!$B$63,0,$C$1))</f>
        <v>6.2502142583243172</v>
      </c>
    </row>
    <row r="537" spans="1:26" x14ac:dyDescent="0.25">
      <c r="A537" s="12" t="s">
        <v>693</v>
      </c>
      <c r="B537" s="14" t="str">
        <f t="shared" si="314"/>
        <v>From Fiscal Forecasts</v>
      </c>
      <c r="D537" s="50">
        <f>'Fiscal Forecasts'!D$412</f>
        <v>0.58299999999999996</v>
      </c>
      <c r="E537" s="50">
        <f>'Fiscal Forecasts'!E$412</f>
        <v>0.56699999999999995</v>
      </c>
      <c r="F537" s="50">
        <f>'Fiscal Forecasts'!F$412</f>
        <v>0.59</v>
      </c>
      <c r="G537" s="50">
        <f>'Fiscal Forecasts'!G$412</f>
        <v>0.55600000000000005</v>
      </c>
      <c r="H537" s="50">
        <f>'Fiscal Forecasts'!H$412</f>
        <v>0.52500000000000002</v>
      </c>
      <c r="I537" s="50">
        <f>'Fiscal Forecasts'!I$412</f>
        <v>0.52600000000000002</v>
      </c>
      <c r="J537" s="50">
        <f>'Fiscal Forecasts'!J$412</f>
        <v>0.57399999999999995</v>
      </c>
      <c r="K537" s="50">
        <f>'Fiscal Forecasts'!K$412</f>
        <v>0.64100000000000001</v>
      </c>
      <c r="L537" s="48">
        <f>'Fiscal Forecasts'!L$412</f>
        <v>0.70399999999999996</v>
      </c>
      <c r="M537" s="48">
        <f>'Fiscal Forecasts'!M$412</f>
        <v>0.71499999999999997</v>
      </c>
      <c r="N537" s="48">
        <f>'Fiscal Forecasts'!N$412</f>
        <v>0.69899999999999995</v>
      </c>
      <c r="O537" s="48">
        <f>'Fiscal Forecasts'!O$412</f>
        <v>0.68899999999999995</v>
      </c>
      <c r="P537" s="48">
        <f>'Fiscal Forecasts'!P$412</f>
        <v>0.68899999999999995</v>
      </c>
      <c r="Q537" s="20">
        <f t="shared" ref="Q537:Z537" ca="1" si="315">Q$190</f>
        <v>0.7042704052526918</v>
      </c>
      <c r="R537" s="20">
        <f t="shared" ca="1" si="315"/>
        <v>0.7200817868108712</v>
      </c>
      <c r="S537" s="20">
        <f t="shared" ca="1" si="315"/>
        <v>0.7364441451154754</v>
      </c>
      <c r="T537" s="20">
        <f t="shared" ca="1" si="315"/>
        <v>0.75426820881386147</v>
      </c>
      <c r="U537" s="20">
        <f t="shared" ca="1" si="315"/>
        <v>0.77251950077583986</v>
      </c>
      <c r="V537" s="20">
        <f t="shared" ca="1" si="315"/>
        <v>0.79212822197401689</v>
      </c>
      <c r="W537" s="20">
        <f t="shared" ca="1" si="315"/>
        <v>0.81256650909083683</v>
      </c>
      <c r="X537" s="20">
        <f t="shared" ca="1" si="315"/>
        <v>0.834167094857449</v>
      </c>
      <c r="Y537" s="20">
        <f t="shared" ca="1" si="315"/>
        <v>0.85705810709086938</v>
      </c>
      <c r="Z537" s="20">
        <f t="shared" ca="1" si="315"/>
        <v>0.87732856685740601</v>
      </c>
    </row>
    <row r="538" spans="1:26" x14ac:dyDescent="0.25">
      <c r="A538" s="12" t="s">
        <v>1278</v>
      </c>
      <c r="B538" s="14" t="str">
        <f t="shared" si="314"/>
        <v>From Fiscal Forecasts</v>
      </c>
      <c r="D538" s="50">
        <f>'Fiscal Forecasts'!D$413</f>
        <v>0.56299999999999994</v>
      </c>
      <c r="E538" s="50">
        <f>'Fiscal Forecasts'!E$413</f>
        <v>0.50600000000000001</v>
      </c>
      <c r="F538" s="50">
        <f>'Fiscal Forecasts'!F$413</f>
        <v>0.21199999999999999</v>
      </c>
      <c r="G538" s="50">
        <f>'Fiscal Forecasts'!G$413</f>
        <v>0.28799999999999998</v>
      </c>
      <c r="H538" s="50">
        <f>'Fiscal Forecasts'!H$413</f>
        <v>0.27400000000000002</v>
      </c>
      <c r="I538" s="50">
        <f>'Fiscal Forecasts'!I$413</f>
        <v>0.60299999999999998</v>
      </c>
      <c r="J538" s="50">
        <f>'Fiscal Forecasts'!J$413</f>
        <v>0.67600000000000005</v>
      </c>
      <c r="K538" s="50">
        <f>'Fiscal Forecasts'!K$413</f>
        <v>0.76300000000000001</v>
      </c>
      <c r="L538" s="48">
        <f>'Fiscal Forecasts'!L$413</f>
        <v>0.72399999999999998</v>
      </c>
      <c r="M538" s="48">
        <f>'Fiscal Forecasts'!M$413</f>
        <v>0.78600000000000003</v>
      </c>
      <c r="N538" s="48">
        <f>'Fiscal Forecasts'!N$413</f>
        <v>0.82099999999999995</v>
      </c>
      <c r="O538" s="48">
        <f>'Fiscal Forecasts'!O$413</f>
        <v>0.85299999999999998</v>
      </c>
      <c r="P538" s="48">
        <f>'Fiscal Forecasts'!P$413</f>
        <v>0.88300000000000001</v>
      </c>
      <c r="Q538" s="20">
        <f t="shared" ref="Q538:Z538" si="316">Q$402</f>
        <v>0.91100000000000003</v>
      </c>
      <c r="R538" s="20">
        <f t="shared" si="316"/>
        <v>0.93799999999999994</v>
      </c>
      <c r="S538" s="20">
        <f t="shared" si="316"/>
        <v>0.96199999999999997</v>
      </c>
      <c r="T538" s="20">
        <f t="shared" si="316"/>
        <v>0.98499999999999999</v>
      </c>
      <c r="U538" s="20">
        <f t="shared" si="316"/>
        <v>1.006</v>
      </c>
      <c r="V538" s="20">
        <f t="shared" si="316"/>
        <v>1.0249999999999999</v>
      </c>
      <c r="W538" s="20">
        <f t="shared" si="316"/>
        <v>1.046</v>
      </c>
      <c r="X538" s="20">
        <f t="shared" si="316"/>
        <v>1.0669999999999999</v>
      </c>
      <c r="Y538" s="20">
        <f t="shared" si="316"/>
        <v>1.0880000000000001</v>
      </c>
      <c r="Z538" s="20">
        <f t="shared" si="316"/>
        <v>1.109</v>
      </c>
    </row>
    <row r="539" spans="1:26" x14ac:dyDescent="0.25">
      <c r="A539" s="12" t="s">
        <v>1437</v>
      </c>
      <c r="B539" s="14" t="str">
        <f t="shared" si="314"/>
        <v>From Fiscal Forecasts</v>
      </c>
      <c r="C539" s="100" cm="1">
        <f t="array" aca="1" ref="C539" ca="1">SUMPRODUCT(OFFSET($P$539,0,0,1,-OFFSET(Assumptions!$B$60,0,$C$1))/OFFSET($P$13,0,0,1,-OFFSET(Assumptions!$B$60,0,$C$1)))/OFFSET(Assumptions!$B$60,0,$C$1)</f>
        <v>5.6224178894803091E-3</v>
      </c>
      <c r="D539" s="50">
        <f>'Fiscal Forecasts'!D$414</f>
        <v>1.462</v>
      </c>
      <c r="E539" s="50">
        <f>'Fiscal Forecasts'!E$414</f>
        <v>1.5860000000000001</v>
      </c>
      <c r="F539" s="50">
        <f>'Fiscal Forecasts'!F$414</f>
        <v>2.1579999999999999</v>
      </c>
      <c r="G539" s="50">
        <f>'Fiscal Forecasts'!G$414</f>
        <v>2.4940000000000002</v>
      </c>
      <c r="H539" s="50">
        <f>'Fiscal Forecasts'!H$414</f>
        <v>2.7690000000000001</v>
      </c>
      <c r="I539" s="50">
        <f>'Fiscal Forecasts'!I$414</f>
        <v>2.758</v>
      </c>
      <c r="J539" s="50">
        <f>'Fiscal Forecasts'!J$414</f>
        <v>2.7</v>
      </c>
      <c r="K539" s="50">
        <f>'Fiscal Forecasts'!K$414</f>
        <v>2.6720000000000002</v>
      </c>
      <c r="L539" s="48">
        <f>'Fiscal Forecasts'!L$414+Allocation!C$28</f>
        <v>2.43680165</v>
      </c>
      <c r="M539" s="48">
        <f>'Fiscal Forecasts'!M$414+Allocation!D$28</f>
        <v>2.3796334000000003</v>
      </c>
      <c r="N539" s="48">
        <f>'Fiscal Forecasts'!N$414+Allocation!E$28</f>
        <v>2.5396093749999999</v>
      </c>
      <c r="O539" s="48">
        <f>'Fiscal Forecasts'!O$414+Allocation!F$28</f>
        <v>2.608553525</v>
      </c>
      <c r="P539" s="48">
        <f>'Fiscal Forecasts'!P$414+Allocation!G$28</f>
        <v>2.71986705</v>
      </c>
      <c r="Q539" s="20">
        <f ca="1">(P$539/P$13+MIN(ABS($C$539-P$539/P$13),OFFSET(Assumptions!$B$61,0,$C$1))*SIGN($C$539-P$539/P$13))*Q$13</f>
        <v>3.142119562295921</v>
      </c>
      <c r="R539" s="20">
        <f ca="1">(Q$539/Q$13+MIN(ABS($C$539-Q$539/Q$13),OFFSET(Assumptions!$B$61,0,$C$1))*SIGN($C$539-Q$539/Q$13))*R$13</f>
        <v>3.5622276719812782</v>
      </c>
      <c r="S539" s="20">
        <f ca="1">(R$539/R$13+MIN(ABS($C$539-R$539/R$13),OFFSET(Assumptions!$B$61,0,$C$1))*SIGN($C$539-R$539/R$13))*S$13</f>
        <v>3.7115168651137136</v>
      </c>
      <c r="T539" s="20">
        <f ca="1">(S$539/S$13+MIN(ABS($C$539-S$539/S$13),OFFSET(Assumptions!$B$61,0,$C$1))*SIGN($C$539-S$539/S$13))*T$13</f>
        <v>3.8643098785499337</v>
      </c>
      <c r="U539" s="20">
        <f ca="1">(T$539/T$13+MIN(ABS($C$539-T$539/T$13),OFFSET(Assumptions!$B$61,0,$C$1))*SIGN($C$539-T$539/T$13))*U$13</f>
        <v>4.0224308971246572</v>
      </c>
      <c r="V539" s="20">
        <f ca="1">(U$539/U$13+MIN(ABS($C$539-U$539/U$13),OFFSET(Assumptions!$B$61,0,$C$1))*SIGN($C$539-U$539/U$13))*V$13</f>
        <v>4.1859361546893705</v>
      </c>
      <c r="W539" s="20">
        <f ca="1">(V$539/V$13+MIN(ABS($C$539-V$539/V$13),OFFSET(Assumptions!$B$61,0,$C$1))*SIGN($C$539-V$539/V$13))*W$13</f>
        <v>4.3540007699228811</v>
      </c>
      <c r="X539" s="20">
        <f ca="1">(W$539/W$13+MIN(ABS($C$539-W$539/W$13),OFFSET(Assumptions!$B$61,0,$C$1))*SIGN($C$539-W$539/W$13))*X$13</f>
        <v>4.5269049494846891</v>
      </c>
      <c r="Y539" s="20">
        <f ca="1">(X$539/X$13+MIN(ABS($C$539-X$539/X$13),OFFSET(Assumptions!$B$61,0,$C$1))*SIGN($C$539-X$539/X$13))*Y$13</f>
        <v>4.7055528737733363</v>
      </c>
      <c r="Z539" s="20">
        <f ca="1">(Y$539/Y$13+MIN(ABS($C$539-Y$539/Y$13),OFFSET(Assumptions!$B$61,0,$C$1))*SIGN($C$539-Y$539/Y$13))*Z$13</f>
        <v>4.8899906187516047</v>
      </c>
    </row>
    <row r="540" spans="1:26" x14ac:dyDescent="0.25">
      <c r="A540" s="11" t="s">
        <v>1128</v>
      </c>
      <c r="D540" s="94">
        <f>SUM(D$533:D$539)</f>
        <v>14.292999999999999</v>
      </c>
      <c r="E540" s="94">
        <f t="shared" ref="E540:Z540" si="317">SUM(E$533:E$539)</f>
        <v>16.321999999999999</v>
      </c>
      <c r="F540" s="94">
        <f t="shared" si="317"/>
        <v>16.039000000000001</v>
      </c>
      <c r="G540" s="94">
        <f t="shared" si="317"/>
        <v>18.023</v>
      </c>
      <c r="H540" s="94">
        <f t="shared" si="317"/>
        <v>18.402999999999999</v>
      </c>
      <c r="I540" s="94">
        <f t="shared" si="317"/>
        <v>20.222999999999999</v>
      </c>
      <c r="J540" s="94">
        <f t="shared" si="317"/>
        <v>20.895</v>
      </c>
      <c r="K540" s="94">
        <f t="shared" si="317"/>
        <v>21.206000000000003</v>
      </c>
      <c r="L540" s="95">
        <f t="shared" si="317"/>
        <v>21.84479</v>
      </c>
      <c r="M540" s="95">
        <f t="shared" si="317"/>
        <v>22.621840000000002</v>
      </c>
      <c r="N540" s="95">
        <f t="shared" si="317"/>
        <v>23.063625000000005</v>
      </c>
      <c r="O540" s="95">
        <f t="shared" si="317"/>
        <v>23.770915000000002</v>
      </c>
      <c r="P540" s="95">
        <f t="shared" si="317"/>
        <v>24.432830000000003</v>
      </c>
      <c r="Q540" s="96">
        <f t="shared" ca="1" si="317"/>
        <v>25.618648789429912</v>
      </c>
      <c r="R540" s="96">
        <f t="shared" ca="1" si="317"/>
        <v>26.804325541023612</v>
      </c>
      <c r="S540" s="96">
        <f t="shared" ca="1" si="317"/>
        <v>27.74012270071421</v>
      </c>
      <c r="T540" s="96">
        <f t="shared" ca="1" si="317"/>
        <v>28.697428379759749</v>
      </c>
      <c r="U540" s="96">
        <f t="shared" ca="1" si="317"/>
        <v>29.685465454132668</v>
      </c>
      <c r="V540" s="96">
        <f t="shared" ca="1" si="317"/>
        <v>30.693624780250857</v>
      </c>
      <c r="W540" s="96">
        <f t="shared" ca="1" si="317"/>
        <v>31.74847200182224</v>
      </c>
      <c r="X540" s="96">
        <f t="shared" ca="1" si="317"/>
        <v>32.860934765561701</v>
      </c>
      <c r="Y540" s="96">
        <f t="shared" ca="1" si="317"/>
        <v>34.030332078810552</v>
      </c>
      <c r="Z540" s="96">
        <f t="shared" ca="1" si="317"/>
        <v>35.278927035866559</v>
      </c>
    </row>
    <row r="542" spans="1:26" x14ac:dyDescent="0.25">
      <c r="Q542" s="82">
        <f ca="1">Q78-P78</f>
        <v>-6.3105303338582246</v>
      </c>
      <c r="R542" s="82">
        <f t="shared" ref="R542:S542" ca="1" si="318">R78-Q78</f>
        <v>-8.4119795818871239</v>
      </c>
      <c r="S542" s="82">
        <f t="shared" ca="1" si="318"/>
        <v>-10.816722648536597</v>
      </c>
    </row>
    <row r="543" spans="1:26" x14ac:dyDescent="0.25">
      <c r="Q543" s="82">
        <f ca="1">Q439-P439</f>
        <v>0.20407999999999937</v>
      </c>
      <c r="R543" s="82">
        <f t="shared" ref="R543:S543" ca="1" si="319">R439-Q439</f>
        <v>0.20816160000000039</v>
      </c>
      <c r="S543" s="82">
        <f t="shared" ca="1" si="319"/>
        <v>0.21232483200000019</v>
      </c>
    </row>
    <row r="544" spans="1:26" x14ac:dyDescent="0.25">
      <c r="Q544" s="82">
        <f ca="1">-Q542-Q543</f>
        <v>6.1064503338582252</v>
      </c>
      <c r="R544" s="82">
        <f t="shared" ref="R544:S544" ca="1" si="320">-R542-R543</f>
        <v>8.2038179818871235</v>
      </c>
      <c r="S544" s="82">
        <f t="shared" ca="1" si="320"/>
        <v>10.604397816536597</v>
      </c>
    </row>
  </sheetData>
  <phoneticPr fontId="30"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0</xdr:col>
                    <xdr:colOff>47625</xdr:colOff>
                    <xdr:row>6</xdr:row>
                    <xdr:rowOff>0</xdr:rowOff>
                  </from>
                  <to>
                    <xdr:col>0</xdr:col>
                    <xdr:colOff>5629275</xdr:colOff>
                    <xdr:row>7</xdr:row>
                    <xdr:rowOff>9525</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0</xdr:col>
                    <xdr:colOff>47625</xdr:colOff>
                    <xdr:row>6</xdr:row>
                    <xdr:rowOff>0</xdr:rowOff>
                  </from>
                  <to>
                    <xdr:col>1</xdr:col>
                    <xdr:colOff>19050</xdr:colOff>
                    <xdr:row>7</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7BE56-C6DB-4F61-87E0-D8A4AD0869B7}">
  <dimension ref="A1:Z540"/>
  <sheetViews>
    <sheetView zoomScaleNormal="100" workbookViewId="0">
      <pane xSplit="2" ySplit="8" topLeftCell="E126" activePane="bottomRight" state="frozen"/>
      <selection pane="topRight" activeCell="C1" sqref="C1"/>
      <selection pane="bottomLeft" activeCell="A9" sqref="A9"/>
      <selection pane="bottomRight"/>
    </sheetView>
  </sheetViews>
  <sheetFormatPr defaultRowHeight="15" x14ac:dyDescent="0.25"/>
  <cols>
    <col min="1" max="1" width="85.7109375" customWidth="1"/>
    <col min="2" max="2" width="25.7109375" customWidth="1"/>
    <col min="3" max="3" width="7.7109375" customWidth="1"/>
    <col min="4" max="26" width="10.7109375" customWidth="1"/>
  </cols>
  <sheetData>
    <row r="1" spans="1:26" x14ac:dyDescent="0.25">
      <c r="A1" s="11" t="s">
        <v>1133</v>
      </c>
      <c r="B1" s="15" t="s">
        <v>799</v>
      </c>
      <c r="C1" s="15">
        <f>MATCH($B$1,Assumptions!$C$7:$K$7,0)</f>
        <v>2</v>
      </c>
      <c r="D1" s="14" t="s">
        <v>1134</v>
      </c>
      <c r="E1" s="12"/>
      <c r="F1" s="12"/>
      <c r="G1" s="12"/>
      <c r="H1" s="12"/>
      <c r="I1" s="12"/>
      <c r="J1" s="12"/>
      <c r="K1" s="12"/>
      <c r="L1" s="12"/>
      <c r="M1" s="12"/>
      <c r="N1" s="12"/>
      <c r="O1" s="12"/>
      <c r="P1" s="12"/>
    </row>
    <row r="2" spans="1:26" x14ac:dyDescent="0.25">
      <c r="A2" s="14" t="s">
        <v>709</v>
      </c>
      <c r="B2" s="15"/>
      <c r="C2" s="15"/>
      <c r="D2" s="14"/>
      <c r="E2" s="12"/>
      <c r="F2" s="12"/>
      <c r="G2" s="12"/>
      <c r="H2" s="12"/>
      <c r="I2" s="12"/>
      <c r="J2" s="12"/>
      <c r="K2" s="83" t="s">
        <v>1458</v>
      </c>
      <c r="L2" s="12"/>
      <c r="M2" s="12"/>
      <c r="N2" s="12"/>
      <c r="O2" s="12"/>
      <c r="P2" s="12"/>
      <c r="Q2" s="12"/>
      <c r="R2" s="12"/>
      <c r="S2" s="12"/>
      <c r="T2" s="12"/>
      <c r="U2" s="12"/>
    </row>
    <row r="3" spans="1:26" x14ac:dyDescent="0.25">
      <c r="A3" s="14"/>
      <c r="B3" s="14"/>
      <c r="C3" s="15"/>
      <c r="D3" s="83" t="s">
        <v>1135</v>
      </c>
      <c r="E3" s="83" t="s">
        <v>1135</v>
      </c>
      <c r="F3" s="83" t="s">
        <v>1135</v>
      </c>
      <c r="G3" s="83" t="s">
        <v>1135</v>
      </c>
      <c r="H3" s="83" t="s">
        <v>1135</v>
      </c>
      <c r="I3" s="83" t="s">
        <v>1135</v>
      </c>
      <c r="J3" s="83" t="s">
        <v>1135</v>
      </c>
      <c r="K3" s="83" t="s">
        <v>1135</v>
      </c>
      <c r="L3" s="64" t="s">
        <v>1455</v>
      </c>
      <c r="M3" s="12"/>
      <c r="N3" s="12"/>
      <c r="O3" s="12"/>
      <c r="P3" s="12"/>
      <c r="Q3" s="11" t="s">
        <v>1454</v>
      </c>
    </row>
    <row r="4" spans="1:26" x14ac:dyDescent="0.25">
      <c r="A4" s="12"/>
      <c r="B4" s="12"/>
      <c r="C4" s="15"/>
      <c r="D4" s="83" t="s">
        <v>1136</v>
      </c>
      <c r="E4" s="83" t="s">
        <v>1136</v>
      </c>
      <c r="F4" s="83" t="s">
        <v>1136</v>
      </c>
      <c r="G4" s="83" t="s">
        <v>1136</v>
      </c>
      <c r="H4" s="83" t="s">
        <v>1136</v>
      </c>
      <c r="I4" s="83" t="s">
        <v>1136</v>
      </c>
      <c r="J4" s="83" t="s">
        <v>1136</v>
      </c>
      <c r="K4" s="83" t="s">
        <v>1136</v>
      </c>
      <c r="L4" s="84" t="s">
        <v>1137</v>
      </c>
      <c r="M4" s="12"/>
      <c r="N4" s="12"/>
      <c r="O4" s="12"/>
      <c r="P4" s="12"/>
      <c r="Q4" s="12" t="s">
        <v>1138</v>
      </c>
    </row>
    <row r="5" spans="1:26" x14ac:dyDescent="0.25">
      <c r="A5" s="11" t="s">
        <v>739</v>
      </c>
      <c r="B5" s="11"/>
      <c r="C5" s="15"/>
      <c r="D5" s="85" t="s">
        <v>355</v>
      </c>
      <c r="E5" s="85" t="s">
        <v>356</v>
      </c>
      <c r="F5" s="85" t="s">
        <v>357</v>
      </c>
      <c r="G5" s="85" t="s">
        <v>358</v>
      </c>
      <c r="H5" s="85" t="s">
        <v>359</v>
      </c>
      <c r="I5" s="85" t="s">
        <v>360</v>
      </c>
      <c r="J5" s="85" t="s">
        <v>1139</v>
      </c>
      <c r="K5" s="85" t="s">
        <v>362</v>
      </c>
      <c r="L5" s="65" t="s">
        <v>363</v>
      </c>
      <c r="M5" s="65" t="s">
        <v>364</v>
      </c>
      <c r="N5" s="65" t="s">
        <v>365</v>
      </c>
      <c r="O5" s="65" t="s">
        <v>366</v>
      </c>
      <c r="P5" s="65" t="s">
        <v>367</v>
      </c>
      <c r="Q5" s="15" t="s">
        <v>368</v>
      </c>
      <c r="R5" s="15" t="s">
        <v>369</v>
      </c>
      <c r="S5" s="15" t="s">
        <v>370</v>
      </c>
      <c r="T5" s="15" t="s">
        <v>371</v>
      </c>
      <c r="U5" s="15" t="s">
        <v>372</v>
      </c>
      <c r="V5" s="15" t="s">
        <v>373</v>
      </c>
      <c r="W5" s="15" t="s">
        <v>374</v>
      </c>
      <c r="X5" s="15" t="s">
        <v>375</v>
      </c>
      <c r="Y5" s="15" t="s">
        <v>376</v>
      </c>
      <c r="Z5" s="15" t="s">
        <v>1451</v>
      </c>
    </row>
    <row r="6" spans="1:26" x14ac:dyDescent="0.25">
      <c r="A6" s="12"/>
      <c r="B6" s="12"/>
      <c r="C6" s="15"/>
      <c r="D6" s="83">
        <v>2019</v>
      </c>
      <c r="E6" s="83">
        <v>2020</v>
      </c>
      <c r="F6" s="83">
        <v>2021</v>
      </c>
      <c r="G6" s="83">
        <v>2022</v>
      </c>
      <c r="H6" s="83">
        <v>2023</v>
      </c>
      <c r="I6" s="83">
        <v>2024</v>
      </c>
      <c r="J6" s="83">
        <v>2025</v>
      </c>
      <c r="K6" s="83">
        <v>2026</v>
      </c>
      <c r="L6" s="64">
        <v>2027</v>
      </c>
      <c r="M6" s="64">
        <v>2028</v>
      </c>
      <c r="N6" s="64">
        <v>2029</v>
      </c>
      <c r="O6" s="64">
        <v>2030</v>
      </c>
      <c r="P6" s="64">
        <v>2031</v>
      </c>
      <c r="Q6" s="11">
        <v>2032</v>
      </c>
      <c r="R6" s="11">
        <v>2033</v>
      </c>
      <c r="S6" s="11">
        <v>2034</v>
      </c>
      <c r="T6" s="11">
        <v>2035</v>
      </c>
      <c r="U6" s="11">
        <v>2036</v>
      </c>
      <c r="V6" s="11">
        <v>2037</v>
      </c>
      <c r="W6" s="11">
        <v>2038</v>
      </c>
      <c r="X6" s="11">
        <v>2039</v>
      </c>
      <c r="Y6" s="11">
        <v>2040</v>
      </c>
      <c r="Z6" s="11">
        <v>2041</v>
      </c>
    </row>
    <row r="7" spans="1:26" x14ac:dyDescent="0.25">
      <c r="A7" s="12"/>
      <c r="B7" s="12"/>
      <c r="C7" s="15"/>
      <c r="D7" s="51">
        <f ca="1">OFFSET(D$1,Display!$C$1-1,0)</f>
        <v>57.736000000000004</v>
      </c>
      <c r="E7" s="51">
        <f ca="1">OFFSET(E$1,Display!$C$1-1,0)</f>
        <v>83.375</v>
      </c>
      <c r="F7" s="51">
        <f ca="1">OFFSET(F$1,Display!$C$1-1,0)</f>
        <v>102.08000000000001</v>
      </c>
      <c r="G7" s="51">
        <f ca="1">OFFSET(G$1,Display!$C$1-1,0)</f>
        <v>128.87299999999996</v>
      </c>
      <c r="H7" s="51">
        <f ca="1">OFFSET(H$1,Display!$C$1-1,0)</f>
        <v>155.27300000000002</v>
      </c>
      <c r="I7" s="51">
        <f ca="1">OFFSET(I$1,Display!$C$1-1,0)</f>
        <v>175.46399999999997</v>
      </c>
      <c r="J7" s="51">
        <f ca="1">OFFSET(J$1,Display!$C$1-1,0)</f>
        <v>182.17099999999996</v>
      </c>
      <c r="K7" s="51">
        <f ca="1">OFFSET(K$1,Display!$C$1-1,0)</f>
        <v>186.70299999999995</v>
      </c>
      <c r="L7" s="47">
        <f ca="1">OFFSET(L$1,Display!$C$1-1,0)</f>
        <v>209.63100000000003</v>
      </c>
      <c r="M7" s="47">
        <f ca="1">OFFSET(M$1,Display!$C$1-1,0)</f>
        <v>222.95499999999998</v>
      </c>
      <c r="N7" s="47">
        <f ca="1">OFFSET(N$1,Display!$C$1-1,0)</f>
        <v>230.53400000000005</v>
      </c>
      <c r="O7" s="47">
        <f ca="1">OFFSET(O$1,Display!$C$1-1,0)</f>
        <v>232.76300000000001</v>
      </c>
      <c r="P7" s="47">
        <f ca="1">OFFSET(P$1,Display!$C$1-1,0)</f>
        <v>229.76900000000003</v>
      </c>
      <c r="Q7" s="21">
        <f ca="1">OFFSET(Q$1,Display!$C$1-1,0)</f>
        <v>224.89130774325344</v>
      </c>
      <c r="R7" s="21">
        <f ca="1">OFFSET(R$1,Display!$C$1-1,0)</f>
        <v>219.48473682986412</v>
      </c>
      <c r="S7" s="21">
        <f ca="1">OFFSET(S$1,Display!$C$1-1,0)</f>
        <v>213.09016375280527</v>
      </c>
      <c r="T7" s="21">
        <f ca="1">OFFSET(T$1,Display!$C$1-1,0)</f>
        <v>205.29118746075949</v>
      </c>
      <c r="U7" s="21">
        <f ca="1">OFFSET(U$1,Display!$C$1-1,0)</f>
        <v>196.09952006525867</v>
      </c>
      <c r="V7" s="21">
        <f ca="1">OFFSET(V$1,Display!$C$1-1,0)</f>
        <v>185.40495378172187</v>
      </c>
      <c r="W7" s="21">
        <f ca="1">OFFSET(W$1,Display!$C$1-1,0)</f>
        <v>173.20914407892815</v>
      </c>
      <c r="X7" s="21">
        <f ca="1">OFFSET(X$1,Display!$C$1-1,0)</f>
        <v>159.52290608491631</v>
      </c>
      <c r="Y7" s="21">
        <f ca="1">OFFSET(Y$1,Display!$C$1-1,0)</f>
        <v>144.33882321098076</v>
      </c>
      <c r="Z7" s="21">
        <f ca="1">OFFSET(Z$1,Display!$C$1-1,0)</f>
        <v>127.65302029231782</v>
      </c>
    </row>
    <row r="8" spans="1:26" x14ac:dyDescent="0.25">
      <c r="A8" s="62" t="s">
        <v>1140</v>
      </c>
      <c r="B8" s="12"/>
      <c r="C8" s="15"/>
      <c r="D8" s="86">
        <f t="shared" ref="D8:Z8" ca="1" si="0">D$7/D$13</f>
        <v>0.18614068232669406</v>
      </c>
      <c r="E8" s="86">
        <f t="shared" ca="1" si="0"/>
        <v>0.26228863546991743</v>
      </c>
      <c r="F8" s="86">
        <f t="shared" ca="1" si="0"/>
        <v>0.2969695030240968</v>
      </c>
      <c r="G8" s="86">
        <f t="shared" ca="1" si="0"/>
        <v>0.35278288767711269</v>
      </c>
      <c r="H8" s="86">
        <f t="shared" ca="1" si="0"/>
        <v>0.38641753789566163</v>
      </c>
      <c r="I8" s="86">
        <f t="shared" ca="1" si="0"/>
        <v>0.41691972114109738</v>
      </c>
      <c r="J8" s="86">
        <f t="shared" ca="1" si="0"/>
        <v>0.41871556596509524</v>
      </c>
      <c r="K8" s="86">
        <f t="shared" ca="1" si="0"/>
        <v>0.40954238158119854</v>
      </c>
      <c r="L8" s="87">
        <f t="shared" ca="1" si="0"/>
        <v>0.43662300388028802</v>
      </c>
      <c r="M8" s="87">
        <f t="shared" ca="1" si="0"/>
        <v>0.43931933139048002</v>
      </c>
      <c r="N8" s="87">
        <f t="shared" ca="1" si="0"/>
        <v>0.43305212577510543</v>
      </c>
      <c r="O8" s="87">
        <f t="shared" ca="1" si="0"/>
        <v>0.41762372364990824</v>
      </c>
      <c r="P8" s="87">
        <f t="shared" ca="1" si="0"/>
        <v>0.39454940088399243</v>
      </c>
      <c r="Q8" s="88">
        <f t="shared" ca="1" si="0"/>
        <v>0.37006440577130006</v>
      </c>
      <c r="R8" s="88">
        <f t="shared" ca="1" si="0"/>
        <v>0.34642224598006865</v>
      </c>
      <c r="S8" s="88">
        <f t="shared" ca="1" si="0"/>
        <v>0.32280115982157986</v>
      </c>
      <c r="T8" s="88">
        <f t="shared" ca="1" si="0"/>
        <v>0.29869055050138754</v>
      </c>
      <c r="U8" s="88">
        <f t="shared" ca="1" si="0"/>
        <v>0.27410127804098472</v>
      </c>
      <c r="V8" s="88">
        <f t="shared" ca="1" si="0"/>
        <v>0.24903010710586887</v>
      </c>
      <c r="W8" s="88">
        <f t="shared" ca="1" si="0"/>
        <v>0.22366881444262746</v>
      </c>
      <c r="X8" s="88">
        <f t="shared" ca="1" si="0"/>
        <v>0.1981275177990689</v>
      </c>
      <c r="Y8" s="88">
        <f t="shared" ca="1" si="0"/>
        <v>0.17246287599722443</v>
      </c>
      <c r="Z8" s="88">
        <f t="shared" ca="1" si="0"/>
        <v>0.1467730065136508</v>
      </c>
    </row>
    <row r="9" spans="1:26" ht="16.5" x14ac:dyDescent="0.25">
      <c r="A9" s="63" t="s">
        <v>1141</v>
      </c>
      <c r="B9" s="11"/>
      <c r="C9" s="15"/>
      <c r="K9" s="91"/>
      <c r="N9" s="21"/>
      <c r="O9" s="21"/>
      <c r="P9" s="21"/>
    </row>
    <row r="10" spans="1:26" x14ac:dyDescent="0.25">
      <c r="A10" s="57" t="s">
        <v>1142</v>
      </c>
      <c r="B10" s="11"/>
      <c r="C10" s="15"/>
      <c r="K10" s="91"/>
    </row>
    <row r="11" spans="1:26" x14ac:dyDescent="0.25">
      <c r="A11" s="11" t="s">
        <v>1143</v>
      </c>
      <c r="B11" s="11"/>
      <c r="C11" s="15"/>
      <c r="D11" s="50">
        <f>'Economic Forecasts'!Q$6</f>
        <v>254.292</v>
      </c>
      <c r="E11" s="50">
        <f>'Economic Forecasts'!R$6</f>
        <v>252.36600000000001</v>
      </c>
      <c r="F11" s="50">
        <f>'Economic Forecasts'!S$6</f>
        <v>268.197</v>
      </c>
      <c r="G11" s="50">
        <f>'Economic Forecasts'!T$6</f>
        <v>269.44099999999997</v>
      </c>
      <c r="H11" s="50">
        <f>'Economic Forecasts'!U$6</f>
        <v>280.19900000000001</v>
      </c>
      <c r="I11" s="50">
        <f>'Economic Forecasts'!V$6</f>
        <v>283.19900000000001</v>
      </c>
      <c r="J11" s="50">
        <f>'Economic Forecasts'!W$6</f>
        <v>280.02600000000001</v>
      </c>
      <c r="K11" s="50">
        <f>'Economic Forecasts'!X$6</f>
        <v>284.452</v>
      </c>
      <c r="L11" s="48">
        <f>'Economic Forecasts'!Y$6</f>
        <v>290.95600000000002</v>
      </c>
      <c r="M11" s="48">
        <f>'Economic Forecasts'!Z$6</f>
        <v>299.44799999999998</v>
      </c>
      <c r="N11" s="48">
        <f>'Economic Forecasts'!AA$6</f>
        <v>307.44</v>
      </c>
      <c r="O11" s="48">
        <f>'Economic Forecasts'!AB$6</f>
        <v>315.48</v>
      </c>
      <c r="P11" s="48">
        <f>'Economic Forecasts'!AC$6</f>
        <v>323.28500000000003</v>
      </c>
      <c r="Q11" s="20">
        <f t="shared" ref="Q11:Z11" ca="1" si="1">P$11*Q$16*(1-Q$23)*Q$24/(P$16*(1-P$23)*P$24)*(1+Q$25)</f>
        <v>330.74302308733979</v>
      </c>
      <c r="R11" s="20">
        <f t="shared" ca="1" si="1"/>
        <v>338.05994488997879</v>
      </c>
      <c r="S11" s="20">
        <f t="shared" ca="1" si="1"/>
        <v>345.32125444641918</v>
      </c>
      <c r="T11" s="20">
        <f t="shared" ca="1" si="1"/>
        <v>352.4874386696892</v>
      </c>
      <c r="U11" s="20">
        <f t="shared" ca="1" si="1"/>
        <v>359.71630191712956</v>
      </c>
      <c r="V11" s="20">
        <f t="shared" ca="1" si="1"/>
        <v>366.99821871357733</v>
      </c>
      <c r="W11" s="20">
        <f t="shared" ca="1" si="1"/>
        <v>374.24817053805771</v>
      </c>
      <c r="X11" s="20">
        <f t="shared" ca="1" si="1"/>
        <v>381.4805398595646</v>
      </c>
      <c r="Y11" s="20">
        <f t="shared" ca="1" si="1"/>
        <v>388.75993310147635</v>
      </c>
      <c r="Z11" s="20">
        <f t="shared" ca="1" si="1"/>
        <v>396.07615304809468</v>
      </c>
    </row>
    <row r="12" spans="1:26" x14ac:dyDescent="0.25">
      <c r="A12" s="14" t="s">
        <v>741</v>
      </c>
      <c r="B12" s="11"/>
      <c r="C12" s="15"/>
      <c r="D12" s="50"/>
      <c r="E12" s="89">
        <f t="shared" ref="E12:Z12" si="2">E$11/D$11-1</f>
        <v>-7.5739700816384037E-3</v>
      </c>
      <c r="F12" s="89">
        <f t="shared" si="2"/>
        <v>6.2730320249161808E-2</v>
      </c>
      <c r="G12" s="89">
        <f t="shared" si="2"/>
        <v>4.6383814882342556E-3</v>
      </c>
      <c r="H12" s="89">
        <f t="shared" si="2"/>
        <v>3.9927108346539786E-2</v>
      </c>
      <c r="I12" s="89">
        <f t="shared" si="2"/>
        <v>1.0706676326468045E-2</v>
      </c>
      <c r="J12" s="89">
        <f t="shared" si="2"/>
        <v>-1.1204135607823518E-2</v>
      </c>
      <c r="K12" s="89">
        <f t="shared" si="2"/>
        <v>1.5805675187303914E-2</v>
      </c>
      <c r="L12" s="66">
        <f t="shared" si="2"/>
        <v>2.2865017647968777E-2</v>
      </c>
      <c r="M12" s="66">
        <f t="shared" si="2"/>
        <v>2.9186543669833087E-2</v>
      </c>
      <c r="N12" s="66">
        <f t="shared" si="2"/>
        <v>2.6689107958643987E-2</v>
      </c>
      <c r="O12" s="66">
        <f t="shared" si="2"/>
        <v>2.615144418423121E-2</v>
      </c>
      <c r="P12" s="66">
        <f t="shared" si="2"/>
        <v>2.474007861037153E-2</v>
      </c>
      <c r="Q12" s="17">
        <f t="shared" ca="1" si="2"/>
        <v>2.3069499318990161E-2</v>
      </c>
      <c r="R12" s="17">
        <f t="shared" ca="1" si="2"/>
        <v>2.2122679215841767E-2</v>
      </c>
      <c r="S12" s="17">
        <f t="shared" ca="1" si="2"/>
        <v>2.1479354967071096E-2</v>
      </c>
      <c r="T12" s="17">
        <f t="shared" ca="1" si="2"/>
        <v>2.0752224576382039E-2</v>
      </c>
      <c r="U12" s="17">
        <f t="shared" ca="1" si="2"/>
        <v>2.0508144275218854E-2</v>
      </c>
      <c r="V12" s="17">
        <f t="shared" ca="1" si="2"/>
        <v>2.0243499551280797E-2</v>
      </c>
      <c r="W12" s="17">
        <f t="shared" ca="1" si="2"/>
        <v>1.9754733006316361E-2</v>
      </c>
      <c r="X12" s="17">
        <f t="shared" ca="1" si="2"/>
        <v>1.9325062594451436E-2</v>
      </c>
      <c r="Y12" s="17">
        <f t="shared" ca="1" si="2"/>
        <v>1.9081951715260503E-2</v>
      </c>
      <c r="Z12" s="17">
        <f t="shared" ca="1" si="2"/>
        <v>1.8819377522396596E-2</v>
      </c>
    </row>
    <row r="13" spans="1:26" x14ac:dyDescent="0.25">
      <c r="A13" s="11" t="s">
        <v>1144</v>
      </c>
      <c r="B13" s="11"/>
      <c r="C13" s="15"/>
      <c r="D13" s="51">
        <f>'Economic Forecasts'!Q$7</f>
        <v>310.17399999999998</v>
      </c>
      <c r="E13" s="51">
        <f>'Economic Forecasts'!R$7</f>
        <v>317.875</v>
      </c>
      <c r="F13" s="51">
        <f>'Economic Forecasts'!S$7</f>
        <v>343.73899999999998</v>
      </c>
      <c r="G13" s="51">
        <f>'Economic Forecasts'!T$7</f>
        <v>365.30399999999997</v>
      </c>
      <c r="H13" s="51">
        <f>'Economic Forecasts'!U$7</f>
        <v>401.827</v>
      </c>
      <c r="I13" s="51">
        <f>'Economic Forecasts'!V$7</f>
        <v>420.858</v>
      </c>
      <c r="J13" s="51">
        <f>'Economic Forecasts'!W$7</f>
        <v>435.07100000000003</v>
      </c>
      <c r="K13" s="51">
        <f>'Economic Forecasts'!X$7</f>
        <v>455.88200000000001</v>
      </c>
      <c r="L13" s="47">
        <f>'Economic Forecasts'!Y$7</f>
        <v>480.11900000000003</v>
      </c>
      <c r="M13" s="47">
        <f>'Economic Forecasts'!Z$7</f>
        <v>507.50099999999998</v>
      </c>
      <c r="N13" s="47">
        <f>'Economic Forecasts'!AA$7</f>
        <v>532.34699999999998</v>
      </c>
      <c r="O13" s="47">
        <f>'Economic Forecasts'!AB$7</f>
        <v>557.351</v>
      </c>
      <c r="P13" s="47">
        <f>'Economic Forecasts'!AC$7</f>
        <v>582.35799999999995</v>
      </c>
      <c r="Q13" s="21">
        <f t="shared" ref="Q13:Z13" ca="1" si="3">P$13*Q$11/P$11*(1+Q$29)</f>
        <v>607.70856163409655</v>
      </c>
      <c r="R13" s="21">
        <f t="shared" ca="1" si="3"/>
        <v>633.57575726384539</v>
      </c>
      <c r="S13" s="21">
        <f t="shared" ca="1" si="3"/>
        <v>660.12824696969938</v>
      </c>
      <c r="T13" s="21">
        <f t="shared" ca="1" si="3"/>
        <v>687.30392413202844</v>
      </c>
      <c r="U13" s="21">
        <f t="shared" ca="1" si="3"/>
        <v>715.42723721243317</v>
      </c>
      <c r="V13" s="21">
        <f t="shared" ca="1" si="3"/>
        <v>744.50818793127542</v>
      </c>
      <c r="W13" s="21">
        <f t="shared" ca="1" si="3"/>
        <v>774.40006337297166</v>
      </c>
      <c r="X13" s="21">
        <f t="shared" ca="1" si="3"/>
        <v>805.1527009322175</v>
      </c>
      <c r="Y13" s="21">
        <f t="shared" ca="1" si="3"/>
        <v>836.92691761271408</v>
      </c>
      <c r="Z13" s="21">
        <f t="shared" ca="1" si="3"/>
        <v>869.73090845860202</v>
      </c>
    </row>
    <row r="14" spans="1:26" x14ac:dyDescent="0.25">
      <c r="A14" s="14" t="str">
        <f>$A$12</f>
        <v>Annual percentage growth</v>
      </c>
      <c r="B14" s="11"/>
      <c r="C14" s="15"/>
      <c r="D14" s="89"/>
      <c r="E14" s="89">
        <f t="shared" ref="E14:Z14" si="4">E$13/D$13-1</f>
        <v>2.48279997678722E-2</v>
      </c>
      <c r="F14" s="89">
        <f t="shared" si="4"/>
        <v>8.13653165552497E-2</v>
      </c>
      <c r="G14" s="89">
        <f t="shared" si="4"/>
        <v>6.2736553024242303E-2</v>
      </c>
      <c r="H14" s="89">
        <f t="shared" si="4"/>
        <v>9.9979742899064972E-2</v>
      </c>
      <c r="I14" s="89">
        <f t="shared" si="4"/>
        <v>4.73611778203058E-2</v>
      </c>
      <c r="J14" s="89">
        <f t="shared" si="4"/>
        <v>3.3771485869343199E-2</v>
      </c>
      <c r="K14" s="89">
        <f t="shared" si="4"/>
        <v>4.7833571991697799E-2</v>
      </c>
      <c r="L14" s="66">
        <f t="shared" si="4"/>
        <v>5.3165073418121489E-2</v>
      </c>
      <c r="M14" s="66">
        <f t="shared" si="4"/>
        <v>5.7031694225806451E-2</v>
      </c>
      <c r="N14" s="66">
        <f t="shared" si="4"/>
        <v>4.8957538999923056E-2</v>
      </c>
      <c r="O14" s="66">
        <f t="shared" si="4"/>
        <v>4.6969363967487299E-2</v>
      </c>
      <c r="P14" s="66">
        <f t="shared" si="4"/>
        <v>4.486759690033737E-2</v>
      </c>
      <c r="Q14" s="17">
        <f t="shared" ca="1" si="4"/>
        <v>4.3530889305369858E-2</v>
      </c>
      <c r="R14" s="17">
        <f t="shared" ca="1" si="4"/>
        <v>4.2565132800158834E-2</v>
      </c>
      <c r="S14" s="17">
        <f t="shared" ca="1" si="4"/>
        <v>4.1908942066412491E-2</v>
      </c>
      <c r="T14" s="17">
        <f t="shared" ca="1" si="4"/>
        <v>4.1167269067909462E-2</v>
      </c>
      <c r="U14" s="17">
        <f t="shared" ca="1" si="4"/>
        <v>4.0918307160723089E-2</v>
      </c>
      <c r="V14" s="17">
        <f t="shared" ca="1" si="4"/>
        <v>4.0648369542306328E-2</v>
      </c>
      <c r="W14" s="17">
        <f t="shared" ca="1" si="4"/>
        <v>4.0149827666442706E-2</v>
      </c>
      <c r="X14" s="17">
        <f t="shared" ca="1" si="4"/>
        <v>3.9711563846340336E-2</v>
      </c>
      <c r="Y14" s="17">
        <f t="shared" ca="1" si="4"/>
        <v>3.9463590749565736E-2</v>
      </c>
      <c r="Z14" s="17">
        <f t="shared" ca="1" si="4"/>
        <v>3.9195765072844724E-2</v>
      </c>
    </row>
    <row r="15" spans="1:26" x14ac:dyDescent="0.25">
      <c r="A15" s="57" t="s">
        <v>1145</v>
      </c>
      <c r="B15" s="11"/>
      <c r="C15" s="15"/>
      <c r="D15" s="50"/>
      <c r="K15" s="91"/>
    </row>
    <row r="16" spans="1:26" x14ac:dyDescent="0.25">
      <c r="A16" s="11" t="s">
        <v>1146</v>
      </c>
      <c r="B16" s="11"/>
      <c r="C16" s="15"/>
      <c r="D16" s="50">
        <f>'Economic Forecasts'!Q$8</f>
        <v>2.7928000000000002</v>
      </c>
      <c r="E16" s="50">
        <f>'Economic Forecasts'!R$8</f>
        <v>2.831</v>
      </c>
      <c r="F16" s="50">
        <f>'Economic Forecasts'!S$8</f>
        <v>2.8598000000000003</v>
      </c>
      <c r="G16" s="50">
        <f>'Economic Forecasts'!T$8</f>
        <v>2.8898000000000001</v>
      </c>
      <c r="H16" s="50">
        <f>'Economic Forecasts'!U$8</f>
        <v>2.9653</v>
      </c>
      <c r="I16" s="50">
        <f>'Economic Forecasts'!V$8</f>
        <v>3.0393000000000003</v>
      </c>
      <c r="J16" s="50">
        <f>'Economic Forecasts'!W$8</f>
        <v>3.0343</v>
      </c>
      <c r="K16" s="50">
        <f>'Economic Forecasts'!X$8</f>
        <v>3.0533000000000001</v>
      </c>
      <c r="L16" s="48">
        <f>'Economic Forecasts'!Y$8</f>
        <v>3.1035999999999997</v>
      </c>
      <c r="M16" s="48">
        <f>'Economic Forecasts'!Z$8</f>
        <v>3.1566999999999998</v>
      </c>
      <c r="N16" s="48">
        <f>'Economic Forecasts'!AA$8</f>
        <v>3.2050000000000001</v>
      </c>
      <c r="O16" s="48">
        <f>'Economic Forecasts'!AB$8</f>
        <v>3.2505999999999999</v>
      </c>
      <c r="P16" s="48">
        <f>'Economic Forecasts'!AC$8</f>
        <v>3.2938000000000001</v>
      </c>
      <c r="Q16" s="20">
        <f>P$16*'Labour Force Treasury'!J$4/'Labour Force Treasury'!I$4</f>
        <v>3.3335325529278124</v>
      </c>
      <c r="R16" s="20">
        <f>Q$16*'Labour Force Treasury'!K$4/'Labour Force Treasury'!J$4</f>
        <v>3.3721792638940307</v>
      </c>
      <c r="S16" s="20">
        <f>R$16*'Labour Force Treasury'!L$4/'Labour Force Treasury'!K$4</f>
        <v>3.4096753280890426</v>
      </c>
      <c r="T16" s="20">
        <f>S$16*'Labour Force Treasury'!M$4/'Labour Force Treasury'!L$4</f>
        <v>3.4459739368614799</v>
      </c>
      <c r="U16" s="20">
        <f>T$16*'Labour Force Treasury'!N$4/'Labour Force Treasury'!M$4</f>
        <v>3.4818262054725535</v>
      </c>
      <c r="V16" s="20">
        <f>U$16*'Labour Force Treasury'!O$4/'Labour Force Treasury'!N$4</f>
        <v>3.5171391610897769</v>
      </c>
      <c r="W16" s="20">
        <f>V$16*'Labour Force Treasury'!P$4/'Labour Force Treasury'!O$4</f>
        <v>3.5511082239239253</v>
      </c>
      <c r="X16" s="20">
        <f>W$16*'Labour Force Treasury'!Q$4/'Labour Force Treasury'!P$4</f>
        <v>3.5838946659712145</v>
      </c>
      <c r="Y16" s="20">
        <f>X$16*'Labour Force Treasury'!R$4/'Labour Force Treasury'!Q$4</f>
        <v>3.6161211593463936</v>
      </c>
      <c r="Z16" s="20">
        <f>Y$16*'Labour Force Treasury'!S$4/'Labour Force Treasury'!R$4</f>
        <v>3.6476973352582767</v>
      </c>
    </row>
    <row r="17" spans="1:26" x14ac:dyDescent="0.25">
      <c r="A17" s="14" t="str">
        <f>$A$12</f>
        <v>Annual percentage growth</v>
      </c>
      <c r="B17" s="11"/>
      <c r="C17" s="15"/>
      <c r="D17" s="90"/>
      <c r="E17" s="89">
        <f t="shared" ref="E17:Z17" si="5">E$16/D$16-1</f>
        <v>1.3678029217988996E-2</v>
      </c>
      <c r="F17" s="89">
        <f t="shared" si="5"/>
        <v>1.0173083716001452E-2</v>
      </c>
      <c r="G17" s="89">
        <f t="shared" si="5"/>
        <v>1.0490244073012134E-2</v>
      </c>
      <c r="H17" s="89">
        <f t="shared" si="5"/>
        <v>2.6126375527718126E-2</v>
      </c>
      <c r="I17" s="89">
        <f t="shared" si="5"/>
        <v>2.495531649411542E-2</v>
      </c>
      <c r="J17" s="89">
        <f t="shared" si="5"/>
        <v>-1.6451156516303911E-3</v>
      </c>
      <c r="K17" s="89">
        <f t="shared" si="5"/>
        <v>6.2617407639324885E-3</v>
      </c>
      <c r="L17" s="66">
        <f t="shared" si="5"/>
        <v>1.6473978973569503E-2</v>
      </c>
      <c r="M17" s="66">
        <f t="shared" si="5"/>
        <v>1.7109163552004203E-2</v>
      </c>
      <c r="N17" s="66">
        <f t="shared" si="5"/>
        <v>1.5300788798428888E-2</v>
      </c>
      <c r="O17" s="66">
        <f t="shared" si="5"/>
        <v>1.4227769110764399E-2</v>
      </c>
      <c r="P17" s="66">
        <f t="shared" si="5"/>
        <v>1.3289854180766669E-2</v>
      </c>
      <c r="Q17" s="17">
        <f t="shared" si="5"/>
        <v>1.2062831054651779E-2</v>
      </c>
      <c r="R17" s="17">
        <f t="shared" si="5"/>
        <v>1.1593320404888585E-2</v>
      </c>
      <c r="S17" s="17">
        <f t="shared" si="5"/>
        <v>1.111923811301585E-2</v>
      </c>
      <c r="T17" s="17">
        <f t="shared" si="5"/>
        <v>1.0645766907308785E-2</v>
      </c>
      <c r="U17" s="17">
        <f t="shared" si="5"/>
        <v>1.0404103242790841E-2</v>
      </c>
      <c r="V17" s="17">
        <f t="shared" si="5"/>
        <v>1.0142078763644369E-2</v>
      </c>
      <c r="W17" s="17">
        <f t="shared" si="5"/>
        <v>9.6581514914022559E-3</v>
      </c>
      <c r="X17" s="17">
        <f t="shared" si="5"/>
        <v>9.2327352420311648E-3</v>
      </c>
      <c r="Y17" s="17">
        <f t="shared" si="5"/>
        <v>8.9920314012481573E-3</v>
      </c>
      <c r="Z17" s="17">
        <f t="shared" si="5"/>
        <v>8.7320569528677172E-3</v>
      </c>
    </row>
    <row r="18" spans="1:26" x14ac:dyDescent="0.25">
      <c r="A18" s="11" t="s">
        <v>1147</v>
      </c>
      <c r="B18" s="11"/>
      <c r="C18" s="15"/>
      <c r="D18" s="50">
        <f>'Economic Forecasts'!Q$9</f>
        <v>3.9419</v>
      </c>
      <c r="E18" s="50">
        <f>'Economic Forecasts'!R$9</f>
        <v>4.0198</v>
      </c>
      <c r="F18" s="50">
        <f>'Economic Forecasts'!S$9</f>
        <v>4.0667</v>
      </c>
      <c r="G18" s="50">
        <f>'Economic Forecasts'!T$9</f>
        <v>4.0703000000000005</v>
      </c>
      <c r="H18" s="50">
        <f>'Economic Forecasts'!U$9</f>
        <v>4.1178999999999997</v>
      </c>
      <c r="I18" s="50">
        <f>'Economic Forecasts'!V$9</f>
        <v>4.2371999999999996</v>
      </c>
      <c r="J18" s="50">
        <f>'Economic Forecasts'!W$9</f>
        <v>4.2868999999999993</v>
      </c>
      <c r="K18" s="50">
        <f>'Economic Forecasts'!X$9</f>
        <v>4.3319999999999999</v>
      </c>
      <c r="L18" s="48">
        <f>'Economic Forecasts'!Y$9</f>
        <v>4.3866999999999994</v>
      </c>
      <c r="M18" s="48">
        <f>'Economic Forecasts'!Z$9</f>
        <v>4.4423000000000004</v>
      </c>
      <c r="N18" s="48">
        <f>'Economic Forecasts'!AA$9</f>
        <v>4.5003000000000002</v>
      </c>
      <c r="O18" s="48">
        <f>'Economic Forecasts'!AB$9</f>
        <v>4.5590000000000002</v>
      </c>
      <c r="P18" s="48">
        <f>'Economic Forecasts'!AC$9</f>
        <v>4.6177999999999999</v>
      </c>
      <c r="Q18" s="20">
        <f>P$18*'Population Treasury'!AB$6/'Population Treasury'!AA$6</f>
        <v>4.6771358808609396</v>
      </c>
      <c r="R18" s="20">
        <f>Q$18*'Population Treasury'!AC$6/'Population Treasury'!AB$6</f>
        <v>4.7345664681015647</v>
      </c>
      <c r="S18" s="20">
        <f>R$18*'Population Treasury'!AD$6/'Population Treasury'!AC$6</f>
        <v>4.7911242127851628</v>
      </c>
      <c r="T18" s="20">
        <f>S$18*'Population Treasury'!AE$6/'Population Treasury'!AD$6</f>
        <v>4.8453742127851633</v>
      </c>
      <c r="U18" s="20">
        <f>T$18*'Population Treasury'!AF$6/'Population Treasury'!AE$6</f>
        <v>4.8998342127851631</v>
      </c>
      <c r="V18" s="20">
        <f>U$18*'Population Treasury'!AG$6/'Population Treasury'!AF$6</f>
        <v>4.9531442127851628</v>
      </c>
      <c r="W18" s="20">
        <f>V$18*'Population Treasury'!AH$6/'Population Treasury'!AG$6</f>
        <v>5.0015842127851631</v>
      </c>
      <c r="X18" s="20">
        <f>W$18*'Population Treasury'!AI$6/'Population Treasury'!AH$6</f>
        <v>5.0492242127851625</v>
      </c>
      <c r="Y18" s="20">
        <f>X$18*'Population Treasury'!AJ$6/'Population Treasury'!AI$6</f>
        <v>5.0974042127851638</v>
      </c>
      <c r="Z18" s="20">
        <f>Y$18*'Population Treasury'!AK$6/'Population Treasury'!AJ$6</f>
        <v>5.1449142127851628</v>
      </c>
    </row>
    <row r="19" spans="1:26" x14ac:dyDescent="0.25">
      <c r="A19" s="14" t="str">
        <f>$A$12</f>
        <v>Annual percentage growth</v>
      </c>
      <c r="B19" s="11"/>
      <c r="C19" s="15"/>
      <c r="D19" s="89"/>
      <c r="E19" s="89">
        <f t="shared" ref="E19:Z19" si="6">E$18/D$18-1</f>
        <v>1.9762043684517616E-2</v>
      </c>
      <c r="F19" s="89">
        <f t="shared" si="6"/>
        <v>1.1667247126722735E-2</v>
      </c>
      <c r="G19" s="89">
        <f t="shared" si="6"/>
        <v>8.852386455850958E-4</v>
      </c>
      <c r="H19" s="89">
        <f t="shared" si="6"/>
        <v>1.1694469695108234E-2</v>
      </c>
      <c r="I19" s="89">
        <f t="shared" si="6"/>
        <v>2.8971077490954178E-2</v>
      </c>
      <c r="J19" s="89">
        <f t="shared" si="6"/>
        <v>1.1729443972434472E-2</v>
      </c>
      <c r="K19" s="89">
        <f t="shared" si="6"/>
        <v>1.0520422683057751E-2</v>
      </c>
      <c r="L19" s="66">
        <f t="shared" si="6"/>
        <v>1.2626962142197495E-2</v>
      </c>
      <c r="M19" s="66">
        <f t="shared" si="6"/>
        <v>1.2674675724348772E-2</v>
      </c>
      <c r="N19" s="66">
        <f t="shared" si="6"/>
        <v>1.3056299664588211E-2</v>
      </c>
      <c r="O19" s="66">
        <f t="shared" si="6"/>
        <v>1.3043574872786179E-2</v>
      </c>
      <c r="P19" s="66">
        <f t="shared" si="6"/>
        <v>1.2897565255538535E-2</v>
      </c>
      <c r="Q19" s="17">
        <f t="shared" si="6"/>
        <v>1.2849383009428728E-2</v>
      </c>
      <c r="R19" s="17">
        <f t="shared" si="6"/>
        <v>1.2279007645604967E-2</v>
      </c>
      <c r="S19" s="17">
        <f t="shared" si="6"/>
        <v>1.1945707186634236E-2</v>
      </c>
      <c r="T19" s="17">
        <f t="shared" si="6"/>
        <v>1.132302098435134E-2</v>
      </c>
      <c r="U19" s="17">
        <f t="shared" si="6"/>
        <v>1.1239585965579169E-2</v>
      </c>
      <c r="V19" s="17">
        <f t="shared" si="6"/>
        <v>1.0879959950664819E-2</v>
      </c>
      <c r="W19" s="17">
        <f t="shared" si="6"/>
        <v>9.7796466081010447E-3</v>
      </c>
      <c r="X19" s="17">
        <f t="shared" si="6"/>
        <v>9.5249820803218199E-3</v>
      </c>
      <c r="Y19" s="17">
        <f t="shared" si="6"/>
        <v>9.5420599223945413E-3</v>
      </c>
      <c r="Z19" s="17">
        <f t="shared" si="6"/>
        <v>9.3204301673459611E-3</v>
      </c>
    </row>
    <row r="20" spans="1:26" x14ac:dyDescent="0.25">
      <c r="A20" s="11" t="s">
        <v>1148</v>
      </c>
      <c r="B20" s="11"/>
      <c r="C20" s="15"/>
      <c r="D20" s="89">
        <f t="shared" ref="D20:Z20" si="7">D$16/D$18</f>
        <v>0.70849082929551743</v>
      </c>
      <c r="E20" s="89">
        <f t="shared" si="7"/>
        <v>0.70426389372605602</v>
      </c>
      <c r="F20" s="89">
        <f t="shared" si="7"/>
        <v>0.70322374406767163</v>
      </c>
      <c r="G20" s="89">
        <f t="shared" si="7"/>
        <v>0.70997223791858088</v>
      </c>
      <c r="H20" s="89">
        <f t="shared" si="7"/>
        <v>0.72010005099686736</v>
      </c>
      <c r="I20" s="89">
        <f t="shared" si="7"/>
        <v>0.71728971962616839</v>
      </c>
      <c r="J20" s="89">
        <f t="shared" si="7"/>
        <v>0.70780750658984359</v>
      </c>
      <c r="K20" s="89">
        <f t="shared" si="7"/>
        <v>0.7048245614035088</v>
      </c>
      <c r="L20" s="66">
        <f t="shared" si="7"/>
        <v>0.70750222262748763</v>
      </c>
      <c r="M20" s="66">
        <f t="shared" si="7"/>
        <v>0.71060036467595611</v>
      </c>
      <c r="N20" s="66">
        <f t="shared" si="7"/>
        <v>0.7121747439059618</v>
      </c>
      <c r="O20" s="66">
        <f t="shared" si="7"/>
        <v>0.71300723842948011</v>
      </c>
      <c r="P20" s="66">
        <f t="shared" si="7"/>
        <v>0.71328338169691197</v>
      </c>
      <c r="Q20" s="17">
        <f t="shared" si="7"/>
        <v>0.71272946474973808</v>
      </c>
      <c r="R20" s="17">
        <f t="shared" si="7"/>
        <v>0.71224668332646413</v>
      </c>
      <c r="S20" s="17">
        <f t="shared" si="7"/>
        <v>0.71166498230003927</v>
      </c>
      <c r="T20" s="17">
        <f t="shared" si="7"/>
        <v>0.71118840063349908</v>
      </c>
      <c r="U20" s="17">
        <f t="shared" si="7"/>
        <v>0.71060081918433204</v>
      </c>
      <c r="V20" s="17">
        <f t="shared" si="7"/>
        <v>0.71008212359560652</v>
      </c>
      <c r="W20" s="17">
        <f t="shared" si="7"/>
        <v>0.7099966876187952</v>
      </c>
      <c r="X20" s="17">
        <f t="shared" si="7"/>
        <v>0.70979115106364643</v>
      </c>
      <c r="Y20" s="17">
        <f t="shared" si="7"/>
        <v>0.70940443574722634</v>
      </c>
      <c r="Z20" s="17">
        <f t="shared" si="7"/>
        <v>0.70899089555151618</v>
      </c>
    </row>
    <row r="21" spans="1:26" x14ac:dyDescent="0.25">
      <c r="A21" s="11" t="s">
        <v>779</v>
      </c>
      <c r="B21" s="11"/>
      <c r="C21" s="15"/>
      <c r="D21" s="50">
        <f>'Economic Forecasts'!Q$10</f>
        <v>4.9462000000000002</v>
      </c>
      <c r="E21" s="50">
        <f>'Economic Forecasts'!R$10</f>
        <v>5.0406000000000004</v>
      </c>
      <c r="F21" s="50">
        <f>'Economic Forecasts'!S$10</f>
        <v>5.0821000000000005</v>
      </c>
      <c r="G21" s="50">
        <f>'Economic Forecasts'!T$10</f>
        <v>5.0838000000000001</v>
      </c>
      <c r="H21" s="50">
        <f>'Economic Forecasts'!U$10</f>
        <v>5.1452</v>
      </c>
      <c r="I21" s="50">
        <f>'Economic Forecasts'!V$10</f>
        <v>5.2688000000000006</v>
      </c>
      <c r="J21" s="50">
        <f>'Economic Forecasts'!W$10</f>
        <v>5.3117999999999999</v>
      </c>
      <c r="K21" s="50">
        <f>'Economic Forecasts'!X$10</f>
        <v>5.3451000000000004</v>
      </c>
      <c r="L21" s="48">
        <f>'Economic Forecasts'!Y$10</f>
        <v>5.3923000000000005</v>
      </c>
      <c r="M21" s="48">
        <f>'Economic Forecasts'!Z$10</f>
        <v>5.4530000000000003</v>
      </c>
      <c r="N21" s="48">
        <f>'Economic Forecasts'!AA$10</f>
        <v>5.5176999999999996</v>
      </c>
      <c r="O21" s="48">
        <f>'Economic Forecasts'!AB$10</f>
        <v>5.5833999999999993</v>
      </c>
      <c r="P21" s="48">
        <f>'Economic Forecasts'!AC$10</f>
        <v>5.6493000000000002</v>
      </c>
      <c r="Q21" s="20">
        <f>P$21*'Population Treasury'!AB$4/'Population Treasury'!AA$4</f>
        <v>5.7052600060217733</v>
      </c>
      <c r="R21" s="20">
        <f>Q$21*'Population Treasury'!AC$4/'Population Treasury'!AB$4</f>
        <v>5.7601500100362912</v>
      </c>
      <c r="S21" s="20">
        <f>R$21*'Population Treasury'!AD$4/'Population Treasury'!AC$4</f>
        <v>5.8138600117090098</v>
      </c>
      <c r="T21" s="20">
        <f>S$21*'Population Treasury'!AE$4/'Population Treasury'!AD$4</f>
        <v>5.8664900117090104</v>
      </c>
      <c r="U21" s="20">
        <f>T$21*'Population Treasury'!AF$4/'Population Treasury'!AE$4</f>
        <v>5.9189500117090104</v>
      </c>
      <c r="V21" s="20">
        <f>U$21*'Population Treasury'!AG$4/'Population Treasury'!AF$4</f>
        <v>5.9709800117090097</v>
      </c>
      <c r="W21" s="20">
        <f>V$21*'Population Treasury'!AH$4/'Population Treasury'!AG$4</f>
        <v>6.0227600117090105</v>
      </c>
      <c r="X21" s="20">
        <f>W$21*'Population Treasury'!AI$4/'Population Treasury'!AH$4</f>
        <v>6.0742300117090098</v>
      </c>
      <c r="Y21" s="20">
        <f>X$21*'Population Treasury'!AJ$4/'Population Treasury'!AI$4</f>
        <v>6.1255100117090082</v>
      </c>
      <c r="Z21" s="20">
        <f>Y$21*'Population Treasury'!AK$4/'Population Treasury'!AJ$4</f>
        <v>6.1764800117090095</v>
      </c>
    </row>
    <row r="22" spans="1:26" x14ac:dyDescent="0.25">
      <c r="A22" s="14" t="str">
        <f>$A$12</f>
        <v>Annual percentage growth</v>
      </c>
      <c r="B22" s="57"/>
      <c r="C22" s="15"/>
      <c r="D22" s="91"/>
      <c r="E22" s="89">
        <f t="shared" ref="E22:Z22" si="8">E$21/D$21-1</f>
        <v>1.9085358456997437E-2</v>
      </c>
      <c r="F22" s="89">
        <f t="shared" si="8"/>
        <v>8.2331468475975722E-3</v>
      </c>
      <c r="G22" s="89">
        <f t="shared" si="8"/>
        <v>3.3450738867779606E-4</v>
      </c>
      <c r="H22" s="89">
        <f t="shared" si="8"/>
        <v>1.2077579763169366E-2</v>
      </c>
      <c r="I22" s="89">
        <f t="shared" si="8"/>
        <v>2.4022389800202326E-2</v>
      </c>
      <c r="J22" s="89">
        <f t="shared" si="8"/>
        <v>8.1612511387791908E-3</v>
      </c>
      <c r="K22" s="89">
        <f t="shared" si="8"/>
        <v>6.2690613351408242E-3</v>
      </c>
      <c r="L22" s="66">
        <f t="shared" si="8"/>
        <v>8.8305176703897814E-3</v>
      </c>
      <c r="M22" s="66">
        <f t="shared" si="8"/>
        <v>1.1256792092428025E-2</v>
      </c>
      <c r="N22" s="66">
        <f t="shared" si="8"/>
        <v>1.1865028424720148E-2</v>
      </c>
      <c r="O22" s="66">
        <f t="shared" si="8"/>
        <v>1.1907135219384912E-2</v>
      </c>
      <c r="P22" s="66">
        <f t="shared" si="8"/>
        <v>1.1802844145144764E-2</v>
      </c>
      <c r="Q22" s="17">
        <f t="shared" si="8"/>
        <v>9.9056530936174614E-3</v>
      </c>
      <c r="R22" s="17">
        <f t="shared" si="8"/>
        <v>9.6209469781540768E-3</v>
      </c>
      <c r="S22" s="17">
        <f t="shared" si="8"/>
        <v>9.3244102287504127E-3</v>
      </c>
      <c r="T22" s="17">
        <f t="shared" si="8"/>
        <v>9.0525055460579651E-3</v>
      </c>
      <c r="U22" s="17">
        <f t="shared" si="8"/>
        <v>8.9423147223117727E-3</v>
      </c>
      <c r="V22" s="17">
        <f t="shared" si="8"/>
        <v>8.7904104439253672E-3</v>
      </c>
      <c r="W22" s="17">
        <f t="shared" si="8"/>
        <v>8.6719432820845377E-3</v>
      </c>
      <c r="X22" s="17">
        <f t="shared" si="8"/>
        <v>8.5459158093523779E-3</v>
      </c>
      <c r="Y22" s="17">
        <f t="shared" si="8"/>
        <v>8.4422222900923938E-3</v>
      </c>
      <c r="Z22" s="17">
        <f t="shared" si="8"/>
        <v>8.3209397915555705E-3</v>
      </c>
    </row>
    <row r="23" spans="1:26" x14ac:dyDescent="0.25">
      <c r="A23" s="11" t="s">
        <v>780</v>
      </c>
      <c r="B23" s="11"/>
      <c r="C23" s="15"/>
      <c r="D23" s="89">
        <f>'Economic Forecasts'!Q$11</f>
        <v>4.1500000000000002E-2</v>
      </c>
      <c r="E23" s="89">
        <f>'Economic Forecasts'!R$11</f>
        <v>4.1299999999999996E-2</v>
      </c>
      <c r="F23" s="89">
        <f>'Economic Forecasts'!S$11</f>
        <v>4.6799999999999994E-2</v>
      </c>
      <c r="G23" s="89">
        <f>'Economic Forecasts'!T$11</f>
        <v>3.2799999999999996E-2</v>
      </c>
      <c r="H23" s="89">
        <f>'Economic Forecasts'!U$11</f>
        <v>3.4799999999999998E-2</v>
      </c>
      <c r="I23" s="89">
        <f>'Economic Forecasts'!V$11</f>
        <v>4.2500000000000003E-2</v>
      </c>
      <c r="J23" s="89">
        <f>'Economic Forecasts'!W$11</f>
        <v>5.0999999999999997E-2</v>
      </c>
      <c r="K23" s="89">
        <f>'Economic Forecasts'!X$11</f>
        <v>5.4299999999999994E-2</v>
      </c>
      <c r="L23" s="66">
        <f>'Economic Forecasts'!Y$11</f>
        <v>5.4199999999999998E-2</v>
      </c>
      <c r="M23" s="66">
        <f>'Economic Forecasts'!Z$11</f>
        <v>4.87E-2</v>
      </c>
      <c r="N23" s="66">
        <f>'Economic Forecasts'!AA$11</f>
        <v>4.5599999999999995E-2</v>
      </c>
      <c r="O23" s="66">
        <f>'Economic Forecasts'!AB$11</f>
        <v>4.3499999999999997E-2</v>
      </c>
      <c r="P23" s="66">
        <f>'Economic Forecasts'!AC$11</f>
        <v>4.3200000000000002E-2</v>
      </c>
      <c r="Q23" s="17">
        <f ca="1">P$23+IF(Q$6&lt;OFFSET(Assumptions!$B$8,0,$C$1)+OFFSET(Assumptions!$B$18,0,$C$1),(OFFSET(Assumptions!$B$12,0,$C$1)-P$23)/(OFFSET(Assumptions!$B$8,0,$C$1)+OFFSET(Assumptions!$B$18,0,$C$1)-Q$6),0)</f>
        <v>4.2966666666666667E-2</v>
      </c>
      <c r="R23" s="17">
        <f ca="1">Q$23+IF(R$6&lt;OFFSET(Assumptions!$B$8,0,$C$1)+OFFSET(Assumptions!$B$18,0,$C$1),(OFFSET(Assumptions!$B$12,0,$C$1)-Q$23)/(OFFSET(Assumptions!$B$8,0,$C$1)+OFFSET(Assumptions!$B$18,0,$C$1)-R$6),0)</f>
        <v>4.2733333333333332E-2</v>
      </c>
      <c r="S23" s="17">
        <f ca="1">R$23+IF(S$6&lt;OFFSET(Assumptions!$B$8,0,$C$1)+OFFSET(Assumptions!$B$18,0,$C$1),(OFFSET(Assumptions!$B$12,0,$C$1)-R$23)/(OFFSET(Assumptions!$B$8,0,$C$1)+OFFSET(Assumptions!$B$18,0,$C$1)-S$6),0)</f>
        <v>4.2500000000000003E-2</v>
      </c>
      <c r="T23" s="17">
        <f ca="1">S$23+IF(T$6&lt;OFFSET(Assumptions!$B$8,0,$C$1)+OFFSET(Assumptions!$B$18,0,$C$1),(OFFSET(Assumptions!$B$12,0,$C$1)-S$23)/(OFFSET(Assumptions!$B$8,0,$C$1)+OFFSET(Assumptions!$B$18,0,$C$1)-T$6),0)</f>
        <v>4.2500000000000003E-2</v>
      </c>
      <c r="U23" s="17">
        <f ca="1">T$23+IF(U$6&lt;OFFSET(Assumptions!$B$8,0,$C$1)+OFFSET(Assumptions!$B$18,0,$C$1),(OFFSET(Assumptions!$B$12,0,$C$1)-T$23)/(OFFSET(Assumptions!$B$8,0,$C$1)+OFFSET(Assumptions!$B$18,0,$C$1)-U$6),0)</f>
        <v>4.2500000000000003E-2</v>
      </c>
      <c r="V23" s="17">
        <f ca="1">U$23+IF(V$6&lt;OFFSET(Assumptions!$B$8,0,$C$1)+OFFSET(Assumptions!$B$18,0,$C$1),(OFFSET(Assumptions!$B$12,0,$C$1)-U$23)/(OFFSET(Assumptions!$B$8,0,$C$1)+OFFSET(Assumptions!$B$18,0,$C$1)-V$6),0)</f>
        <v>4.2500000000000003E-2</v>
      </c>
      <c r="W23" s="17">
        <f ca="1">V$23+IF(W$6&lt;OFFSET(Assumptions!$B$8,0,$C$1)+OFFSET(Assumptions!$B$18,0,$C$1),(OFFSET(Assumptions!$B$12,0,$C$1)-V$23)/(OFFSET(Assumptions!$B$8,0,$C$1)+OFFSET(Assumptions!$B$18,0,$C$1)-W$6),0)</f>
        <v>4.2500000000000003E-2</v>
      </c>
      <c r="X23" s="17">
        <f ca="1">W$23+IF(X$6&lt;OFFSET(Assumptions!$B$8,0,$C$1)+OFFSET(Assumptions!$B$18,0,$C$1),(OFFSET(Assumptions!$B$12,0,$C$1)-W$23)/(OFFSET(Assumptions!$B$8,0,$C$1)+OFFSET(Assumptions!$B$18,0,$C$1)-X$6),0)</f>
        <v>4.2500000000000003E-2</v>
      </c>
      <c r="Y23" s="17">
        <f ca="1">X$23+IF(Y$6&lt;OFFSET(Assumptions!$B$8,0,$C$1)+OFFSET(Assumptions!$B$18,0,$C$1),(OFFSET(Assumptions!$B$12,0,$C$1)-X$23)/(OFFSET(Assumptions!$B$8,0,$C$1)+OFFSET(Assumptions!$B$18,0,$C$1)-Y$6),0)</f>
        <v>4.2500000000000003E-2</v>
      </c>
      <c r="Z23" s="17">
        <f ca="1">Y$23+IF(Z$6&lt;OFFSET(Assumptions!$B$8,0,$C$1)+OFFSET(Assumptions!$B$18,0,$C$1),(OFFSET(Assumptions!$B$12,0,$C$1)-Y$23)/(OFFSET(Assumptions!$B$8,0,$C$1)+OFFSET(Assumptions!$B$18,0,$C$1)-Z$6),0)</f>
        <v>4.2500000000000003E-2</v>
      </c>
    </row>
    <row r="24" spans="1:26" x14ac:dyDescent="0.25">
      <c r="A24" s="11" t="s">
        <v>781</v>
      </c>
      <c r="B24" s="11"/>
      <c r="C24" s="15"/>
      <c r="D24" s="92">
        <f>'Economic Forecasts'!Q$12</f>
        <v>34.11</v>
      </c>
      <c r="E24" s="92">
        <f>'Economic Forecasts'!R$12</f>
        <v>33.18</v>
      </c>
      <c r="F24" s="92">
        <f>'Economic Forecasts'!S$12</f>
        <v>34.119999999999997</v>
      </c>
      <c r="G24" s="92">
        <f>'Economic Forecasts'!T$12</f>
        <v>32.94</v>
      </c>
      <c r="H24" s="92">
        <f>'Economic Forecasts'!U$12</f>
        <v>33.72</v>
      </c>
      <c r="I24" s="92">
        <f>'Economic Forecasts'!V$12</f>
        <v>33.549999999999997</v>
      </c>
      <c r="J24" s="92">
        <f>'Economic Forecasts'!W$12</f>
        <v>33.03</v>
      </c>
      <c r="K24" s="92">
        <f>'Economic Forecasts'!X$12</f>
        <v>33.299999999999997</v>
      </c>
      <c r="L24" s="68">
        <f>'Economic Forecasts'!Y$12</f>
        <v>33.28</v>
      </c>
      <c r="M24" s="68">
        <f>'Economic Forecasts'!Z$12</f>
        <v>33.26</v>
      </c>
      <c r="N24" s="68">
        <f>'Economic Forecasts'!AA$12</f>
        <v>33.25</v>
      </c>
      <c r="O24" s="68">
        <f>'Economic Forecasts'!AB$12</f>
        <v>33.229999999999997</v>
      </c>
      <c r="P24" s="68">
        <f>'Economic Forecasts'!AC$12</f>
        <v>33.22</v>
      </c>
      <c r="Q24" s="67">
        <f ca="1">P$24+IF(Q$6&lt;OFFSET(Assumptions!$B$8,0,$C$1)+OFFSET(Assumptions!$B$19,0,$C$1),(OFFSET(Assumptions!$B$13,0,$C$1)-P$24)/(OFFSET(Assumptions!$B$8,0,$C$1)+OFFSET(Assumptions!$B$19,0,$C$1)-Q$6),0)</f>
        <v>33.21</v>
      </c>
      <c r="R24" s="67">
        <f ca="1">Q$24+IF(R$6&lt;OFFSET(Assumptions!$B$8,0,$C$1)+OFFSET(Assumptions!$B$19,0,$C$1),(OFFSET(Assumptions!$B$13,0,$C$1)-Q$24)/(OFFSET(Assumptions!$B$8,0,$C$1)+OFFSET(Assumptions!$B$19,0,$C$1)-R$6),0)</f>
        <v>33.200000000000003</v>
      </c>
      <c r="S24" s="67">
        <f ca="1">R$24+IF(S$6&lt;OFFSET(Assumptions!$B$8,0,$C$1)+OFFSET(Assumptions!$B$19,0,$C$1),(OFFSET(Assumptions!$B$13,0,$C$1)-R$24)/(OFFSET(Assumptions!$B$8,0,$C$1)+OFFSET(Assumptions!$B$19,0,$C$1)-S$6),0)</f>
        <v>33.200000000000003</v>
      </c>
      <c r="T24" s="67">
        <f ca="1">S$24+IF(T$6&lt;OFFSET(Assumptions!$B$8,0,$C$1)+OFFSET(Assumptions!$B$19,0,$C$1),(OFFSET(Assumptions!$B$13,0,$C$1)-S$24)/(OFFSET(Assumptions!$B$8,0,$C$1)+OFFSET(Assumptions!$B$19,0,$C$1)-T$6),0)</f>
        <v>33.200000000000003</v>
      </c>
      <c r="U24" s="67">
        <f ca="1">T$24+IF(U$6&lt;OFFSET(Assumptions!$B$8,0,$C$1)+OFFSET(Assumptions!$B$19,0,$C$1),(OFFSET(Assumptions!$B$13,0,$C$1)-T$24)/(OFFSET(Assumptions!$B$8,0,$C$1)+OFFSET(Assumptions!$B$19,0,$C$1)-U$6),0)</f>
        <v>33.200000000000003</v>
      </c>
      <c r="V24" s="67">
        <f ca="1">U$24+IF(V$6&lt;OFFSET(Assumptions!$B$8,0,$C$1)+OFFSET(Assumptions!$B$19,0,$C$1),(OFFSET(Assumptions!$B$13,0,$C$1)-U$24)/(OFFSET(Assumptions!$B$8,0,$C$1)+OFFSET(Assumptions!$B$19,0,$C$1)-V$6),0)</f>
        <v>33.200000000000003</v>
      </c>
      <c r="W24" s="67">
        <f ca="1">V$24+IF(W$6&lt;OFFSET(Assumptions!$B$8,0,$C$1)+OFFSET(Assumptions!$B$19,0,$C$1),(OFFSET(Assumptions!$B$13,0,$C$1)-V$24)/(OFFSET(Assumptions!$B$8,0,$C$1)+OFFSET(Assumptions!$B$19,0,$C$1)-W$6),0)</f>
        <v>33.200000000000003</v>
      </c>
      <c r="X24" s="67">
        <f ca="1">W$24+IF(X$6&lt;OFFSET(Assumptions!$B$8,0,$C$1)+OFFSET(Assumptions!$B$19,0,$C$1),(OFFSET(Assumptions!$B$13,0,$C$1)-W$24)/(OFFSET(Assumptions!$B$8,0,$C$1)+OFFSET(Assumptions!$B$19,0,$C$1)-X$6),0)</f>
        <v>33.200000000000003</v>
      </c>
      <c r="Y24" s="67">
        <f ca="1">X$24+IF(Y$6&lt;OFFSET(Assumptions!$B$8,0,$C$1)+OFFSET(Assumptions!$B$19,0,$C$1),(OFFSET(Assumptions!$B$13,0,$C$1)-X$24)/(OFFSET(Assumptions!$B$8,0,$C$1)+OFFSET(Assumptions!$B$19,0,$C$1)-Y$6),0)</f>
        <v>33.200000000000003</v>
      </c>
      <c r="Z24" s="67">
        <f ca="1">Y$24+IF(Z$6&lt;OFFSET(Assumptions!$B$8,0,$C$1)+OFFSET(Assumptions!$B$19,0,$C$1),(OFFSET(Assumptions!$B$13,0,$C$1)-Y$24)/(OFFSET(Assumptions!$B$8,0,$C$1)+OFFSET(Assumptions!$B$19,0,$C$1)-Z$6),0)</f>
        <v>33.200000000000003</v>
      </c>
    </row>
    <row r="25" spans="1:26" x14ac:dyDescent="0.25">
      <c r="A25" s="11" t="s">
        <v>782</v>
      </c>
      <c r="B25" s="11"/>
      <c r="C25" s="15"/>
      <c r="D25" s="89">
        <f>'Economic Forecasts'!Q$13</f>
        <v>6.7000000000000002E-3</v>
      </c>
      <c r="E25" s="89">
        <f>'Economic Forecasts'!R$13</f>
        <v>6.4000000000000003E-3</v>
      </c>
      <c r="F25" s="89">
        <f>'Economic Forecasts'!S$13</f>
        <v>2.93E-2</v>
      </c>
      <c r="G25" s="89">
        <f>'Economic Forecasts'!T$13</f>
        <v>1.49E-2</v>
      </c>
      <c r="H25" s="89">
        <f>'Economic Forecasts'!U$13</f>
        <v>-8.6E-3</v>
      </c>
      <c r="I25" s="89">
        <f>'Economic Forecasts'!V$13</f>
        <v>-2.9999999999999997E-4</v>
      </c>
      <c r="J25" s="89">
        <f>'Economic Forecasts'!W$13</f>
        <v>1.46E-2</v>
      </c>
      <c r="K25" s="89">
        <f>'Economic Forecasts'!X$13</f>
        <v>4.7000000000000002E-3</v>
      </c>
      <c r="L25" s="66">
        <f>'Economic Forecasts'!Y$13</f>
        <v>7.1000000000000004E-3</v>
      </c>
      <c r="M25" s="66">
        <f>'Economic Forecasts'!Z$13</f>
        <v>6.4999999999999997E-3</v>
      </c>
      <c r="N25" s="66">
        <f>'Economic Forecasts'!AA$13</f>
        <v>8.3000000000000001E-3</v>
      </c>
      <c r="O25" s="66">
        <f>'Economic Forecasts'!AB$13</f>
        <v>9.9000000000000008E-3</v>
      </c>
      <c r="P25" s="66">
        <f>'Economic Forecasts'!AC$13</f>
        <v>1.14E-2</v>
      </c>
      <c r="Q25" s="17">
        <f ca="1">P$25+IF(Q$6&lt;OFFSET(Assumptions!$B$8,0,$C$1)+OFFSET(Assumptions!$B$20,0,$C$1),(OFFSET(Assumptions!$B$14,0,$C$1)-P$25)/(OFFSET(Assumptions!$B$8,0,$C$1)+OFFSET(Assumptions!$B$20,0,$C$1)-Q$6),0)</f>
        <v>1.0933333333333333E-2</v>
      </c>
      <c r="R25" s="17">
        <f ca="1">Q$25+IF(R$6&lt;OFFSET(Assumptions!$B$8,0,$C$1)+OFFSET(Assumptions!$B$20,0,$C$1),(OFFSET(Assumptions!$B$14,0,$C$1)-Q$25)/(OFFSET(Assumptions!$B$8,0,$C$1)+OFFSET(Assumptions!$B$20,0,$C$1)-R$6),0)</f>
        <v>1.0466666666666666E-2</v>
      </c>
      <c r="S25" s="17">
        <f ca="1">R$25+IF(S$6&lt;OFFSET(Assumptions!$B$8,0,$C$1)+OFFSET(Assumptions!$B$20,0,$C$1),(OFFSET(Assumptions!$B$14,0,$C$1)-R$25)/(OFFSET(Assumptions!$B$8,0,$C$1)+OFFSET(Assumptions!$B$20,0,$C$1)-S$6),0)</f>
        <v>0.01</v>
      </c>
      <c r="T25" s="17">
        <f ca="1">S$25+IF(T$6&lt;OFFSET(Assumptions!$B$8,0,$C$1)+OFFSET(Assumptions!$B$20,0,$C$1),(OFFSET(Assumptions!$B$14,0,$C$1)-S$25)/(OFFSET(Assumptions!$B$8,0,$C$1)+OFFSET(Assumptions!$B$20,0,$C$1)-T$6),0)</f>
        <v>0.01</v>
      </c>
      <c r="U25" s="17">
        <f ca="1">T$25+IF(U$6&lt;OFFSET(Assumptions!$B$8,0,$C$1)+OFFSET(Assumptions!$B$20,0,$C$1),(OFFSET(Assumptions!$B$14,0,$C$1)-T$25)/(OFFSET(Assumptions!$B$8,0,$C$1)+OFFSET(Assumptions!$B$20,0,$C$1)-U$6),0)</f>
        <v>0.01</v>
      </c>
      <c r="V25" s="17">
        <f ca="1">U$25+IF(V$6&lt;OFFSET(Assumptions!$B$8,0,$C$1)+OFFSET(Assumptions!$B$20,0,$C$1),(OFFSET(Assumptions!$B$14,0,$C$1)-U$25)/(OFFSET(Assumptions!$B$8,0,$C$1)+OFFSET(Assumptions!$B$20,0,$C$1)-V$6),0)</f>
        <v>0.01</v>
      </c>
      <c r="W25" s="17">
        <f ca="1">V$25+IF(W$6&lt;OFFSET(Assumptions!$B$8,0,$C$1)+OFFSET(Assumptions!$B$20,0,$C$1),(OFFSET(Assumptions!$B$14,0,$C$1)-V$25)/(OFFSET(Assumptions!$B$8,0,$C$1)+OFFSET(Assumptions!$B$20,0,$C$1)-W$6),0)</f>
        <v>0.01</v>
      </c>
      <c r="X25" s="17">
        <f ca="1">W$25+IF(X$6&lt;OFFSET(Assumptions!$B$8,0,$C$1)+OFFSET(Assumptions!$B$20,0,$C$1),(OFFSET(Assumptions!$B$14,0,$C$1)-W$25)/(OFFSET(Assumptions!$B$8,0,$C$1)+OFFSET(Assumptions!$B$20,0,$C$1)-X$6),0)</f>
        <v>0.01</v>
      </c>
      <c r="Y25" s="17">
        <f ca="1">X$25+IF(Y$6&lt;OFFSET(Assumptions!$B$8,0,$C$1)+OFFSET(Assumptions!$B$20,0,$C$1),(OFFSET(Assumptions!$B$14,0,$C$1)-X$25)/(OFFSET(Assumptions!$B$8,0,$C$1)+OFFSET(Assumptions!$B$20,0,$C$1)-Y$6),0)</f>
        <v>0.01</v>
      </c>
      <c r="Z25" s="17">
        <f ca="1">Y$25+IF(Z$6&lt;OFFSET(Assumptions!$B$8,0,$C$1)+OFFSET(Assumptions!$B$20,0,$C$1),(OFFSET(Assumptions!$B$14,0,$C$1)-Y$25)/(OFFSET(Assumptions!$B$8,0,$C$1)+OFFSET(Assumptions!$B$20,0,$C$1)-Z$6),0)</f>
        <v>0.01</v>
      </c>
    </row>
    <row r="26" spans="1:26" x14ac:dyDescent="0.25">
      <c r="A26" s="11" t="s">
        <v>784</v>
      </c>
      <c r="B26" s="57"/>
      <c r="C26" s="15"/>
      <c r="D26" s="89">
        <f>'Economic Forecasts'!Q$15</f>
        <v>3.3700000000000001E-2</v>
      </c>
      <c r="E26" s="89">
        <f>'Economic Forecasts'!R$15</f>
        <v>3.3300000000000003E-2</v>
      </c>
      <c r="F26" s="89">
        <f>'Economic Forecasts'!S$15</f>
        <v>4.1200000000000001E-2</v>
      </c>
      <c r="G26" s="89">
        <f>'Economic Forecasts'!T$15</f>
        <v>4.5999999999999999E-2</v>
      </c>
      <c r="H26" s="89">
        <f>'Economic Forecasts'!U$15</f>
        <v>7.2900000000000006E-2</v>
      </c>
      <c r="I26" s="89">
        <f>'Economic Forecasts'!V$15</f>
        <v>5.96E-2</v>
      </c>
      <c r="J26" s="89">
        <f>'Economic Forecasts'!W$15</f>
        <v>4.2799999999999998E-2</v>
      </c>
      <c r="K26" s="89">
        <f>'Economic Forecasts'!X$15</f>
        <v>3.2800000000000003E-2</v>
      </c>
      <c r="L26" s="66">
        <f>'Economic Forecasts'!Y$15</f>
        <v>3.1600000000000003E-2</v>
      </c>
      <c r="M26" s="66">
        <f>'Economic Forecasts'!Z$15</f>
        <v>3.09E-2</v>
      </c>
      <c r="N26" s="66">
        <f>'Economic Forecasts'!AA$15</f>
        <v>3.2800000000000003E-2</v>
      </c>
      <c r="O26" s="66">
        <f>'Economic Forecasts'!AB$15</f>
        <v>3.4200000000000001E-2</v>
      </c>
      <c r="P26" s="66">
        <f>'Economic Forecasts'!AC$15</f>
        <v>3.5099999999999999E-2</v>
      </c>
      <c r="Q26" s="17">
        <f t="shared" ref="Q26:Z26" ca="1" si="9">(1+Q$25)*(1+Q$29)-1</f>
        <v>3.1151999999999846E-2</v>
      </c>
      <c r="R26" s="17">
        <f t="shared" ca="1" si="9"/>
        <v>3.0675999999999926E-2</v>
      </c>
      <c r="S26" s="17">
        <f t="shared" ca="1" si="9"/>
        <v>3.0200000000000005E-2</v>
      </c>
      <c r="T26" s="17">
        <f t="shared" ca="1" si="9"/>
        <v>3.0200000000000005E-2</v>
      </c>
      <c r="U26" s="17">
        <f t="shared" ca="1" si="9"/>
        <v>3.0200000000000005E-2</v>
      </c>
      <c r="V26" s="17">
        <f t="shared" ca="1" si="9"/>
        <v>3.0200000000000005E-2</v>
      </c>
      <c r="W26" s="17">
        <f t="shared" ca="1" si="9"/>
        <v>3.0200000000000005E-2</v>
      </c>
      <c r="X26" s="17">
        <f t="shared" ca="1" si="9"/>
        <v>3.0200000000000005E-2</v>
      </c>
      <c r="Y26" s="17">
        <f t="shared" ca="1" si="9"/>
        <v>3.0200000000000005E-2</v>
      </c>
      <c r="Z26" s="17">
        <f t="shared" ca="1" si="9"/>
        <v>3.0200000000000005E-2</v>
      </c>
    </row>
    <row r="27" spans="1:26" x14ac:dyDescent="0.25">
      <c r="A27" s="57" t="s">
        <v>1149</v>
      </c>
      <c r="B27" s="11"/>
      <c r="C27" s="15"/>
      <c r="K27" s="91"/>
    </row>
    <row r="28" spans="1:26" x14ac:dyDescent="0.25">
      <c r="A28" s="11" t="s">
        <v>1150</v>
      </c>
      <c r="B28" s="11"/>
      <c r="C28" s="15"/>
      <c r="D28" s="27">
        <f>'Economic Forecasts'!Q$14</f>
        <v>1032</v>
      </c>
      <c r="E28" s="27">
        <f>'Economic Forecasts'!R$14</f>
        <v>1047</v>
      </c>
      <c r="F28" s="27">
        <f>'Economic Forecasts'!S$14</f>
        <v>1082</v>
      </c>
      <c r="G28" s="27">
        <f>'Economic Forecasts'!T$14</f>
        <v>1161</v>
      </c>
      <c r="H28" s="27">
        <f>'Economic Forecasts'!U$14</f>
        <v>1231</v>
      </c>
      <c r="I28" s="27">
        <f>'Economic Forecasts'!V$14</f>
        <v>1272</v>
      </c>
      <c r="J28" s="27">
        <f>'Economic Forecasts'!W$14</f>
        <v>1306</v>
      </c>
      <c r="K28" s="27">
        <f>'Economic Forecasts'!X$14</f>
        <v>1359</v>
      </c>
      <c r="L28" s="28">
        <f>'Economic Forecasts'!Y$14</f>
        <v>1384.2</v>
      </c>
      <c r="M28" s="28">
        <f>'Economic Forecasts'!Z$14</f>
        <v>1411.8</v>
      </c>
      <c r="N28" s="28">
        <f>'Economic Forecasts'!AA$14</f>
        <v>1441.3</v>
      </c>
      <c r="O28" s="28">
        <f>'Economic Forecasts'!AB$14</f>
        <v>1471.1</v>
      </c>
      <c r="P28" s="28">
        <f>'Economic Forecasts'!AC$14</f>
        <v>1500.7</v>
      </c>
      <c r="Q28" s="18">
        <f t="shared" ref="Q28:Z28" ca="1" si="10">P$28*(1+Q$29)</f>
        <v>1530.7140000000002</v>
      </c>
      <c r="R28" s="18">
        <f t="shared" ca="1" si="10"/>
        <v>1561.3282800000002</v>
      </c>
      <c r="S28" s="18">
        <f t="shared" ca="1" si="10"/>
        <v>1592.5548456000001</v>
      </c>
      <c r="T28" s="18">
        <f t="shared" ca="1" si="10"/>
        <v>1624.4059425120001</v>
      </c>
      <c r="U28" s="18">
        <f t="shared" ca="1" si="10"/>
        <v>1656.8940613622401</v>
      </c>
      <c r="V28" s="18">
        <f t="shared" ca="1" si="10"/>
        <v>1690.031942589485</v>
      </c>
      <c r="W28" s="18">
        <f t="shared" ca="1" si="10"/>
        <v>1723.8325814412747</v>
      </c>
      <c r="X28" s="18">
        <f t="shared" ca="1" si="10"/>
        <v>1758.3092330701002</v>
      </c>
      <c r="Y28" s="18">
        <f t="shared" ca="1" si="10"/>
        <v>1793.4754177315021</v>
      </c>
      <c r="Z28" s="18">
        <f t="shared" ca="1" si="10"/>
        <v>1829.3449260861323</v>
      </c>
    </row>
    <row r="29" spans="1:26" x14ac:dyDescent="0.25">
      <c r="A29" s="14" t="str">
        <f>$A$12</f>
        <v>Annual percentage growth</v>
      </c>
      <c r="B29" s="11"/>
      <c r="C29" s="15"/>
      <c r="D29" s="93"/>
      <c r="E29" s="89">
        <f t="shared" ref="E29:P29" si="11">E$28/D$28-1</f>
        <v>1.4534883720930258E-2</v>
      </c>
      <c r="F29" s="89">
        <f t="shared" si="11"/>
        <v>3.3428844317096473E-2</v>
      </c>
      <c r="G29" s="89">
        <f t="shared" si="11"/>
        <v>7.3012939001848354E-2</v>
      </c>
      <c r="H29" s="89">
        <f t="shared" si="11"/>
        <v>6.0292850990525393E-2</v>
      </c>
      <c r="I29" s="89">
        <f t="shared" si="11"/>
        <v>3.3306255077172997E-2</v>
      </c>
      <c r="J29" s="89">
        <f t="shared" si="11"/>
        <v>2.6729559748427612E-2</v>
      </c>
      <c r="K29" s="89">
        <f t="shared" si="11"/>
        <v>4.058192955589579E-2</v>
      </c>
      <c r="L29" s="66">
        <f t="shared" si="11"/>
        <v>1.8543046357615944E-2</v>
      </c>
      <c r="M29" s="66">
        <f t="shared" si="11"/>
        <v>1.9939315127871726E-2</v>
      </c>
      <c r="N29" s="66">
        <f t="shared" si="11"/>
        <v>2.0895310950559631E-2</v>
      </c>
      <c r="O29" s="66">
        <f t="shared" si="11"/>
        <v>2.0675778810795853E-2</v>
      </c>
      <c r="P29" s="66">
        <f t="shared" si="11"/>
        <v>2.0120997892733472E-2</v>
      </c>
      <c r="Q29" s="17">
        <f ca="1">P$29+IF(Q$6&lt;OFFSET(Assumptions!$B$8,0,$C$1)+OFFSET(Assumptions!$B$21,0,$C$1),(OFFSET(Assumptions!$B$15,0,$C$1)-P$29)/(OFFSET(Assumptions!$B$8,0,$C$1)+OFFSET(Assumptions!$B$21,0,$C$1)-Q$6),0)</f>
        <v>0.02</v>
      </c>
      <c r="R29" s="17">
        <f ca="1">Q$29+IF(R$6&lt;OFFSET(Assumptions!$B$8,0,$C$1)+OFFSET(Assumptions!$B$21,0,$C$1),(OFFSET(Assumptions!$B$15,0,$C$1)-Q$29)/(OFFSET(Assumptions!$B$8,0,$C$1)+OFFSET(Assumptions!$B$21,0,$C$1)-R$6),0)</f>
        <v>0.02</v>
      </c>
      <c r="S29" s="17">
        <f ca="1">R$29+IF(S$6&lt;OFFSET(Assumptions!$B$8,0,$C$1)+OFFSET(Assumptions!$B$21,0,$C$1),(OFFSET(Assumptions!$B$15,0,$C$1)-R$29)/(OFFSET(Assumptions!$B$8,0,$C$1)+OFFSET(Assumptions!$B$21,0,$C$1)-S$6),0)</f>
        <v>0.02</v>
      </c>
      <c r="T29" s="17">
        <f ca="1">S$29+IF(T$6&lt;OFFSET(Assumptions!$B$8,0,$C$1)+OFFSET(Assumptions!$B$21,0,$C$1),(OFFSET(Assumptions!$B$15,0,$C$1)-S$29)/(OFFSET(Assumptions!$B$8,0,$C$1)+OFFSET(Assumptions!$B$21,0,$C$1)-T$6),0)</f>
        <v>0.02</v>
      </c>
      <c r="U29" s="17">
        <f ca="1">T$29+IF(U$6&lt;OFFSET(Assumptions!$B$8,0,$C$1)+OFFSET(Assumptions!$B$21,0,$C$1),(OFFSET(Assumptions!$B$15,0,$C$1)-T$29)/(OFFSET(Assumptions!$B$8,0,$C$1)+OFFSET(Assumptions!$B$21,0,$C$1)-U$6),0)</f>
        <v>0.02</v>
      </c>
      <c r="V29" s="17">
        <f ca="1">U$29+IF(V$6&lt;OFFSET(Assumptions!$B$8,0,$C$1)+OFFSET(Assumptions!$B$21,0,$C$1),(OFFSET(Assumptions!$B$15,0,$C$1)-U$29)/(OFFSET(Assumptions!$B$8,0,$C$1)+OFFSET(Assumptions!$B$21,0,$C$1)-V$6),0)</f>
        <v>0.02</v>
      </c>
      <c r="W29" s="17">
        <f ca="1">V$29+IF(W$6&lt;OFFSET(Assumptions!$B$8,0,$C$1)+OFFSET(Assumptions!$B$21,0,$C$1),(OFFSET(Assumptions!$B$15,0,$C$1)-V$29)/(OFFSET(Assumptions!$B$8,0,$C$1)+OFFSET(Assumptions!$B$21,0,$C$1)-W$6),0)</f>
        <v>0.02</v>
      </c>
      <c r="X29" s="17">
        <f ca="1">W$29+IF(X$6&lt;OFFSET(Assumptions!$B$8,0,$C$1)+OFFSET(Assumptions!$B$21,0,$C$1),(OFFSET(Assumptions!$B$15,0,$C$1)-W$29)/(OFFSET(Assumptions!$B$8,0,$C$1)+OFFSET(Assumptions!$B$21,0,$C$1)-X$6),0)</f>
        <v>0.02</v>
      </c>
      <c r="Y29" s="17">
        <f ca="1">X$29+IF(Y$6&lt;OFFSET(Assumptions!$B$8,0,$C$1)+OFFSET(Assumptions!$B$21,0,$C$1),(OFFSET(Assumptions!$B$15,0,$C$1)-X$29)/(OFFSET(Assumptions!$B$8,0,$C$1)+OFFSET(Assumptions!$B$21,0,$C$1)-Y$6),0)</f>
        <v>0.02</v>
      </c>
      <c r="Z29" s="17">
        <f ca="1">Y$29+IF(Z$6&lt;OFFSET(Assumptions!$B$8,0,$C$1)+OFFSET(Assumptions!$B$21,0,$C$1),(OFFSET(Assumptions!$B$15,0,$C$1)-Y$29)/(OFFSET(Assumptions!$B$8,0,$C$1)+OFFSET(Assumptions!$B$21,0,$C$1)-Z$6),0)</f>
        <v>0.02</v>
      </c>
    </row>
    <row r="30" spans="1:26" x14ac:dyDescent="0.25">
      <c r="A30" s="11" t="s">
        <v>785</v>
      </c>
      <c r="B30" s="11"/>
      <c r="C30" s="15"/>
      <c r="D30" s="89">
        <f>'Economic Forecasts'!Q$16</f>
        <v>2.3099999999999999E-2</v>
      </c>
      <c r="E30" s="89">
        <f>'Economic Forecasts'!R$16</f>
        <v>1.1899999999999999E-2</v>
      </c>
      <c r="F30" s="89">
        <f>'Economic Forecasts'!S$16</f>
        <v>1.1599999999999999E-2</v>
      </c>
      <c r="G30" s="89">
        <f>'Economic Forecasts'!T$16</f>
        <v>2.6499999999999999E-2</v>
      </c>
      <c r="H30" s="89">
        <f>'Economic Forecasts'!U$16</f>
        <v>4.1500000000000002E-2</v>
      </c>
      <c r="I30" s="89">
        <f>'Economic Forecasts'!V$16</f>
        <v>4.8499999999999995E-2</v>
      </c>
      <c r="J30" s="89">
        <f>'Economic Forecasts'!W$16</f>
        <v>4.4999999999999998E-2</v>
      </c>
      <c r="K30" s="89">
        <f>'Economic Forecasts'!X$16</f>
        <v>4.4600000000000001E-2</v>
      </c>
      <c r="L30" s="66">
        <f>'Economic Forecasts'!Y$16</f>
        <v>4.7E-2</v>
      </c>
      <c r="M30" s="66">
        <f>'Economic Forecasts'!Z$16</f>
        <v>4.7E-2</v>
      </c>
      <c r="N30" s="66">
        <f>'Economic Forecasts'!AA$16</f>
        <v>4.7E-2</v>
      </c>
      <c r="O30" s="66">
        <f>'Economic Forecasts'!AB$16</f>
        <v>4.7E-2</v>
      </c>
      <c r="P30" s="66">
        <f>'Economic Forecasts'!AC$16</f>
        <v>4.7E-2</v>
      </c>
      <c r="Q30" s="17">
        <f ca="1">P$30+IF(Q$6&lt;OFFSET(Assumptions!$B$8,0,$C$1)+OFFSET(Assumptions!$B$22,0,$C$1),(OFFSET(Assumptions!$B$16,0,$C$1)-P$30)/(OFFSET(Assumptions!$B$8,0,$C$1)+OFFSET(Assumptions!$B$22,0,$C$1)-Q$6),0)</f>
        <v>4.7E-2</v>
      </c>
      <c r="R30" s="17">
        <f ca="1">Q$30+IF(R$6&lt;OFFSET(Assumptions!$B$8,0,$C$1)+OFFSET(Assumptions!$B$22,0,$C$1),(OFFSET(Assumptions!$B$16,0,$C$1)-Q$30)/(OFFSET(Assumptions!$B$8,0,$C$1)+OFFSET(Assumptions!$B$22,0,$C$1)-R$6),0)</f>
        <v>4.7E-2</v>
      </c>
      <c r="S30" s="17">
        <f ca="1">R$30+IF(S$6&lt;OFFSET(Assumptions!$B$8,0,$C$1)+OFFSET(Assumptions!$B$22,0,$C$1),(OFFSET(Assumptions!$B$16,0,$C$1)-R$30)/(OFFSET(Assumptions!$B$8,0,$C$1)+OFFSET(Assumptions!$B$22,0,$C$1)-S$6),0)</f>
        <v>4.7E-2</v>
      </c>
      <c r="T30" s="17">
        <f ca="1">S$30+IF(T$6&lt;OFFSET(Assumptions!$B$8,0,$C$1)+OFFSET(Assumptions!$B$22,0,$C$1),(OFFSET(Assumptions!$B$16,0,$C$1)-S$30)/(OFFSET(Assumptions!$B$8,0,$C$1)+OFFSET(Assumptions!$B$22,0,$C$1)-T$6),0)</f>
        <v>4.7E-2</v>
      </c>
      <c r="U30" s="17">
        <f ca="1">T$30+IF(U$6&lt;OFFSET(Assumptions!$B$8,0,$C$1)+OFFSET(Assumptions!$B$22,0,$C$1),(OFFSET(Assumptions!$B$16,0,$C$1)-T$30)/(OFFSET(Assumptions!$B$8,0,$C$1)+OFFSET(Assumptions!$B$22,0,$C$1)-U$6),0)</f>
        <v>4.7E-2</v>
      </c>
      <c r="V30" s="17">
        <f ca="1">U$30+IF(V$6&lt;OFFSET(Assumptions!$B$8,0,$C$1)+OFFSET(Assumptions!$B$22,0,$C$1),(OFFSET(Assumptions!$B$16,0,$C$1)-U$30)/(OFFSET(Assumptions!$B$8,0,$C$1)+OFFSET(Assumptions!$B$22,0,$C$1)-V$6),0)</f>
        <v>4.7E-2</v>
      </c>
      <c r="W30" s="17">
        <f ca="1">V$30+IF(W$6&lt;OFFSET(Assumptions!$B$8,0,$C$1)+OFFSET(Assumptions!$B$22,0,$C$1),(OFFSET(Assumptions!$B$16,0,$C$1)-V$30)/(OFFSET(Assumptions!$B$8,0,$C$1)+OFFSET(Assumptions!$B$22,0,$C$1)-W$6),0)</f>
        <v>4.7E-2</v>
      </c>
      <c r="X30" s="17">
        <f ca="1">W$30+IF(X$6&lt;OFFSET(Assumptions!$B$8,0,$C$1)+OFFSET(Assumptions!$B$22,0,$C$1),(OFFSET(Assumptions!$B$16,0,$C$1)-W$30)/(OFFSET(Assumptions!$B$8,0,$C$1)+OFFSET(Assumptions!$B$22,0,$C$1)-X$6),0)</f>
        <v>4.7E-2</v>
      </c>
      <c r="Y30" s="17">
        <f ca="1">X$30+IF(Y$6&lt;OFFSET(Assumptions!$B$8,0,$C$1)+OFFSET(Assumptions!$B$22,0,$C$1),(OFFSET(Assumptions!$B$16,0,$C$1)-X$30)/(OFFSET(Assumptions!$B$8,0,$C$1)+OFFSET(Assumptions!$B$22,0,$C$1)-Y$6),0)</f>
        <v>4.7E-2</v>
      </c>
      <c r="Z30" s="17">
        <f ca="1">Y$30+IF(Z$6&lt;OFFSET(Assumptions!$B$8,0,$C$1)+OFFSET(Assumptions!$B$22,0,$C$1),(OFFSET(Assumptions!$B$16,0,$C$1)-Y$30)/(OFFSET(Assumptions!$B$8,0,$C$1)+OFFSET(Assumptions!$B$22,0,$C$1)-Z$6),0)</f>
        <v>4.7E-2</v>
      </c>
    </row>
    <row r="31" spans="1:26" x14ac:dyDescent="0.25">
      <c r="A31" s="11"/>
      <c r="B31" s="11"/>
      <c r="C31" s="15"/>
      <c r="D31" s="89"/>
      <c r="E31" s="89"/>
      <c r="F31" s="89"/>
      <c r="G31" s="89"/>
      <c r="H31" s="89"/>
      <c r="I31" s="89"/>
      <c r="J31" s="89"/>
      <c r="K31" s="89"/>
      <c r="L31" s="66"/>
      <c r="M31" s="66"/>
      <c r="N31" s="17"/>
      <c r="O31" s="17"/>
      <c r="P31" s="17"/>
      <c r="Q31" s="17"/>
      <c r="R31" s="17"/>
      <c r="S31" s="17"/>
      <c r="T31" s="17"/>
      <c r="U31" s="17"/>
      <c r="V31" s="17"/>
      <c r="W31" s="17"/>
      <c r="X31" s="17"/>
      <c r="Y31" s="17"/>
      <c r="Z31" s="17"/>
    </row>
    <row r="32" spans="1:26" ht="16.5" x14ac:dyDescent="0.25">
      <c r="A32" s="63" t="s">
        <v>1151</v>
      </c>
      <c r="B32" s="11"/>
      <c r="C32" s="15"/>
      <c r="D32" s="89"/>
      <c r="E32" s="89"/>
      <c r="F32" s="89"/>
      <c r="G32" s="89"/>
      <c r="H32" s="89"/>
      <c r="I32" s="89"/>
      <c r="J32" s="89"/>
      <c r="K32" s="89"/>
      <c r="L32" s="66"/>
      <c r="M32" s="66"/>
      <c r="N32" s="17"/>
      <c r="O32" s="17"/>
      <c r="P32" s="17"/>
      <c r="Q32" s="17"/>
      <c r="R32" s="17"/>
      <c r="S32" s="17"/>
      <c r="T32" s="17"/>
      <c r="U32" s="17"/>
      <c r="V32" s="17"/>
      <c r="W32" s="17"/>
      <c r="X32" s="17"/>
      <c r="Y32" s="17"/>
      <c r="Z32" s="17"/>
    </row>
    <row r="33" spans="1:26" x14ac:dyDescent="0.25">
      <c r="A33" s="57" t="s">
        <v>1152</v>
      </c>
      <c r="B33" s="11"/>
      <c r="C33" s="15"/>
      <c r="D33" s="89"/>
      <c r="E33" s="89"/>
      <c r="F33" s="89"/>
      <c r="G33" s="89"/>
      <c r="H33" s="89"/>
      <c r="I33" s="89"/>
      <c r="J33" s="89"/>
      <c r="K33" s="89"/>
      <c r="L33" s="66"/>
      <c r="M33" s="66"/>
      <c r="N33" s="17"/>
      <c r="O33" s="17"/>
      <c r="P33" s="17"/>
      <c r="Q33" s="17"/>
      <c r="R33" s="17"/>
      <c r="S33" s="17"/>
      <c r="T33" s="17"/>
      <c r="U33" s="17"/>
      <c r="V33" s="17"/>
      <c r="W33" s="17"/>
      <c r="X33" s="17"/>
      <c r="Y33" s="17"/>
      <c r="Z33" s="17"/>
    </row>
    <row r="34" spans="1:26" x14ac:dyDescent="0.25">
      <c r="A34" s="11" t="s">
        <v>1153</v>
      </c>
      <c r="B34" s="11"/>
      <c r="C34" s="15"/>
      <c r="D34" s="51">
        <f t="shared" ref="D34:Z34" ca="1" si="12">SUM(D$140,D$150,D$155,D$165,D$173,D$179)</f>
        <v>119.142</v>
      </c>
      <c r="E34" s="51">
        <f t="shared" ca="1" si="12"/>
        <v>116.003</v>
      </c>
      <c r="F34" s="51">
        <f t="shared" ca="1" si="12"/>
        <v>129.33500000000001</v>
      </c>
      <c r="G34" s="51">
        <f t="shared" ca="1" si="12"/>
        <v>141.62700000000001</v>
      </c>
      <c r="H34" s="51">
        <f t="shared" ca="1" si="12"/>
        <v>153.011</v>
      </c>
      <c r="I34" s="51">
        <f t="shared" ca="1" si="12"/>
        <v>167.34699999999998</v>
      </c>
      <c r="J34" s="51">
        <f t="shared" ca="1" si="12"/>
        <v>169.81099999999998</v>
      </c>
      <c r="K34" s="51">
        <f t="shared" ca="1" si="12"/>
        <v>172.334</v>
      </c>
      <c r="L34" s="47">
        <f t="shared" ca="1" si="12"/>
        <v>185.85700000000003</v>
      </c>
      <c r="M34" s="47">
        <f t="shared" ca="1" si="12"/>
        <v>195.21899999999999</v>
      </c>
      <c r="N34" s="47">
        <f t="shared" ca="1" si="12"/>
        <v>205.63200000000003</v>
      </c>
      <c r="O34" s="47">
        <f t="shared" ca="1" si="12"/>
        <v>216.68100000000001</v>
      </c>
      <c r="P34" s="47">
        <f t="shared" ca="1" si="12"/>
        <v>226.12200000000001</v>
      </c>
      <c r="Q34" s="21">
        <f t="shared" ca="1" si="12"/>
        <v>235.4463991577525</v>
      </c>
      <c r="R34" s="21">
        <f t="shared" ca="1" si="12"/>
        <v>244.74843760533881</v>
      </c>
      <c r="S34" s="21">
        <f t="shared" ca="1" si="12"/>
        <v>254.47520584078205</v>
      </c>
      <c r="T34" s="21">
        <f t="shared" ca="1" si="12"/>
        <v>264.80119566754439</v>
      </c>
      <c r="U34" s="21">
        <f t="shared" ca="1" si="12"/>
        <v>275.56837207368267</v>
      </c>
      <c r="V34" s="21">
        <f t="shared" ca="1" si="12"/>
        <v>286.45725588281186</v>
      </c>
      <c r="W34" s="21">
        <f t="shared" ca="1" si="12"/>
        <v>297.64206322196281</v>
      </c>
      <c r="X34" s="21">
        <f t="shared" ca="1" si="12"/>
        <v>309.12937859444685</v>
      </c>
      <c r="Y34" s="21">
        <f t="shared" ca="1" si="12"/>
        <v>321.00325354924536</v>
      </c>
      <c r="Z34" s="21">
        <f t="shared" ca="1" si="12"/>
        <v>333.25228364674138</v>
      </c>
    </row>
    <row r="35" spans="1:26" x14ac:dyDescent="0.25">
      <c r="A35" s="11" t="s">
        <v>1154</v>
      </c>
      <c r="B35" s="11"/>
      <c r="C35" s="15"/>
      <c r="D35" s="51">
        <f t="shared" ref="D35:Z35" si="13">SUM(D$194,D$212,D$218,D$227,D$234,D$241,D$246,D$249)</f>
        <v>111.376</v>
      </c>
      <c r="E35" s="51">
        <f t="shared" si="13"/>
        <v>138.91599999999997</v>
      </c>
      <c r="F35" s="51">
        <f t="shared" si="13"/>
        <v>133.72200000000004</v>
      </c>
      <c r="G35" s="51">
        <f t="shared" si="13"/>
        <v>150.95599999999999</v>
      </c>
      <c r="H35" s="51">
        <f t="shared" si="13"/>
        <v>161.822</v>
      </c>
      <c r="I35" s="51">
        <f t="shared" si="13"/>
        <v>180.06100000000001</v>
      </c>
      <c r="J35" s="51">
        <f t="shared" si="13"/>
        <v>183.50200000000001</v>
      </c>
      <c r="K35" s="51">
        <f t="shared" si="13"/>
        <v>182.691</v>
      </c>
      <c r="L35" s="47">
        <f t="shared" ca="1" si="13"/>
        <v>194.47299999999998</v>
      </c>
      <c r="M35" s="47">
        <f t="shared" ca="1" si="13"/>
        <v>197.73099999999997</v>
      </c>
      <c r="N35" s="47">
        <f t="shared" ca="1" si="13"/>
        <v>203.18200000000002</v>
      </c>
      <c r="O35" s="47">
        <f t="shared" ca="1" si="13"/>
        <v>209.95</v>
      </c>
      <c r="P35" s="47">
        <f t="shared" ca="1" si="13"/>
        <v>216.69899999999998</v>
      </c>
      <c r="Q35" s="21">
        <f t="shared" ca="1" si="13"/>
        <v>224.73332256214155</v>
      </c>
      <c r="R35" s="21">
        <f t="shared" ca="1" si="13"/>
        <v>232.55877844288094</v>
      </c>
      <c r="S35" s="21">
        <f t="shared" ca="1" si="13"/>
        <v>240.59581834214907</v>
      </c>
      <c r="T35" s="21">
        <f t="shared" ca="1" si="13"/>
        <v>249.01527491444537</v>
      </c>
      <c r="U35" s="21">
        <f t="shared" ca="1" si="13"/>
        <v>257.87280541455374</v>
      </c>
      <c r="V35" s="21">
        <f t="shared" ca="1" si="13"/>
        <v>267.01908603752923</v>
      </c>
      <c r="W35" s="21">
        <f t="shared" ca="1" si="13"/>
        <v>276.4205334896136</v>
      </c>
      <c r="X35" s="21">
        <f t="shared" ca="1" si="13"/>
        <v>286.06041534916415</v>
      </c>
      <c r="Y35" s="21">
        <f t="shared" ca="1" si="13"/>
        <v>295.90268008356765</v>
      </c>
      <c r="Z35" s="21">
        <f t="shared" ca="1" si="13"/>
        <v>306.04558486681969</v>
      </c>
    </row>
    <row r="36" spans="1:26" x14ac:dyDescent="0.25">
      <c r="A36" s="12" t="s">
        <v>1155</v>
      </c>
      <c r="B36" s="11"/>
      <c r="C36" s="15"/>
      <c r="D36" s="50">
        <f t="shared" ref="D36:Z36" si="14">D$337</f>
        <v>-7.1309999999999993</v>
      </c>
      <c r="E36" s="50">
        <f t="shared" si="14"/>
        <v>-8.7219999999999995</v>
      </c>
      <c r="F36" s="50">
        <f t="shared" si="14"/>
        <v>21.023</v>
      </c>
      <c r="G36" s="50">
        <f t="shared" si="14"/>
        <v>-6.7219999999999995</v>
      </c>
      <c r="H36" s="50">
        <f t="shared" si="14"/>
        <v>14.658000000000001</v>
      </c>
      <c r="I36" s="50">
        <f t="shared" si="14"/>
        <v>4.6669999999999998</v>
      </c>
      <c r="J36" s="50">
        <f t="shared" si="14"/>
        <v>8.870000000000001</v>
      </c>
      <c r="K36" s="50">
        <f t="shared" si="14"/>
        <v>11.251999999999999</v>
      </c>
      <c r="L36" s="48">
        <f t="shared" si="14"/>
        <v>5.5949999999999998</v>
      </c>
      <c r="M36" s="48">
        <f t="shared" si="14"/>
        <v>6.1859999999999999</v>
      </c>
      <c r="N36" s="48">
        <f t="shared" si="14"/>
        <v>6.67</v>
      </c>
      <c r="O36" s="48">
        <f t="shared" si="14"/>
        <v>7.1619999999999999</v>
      </c>
      <c r="P36" s="48">
        <f t="shared" si="14"/>
        <v>7.8049999999999997</v>
      </c>
      <c r="Q36" s="20">
        <f t="shared" ca="1" si="14"/>
        <v>8.1893578666957438</v>
      </c>
      <c r="R36" s="20">
        <f t="shared" ca="1" si="14"/>
        <v>8.6778170884748373</v>
      </c>
      <c r="S36" s="20">
        <f t="shared" ca="1" si="14"/>
        <v>9.1935424145827049</v>
      </c>
      <c r="T36" s="20">
        <f t="shared" ca="1" si="14"/>
        <v>9.7397335211931519</v>
      </c>
      <c r="U36" s="20">
        <f t="shared" ca="1" si="14"/>
        <v>10.315927609072595</v>
      </c>
      <c r="V36" s="20">
        <f t="shared" ca="1" si="14"/>
        <v>10.915288094060537</v>
      </c>
      <c r="W36" s="20">
        <f t="shared" ca="1" si="14"/>
        <v>11.541113549028129</v>
      </c>
      <c r="X36" s="20">
        <f t="shared" ca="1" si="14"/>
        <v>12.198297499928369</v>
      </c>
      <c r="Y36" s="20">
        <f t="shared" ca="1" si="14"/>
        <v>12.89401253208573</v>
      </c>
      <c r="Z36" s="20">
        <f t="shared" ca="1" si="14"/>
        <v>13.634820401576503</v>
      </c>
    </row>
    <row r="37" spans="1:26" x14ac:dyDescent="0.25">
      <c r="A37" s="12" t="s">
        <v>881</v>
      </c>
      <c r="B37" s="14"/>
      <c r="C37" s="15"/>
      <c r="D37" s="50">
        <f t="shared" ref="D37:Z37" si="15">D$341</f>
        <v>0.20599999999999999</v>
      </c>
      <c r="E37" s="50">
        <f t="shared" si="15"/>
        <v>1.1930000000000001</v>
      </c>
      <c r="F37" s="50">
        <f t="shared" si="15"/>
        <v>-0.36</v>
      </c>
      <c r="G37" s="50">
        <f t="shared" si="15"/>
        <v>-0.126</v>
      </c>
      <c r="H37" s="50">
        <f t="shared" si="15"/>
        <v>2.9000000000000001E-2</v>
      </c>
      <c r="I37" s="50">
        <f t="shared" si="15"/>
        <v>0.12</v>
      </c>
      <c r="J37" s="50">
        <f t="shared" si="15"/>
        <v>0.214</v>
      </c>
      <c r="K37" s="50">
        <f t="shared" si="15"/>
        <v>0.27400000000000002</v>
      </c>
      <c r="L37" s="48">
        <f t="shared" si="15"/>
        <v>0.26500000000000001</v>
      </c>
      <c r="M37" s="48">
        <f t="shared" si="15"/>
        <v>0.252</v>
      </c>
      <c r="N37" s="48">
        <f t="shared" si="15"/>
        <v>0.22</v>
      </c>
      <c r="O37" s="48">
        <f t="shared" si="15"/>
        <v>0.127</v>
      </c>
      <c r="P37" s="48">
        <f t="shared" si="15"/>
        <v>7.0000000000000007E-2</v>
      </c>
      <c r="Q37" s="20">
        <f t="shared" ca="1" si="15"/>
        <v>7.3047162251375891E-2</v>
      </c>
      <c r="R37" s="20">
        <f t="shared" ca="1" si="15"/>
        <v>7.6156424413280466E-2</v>
      </c>
      <c r="S37" s="20">
        <f t="shared" ca="1" si="15"/>
        <v>7.9348059592001752E-2</v>
      </c>
      <c r="T37" s="20">
        <f t="shared" ca="1" si="15"/>
        <v>8.2614602511242197E-2</v>
      </c>
      <c r="U37" s="20">
        <f t="shared" ca="1" si="15"/>
        <v>8.5995052192758242E-2</v>
      </c>
      <c r="V37" s="20">
        <f t="shared" ca="1" si="15"/>
        <v>8.9490610853099395E-2</v>
      </c>
      <c r="W37" s="20">
        <f t="shared" ca="1" si="15"/>
        <v>9.308364345661603E-2</v>
      </c>
      <c r="X37" s="20">
        <f t="shared" ca="1" si="15"/>
        <v>9.6780140506793413E-2</v>
      </c>
      <c r="Y37" s="20">
        <f t="shared" ca="1" si="15"/>
        <v>0.10059943236443897</v>
      </c>
      <c r="Z37" s="20">
        <f t="shared" ca="1" si="15"/>
        <v>0.10454250408185706</v>
      </c>
    </row>
    <row r="38" spans="1:26" x14ac:dyDescent="0.25">
      <c r="A38" s="12" t="s">
        <v>1156</v>
      </c>
      <c r="B38" s="14" t="s">
        <v>1157</v>
      </c>
      <c r="C38" s="15"/>
      <c r="D38" s="50">
        <f>'Fiscal Forecasts'!D$28</f>
        <v>0.45200000000000001</v>
      </c>
      <c r="E38" s="50">
        <f>'Fiscal Forecasts'!E$28</f>
        <v>-0.40200000000000002</v>
      </c>
      <c r="F38" s="50">
        <f>'Fiscal Forecasts'!F$28</f>
        <v>0.11700000000000001</v>
      </c>
      <c r="G38" s="50">
        <f>'Fiscal Forecasts'!G$28</f>
        <v>0.755</v>
      </c>
      <c r="H38" s="50">
        <f>'Fiscal Forecasts'!H$28</f>
        <v>0.55500000000000005</v>
      </c>
      <c r="I38" s="50">
        <f>'Fiscal Forecasts'!I$28</f>
        <v>0.438</v>
      </c>
      <c r="J38" s="50">
        <f>'Fiscal Forecasts'!J$28</f>
        <v>-0.20699999999999999</v>
      </c>
      <c r="K38" s="50">
        <f>'Fiscal Forecasts'!K$28</f>
        <v>3.3000000000000002E-2</v>
      </c>
      <c r="L38" s="48">
        <f>'Fiscal Forecasts'!L$28</f>
        <v>0.20699999999999999</v>
      </c>
      <c r="M38" s="48">
        <f>'Fiscal Forecasts'!M$28</f>
        <v>0.44900000000000001</v>
      </c>
      <c r="N38" s="48">
        <f>'Fiscal Forecasts'!N$28</f>
        <v>0.438</v>
      </c>
      <c r="O38" s="48">
        <f>'Fiscal Forecasts'!O$28</f>
        <v>0.47699999999999998</v>
      </c>
      <c r="P38" s="48">
        <f>'Fiscal Forecasts'!P$28</f>
        <v>0.60499999999999998</v>
      </c>
      <c r="Q38" s="20">
        <f t="shared" ref="Q38:Z38" si="16">P$38*P$59/O$59</f>
        <v>0.6051259367194004</v>
      </c>
      <c r="R38" s="20">
        <f t="shared" ca="1" si="16"/>
        <v>0.60128038076518864</v>
      </c>
      <c r="S38" s="20">
        <f t="shared" ca="1" si="16"/>
        <v>0.59822212694402677</v>
      </c>
      <c r="T38" s="20">
        <f t="shared" ca="1" si="16"/>
        <v>0.5962599319973837</v>
      </c>
      <c r="U38" s="20">
        <f t="shared" ca="1" si="16"/>
        <v>0.59605801996716756</v>
      </c>
      <c r="V38" s="20">
        <f t="shared" ca="1" si="16"/>
        <v>0.59757125817594092</v>
      </c>
      <c r="W38" s="20">
        <f t="shared" ca="1" si="16"/>
        <v>0.59918716695355267</v>
      </c>
      <c r="X38" s="20">
        <f t="shared" ca="1" si="16"/>
        <v>0.60072007493924928</v>
      </c>
      <c r="Y38" s="20">
        <f t="shared" ca="1" si="16"/>
        <v>0.60206254716912233</v>
      </c>
      <c r="Z38" s="20">
        <f t="shared" ca="1" si="16"/>
        <v>0.60345180187650982</v>
      </c>
    </row>
    <row r="39" spans="1:26" x14ac:dyDescent="0.25">
      <c r="A39" s="11" t="s">
        <v>755</v>
      </c>
      <c r="B39" s="11"/>
      <c r="C39" s="15"/>
      <c r="D39" s="94">
        <f t="shared" ref="D39:Z39" ca="1" si="17">SUM(D$34,D$36,D$37)-SUM(D$35,D$38)</f>
        <v>0.38899999999999579</v>
      </c>
      <c r="E39" s="94">
        <f t="shared" ca="1" si="17"/>
        <v>-30.039999999999978</v>
      </c>
      <c r="F39" s="94">
        <f t="shared" ca="1" si="17"/>
        <v>16.158999999999963</v>
      </c>
      <c r="G39" s="94">
        <f t="shared" ca="1" si="17"/>
        <v>-16.931999999999988</v>
      </c>
      <c r="H39" s="94">
        <f t="shared" ca="1" si="17"/>
        <v>5.3209999999999695</v>
      </c>
      <c r="I39" s="94">
        <f t="shared" ca="1" si="17"/>
        <v>-8.3650000000000091</v>
      </c>
      <c r="J39" s="94">
        <f t="shared" ca="1" si="17"/>
        <v>-4.4000000000000341</v>
      </c>
      <c r="K39" s="94">
        <f t="shared" ca="1" si="17"/>
        <v>1.1360000000000241</v>
      </c>
      <c r="L39" s="95">
        <f t="shared" ca="1" si="17"/>
        <v>-2.9629999999999654</v>
      </c>
      <c r="M39" s="95">
        <f t="shared" ca="1" si="17"/>
        <v>3.4770000000000323</v>
      </c>
      <c r="N39" s="95">
        <f t="shared" ca="1" si="17"/>
        <v>8.9020000000000152</v>
      </c>
      <c r="O39" s="95">
        <f t="shared" ca="1" si="17"/>
        <v>13.543000000000035</v>
      </c>
      <c r="P39" s="95">
        <f t="shared" ca="1" si="17"/>
        <v>16.69300000000004</v>
      </c>
      <c r="Q39" s="96">
        <f t="shared" ca="1" si="17"/>
        <v>18.370355687838696</v>
      </c>
      <c r="R39" s="96">
        <f t="shared" ca="1" si="17"/>
        <v>20.342352294580792</v>
      </c>
      <c r="S39" s="96">
        <f t="shared" ca="1" si="17"/>
        <v>22.554055845863644</v>
      </c>
      <c r="T39" s="96">
        <f t="shared" ca="1" si="17"/>
        <v>25.012008944806013</v>
      </c>
      <c r="U39" s="96">
        <f t="shared" ca="1" si="17"/>
        <v>27.5014313004271</v>
      </c>
      <c r="V39" s="96">
        <f t="shared" ca="1" si="17"/>
        <v>29.845377292020316</v>
      </c>
      <c r="W39" s="96">
        <f t="shared" ca="1" si="17"/>
        <v>32.256539757880432</v>
      </c>
      <c r="X39" s="96">
        <f t="shared" ca="1" si="17"/>
        <v>34.763320810778566</v>
      </c>
      <c r="Y39" s="96">
        <f t="shared" ca="1" si="17"/>
        <v>37.493122882958801</v>
      </c>
      <c r="Z39" s="96">
        <f t="shared" ca="1" si="17"/>
        <v>40.342609883703517</v>
      </c>
    </row>
    <row r="40" spans="1:26" x14ac:dyDescent="0.25">
      <c r="A40" s="12" t="s">
        <v>886</v>
      </c>
      <c r="B40" s="14" t="str">
        <f>$B$38</f>
        <v>From Fiscal Forecasts</v>
      </c>
      <c r="C40" s="15"/>
      <c r="D40" s="50">
        <f>'Fiscal Forecasts'!D$32</f>
        <v>0.115</v>
      </c>
      <c r="E40" s="50">
        <f>'Fiscal Forecasts'!E$32</f>
        <v>-0.54600000000000004</v>
      </c>
      <c r="F40" s="50">
        <f>'Fiscal Forecasts'!F$32</f>
        <v>-5.6000000000000001E-2</v>
      </c>
      <c r="G40" s="50">
        <f>'Fiscal Forecasts'!G$32</f>
        <v>0.39300000000000002</v>
      </c>
      <c r="H40" s="50">
        <f>'Fiscal Forecasts'!H$32</f>
        <v>-0.08</v>
      </c>
      <c r="I40" s="50">
        <f>'Fiscal Forecasts'!I$32</f>
        <v>0.29799999999999999</v>
      </c>
      <c r="J40" s="50">
        <f>'Fiscal Forecasts'!J$32</f>
        <v>-0.48899999999999999</v>
      </c>
      <c r="K40" s="50">
        <f>'Fiscal Forecasts'!K$32</f>
        <v>-0.34899999999999998</v>
      </c>
      <c r="L40" s="48">
        <f>'Fiscal Forecasts'!L$32</f>
        <v>9.2999999999999999E-2</v>
      </c>
      <c r="M40" s="48">
        <f>'Fiscal Forecasts'!M$32</f>
        <v>2.3E-2</v>
      </c>
      <c r="N40" s="48">
        <f>'Fiscal Forecasts'!N$32</f>
        <v>0.05</v>
      </c>
      <c r="O40" s="48">
        <f>'Fiscal Forecasts'!O$32</f>
        <v>5.6000000000000001E-2</v>
      </c>
      <c r="P40" s="48">
        <f>'Fiscal Forecasts'!P$32</f>
        <v>6.0999999999999999E-2</v>
      </c>
      <c r="Q40" s="20">
        <f t="shared" ref="Q40:Z40" si="18">P$40*Q$38/P$38</f>
        <v>6.1012697751873436E-2</v>
      </c>
      <c r="R40" s="20">
        <f t="shared" ca="1" si="18"/>
        <v>6.0624964011035558E-2</v>
      </c>
      <c r="S40" s="20">
        <f t="shared" ca="1" si="18"/>
        <v>6.031661114642254E-2</v>
      </c>
      <c r="T40" s="20">
        <f t="shared" ca="1" si="18"/>
        <v>6.0118770003042006E-2</v>
      </c>
      <c r="U40" s="20">
        <f t="shared" ca="1" si="18"/>
        <v>6.0098411930573928E-2</v>
      </c>
      <c r="V40" s="20">
        <f t="shared" ca="1" si="18"/>
        <v>6.0250986361541164E-2</v>
      </c>
      <c r="W40" s="20">
        <f t="shared" ca="1" si="18"/>
        <v>6.0413912701102017E-2</v>
      </c>
      <c r="X40" s="20">
        <f t="shared" ca="1" si="18"/>
        <v>6.0568470365775555E-2</v>
      </c>
      <c r="Y40" s="20">
        <f t="shared" ca="1" si="18"/>
        <v>6.0703827069944566E-2</v>
      </c>
      <c r="Z40" s="20">
        <f t="shared" ca="1" si="18"/>
        <v>6.0843900685069584E-2</v>
      </c>
    </row>
    <row r="41" spans="1:26" x14ac:dyDescent="0.25">
      <c r="A41" s="11" t="s">
        <v>1158</v>
      </c>
      <c r="B41" s="11"/>
      <c r="C41" s="15"/>
      <c r="D41" s="94">
        <f t="shared" ref="D41:Z41" ca="1" si="19">D$34-D$35-(D$38-D$40)</f>
        <v>7.4289999999999914</v>
      </c>
      <c r="E41" s="94">
        <f t="shared" ca="1" si="19"/>
        <v>-23.056999999999967</v>
      </c>
      <c r="F41" s="94">
        <f t="shared" ca="1" si="19"/>
        <v>-4.5600000000000289</v>
      </c>
      <c r="G41" s="94">
        <f t="shared" ca="1" si="19"/>
        <v>-9.6909999999999794</v>
      </c>
      <c r="H41" s="94">
        <f t="shared" ca="1" si="19"/>
        <v>-9.4460000000000068</v>
      </c>
      <c r="I41" s="94">
        <f t="shared" ca="1" si="19"/>
        <v>-12.854000000000028</v>
      </c>
      <c r="J41" s="94">
        <f t="shared" ca="1" si="19"/>
        <v>-13.973000000000031</v>
      </c>
      <c r="K41" s="94">
        <f t="shared" ca="1" si="19"/>
        <v>-10.738999999999999</v>
      </c>
      <c r="L41" s="95">
        <f t="shared" ca="1" si="19"/>
        <v>-8.7299999999999578</v>
      </c>
      <c r="M41" s="95">
        <f t="shared" ca="1" si="19"/>
        <v>-2.9379999999999722</v>
      </c>
      <c r="N41" s="95">
        <f t="shared" ca="1" si="19"/>
        <v>2.0620000000000172</v>
      </c>
      <c r="O41" s="95">
        <f t="shared" ca="1" si="19"/>
        <v>6.3100000000000227</v>
      </c>
      <c r="P41" s="95">
        <f t="shared" ca="1" si="19"/>
        <v>8.8790000000000298</v>
      </c>
      <c r="Q41" s="96">
        <f t="shared" ca="1" si="19"/>
        <v>10.168963356643417</v>
      </c>
      <c r="R41" s="96">
        <f t="shared" ca="1" si="19"/>
        <v>11.64900374570372</v>
      </c>
      <c r="S41" s="96">
        <f t="shared" ca="1" si="19"/>
        <v>13.341481982835376</v>
      </c>
      <c r="T41" s="96">
        <f t="shared" ca="1" si="19"/>
        <v>15.249779591104678</v>
      </c>
      <c r="U41" s="96">
        <f t="shared" ca="1" si="19"/>
        <v>17.159607051092337</v>
      </c>
      <c r="V41" s="96">
        <f t="shared" ca="1" si="19"/>
        <v>18.900849573468228</v>
      </c>
      <c r="W41" s="96">
        <f t="shared" ca="1" si="19"/>
        <v>20.68275647809676</v>
      </c>
      <c r="X41" s="96">
        <f t="shared" ca="1" si="19"/>
        <v>22.528811640709229</v>
      </c>
      <c r="Y41" s="96">
        <f t="shared" ca="1" si="19"/>
        <v>24.559214745578533</v>
      </c>
      <c r="Z41" s="96">
        <f t="shared" ca="1" si="19"/>
        <v>26.664090878730239</v>
      </c>
    </row>
    <row r="42" spans="1:26" x14ac:dyDescent="0.25">
      <c r="A42" s="60" t="s">
        <v>1159</v>
      </c>
      <c r="B42" s="14" t="s">
        <v>1160</v>
      </c>
      <c r="C42" s="15"/>
      <c r="D42" s="97" t="str">
        <f ca="1">IF(ROUND('Fiscal Forecasts'!D$33-D$41,3)=0,"OK","ERROR")</f>
        <v>OK</v>
      </c>
      <c r="E42" s="97" t="str">
        <f ca="1">IF(ROUND('Fiscal Forecasts'!E$33-E$41,3)=0,"OK","ERROR")</f>
        <v>OK</v>
      </c>
      <c r="F42" s="97" t="str">
        <f ca="1">IF(ROUND('Fiscal Forecasts'!F$33-F$41,3)=0,"OK","ERROR")</f>
        <v>OK</v>
      </c>
      <c r="G42" s="97" t="str">
        <f ca="1">IF(ROUND('Fiscal Forecasts'!G$33-G$41,3)=0,"OK","ERROR")</f>
        <v>OK</v>
      </c>
      <c r="H42" s="97" t="str">
        <f ca="1">IF(ROUND('Fiscal Forecasts'!H$33-H$41,3)=0,"OK","ERROR")</f>
        <v>OK</v>
      </c>
      <c r="I42" s="97" t="str">
        <f ca="1">IF(ROUND('Fiscal Forecasts'!I$33-I$41,3)=0,"OK","ERROR")</f>
        <v>OK</v>
      </c>
      <c r="J42" s="97" t="str">
        <f ca="1">IF(ROUND('Fiscal Forecasts'!J$33-J$41,3)=0,"OK","ERROR")</f>
        <v>OK</v>
      </c>
      <c r="K42" s="97" t="str">
        <f ca="1">IF(ROUND('Fiscal Forecasts'!K$33-K$41,3)=0,"OK","ERROR")</f>
        <v>OK</v>
      </c>
      <c r="L42" s="97" t="str">
        <f ca="1">IF(ROUND('Fiscal Forecasts'!L$33-L$41,3)=0,"OK","ERROR")</f>
        <v>OK</v>
      </c>
      <c r="M42" s="97" t="str">
        <f ca="1">IF(ROUND('Fiscal Forecasts'!M$33-M$41,3)=0,"OK","ERROR")</f>
        <v>OK</v>
      </c>
      <c r="N42" s="97" t="str">
        <f ca="1">IF(ROUND('Fiscal Forecasts'!N$33-N$41,3)=0,"OK","ERROR")</f>
        <v>OK</v>
      </c>
      <c r="O42" s="97" t="str">
        <f ca="1">IF(ROUND('Fiscal Forecasts'!O$33-O$41,3)=0,"OK","ERROR")</f>
        <v>OK</v>
      </c>
      <c r="P42" s="97" t="str">
        <f ca="1">IF(ROUND('Fiscal Forecasts'!P$33-P$41,3)=0,"OK","ERROR")</f>
        <v>OK</v>
      </c>
      <c r="Q42" s="17"/>
      <c r="R42" s="17"/>
      <c r="S42" s="17"/>
      <c r="T42" s="17"/>
      <c r="U42" s="17"/>
      <c r="V42" s="17"/>
      <c r="W42" s="17"/>
      <c r="X42" s="17"/>
      <c r="Y42" s="17"/>
      <c r="Z42" s="17"/>
    </row>
    <row r="43" spans="1:26" x14ac:dyDescent="0.25">
      <c r="A43" s="12" t="s">
        <v>889</v>
      </c>
      <c r="B43" s="14" t="str">
        <f>$B$38</f>
        <v>From Fiscal Forecasts</v>
      </c>
      <c r="C43" s="15"/>
      <c r="D43" s="50">
        <f>'Fiscal Forecasts'!D$35</f>
        <v>5.827</v>
      </c>
      <c r="E43" s="50">
        <f>'Fiscal Forecasts'!E$35</f>
        <v>5.73</v>
      </c>
      <c r="F43" s="50">
        <f>'Fiscal Forecasts'!F$35</f>
        <v>6.1950000000000003</v>
      </c>
      <c r="G43" s="50">
        <f>'Fiscal Forecasts'!G$35</f>
        <v>6.625</v>
      </c>
      <c r="H43" s="50">
        <f>'Fiscal Forecasts'!H$35</f>
        <v>7.39</v>
      </c>
      <c r="I43" s="50">
        <f>'Fiscal Forecasts'!I$35</f>
        <v>7.9290000000000003</v>
      </c>
      <c r="J43" s="50">
        <f>'Fiscal Forecasts'!J$35</f>
        <v>8.548</v>
      </c>
      <c r="K43" s="50">
        <f>'Fiscal Forecasts'!K$35</f>
        <v>8.9429999999999996</v>
      </c>
      <c r="L43" s="48">
        <f>'Fiscal Forecasts'!L$35</f>
        <v>9.5489999999999995</v>
      </c>
      <c r="M43" s="48">
        <f>'Fiscal Forecasts'!M$35</f>
        <v>10.170999999999999</v>
      </c>
      <c r="N43" s="48">
        <f>'Fiscal Forecasts'!N$35</f>
        <v>10.502000000000001</v>
      </c>
      <c r="O43" s="48">
        <f>'Fiscal Forecasts'!O$35</f>
        <v>11.176</v>
      </c>
      <c r="P43" s="48">
        <f>'Fiscal Forecasts'!P$35</f>
        <v>11.611000000000001</v>
      </c>
      <c r="Q43" s="20">
        <f>Q$148+(P$43-P$148)*(1+Exogenous!AB$31)</f>
        <v>12.429790158081012</v>
      </c>
      <c r="R43" s="20">
        <f>R$148+(Q$43-Q$148)*(1+Exogenous!AC$31)</f>
        <v>13.300830576338702</v>
      </c>
      <c r="S43" s="20">
        <f>S$148+(R$43-R$148)*(1+Exogenous!AD$31)</f>
        <v>14.211158217037488</v>
      </c>
      <c r="T43" s="20">
        <f>T$148+(S$43-S$148)*(1+Exogenous!AE$31)</f>
        <v>15.195726727748877</v>
      </c>
      <c r="U43" s="20">
        <f>U$148+(T$43-T$148)*(1+Exogenous!AF$31)</f>
        <v>16.183131105132009</v>
      </c>
      <c r="V43" s="20">
        <f>V$148+(U$43-U$148)*(1+Exogenous!AG$31)</f>
        <v>16.974959533771454</v>
      </c>
      <c r="W43" s="20">
        <f>W$148+(V$43-V$148)*(1+Exogenous!AH$31)</f>
        <v>17.803401698346804</v>
      </c>
      <c r="X43" s="20">
        <f>X$148+(W$43-W$148)*(1+Exogenous!AI$31)</f>
        <v>18.645891159817143</v>
      </c>
      <c r="Y43" s="20">
        <f>Y$148+(X$43-X$148)*(1+Exogenous!AJ$31)</f>
        <v>19.530079533294185</v>
      </c>
      <c r="Z43" s="20">
        <f>Z$148+(Y$43-Y$148)*(1+Exogenous!AK$31)</f>
        <v>20.444610791103781</v>
      </c>
    </row>
    <row r="44" spans="1:26" x14ac:dyDescent="0.25">
      <c r="A44" s="12" t="s">
        <v>890</v>
      </c>
      <c r="B44" s="14" t="str">
        <f>$B$38</f>
        <v>From Fiscal Forecasts</v>
      </c>
      <c r="C44" s="15"/>
      <c r="D44" s="50">
        <f>'Fiscal Forecasts'!D$36</f>
        <v>6.9020000000000001</v>
      </c>
      <c r="E44" s="50">
        <f>'Fiscal Forecasts'!E$36</f>
        <v>7.8849999999999998</v>
      </c>
      <c r="F44" s="50">
        <f>'Fiscal Forecasts'!F$36</f>
        <v>8.1959999999999997</v>
      </c>
      <c r="G44" s="50">
        <f>'Fiscal Forecasts'!G$36</f>
        <v>7.6520000000000001</v>
      </c>
      <c r="H44" s="50">
        <f>'Fiscal Forecasts'!H$36</f>
        <v>9.6370000000000005</v>
      </c>
      <c r="I44" s="50">
        <f>'Fiscal Forecasts'!I$36</f>
        <v>12.01</v>
      </c>
      <c r="J44" s="50">
        <f>'Fiscal Forecasts'!J$36</f>
        <v>13.215</v>
      </c>
      <c r="K44" s="50">
        <f>'Fiscal Forecasts'!K$36</f>
        <v>11.041</v>
      </c>
      <c r="L44" s="48">
        <f>'Fiscal Forecasts'!L$36</f>
        <v>11.529</v>
      </c>
      <c r="M44" s="48">
        <f>'Fiscal Forecasts'!M$36</f>
        <v>12.275</v>
      </c>
      <c r="N44" s="48">
        <f>'Fiscal Forecasts'!N$36</f>
        <v>12.456</v>
      </c>
      <c r="O44" s="48">
        <f>'Fiscal Forecasts'!O$36</f>
        <v>12.923</v>
      </c>
      <c r="P44" s="48">
        <f>'Fiscal Forecasts'!P$36</f>
        <v>14.425000000000001</v>
      </c>
      <c r="Q44" s="20">
        <f t="shared" ref="Q44:Z44" ca="1" si="20">Q$242+(P$44-P$242)*(1+Q$19)*(1+Q$29)</f>
        <v>15.132542110116781</v>
      </c>
      <c r="R44" s="20">
        <f t="shared" ca="1" si="20"/>
        <v>15.886093201540325</v>
      </c>
      <c r="S44" s="20">
        <f t="shared" ca="1" si="20"/>
        <v>16.639967033436427</v>
      </c>
      <c r="T44" s="20">
        <f t="shared" ca="1" si="20"/>
        <v>17.371953061124131</v>
      </c>
      <c r="U44" s="20">
        <f t="shared" ca="1" si="20"/>
        <v>18.14517403221479</v>
      </c>
      <c r="V44" s="20">
        <f t="shared" ca="1" si="20"/>
        <v>18.928661563922116</v>
      </c>
      <c r="W44" s="20">
        <f t="shared" ca="1" si="20"/>
        <v>19.736878867253129</v>
      </c>
      <c r="X44" s="20">
        <f t="shared" ca="1" si="20"/>
        <v>20.577209601100702</v>
      </c>
      <c r="Y44" s="20">
        <f t="shared" ca="1" si="20"/>
        <v>21.418673055638067</v>
      </c>
      <c r="Z44" s="20">
        <f t="shared" ca="1" si="20"/>
        <v>22.305541646289182</v>
      </c>
    </row>
    <row r="45" spans="1:26" x14ac:dyDescent="0.25">
      <c r="A45" s="11" t="s">
        <v>891</v>
      </c>
      <c r="B45" s="14"/>
      <c r="C45" s="15"/>
      <c r="D45" s="94">
        <f t="shared" ref="D45:Z45" ca="1" si="21">D$41-(D$43-D$44)</f>
        <v>8.5039999999999907</v>
      </c>
      <c r="E45" s="94">
        <f t="shared" ca="1" si="21"/>
        <v>-20.901999999999965</v>
      </c>
      <c r="F45" s="94">
        <f t="shared" ca="1" si="21"/>
        <v>-2.5590000000000295</v>
      </c>
      <c r="G45" s="94">
        <f t="shared" ca="1" si="21"/>
        <v>-8.6639999999999802</v>
      </c>
      <c r="H45" s="94">
        <f t="shared" ca="1" si="21"/>
        <v>-7.1990000000000061</v>
      </c>
      <c r="I45" s="94">
        <f t="shared" ca="1" si="21"/>
        <v>-8.7730000000000281</v>
      </c>
      <c r="J45" s="94">
        <f t="shared" ca="1" si="21"/>
        <v>-9.3060000000000311</v>
      </c>
      <c r="K45" s="94">
        <f t="shared" ca="1" si="21"/>
        <v>-8.6409999999999982</v>
      </c>
      <c r="L45" s="95">
        <f t="shared" ca="1" si="21"/>
        <v>-6.7499999999999574</v>
      </c>
      <c r="M45" s="95">
        <f t="shared" ca="1" si="21"/>
        <v>-0.83399999999997121</v>
      </c>
      <c r="N45" s="95">
        <f t="shared" ca="1" si="21"/>
        <v>4.016000000000016</v>
      </c>
      <c r="O45" s="95">
        <f t="shared" ca="1" si="21"/>
        <v>8.0570000000000235</v>
      </c>
      <c r="P45" s="95">
        <f t="shared" ca="1" si="21"/>
        <v>11.69300000000003</v>
      </c>
      <c r="Q45" s="96">
        <f t="shared" ca="1" si="21"/>
        <v>12.871715308679185</v>
      </c>
      <c r="R45" s="96">
        <f t="shared" ca="1" si="21"/>
        <v>14.234266370905342</v>
      </c>
      <c r="S45" s="96">
        <f t="shared" ca="1" si="21"/>
        <v>15.770290799234315</v>
      </c>
      <c r="T45" s="96">
        <f t="shared" ca="1" si="21"/>
        <v>17.426005924479931</v>
      </c>
      <c r="U45" s="96">
        <f t="shared" ca="1" si="21"/>
        <v>19.121649978175117</v>
      </c>
      <c r="V45" s="96">
        <f t="shared" ca="1" si="21"/>
        <v>20.854551603618891</v>
      </c>
      <c r="W45" s="96">
        <f t="shared" ca="1" si="21"/>
        <v>22.616233647003085</v>
      </c>
      <c r="X45" s="96">
        <f t="shared" ca="1" si="21"/>
        <v>24.460130081992787</v>
      </c>
      <c r="Y45" s="96">
        <f t="shared" ca="1" si="21"/>
        <v>26.447808267922415</v>
      </c>
      <c r="Z45" s="96">
        <f t="shared" ca="1" si="21"/>
        <v>28.52502173391564</v>
      </c>
    </row>
    <row r="46" spans="1:26" x14ac:dyDescent="0.25">
      <c r="A46" s="60" t="s">
        <v>1161</v>
      </c>
      <c r="B46" s="11"/>
      <c r="C46" s="15"/>
      <c r="D46" s="97" t="str">
        <f t="shared" ref="D46:Z46" si="22">IF(ROUND(D$35-SUM(D$200,D$234,D$246,D$249,D$253,D$259,D$268,D$276,D$280,D$287,D$294,D$298,D$302,D$306,D$310,D$316,D$320),3)=0,"OK","ERROR")</f>
        <v>OK</v>
      </c>
      <c r="E46" s="97" t="str">
        <f t="shared" si="22"/>
        <v>OK</v>
      </c>
      <c r="F46" s="97" t="str">
        <f t="shared" si="22"/>
        <v>OK</v>
      </c>
      <c r="G46" s="97" t="str">
        <f t="shared" si="22"/>
        <v>OK</v>
      </c>
      <c r="H46" s="97" t="str">
        <f t="shared" si="22"/>
        <v>OK</v>
      </c>
      <c r="I46" s="97" t="str">
        <f t="shared" si="22"/>
        <v>OK</v>
      </c>
      <c r="J46" s="97" t="str">
        <f t="shared" si="22"/>
        <v>OK</v>
      </c>
      <c r="K46" s="97" t="str">
        <f t="shared" si="22"/>
        <v>OK</v>
      </c>
      <c r="L46" s="97" t="str">
        <f t="shared" ca="1" si="22"/>
        <v>OK</v>
      </c>
      <c r="M46" s="97" t="str">
        <f t="shared" ca="1" si="22"/>
        <v>OK</v>
      </c>
      <c r="N46" s="97" t="str">
        <f t="shared" ca="1" si="22"/>
        <v>OK</v>
      </c>
      <c r="O46" s="97" t="str">
        <f t="shared" ca="1" si="22"/>
        <v>OK</v>
      </c>
      <c r="P46" s="97" t="str">
        <f t="shared" ca="1" si="22"/>
        <v>OK</v>
      </c>
      <c r="Q46" s="97" t="str">
        <f t="shared" ca="1" si="22"/>
        <v>OK</v>
      </c>
      <c r="R46" s="97" t="str">
        <f t="shared" ca="1" si="22"/>
        <v>OK</v>
      </c>
      <c r="S46" s="97" t="str">
        <f t="shared" ca="1" si="22"/>
        <v>OK</v>
      </c>
      <c r="T46" s="97" t="str">
        <f t="shared" ca="1" si="22"/>
        <v>OK</v>
      </c>
      <c r="U46" s="97" t="str">
        <f t="shared" ca="1" si="22"/>
        <v>OK</v>
      </c>
      <c r="V46" s="97" t="str">
        <f t="shared" ca="1" si="22"/>
        <v>OK</v>
      </c>
      <c r="W46" s="97" t="str">
        <f t="shared" ca="1" si="22"/>
        <v>OK</v>
      </c>
      <c r="X46" s="97" t="str">
        <f t="shared" ca="1" si="22"/>
        <v>OK</v>
      </c>
      <c r="Y46" s="97" t="str">
        <f t="shared" ca="1" si="22"/>
        <v>OK</v>
      </c>
      <c r="Z46" s="97" t="str">
        <f t="shared" ca="1" si="22"/>
        <v>OK</v>
      </c>
    </row>
    <row r="47" spans="1:26" x14ac:dyDescent="0.25">
      <c r="A47" s="11" t="s">
        <v>1162</v>
      </c>
      <c r="B47" s="11"/>
      <c r="C47" s="15"/>
      <c r="D47" s="51">
        <f t="shared" ref="D47:Z47" ca="1" si="23">SUM(D$142,D$147,D$154,D$161,D$170,D$178)</f>
        <v>93.474000000000004</v>
      </c>
      <c r="E47" s="51">
        <f t="shared" ca="1" si="23"/>
        <v>91.923000000000002</v>
      </c>
      <c r="F47" s="51">
        <f t="shared" ca="1" si="23"/>
        <v>104.968</v>
      </c>
      <c r="G47" s="51">
        <f t="shared" ca="1" si="23"/>
        <v>117.515</v>
      </c>
      <c r="H47" s="51">
        <f t="shared" ca="1" si="23"/>
        <v>123.398</v>
      </c>
      <c r="I47" s="51">
        <f t="shared" ca="1" si="23"/>
        <v>133.22</v>
      </c>
      <c r="J47" s="51">
        <f t="shared" ca="1" si="23"/>
        <v>134.41100000000003</v>
      </c>
      <c r="K47" s="51">
        <f t="shared" ca="1" si="23"/>
        <v>138.64900000000003</v>
      </c>
      <c r="L47" s="47">
        <f t="shared" ca="1" si="23"/>
        <v>150.47</v>
      </c>
      <c r="M47" s="47">
        <f t="shared" ca="1" si="23"/>
        <v>158.43299999999999</v>
      </c>
      <c r="N47" s="47">
        <f t="shared" ca="1" si="23"/>
        <v>167.75700000000003</v>
      </c>
      <c r="O47" s="47">
        <f t="shared" ca="1" si="23"/>
        <v>176.803</v>
      </c>
      <c r="P47" s="47">
        <f t="shared" ca="1" si="23"/>
        <v>185.00899999999999</v>
      </c>
      <c r="Q47" s="21">
        <f t="shared" ca="1" si="23"/>
        <v>192.38988432300397</v>
      </c>
      <c r="R47" s="21">
        <f t="shared" ca="1" si="23"/>
        <v>199.74055400068707</v>
      </c>
      <c r="S47" s="21">
        <f t="shared" ca="1" si="23"/>
        <v>207.46099471815756</v>
      </c>
      <c r="T47" s="21">
        <f t="shared" ca="1" si="23"/>
        <v>215.69499355858161</v>
      </c>
      <c r="U47" s="21">
        <f t="shared" ca="1" si="23"/>
        <v>224.33953929085504</v>
      </c>
      <c r="V47" s="21">
        <f t="shared" ca="1" si="23"/>
        <v>233.27232292469745</v>
      </c>
      <c r="W47" s="21">
        <f t="shared" ca="1" si="23"/>
        <v>242.44267328967234</v>
      </c>
      <c r="X47" s="21">
        <f t="shared" ca="1" si="23"/>
        <v>251.87855920929184</v>
      </c>
      <c r="Y47" s="21">
        <f t="shared" ca="1" si="23"/>
        <v>261.63033386193848</v>
      </c>
      <c r="Z47" s="21">
        <f t="shared" ca="1" si="23"/>
        <v>271.69866823678757</v>
      </c>
    </row>
    <row r="48" spans="1:26" x14ac:dyDescent="0.25">
      <c r="A48" s="11" t="s">
        <v>1163</v>
      </c>
      <c r="B48" s="11"/>
      <c r="C48" s="15"/>
      <c r="D48" s="51">
        <f t="shared" ref="D48:Z48" si="24">SUM(D$195,D$208,D$215,D$223,D$230,D$238,D$246,D$249)</f>
        <v>86.959000000000003</v>
      </c>
      <c r="E48" s="51">
        <f t="shared" si="24"/>
        <v>108.83199999999999</v>
      </c>
      <c r="F48" s="51">
        <f t="shared" si="24"/>
        <v>107.76400000000001</v>
      </c>
      <c r="G48" s="51">
        <f t="shared" si="24"/>
        <v>125.64100000000001</v>
      </c>
      <c r="H48" s="51">
        <f t="shared" si="24"/>
        <v>127.57400000000001</v>
      </c>
      <c r="I48" s="51">
        <f t="shared" si="24"/>
        <v>138.99800000000002</v>
      </c>
      <c r="J48" s="51">
        <f t="shared" si="24"/>
        <v>141.67499999999998</v>
      </c>
      <c r="K48" s="51">
        <f t="shared" si="24"/>
        <v>146.21899999999999</v>
      </c>
      <c r="L48" s="47">
        <f ca="1">SUM(L$195,L$208,L$215,L$223,L$230,L$238,L$246,L$249)</f>
        <v>154.60900000000001</v>
      </c>
      <c r="M48" s="47">
        <f ca="1">SUM(M$195,M$208,M$215,M$223,M$230,M$238,M$246,M$249)</f>
        <v>158.30799999999996</v>
      </c>
      <c r="N48" s="47">
        <f ca="1">SUM(N$195,N$208,N$215,N$223,N$230,N$238,N$246,N$249)</f>
        <v>163.238</v>
      </c>
      <c r="O48" s="47">
        <f ca="1">SUM(O$195,O$208,O$215,O$223,O$230,O$238,O$246,O$249)</f>
        <v>168.642</v>
      </c>
      <c r="P48" s="47">
        <f ca="1">SUM(P$195,P$208,P$215,P$223,P$230,P$238,P$246,P$249)</f>
        <v>173.66799999999998</v>
      </c>
      <c r="Q48" s="21">
        <f t="shared" ca="1" si="24"/>
        <v>179.78155197496804</v>
      </c>
      <c r="R48" s="21">
        <f t="shared" ca="1" si="24"/>
        <v>185.77048760921673</v>
      </c>
      <c r="S48" s="21">
        <f t="shared" ca="1" si="24"/>
        <v>191.97062007960238</v>
      </c>
      <c r="T48" s="21">
        <f t="shared" ca="1" si="24"/>
        <v>198.5927316864655</v>
      </c>
      <c r="U48" s="21">
        <f t="shared" ca="1" si="24"/>
        <v>205.60222210197011</v>
      </c>
      <c r="V48" s="21">
        <f t="shared" ca="1" si="24"/>
        <v>212.73219679416715</v>
      </c>
      <c r="W48" s="21">
        <f t="shared" ca="1" si="24"/>
        <v>220.0181905330582</v>
      </c>
      <c r="X48" s="21">
        <f t="shared" ca="1" si="24"/>
        <v>227.48141551886533</v>
      </c>
      <c r="Y48" s="21">
        <f t="shared" ca="1" si="24"/>
        <v>235.12216480246258</v>
      </c>
      <c r="Z48" s="21">
        <f t="shared" ca="1" si="24"/>
        <v>242.97356707611348</v>
      </c>
    </row>
    <row r="49" spans="1:26" x14ac:dyDescent="0.25">
      <c r="A49" s="11" t="s">
        <v>752</v>
      </c>
      <c r="B49" s="11"/>
      <c r="C49" s="15"/>
      <c r="D49" s="51">
        <f t="shared" ref="D49:Z49" ca="1" si="25">SUM(D$47,-D$48,D$333,D$340)</f>
        <v>9.7070000000000007</v>
      </c>
      <c r="E49" s="51">
        <f t="shared" ca="1" si="25"/>
        <v>-20.882999999999992</v>
      </c>
      <c r="F49" s="51">
        <f t="shared" ca="1" si="25"/>
        <v>4.7039999999999935</v>
      </c>
      <c r="G49" s="51">
        <f t="shared" ca="1" si="25"/>
        <v>-19.532000000000004</v>
      </c>
      <c r="H49" s="51">
        <f t="shared" ca="1" si="25"/>
        <v>8.2929999999999833</v>
      </c>
      <c r="I49" s="51">
        <f t="shared" ca="1" si="25"/>
        <v>2.1059999999999803</v>
      </c>
      <c r="J49" s="51">
        <f t="shared" ca="1" si="25"/>
        <v>0.42300000000004712</v>
      </c>
      <c r="K49" s="51">
        <f t="shared" ca="1" si="25"/>
        <v>4.4070000000000356</v>
      </c>
      <c r="L49" s="47">
        <f t="shared" ca="1" si="25"/>
        <v>1.0379999999999896</v>
      </c>
      <c r="M49" s="47">
        <f t="shared" ca="1" si="25"/>
        <v>5.669000000000028</v>
      </c>
      <c r="N49" s="47">
        <f t="shared" ca="1" si="25"/>
        <v>10.416000000000034</v>
      </c>
      <c r="O49" s="47">
        <f t="shared" ca="1" si="25"/>
        <v>14.500000000000002</v>
      </c>
      <c r="P49" s="47">
        <f t="shared" ca="1" si="25"/>
        <v>18.150000000000009</v>
      </c>
      <c r="Q49" s="21">
        <f t="shared" ca="1" si="25"/>
        <v>19.765537599311944</v>
      </c>
      <c r="R49" s="21">
        <f t="shared" ca="1" si="25"/>
        <v>21.571940189913644</v>
      </c>
      <c r="S49" s="21">
        <f t="shared" ca="1" si="25"/>
        <v>23.555404038241637</v>
      </c>
      <c r="T49" s="21">
        <f t="shared" ca="1" si="25"/>
        <v>25.649750994797632</v>
      </c>
      <c r="U49" s="21">
        <f t="shared" ca="1" si="25"/>
        <v>27.786599841135104</v>
      </c>
      <c r="V49" s="21">
        <f t="shared" ca="1" si="25"/>
        <v>30.110965762893514</v>
      </c>
      <c r="W49" s="21">
        <f t="shared" ca="1" si="25"/>
        <v>32.540796358937115</v>
      </c>
      <c r="X49" s="21">
        <f t="shared" ca="1" si="25"/>
        <v>35.088234677518351</v>
      </c>
      <c r="Y49" s="21">
        <f t="shared" ca="1" si="25"/>
        <v>37.809767926105813</v>
      </c>
      <c r="Z49" s="21">
        <f t="shared" ca="1" si="25"/>
        <v>40.680072160399256</v>
      </c>
    </row>
    <row r="50" spans="1:26" x14ac:dyDescent="0.25">
      <c r="A50" s="11" t="s">
        <v>857</v>
      </c>
      <c r="B50" s="11"/>
      <c r="C50" s="15"/>
      <c r="D50" s="51">
        <f t="shared" ref="D50:Z50" ca="1" si="26">(D$47-D$161)-(D$48-D$230)</f>
        <v>9.144999999999996</v>
      </c>
      <c r="E50" s="51">
        <f t="shared" ca="1" si="26"/>
        <v>-14.530999999999992</v>
      </c>
      <c r="F50" s="51">
        <f t="shared" ca="1" si="26"/>
        <v>-1.5939999999999941</v>
      </c>
      <c r="G50" s="51">
        <f t="shared" ca="1" si="26"/>
        <v>-6.1000000000000085</v>
      </c>
      <c r="H50" s="51">
        <f t="shared" ca="1" si="26"/>
        <v>-0.4690000000000083</v>
      </c>
      <c r="I50" s="51">
        <f t="shared" ca="1" si="26"/>
        <v>-1.2760000000000105</v>
      </c>
      <c r="J50" s="51">
        <f t="shared" ca="1" si="26"/>
        <v>-2.5909999999999513</v>
      </c>
      <c r="K50" s="51">
        <f t="shared" ca="1" si="26"/>
        <v>-2.0319999999999823</v>
      </c>
      <c r="L50" s="47">
        <f t="shared" ca="1" si="26"/>
        <v>2.1229999999999905</v>
      </c>
      <c r="M50" s="47">
        <f t="shared" ca="1" si="26"/>
        <v>7.0650000000000261</v>
      </c>
      <c r="N50" s="47">
        <f t="shared" ca="1" si="26"/>
        <v>12.291000000000025</v>
      </c>
      <c r="O50" s="47">
        <f t="shared" ca="1" si="26"/>
        <v>16.460000000000008</v>
      </c>
      <c r="P50" s="47">
        <f t="shared" ca="1" si="26"/>
        <v>19.782000000000011</v>
      </c>
      <c r="Q50" s="21">
        <f t="shared" ca="1" si="26"/>
        <v>20.804363151091451</v>
      </c>
      <c r="R50" s="21">
        <f t="shared" ca="1" si="26"/>
        <v>21.980686482588993</v>
      </c>
      <c r="S50" s="21">
        <f t="shared" ca="1" si="26"/>
        <v>23.285359153206855</v>
      </c>
      <c r="T50" s="21">
        <f t="shared" ca="1" si="26"/>
        <v>24.626924242466885</v>
      </c>
      <c r="U50" s="21">
        <f t="shared" ca="1" si="26"/>
        <v>25.926182226566937</v>
      </c>
      <c r="V50" s="21">
        <f t="shared" ca="1" si="26"/>
        <v>27.241366600993103</v>
      </c>
      <c r="W50" s="21">
        <f t="shared" ca="1" si="26"/>
        <v>28.567872619765922</v>
      </c>
      <c r="X50" s="21">
        <f t="shared" ca="1" si="26"/>
        <v>29.909912035459172</v>
      </c>
      <c r="Y50" s="21">
        <f t="shared" ca="1" si="26"/>
        <v>31.318455057526847</v>
      </c>
      <c r="Z50" s="21">
        <f t="shared" ca="1" si="26"/>
        <v>32.761463350619067</v>
      </c>
    </row>
    <row r="51" spans="1:26" x14ac:dyDescent="0.25">
      <c r="A51" s="11" t="s">
        <v>749</v>
      </c>
      <c r="B51" s="11"/>
      <c r="C51" s="15"/>
      <c r="D51" s="51">
        <f t="shared" ref="D51:Z51" si="27">D$489</f>
        <v>-0.7100000000000124</v>
      </c>
      <c r="E51" s="51">
        <f t="shared" si="27"/>
        <v>-23.692000000000007</v>
      </c>
      <c r="F51" s="51">
        <f t="shared" si="27"/>
        <v>-13.766999999999978</v>
      </c>
      <c r="G51" s="51">
        <f t="shared" si="27"/>
        <v>-27.042999999999999</v>
      </c>
      <c r="H51" s="51">
        <f t="shared" si="27"/>
        <v>-25.648000000000007</v>
      </c>
      <c r="I51" s="51">
        <f t="shared" si="27"/>
        <v>-19.302000000000007</v>
      </c>
      <c r="J51" s="51">
        <f t="shared" si="27"/>
        <v>-5.9959999999999782</v>
      </c>
      <c r="K51" s="51">
        <f t="shared" si="27"/>
        <v>-4.8919999999999959</v>
      </c>
      <c r="L51" s="47">
        <f t="shared" ca="1" si="27"/>
        <v>-21.984999999999978</v>
      </c>
      <c r="M51" s="47">
        <f t="shared" ca="1" si="27"/>
        <v>-13.534999999999982</v>
      </c>
      <c r="N51" s="47">
        <f t="shared" ca="1" si="27"/>
        <v>-7.2850000000000037</v>
      </c>
      <c r="O51" s="47">
        <f t="shared" ca="1" si="27"/>
        <v>-1.7820000000000515</v>
      </c>
      <c r="P51" s="47">
        <f t="shared" ca="1" si="27"/>
        <v>3.2980000000000089</v>
      </c>
      <c r="Q51" s="21">
        <f t="shared" ca="1" si="27"/>
        <v>4.673612256746587</v>
      </c>
      <c r="R51" s="21">
        <f t="shared" ca="1" si="27"/>
        <v>5.1984093133893161</v>
      </c>
      <c r="S51" s="21">
        <f t="shared" ca="1" si="27"/>
        <v>6.1822482450588581</v>
      </c>
      <c r="T51" s="21">
        <f t="shared" ca="1" si="27"/>
        <v>7.5824049634058319</v>
      </c>
      <c r="U51" s="21">
        <f t="shared" ca="1" si="27"/>
        <v>8.9707646402879355</v>
      </c>
      <c r="V51" s="21">
        <f t="shared" ca="1" si="27"/>
        <v>10.469245473219807</v>
      </c>
      <c r="W51" s="21">
        <f t="shared" ca="1" si="27"/>
        <v>11.965982476270296</v>
      </c>
      <c r="X51" s="21">
        <f t="shared" ca="1" si="27"/>
        <v>13.451814222957974</v>
      </c>
      <c r="Y51" s="21">
        <f t="shared" ca="1" si="27"/>
        <v>14.944970627460576</v>
      </c>
      <c r="Z51" s="21">
        <f t="shared" ca="1" si="27"/>
        <v>16.441908427258571</v>
      </c>
    </row>
    <row r="52" spans="1:26" x14ac:dyDescent="0.25">
      <c r="A52" s="60" t="s">
        <v>1164</v>
      </c>
      <c r="B52" s="14" t="str">
        <f>$B$42</f>
        <v>Outturn &amp; Forecast only</v>
      </c>
      <c r="C52" s="15"/>
      <c r="D52" s="97" t="str">
        <f ca="1">IF(ROUND('Fiscal Forecasts'!D$178-D$49,3)=0,"OK","ERROR")</f>
        <v>OK</v>
      </c>
      <c r="E52" s="97" t="str">
        <f ca="1">IF(ROUND('Fiscal Forecasts'!E$178-E$49,3)=0,"OK","ERROR")</f>
        <v>OK</v>
      </c>
      <c r="F52" s="97" t="str">
        <f ca="1">IF(ROUND('Fiscal Forecasts'!F$178-F$49,3)=0,"OK","ERROR")</f>
        <v>OK</v>
      </c>
      <c r="G52" s="97" t="str">
        <f ca="1">IF(ROUND('Fiscal Forecasts'!G$178-G$49,3)=0,"OK","ERROR")</f>
        <v>OK</v>
      </c>
      <c r="H52" s="97" t="str">
        <f ca="1">IF(ROUND('Fiscal Forecasts'!H$178-H$49,3)=0,"OK","ERROR")</f>
        <v>OK</v>
      </c>
      <c r="I52" s="97" t="str">
        <f ca="1">IF(ROUND('Fiscal Forecasts'!I$178-I$49,3)=0,"OK","ERROR")</f>
        <v>OK</v>
      </c>
      <c r="J52" s="97" t="str">
        <f ca="1">IF(ROUND('Fiscal Forecasts'!J$178-J$49,3)=0,"OK","ERROR")</f>
        <v>OK</v>
      </c>
      <c r="K52" s="97" t="str">
        <f ca="1">IF(ROUND('Fiscal Forecasts'!K$178-K$49,3)=0,"OK","ERROR")</f>
        <v>OK</v>
      </c>
      <c r="L52" s="97" t="str">
        <f ca="1">IF(ROUND('Fiscal Forecasts'!L$178-L$49,3)=0,"OK","ERROR")</f>
        <v>OK</v>
      </c>
      <c r="M52" s="97" t="str">
        <f ca="1">IF(ROUND('Fiscal Forecasts'!M$178-M$49,3)=0,"OK","ERROR")</f>
        <v>OK</v>
      </c>
      <c r="N52" s="97" t="str">
        <f ca="1">IF(ROUND('Fiscal Forecasts'!N$178-N$49,3)=0,"OK","ERROR")</f>
        <v>OK</v>
      </c>
      <c r="O52" s="97" t="str">
        <f ca="1">IF(ROUND('Fiscal Forecasts'!O$178-O$49,3)=0,"OK","ERROR")</f>
        <v>OK</v>
      </c>
      <c r="P52" s="97" t="str">
        <f ca="1">IF(ROUND('Fiscal Forecasts'!P$178-P$49,3)=0,"OK","ERROR")</f>
        <v>OK</v>
      </c>
      <c r="Q52" s="17"/>
      <c r="R52" s="17"/>
      <c r="S52" s="17"/>
      <c r="T52" s="17"/>
      <c r="U52" s="17"/>
      <c r="V52" s="17"/>
      <c r="W52" s="17"/>
      <c r="X52" s="17"/>
      <c r="Y52" s="17"/>
      <c r="Z52" s="17"/>
    </row>
    <row r="53" spans="1:26" x14ac:dyDescent="0.25">
      <c r="A53" s="60" t="s">
        <v>1165</v>
      </c>
      <c r="B53" s="11"/>
      <c r="C53" s="15"/>
      <c r="D53" s="97" t="str">
        <f>IF(ROUND(D$48-SUM(D$197,D$230,D$246,D$249,D$252,D$256,D$265,D$275,D$279,D$283,D$293,D$297,D$301,D$305,D$309,D$315,D$319),3)=0,"OK","ERROR")</f>
        <v>OK</v>
      </c>
      <c r="E53" s="97" t="str">
        <f t="shared" ref="E53:Z53" si="28">IF(ROUND(E$48-SUM(E$197,E$230,E$246,E$249,E$252,E$256,E$265,E$275,E$279,E$283,E$293,E$297,E$301,E$305,E$309,E$315,E$319),3)=0,"OK","ERROR")</f>
        <v>OK</v>
      </c>
      <c r="F53" s="97" t="str">
        <f t="shared" si="28"/>
        <v>OK</v>
      </c>
      <c r="G53" s="97" t="str">
        <f t="shared" si="28"/>
        <v>OK</v>
      </c>
      <c r="H53" s="97" t="str">
        <f t="shared" si="28"/>
        <v>OK</v>
      </c>
      <c r="I53" s="97" t="str">
        <f t="shared" si="28"/>
        <v>OK</v>
      </c>
      <c r="J53" s="97" t="str">
        <f t="shared" si="28"/>
        <v>OK</v>
      </c>
      <c r="K53" s="97" t="str">
        <f t="shared" si="28"/>
        <v>OK</v>
      </c>
      <c r="L53" s="97" t="str">
        <f t="shared" ca="1" si="28"/>
        <v>OK</v>
      </c>
      <c r="M53" s="97" t="str">
        <f t="shared" ca="1" si="28"/>
        <v>OK</v>
      </c>
      <c r="N53" s="97" t="str">
        <f t="shared" ca="1" si="28"/>
        <v>OK</v>
      </c>
      <c r="O53" s="97" t="str">
        <f t="shared" ca="1" si="28"/>
        <v>OK</v>
      </c>
      <c r="P53" s="97" t="str">
        <f t="shared" ca="1" si="28"/>
        <v>OK</v>
      </c>
      <c r="Q53" s="97" t="str">
        <f t="shared" ca="1" si="28"/>
        <v>OK</v>
      </c>
      <c r="R53" s="97" t="str">
        <f t="shared" ca="1" si="28"/>
        <v>OK</v>
      </c>
      <c r="S53" s="97" t="str">
        <f t="shared" ca="1" si="28"/>
        <v>OK</v>
      </c>
      <c r="T53" s="97" t="str">
        <f t="shared" ca="1" si="28"/>
        <v>OK</v>
      </c>
      <c r="U53" s="97" t="str">
        <f t="shared" ca="1" si="28"/>
        <v>OK</v>
      </c>
      <c r="V53" s="97" t="str">
        <f t="shared" ca="1" si="28"/>
        <v>OK</v>
      </c>
      <c r="W53" s="97" t="str">
        <f t="shared" ca="1" si="28"/>
        <v>OK</v>
      </c>
      <c r="X53" s="97" t="str">
        <f t="shared" ca="1" si="28"/>
        <v>OK</v>
      </c>
      <c r="Y53" s="97" t="str">
        <f t="shared" ca="1" si="28"/>
        <v>OK</v>
      </c>
      <c r="Z53" s="97" t="str">
        <f t="shared" ca="1" si="28"/>
        <v>OK</v>
      </c>
    </row>
    <row r="54" spans="1:26" x14ac:dyDescent="0.25">
      <c r="A54" s="11"/>
      <c r="B54" s="11"/>
      <c r="C54" s="15"/>
      <c r="D54" s="15"/>
      <c r="E54" s="15"/>
      <c r="F54" s="15"/>
      <c r="G54" s="15"/>
      <c r="H54" s="15"/>
      <c r="I54" s="15"/>
      <c r="J54" s="15"/>
      <c r="K54" s="15"/>
      <c r="L54" s="15"/>
      <c r="M54" s="15"/>
      <c r="N54" s="15"/>
      <c r="O54" s="15"/>
      <c r="P54" s="15"/>
      <c r="Q54" s="51"/>
      <c r="R54" s="51"/>
      <c r="S54" s="51"/>
      <c r="T54" s="51"/>
      <c r="U54" s="51"/>
      <c r="V54" s="51"/>
      <c r="W54" s="51"/>
      <c r="X54" s="51"/>
      <c r="Y54" s="51"/>
      <c r="Z54" s="51"/>
    </row>
    <row r="55" spans="1:26" x14ac:dyDescent="0.25">
      <c r="A55" s="57" t="s">
        <v>1166</v>
      </c>
      <c r="B55" s="11"/>
      <c r="C55" s="15"/>
      <c r="D55" s="98"/>
      <c r="E55" s="98"/>
      <c r="F55" s="98"/>
      <c r="G55" s="98"/>
      <c r="H55" s="98"/>
      <c r="I55" s="98"/>
      <c r="J55" s="98"/>
      <c r="K55" s="98"/>
      <c r="L55" s="98"/>
      <c r="M55" s="98"/>
      <c r="N55" s="98"/>
      <c r="O55" s="98"/>
      <c r="P55" s="98"/>
      <c r="Q55" s="17"/>
      <c r="R55" s="17"/>
      <c r="S55" s="17"/>
      <c r="T55" s="17"/>
      <c r="U55" s="17"/>
      <c r="V55" s="17"/>
      <c r="W55" s="17"/>
      <c r="X55" s="17"/>
      <c r="Y55" s="17"/>
      <c r="Z55" s="17"/>
    </row>
    <row r="56" spans="1:26" x14ac:dyDescent="0.25">
      <c r="A56" s="11" t="s">
        <v>1167</v>
      </c>
      <c r="B56" s="11"/>
      <c r="C56" s="15"/>
      <c r="D56" s="51">
        <f t="shared" ref="D56:Z56" ca="1" si="29">SUM(D$347,D$354,D$363,D$372,D$388,D$397,D$410,D$414,D$420,D$424,D$429,D$432,D$435)</f>
        <v>364.65199999999999</v>
      </c>
      <c r="E56" s="51">
        <f t="shared" ca="1" si="29"/>
        <v>393.4</v>
      </c>
      <c r="F56" s="51">
        <f t="shared" ca="1" si="29"/>
        <v>438.59599999999995</v>
      </c>
      <c r="G56" s="51">
        <f t="shared" ca="1" si="29"/>
        <v>501.84400000000005</v>
      </c>
      <c r="H56" s="51">
        <f t="shared" ca="1" si="29"/>
        <v>536.66599999999994</v>
      </c>
      <c r="I56" s="51">
        <f t="shared" ca="1" si="29"/>
        <v>570.86799999999994</v>
      </c>
      <c r="J56" s="51">
        <f t="shared" ca="1" si="29"/>
        <v>597.97599999999989</v>
      </c>
      <c r="K56" s="51">
        <f t="shared" ca="1" si="29"/>
        <v>619.56499999999994</v>
      </c>
      <c r="L56" s="47">
        <f t="shared" ca="1" si="29"/>
        <v>635.06700000000001</v>
      </c>
      <c r="M56" s="47">
        <f t="shared" ca="1" si="29"/>
        <v>662.04300000000001</v>
      </c>
      <c r="N56" s="47">
        <f t="shared" ca="1" si="29"/>
        <v>687.68299999999988</v>
      </c>
      <c r="O56" s="47">
        <f t="shared" ca="1" si="29"/>
        <v>712.327</v>
      </c>
      <c r="P56" s="47">
        <f t="shared" ca="1" si="29"/>
        <v>734.56700000000001</v>
      </c>
      <c r="Q56" s="21">
        <f t="shared" ca="1" si="29"/>
        <v>762.0101231272705</v>
      </c>
      <c r="R56" s="21">
        <f t="shared" ca="1" si="29"/>
        <v>790.63889892244561</v>
      </c>
      <c r="S56" s="21">
        <f t="shared" ca="1" si="29"/>
        <v>820.76799795919089</v>
      </c>
      <c r="T56" s="21">
        <f t="shared" ca="1" si="29"/>
        <v>852.12621228030173</v>
      </c>
      <c r="U56" s="21">
        <f t="shared" ca="1" si="29"/>
        <v>884.81961020782796</v>
      </c>
      <c r="V56" s="21">
        <f t="shared" ca="1" si="29"/>
        <v>918.77825426559491</v>
      </c>
      <c r="W56" s="21">
        <f t="shared" ca="1" si="29"/>
        <v>954.05676510594651</v>
      </c>
      <c r="X56" s="21">
        <f t="shared" ca="1" si="29"/>
        <v>990.79604202440078</v>
      </c>
      <c r="Y56" s="21">
        <f t="shared" ca="1" si="29"/>
        <v>1029.2338474029996</v>
      </c>
      <c r="Z56" s="21">
        <f t="shared" ca="1" si="29"/>
        <v>1069.5143084140484</v>
      </c>
    </row>
    <row r="57" spans="1:26" x14ac:dyDescent="0.25">
      <c r="A57" s="11" t="s">
        <v>1168</v>
      </c>
      <c r="B57" s="11"/>
      <c r="C57" s="15"/>
      <c r="D57" s="51">
        <f t="shared" ref="D57:Z57" si="30">SUM(D$70,D$439,D$446,D$450,D$454,D$460,D$465,D$471)</f>
        <v>221.31299999999999</v>
      </c>
      <c r="E57" s="51">
        <f t="shared" si="30"/>
        <v>277.45699999999999</v>
      </c>
      <c r="F57" s="51">
        <f t="shared" si="30"/>
        <v>281.40300000000002</v>
      </c>
      <c r="G57" s="51">
        <f t="shared" si="30"/>
        <v>327.52500000000003</v>
      </c>
      <c r="H57" s="51">
        <f t="shared" si="30"/>
        <v>345.19400000000002</v>
      </c>
      <c r="I57" s="51">
        <f t="shared" si="30"/>
        <v>379.81899999999996</v>
      </c>
      <c r="J57" s="51">
        <f t="shared" si="30"/>
        <v>408.84799999999996</v>
      </c>
      <c r="K57" s="51">
        <f t="shared" si="30"/>
        <v>431.851</v>
      </c>
      <c r="L57" s="47">
        <f t="shared" si="30"/>
        <v>438.512</v>
      </c>
      <c r="M57" s="47">
        <f t="shared" si="30"/>
        <v>461.971</v>
      </c>
      <c r="N57" s="47">
        <f t="shared" si="30"/>
        <v>478.56200000000001</v>
      </c>
      <c r="O57" s="47">
        <f t="shared" si="30"/>
        <v>489.92400000000004</v>
      </c>
      <c r="P57" s="47">
        <f t="shared" si="30"/>
        <v>495.339</v>
      </c>
      <c r="Q57" s="21">
        <f t="shared" ca="1" si="30"/>
        <v>503.8066415027123</v>
      </c>
      <c r="R57" s="21">
        <f t="shared" ca="1" si="30"/>
        <v>511.49178462254145</v>
      </c>
      <c r="S57" s="21">
        <f t="shared" ca="1" si="30"/>
        <v>518.46860568647901</v>
      </c>
      <c r="T57" s="21">
        <f t="shared" ca="1" si="30"/>
        <v>524.21855113078652</v>
      </c>
      <c r="U57" s="21">
        <f t="shared" ca="1" si="30"/>
        <v>528.81445973791847</v>
      </c>
      <c r="V57" s="21">
        <f t="shared" ca="1" si="30"/>
        <v>532.33015524548898</v>
      </c>
      <c r="W57" s="21">
        <f t="shared" ca="1" si="30"/>
        <v>534.75293916100657</v>
      </c>
      <c r="X57" s="21">
        <f t="shared" ca="1" si="30"/>
        <v>536.12817519374266</v>
      </c>
      <c r="Y57" s="21">
        <f t="shared" ca="1" si="30"/>
        <v>536.470795142214</v>
      </c>
      <c r="Z57" s="21">
        <f t="shared" ca="1" si="30"/>
        <v>535.80519446768278</v>
      </c>
    </row>
    <row r="58" spans="1:26" x14ac:dyDescent="0.25">
      <c r="A58" s="11" t="s">
        <v>759</v>
      </c>
      <c r="B58" s="11"/>
      <c r="C58" s="15"/>
      <c r="D58" s="94">
        <f t="shared" ref="D58:Z58" ca="1" si="31">D$56-D$57</f>
        <v>143.339</v>
      </c>
      <c r="E58" s="94">
        <f t="shared" ca="1" si="31"/>
        <v>115.94299999999998</v>
      </c>
      <c r="F58" s="94">
        <f t="shared" ca="1" si="31"/>
        <v>157.19299999999993</v>
      </c>
      <c r="G58" s="94">
        <f t="shared" ca="1" si="31"/>
        <v>174.31900000000002</v>
      </c>
      <c r="H58" s="94">
        <f t="shared" ca="1" si="31"/>
        <v>191.47199999999992</v>
      </c>
      <c r="I58" s="94">
        <f t="shared" ca="1" si="31"/>
        <v>191.04899999999998</v>
      </c>
      <c r="J58" s="94">
        <f t="shared" ca="1" si="31"/>
        <v>189.12799999999993</v>
      </c>
      <c r="K58" s="94">
        <f t="shared" ca="1" si="31"/>
        <v>187.71399999999994</v>
      </c>
      <c r="L58" s="95">
        <f t="shared" ca="1" si="31"/>
        <v>196.55500000000001</v>
      </c>
      <c r="M58" s="95">
        <f t="shared" ca="1" si="31"/>
        <v>200.072</v>
      </c>
      <c r="N58" s="95">
        <f t="shared" ca="1" si="31"/>
        <v>209.12099999999987</v>
      </c>
      <c r="O58" s="95">
        <f t="shared" ca="1" si="31"/>
        <v>222.40299999999996</v>
      </c>
      <c r="P58" s="95">
        <f t="shared" ca="1" si="31"/>
        <v>239.22800000000001</v>
      </c>
      <c r="Q58" s="96">
        <f t="shared" ca="1" si="31"/>
        <v>258.20348162455821</v>
      </c>
      <c r="R58" s="96">
        <f t="shared" ca="1" si="31"/>
        <v>279.14711429990416</v>
      </c>
      <c r="S58" s="96">
        <f t="shared" ca="1" si="31"/>
        <v>302.29939227271188</v>
      </c>
      <c r="T58" s="96">
        <f t="shared" ca="1" si="31"/>
        <v>327.90766114951521</v>
      </c>
      <c r="U58" s="96">
        <f t="shared" ca="1" si="31"/>
        <v>356.00515046990949</v>
      </c>
      <c r="V58" s="96">
        <f t="shared" ca="1" si="31"/>
        <v>386.44809902010593</v>
      </c>
      <c r="W58" s="96">
        <f t="shared" ca="1" si="31"/>
        <v>419.30382594493994</v>
      </c>
      <c r="X58" s="96">
        <f t="shared" ca="1" si="31"/>
        <v>454.66786683065811</v>
      </c>
      <c r="Y58" s="96">
        <f t="shared" ca="1" si="31"/>
        <v>492.76305226078557</v>
      </c>
      <c r="Z58" s="96">
        <f t="shared" ca="1" si="31"/>
        <v>533.70911394636562</v>
      </c>
    </row>
    <row r="59" spans="1:26" x14ac:dyDescent="0.25">
      <c r="A59" s="12" t="s">
        <v>1169</v>
      </c>
      <c r="B59" s="14" t="str">
        <f>$B$38</f>
        <v>From Fiscal Forecasts</v>
      </c>
      <c r="C59" s="15"/>
      <c r="D59" s="50">
        <f>'Fiscal Forecasts'!D$145</f>
        <v>6.39</v>
      </c>
      <c r="E59" s="50">
        <f>'Fiscal Forecasts'!E$145</f>
        <v>5.6230000000000002</v>
      </c>
      <c r="F59" s="50">
        <f>'Fiscal Forecasts'!F$145</f>
        <v>5.7240000000000002</v>
      </c>
      <c r="G59" s="50">
        <f>'Fiscal Forecasts'!G$145</f>
        <v>7.2830000000000004</v>
      </c>
      <c r="H59" s="50">
        <f>'Fiscal Forecasts'!H$145</f>
        <v>7.9580000000000002</v>
      </c>
      <c r="I59" s="50">
        <f>'Fiscal Forecasts'!I$145</f>
        <v>9.2309999999999999</v>
      </c>
      <c r="J59" s="50">
        <f>'Fiscal Forecasts'!J$145</f>
        <v>9.8680000000000003</v>
      </c>
      <c r="K59" s="50">
        <f>'Fiscal Forecasts'!K$145</f>
        <v>10.510999999999999</v>
      </c>
      <c r="L59" s="48">
        <f>'Fiscal Forecasts'!L$145</f>
        <v>10.034000000000001</v>
      </c>
      <c r="M59" s="48">
        <f>'Fiscal Forecasts'!M$145</f>
        <v>9.9979999999999993</v>
      </c>
      <c r="N59" s="48">
        <f>'Fiscal Forecasts'!N$145</f>
        <v>9.9629999999999992</v>
      </c>
      <c r="O59" s="48">
        <f>'Fiscal Forecasts'!O$145</f>
        <v>9.6080000000000005</v>
      </c>
      <c r="P59" s="48">
        <f>'Fiscal Forecasts'!P$145</f>
        <v>9.61</v>
      </c>
      <c r="Q59" s="20">
        <f t="shared" ref="Q59:Z59" ca="1" si="32">P$59*(Q$58-Q$65)/(P$58-P$65)</f>
        <v>9.5489287576726163</v>
      </c>
      <c r="R59" s="20">
        <f t="shared" ca="1" si="32"/>
        <v>9.5003606540135692</v>
      </c>
      <c r="S59" s="20">
        <f t="shared" ca="1" si="32"/>
        <v>9.4691990522824181</v>
      </c>
      <c r="T59" s="20">
        <f t="shared" ca="1" si="32"/>
        <v>9.4659924889992499</v>
      </c>
      <c r="U59" s="20">
        <f t="shared" ca="1" si="32"/>
        <v>9.4900242124866789</v>
      </c>
      <c r="V59" s="20">
        <f t="shared" ca="1" si="32"/>
        <v>9.5156864464293136</v>
      </c>
      <c r="W59" s="20">
        <f t="shared" ca="1" si="32"/>
        <v>9.5400305454814998</v>
      </c>
      <c r="X59" s="20">
        <f t="shared" ca="1" si="32"/>
        <v>9.5613503358693013</v>
      </c>
      <c r="Y59" s="20">
        <f t="shared" ca="1" si="32"/>
        <v>9.5834130783958784</v>
      </c>
      <c r="Z59" s="20">
        <f t="shared" ca="1" si="32"/>
        <v>9.6039740402364959</v>
      </c>
    </row>
    <row r="60" spans="1:26" x14ac:dyDescent="0.25">
      <c r="A60" s="11" t="s">
        <v>760</v>
      </c>
      <c r="B60" s="14"/>
      <c r="C60" s="15"/>
      <c r="D60" s="94">
        <f t="shared" ref="D60:Z60" ca="1" si="33">D$58-D$59</f>
        <v>136.94900000000001</v>
      </c>
      <c r="E60" s="94">
        <f t="shared" ca="1" si="33"/>
        <v>110.31999999999998</v>
      </c>
      <c r="F60" s="94">
        <f t="shared" ca="1" si="33"/>
        <v>151.46899999999994</v>
      </c>
      <c r="G60" s="94">
        <f t="shared" ca="1" si="33"/>
        <v>167.03600000000003</v>
      </c>
      <c r="H60" s="94">
        <f t="shared" ca="1" si="33"/>
        <v>183.51399999999992</v>
      </c>
      <c r="I60" s="94">
        <f t="shared" ca="1" si="33"/>
        <v>181.81799999999998</v>
      </c>
      <c r="J60" s="94">
        <f t="shared" ca="1" si="33"/>
        <v>179.25999999999993</v>
      </c>
      <c r="K60" s="94">
        <f t="shared" ca="1" si="33"/>
        <v>177.20299999999995</v>
      </c>
      <c r="L60" s="95">
        <f t="shared" ca="1" si="33"/>
        <v>186.52100000000002</v>
      </c>
      <c r="M60" s="95">
        <f t="shared" ca="1" si="33"/>
        <v>190.07400000000001</v>
      </c>
      <c r="N60" s="95">
        <f t="shared" ca="1" si="33"/>
        <v>199.15799999999987</v>
      </c>
      <c r="O60" s="95">
        <f t="shared" ca="1" si="33"/>
        <v>212.79499999999996</v>
      </c>
      <c r="P60" s="95">
        <f t="shared" ca="1" si="33"/>
        <v>229.61799999999999</v>
      </c>
      <c r="Q60" s="96">
        <f t="shared" ca="1" si="33"/>
        <v>248.65455286688558</v>
      </c>
      <c r="R60" s="96">
        <f t="shared" ca="1" si="33"/>
        <v>269.64675364589061</v>
      </c>
      <c r="S60" s="96">
        <f t="shared" ca="1" si="33"/>
        <v>292.83019322042946</v>
      </c>
      <c r="T60" s="96">
        <f t="shared" ca="1" si="33"/>
        <v>318.44166866051597</v>
      </c>
      <c r="U60" s="96">
        <f t="shared" ca="1" si="33"/>
        <v>346.51512625742282</v>
      </c>
      <c r="V60" s="96">
        <f t="shared" ca="1" si="33"/>
        <v>376.93241257367663</v>
      </c>
      <c r="W60" s="96">
        <f t="shared" ca="1" si="33"/>
        <v>409.76379539945844</v>
      </c>
      <c r="X60" s="96">
        <f t="shared" ca="1" si="33"/>
        <v>445.10651649478882</v>
      </c>
      <c r="Y60" s="96">
        <f t="shared" ca="1" si="33"/>
        <v>483.17963918238968</v>
      </c>
      <c r="Z60" s="96">
        <f t="shared" ca="1" si="33"/>
        <v>524.10513990612912</v>
      </c>
    </row>
    <row r="61" spans="1:26" x14ac:dyDescent="0.25">
      <c r="A61" s="60" t="s">
        <v>1170</v>
      </c>
      <c r="B61" s="14" t="str">
        <f>$B$42</f>
        <v>Outturn &amp; Forecast only</v>
      </c>
      <c r="C61" s="15"/>
      <c r="D61" s="97" t="str">
        <f ca="1">IF(ROUND('Fiscal Forecasts'!D$143-D$58,3)=0,"OK","ERROR")</f>
        <v>OK</v>
      </c>
      <c r="E61" s="97" t="str">
        <f ca="1">IF(ROUND('Fiscal Forecasts'!E$143-E$58,3)=0,"OK","ERROR")</f>
        <v>OK</v>
      </c>
      <c r="F61" s="97" t="str">
        <f ca="1">IF(ROUND('Fiscal Forecasts'!F$143-F$58,3)=0,"OK","ERROR")</f>
        <v>OK</v>
      </c>
      <c r="G61" s="97" t="str">
        <f ca="1">IF(ROUND('Fiscal Forecasts'!G$143-G$58,3)=0,"OK","ERROR")</f>
        <v>OK</v>
      </c>
      <c r="H61" s="97" t="str">
        <f ca="1">IF(ROUND('Fiscal Forecasts'!H$143-H$58,3)=0,"OK","ERROR")</f>
        <v>OK</v>
      </c>
      <c r="I61" s="97" t="str">
        <f ca="1">IF(ROUND('Fiscal Forecasts'!I$143-I$58,3)=0,"OK","ERROR")</f>
        <v>OK</v>
      </c>
      <c r="J61" s="97" t="str">
        <f ca="1">IF(ROUND('Fiscal Forecasts'!J$143-J$58,3)=0,"OK","ERROR")</f>
        <v>OK</v>
      </c>
      <c r="K61" s="97" t="str">
        <f ca="1">IF(ROUND('Fiscal Forecasts'!K$143-K$58,3)=0,"OK","ERROR")</f>
        <v>OK</v>
      </c>
      <c r="L61" s="97" t="str">
        <f ca="1">IF(ROUND('Fiscal Forecasts'!L$143-L$58,3)=0,"OK","ERROR")</f>
        <v>OK</v>
      </c>
      <c r="M61" s="97" t="str">
        <f ca="1">IF(ROUND('Fiscal Forecasts'!M$143-M$58,3)=0,"OK","ERROR")</f>
        <v>OK</v>
      </c>
      <c r="N61" s="97" t="str">
        <f ca="1">IF(ROUND('Fiscal Forecasts'!N$143-N$58,3)=0,"OK","ERROR")</f>
        <v>OK</v>
      </c>
      <c r="O61" s="97" t="str">
        <f ca="1">IF(ROUND('Fiscal Forecasts'!O$143-O$58,3)=0,"OK","ERROR")</f>
        <v>OK</v>
      </c>
      <c r="P61" s="97" t="str">
        <f ca="1">IF(ROUND('Fiscal Forecasts'!P$143-P$58,3)=0,"OK","ERROR")</f>
        <v>OK</v>
      </c>
      <c r="Q61" s="17"/>
      <c r="R61" s="17"/>
      <c r="S61" s="17"/>
      <c r="T61" s="17"/>
      <c r="U61" s="17"/>
      <c r="V61" s="17"/>
      <c r="W61" s="17"/>
      <c r="X61" s="17"/>
      <c r="Y61" s="17"/>
      <c r="Z61" s="17"/>
    </row>
    <row r="62" spans="1:26" x14ac:dyDescent="0.25">
      <c r="A62" s="60" t="s">
        <v>1171</v>
      </c>
      <c r="B62" s="14" t="s">
        <v>1172</v>
      </c>
      <c r="C62" s="15"/>
      <c r="D62" s="89"/>
      <c r="E62" s="89"/>
      <c r="F62" s="89"/>
      <c r="G62" s="89"/>
      <c r="H62" s="89"/>
      <c r="I62" s="89"/>
      <c r="J62" s="89"/>
      <c r="K62" s="89"/>
      <c r="L62" s="66"/>
      <c r="M62" s="66"/>
      <c r="N62" s="66"/>
      <c r="O62" s="66"/>
      <c r="P62" s="66"/>
      <c r="Q62" s="97" t="str">
        <f t="shared" ref="Q62:Z62" ca="1" si="34">IF(ROUND(Q$39+Q$38-(Q$58-P$58),3)=0,"OK","ERROR")</f>
        <v>OK</v>
      </c>
      <c r="R62" s="97" t="str">
        <f t="shared" ca="1" si="34"/>
        <v>OK</v>
      </c>
      <c r="S62" s="97" t="str">
        <f t="shared" ca="1" si="34"/>
        <v>OK</v>
      </c>
      <c r="T62" s="97" t="str">
        <f t="shared" ca="1" si="34"/>
        <v>OK</v>
      </c>
      <c r="U62" s="97" t="str">
        <f t="shared" ca="1" si="34"/>
        <v>OK</v>
      </c>
      <c r="V62" s="97" t="str">
        <f t="shared" ca="1" si="34"/>
        <v>OK</v>
      </c>
      <c r="W62" s="97" t="str">
        <f t="shared" ca="1" si="34"/>
        <v>OK</v>
      </c>
      <c r="X62" s="97" t="str">
        <f t="shared" ca="1" si="34"/>
        <v>OK</v>
      </c>
      <c r="Y62" s="97" t="str">
        <f t="shared" ca="1" si="34"/>
        <v>OK</v>
      </c>
      <c r="Z62" s="97" t="str">
        <f t="shared" ca="1" si="34"/>
        <v>OK</v>
      </c>
    </row>
    <row r="63" spans="1:26" x14ac:dyDescent="0.25">
      <c r="A63" s="11" t="s">
        <v>989</v>
      </c>
      <c r="B63" s="11"/>
      <c r="C63" s="15"/>
      <c r="D63" s="51">
        <f t="shared" ref="D63:Z63" ca="1" si="35">SUM(D$346,D$353,D$359,D$368,D$388,D$394,D$409,D$413,D$417,D$423,D$427,D$432,D$435)</f>
        <v>201.42400000000004</v>
      </c>
      <c r="E63" s="51">
        <f t="shared" ca="1" si="35"/>
        <v>219.821</v>
      </c>
      <c r="F63" s="51">
        <f t="shared" ca="1" si="35"/>
        <v>239.35500000000002</v>
      </c>
      <c r="G63" s="51">
        <f t="shared" ca="1" si="35"/>
        <v>269.32</v>
      </c>
      <c r="H63" s="51">
        <f t="shared" ca="1" si="35"/>
        <v>294.69400000000002</v>
      </c>
      <c r="I63" s="51">
        <f t="shared" ca="1" si="35"/>
        <v>326.74099999999999</v>
      </c>
      <c r="J63" s="51">
        <f t="shared" ca="1" si="35"/>
        <v>348.37799999999999</v>
      </c>
      <c r="K63" s="51">
        <f t="shared" ca="1" si="35"/>
        <v>366.68399999999997</v>
      </c>
      <c r="L63" s="47">
        <f t="shared" ca="1" si="35"/>
        <v>381.43200000000002</v>
      </c>
      <c r="M63" s="47">
        <f t="shared" ca="1" si="35"/>
        <v>403.84899999999999</v>
      </c>
      <c r="N63" s="47">
        <f t="shared" ca="1" si="35"/>
        <v>423.62900000000002</v>
      </c>
      <c r="O63" s="47">
        <f t="shared" ca="1" si="35"/>
        <v>441.06700000000006</v>
      </c>
      <c r="P63" s="47">
        <f t="shared" ca="1" si="35"/>
        <v>454.86400000000009</v>
      </c>
      <c r="Q63" s="21">
        <f t="shared" ca="1" si="35"/>
        <v>474.14129850805335</v>
      </c>
      <c r="R63" s="21">
        <f t="shared" ca="1" si="35"/>
        <v>494.29177717220756</v>
      </c>
      <c r="S63" s="21">
        <f t="shared" ca="1" si="35"/>
        <v>515.58851957442664</v>
      </c>
      <c r="T63" s="21">
        <f t="shared" ca="1" si="35"/>
        <v>537.72303907120215</v>
      </c>
      <c r="U63" s="21">
        <f t="shared" ca="1" si="35"/>
        <v>560.75941909629762</v>
      </c>
      <c r="V63" s="21">
        <f t="shared" ca="1" si="35"/>
        <v>584.77084908974371</v>
      </c>
      <c r="W63" s="21">
        <f t="shared" ca="1" si="35"/>
        <v>609.85191221020489</v>
      </c>
      <c r="X63" s="21">
        <f t="shared" ca="1" si="35"/>
        <v>636.14342487481213</v>
      </c>
      <c r="Y63" s="21">
        <f t="shared" ca="1" si="35"/>
        <v>663.84081561195319</v>
      </c>
      <c r="Z63" s="21">
        <f t="shared" ca="1" si="35"/>
        <v>693.09633399093127</v>
      </c>
    </row>
    <row r="64" spans="1:26" x14ac:dyDescent="0.25">
      <c r="A64" s="11" t="s">
        <v>991</v>
      </c>
      <c r="B64" s="11"/>
      <c r="C64" s="15"/>
      <c r="D64" s="51">
        <f t="shared" ref="D64:Z64" si="36">SUM(D$71,D$439,D$445,D$449,D$453,D$457,D$463,D$470)</f>
        <v>132.88</v>
      </c>
      <c r="E64" s="51">
        <f t="shared" si="36"/>
        <v>172.70499999999998</v>
      </c>
      <c r="F64" s="51">
        <f t="shared" si="36"/>
        <v>178.81700000000001</v>
      </c>
      <c r="G64" s="51">
        <f t="shared" si="36"/>
        <v>224.036</v>
      </c>
      <c r="H64" s="51">
        <f t="shared" si="36"/>
        <v>235.35300000000001</v>
      </c>
      <c r="I64" s="51">
        <f t="shared" si="36"/>
        <v>261.70100000000002</v>
      </c>
      <c r="J64" s="51">
        <f t="shared" si="36"/>
        <v>285.43900000000002</v>
      </c>
      <c r="K64" s="51">
        <f t="shared" si="36"/>
        <v>302.02299999999997</v>
      </c>
      <c r="L64" s="47">
        <f t="shared" si="36"/>
        <v>315.57599999999996</v>
      </c>
      <c r="M64" s="47">
        <f t="shared" si="36"/>
        <v>332.22199999999998</v>
      </c>
      <c r="N64" s="47">
        <f t="shared" si="36"/>
        <v>341.49499999999995</v>
      </c>
      <c r="O64" s="47">
        <f t="shared" si="36"/>
        <v>344.36099999999999</v>
      </c>
      <c r="P64" s="47">
        <f t="shared" si="36"/>
        <v>339.95700000000005</v>
      </c>
      <c r="Q64" s="21">
        <f t="shared" ca="1" si="36"/>
        <v>339.46876090874144</v>
      </c>
      <c r="R64" s="21">
        <f t="shared" ca="1" si="36"/>
        <v>338.04729938298192</v>
      </c>
      <c r="S64" s="21">
        <f t="shared" ca="1" si="36"/>
        <v>335.78863774695952</v>
      </c>
      <c r="T64" s="21">
        <f t="shared" ca="1" si="36"/>
        <v>332.27340624893725</v>
      </c>
      <c r="U64" s="21">
        <f t="shared" ca="1" si="36"/>
        <v>327.5231864328976</v>
      </c>
      <c r="V64" s="21">
        <f t="shared" ca="1" si="36"/>
        <v>321.4236506634503</v>
      </c>
      <c r="W64" s="21">
        <f t="shared" ca="1" si="36"/>
        <v>313.96391742497411</v>
      </c>
      <c r="X64" s="21">
        <f t="shared" ca="1" si="36"/>
        <v>305.16719541206317</v>
      </c>
      <c r="Y64" s="21">
        <f t="shared" ca="1" si="36"/>
        <v>295.05481822309827</v>
      </c>
      <c r="Z64" s="21">
        <f t="shared" ca="1" si="36"/>
        <v>283.63026444167707</v>
      </c>
    </row>
    <row r="65" spans="1:26" x14ac:dyDescent="0.25">
      <c r="A65" s="11" t="s">
        <v>761</v>
      </c>
      <c r="B65" s="11"/>
      <c r="C65" s="15"/>
      <c r="D65" s="94">
        <f t="shared" ref="D65:Z65" ca="1" si="37">D$63-D$64</f>
        <v>68.54400000000004</v>
      </c>
      <c r="E65" s="94">
        <f t="shared" ca="1" si="37"/>
        <v>47.116000000000014</v>
      </c>
      <c r="F65" s="94">
        <f t="shared" ca="1" si="37"/>
        <v>60.538000000000011</v>
      </c>
      <c r="G65" s="94">
        <f t="shared" ca="1" si="37"/>
        <v>45.283999999999992</v>
      </c>
      <c r="H65" s="94">
        <f t="shared" ca="1" si="37"/>
        <v>59.341000000000008</v>
      </c>
      <c r="I65" s="94">
        <f t="shared" ca="1" si="37"/>
        <v>65.039999999999964</v>
      </c>
      <c r="J65" s="94">
        <f t="shared" ca="1" si="37"/>
        <v>62.938999999999965</v>
      </c>
      <c r="K65" s="94">
        <f t="shared" ca="1" si="37"/>
        <v>64.661000000000001</v>
      </c>
      <c r="L65" s="95">
        <f t="shared" ca="1" si="37"/>
        <v>65.856000000000051</v>
      </c>
      <c r="M65" s="95">
        <f t="shared" ca="1" si="37"/>
        <v>71.62700000000001</v>
      </c>
      <c r="N65" s="95">
        <f t="shared" ca="1" si="37"/>
        <v>82.134000000000071</v>
      </c>
      <c r="O65" s="95">
        <f t="shared" ca="1" si="37"/>
        <v>96.706000000000074</v>
      </c>
      <c r="P65" s="95">
        <f t="shared" ca="1" si="37"/>
        <v>114.90700000000004</v>
      </c>
      <c r="Q65" s="96">
        <f t="shared" ca="1" si="37"/>
        <v>134.67253759931191</v>
      </c>
      <c r="R65" s="96">
        <f t="shared" ca="1" si="37"/>
        <v>156.24447778922564</v>
      </c>
      <c r="S65" s="96">
        <f t="shared" ca="1" si="37"/>
        <v>179.79988182746712</v>
      </c>
      <c r="T65" s="96">
        <f t="shared" ca="1" si="37"/>
        <v>205.4496328222649</v>
      </c>
      <c r="U65" s="96">
        <f t="shared" ca="1" si="37"/>
        <v>233.23623266340002</v>
      </c>
      <c r="V65" s="96">
        <f t="shared" ca="1" si="37"/>
        <v>263.3471984262934</v>
      </c>
      <c r="W65" s="96">
        <f t="shared" ca="1" si="37"/>
        <v>295.88799478523077</v>
      </c>
      <c r="X65" s="96">
        <f t="shared" ca="1" si="37"/>
        <v>330.97622946274896</v>
      </c>
      <c r="Y65" s="96">
        <f t="shared" ca="1" si="37"/>
        <v>368.78599738885492</v>
      </c>
      <c r="Z65" s="96">
        <f t="shared" ca="1" si="37"/>
        <v>409.4660695492542</v>
      </c>
    </row>
    <row r="66" spans="1:26" x14ac:dyDescent="0.25">
      <c r="A66" s="60" t="s">
        <v>1173</v>
      </c>
      <c r="B66" s="14" t="str">
        <f>$B$42</f>
        <v>Outturn &amp; Forecast only</v>
      </c>
      <c r="C66" s="15"/>
      <c r="D66" s="97" t="str">
        <f ca="1">IF(ROUND('Fiscal Forecasts'!D$200-D$65,3)=0,"OK","ERROR")</f>
        <v>OK</v>
      </c>
      <c r="E66" s="97" t="str">
        <f ca="1">IF(ROUND('Fiscal Forecasts'!E$200-E$65,3)=0,"OK","ERROR")</f>
        <v>OK</v>
      </c>
      <c r="F66" s="97" t="str">
        <f ca="1">IF(ROUND('Fiscal Forecasts'!F$200-F$65,3)=0,"OK","ERROR")</f>
        <v>OK</v>
      </c>
      <c r="G66" s="97" t="str">
        <f ca="1">IF(ROUND('Fiscal Forecasts'!G$200-G$65,3)=0,"OK","ERROR")</f>
        <v>OK</v>
      </c>
      <c r="H66" s="97" t="str">
        <f ca="1">IF(ROUND('Fiscal Forecasts'!H$200-H$65,3)=0,"OK","ERROR")</f>
        <v>OK</v>
      </c>
      <c r="I66" s="97" t="str">
        <f ca="1">IF(ROUND('Fiscal Forecasts'!I$200-I$65,3)=0,"OK","ERROR")</f>
        <v>OK</v>
      </c>
      <c r="J66" s="97" t="str">
        <f ca="1">IF(ROUND('Fiscal Forecasts'!J$200-J$65,3)=0,"OK","ERROR")</f>
        <v>OK</v>
      </c>
      <c r="K66" s="97" t="str">
        <f ca="1">IF(ROUND('Fiscal Forecasts'!K$200-K$65,3)=0,"OK","ERROR")</f>
        <v>OK</v>
      </c>
      <c r="L66" s="97" t="str">
        <f ca="1">IF(ROUND('Fiscal Forecasts'!L$200-L$65,3)=0,"OK","ERROR")</f>
        <v>OK</v>
      </c>
      <c r="M66" s="97" t="str">
        <f ca="1">IF(ROUND('Fiscal Forecasts'!M$200-M$65,3)=0,"OK","ERROR")</f>
        <v>OK</v>
      </c>
      <c r="N66" s="97" t="str">
        <f ca="1">IF(ROUND('Fiscal Forecasts'!N$200-N$65,3)=0,"OK","ERROR")</f>
        <v>OK</v>
      </c>
      <c r="O66" s="97" t="str">
        <f ca="1">IF(ROUND('Fiscal Forecasts'!O$200-O$65,3)=0,"OK","ERROR")</f>
        <v>OK</v>
      </c>
      <c r="P66" s="97" t="str">
        <f ca="1">IF(ROUND('Fiscal Forecasts'!P$200-P$65,3)=0,"OK","ERROR")</f>
        <v>OK</v>
      </c>
      <c r="Q66" s="17"/>
      <c r="R66" s="17"/>
      <c r="S66" s="17"/>
      <c r="T66" s="17"/>
      <c r="U66" s="17"/>
      <c r="V66" s="17"/>
      <c r="W66" s="17"/>
      <c r="X66" s="17"/>
      <c r="Y66" s="17"/>
      <c r="Z66" s="17"/>
    </row>
    <row r="67" spans="1:26" x14ac:dyDescent="0.25">
      <c r="A67" s="60" t="s">
        <v>1174</v>
      </c>
      <c r="B67" s="14" t="str">
        <f>$B$62</f>
        <v>Projected Years only</v>
      </c>
      <c r="C67" s="15"/>
      <c r="D67" s="89"/>
      <c r="E67" s="89"/>
      <c r="F67" s="89"/>
      <c r="G67" s="89"/>
      <c r="H67" s="89"/>
      <c r="I67" s="89"/>
      <c r="J67" s="89"/>
      <c r="K67" s="89"/>
      <c r="L67" s="66"/>
      <c r="M67" s="66"/>
      <c r="N67" s="66"/>
      <c r="O67" s="66"/>
      <c r="P67" s="66"/>
      <c r="Q67" s="97" t="str">
        <f t="shared" ref="Q67:Z67" ca="1" si="38">IF(ROUND(Q$49-(Q$65-P$65),3)=0,"OK","ERROR")</f>
        <v>OK</v>
      </c>
      <c r="R67" s="97" t="str">
        <f t="shared" ca="1" si="38"/>
        <v>OK</v>
      </c>
      <c r="S67" s="97" t="str">
        <f t="shared" ca="1" si="38"/>
        <v>OK</v>
      </c>
      <c r="T67" s="97" t="str">
        <f t="shared" ca="1" si="38"/>
        <v>OK</v>
      </c>
      <c r="U67" s="97" t="str">
        <f t="shared" ca="1" si="38"/>
        <v>OK</v>
      </c>
      <c r="V67" s="97" t="str">
        <f t="shared" ca="1" si="38"/>
        <v>OK</v>
      </c>
      <c r="W67" s="97" t="str">
        <f t="shared" ca="1" si="38"/>
        <v>OK</v>
      </c>
      <c r="X67" s="97" t="str">
        <f t="shared" ca="1" si="38"/>
        <v>OK</v>
      </c>
      <c r="Y67" s="97" t="str">
        <f t="shared" ca="1" si="38"/>
        <v>OK</v>
      </c>
      <c r="Z67" s="97" t="str">
        <f t="shared" ca="1" si="38"/>
        <v>OK</v>
      </c>
    </row>
    <row r="68" spans="1:26" x14ac:dyDescent="0.25">
      <c r="A68" s="11"/>
      <c r="B68" s="11"/>
      <c r="C68" s="15"/>
      <c r="D68" s="89"/>
      <c r="E68" s="89"/>
      <c r="F68" s="89"/>
      <c r="G68" s="89"/>
      <c r="H68" s="89"/>
      <c r="I68" s="89"/>
      <c r="J68" s="89"/>
      <c r="K68" s="89"/>
      <c r="L68" s="66"/>
      <c r="M68" s="66"/>
      <c r="N68" s="66"/>
      <c r="O68" s="66"/>
      <c r="P68" s="66"/>
      <c r="Q68" s="17"/>
      <c r="R68" s="17"/>
      <c r="S68" s="17"/>
      <c r="T68" s="17"/>
      <c r="U68" s="17"/>
      <c r="V68" s="17"/>
      <c r="W68" s="17"/>
      <c r="X68" s="17"/>
      <c r="Y68" s="17"/>
      <c r="Z68" s="17"/>
    </row>
    <row r="69" spans="1:26" x14ac:dyDescent="0.25">
      <c r="A69" s="57" t="s">
        <v>1175</v>
      </c>
      <c r="B69" s="11"/>
      <c r="C69" s="15"/>
      <c r="D69" s="89"/>
      <c r="E69" s="89"/>
      <c r="F69" s="89"/>
      <c r="G69" s="89"/>
      <c r="H69" s="89"/>
      <c r="I69" s="89"/>
      <c r="J69" s="89"/>
      <c r="K69" s="89"/>
      <c r="L69" s="89"/>
      <c r="M69" s="89"/>
      <c r="N69" s="89"/>
      <c r="O69" s="89"/>
      <c r="P69" s="89"/>
      <c r="Q69" s="15"/>
      <c r="R69" s="15"/>
      <c r="S69" s="15"/>
      <c r="T69" s="15"/>
      <c r="U69" s="15"/>
      <c r="V69" s="15"/>
      <c r="W69" s="15"/>
      <c r="X69" s="15"/>
      <c r="Y69" s="15"/>
      <c r="Z69" s="15"/>
    </row>
    <row r="70" spans="1:26" x14ac:dyDescent="0.25">
      <c r="A70" s="11" t="s">
        <v>1176</v>
      </c>
      <c r="B70" s="14" t="str">
        <f t="shared" ref="B70:B77" si="39">$B$38</f>
        <v>From Fiscal Forecasts</v>
      </c>
      <c r="C70" s="15"/>
      <c r="D70" s="51">
        <f>'Fiscal Forecasts'!D$137</f>
        <v>110.248</v>
      </c>
      <c r="E70" s="51">
        <f>'Fiscal Forecasts'!E$137</f>
        <v>152.71700000000001</v>
      </c>
      <c r="F70" s="51">
        <f>'Fiscal Forecasts'!F$137</f>
        <v>162.56</v>
      </c>
      <c r="G70" s="51">
        <f>'Fiscal Forecasts'!G$137</f>
        <v>203.965</v>
      </c>
      <c r="H70" s="51">
        <f>'Fiscal Forecasts'!H$137</f>
        <v>226.755</v>
      </c>
      <c r="I70" s="51">
        <f>'Fiscal Forecasts'!I$137</f>
        <v>250.94300000000001</v>
      </c>
      <c r="J70" s="51">
        <f>'Fiscal Forecasts'!J$137</f>
        <v>272.08499999999998</v>
      </c>
      <c r="K70" s="51">
        <f>'Fiscal Forecasts'!K$137</f>
        <v>293.99900000000002</v>
      </c>
      <c r="L70" s="47">
        <f>'Fiscal Forecasts'!L$137</f>
        <v>314.43099999999998</v>
      </c>
      <c r="M70" s="47">
        <f>'Fiscal Forecasts'!M$137</f>
        <v>335.178</v>
      </c>
      <c r="N70" s="47">
        <f>'Fiscal Forecasts'!N$137</f>
        <v>350.851</v>
      </c>
      <c r="O70" s="47">
        <f>'Fiscal Forecasts'!O$137</f>
        <v>360.36200000000002</v>
      </c>
      <c r="P70" s="47">
        <f>'Fiscal Forecasts'!P$137</f>
        <v>363.75400000000002</v>
      </c>
      <c r="Q70" s="21">
        <f t="shared" ref="Q70:Z70" ca="1" si="40">SUM(P$70,Q$108)</f>
        <v>366.91818042923188</v>
      </c>
      <c r="R70" s="21">
        <f t="shared" ca="1" si="40"/>
        <v>369.681440919723</v>
      </c>
      <c r="S70" s="21">
        <f t="shared" ca="1" si="40"/>
        <v>371.56741305921304</v>
      </c>
      <c r="T70" s="21">
        <f t="shared" ca="1" si="40"/>
        <v>371.95541159881554</v>
      </c>
      <c r="U70" s="21">
        <f t="shared" ca="1" si="40"/>
        <v>370.9560991981009</v>
      </c>
      <c r="V70" s="21">
        <f t="shared" ca="1" si="40"/>
        <v>368.62701953226417</v>
      </c>
      <c r="W70" s="21">
        <f t="shared" ca="1" si="40"/>
        <v>364.94446521880866</v>
      </c>
      <c r="X70" s="21">
        <f t="shared" ca="1" si="40"/>
        <v>359.9805857671069</v>
      </c>
      <c r="Y70" s="21">
        <f t="shared" ca="1" si="40"/>
        <v>353.69991864867347</v>
      </c>
      <c r="Z70" s="21">
        <f t="shared" ca="1" si="40"/>
        <v>346.17880313506896</v>
      </c>
    </row>
    <row r="71" spans="1:26" x14ac:dyDescent="0.25">
      <c r="A71" s="12" t="s">
        <v>967</v>
      </c>
      <c r="B71" s="14" t="str">
        <f t="shared" si="39"/>
        <v>From Fiscal Forecasts</v>
      </c>
      <c r="C71" s="15"/>
      <c r="D71" s="51">
        <f>'Fiscal Forecasts'!D$147</f>
        <v>91.51</v>
      </c>
      <c r="E71" s="51">
        <f>'Fiscal Forecasts'!E$147</f>
        <v>126.34099999999999</v>
      </c>
      <c r="F71" s="51">
        <f>'Fiscal Forecasts'!F$147</f>
        <v>132.54300000000001</v>
      </c>
      <c r="G71" s="51">
        <f>'Fiscal Forecasts'!G$147</f>
        <v>168.98599999999999</v>
      </c>
      <c r="H71" s="51">
        <f>'Fiscal Forecasts'!H$147</f>
        <v>191.029</v>
      </c>
      <c r="I71" s="51">
        <f>'Fiscal Forecasts'!I$147</f>
        <v>216.34899999999999</v>
      </c>
      <c r="J71" s="51">
        <f>'Fiscal Forecasts'!J$147</f>
        <v>238.96700000000001</v>
      </c>
      <c r="K71" s="51">
        <f>'Fiscal Forecasts'!K$147</f>
        <v>256.83699999999999</v>
      </c>
      <c r="L71" s="47">
        <f>'Fiscal Forecasts'!L$147</f>
        <v>272.78500000000003</v>
      </c>
      <c r="M71" s="47">
        <f>'Fiscal Forecasts'!M$147</f>
        <v>288.827</v>
      </c>
      <c r="N71" s="47">
        <f>'Fiscal Forecasts'!N$147</f>
        <v>299.25400000000002</v>
      </c>
      <c r="O71" s="47">
        <f>'Fiscal Forecasts'!O$147</f>
        <v>302.637</v>
      </c>
      <c r="P71" s="47">
        <f>'Fiscal Forecasts'!P$147</f>
        <v>298.476</v>
      </c>
      <c r="Q71" s="21">
        <f t="shared" ref="Q71:Z71" ca="1" si="41">SUM(P$71,Q$503)</f>
        <v>296.5677021641028</v>
      </c>
      <c r="R71" s="21">
        <f t="shared" ca="1" si="41"/>
        <v>294.29856196674245</v>
      </c>
      <c r="S71" s="21">
        <f t="shared" ca="1" si="41"/>
        <v>291.12864727561202</v>
      </c>
      <c r="T71" s="21">
        <f t="shared" ca="1" si="41"/>
        <v>286.63575394936305</v>
      </c>
      <c r="U71" s="21">
        <f t="shared" ca="1" si="41"/>
        <v>280.86610886385694</v>
      </c>
      <c r="V71" s="21">
        <f t="shared" ca="1" si="41"/>
        <v>273.71266686816</v>
      </c>
      <c r="W71" s="21">
        <f t="shared" ca="1" si="41"/>
        <v>265.16423977307869</v>
      </c>
      <c r="X71" s="21">
        <f t="shared" ca="1" si="41"/>
        <v>255.24064995220175</v>
      </c>
      <c r="Y71" s="21">
        <f t="shared" ca="1" si="41"/>
        <v>243.95690732868587</v>
      </c>
      <c r="Z71" s="21">
        <f t="shared" ca="1" si="41"/>
        <v>231.3143019537126</v>
      </c>
    </row>
    <row r="72" spans="1:26" x14ac:dyDescent="0.25">
      <c r="A72" s="12" t="s">
        <v>968</v>
      </c>
      <c r="B72" s="14" t="str">
        <f t="shared" si="39"/>
        <v>From Fiscal Forecasts</v>
      </c>
      <c r="C72" s="15"/>
      <c r="D72" s="50">
        <f>'Fiscal Forecasts'!D$148</f>
        <v>0.251</v>
      </c>
      <c r="E72" s="50">
        <f>'Fiscal Forecasts'!E$148</f>
        <v>5.5E-2</v>
      </c>
      <c r="F72" s="50">
        <f>'Fiscal Forecasts'!F$148</f>
        <v>2.1000000000000001E-2</v>
      </c>
      <c r="G72" s="50">
        <f>'Fiscal Forecasts'!G$148</f>
        <v>0.20799999999999999</v>
      </c>
      <c r="H72" s="50">
        <f>'Fiscal Forecasts'!H$148</f>
        <v>0.96199999999999997</v>
      </c>
      <c r="I72" s="50">
        <f>'Fiscal Forecasts'!I$148</f>
        <v>0.84699999999999998</v>
      </c>
      <c r="J72" s="50">
        <f>'Fiscal Forecasts'!J$148</f>
        <v>0.46700000000000003</v>
      </c>
      <c r="K72" s="50">
        <f>'Fiscal Forecasts'!K$148</f>
        <v>0.50700000000000001</v>
      </c>
      <c r="L72" s="48">
        <f>'Fiscal Forecasts'!L$148</f>
        <v>0.42099999999999999</v>
      </c>
      <c r="M72" s="48">
        <f>'Fiscal Forecasts'!M$148</f>
        <v>1.792</v>
      </c>
      <c r="N72" s="48">
        <f>'Fiscal Forecasts'!N$148</f>
        <v>1.0980000000000001</v>
      </c>
      <c r="O72" s="48">
        <f>'Fiscal Forecasts'!O$148</f>
        <v>0.76200000000000001</v>
      </c>
      <c r="P72" s="48">
        <f>'Fiscal Forecasts'!P$148</f>
        <v>0.60799999999999998</v>
      </c>
      <c r="Q72" s="20">
        <f t="shared" ref="Q72:Z72" ca="1" si="42">P$72*(1+Q$29)</f>
        <v>0.62016000000000004</v>
      </c>
      <c r="R72" s="20">
        <f t="shared" ca="1" si="42"/>
        <v>0.6325632000000001</v>
      </c>
      <c r="S72" s="20">
        <f t="shared" ca="1" si="42"/>
        <v>0.64521446400000015</v>
      </c>
      <c r="T72" s="20">
        <f t="shared" ca="1" si="42"/>
        <v>0.65811875328000013</v>
      </c>
      <c r="U72" s="20">
        <f t="shared" ca="1" si="42"/>
        <v>0.67128112834560016</v>
      </c>
      <c r="V72" s="20">
        <f t="shared" ca="1" si="42"/>
        <v>0.68470675091251221</v>
      </c>
      <c r="W72" s="20">
        <f t="shared" ca="1" si="42"/>
        <v>0.69840088593076244</v>
      </c>
      <c r="X72" s="20">
        <f t="shared" ca="1" si="42"/>
        <v>0.71236890364937766</v>
      </c>
      <c r="Y72" s="20">
        <f t="shared" ca="1" si="42"/>
        <v>0.72661628172236525</v>
      </c>
      <c r="Z72" s="20">
        <f t="shared" ca="1" si="42"/>
        <v>0.74114860735681254</v>
      </c>
    </row>
    <row r="73" spans="1:26" x14ac:dyDescent="0.25">
      <c r="A73" s="12" t="s">
        <v>1177</v>
      </c>
      <c r="B73" s="14" t="str">
        <f t="shared" si="39"/>
        <v>From Fiscal Forecasts</v>
      </c>
      <c r="C73" s="15"/>
      <c r="D73" s="50">
        <f>'Fiscal Forecasts'!D$149</f>
        <v>0.90300000000000002</v>
      </c>
      <c r="E73" s="50">
        <f>'Fiscal Forecasts'!E$149</f>
        <v>2.6749999999999998</v>
      </c>
      <c r="F73" s="50">
        <f>'Fiscal Forecasts'!F$149</f>
        <v>2.2170000000000001</v>
      </c>
      <c r="G73" s="50">
        <f>'Fiscal Forecasts'!G$149</f>
        <v>9.99</v>
      </c>
      <c r="H73" s="50">
        <f>'Fiscal Forecasts'!H$149</f>
        <v>3.093</v>
      </c>
      <c r="I73" s="50">
        <f>'Fiscal Forecasts'!I$149</f>
        <v>2.754</v>
      </c>
      <c r="J73" s="50">
        <f>'Fiscal Forecasts'!J$149</f>
        <v>2.7149999999999999</v>
      </c>
      <c r="K73" s="50">
        <f>'Fiscal Forecasts'!K$149</f>
        <v>4.415</v>
      </c>
      <c r="L73" s="48">
        <f>'Fiscal Forecasts'!L$149</f>
        <v>4.3499999999999996</v>
      </c>
      <c r="M73" s="48">
        <f>'Fiscal Forecasts'!M$149</f>
        <v>5.7210000000000001</v>
      </c>
      <c r="N73" s="48">
        <f>'Fiscal Forecasts'!N$149</f>
        <v>5.0469999999999997</v>
      </c>
      <c r="O73" s="48">
        <f>'Fiscal Forecasts'!O$149</f>
        <v>4.7359999999999998</v>
      </c>
      <c r="P73" s="48">
        <f>'Fiscal Forecasts'!P$149</f>
        <v>4.5789999999999997</v>
      </c>
      <c r="Q73" s="20">
        <f ca="1">OFFSET(Assumptions!$B$54,0,$C$1)*Q$385</f>
        <v>4.7568455514746164</v>
      </c>
      <c r="R73" s="20">
        <f ca="1">OFFSET(Assumptions!$B$54,0,$C$1)*R$385</f>
        <v>5.0458367829519233</v>
      </c>
      <c r="S73" s="20">
        <f ca="1">OFFSET(Assumptions!$B$54,0,$C$1)*S$385</f>
        <v>5.3465925868654764</v>
      </c>
      <c r="T73" s="20">
        <f ca="1">OFFSET(Assumptions!$B$54,0,$C$1)*T$385</f>
        <v>5.6601489194473302</v>
      </c>
      <c r="U73" s="20">
        <f ca="1">OFFSET(Assumptions!$B$54,0,$C$1)*U$385</f>
        <v>5.9852929840667644</v>
      </c>
      <c r="V73" s="20">
        <f ca="1">OFFSET(Assumptions!$B$54,0,$C$1)*V$385</f>
        <v>6.3240860466159106</v>
      </c>
      <c r="W73" s="20">
        <f ca="1">OFFSET(Assumptions!$B$54,0,$C$1)*W$385</f>
        <v>6.6798401572095205</v>
      </c>
      <c r="X73" s="20">
        <f ca="1">OFFSET(Assumptions!$B$54,0,$C$1)*X$385</f>
        <v>7.056074575576182</v>
      </c>
      <c r="Y73" s="20">
        <f ca="1">OFFSET(Assumptions!$B$54,0,$C$1)*Y$385</f>
        <v>7.4575069938944782</v>
      </c>
      <c r="Z73" s="20">
        <f ca="1">OFFSET(Assumptions!$B$54,0,$C$1)*Z$385</f>
        <v>7.8884002076615136</v>
      </c>
    </row>
    <row r="74" spans="1:26" x14ac:dyDescent="0.25">
      <c r="A74" s="12" t="s">
        <v>1178</v>
      </c>
      <c r="B74" s="14" t="str">
        <f t="shared" si="39"/>
        <v>From Fiscal Forecasts</v>
      </c>
      <c r="C74" s="15"/>
      <c r="D74" s="50">
        <f>'Fiscal Forecasts'!D$150</f>
        <v>92.590999999999994</v>
      </c>
      <c r="E74" s="50">
        <f>'Fiscal Forecasts'!E$150</f>
        <v>101.77800000000001</v>
      </c>
      <c r="F74" s="50">
        <f>'Fiscal Forecasts'!F$150</f>
        <v>108.423</v>
      </c>
      <c r="G74" s="50">
        <f>'Fiscal Forecasts'!G$150</f>
        <v>121.13800000000001</v>
      </c>
      <c r="H74" s="50">
        <f>'Fiscal Forecasts'!H$150</f>
        <v>135.595</v>
      </c>
      <c r="I74" s="50">
        <f>'Fiscal Forecasts'!I$150</f>
        <v>154.9</v>
      </c>
      <c r="J74" s="50">
        <f>'Fiscal Forecasts'!J$150</f>
        <v>173.536</v>
      </c>
      <c r="K74" s="50">
        <f>'Fiscal Forecasts'!K$150</f>
        <v>187.077</v>
      </c>
      <c r="L74" s="48">
        <f>'Fiscal Forecasts'!L$150</f>
        <v>192.446</v>
      </c>
      <c r="M74" s="48">
        <f>'Fiscal Forecasts'!M$150</f>
        <v>204.63399999999999</v>
      </c>
      <c r="N74" s="48">
        <f>'Fiscal Forecasts'!N$150</f>
        <v>215.44399999999999</v>
      </c>
      <c r="O74" s="48">
        <f>'Fiscal Forecasts'!O$150</f>
        <v>225.17400000000001</v>
      </c>
      <c r="P74" s="48">
        <f>'Fiscal Forecasts'!P$150</f>
        <v>231.40600000000001</v>
      </c>
      <c r="Q74" s="20">
        <f t="shared" ref="Q74:Z74" ca="1" si="43">SUM(Q$346,Q$359,Q$368,Q$388,Q$394)</f>
        <v>242.74716228350877</v>
      </c>
      <c r="R74" s="20">
        <f t="shared" ca="1" si="43"/>
        <v>254.59340411443225</v>
      </c>
      <c r="S74" s="20">
        <f t="shared" ca="1" si="43"/>
        <v>266.86661622051332</v>
      </c>
      <c r="T74" s="20">
        <f t="shared" ca="1" si="43"/>
        <v>279.58555031778002</v>
      </c>
      <c r="U74" s="20">
        <f t="shared" ca="1" si="43"/>
        <v>292.75058109283373</v>
      </c>
      <c r="V74" s="20">
        <f t="shared" ca="1" si="43"/>
        <v>306.42947780044068</v>
      </c>
      <c r="W74" s="20">
        <f t="shared" ca="1" si="43"/>
        <v>320.70143799011407</v>
      </c>
      <c r="X74" s="20">
        <f t="shared" ca="1" si="43"/>
        <v>335.68138407285397</v>
      </c>
      <c r="Y74" s="20">
        <f t="shared" ca="1" si="43"/>
        <v>351.53260955133226</v>
      </c>
      <c r="Z74" s="20">
        <f t="shared" ca="1" si="43"/>
        <v>368.38126568000575</v>
      </c>
    </row>
    <row r="75" spans="1:26" x14ac:dyDescent="0.25">
      <c r="A75" s="12" t="s">
        <v>1179</v>
      </c>
      <c r="B75" s="14" t="str">
        <f t="shared" si="39"/>
        <v>From Fiscal Forecasts</v>
      </c>
      <c r="C75" s="15"/>
      <c r="D75" s="50">
        <f>'Fiscal Forecasts'!D$151</f>
        <v>0.66900000000000004</v>
      </c>
      <c r="E75" s="50">
        <f>'Fiscal Forecasts'!E$151</f>
        <v>1.9E-2</v>
      </c>
      <c r="F75" s="50">
        <f>'Fiscal Forecasts'!F$151</f>
        <v>5.6000000000000001E-2</v>
      </c>
      <c r="G75" s="50">
        <f>'Fiscal Forecasts'!G$151</f>
        <v>0.55100000000000005</v>
      </c>
      <c r="H75" s="50">
        <f>'Fiscal Forecasts'!H$151</f>
        <v>2.5649999999999999</v>
      </c>
      <c r="I75" s="50">
        <f>'Fiscal Forecasts'!I$151</f>
        <v>3.278</v>
      </c>
      <c r="J75" s="50">
        <f>'Fiscal Forecasts'!J$151</f>
        <v>2.2450000000000001</v>
      </c>
      <c r="K75" s="50">
        <f>'Fiscal Forecasts'!K$151</f>
        <v>5.1029999999999998</v>
      </c>
      <c r="L75" s="48">
        <f>'Fiscal Forecasts'!L$151</f>
        <v>2.6880000000000002</v>
      </c>
      <c r="M75" s="48">
        <f>'Fiscal Forecasts'!M$151</f>
        <v>2.7130000000000001</v>
      </c>
      <c r="N75" s="48">
        <f>'Fiscal Forecasts'!N$151</f>
        <v>2.738</v>
      </c>
      <c r="O75" s="48">
        <f>'Fiscal Forecasts'!O$151</f>
        <v>2.7669999999999999</v>
      </c>
      <c r="P75" s="48">
        <f>'Fiscal Forecasts'!P$151</f>
        <v>2.7970000000000002</v>
      </c>
      <c r="Q75" s="20">
        <f t="shared" ref="Q75:Z75" ca="1" si="44">P$75*(1+Q$29)</f>
        <v>2.8529400000000003</v>
      </c>
      <c r="R75" s="20">
        <f t="shared" ca="1" si="44"/>
        <v>2.9099988000000003</v>
      </c>
      <c r="S75" s="20">
        <f t="shared" ca="1" si="44"/>
        <v>2.9681987760000004</v>
      </c>
      <c r="T75" s="20">
        <f t="shared" ca="1" si="44"/>
        <v>3.0275627515200005</v>
      </c>
      <c r="U75" s="20">
        <f t="shared" ca="1" si="44"/>
        <v>3.0881140065504007</v>
      </c>
      <c r="V75" s="20">
        <f t="shared" ca="1" si="44"/>
        <v>3.1498762866814087</v>
      </c>
      <c r="W75" s="20">
        <f t="shared" ca="1" si="44"/>
        <v>3.2128738124150371</v>
      </c>
      <c r="X75" s="20">
        <f t="shared" ca="1" si="44"/>
        <v>3.2771312886633379</v>
      </c>
      <c r="Y75" s="20">
        <f t="shared" ca="1" si="44"/>
        <v>3.3426739144366047</v>
      </c>
      <c r="Z75" s="20">
        <f t="shared" ca="1" si="44"/>
        <v>3.4095273927253369</v>
      </c>
    </row>
    <row r="76" spans="1:26" x14ac:dyDescent="0.25">
      <c r="A76" s="12" t="s">
        <v>972</v>
      </c>
      <c r="B76" s="14" t="str">
        <f t="shared" si="39"/>
        <v>From Fiscal Forecasts</v>
      </c>
      <c r="C76" s="15"/>
      <c r="D76" s="50">
        <f>'Fiscal Forecasts'!D$152</f>
        <v>46.292999999999999</v>
      </c>
      <c r="E76" s="50">
        <f>'Fiscal Forecasts'!E$152</f>
        <v>46.895000000000003</v>
      </c>
      <c r="F76" s="50">
        <f>'Fiscal Forecasts'!F$152</f>
        <v>61.483999999999995</v>
      </c>
      <c r="G76" s="50">
        <f>'Fiscal Forecasts'!G$152</f>
        <v>65.254999999999995</v>
      </c>
      <c r="H76" s="50">
        <f>'Fiscal Forecasts'!H$152</f>
        <v>67.994000000000014</v>
      </c>
      <c r="I76" s="50">
        <f>'Fiscal Forecasts'!I$152</f>
        <v>78.811999999999998</v>
      </c>
      <c r="J76" s="50">
        <f>'Fiscal Forecasts'!J$152</f>
        <v>86.921999999999997</v>
      </c>
      <c r="K76" s="50">
        <f>'Fiscal Forecasts'!K$152</f>
        <v>98.022999999999996</v>
      </c>
      <c r="L76" s="48">
        <f>'Fiscal Forecasts'!L$152</f>
        <v>105.09699999999999</v>
      </c>
      <c r="M76" s="48">
        <f>'Fiscal Forecasts'!M$152</f>
        <v>112.59399999999999</v>
      </c>
      <c r="N76" s="48">
        <f>'Fiscal Forecasts'!N$152</f>
        <v>118.619</v>
      </c>
      <c r="O76" s="48">
        <f>'Fiscal Forecasts'!O$152</f>
        <v>125.54</v>
      </c>
      <c r="P76" s="48">
        <f>'Fiscal Forecasts'!P$152</f>
        <v>133.102</v>
      </c>
      <c r="Q76" s="20">
        <f t="shared" ref="Q76:Z76" ca="1" si="45">SUM(Q$344,Q$357,Q$366,Q$388,Q$391,Q$75-Q$72)</f>
        <v>141.17895341413401</v>
      </c>
      <c r="R76" s="20">
        <f t="shared" ca="1" si="45"/>
        <v>149.69868256050586</v>
      </c>
      <c r="S76" s="20">
        <f t="shared" ca="1" si="45"/>
        <v>158.56431742057208</v>
      </c>
      <c r="T76" s="20">
        <f t="shared" ca="1" si="45"/>
        <v>167.80625672734377</v>
      </c>
      <c r="U76" s="20">
        <f t="shared" ca="1" si="45"/>
        <v>177.38895173659665</v>
      </c>
      <c r="V76" s="20">
        <f t="shared" ca="1" si="45"/>
        <v>187.37287054807871</v>
      </c>
      <c r="W76" s="20">
        <f t="shared" ca="1" si="45"/>
        <v>197.85516263638252</v>
      </c>
      <c r="X76" s="20">
        <f t="shared" ca="1" si="45"/>
        <v>208.93905456801838</v>
      </c>
      <c r="Y76" s="20">
        <f t="shared" ca="1" si="45"/>
        <v>220.76291901013278</v>
      </c>
      <c r="Z76" s="20">
        <f t="shared" ca="1" si="45"/>
        <v>233.4517885405358</v>
      </c>
    </row>
    <row r="77" spans="1:26" x14ac:dyDescent="0.25">
      <c r="A77" s="12" t="s">
        <v>973</v>
      </c>
      <c r="B77" s="14" t="str">
        <f t="shared" si="39"/>
        <v>From Fiscal Forecasts</v>
      </c>
      <c r="C77" s="15"/>
      <c r="D77" s="50">
        <f>'Fiscal Forecasts'!D$153</f>
        <v>13.845000000000001</v>
      </c>
      <c r="E77" s="50">
        <f>'Fiscal Forecasts'!E$153</f>
        <v>14.555999999999999</v>
      </c>
      <c r="F77" s="50">
        <f>'Fiscal Forecasts'!F$153</f>
        <v>18.728000000000002</v>
      </c>
      <c r="G77" s="50">
        <f>'Fiscal Forecasts'!G$153</f>
        <v>26.103000000000002</v>
      </c>
      <c r="H77" s="50">
        <f>'Fiscal Forecasts'!H$153</f>
        <v>36.540999999999997</v>
      </c>
      <c r="I77" s="50">
        <f>'Fiscal Forecasts'!I$153</f>
        <v>40.387999999999998</v>
      </c>
      <c r="J77" s="50">
        <f>'Fiscal Forecasts'!J$153</f>
        <v>34.311</v>
      </c>
      <c r="K77" s="50">
        <f>'Fiscal Forecasts'!K$153</f>
        <v>27.931000000000001</v>
      </c>
      <c r="L77" s="48">
        <f>'Fiscal Forecasts'!L$153</f>
        <v>30.812000000000001</v>
      </c>
      <c r="M77" s="48">
        <f>'Fiscal Forecasts'!M$153</f>
        <v>32.81</v>
      </c>
      <c r="N77" s="48">
        <f>'Fiscal Forecasts'!N$153</f>
        <v>34.792000000000002</v>
      </c>
      <c r="O77" s="48">
        <f>'Fiscal Forecasts'!O$153</f>
        <v>36.500999999999998</v>
      </c>
      <c r="P77" s="48">
        <f>'Fiscal Forecasts'!P$153</f>
        <v>36.365000000000002</v>
      </c>
      <c r="Q77" s="20">
        <f t="shared" ref="Q77:Z77" ca="1" si="46">SUM(Q$392:Q$393)</f>
        <v>36.881439999999998</v>
      </c>
      <c r="R77" s="20">
        <f t="shared" ca="1" si="46"/>
        <v>37.404168800000001</v>
      </c>
      <c r="S77" s="20">
        <f t="shared" ca="1" si="46"/>
        <v>37.933392176000005</v>
      </c>
      <c r="T77" s="20">
        <f t="shared" ca="1" si="46"/>
        <v>38.464320019520002</v>
      </c>
      <c r="U77" s="20">
        <f t="shared" ca="1" si="46"/>
        <v>38.997166419910407</v>
      </c>
      <c r="V77" s="20">
        <f t="shared" ca="1" si="46"/>
        <v>39.538149748308612</v>
      </c>
      <c r="W77" s="20">
        <f t="shared" ca="1" si="46"/>
        <v>40.085492743274791</v>
      </c>
      <c r="X77" s="20">
        <f t="shared" ca="1" si="46"/>
        <v>40.645422598140286</v>
      </c>
      <c r="Y77" s="20">
        <f t="shared" ca="1" si="46"/>
        <v>41.225171050103093</v>
      </c>
      <c r="Z77" s="20">
        <f t="shared" ca="1" si="46"/>
        <v>41.824974471105158</v>
      </c>
    </row>
    <row r="78" spans="1:26" x14ac:dyDescent="0.25">
      <c r="A78" s="11" t="s">
        <v>1180</v>
      </c>
      <c r="B78" s="11"/>
      <c r="C78" s="15"/>
      <c r="D78" s="94">
        <f t="shared" ref="D78:Z78" si="47">SUM(D$71,D$72,D$76,D$77)-SUM(D$73,D$74,D$75)</f>
        <v>57.736000000000004</v>
      </c>
      <c r="E78" s="94">
        <f t="shared" si="47"/>
        <v>83.375</v>
      </c>
      <c r="F78" s="94">
        <f t="shared" si="47"/>
        <v>102.08000000000001</v>
      </c>
      <c r="G78" s="94">
        <f t="shared" si="47"/>
        <v>128.87299999999996</v>
      </c>
      <c r="H78" s="94">
        <f t="shared" si="47"/>
        <v>155.27300000000002</v>
      </c>
      <c r="I78" s="94">
        <f t="shared" si="47"/>
        <v>175.46399999999997</v>
      </c>
      <c r="J78" s="94">
        <f t="shared" si="47"/>
        <v>182.17099999999996</v>
      </c>
      <c r="K78" s="94">
        <f t="shared" si="47"/>
        <v>186.70299999999995</v>
      </c>
      <c r="L78" s="95">
        <f t="shared" si="47"/>
        <v>209.63100000000003</v>
      </c>
      <c r="M78" s="95">
        <f t="shared" si="47"/>
        <v>222.95499999999998</v>
      </c>
      <c r="N78" s="95">
        <f t="shared" si="47"/>
        <v>230.53400000000005</v>
      </c>
      <c r="O78" s="95">
        <f t="shared" si="47"/>
        <v>232.76300000000001</v>
      </c>
      <c r="P78" s="95">
        <f t="shared" si="47"/>
        <v>229.76900000000003</v>
      </c>
      <c r="Q78" s="99">
        <f t="shared" ca="1" si="47"/>
        <v>224.89130774325344</v>
      </c>
      <c r="R78" s="99">
        <f t="shared" ca="1" si="47"/>
        <v>219.48473682986412</v>
      </c>
      <c r="S78" s="99">
        <f t="shared" ca="1" si="47"/>
        <v>213.09016375280527</v>
      </c>
      <c r="T78" s="99">
        <f t="shared" ca="1" si="47"/>
        <v>205.29118746075949</v>
      </c>
      <c r="U78" s="99">
        <f t="shared" ca="1" si="47"/>
        <v>196.09952006525867</v>
      </c>
      <c r="V78" s="99">
        <f t="shared" ca="1" si="47"/>
        <v>185.40495378172187</v>
      </c>
      <c r="W78" s="99">
        <f t="shared" ca="1" si="47"/>
        <v>173.20914407892815</v>
      </c>
      <c r="X78" s="99">
        <f t="shared" ca="1" si="47"/>
        <v>159.52290608491631</v>
      </c>
      <c r="Y78" s="99">
        <f t="shared" ca="1" si="47"/>
        <v>144.33882321098076</v>
      </c>
      <c r="Z78" s="99">
        <f t="shared" ca="1" si="47"/>
        <v>127.65302029231782</v>
      </c>
    </row>
    <row r="79" spans="1:26" x14ac:dyDescent="0.25">
      <c r="A79" s="12" t="s">
        <v>975</v>
      </c>
      <c r="B79" s="14" t="str">
        <f>$B$38</f>
        <v>From Fiscal Forecasts</v>
      </c>
      <c r="C79" s="15"/>
      <c r="D79" s="50">
        <f>'Fiscal Forecasts'!D$155</f>
        <v>6.931</v>
      </c>
      <c r="E79" s="50">
        <f>'Fiscal Forecasts'!E$155</f>
        <v>11.111000000000001</v>
      </c>
      <c r="F79" s="50">
        <f>'Fiscal Forecasts'!F$155</f>
        <v>11.836</v>
      </c>
      <c r="G79" s="50">
        <f>'Fiscal Forecasts'!G$155</f>
        <v>14.345000000000001</v>
      </c>
      <c r="H79" s="50">
        <f>'Fiscal Forecasts'!H$155</f>
        <v>48.11</v>
      </c>
      <c r="I79" s="50">
        <f>'Fiscal Forecasts'!I$155</f>
        <v>56.47</v>
      </c>
      <c r="J79" s="50">
        <f>'Fiscal Forecasts'!J$155</f>
        <v>61.85</v>
      </c>
      <c r="K79" s="50">
        <f>'Fiscal Forecasts'!K$155</f>
        <v>66.849000000000004</v>
      </c>
      <c r="L79" s="48">
        <f>'Fiscal Forecasts'!L$155</f>
        <v>72.600999999999999</v>
      </c>
      <c r="M79" s="48">
        <f>'Fiscal Forecasts'!M$155</f>
        <v>78.403000000000006</v>
      </c>
      <c r="N79" s="48">
        <f>'Fiscal Forecasts'!N$155</f>
        <v>84.54</v>
      </c>
      <c r="O79" s="48">
        <f>'Fiscal Forecasts'!O$155</f>
        <v>91.457999999999998</v>
      </c>
      <c r="P79" s="48">
        <f>'Fiscal Forecasts'!P$155</f>
        <v>97.852999999999994</v>
      </c>
      <c r="Q79" s="20">
        <f t="shared" ref="Q79:Z79" ca="1" si="48">P$79+Q$80-P$80</f>
        <v>100.62866009477827</v>
      </c>
      <c r="R79" s="20">
        <f t="shared" ca="1" si="48"/>
        <v>103.46088699805713</v>
      </c>
      <c r="S79" s="20">
        <f t="shared" ca="1" si="48"/>
        <v>106.36814748235437</v>
      </c>
      <c r="T79" s="20">
        <f t="shared" ca="1" si="48"/>
        <v>109.3436414274905</v>
      </c>
      <c r="U79" s="20">
        <f t="shared" ca="1" si="48"/>
        <v>112.42289304238348</v>
      </c>
      <c r="V79" s="20">
        <f t="shared" ca="1" si="48"/>
        <v>115.60699742608826</v>
      </c>
      <c r="W79" s="20">
        <f t="shared" ca="1" si="48"/>
        <v>118.87989082463154</v>
      </c>
      <c r="X79" s="20">
        <f t="shared" ca="1" si="48"/>
        <v>122.24702998763811</v>
      </c>
      <c r="Y79" s="20">
        <f t="shared" ca="1" si="48"/>
        <v>125.72602294076746</v>
      </c>
      <c r="Z79" s="20">
        <f t="shared" ca="1" si="48"/>
        <v>129.3177669681636</v>
      </c>
    </row>
    <row r="80" spans="1:26" x14ac:dyDescent="0.25">
      <c r="A80" s="12" t="s">
        <v>1181</v>
      </c>
      <c r="B80" s="14" t="str">
        <f>$B$38</f>
        <v>From Fiscal Forecasts</v>
      </c>
      <c r="C80" s="15"/>
      <c r="D80" s="50">
        <f>'Fiscal Forecasts'!D$156</f>
        <v>0</v>
      </c>
      <c r="E80" s="50">
        <f>'Fiscal Forecasts'!E$156</f>
        <v>0</v>
      </c>
      <c r="F80" s="50">
        <f>'Fiscal Forecasts'!F$156</f>
        <v>0</v>
      </c>
      <c r="G80" s="50">
        <f>'Fiscal Forecasts'!G$156</f>
        <v>0</v>
      </c>
      <c r="H80" s="50">
        <f>'Fiscal Forecasts'!H$156</f>
        <v>30.574000000000002</v>
      </c>
      <c r="I80" s="50">
        <f>'Fiscal Forecasts'!I$156</f>
        <v>33.290999999999997</v>
      </c>
      <c r="J80" s="50">
        <f>'Fiscal Forecasts'!J$156</f>
        <v>36.783999999999999</v>
      </c>
      <c r="K80" s="50">
        <f>'Fiscal Forecasts'!K$156</f>
        <v>40.920999999999999</v>
      </c>
      <c r="L80" s="48">
        <f>'Fiscal Forecasts'!L$156</f>
        <v>44.921999999999997</v>
      </c>
      <c r="M80" s="48">
        <f>'Fiscal Forecasts'!M$156</f>
        <v>49.701000000000001</v>
      </c>
      <c r="N80" s="48">
        <f>'Fiscal Forecasts'!N$156</f>
        <v>55.195999999999998</v>
      </c>
      <c r="O80" s="48">
        <f>'Fiscal Forecasts'!O$156</f>
        <v>61.332999999999998</v>
      </c>
      <c r="P80" s="48">
        <f>'Fiscal Forecasts'!P$156</f>
        <v>67.436000000000007</v>
      </c>
      <c r="Q80" s="20">
        <f t="shared" ref="Q80:Z80" ca="1" si="49">P$80+Q$395-P$395</f>
        <v>70.211660094778296</v>
      </c>
      <c r="R80" s="20">
        <f t="shared" ca="1" si="49"/>
        <v>73.043886998057161</v>
      </c>
      <c r="S80" s="20">
        <f t="shared" ca="1" si="49"/>
        <v>75.951147482354401</v>
      </c>
      <c r="T80" s="20">
        <f t="shared" ca="1" si="49"/>
        <v>78.926641427490537</v>
      </c>
      <c r="U80" s="20">
        <f t="shared" ca="1" si="49"/>
        <v>82.005893042383505</v>
      </c>
      <c r="V80" s="20">
        <f t="shared" ca="1" si="49"/>
        <v>85.189997426088283</v>
      </c>
      <c r="W80" s="20">
        <f t="shared" ca="1" si="49"/>
        <v>88.462890824631586</v>
      </c>
      <c r="X80" s="20">
        <f t="shared" ca="1" si="49"/>
        <v>91.830029987638156</v>
      </c>
      <c r="Y80" s="20">
        <f t="shared" ca="1" si="49"/>
        <v>95.30902294076752</v>
      </c>
      <c r="Z80" s="20">
        <f t="shared" ca="1" si="49"/>
        <v>98.900766968163651</v>
      </c>
    </row>
    <row r="81" spans="1:26" x14ac:dyDescent="0.25">
      <c r="A81" s="11" t="s">
        <v>856</v>
      </c>
      <c r="B81" s="11"/>
      <c r="C81" s="15"/>
      <c r="D81" s="94">
        <f t="shared" ref="D81:Z81" si="50">SUM(D$78,D$79)-SUM(D$77,D$80)</f>
        <v>50.822000000000003</v>
      </c>
      <c r="E81" s="94">
        <f t="shared" si="50"/>
        <v>79.930000000000007</v>
      </c>
      <c r="F81" s="94">
        <f t="shared" si="50"/>
        <v>95.188000000000017</v>
      </c>
      <c r="G81" s="94">
        <f t="shared" si="50"/>
        <v>117.11499999999995</v>
      </c>
      <c r="H81" s="94">
        <f t="shared" si="50"/>
        <v>136.26800000000003</v>
      </c>
      <c r="I81" s="94">
        <f t="shared" si="50"/>
        <v>158.25499999999997</v>
      </c>
      <c r="J81" s="94">
        <f t="shared" si="50"/>
        <v>172.92599999999996</v>
      </c>
      <c r="K81" s="94">
        <f t="shared" si="50"/>
        <v>184.69999999999996</v>
      </c>
      <c r="L81" s="95">
        <f t="shared" si="50"/>
        <v>206.49800000000005</v>
      </c>
      <c r="M81" s="95">
        <f t="shared" si="50"/>
        <v>218.84700000000001</v>
      </c>
      <c r="N81" s="95">
        <f t="shared" si="50"/>
        <v>225.08600000000007</v>
      </c>
      <c r="O81" s="95">
        <f t="shared" si="50"/>
        <v>226.387</v>
      </c>
      <c r="P81" s="95">
        <f t="shared" si="50"/>
        <v>223.821</v>
      </c>
      <c r="Q81" s="99">
        <f t="shared" ca="1" si="50"/>
        <v>218.42686774325338</v>
      </c>
      <c r="R81" s="99">
        <f t="shared" ca="1" si="50"/>
        <v>212.49756802986411</v>
      </c>
      <c r="S81" s="99">
        <f t="shared" ca="1" si="50"/>
        <v>205.5737715768052</v>
      </c>
      <c r="T81" s="99">
        <f t="shared" ca="1" si="50"/>
        <v>197.24386744123947</v>
      </c>
      <c r="U81" s="99">
        <f t="shared" ca="1" si="50"/>
        <v>187.51935364534822</v>
      </c>
      <c r="V81" s="99">
        <f t="shared" ca="1" si="50"/>
        <v>176.28380403341322</v>
      </c>
      <c r="W81" s="99">
        <f t="shared" ca="1" si="50"/>
        <v>163.54065133565334</v>
      </c>
      <c r="X81" s="99">
        <f t="shared" ca="1" si="50"/>
        <v>149.29448348677596</v>
      </c>
      <c r="Y81" s="99">
        <f t="shared" ca="1" si="50"/>
        <v>133.53065216087759</v>
      </c>
      <c r="Z81" s="99">
        <f t="shared" ca="1" si="50"/>
        <v>116.24504582121261</v>
      </c>
    </row>
    <row r="82" spans="1:26" x14ac:dyDescent="0.25">
      <c r="A82" s="11" t="s">
        <v>746</v>
      </c>
      <c r="B82" s="11"/>
      <c r="C82" s="15"/>
      <c r="D82" s="94">
        <f t="shared" ref="D82:Z82" si="51">SUM(D$81,D$73)-D$76</f>
        <v>5.4320000000000022</v>
      </c>
      <c r="E82" s="94">
        <f t="shared" si="51"/>
        <v>35.71</v>
      </c>
      <c r="F82" s="94">
        <f t="shared" si="51"/>
        <v>35.921000000000021</v>
      </c>
      <c r="G82" s="94">
        <f t="shared" si="51"/>
        <v>61.849999999999952</v>
      </c>
      <c r="H82" s="94">
        <f t="shared" si="51"/>
        <v>71.367000000000004</v>
      </c>
      <c r="I82" s="94">
        <f t="shared" si="51"/>
        <v>82.19699999999996</v>
      </c>
      <c r="J82" s="94">
        <f t="shared" si="51"/>
        <v>88.718999999999966</v>
      </c>
      <c r="K82" s="94">
        <f t="shared" si="51"/>
        <v>91.091999999999956</v>
      </c>
      <c r="L82" s="95">
        <f t="shared" si="51"/>
        <v>105.75100000000005</v>
      </c>
      <c r="M82" s="95">
        <f t="shared" si="51"/>
        <v>111.97400000000002</v>
      </c>
      <c r="N82" s="95">
        <f t="shared" si="51"/>
        <v>111.51400000000007</v>
      </c>
      <c r="O82" s="95">
        <f t="shared" si="51"/>
        <v>105.58299999999998</v>
      </c>
      <c r="P82" s="95">
        <f t="shared" si="51"/>
        <v>95.298000000000002</v>
      </c>
      <c r="Q82" s="99">
        <f t="shared" ca="1" si="51"/>
        <v>82.00475988059398</v>
      </c>
      <c r="R82" s="99">
        <f t="shared" ca="1" si="51"/>
        <v>67.844722252310191</v>
      </c>
      <c r="S82" s="99">
        <f t="shared" ca="1" si="51"/>
        <v>52.356046743098602</v>
      </c>
      <c r="T82" s="99">
        <f t="shared" ca="1" si="51"/>
        <v>35.097759633343031</v>
      </c>
      <c r="U82" s="99">
        <f t="shared" ca="1" si="51"/>
        <v>16.11569489281834</v>
      </c>
      <c r="V82" s="99">
        <f t="shared" ca="1" si="51"/>
        <v>-4.764980468049572</v>
      </c>
      <c r="W82" s="99">
        <f t="shared" ca="1" si="51"/>
        <v>-27.634671143519654</v>
      </c>
      <c r="X82" s="99">
        <f t="shared" ca="1" si="51"/>
        <v>-52.588496505666228</v>
      </c>
      <c r="Y82" s="99">
        <f t="shared" ca="1" si="51"/>
        <v>-79.774759855360713</v>
      </c>
      <c r="Z82" s="99">
        <f t="shared" ca="1" si="51"/>
        <v>-109.31834251166167</v>
      </c>
    </row>
    <row r="83" spans="1:26" x14ac:dyDescent="0.25">
      <c r="A83" s="60" t="s">
        <v>1182</v>
      </c>
      <c r="B83" s="14" t="str">
        <f>$B$42</f>
        <v>Outturn &amp; Forecast only</v>
      </c>
      <c r="C83" s="15"/>
      <c r="D83" s="97" t="str">
        <f>IF(ROUND('Fiscal Forecasts'!D$158-D$82,3)=0,"OK","ERROR")</f>
        <v>OK</v>
      </c>
      <c r="E83" s="97" t="str">
        <f>IF(ROUND('Fiscal Forecasts'!E$158-E$82,3)=0,"OK","ERROR")</f>
        <v>OK</v>
      </c>
      <c r="F83" s="97" t="str">
        <f>IF(ROUND('Fiscal Forecasts'!F$158-F$82,3)=0,"OK","ERROR")</f>
        <v>OK</v>
      </c>
      <c r="G83" s="97" t="str">
        <f>IF(ROUND('Fiscal Forecasts'!G$158-G$82,3)=0,"OK","ERROR")</f>
        <v>OK</v>
      </c>
      <c r="H83" s="97" t="str">
        <f>IF(ROUND('Fiscal Forecasts'!H$158-H$82,3)=0,"OK","ERROR")</f>
        <v>OK</v>
      </c>
      <c r="I83" s="97" t="str">
        <f>IF(ROUND('Fiscal Forecasts'!I$158-I$82,3)=0,"OK","ERROR")</f>
        <v>OK</v>
      </c>
      <c r="J83" s="97" t="str">
        <f>IF(ROUND('Fiscal Forecasts'!J$158-J$82,3)=0,"OK","ERROR")</f>
        <v>OK</v>
      </c>
      <c r="K83" s="97" t="str">
        <f>IF(ROUND('Fiscal Forecasts'!K$158-K$82,3)=0,"OK","ERROR")</f>
        <v>OK</v>
      </c>
      <c r="L83" s="97" t="str">
        <f>IF(ROUND('Fiscal Forecasts'!L$158-L$82,3)=0,"OK","ERROR")</f>
        <v>OK</v>
      </c>
      <c r="M83" s="97" t="str">
        <f>IF(ROUND('Fiscal Forecasts'!M$158-M$82,3)=0,"OK","ERROR")</f>
        <v>OK</v>
      </c>
      <c r="N83" s="97" t="str">
        <f>IF(ROUND('Fiscal Forecasts'!N$158-N$82,3)=0,"OK","ERROR")</f>
        <v>OK</v>
      </c>
      <c r="O83" s="97" t="str">
        <f>IF(ROUND('Fiscal Forecasts'!O$158-O$82,3)=0,"OK","ERROR")</f>
        <v>OK</v>
      </c>
      <c r="P83" s="97" t="str">
        <f>IF(ROUND('Fiscal Forecasts'!P$158-P$82,3)=0,"OK","ERROR")</f>
        <v>OK</v>
      </c>
      <c r="Q83" s="17"/>
      <c r="R83" s="17"/>
      <c r="S83" s="17"/>
      <c r="T83" s="17"/>
      <c r="U83" s="17"/>
      <c r="V83" s="17"/>
      <c r="W83" s="17"/>
      <c r="X83" s="17"/>
      <c r="Y83" s="17"/>
      <c r="Z83" s="17"/>
    </row>
    <row r="84" spans="1:26" x14ac:dyDescent="0.25">
      <c r="A84" s="12" t="s">
        <v>1183</v>
      </c>
      <c r="B84" s="14" t="str">
        <f>$B$38</f>
        <v>From Fiscal Forecasts</v>
      </c>
      <c r="C84" s="15"/>
      <c r="D84" s="50">
        <f>'Fiscal Forecasts'!D$160</f>
        <v>6.4809999999999999</v>
      </c>
      <c r="E84" s="50">
        <f>'Fiscal Forecasts'!E$160</f>
        <v>21.887999999999998</v>
      </c>
      <c r="F84" s="50">
        <f>'Fiscal Forecasts'!F$160</f>
        <v>30.420999999999999</v>
      </c>
      <c r="G84" s="50">
        <f>'Fiscal Forecasts'!G$160</f>
        <v>45.088000000000001</v>
      </c>
      <c r="H84" s="50">
        <f>'Fiscal Forecasts'!H$160</f>
        <v>53.109000000000002</v>
      </c>
      <c r="I84" s="50">
        <f>'Fiscal Forecasts'!I$160</f>
        <v>38.475999999999999</v>
      </c>
      <c r="J84" s="50">
        <f>'Fiscal Forecasts'!J$160</f>
        <v>33.030999999999999</v>
      </c>
      <c r="K84" s="50">
        <f>'Fiscal Forecasts'!K$160</f>
        <v>25.481000000000002</v>
      </c>
      <c r="L84" s="48">
        <f>'Fiscal Forecasts'!L$160</f>
        <v>25.431000000000001</v>
      </c>
      <c r="M84" s="48">
        <f>'Fiscal Forecasts'!M$160</f>
        <v>25.486000000000001</v>
      </c>
      <c r="N84" s="48">
        <f>'Fiscal Forecasts'!N$160</f>
        <v>25.486000000000001</v>
      </c>
      <c r="O84" s="48">
        <f>'Fiscal Forecasts'!O$160</f>
        <v>25.486000000000001</v>
      </c>
      <c r="P84" s="48">
        <f>'Fiscal Forecasts'!P$160</f>
        <v>25.486000000000001</v>
      </c>
      <c r="Q84" s="20">
        <f t="shared" ref="Q84:Z84" ca="1" si="52">P$84*(1+Q$29)</f>
        <v>25.995720000000002</v>
      </c>
      <c r="R84" s="20">
        <f t="shared" ca="1" si="52"/>
        <v>26.515634400000003</v>
      </c>
      <c r="S84" s="20">
        <f t="shared" ca="1" si="52"/>
        <v>27.045947088000005</v>
      </c>
      <c r="T84" s="20">
        <f t="shared" ca="1" si="52"/>
        <v>27.586866029760007</v>
      </c>
      <c r="U84" s="20">
        <f t="shared" ca="1" si="52"/>
        <v>28.138603350355208</v>
      </c>
      <c r="V84" s="20">
        <f t="shared" ca="1" si="52"/>
        <v>28.701375417362314</v>
      </c>
      <c r="W84" s="20">
        <f t="shared" ca="1" si="52"/>
        <v>29.27540292570956</v>
      </c>
      <c r="X84" s="20">
        <f t="shared" ca="1" si="52"/>
        <v>29.860910984223754</v>
      </c>
      <c r="Y84" s="20">
        <f t="shared" ca="1" si="52"/>
        <v>30.458129203908229</v>
      </c>
      <c r="Z84" s="20">
        <f t="shared" ca="1" si="52"/>
        <v>31.067291787986395</v>
      </c>
    </row>
    <row r="85" spans="1:26" x14ac:dyDescent="0.25">
      <c r="A85" s="60" t="s">
        <v>756</v>
      </c>
      <c r="B85" s="11"/>
      <c r="C85" s="15"/>
      <c r="D85" s="94">
        <f t="shared" ref="D85:Z85" si="53">SUM(D$71,D$72)-SUM(D$73,D$84)</f>
        <v>84.37700000000001</v>
      </c>
      <c r="E85" s="94">
        <f t="shared" si="53"/>
        <v>101.833</v>
      </c>
      <c r="F85" s="94">
        <f t="shared" si="53"/>
        <v>99.925999999999988</v>
      </c>
      <c r="G85" s="94">
        <f t="shared" si="53"/>
        <v>114.11599999999999</v>
      </c>
      <c r="H85" s="94">
        <f t="shared" si="53"/>
        <v>135.78899999999999</v>
      </c>
      <c r="I85" s="94">
        <f t="shared" si="53"/>
        <v>175.96600000000001</v>
      </c>
      <c r="J85" s="94">
        <f t="shared" si="53"/>
        <v>203.68800000000005</v>
      </c>
      <c r="K85" s="94">
        <f t="shared" si="53"/>
        <v>227.44799999999998</v>
      </c>
      <c r="L85" s="95">
        <f t="shared" si="53"/>
        <v>243.42500000000001</v>
      </c>
      <c r="M85" s="95">
        <f t="shared" si="53"/>
        <v>259.41199999999998</v>
      </c>
      <c r="N85" s="95">
        <f t="shared" si="53"/>
        <v>269.81900000000002</v>
      </c>
      <c r="O85" s="95">
        <f t="shared" si="53"/>
        <v>273.17700000000002</v>
      </c>
      <c r="P85" s="95">
        <f t="shared" si="53"/>
        <v>269.01900000000001</v>
      </c>
      <c r="Q85" s="99">
        <f t="shared" ca="1" si="53"/>
        <v>266.43529661262818</v>
      </c>
      <c r="R85" s="99">
        <f t="shared" ca="1" si="53"/>
        <v>263.3696539837905</v>
      </c>
      <c r="S85" s="99">
        <f t="shared" ca="1" si="53"/>
        <v>259.38132206474654</v>
      </c>
      <c r="T85" s="99">
        <f t="shared" ca="1" si="53"/>
        <v>254.04685775343572</v>
      </c>
      <c r="U85" s="99">
        <f t="shared" ca="1" si="53"/>
        <v>247.41349365778055</v>
      </c>
      <c r="V85" s="99">
        <f t="shared" ca="1" si="53"/>
        <v>239.37191215509432</v>
      </c>
      <c r="W85" s="99">
        <f t="shared" ca="1" si="53"/>
        <v>229.90739757609037</v>
      </c>
      <c r="X85" s="99">
        <f t="shared" ca="1" si="53"/>
        <v>219.03603329605119</v>
      </c>
      <c r="Y85" s="99">
        <f t="shared" ca="1" si="53"/>
        <v>206.76788741260552</v>
      </c>
      <c r="Z85" s="99">
        <f t="shared" ca="1" si="53"/>
        <v>193.0997585654215</v>
      </c>
    </row>
    <row r="86" spans="1:26" x14ac:dyDescent="0.25">
      <c r="A86" s="11"/>
      <c r="B86" s="11"/>
      <c r="C86" s="15"/>
      <c r="D86" s="89"/>
      <c r="E86" s="89"/>
      <c r="F86" s="89"/>
      <c r="G86" s="89"/>
      <c r="H86" s="89"/>
      <c r="I86" s="89"/>
      <c r="J86" s="89"/>
      <c r="K86" s="89"/>
      <c r="L86" s="66"/>
      <c r="M86" s="66"/>
      <c r="N86" s="66"/>
      <c r="O86" s="66"/>
      <c r="P86" s="66"/>
      <c r="Q86" s="17"/>
      <c r="R86" s="17"/>
      <c r="S86" s="17"/>
      <c r="T86" s="17"/>
      <c r="U86" s="17"/>
      <c r="V86" s="17"/>
      <c r="W86" s="17"/>
      <c r="X86" s="17"/>
      <c r="Y86" s="17"/>
      <c r="Z86" s="17"/>
    </row>
    <row r="87" spans="1:26" x14ac:dyDescent="0.25">
      <c r="A87" s="57" t="s">
        <v>1184</v>
      </c>
      <c r="B87" s="11"/>
      <c r="C87" s="15"/>
      <c r="D87" s="89"/>
      <c r="E87" s="89"/>
      <c r="F87" s="89"/>
      <c r="G87" s="89"/>
      <c r="H87" s="89"/>
      <c r="I87" s="89"/>
      <c r="J87" s="89"/>
      <c r="K87" s="89"/>
      <c r="L87" s="66"/>
      <c r="M87" s="66"/>
      <c r="N87" s="66"/>
      <c r="O87" s="66"/>
      <c r="P87" s="66"/>
      <c r="Q87" s="17"/>
      <c r="R87" s="17"/>
      <c r="S87" s="17"/>
      <c r="T87" s="17"/>
      <c r="U87" s="17"/>
      <c r="V87" s="17"/>
      <c r="W87" s="17"/>
      <c r="X87" s="17"/>
      <c r="Y87" s="17"/>
      <c r="Z87" s="17"/>
    </row>
    <row r="88" spans="1:26" x14ac:dyDescent="0.25">
      <c r="A88" s="12" t="s">
        <v>898</v>
      </c>
      <c r="B88" s="14" t="str">
        <f>$B$38</f>
        <v>From Fiscal Forecasts</v>
      </c>
      <c r="C88" s="15"/>
      <c r="D88" s="50">
        <f>'Fiscal Forecasts'!D$74</f>
        <v>83.016999999999996</v>
      </c>
      <c r="E88" s="50">
        <f>'Fiscal Forecasts'!E$74</f>
        <v>83.156000000000006</v>
      </c>
      <c r="F88" s="50">
        <f>'Fiscal Forecasts'!F$74</f>
        <v>95.382000000000005</v>
      </c>
      <c r="G88" s="50">
        <f>'Fiscal Forecasts'!G$74</f>
        <v>102.712</v>
      </c>
      <c r="H88" s="50">
        <f>'Fiscal Forecasts'!H$74</f>
        <v>110.78700000000001</v>
      </c>
      <c r="I88" s="50">
        <f>'Fiscal Forecasts'!I$74</f>
        <v>116.042</v>
      </c>
      <c r="J88" s="50">
        <f>'Fiscal Forecasts'!J$74</f>
        <v>121.18300000000001</v>
      </c>
      <c r="K88" s="50">
        <f>'Fiscal Forecasts'!K$74</f>
        <v>125.98</v>
      </c>
      <c r="L88" s="48">
        <f>'Fiscal Forecasts'!L$74</f>
        <v>131.61600000000001</v>
      </c>
      <c r="M88" s="48">
        <f>'Fiscal Forecasts'!M$74</f>
        <v>141.738</v>
      </c>
      <c r="N88" s="48">
        <f>'Fiscal Forecasts'!N$74</f>
        <v>150.571</v>
      </c>
      <c r="O88" s="48">
        <f>'Fiscal Forecasts'!O$74</f>
        <v>158.84200000000001</v>
      </c>
      <c r="P88" s="48">
        <f>'Fiscal Forecasts'!P$74</f>
        <v>166.84700000000001</v>
      </c>
      <c r="Q88" s="20">
        <f t="shared" ref="Q88:Z88" ca="1" si="54">(Q$474-Q$376+Q$141)</f>
        <v>173.12924827330647</v>
      </c>
      <c r="R88" s="20">
        <f t="shared" ca="1" si="54"/>
        <v>179.87658384902355</v>
      </c>
      <c r="S88" s="20">
        <f t="shared" ca="1" si="54"/>
        <v>186.93968271308654</v>
      </c>
      <c r="T88" s="20">
        <f t="shared" ca="1" si="54"/>
        <v>194.48022028808353</v>
      </c>
      <c r="U88" s="20">
        <f t="shared" ca="1" si="54"/>
        <v>202.40086439859792</v>
      </c>
      <c r="V88" s="20">
        <f t="shared" ca="1" si="54"/>
        <v>210.60135909016944</v>
      </c>
      <c r="W88" s="20">
        <f t="shared" ca="1" si="54"/>
        <v>219.03236087758137</v>
      </c>
      <c r="X88" s="20">
        <f t="shared" ca="1" si="54"/>
        <v>227.70423383533904</v>
      </c>
      <c r="Y88" s="20">
        <f t="shared" ca="1" si="54"/>
        <v>236.65984219626057</v>
      </c>
      <c r="Z88" s="20">
        <f t="shared" ca="1" si="54"/>
        <v>245.90537005603386</v>
      </c>
    </row>
    <row r="89" spans="1:26" x14ac:dyDescent="0.25">
      <c r="A89" s="12" t="s">
        <v>899</v>
      </c>
      <c r="B89" s="14" t="str">
        <f>$B$38</f>
        <v>From Fiscal Forecasts</v>
      </c>
      <c r="C89" s="15"/>
      <c r="D89" s="50">
        <f>'Fiscal Forecasts'!D$75</f>
        <v>5.1870000000000003</v>
      </c>
      <c r="E89" s="50">
        <f>'Fiscal Forecasts'!E$75</f>
        <v>5.2939999999999996</v>
      </c>
      <c r="F89" s="50">
        <f>'Fiscal Forecasts'!F$75</f>
        <v>6.4240000000000004</v>
      </c>
      <c r="G89" s="50">
        <f>'Fiscal Forecasts'!G$75</f>
        <v>7.8029999999999999</v>
      </c>
      <c r="H89" s="50">
        <f>'Fiscal Forecasts'!H$75</f>
        <v>7.6310000000000002</v>
      </c>
      <c r="I89" s="50">
        <f>'Fiscal Forecasts'!I$75</f>
        <v>7.484</v>
      </c>
      <c r="J89" s="50">
        <f>'Fiscal Forecasts'!J$75</f>
        <v>7.8780000000000001</v>
      </c>
      <c r="K89" s="50">
        <f>'Fiscal Forecasts'!K$75</f>
        <v>8.1029999999999998</v>
      </c>
      <c r="L89" s="48">
        <f>'Fiscal Forecasts'!L$75</f>
        <v>8.9359999999999999</v>
      </c>
      <c r="M89" s="48">
        <f>'Fiscal Forecasts'!M$75</f>
        <v>9.6539999999999999</v>
      </c>
      <c r="N89" s="48">
        <f>'Fiscal Forecasts'!N$75</f>
        <v>9.6620000000000008</v>
      </c>
      <c r="O89" s="48">
        <f>'Fiscal Forecasts'!O$75</f>
        <v>10.074999999999999</v>
      </c>
      <c r="P89" s="48">
        <f>'Fiscal Forecasts'!P$75</f>
        <v>10.387</v>
      </c>
      <c r="Q89" s="20">
        <f t="shared" ref="Q89:Z89" ca="1" si="55">SUM(Q$146,Q$148,Q$149,Q$151)</f>
        <v>11.553297982949124</v>
      </c>
      <c r="R89" s="20">
        <f t="shared" ca="1" si="55"/>
        <v>12.239646305928749</v>
      </c>
      <c r="S89" s="20">
        <f t="shared" ca="1" si="55"/>
        <v>12.945963547810056</v>
      </c>
      <c r="T89" s="20">
        <f t="shared" ca="1" si="55"/>
        <v>13.705976175203949</v>
      </c>
      <c r="U89" s="20">
        <f t="shared" ca="1" si="55"/>
        <v>14.450717265864155</v>
      </c>
      <c r="V89" s="20">
        <f t="shared" ca="1" si="55"/>
        <v>14.981290288306871</v>
      </c>
      <c r="W89" s="20">
        <f t="shared" ca="1" si="55"/>
        <v>15.526545436507883</v>
      </c>
      <c r="X89" s="20">
        <f t="shared" ca="1" si="55"/>
        <v>16.065095306135394</v>
      </c>
      <c r="Y89" s="20">
        <f t="shared" ca="1" si="55"/>
        <v>16.624191877468292</v>
      </c>
      <c r="Z89" s="20">
        <f t="shared" ca="1" si="55"/>
        <v>17.190423328909425</v>
      </c>
    </row>
    <row r="90" spans="1:26" x14ac:dyDescent="0.25">
      <c r="A90" s="12" t="s">
        <v>866</v>
      </c>
      <c r="B90" s="14" t="str">
        <f>$B$38</f>
        <v>From Fiscal Forecasts</v>
      </c>
      <c r="C90" s="15"/>
      <c r="D90" s="50">
        <f>'Fiscal Forecasts'!D$76</f>
        <v>19.763999999999999</v>
      </c>
      <c r="E90" s="50">
        <f>'Fiscal Forecasts'!E$76</f>
        <v>18.289000000000001</v>
      </c>
      <c r="F90" s="50">
        <f>'Fiscal Forecasts'!F$76</f>
        <v>17.731999999999999</v>
      </c>
      <c r="G90" s="50">
        <f>'Fiscal Forecasts'!G$76</f>
        <v>17.834</v>
      </c>
      <c r="H90" s="50">
        <f>'Fiscal Forecasts'!H$76</f>
        <v>22.283999999999999</v>
      </c>
      <c r="I90" s="50">
        <f>'Fiscal Forecasts'!I$76</f>
        <v>24.359000000000002</v>
      </c>
      <c r="J90" s="50">
        <f>'Fiscal Forecasts'!J$76</f>
        <v>26.960999999999999</v>
      </c>
      <c r="K90" s="50">
        <f>'Fiscal Forecasts'!K$76</f>
        <v>25.895</v>
      </c>
      <c r="L90" s="48">
        <f>'Fiscal Forecasts'!L$76</f>
        <v>26.574000000000002</v>
      </c>
      <c r="M90" s="48">
        <f>'Fiscal Forecasts'!M$76</f>
        <v>27.469000000000001</v>
      </c>
      <c r="N90" s="48">
        <f>'Fiscal Forecasts'!N$76</f>
        <v>28.12</v>
      </c>
      <c r="O90" s="48">
        <f>'Fiscal Forecasts'!O$76</f>
        <v>29.117000000000001</v>
      </c>
      <c r="P90" s="48">
        <f>'Fiscal Forecasts'!P$76</f>
        <v>29.824999999999999</v>
      </c>
      <c r="Q90" s="20">
        <f t="shared" ref="Q90:Z90" ca="1" si="56">Q$155</f>
        <v>31.082278581469399</v>
      </c>
      <c r="R90" s="20">
        <f t="shared" ca="1" si="56"/>
        <v>32.373817990717384</v>
      </c>
      <c r="S90" s="20">
        <f t="shared" ca="1" si="56"/>
        <v>33.699088373795036</v>
      </c>
      <c r="T90" s="20">
        <f t="shared" ca="1" si="56"/>
        <v>35.054248490549547</v>
      </c>
      <c r="U90" s="20">
        <f t="shared" ca="1" si="56"/>
        <v>36.456020529544169</v>
      </c>
      <c r="V90" s="20">
        <f t="shared" ca="1" si="56"/>
        <v>37.903940016000107</v>
      </c>
      <c r="W90" s="20">
        <f t="shared" ca="1" si="56"/>
        <v>39.388475508708048</v>
      </c>
      <c r="X90" s="20">
        <f t="shared" ca="1" si="56"/>
        <v>40.914908229707805</v>
      </c>
      <c r="Y90" s="20">
        <f t="shared" ca="1" si="56"/>
        <v>42.491722468210163</v>
      </c>
      <c r="Z90" s="20">
        <f t="shared" ca="1" si="56"/>
        <v>44.118425353902772</v>
      </c>
    </row>
    <row r="91" spans="1:26" x14ac:dyDescent="0.25">
      <c r="A91" s="12" t="s">
        <v>900</v>
      </c>
      <c r="B91" s="14" t="str">
        <f>$B$38</f>
        <v>From Fiscal Forecasts</v>
      </c>
      <c r="C91" s="15"/>
      <c r="D91" s="50">
        <f>'Fiscal Forecasts'!D$77</f>
        <v>2.528</v>
      </c>
      <c r="E91" s="50">
        <f>'Fiscal Forecasts'!E$77</f>
        <v>2.3069999999999999</v>
      </c>
      <c r="F91" s="50">
        <f>'Fiscal Forecasts'!F$77</f>
        <v>1.67</v>
      </c>
      <c r="G91" s="50">
        <f>'Fiscal Forecasts'!G$77</f>
        <v>1.9610000000000001</v>
      </c>
      <c r="H91" s="50">
        <f>'Fiscal Forecasts'!H$77</f>
        <v>3.6110000000000002</v>
      </c>
      <c r="I91" s="50">
        <f>'Fiscal Forecasts'!I$77</f>
        <v>5.2830000000000004</v>
      </c>
      <c r="J91" s="50">
        <f>'Fiscal Forecasts'!J$77</f>
        <v>6.7910000000000004</v>
      </c>
      <c r="K91" s="50">
        <f>'Fiscal Forecasts'!K$77</f>
        <v>5.9459999999999997</v>
      </c>
      <c r="L91" s="48">
        <f>'Fiscal Forecasts'!L$77</f>
        <v>4.7480000000000002</v>
      </c>
      <c r="M91" s="48">
        <f>'Fiscal Forecasts'!M$77</f>
        <v>4.3109999999999999</v>
      </c>
      <c r="N91" s="48">
        <f>'Fiscal Forecasts'!N$77</f>
        <v>5.5739999999999998</v>
      </c>
      <c r="O91" s="48">
        <f>'Fiscal Forecasts'!O$77</f>
        <v>6.4790000000000001</v>
      </c>
      <c r="P91" s="48">
        <f>'Fiscal Forecasts'!P$77</f>
        <v>6.8319999999999999</v>
      </c>
      <c r="Q91" s="20">
        <f t="shared" ref="Q91:Z91" ca="1" si="57">SUM(Q$158,Q$160,Q$162:Q$164,Q$332)</f>
        <v>9.0313078971293805</v>
      </c>
      <c r="R91" s="20">
        <f t="shared" ca="1" si="57"/>
        <v>9.3217973383930968</v>
      </c>
      <c r="S91" s="20">
        <f t="shared" ca="1" si="57"/>
        <v>9.6237360051553971</v>
      </c>
      <c r="T91" s="20">
        <f t="shared" ca="1" si="57"/>
        <v>9.9372262172041985</v>
      </c>
      <c r="U91" s="20">
        <f t="shared" ca="1" si="57"/>
        <v>10.261797117490062</v>
      </c>
      <c r="V91" s="20">
        <f t="shared" ca="1" si="57"/>
        <v>10.597302664144683</v>
      </c>
      <c r="W91" s="20">
        <f t="shared" ca="1" si="57"/>
        <v>10.944545930260386</v>
      </c>
      <c r="X91" s="20">
        <f t="shared" ca="1" si="57"/>
        <v>11.304537707368532</v>
      </c>
      <c r="Y91" s="20">
        <f t="shared" ca="1" si="57"/>
        <v>11.678424891753615</v>
      </c>
      <c r="Z91" s="20">
        <f t="shared" ca="1" si="57"/>
        <v>12.067456655131869</v>
      </c>
    </row>
    <row r="92" spans="1:26" x14ac:dyDescent="0.25">
      <c r="A92" s="12" t="s">
        <v>901</v>
      </c>
      <c r="B92" s="14" t="str">
        <f>$B$38</f>
        <v>From Fiscal Forecasts</v>
      </c>
      <c r="C92" s="15"/>
      <c r="D92" s="50">
        <f>'Fiscal Forecasts'!D$78</f>
        <v>4.5629999999999997</v>
      </c>
      <c r="E92" s="50">
        <f>'Fiscal Forecasts'!E$78</f>
        <v>4.5439999999999996</v>
      </c>
      <c r="F92" s="50">
        <f>'Fiscal Forecasts'!F$78</f>
        <v>4.8140000000000001</v>
      </c>
      <c r="G92" s="50">
        <f>'Fiscal Forecasts'!G$78</f>
        <v>4.8019999999999996</v>
      </c>
      <c r="H92" s="50">
        <f>'Fiscal Forecasts'!H$78</f>
        <v>4.9219999999999997</v>
      </c>
      <c r="I92" s="50">
        <f>'Fiscal Forecasts'!I$78</f>
        <v>6.5350000000000001</v>
      </c>
      <c r="J92" s="50">
        <f>'Fiscal Forecasts'!J$78</f>
        <v>6.3719999999999999</v>
      </c>
      <c r="K92" s="50">
        <f>'Fiscal Forecasts'!K$78</f>
        <v>6.8550000000000004</v>
      </c>
      <c r="L92" s="48">
        <f>'Fiscal Forecasts'!L$78</f>
        <v>6.1289999999999996</v>
      </c>
      <c r="M92" s="48">
        <f>'Fiscal Forecasts'!M$78</f>
        <v>6.391</v>
      </c>
      <c r="N92" s="48">
        <f>'Fiscal Forecasts'!N$78</f>
        <v>6.7439999999999998</v>
      </c>
      <c r="O92" s="48">
        <f>'Fiscal Forecasts'!O$78</f>
        <v>6.9459999999999997</v>
      </c>
      <c r="P92" s="48">
        <f>'Fiscal Forecasts'!P$78</f>
        <v>7.1710000000000003</v>
      </c>
      <c r="Q92" s="20">
        <f t="shared" ref="Q92:Z92" ca="1" si="58">SUM(Q$173,Q$179)</f>
        <v>6.2386657328832156</v>
      </c>
      <c r="R92" s="20">
        <f t="shared" ca="1" si="58"/>
        <v>6.4296172485272338</v>
      </c>
      <c r="S92" s="20">
        <f t="shared" ca="1" si="58"/>
        <v>6.6254937147702204</v>
      </c>
      <c r="T92" s="20">
        <f t="shared" ca="1" si="58"/>
        <v>6.8258953983238175</v>
      </c>
      <c r="U92" s="20">
        <f t="shared" ca="1" si="58"/>
        <v>7.0320132210654762</v>
      </c>
      <c r="V92" s="20">
        <f t="shared" ca="1" si="58"/>
        <v>7.2434477304002591</v>
      </c>
      <c r="W92" s="20">
        <f t="shared" ca="1" si="58"/>
        <v>7.4592953303120204</v>
      </c>
      <c r="X92" s="20">
        <f t="shared" ca="1" si="58"/>
        <v>7.6822973328835165</v>
      </c>
      <c r="Y92" s="20">
        <f t="shared" ca="1" si="58"/>
        <v>7.914256210504341</v>
      </c>
      <c r="Z92" s="20">
        <f t="shared" ca="1" si="58"/>
        <v>8.1559397082187939</v>
      </c>
    </row>
    <row r="93" spans="1:26" x14ac:dyDescent="0.25">
      <c r="A93" s="11" t="s">
        <v>902</v>
      </c>
      <c r="B93" s="11"/>
      <c r="C93" s="15"/>
      <c r="D93" s="94">
        <f t="shared" ref="D93:Z93" si="59">SUM(D$88:D$92)</f>
        <v>115.059</v>
      </c>
      <c r="E93" s="94">
        <f t="shared" si="59"/>
        <v>113.59</v>
      </c>
      <c r="F93" s="94">
        <f t="shared" si="59"/>
        <v>126.02200000000002</v>
      </c>
      <c r="G93" s="94">
        <f t="shared" si="59"/>
        <v>135.11199999999999</v>
      </c>
      <c r="H93" s="94">
        <f t="shared" si="59"/>
        <v>149.23499999999999</v>
      </c>
      <c r="I93" s="94">
        <f t="shared" si="59"/>
        <v>159.70299999999997</v>
      </c>
      <c r="J93" s="94">
        <f t="shared" si="59"/>
        <v>169.185</v>
      </c>
      <c r="K93" s="94">
        <f t="shared" si="59"/>
        <v>172.779</v>
      </c>
      <c r="L93" s="95">
        <f t="shared" si="59"/>
        <v>178.00300000000001</v>
      </c>
      <c r="M93" s="95">
        <f t="shared" si="59"/>
        <v>189.56299999999999</v>
      </c>
      <c r="N93" s="95">
        <f t="shared" si="59"/>
        <v>200.67100000000002</v>
      </c>
      <c r="O93" s="95">
        <f t="shared" si="59"/>
        <v>211.459</v>
      </c>
      <c r="P93" s="95">
        <f t="shared" si="59"/>
        <v>221.06199999999998</v>
      </c>
      <c r="Q93" s="99">
        <f t="shared" ca="1" si="59"/>
        <v>231.0347984677376</v>
      </c>
      <c r="R93" s="99">
        <f t="shared" ca="1" si="59"/>
        <v>240.24146273258998</v>
      </c>
      <c r="S93" s="99">
        <f t="shared" ca="1" si="59"/>
        <v>249.83396435461725</v>
      </c>
      <c r="T93" s="99">
        <f t="shared" ca="1" si="59"/>
        <v>260.00356656936503</v>
      </c>
      <c r="U93" s="99">
        <f t="shared" ca="1" si="59"/>
        <v>270.60141253256177</v>
      </c>
      <c r="V93" s="99">
        <f t="shared" ca="1" si="59"/>
        <v>281.32733978902138</v>
      </c>
      <c r="W93" s="99">
        <f t="shared" ca="1" si="59"/>
        <v>292.35122308336975</v>
      </c>
      <c r="X93" s="99">
        <f t="shared" ca="1" si="59"/>
        <v>303.6710724114343</v>
      </c>
      <c r="Y93" s="99">
        <f t="shared" ca="1" si="59"/>
        <v>315.36843764419694</v>
      </c>
      <c r="Z93" s="99">
        <f t="shared" ca="1" si="59"/>
        <v>327.43761510219673</v>
      </c>
    </row>
    <row r="94" spans="1:26" x14ac:dyDescent="0.25">
      <c r="A94" s="12" t="s">
        <v>870</v>
      </c>
      <c r="B94" s="14" t="str">
        <f>$B$38</f>
        <v>From Fiscal Forecasts</v>
      </c>
      <c r="C94" s="15"/>
      <c r="D94" s="50">
        <f>'Fiscal Forecasts'!D$80</f>
        <v>27.981999999999999</v>
      </c>
      <c r="E94" s="50">
        <f>'Fiscal Forecasts'!E$80</f>
        <v>42.945</v>
      </c>
      <c r="F94" s="50">
        <f>'Fiscal Forecasts'!F$80</f>
        <v>35.515000000000001</v>
      </c>
      <c r="G94" s="50">
        <f>'Fiscal Forecasts'!G$80</f>
        <v>44.273000000000003</v>
      </c>
      <c r="H94" s="50">
        <f>'Fiscal Forecasts'!H$80</f>
        <v>39.17</v>
      </c>
      <c r="I94" s="50">
        <f>'Fiscal Forecasts'!I$80</f>
        <v>42.335000000000001</v>
      </c>
      <c r="J94" s="50">
        <f>'Fiscal Forecasts'!J$80</f>
        <v>45.927999999999997</v>
      </c>
      <c r="K94" s="50">
        <f>'Fiscal Forecasts'!K$80</f>
        <v>47.884</v>
      </c>
      <c r="L94" s="48">
        <f>'Fiscal Forecasts'!L$80</f>
        <v>50.165999999999997</v>
      </c>
      <c r="M94" s="48">
        <f>'Fiscal Forecasts'!M$80</f>
        <v>51.54</v>
      </c>
      <c r="N94" s="48">
        <f>'Fiscal Forecasts'!N$80</f>
        <v>52.911999999999999</v>
      </c>
      <c r="O94" s="48">
        <f>'Fiscal Forecasts'!O$80</f>
        <v>54.81</v>
      </c>
      <c r="P94" s="48">
        <f>'Fiscal Forecasts'!P$80</f>
        <v>57.018000000000001</v>
      </c>
      <c r="Q94" s="20">
        <f t="shared" ref="Q94:Z94" ca="1" si="60">Q$194</f>
        <v>59.10456213375442</v>
      </c>
      <c r="R94" s="20">
        <f t="shared" ca="1" si="60"/>
        <v>61.74023700058391</v>
      </c>
      <c r="S94" s="20">
        <f t="shared" ca="1" si="60"/>
        <v>64.469799952134792</v>
      </c>
      <c r="T94" s="20">
        <f t="shared" ca="1" si="60"/>
        <v>67.280230577711919</v>
      </c>
      <c r="U94" s="20">
        <f t="shared" ca="1" si="60"/>
        <v>70.249267855938541</v>
      </c>
      <c r="V94" s="20">
        <f t="shared" ca="1" si="60"/>
        <v>73.285258596479949</v>
      </c>
      <c r="W94" s="20">
        <f t="shared" ca="1" si="60"/>
        <v>76.330855742633858</v>
      </c>
      <c r="X94" s="20">
        <f t="shared" ca="1" si="60"/>
        <v>79.398091511624841</v>
      </c>
      <c r="Y94" s="20">
        <f t="shared" ca="1" si="60"/>
        <v>82.473442912902243</v>
      </c>
      <c r="Z94" s="20">
        <f t="shared" ca="1" si="60"/>
        <v>85.578471046868486</v>
      </c>
    </row>
    <row r="95" spans="1:26" x14ac:dyDescent="0.25">
      <c r="A95" s="12" t="s">
        <v>903</v>
      </c>
      <c r="B95" s="14" t="str">
        <f>$B$38</f>
        <v>From Fiscal Forecasts</v>
      </c>
      <c r="C95" s="15"/>
      <c r="D95" s="50">
        <f>'Fiscal Forecasts'!D$81</f>
        <v>72.078999999999994</v>
      </c>
      <c r="E95" s="50">
        <f>'Fiscal Forecasts'!E$81</f>
        <v>77.191999999999993</v>
      </c>
      <c r="F95" s="50">
        <f>'Fiscal Forecasts'!F$81</f>
        <v>84.256</v>
      </c>
      <c r="G95" s="50">
        <f>'Fiscal Forecasts'!G$81</f>
        <v>92.965000000000003</v>
      </c>
      <c r="H95" s="50">
        <f>'Fiscal Forecasts'!H$81</f>
        <v>99.414000000000001</v>
      </c>
      <c r="I95" s="50">
        <f>'Fiscal Forecasts'!I$81</f>
        <v>111.095</v>
      </c>
      <c r="J95" s="50">
        <f>'Fiscal Forecasts'!J$81</f>
        <v>113.733</v>
      </c>
      <c r="K95" s="50">
        <f>'Fiscal Forecasts'!K$81</f>
        <v>114.075</v>
      </c>
      <c r="L95" s="48">
        <f ca="1">'Fiscal Forecasts'!L$81+IF(OFFSET(Assumptions!$B$57,0,$C$1)="Yes",SUM(Allocation!C$10:C$20),0)</f>
        <v>123.211</v>
      </c>
      <c r="M95" s="48">
        <f ca="1">'Fiscal Forecasts'!M$81+IF(OFFSET(Assumptions!$B$57,0,$C$1)="Yes",SUM(Allocation!D$10:D$20),0)</f>
        <v>117.145</v>
      </c>
      <c r="N95" s="48">
        <f ca="1">'Fiscal Forecasts'!N$81+IF(OFFSET(Assumptions!$B$57,0,$C$1)="Yes",SUM(Allocation!E$10:E$20),0)</f>
        <v>116.874</v>
      </c>
      <c r="O95" s="48">
        <f ca="1">'Fiscal Forecasts'!O$81+IF(OFFSET(Assumptions!$B$57,0,$C$1)="Yes",SUM(Allocation!F$10:F$20),0)</f>
        <v>116.79900000000001</v>
      </c>
      <c r="P95" s="48">
        <f ca="1">'Fiscal Forecasts'!P$81+IF(OFFSET(Assumptions!$B$57,0,$C$1)="Yes",SUM(Allocation!G$10:G$20),0)</f>
        <v>117.83199999999999</v>
      </c>
      <c r="Q95" s="20">
        <f t="shared" ref="Q95:Z95" ca="1" si="61">SUM(Q$212,Q$227,Q$241)-SUM(Q$115,Q$263,Q$273,Q$313,Q$460-P$460,Q$465-P$465)</f>
        <v>117.84480155341555</v>
      </c>
      <c r="R95" s="20">
        <f t="shared" ca="1" si="61"/>
        <v>119.12102407148201</v>
      </c>
      <c r="S95" s="20">
        <f t="shared" ca="1" si="61"/>
        <v>120.46211317659296</v>
      </c>
      <c r="T95" s="20">
        <f t="shared" ca="1" si="61"/>
        <v>121.88159120321032</v>
      </c>
      <c r="U95" s="20">
        <f t="shared" ca="1" si="61"/>
        <v>123.47081537507118</v>
      </c>
      <c r="V95" s="20">
        <f t="shared" ca="1" si="61"/>
        <v>125.24208389590791</v>
      </c>
      <c r="W95" s="20">
        <f t="shared" ca="1" si="61"/>
        <v>127.10564420880542</v>
      </c>
      <c r="X95" s="20">
        <f t="shared" ca="1" si="61"/>
        <v>129.06452104843243</v>
      </c>
      <c r="Y95" s="20">
        <f t="shared" ca="1" si="61"/>
        <v>131.00935501958853</v>
      </c>
      <c r="Z95" s="20">
        <f t="shared" ca="1" si="61"/>
        <v>133.10467403623116</v>
      </c>
    </row>
    <row r="96" spans="1:26" x14ac:dyDescent="0.25">
      <c r="A96" s="12" t="s">
        <v>904</v>
      </c>
      <c r="B96" s="14" t="str">
        <f>$B$38</f>
        <v>From Fiscal Forecasts</v>
      </c>
      <c r="C96" s="15"/>
      <c r="D96" s="50">
        <f>'Fiscal Forecasts'!D$82</f>
        <v>4.0250000000000004</v>
      </c>
      <c r="E96" s="50">
        <f>'Fiscal Forecasts'!E$82</f>
        <v>3.8490000000000002</v>
      </c>
      <c r="F96" s="50">
        <f>'Fiscal Forecasts'!F$82</f>
        <v>3.1469999999999998</v>
      </c>
      <c r="G96" s="50">
        <f>'Fiscal Forecasts'!G$82</f>
        <v>3.2509999999999999</v>
      </c>
      <c r="H96" s="50">
        <f>'Fiscal Forecasts'!H$82</f>
        <v>6.1260000000000003</v>
      </c>
      <c r="I96" s="50">
        <f>'Fiscal Forecasts'!I$82</f>
        <v>8.5790000000000006</v>
      </c>
      <c r="J96" s="50">
        <f>'Fiscal Forecasts'!J$82</f>
        <v>8.8249999999999993</v>
      </c>
      <c r="K96" s="50">
        <f>'Fiscal Forecasts'!K$82</f>
        <v>8.2880000000000003</v>
      </c>
      <c r="L96" s="48">
        <f>'Fiscal Forecasts'!L$82</f>
        <v>9.7680000000000007</v>
      </c>
      <c r="M96" s="48">
        <f>'Fiscal Forecasts'!M$82</f>
        <v>11.063000000000001</v>
      </c>
      <c r="N96" s="48">
        <f>'Fiscal Forecasts'!N$82</f>
        <v>12.731</v>
      </c>
      <c r="O96" s="48">
        <f>'Fiscal Forecasts'!O$82</f>
        <v>13.933</v>
      </c>
      <c r="P96" s="48">
        <f>'Fiscal Forecasts'!P$82</f>
        <v>14.291</v>
      </c>
      <c r="Q96" s="20">
        <f t="shared" ref="Q96:Z96" ca="1" si="62">(2*P$70-SUM(Q$93,Q$106,Q$107)+SUM(Q$94,Q$95,Q$97,Q$109,Q$347-P$347))/(2/Q$235-1)</f>
        <v>16.758165085295634</v>
      </c>
      <c r="R96" s="20">
        <f t="shared" ca="1" si="62"/>
        <v>17.001148235272989</v>
      </c>
      <c r="S96" s="20">
        <f t="shared" ca="1" si="62"/>
        <v>17.216205019301842</v>
      </c>
      <c r="T96" s="20">
        <f t="shared" ca="1" si="62"/>
        <v>17.377163292918837</v>
      </c>
      <c r="U96" s="20">
        <f t="shared" ca="1" si="62"/>
        <v>17.471015554516399</v>
      </c>
      <c r="V96" s="20">
        <f t="shared" ca="1" si="62"/>
        <v>17.392830316551215</v>
      </c>
      <c r="W96" s="20">
        <f t="shared" ca="1" si="62"/>
        <v>17.251591063125144</v>
      </c>
      <c r="X96" s="20">
        <f t="shared" ca="1" si="62"/>
        <v>17.048432260876492</v>
      </c>
      <c r="Y96" s="20">
        <f t="shared" ca="1" si="62"/>
        <v>16.784213783693168</v>
      </c>
      <c r="Z96" s="20">
        <f t="shared" ca="1" si="62"/>
        <v>16.459901247595944</v>
      </c>
    </row>
    <row r="97" spans="1:26" x14ac:dyDescent="0.25">
      <c r="A97" s="12" t="s">
        <v>1185</v>
      </c>
      <c r="B97" s="11"/>
      <c r="C97" s="15"/>
      <c r="D97" s="50">
        <f t="shared" ref="D97:Z97" si="63">SUM(D$246,D$249)</f>
        <v>0</v>
      </c>
      <c r="E97" s="50">
        <f t="shared" si="63"/>
        <v>0</v>
      </c>
      <c r="F97" s="50">
        <f t="shared" si="63"/>
        <v>0</v>
      </c>
      <c r="G97" s="50">
        <f t="shared" si="63"/>
        <v>0</v>
      </c>
      <c r="H97" s="50">
        <f t="shared" si="63"/>
        <v>0</v>
      </c>
      <c r="I97" s="50">
        <f t="shared" si="63"/>
        <v>0</v>
      </c>
      <c r="J97" s="50">
        <f t="shared" si="63"/>
        <v>0</v>
      </c>
      <c r="K97" s="50">
        <f t="shared" si="63"/>
        <v>0</v>
      </c>
      <c r="L97" s="48">
        <f t="shared" ca="1" si="63"/>
        <v>-1.3420000000000001</v>
      </c>
      <c r="M97" s="48">
        <f t="shared" ca="1" si="63"/>
        <v>2.1680000000000001</v>
      </c>
      <c r="N97" s="48">
        <f t="shared" ca="1" si="63"/>
        <v>4.375</v>
      </c>
      <c r="O97" s="48">
        <f t="shared" ca="1" si="63"/>
        <v>7.1329999999999982</v>
      </c>
      <c r="P97" s="48">
        <f t="shared" ca="1" si="63"/>
        <v>9.4659999999999993</v>
      </c>
      <c r="Q97" s="20">
        <f t="shared" ca="1" si="63"/>
        <v>13.215999999999999</v>
      </c>
      <c r="R97" s="20">
        <f t="shared" ca="1" si="63"/>
        <v>16.471</v>
      </c>
      <c r="S97" s="20">
        <f t="shared" ca="1" si="63"/>
        <v>19.888750000000002</v>
      </c>
      <c r="T97" s="20">
        <f t="shared" ca="1" si="63"/>
        <v>23.477387500000003</v>
      </c>
      <c r="U97" s="20">
        <f t="shared" ca="1" si="63"/>
        <v>27.245456875000002</v>
      </c>
      <c r="V97" s="20">
        <f t="shared" ca="1" si="63"/>
        <v>31.201929718750002</v>
      </c>
      <c r="W97" s="20">
        <f t="shared" ca="1" si="63"/>
        <v>35.356226204687502</v>
      </c>
      <c r="X97" s="20">
        <f t="shared" ca="1" si="63"/>
        <v>39.718237514921881</v>
      </c>
      <c r="Y97" s="20">
        <f t="shared" ca="1" si="63"/>
        <v>44.29834939066798</v>
      </c>
      <c r="Z97" s="20">
        <f t="shared" ca="1" si="63"/>
        <v>49.107466860201377</v>
      </c>
    </row>
    <row r="98" spans="1:26" x14ac:dyDescent="0.25">
      <c r="A98" s="11" t="s">
        <v>1186</v>
      </c>
      <c r="B98" s="11"/>
      <c r="C98" s="15"/>
      <c r="D98" s="94">
        <f t="shared" ref="D98:Z98" si="64">SUM(D$94:D$97)</f>
        <v>104.086</v>
      </c>
      <c r="E98" s="94">
        <f t="shared" si="64"/>
        <v>123.986</v>
      </c>
      <c r="F98" s="94">
        <f t="shared" si="64"/>
        <v>122.91800000000001</v>
      </c>
      <c r="G98" s="94">
        <f t="shared" si="64"/>
        <v>140.489</v>
      </c>
      <c r="H98" s="94">
        <f t="shared" si="64"/>
        <v>144.71</v>
      </c>
      <c r="I98" s="94">
        <f t="shared" si="64"/>
        <v>162.00900000000001</v>
      </c>
      <c r="J98" s="94">
        <f t="shared" si="64"/>
        <v>168.48599999999999</v>
      </c>
      <c r="K98" s="94">
        <f t="shared" si="64"/>
        <v>170.24700000000001</v>
      </c>
      <c r="L98" s="95">
        <f t="shared" ca="1" si="64"/>
        <v>181.803</v>
      </c>
      <c r="M98" s="95">
        <f t="shared" ca="1" si="64"/>
        <v>181.916</v>
      </c>
      <c r="N98" s="95">
        <f t="shared" ca="1" si="64"/>
        <v>186.892</v>
      </c>
      <c r="O98" s="95">
        <f t="shared" ca="1" si="64"/>
        <v>192.67500000000001</v>
      </c>
      <c r="P98" s="95">
        <f t="shared" ca="1" si="64"/>
        <v>198.607</v>
      </c>
      <c r="Q98" s="99">
        <f t="shared" ca="1" si="64"/>
        <v>206.92352877246563</v>
      </c>
      <c r="R98" s="99">
        <f t="shared" ca="1" si="64"/>
        <v>214.33340930733891</v>
      </c>
      <c r="S98" s="99">
        <f t="shared" ca="1" si="64"/>
        <v>222.03686814802961</v>
      </c>
      <c r="T98" s="99">
        <f t="shared" ca="1" si="64"/>
        <v>230.0163725738411</v>
      </c>
      <c r="U98" s="99">
        <f t="shared" ca="1" si="64"/>
        <v>238.4365556605261</v>
      </c>
      <c r="V98" s="99">
        <f t="shared" ca="1" si="64"/>
        <v>247.12210252768907</v>
      </c>
      <c r="W98" s="99">
        <f t="shared" ca="1" si="64"/>
        <v>256.04431721925192</v>
      </c>
      <c r="X98" s="99">
        <f t="shared" ca="1" si="64"/>
        <v>265.22928233585566</v>
      </c>
      <c r="Y98" s="99">
        <f t="shared" ca="1" si="64"/>
        <v>274.56536110685192</v>
      </c>
      <c r="Z98" s="99">
        <f t="shared" ca="1" si="64"/>
        <v>284.25051319089698</v>
      </c>
    </row>
    <row r="99" spans="1:26" x14ac:dyDescent="0.25">
      <c r="A99" s="11" t="s">
        <v>1187</v>
      </c>
      <c r="B99" s="11"/>
      <c r="C99" s="15"/>
      <c r="D99" s="94">
        <f t="shared" ref="D99:Z99" si="65">D$93-D$98</f>
        <v>10.972999999999999</v>
      </c>
      <c r="E99" s="94">
        <f t="shared" si="65"/>
        <v>-10.396000000000001</v>
      </c>
      <c r="F99" s="94">
        <f t="shared" si="65"/>
        <v>3.1040000000000134</v>
      </c>
      <c r="G99" s="94">
        <f t="shared" si="65"/>
        <v>-5.3770000000000095</v>
      </c>
      <c r="H99" s="94">
        <f t="shared" si="65"/>
        <v>4.5249999999999773</v>
      </c>
      <c r="I99" s="94">
        <f t="shared" si="65"/>
        <v>-2.30600000000004</v>
      </c>
      <c r="J99" s="94">
        <f t="shared" si="65"/>
        <v>0.69900000000001228</v>
      </c>
      <c r="K99" s="94">
        <f t="shared" si="65"/>
        <v>2.5319999999999823</v>
      </c>
      <c r="L99" s="95">
        <f t="shared" ca="1" si="65"/>
        <v>-3.7999999999999829</v>
      </c>
      <c r="M99" s="95">
        <f t="shared" ca="1" si="65"/>
        <v>7.6469999999999914</v>
      </c>
      <c r="N99" s="95">
        <f t="shared" ca="1" si="65"/>
        <v>13.779000000000025</v>
      </c>
      <c r="O99" s="95">
        <f t="shared" ca="1" si="65"/>
        <v>18.783999999999992</v>
      </c>
      <c r="P99" s="95">
        <f t="shared" ca="1" si="65"/>
        <v>22.454999999999984</v>
      </c>
      <c r="Q99" s="99">
        <f t="shared" ca="1" si="65"/>
        <v>24.111269695271972</v>
      </c>
      <c r="R99" s="99">
        <f t="shared" ca="1" si="65"/>
        <v>25.908053425251069</v>
      </c>
      <c r="S99" s="99">
        <f t="shared" ca="1" si="65"/>
        <v>27.797096206587639</v>
      </c>
      <c r="T99" s="99">
        <f t="shared" ca="1" si="65"/>
        <v>29.987193995523938</v>
      </c>
      <c r="U99" s="99">
        <f t="shared" ca="1" si="65"/>
        <v>32.164856872035671</v>
      </c>
      <c r="V99" s="99">
        <f t="shared" ca="1" si="65"/>
        <v>34.205237261332314</v>
      </c>
      <c r="W99" s="99">
        <f t="shared" ca="1" si="65"/>
        <v>36.306905864117823</v>
      </c>
      <c r="X99" s="99">
        <f t="shared" ca="1" si="65"/>
        <v>38.441790075578638</v>
      </c>
      <c r="Y99" s="99">
        <f t="shared" ca="1" si="65"/>
        <v>40.803076537345021</v>
      </c>
      <c r="Z99" s="99">
        <f t="shared" ca="1" si="65"/>
        <v>43.187101911299749</v>
      </c>
    </row>
    <row r="100" spans="1:26" x14ac:dyDescent="0.25">
      <c r="A100" s="12" t="s">
        <v>1188</v>
      </c>
      <c r="B100" s="14" t="str">
        <f>$B$38</f>
        <v>From Fiscal Forecasts</v>
      </c>
      <c r="C100" s="15"/>
      <c r="D100" s="50">
        <f>-'Fiscal Forecasts'!D$85</f>
        <v>8.4640000000000004</v>
      </c>
      <c r="E100" s="50">
        <f>-'Fiscal Forecasts'!E$85</f>
        <v>9.0709999999999997</v>
      </c>
      <c r="F100" s="50">
        <f>-'Fiscal Forecasts'!F$85</f>
        <v>9.3930000000000007</v>
      </c>
      <c r="G100" s="50">
        <f>-'Fiscal Forecasts'!G$85</f>
        <v>10.571999999999999</v>
      </c>
      <c r="H100" s="50">
        <f>-'Fiscal Forecasts'!H$85</f>
        <v>14.271000000000001</v>
      </c>
      <c r="I100" s="50">
        <f>-'Fiscal Forecasts'!I$85</f>
        <v>16.948</v>
      </c>
      <c r="J100" s="50">
        <f>-'Fiscal Forecasts'!J$85</f>
        <v>14.054</v>
      </c>
      <c r="K100" s="50">
        <f>-'Fiscal Forecasts'!K$85</f>
        <v>14.308999999999999</v>
      </c>
      <c r="L100" s="48">
        <f>-'Fiscal Forecasts'!L$85</f>
        <v>16.707000000000001</v>
      </c>
      <c r="M100" s="48">
        <f>-'Fiscal Forecasts'!M$85</f>
        <v>17.111999999999998</v>
      </c>
      <c r="N100" s="48">
        <f>-'Fiscal Forecasts'!N$85</f>
        <v>15.180999999999999</v>
      </c>
      <c r="O100" s="48">
        <f>-'Fiscal Forecasts'!O$85</f>
        <v>13.492000000000001</v>
      </c>
      <c r="P100" s="48">
        <f>-'Fiscal Forecasts'!P$85</f>
        <v>13.242000000000001</v>
      </c>
      <c r="Q100" s="20">
        <f t="shared" ref="Q100:Z100" ca="1" si="66">SUM(Q$420-P$420,Q$218)</f>
        <v>12.80170735316336</v>
      </c>
      <c r="R100" s="20">
        <f t="shared" ca="1" si="66"/>
        <v>12.960241809991984</v>
      </c>
      <c r="S100" s="20">
        <f t="shared" ca="1" si="66"/>
        <v>13.121946955957245</v>
      </c>
      <c r="T100" s="20">
        <f t="shared" ca="1" si="66"/>
        <v>13.286886204841647</v>
      </c>
      <c r="U100" s="20">
        <f t="shared" ca="1" si="66"/>
        <v>13.455124238704002</v>
      </c>
      <c r="V100" s="20">
        <f t="shared" ca="1" si="66"/>
        <v>13.62672703324338</v>
      </c>
      <c r="W100" s="20">
        <f t="shared" ca="1" si="66"/>
        <v>13.801761883673636</v>
      </c>
      <c r="X100" s="20">
        <f t="shared" ca="1" si="66"/>
        <v>13.980297431112486</v>
      </c>
      <c r="Y100" s="20">
        <f t="shared" ca="1" si="66"/>
        <v>14.162403689500188</v>
      </c>
      <c r="Z100" s="20">
        <f t="shared" ca="1" si="66"/>
        <v>14.348152073055465</v>
      </c>
    </row>
    <row r="101" spans="1:26" x14ac:dyDescent="0.25">
      <c r="A101" s="12" t="s">
        <v>1189</v>
      </c>
      <c r="B101" s="14" t="str">
        <f>$B$38</f>
        <v>From Fiscal Forecasts</v>
      </c>
      <c r="C101" s="15"/>
      <c r="D101" s="50">
        <f>-'Fiscal Forecasts'!D$86</f>
        <v>-3.8039999999999998</v>
      </c>
      <c r="E101" s="50">
        <f>-'Fiscal Forecasts'!E$86</f>
        <v>14.148999999999999</v>
      </c>
      <c r="F101" s="50">
        <f>-'Fiscal Forecasts'!F$86</f>
        <v>-4.1890000000000001</v>
      </c>
      <c r="G101" s="50">
        <f>-'Fiscal Forecasts'!G$86</f>
        <v>4.9859999999999998</v>
      </c>
      <c r="H101" s="50">
        <f>-'Fiscal Forecasts'!H$86</f>
        <v>4.9059999999999997</v>
      </c>
      <c r="I101" s="50">
        <f>-'Fiscal Forecasts'!I$86</f>
        <v>10.231999999999999</v>
      </c>
      <c r="J101" s="50">
        <f>-'Fiscal Forecasts'!J$86</f>
        <v>9.7810000000000006</v>
      </c>
      <c r="K101" s="50">
        <f>-'Fiscal Forecasts'!K$86</f>
        <v>3.504</v>
      </c>
      <c r="L101" s="48">
        <f>-'Fiscal Forecasts'!L$86</f>
        <v>-3.746</v>
      </c>
      <c r="M101" s="48">
        <f>-'Fiscal Forecasts'!M$86</f>
        <v>1.909</v>
      </c>
      <c r="N101" s="48">
        <f>-'Fiscal Forecasts'!N$86</f>
        <v>2.5790000000000002</v>
      </c>
      <c r="O101" s="48">
        <f>-'Fiscal Forecasts'!O$86</f>
        <v>2.3109999999999999</v>
      </c>
      <c r="P101" s="48">
        <f>-'Fiscal Forecasts'!P$86</f>
        <v>0.222</v>
      </c>
      <c r="Q101" s="20">
        <f t="shared" ref="Q101:Z101" ca="1" si="67">SUM(Q$363-P$363,Q$372-P$372,Q$388-P$388)-SUM(Q$331,Q$334:Q$336)</f>
        <v>1.9837876892064781</v>
      </c>
      <c r="R101" s="20">
        <f t="shared" ca="1" si="67"/>
        <v>2.6988843835896503</v>
      </c>
      <c r="S101" s="20">
        <f t="shared" ca="1" si="67"/>
        <v>2.7449456672463821</v>
      </c>
      <c r="T101" s="20">
        <f t="shared" ca="1" si="67"/>
        <v>2.8265504614891821</v>
      </c>
      <c r="U101" s="20">
        <f t="shared" ca="1" si="67"/>
        <v>2.8717934592542171</v>
      </c>
      <c r="V101" s="20">
        <f t="shared" ca="1" si="67"/>
        <v>2.8030716584328381</v>
      </c>
      <c r="W101" s="20">
        <f t="shared" ca="1" si="67"/>
        <v>2.7603825830188526</v>
      </c>
      <c r="X101" s="20">
        <f t="shared" ca="1" si="67"/>
        <v>2.7752212758059098</v>
      </c>
      <c r="Y101" s="20">
        <f t="shared" ca="1" si="67"/>
        <v>2.9090510953257844</v>
      </c>
      <c r="Z101" s="20">
        <f t="shared" ca="1" si="67"/>
        <v>3.0999013669731141</v>
      </c>
    </row>
    <row r="102" spans="1:26" x14ac:dyDescent="0.25">
      <c r="A102" s="12" t="s">
        <v>1190</v>
      </c>
      <c r="B102" s="14" t="str">
        <f>$B$38</f>
        <v>From Fiscal Forecasts</v>
      </c>
      <c r="C102" s="15"/>
      <c r="D102" s="50">
        <f>-'Fiscal Forecasts'!D$87</f>
        <v>0.79100000000000004</v>
      </c>
      <c r="E102" s="50">
        <f>-'Fiscal Forecasts'!E$87</f>
        <v>0.85499999999999998</v>
      </c>
      <c r="F102" s="50">
        <f>-'Fiscal Forecasts'!F$87</f>
        <v>0.89800000000000002</v>
      </c>
      <c r="G102" s="50">
        <f>-'Fiscal Forecasts'!G$87</f>
        <v>0.71</v>
      </c>
      <c r="H102" s="50">
        <f>-'Fiscal Forecasts'!H$87</f>
        <v>0.86799999999999999</v>
      </c>
      <c r="I102" s="50">
        <f>-'Fiscal Forecasts'!I$87</f>
        <v>0.86</v>
      </c>
      <c r="J102" s="50">
        <f>-'Fiscal Forecasts'!J$87</f>
        <v>0.65500000000000003</v>
      </c>
      <c r="K102" s="50">
        <f>-'Fiscal Forecasts'!K$87</f>
        <v>0.64300000000000002</v>
      </c>
      <c r="L102" s="48">
        <f>-'Fiscal Forecasts'!L$87</f>
        <v>0.75900000000000001</v>
      </c>
      <c r="M102" s="48">
        <f>-'Fiscal Forecasts'!M$87</f>
        <v>0.73799999999999999</v>
      </c>
      <c r="N102" s="48">
        <f>-'Fiscal Forecasts'!N$87</f>
        <v>0.70799999999999996</v>
      </c>
      <c r="O102" s="48">
        <f>-'Fiscal Forecasts'!O$87</f>
        <v>0.70399999999999996</v>
      </c>
      <c r="P102" s="48">
        <f>-'Fiscal Forecasts'!P$87</f>
        <v>0.68500000000000005</v>
      </c>
      <c r="Q102" s="20">
        <f t="shared" ref="Q102:Z102" ca="1" si="68">SUM(Q$429-P$429,Q$115)</f>
        <v>0.99164146093765448</v>
      </c>
      <c r="R102" s="20">
        <f t="shared" ca="1" si="68"/>
        <v>1.0172626022435238</v>
      </c>
      <c r="S102" s="20">
        <f t="shared" ca="1" si="68"/>
        <v>1.0441580471889353</v>
      </c>
      <c r="T102" s="20">
        <f t="shared" ca="1" si="68"/>
        <v>1.0713842593911125</v>
      </c>
      <c r="U102" s="20">
        <f t="shared" ca="1" si="68"/>
        <v>1.1007231483534818</v>
      </c>
      <c r="V102" s="20">
        <f t="shared" ca="1" si="68"/>
        <v>1.1309755012288574</v>
      </c>
      <c r="W102" s="20">
        <f t="shared" ca="1" si="68"/>
        <v>1.1614050399844456</v>
      </c>
      <c r="X102" s="20">
        <f t="shared" ca="1" si="68"/>
        <v>1.1928126038600233</v>
      </c>
      <c r="Y102" s="20">
        <f t="shared" ca="1" si="68"/>
        <v>1.2257716083638355</v>
      </c>
      <c r="Z102" s="20">
        <f t="shared" ca="1" si="68"/>
        <v>1.2597030479597848</v>
      </c>
    </row>
    <row r="103" spans="1:26" x14ac:dyDescent="0.25">
      <c r="A103" s="12" t="s">
        <v>1191</v>
      </c>
      <c r="B103" s="14" t="str">
        <f>$B$38</f>
        <v>From Fiscal Forecasts</v>
      </c>
      <c r="C103" s="15"/>
      <c r="D103" s="50">
        <f>-'Fiscal Forecasts'!D$88</f>
        <v>1.9019999999999999</v>
      </c>
      <c r="E103" s="50">
        <f>-'Fiscal Forecasts'!E$88</f>
        <v>1.29</v>
      </c>
      <c r="F103" s="50">
        <f>-'Fiscal Forecasts'!F$88</f>
        <v>5.6630000000000003</v>
      </c>
      <c r="G103" s="50">
        <f>-'Fiscal Forecasts'!G$88</f>
        <v>12.958</v>
      </c>
      <c r="H103" s="50">
        <f>-'Fiscal Forecasts'!H$88</f>
        <v>8.2149999999999999</v>
      </c>
      <c r="I103" s="50">
        <f>-'Fiscal Forecasts'!I$88</f>
        <v>-0.151</v>
      </c>
      <c r="J103" s="50">
        <f>-'Fiscal Forecasts'!J$88</f>
        <v>-5.8879999999999999</v>
      </c>
      <c r="K103" s="50">
        <f>-'Fiscal Forecasts'!K$88</f>
        <v>-3.6070000000000002</v>
      </c>
      <c r="L103" s="48">
        <f>-'Fiscal Forecasts'!L$88</f>
        <v>3.653</v>
      </c>
      <c r="M103" s="48">
        <f>-'Fiscal Forecasts'!M$88</f>
        <v>5.1550000000000002</v>
      </c>
      <c r="N103" s="48">
        <f>-'Fiscal Forecasts'!N$88</f>
        <v>5.5149999999999997</v>
      </c>
      <c r="O103" s="48">
        <f>-'Fiscal Forecasts'!O$88</f>
        <v>5.9749999999999996</v>
      </c>
      <c r="P103" s="48">
        <f>-'Fiscal Forecasts'!P$88</f>
        <v>6.2590000000000003</v>
      </c>
      <c r="Q103" s="20">
        <f t="shared" ref="Q103:Z103" ca="1" si="69">SUM(Q$397-P$397,Q$402,-Q$404)</f>
        <v>4.3256040525072459</v>
      </c>
      <c r="R103" s="20">
        <f t="shared" ca="1" si="69"/>
        <v>3.796813452335003</v>
      </c>
      <c r="S103" s="20">
        <f t="shared" ca="1" si="69"/>
        <v>3.8836397704301993</v>
      </c>
      <c r="T103" s="20">
        <f t="shared" ca="1" si="69"/>
        <v>3.9629372065793005</v>
      </c>
      <c r="U103" s="20">
        <f t="shared" ca="1" si="69"/>
        <v>4.0750999071931329</v>
      </c>
      <c r="V103" s="20">
        <f t="shared" ca="1" si="69"/>
        <v>4.1958768417042132</v>
      </c>
      <c r="W103" s="20">
        <f t="shared" ca="1" si="69"/>
        <v>4.3078513858196112</v>
      </c>
      <c r="X103" s="20">
        <f t="shared" ca="1" si="69"/>
        <v>4.4369983310530081</v>
      </c>
      <c r="Y103" s="20">
        <f t="shared" ca="1" si="69"/>
        <v>4.6000964057544325</v>
      </c>
      <c r="Z103" s="20">
        <f t="shared" ca="1" si="69"/>
        <v>4.7734375495032326</v>
      </c>
    </row>
    <row r="104" spans="1:26" x14ac:dyDescent="0.25">
      <c r="A104" s="12" t="s">
        <v>1192</v>
      </c>
      <c r="B104" s="14" t="str">
        <f>$B$38</f>
        <v>From Fiscal Forecasts</v>
      </c>
      <c r="C104" s="15"/>
      <c r="D104" s="50">
        <f>-'Fiscal Forecasts'!D$89</f>
        <v>-0.13600000000000001</v>
      </c>
      <c r="E104" s="50">
        <f>-'Fiscal Forecasts'!E$89</f>
        <v>0.28599999999999998</v>
      </c>
      <c r="F104" s="50">
        <f>-'Fiscal Forecasts'!F$89</f>
        <v>0.39200000000000002</v>
      </c>
      <c r="G104" s="50">
        <f>-'Fiscal Forecasts'!G$89</f>
        <v>0.44800000000000001</v>
      </c>
      <c r="H104" s="50">
        <f>-'Fiscal Forecasts'!H$89</f>
        <v>0.20200000000000001</v>
      </c>
      <c r="I104" s="50">
        <f>-'Fiscal Forecasts'!I$89</f>
        <v>0.39700000000000002</v>
      </c>
      <c r="J104" s="50">
        <f>-'Fiscal Forecasts'!J$89</f>
        <v>0.40400000000000003</v>
      </c>
      <c r="K104" s="50">
        <f>-'Fiscal Forecasts'!K$89</f>
        <v>0.44700000000000001</v>
      </c>
      <c r="L104" s="48">
        <f>-'Fiscal Forecasts'!L$89</f>
        <v>0.30599999999999999</v>
      </c>
      <c r="M104" s="48">
        <f>-'Fiscal Forecasts'!M$89</f>
        <v>0.14399999999999999</v>
      </c>
      <c r="N104" s="48">
        <f>-'Fiscal Forecasts'!N$89</f>
        <v>4.5999999999999999E-2</v>
      </c>
      <c r="O104" s="48">
        <f>-'Fiscal Forecasts'!O$89</f>
        <v>4.5999999999999999E-2</v>
      </c>
      <c r="P104" s="48">
        <f>-'Fiscal Forecasts'!P$89</f>
        <v>4.4999999999999998E-2</v>
      </c>
      <c r="Q104" s="20">
        <f t="shared" ref="Q104:Z104" ca="1" si="70">SUM(Q$424-P$424,-Q$341)</f>
        <v>0.32345283774862377</v>
      </c>
      <c r="R104" s="20">
        <f t="shared" ca="1" si="70"/>
        <v>0.32827357558672093</v>
      </c>
      <c r="S104" s="20">
        <f t="shared" ca="1" si="70"/>
        <v>0.33317054040800032</v>
      </c>
      <c r="T104" s="20">
        <f t="shared" ca="1" si="70"/>
        <v>0.33815436948875899</v>
      </c>
      <c r="U104" s="20">
        <f t="shared" ca="1" si="70"/>
        <v>0.34318929924724173</v>
      </c>
      <c r="V104" s="20">
        <f t="shared" ca="1" si="70"/>
        <v>0.34827742761570046</v>
      </c>
      <c r="W104" s="20">
        <f t="shared" ca="1" si="70"/>
        <v>0.35343975578156162</v>
      </c>
      <c r="X104" s="20">
        <f t="shared" ca="1" si="70"/>
        <v>0.35867372671614572</v>
      </c>
      <c r="Y104" s="20">
        <f t="shared" ca="1" si="70"/>
        <v>0.36396351220295858</v>
      </c>
      <c r="Z104" s="20">
        <f t="shared" ca="1" si="70"/>
        <v>0.36931169937688901</v>
      </c>
    </row>
    <row r="105" spans="1:26" x14ac:dyDescent="0.25">
      <c r="A105" s="12" t="s">
        <v>1193</v>
      </c>
      <c r="B105" s="11"/>
      <c r="C105" s="15"/>
      <c r="D105" s="50">
        <f t="shared" ref="D105:Z105" si="71">SUM(D$432-C$432,D$435-C$435)</f>
        <v>0</v>
      </c>
      <c r="E105" s="50">
        <f t="shared" si="71"/>
        <v>0</v>
      </c>
      <c r="F105" s="50">
        <f t="shared" si="71"/>
        <v>0</v>
      </c>
      <c r="G105" s="50">
        <f t="shared" si="71"/>
        <v>0</v>
      </c>
      <c r="H105" s="50">
        <f t="shared" si="71"/>
        <v>0</v>
      </c>
      <c r="I105" s="50">
        <f t="shared" si="71"/>
        <v>0</v>
      </c>
      <c r="J105" s="50">
        <f t="shared" si="71"/>
        <v>0</v>
      </c>
      <c r="K105" s="50">
        <f t="shared" si="71"/>
        <v>0</v>
      </c>
      <c r="L105" s="48">
        <f t="shared" si="71"/>
        <v>-6.0000000000000053E-3</v>
      </c>
      <c r="M105" s="48">
        <f t="shared" si="71"/>
        <v>2.3870000000000005</v>
      </c>
      <c r="N105" s="48">
        <f t="shared" si="71"/>
        <v>3.628000000000001</v>
      </c>
      <c r="O105" s="48">
        <f t="shared" si="71"/>
        <v>4.3800000000000008</v>
      </c>
      <c r="P105" s="48">
        <f t="shared" si="71"/>
        <v>5.168000000000001</v>
      </c>
      <c r="Q105" s="20">
        <f t="shared" ca="1" si="71"/>
        <v>5.782</v>
      </c>
      <c r="R105" s="20">
        <f t="shared" ca="1" si="71"/>
        <v>6.7545000000000002</v>
      </c>
      <c r="S105" s="20">
        <f t="shared" ca="1" si="71"/>
        <v>7.4056250000000041</v>
      </c>
      <c r="T105" s="20">
        <f t="shared" ca="1" si="71"/>
        <v>7.707306250000002</v>
      </c>
      <c r="U105" s="20">
        <f t="shared" ca="1" si="71"/>
        <v>8.0926715625000014</v>
      </c>
      <c r="V105" s="20">
        <f t="shared" ca="1" si="71"/>
        <v>8.4973051406250022</v>
      </c>
      <c r="W105" s="20">
        <f t="shared" ca="1" si="71"/>
        <v>8.9221703976562452</v>
      </c>
      <c r="X105" s="20">
        <f t="shared" ca="1" si="71"/>
        <v>9.3682789175390724</v>
      </c>
      <c r="Y105" s="20">
        <f t="shared" ca="1" si="71"/>
        <v>9.8366928634160189</v>
      </c>
      <c r="Z105" s="20">
        <f t="shared" ca="1" si="71"/>
        <v>10.328527506586823</v>
      </c>
    </row>
    <row r="106" spans="1:26" x14ac:dyDescent="0.25">
      <c r="A106" s="11" t="s">
        <v>1194</v>
      </c>
      <c r="B106" s="11"/>
      <c r="C106" s="15"/>
      <c r="D106" s="94">
        <f t="shared" ref="D106:Z106" si="72">-SUM(D$100:D$105)</f>
        <v>-7.2170000000000005</v>
      </c>
      <c r="E106" s="94">
        <f t="shared" si="72"/>
        <v>-25.651</v>
      </c>
      <c r="F106" s="94">
        <f t="shared" si="72"/>
        <v>-12.157</v>
      </c>
      <c r="G106" s="94">
        <f t="shared" si="72"/>
        <v>-29.673999999999999</v>
      </c>
      <c r="H106" s="94">
        <f t="shared" si="72"/>
        <v>-28.462</v>
      </c>
      <c r="I106" s="94">
        <f t="shared" si="72"/>
        <v>-28.285999999999998</v>
      </c>
      <c r="J106" s="94">
        <f t="shared" si="72"/>
        <v>-19.006000000000004</v>
      </c>
      <c r="K106" s="94">
        <f t="shared" si="72"/>
        <v>-15.295999999999999</v>
      </c>
      <c r="L106" s="95">
        <f t="shared" si="72"/>
        <v>-17.673000000000002</v>
      </c>
      <c r="M106" s="95">
        <f t="shared" si="72"/>
        <v>-27.444999999999997</v>
      </c>
      <c r="N106" s="95">
        <f t="shared" si="72"/>
        <v>-27.656999999999996</v>
      </c>
      <c r="O106" s="95">
        <f t="shared" si="72"/>
        <v>-26.908000000000001</v>
      </c>
      <c r="P106" s="95">
        <f t="shared" si="72"/>
        <v>-25.621000000000002</v>
      </c>
      <c r="Q106" s="99">
        <f t="shared" ca="1" si="72"/>
        <v>-26.208193393563359</v>
      </c>
      <c r="R106" s="99">
        <f t="shared" ca="1" si="72"/>
        <v>-27.555975823746881</v>
      </c>
      <c r="S106" s="99">
        <f t="shared" ca="1" si="72"/>
        <v>-28.533485981230768</v>
      </c>
      <c r="T106" s="99">
        <f t="shared" ca="1" si="72"/>
        <v>-29.193218751790003</v>
      </c>
      <c r="U106" s="99">
        <f t="shared" ca="1" si="72"/>
        <v>-29.938601615252075</v>
      </c>
      <c r="V106" s="99">
        <f t="shared" ca="1" si="72"/>
        <v>-30.602233602849989</v>
      </c>
      <c r="W106" s="99">
        <f t="shared" ca="1" si="72"/>
        <v>-31.307011045934349</v>
      </c>
      <c r="X106" s="99">
        <f t="shared" ca="1" si="72"/>
        <v>-32.112282286086639</v>
      </c>
      <c r="Y106" s="99">
        <f t="shared" ca="1" si="72"/>
        <v>-33.097979174563221</v>
      </c>
      <c r="Z106" s="99">
        <f t="shared" ca="1" si="72"/>
        <v>-34.179033243455308</v>
      </c>
    </row>
    <row r="107" spans="1:26" x14ac:dyDescent="0.25">
      <c r="A107" s="12" t="s">
        <v>914</v>
      </c>
      <c r="B107" s="14" t="str">
        <f>$B$38</f>
        <v>From Fiscal Forecasts</v>
      </c>
      <c r="C107" s="15"/>
      <c r="D107" s="50">
        <f>'Fiscal Forecasts'!D$92</f>
        <v>0.437</v>
      </c>
      <c r="E107" s="50">
        <f>'Fiscal Forecasts'!E$92</f>
        <v>1.2090000000000001</v>
      </c>
      <c r="F107" s="50">
        <f>'Fiscal Forecasts'!F$92</f>
        <v>0.23400000000000001</v>
      </c>
      <c r="G107" s="50">
        <f>'Fiscal Forecasts'!G$92</f>
        <v>0.80500000000000005</v>
      </c>
      <c r="H107" s="50">
        <f>'Fiscal Forecasts'!H$92</f>
        <v>-5.8999999999999997E-2</v>
      </c>
      <c r="I107" s="50">
        <f>'Fiscal Forecasts'!I$92</f>
        <v>-2.4E-2</v>
      </c>
      <c r="J107" s="50">
        <f>'Fiscal Forecasts'!J$92</f>
        <v>0.17499999999999999</v>
      </c>
      <c r="K107" s="50">
        <f>'Fiscal Forecasts'!K$92</f>
        <v>1.1100000000000001</v>
      </c>
      <c r="L107" s="48">
        <f>'Fiscal Forecasts'!L$92</f>
        <v>-0.45600000000000002</v>
      </c>
      <c r="M107" s="48">
        <f>'Fiscal Forecasts'!M$92</f>
        <v>9.8000000000000004E-2</v>
      </c>
      <c r="N107" s="48">
        <f>'Fiscal Forecasts'!N$92</f>
        <v>9.9000000000000005E-2</v>
      </c>
      <c r="O107" s="48">
        <f>'Fiscal Forecasts'!O$92</f>
        <v>0.1</v>
      </c>
      <c r="P107" s="48">
        <f>'Fiscal Forecasts'!P$92</f>
        <v>0.10100000000000001</v>
      </c>
      <c r="Q107" s="20">
        <f t="shared" ref="Q107:Z107" ca="1" si="73">Q$439-P$439</f>
        <v>0.20407999999999937</v>
      </c>
      <c r="R107" s="20">
        <f t="shared" ca="1" si="73"/>
        <v>0.20816160000000039</v>
      </c>
      <c r="S107" s="20">
        <f t="shared" ca="1" si="73"/>
        <v>0.21232483200000019</v>
      </c>
      <c r="T107" s="20">
        <f t="shared" ca="1" si="73"/>
        <v>0.21657132864000062</v>
      </c>
      <c r="U107" s="20">
        <f t="shared" ca="1" si="73"/>
        <v>0.22090275521279956</v>
      </c>
      <c r="V107" s="20">
        <f t="shared" ca="1" si="73"/>
        <v>0.22532081031705609</v>
      </c>
      <c r="W107" s="20">
        <f t="shared" ca="1" si="73"/>
        <v>0.2298272265233976</v>
      </c>
      <c r="X107" s="20">
        <f t="shared" ca="1" si="73"/>
        <v>0.23442377105386569</v>
      </c>
      <c r="Y107" s="20">
        <f t="shared" ca="1" si="73"/>
        <v>0.23911224647494222</v>
      </c>
      <c r="Z107" s="20">
        <f t="shared" ca="1" si="73"/>
        <v>0.24389449140444164</v>
      </c>
    </row>
    <row r="108" spans="1:26" x14ac:dyDescent="0.25">
      <c r="A108" s="12" t="s">
        <v>1195</v>
      </c>
      <c r="B108" s="14" t="str">
        <f>$B$38</f>
        <v>From Fiscal Forecasts</v>
      </c>
      <c r="C108" s="15"/>
      <c r="D108" s="50">
        <f>SUM('Fiscal Forecasts'!D$93:D$96)</f>
        <v>-2.5789999999999997</v>
      </c>
      <c r="E108" s="50">
        <f>SUM('Fiscal Forecasts'!E$93:E$96)</f>
        <v>36.155999999999999</v>
      </c>
      <c r="F108" s="50">
        <f>SUM('Fiscal Forecasts'!F$93:F$96)</f>
        <v>7.3529999999999998</v>
      </c>
      <c r="G108" s="50">
        <f>SUM('Fiscal Forecasts'!G$93:G$96)</f>
        <v>33.409000000000006</v>
      </c>
      <c r="H108" s="50">
        <f>SUM('Fiscal Forecasts'!H$93:H$96)</f>
        <v>24.929000000000002</v>
      </c>
      <c r="I108" s="50">
        <f>SUM('Fiscal Forecasts'!I$93:I$96)</f>
        <v>28.588000000000001</v>
      </c>
      <c r="J108" s="50">
        <f>SUM('Fiscal Forecasts'!J$93:J$96)</f>
        <v>25.934000000000001</v>
      </c>
      <c r="K108" s="50">
        <f>SUM('Fiscal Forecasts'!K$93:K$96)</f>
        <v>16.634</v>
      </c>
      <c r="L108" s="48">
        <f>SUM('Fiscal Forecasts'!L$93:L$96)</f>
        <v>22.564000000000004</v>
      </c>
      <c r="M108" s="48">
        <f>SUM('Fiscal Forecasts'!M$93:M$96)</f>
        <v>19.970999999999997</v>
      </c>
      <c r="N108" s="48">
        <f>SUM('Fiscal Forecasts'!N$93:N$96)</f>
        <v>14.593</v>
      </c>
      <c r="O108" s="48">
        <f>SUM('Fiscal Forecasts'!O$93:O$96)</f>
        <v>8.2569999999999997</v>
      </c>
      <c r="P108" s="48">
        <f>SUM('Fiscal Forecasts'!P$93:P$96)</f>
        <v>3.2669999999999995</v>
      </c>
      <c r="Q108" s="20">
        <f t="shared" ref="Q108:Z108" ca="1" si="74">Q$347-P$347-SUM(Q$99,Q$106,Q$107)</f>
        <v>3.1641804292318891</v>
      </c>
      <c r="R108" s="20">
        <f t="shared" ca="1" si="74"/>
        <v>2.7632604904911453</v>
      </c>
      <c r="S108" s="20">
        <f t="shared" ca="1" si="74"/>
        <v>1.885972139490061</v>
      </c>
      <c r="T108" s="20">
        <f t="shared" ca="1" si="74"/>
        <v>0.38799853960252406</v>
      </c>
      <c r="U108" s="20">
        <f t="shared" ca="1" si="74"/>
        <v>-0.99931240071464522</v>
      </c>
      <c r="V108" s="20">
        <f t="shared" ca="1" si="74"/>
        <v>-2.3290796658367388</v>
      </c>
      <c r="W108" s="20">
        <f t="shared" ca="1" si="74"/>
        <v>-3.6825543134555296</v>
      </c>
      <c r="X108" s="20">
        <f t="shared" ca="1" si="74"/>
        <v>-4.9638794517017679</v>
      </c>
      <c r="Y108" s="20">
        <f t="shared" ca="1" si="74"/>
        <v>-6.2806671184334526</v>
      </c>
      <c r="Z108" s="20">
        <f t="shared" ca="1" si="74"/>
        <v>-7.5211155136045154</v>
      </c>
    </row>
    <row r="109" spans="1:26" x14ac:dyDescent="0.25">
      <c r="A109" s="12" t="s">
        <v>1196</v>
      </c>
      <c r="B109" s="14" t="str">
        <f>$B$38</f>
        <v>From Fiscal Forecasts</v>
      </c>
      <c r="C109" s="15"/>
      <c r="D109" s="50">
        <f>-'Fiscal Forecasts'!D$97</f>
        <v>0.504</v>
      </c>
      <c r="E109" s="50">
        <f>-'Fiscal Forecasts'!E$97</f>
        <v>0.47899999999999998</v>
      </c>
      <c r="F109" s="50">
        <f>-'Fiscal Forecasts'!F$97</f>
        <v>0.373</v>
      </c>
      <c r="G109" s="50">
        <f>-'Fiscal Forecasts'!G$97</f>
        <v>0.30399999999999999</v>
      </c>
      <c r="H109" s="50">
        <f>-'Fiscal Forecasts'!H$97</f>
        <v>0.372</v>
      </c>
      <c r="I109" s="50">
        <f>-'Fiscal Forecasts'!I$97</f>
        <v>0.505</v>
      </c>
      <c r="J109" s="50">
        <f>-'Fiscal Forecasts'!J$97</f>
        <v>0.40899999999999997</v>
      </c>
      <c r="K109" s="50">
        <f>-'Fiscal Forecasts'!K$97</f>
        <v>0.40600000000000003</v>
      </c>
      <c r="L109" s="48">
        <f>-'Fiscal Forecasts'!L$97</f>
        <v>0.46100000000000002</v>
      </c>
      <c r="M109" s="48">
        <f>-'Fiscal Forecasts'!M$97</f>
        <v>0.49099999999999999</v>
      </c>
      <c r="N109" s="48">
        <f>-'Fiscal Forecasts'!N$97</f>
        <v>0.54100000000000004</v>
      </c>
      <c r="O109" s="48">
        <f>-'Fiscal Forecasts'!O$97</f>
        <v>0.60199999999999998</v>
      </c>
      <c r="P109" s="48">
        <f>-'Fiscal Forecasts'!P$97</f>
        <v>0.63300000000000001</v>
      </c>
      <c r="Q109" s="20">
        <f t="shared" ref="Q109:Z109" si="75">Q$38-Q$40</f>
        <v>0.54411323896752695</v>
      </c>
      <c r="R109" s="20">
        <f t="shared" ca="1" si="75"/>
        <v>0.54065541675415307</v>
      </c>
      <c r="S109" s="20">
        <f t="shared" ca="1" si="75"/>
        <v>0.53790551579760426</v>
      </c>
      <c r="T109" s="20">
        <f t="shared" ca="1" si="75"/>
        <v>0.5361411619943417</v>
      </c>
      <c r="U109" s="20">
        <f t="shared" ca="1" si="75"/>
        <v>0.53595960803659359</v>
      </c>
      <c r="V109" s="20">
        <f t="shared" ca="1" si="75"/>
        <v>0.53732027181439979</v>
      </c>
      <c r="W109" s="20">
        <f t="shared" ca="1" si="75"/>
        <v>0.53877325425245071</v>
      </c>
      <c r="X109" s="20">
        <f t="shared" ca="1" si="75"/>
        <v>0.54015160457347378</v>
      </c>
      <c r="Y109" s="20">
        <f t="shared" ca="1" si="75"/>
        <v>0.54135872009917774</v>
      </c>
      <c r="Z109" s="20">
        <f t="shared" ca="1" si="75"/>
        <v>0.5426079011914402</v>
      </c>
    </row>
    <row r="110" spans="1:26" x14ac:dyDescent="0.25">
      <c r="A110" s="11" t="s">
        <v>1197</v>
      </c>
      <c r="B110" s="11"/>
      <c r="C110" s="15"/>
      <c r="D110" s="94">
        <f t="shared" ref="D110:Z110" si="76">(D$107+D$108-D$109)</f>
        <v>-2.6459999999999999</v>
      </c>
      <c r="E110" s="94">
        <f t="shared" si="76"/>
        <v>36.886000000000003</v>
      </c>
      <c r="F110" s="94">
        <f t="shared" si="76"/>
        <v>7.2139999999999995</v>
      </c>
      <c r="G110" s="94">
        <f t="shared" si="76"/>
        <v>33.910000000000004</v>
      </c>
      <c r="H110" s="94">
        <f t="shared" si="76"/>
        <v>24.498000000000001</v>
      </c>
      <c r="I110" s="94">
        <f t="shared" si="76"/>
        <v>28.059000000000001</v>
      </c>
      <c r="J110" s="94">
        <f t="shared" si="76"/>
        <v>25.700000000000003</v>
      </c>
      <c r="K110" s="94">
        <f t="shared" si="76"/>
        <v>17.338000000000001</v>
      </c>
      <c r="L110" s="95">
        <f t="shared" si="76"/>
        <v>21.647000000000006</v>
      </c>
      <c r="M110" s="95">
        <f t="shared" si="76"/>
        <v>19.577999999999996</v>
      </c>
      <c r="N110" s="95">
        <f t="shared" si="76"/>
        <v>14.151</v>
      </c>
      <c r="O110" s="95">
        <f t="shared" si="76"/>
        <v>7.754999999999999</v>
      </c>
      <c r="P110" s="95">
        <f t="shared" si="76"/>
        <v>2.7349999999999994</v>
      </c>
      <c r="Q110" s="99">
        <f t="shared" ca="1" si="76"/>
        <v>2.8241471902643616</v>
      </c>
      <c r="R110" s="99">
        <f t="shared" ca="1" si="76"/>
        <v>2.4307666737369926</v>
      </c>
      <c r="S110" s="99">
        <f t="shared" ca="1" si="76"/>
        <v>1.560391455692457</v>
      </c>
      <c r="T110" s="99">
        <f t="shared" ca="1" si="76"/>
        <v>6.842870624818298E-2</v>
      </c>
      <c r="U110" s="99">
        <f t="shared" ca="1" si="76"/>
        <v>-1.3143692535384393</v>
      </c>
      <c r="V110" s="99">
        <f t="shared" ca="1" si="76"/>
        <v>-2.6410791273340823</v>
      </c>
      <c r="W110" s="99">
        <f t="shared" ca="1" si="76"/>
        <v>-3.9915003411845826</v>
      </c>
      <c r="X110" s="99">
        <f t="shared" ca="1" si="76"/>
        <v>-5.269607285221376</v>
      </c>
      <c r="Y110" s="99">
        <f t="shared" ca="1" si="76"/>
        <v>-6.5829135920576878</v>
      </c>
      <c r="Z110" s="99">
        <f t="shared" ca="1" si="76"/>
        <v>-7.8198289233915137</v>
      </c>
    </row>
    <row r="111" spans="1:26" x14ac:dyDescent="0.25">
      <c r="A111" s="11" t="s">
        <v>921</v>
      </c>
      <c r="B111" s="11"/>
      <c r="C111" s="15"/>
      <c r="D111" s="94">
        <f t="shared" ref="D111:Z111" si="77">SUM(D$99,D$106,D$110)</f>
        <v>1.1099999999999985</v>
      </c>
      <c r="E111" s="94">
        <f t="shared" si="77"/>
        <v>0.83900000000000574</v>
      </c>
      <c r="F111" s="94">
        <f t="shared" si="77"/>
        <v>-1.8389999999999871</v>
      </c>
      <c r="G111" s="94">
        <f t="shared" si="77"/>
        <v>-1.1410000000000053</v>
      </c>
      <c r="H111" s="94">
        <f t="shared" si="77"/>
        <v>0.56099999999997863</v>
      </c>
      <c r="I111" s="94">
        <f t="shared" si="77"/>
        <v>-2.5330000000000368</v>
      </c>
      <c r="J111" s="94">
        <f t="shared" si="77"/>
        <v>7.3930000000000113</v>
      </c>
      <c r="K111" s="94">
        <f t="shared" si="77"/>
        <v>4.5739999999999839</v>
      </c>
      <c r="L111" s="95">
        <f t="shared" ca="1" si="77"/>
        <v>0.1740000000000208</v>
      </c>
      <c r="M111" s="95">
        <f t="shared" ca="1" si="77"/>
        <v>-0.22000000000000952</v>
      </c>
      <c r="N111" s="95">
        <f t="shared" ca="1" si="77"/>
        <v>0.27300000000002811</v>
      </c>
      <c r="O111" s="95">
        <f t="shared" ca="1" si="77"/>
        <v>-0.36900000000001043</v>
      </c>
      <c r="P111" s="95">
        <f t="shared" ca="1" si="77"/>
        <v>-0.4310000000000187</v>
      </c>
      <c r="Q111" s="99">
        <f t="shared" ca="1" si="77"/>
        <v>0.72722349197297387</v>
      </c>
      <c r="R111" s="99">
        <f t="shared" ca="1" si="77"/>
        <v>0.78284427524118083</v>
      </c>
      <c r="S111" s="99">
        <f t="shared" ca="1" si="77"/>
        <v>0.82400168104932781</v>
      </c>
      <c r="T111" s="99">
        <f t="shared" ca="1" si="77"/>
        <v>0.86240394998211878</v>
      </c>
      <c r="U111" s="99">
        <f t="shared" ca="1" si="77"/>
        <v>0.91188600324515612</v>
      </c>
      <c r="V111" s="99">
        <f t="shared" ca="1" si="77"/>
        <v>0.96192453114824339</v>
      </c>
      <c r="W111" s="99">
        <f t="shared" ca="1" si="77"/>
        <v>1.0083944769988915</v>
      </c>
      <c r="X111" s="99">
        <f t="shared" ca="1" si="77"/>
        <v>1.0599005042706224</v>
      </c>
      <c r="Y111" s="99">
        <f t="shared" ca="1" si="77"/>
        <v>1.1221837707241118</v>
      </c>
      <c r="Z111" s="99">
        <f t="shared" ca="1" si="77"/>
        <v>1.1882397444529271</v>
      </c>
    </row>
    <row r="112" spans="1:26" x14ac:dyDescent="0.25">
      <c r="A112" s="57" t="s">
        <v>1198</v>
      </c>
      <c r="B112" s="11"/>
      <c r="C112" s="15"/>
      <c r="D112" s="89"/>
      <c r="E112" s="89"/>
      <c r="F112" s="89"/>
      <c r="G112" s="89"/>
      <c r="H112" s="89"/>
      <c r="I112" s="89"/>
      <c r="J112" s="89"/>
      <c r="K112" s="89"/>
      <c r="L112" s="66"/>
      <c r="M112" s="66"/>
      <c r="N112" s="66"/>
      <c r="O112" s="66"/>
      <c r="P112" s="66"/>
      <c r="Q112" s="17"/>
      <c r="R112" s="17"/>
      <c r="S112" s="17"/>
      <c r="T112" s="17"/>
      <c r="U112" s="17"/>
      <c r="V112" s="17"/>
      <c r="W112" s="17"/>
      <c r="X112" s="17"/>
      <c r="Y112" s="17"/>
      <c r="Z112" s="17"/>
    </row>
    <row r="113" spans="1:26" x14ac:dyDescent="0.25">
      <c r="A113" s="11" t="s">
        <v>1199</v>
      </c>
      <c r="B113" s="11"/>
      <c r="C113" s="15"/>
      <c r="D113" s="51">
        <f t="shared" ref="D113:Z113" si="78">SUM(D$337,D$341,-D$38)</f>
        <v>-7.3769999999999989</v>
      </c>
      <c r="E113" s="51">
        <f t="shared" si="78"/>
        <v>-7.1269999999999998</v>
      </c>
      <c r="F113" s="51">
        <f t="shared" si="78"/>
        <v>20.545999999999999</v>
      </c>
      <c r="G113" s="51">
        <f t="shared" si="78"/>
        <v>-7.6029999999999998</v>
      </c>
      <c r="H113" s="51">
        <f t="shared" si="78"/>
        <v>14.132000000000001</v>
      </c>
      <c r="I113" s="51">
        <f t="shared" si="78"/>
        <v>4.3490000000000002</v>
      </c>
      <c r="J113" s="51">
        <f t="shared" si="78"/>
        <v>9.2910000000000021</v>
      </c>
      <c r="K113" s="51">
        <f t="shared" si="78"/>
        <v>11.493</v>
      </c>
      <c r="L113" s="47">
        <f t="shared" si="78"/>
        <v>5.6529999999999996</v>
      </c>
      <c r="M113" s="47">
        <f t="shared" si="78"/>
        <v>5.9889999999999999</v>
      </c>
      <c r="N113" s="47">
        <f t="shared" si="78"/>
        <v>6.452</v>
      </c>
      <c r="O113" s="47">
        <f t="shared" si="78"/>
        <v>6.8119999999999994</v>
      </c>
      <c r="P113" s="47">
        <f t="shared" si="78"/>
        <v>7.27</v>
      </c>
      <c r="Q113" s="21">
        <f t="shared" ca="1" si="78"/>
        <v>7.6572790922277196</v>
      </c>
      <c r="R113" s="21">
        <f t="shared" ca="1" si="78"/>
        <v>8.1526931321229288</v>
      </c>
      <c r="S113" s="21">
        <f t="shared" ca="1" si="78"/>
        <v>8.6746683472306803</v>
      </c>
      <c r="T113" s="21">
        <f t="shared" ca="1" si="78"/>
        <v>9.2260881917070101</v>
      </c>
      <c r="U113" s="21">
        <f t="shared" ca="1" si="78"/>
        <v>9.8058646412981876</v>
      </c>
      <c r="V113" s="21">
        <f t="shared" ca="1" si="78"/>
        <v>10.407207446737695</v>
      </c>
      <c r="W113" s="21">
        <f t="shared" ca="1" si="78"/>
        <v>11.035010025531193</v>
      </c>
      <c r="X113" s="21">
        <f t="shared" ca="1" si="78"/>
        <v>11.694357565495913</v>
      </c>
      <c r="Y113" s="21">
        <f t="shared" ca="1" si="78"/>
        <v>12.392549417281046</v>
      </c>
      <c r="Z113" s="21">
        <f t="shared" ca="1" si="78"/>
        <v>13.135911103781851</v>
      </c>
    </row>
    <row r="114" spans="1:26" x14ac:dyDescent="0.25">
      <c r="A114" s="12" t="s">
        <v>872</v>
      </c>
      <c r="B114" s="14"/>
      <c r="C114" s="15"/>
      <c r="D114" s="50">
        <f t="shared" ref="D114:Z114" si="79">D$218</f>
        <v>4.5540000000000003</v>
      </c>
      <c r="E114" s="50">
        <f t="shared" si="79"/>
        <v>5.2940000000000005</v>
      </c>
      <c r="F114" s="50">
        <f t="shared" si="79"/>
        <v>5.5660000000000007</v>
      </c>
      <c r="G114" s="50">
        <f t="shared" si="79"/>
        <v>6.1520000000000001</v>
      </c>
      <c r="H114" s="50">
        <f t="shared" si="79"/>
        <v>6.6009999999999991</v>
      </c>
      <c r="I114" s="50">
        <f t="shared" si="79"/>
        <v>7.6210000000000004</v>
      </c>
      <c r="J114" s="50">
        <f t="shared" si="79"/>
        <v>8.2940000000000005</v>
      </c>
      <c r="K114" s="50">
        <f t="shared" si="79"/>
        <v>8.6809999999999992</v>
      </c>
      <c r="L114" s="48">
        <f t="shared" si="79"/>
        <v>8.9619999999999997</v>
      </c>
      <c r="M114" s="48">
        <f t="shared" si="79"/>
        <v>9.2749999999999986</v>
      </c>
      <c r="N114" s="48">
        <f t="shared" si="79"/>
        <v>9.4580000000000002</v>
      </c>
      <c r="O114" s="48">
        <f t="shared" si="79"/>
        <v>9.8339999999999996</v>
      </c>
      <c r="P114" s="48">
        <f t="shared" si="79"/>
        <v>9.9480000000000004</v>
      </c>
      <c r="Q114" s="20">
        <f t="shared" ca="1" si="79"/>
        <v>9.7296873531633512</v>
      </c>
      <c r="R114" s="20">
        <f t="shared" ca="1" si="79"/>
        <v>9.8267814099919946</v>
      </c>
      <c r="S114" s="20">
        <f t="shared" ca="1" si="79"/>
        <v>9.92581734795721</v>
      </c>
      <c r="T114" s="20">
        <f t="shared" ca="1" si="79"/>
        <v>10.026834004681728</v>
      </c>
      <c r="U114" s="20">
        <f t="shared" ca="1" si="79"/>
        <v>10.129870994540738</v>
      </c>
      <c r="V114" s="20">
        <f t="shared" ca="1" si="79"/>
        <v>10.234968724196928</v>
      </c>
      <c r="W114" s="20">
        <f t="shared" ca="1" si="79"/>
        <v>10.342168408446243</v>
      </c>
      <c r="X114" s="20">
        <f t="shared" ca="1" si="79"/>
        <v>10.451512086380543</v>
      </c>
      <c r="Y114" s="20">
        <f t="shared" ca="1" si="79"/>
        <v>10.563042637873529</v>
      </c>
      <c r="Z114" s="20">
        <f t="shared" ca="1" si="79"/>
        <v>10.676803800396376</v>
      </c>
    </row>
    <row r="115" spans="1:26" x14ac:dyDescent="0.25">
      <c r="A115" s="12" t="s">
        <v>926</v>
      </c>
      <c r="B115" s="14" t="str">
        <f t="shared" ref="B115:B120" si="80">$B$38</f>
        <v>From Fiscal Forecasts</v>
      </c>
      <c r="C115" s="15"/>
      <c r="D115" s="50">
        <f>-'Fiscal Forecasts'!D$104</f>
        <v>-1.5799999999999996</v>
      </c>
      <c r="E115" s="50">
        <f>-'Fiscal Forecasts'!E$104</f>
        <v>2.726</v>
      </c>
      <c r="F115" s="50">
        <f>-'Fiscal Forecasts'!F$104</f>
        <v>1.0489999999999999</v>
      </c>
      <c r="G115" s="50">
        <f>-'Fiscal Forecasts'!G$104</f>
        <v>-0.26900000000000002</v>
      </c>
      <c r="H115" s="50">
        <f>-'Fiscal Forecasts'!H$104</f>
        <v>0.73399999999999999</v>
      </c>
      <c r="I115" s="50">
        <f>-'Fiscal Forecasts'!I$104</f>
        <v>1.1950000000000001</v>
      </c>
      <c r="J115" s="50">
        <f>-'Fiscal Forecasts'!J$104</f>
        <v>0.97499999999999998</v>
      </c>
      <c r="K115" s="50">
        <f>-'Fiscal Forecasts'!K$104</f>
        <v>1.589</v>
      </c>
      <c r="L115" s="48">
        <f>-'Fiscal Forecasts'!L$104</f>
        <v>0.871</v>
      </c>
      <c r="M115" s="48">
        <f>-'Fiscal Forecasts'!M$104</f>
        <v>0.89200000000000002</v>
      </c>
      <c r="N115" s="48">
        <f>-'Fiscal Forecasts'!N$104</f>
        <v>0.91400000000000003</v>
      </c>
      <c r="O115" s="48">
        <f>-'Fiscal Forecasts'!O$104</f>
        <v>0.878</v>
      </c>
      <c r="P115" s="48">
        <f>-'Fiscal Forecasts'!P$104</f>
        <v>0.85699999999999998</v>
      </c>
      <c r="Q115" s="20">
        <f t="shared" ref="Q115:Z115" ca="1" si="81">SUM(Q$219,Q$220)</f>
        <v>0.87106089756178018</v>
      </c>
      <c r="R115" s="20">
        <f t="shared" ca="1" si="81"/>
        <v>0.89422465669387186</v>
      </c>
      <c r="S115" s="20">
        <f t="shared" ca="1" si="81"/>
        <v>0.91786048368810702</v>
      </c>
      <c r="T115" s="20">
        <f t="shared" ca="1" si="81"/>
        <v>0.9421224895868836</v>
      </c>
      <c r="U115" s="20">
        <f t="shared" ca="1" si="81"/>
        <v>0.96695392524206092</v>
      </c>
      <c r="V115" s="20">
        <f t="shared" ca="1" si="81"/>
        <v>0.99265125138392873</v>
      </c>
      <c r="W115" s="20">
        <f t="shared" ca="1" si="81"/>
        <v>1.0192236069595728</v>
      </c>
      <c r="X115" s="20">
        <f t="shared" ca="1" si="81"/>
        <v>1.0465369348744327</v>
      </c>
      <c r="Y115" s="20">
        <f t="shared" ca="1" si="81"/>
        <v>1.0746367734255748</v>
      </c>
      <c r="Z115" s="20">
        <f t="shared" ca="1" si="81"/>
        <v>1.1036700671419546</v>
      </c>
    </row>
    <row r="116" spans="1:26" x14ac:dyDescent="0.25">
      <c r="A116" s="12" t="s">
        <v>927</v>
      </c>
      <c r="B116" s="14" t="str">
        <f t="shared" si="80"/>
        <v>From Fiscal Forecasts</v>
      </c>
      <c r="C116" s="15"/>
      <c r="D116" s="50">
        <f>-'Fiscal Forecasts'!D$105</f>
        <v>0.76300000000000001</v>
      </c>
      <c r="E116" s="50">
        <f>-'Fiscal Forecasts'!E$105</f>
        <v>1.2789999999999999</v>
      </c>
      <c r="F116" s="50">
        <f>-'Fiscal Forecasts'!F$105</f>
        <v>1.0389999999999999</v>
      </c>
      <c r="G116" s="50">
        <f>-'Fiscal Forecasts'!G$105</f>
        <v>0.85799999999999998</v>
      </c>
      <c r="H116" s="50">
        <f>-'Fiscal Forecasts'!H$105</f>
        <v>0.73799999999999999</v>
      </c>
      <c r="I116" s="50">
        <f>-'Fiscal Forecasts'!I$105</f>
        <v>0.71899999999999997</v>
      </c>
      <c r="J116" s="50">
        <f>-'Fiscal Forecasts'!J$105</f>
        <v>0.66100000000000003</v>
      </c>
      <c r="K116" s="50">
        <f>-'Fiscal Forecasts'!K$105</f>
        <v>0.82699999999999996</v>
      </c>
      <c r="L116" s="48">
        <f>-'Fiscal Forecasts'!L$105</f>
        <v>0.78500000000000003</v>
      </c>
      <c r="M116" s="48">
        <f>-'Fiscal Forecasts'!M$105</f>
        <v>0.84799999999999998</v>
      </c>
      <c r="N116" s="48">
        <f>-'Fiscal Forecasts'!N$105</f>
        <v>0.92200000000000004</v>
      </c>
      <c r="O116" s="48">
        <f>-'Fiscal Forecasts'!O$105</f>
        <v>0.89200000000000002</v>
      </c>
      <c r="P116" s="48">
        <f>-'Fiscal Forecasts'!P$105</f>
        <v>0.92200000000000004</v>
      </c>
      <c r="Q116" s="20">
        <f t="shared" ref="Q116:Z116" si="82">Q$402</f>
        <v>0.91100000000000003</v>
      </c>
      <c r="R116" s="20">
        <f t="shared" si="82"/>
        <v>0.93799999999999994</v>
      </c>
      <c r="S116" s="20">
        <f t="shared" si="82"/>
        <v>0.96199999999999997</v>
      </c>
      <c r="T116" s="20">
        <f t="shared" si="82"/>
        <v>0.98499999999999999</v>
      </c>
      <c r="U116" s="20">
        <f t="shared" si="82"/>
        <v>1.006</v>
      </c>
      <c r="V116" s="20">
        <f t="shared" si="82"/>
        <v>1.0249999999999999</v>
      </c>
      <c r="W116" s="20">
        <f t="shared" si="82"/>
        <v>1.046</v>
      </c>
      <c r="X116" s="20">
        <f t="shared" si="82"/>
        <v>1.0669999999999999</v>
      </c>
      <c r="Y116" s="20">
        <f t="shared" si="82"/>
        <v>1.0880000000000001</v>
      </c>
      <c r="Z116" s="20">
        <f t="shared" si="82"/>
        <v>1.109</v>
      </c>
    </row>
    <row r="117" spans="1:26" x14ac:dyDescent="0.25">
      <c r="A117" s="12" t="s">
        <v>1200</v>
      </c>
      <c r="B117" s="14" t="str">
        <f t="shared" si="80"/>
        <v>From Fiscal Forecasts</v>
      </c>
      <c r="C117" s="15"/>
      <c r="D117" s="50">
        <f>-'Fiscal Forecasts'!D$106</f>
        <v>4.1000000000000002E-2</v>
      </c>
      <c r="E117" s="50">
        <f>-'Fiscal Forecasts'!E$106</f>
        <v>5.2999999999999999E-2</v>
      </c>
      <c r="F117" s="50">
        <f>-'Fiscal Forecasts'!F$106</f>
        <v>1E-3</v>
      </c>
      <c r="G117" s="50">
        <f>-'Fiscal Forecasts'!G$106</f>
        <v>3.7999999999999999E-2</v>
      </c>
      <c r="H117" s="50">
        <f>-'Fiscal Forecasts'!H$106</f>
        <v>9.7000000000000003E-2</v>
      </c>
      <c r="I117" s="50">
        <f>-'Fiscal Forecasts'!I$106</f>
        <v>0.123</v>
      </c>
      <c r="J117" s="50">
        <f>-'Fiscal Forecasts'!J$106</f>
        <v>6.4000000000000001E-2</v>
      </c>
      <c r="K117" s="50">
        <f>-'Fiscal Forecasts'!K$106</f>
        <v>7.6999999999999999E-2</v>
      </c>
      <c r="L117" s="48">
        <f>-'Fiscal Forecasts'!L$106</f>
        <v>-3.3000000000000002E-2</v>
      </c>
      <c r="M117" s="48">
        <f>-'Fiscal Forecasts'!M$106</f>
        <v>3.4000000000000002E-2</v>
      </c>
      <c r="N117" s="48">
        <f>-'Fiscal Forecasts'!N$106</f>
        <v>4.2999999999999997E-2</v>
      </c>
      <c r="O117" s="48">
        <f>-'Fiscal Forecasts'!O$106</f>
        <v>4.5999999999999999E-2</v>
      </c>
      <c r="P117" s="48">
        <f>-'Fiscal Forecasts'!P$106</f>
        <v>5.1999999999999998E-2</v>
      </c>
      <c r="Q117" s="20">
        <f ca="1">IF(Q$6=OFFSET(Assumptions!$B$8,0,$C$1),OFFSET(Assumptions!$B$9,0,$C$1),P$117)</f>
        <v>0</v>
      </c>
      <c r="R117" s="20">
        <f ca="1">IF(R$6=OFFSET(Assumptions!$B$8,0,$C$1),OFFSET(Assumptions!$B$9,0,$C$1),Q$117)</f>
        <v>0</v>
      </c>
      <c r="S117" s="20">
        <f ca="1">IF(S$6=OFFSET(Assumptions!$B$8,0,$C$1),OFFSET(Assumptions!$B$9,0,$C$1),R$117)</f>
        <v>0</v>
      </c>
      <c r="T117" s="20">
        <f ca="1">IF(T$6=OFFSET(Assumptions!$B$8,0,$C$1),OFFSET(Assumptions!$B$9,0,$C$1),S$117)</f>
        <v>0</v>
      </c>
      <c r="U117" s="20">
        <f ca="1">IF(U$6=OFFSET(Assumptions!$B$8,0,$C$1),OFFSET(Assumptions!$B$9,0,$C$1),T$117)</f>
        <v>0</v>
      </c>
      <c r="V117" s="20">
        <f ca="1">IF(V$6=OFFSET(Assumptions!$B$8,0,$C$1),OFFSET(Assumptions!$B$9,0,$C$1),U$117)</f>
        <v>0</v>
      </c>
      <c r="W117" s="20">
        <f ca="1">IF(W$6=OFFSET(Assumptions!$B$8,0,$C$1),OFFSET(Assumptions!$B$9,0,$C$1),V$117)</f>
        <v>0</v>
      </c>
      <c r="X117" s="20">
        <f ca="1">IF(X$6=OFFSET(Assumptions!$B$8,0,$C$1),OFFSET(Assumptions!$B$9,0,$C$1),W$117)</f>
        <v>0</v>
      </c>
      <c r="Y117" s="20">
        <f ca="1">IF(Y$6=OFFSET(Assumptions!$B$8,0,$C$1),OFFSET(Assumptions!$B$9,0,$C$1),X$117)</f>
        <v>0</v>
      </c>
      <c r="Z117" s="20">
        <f ca="1">IF(Z$6=OFFSET(Assumptions!$B$8,0,$C$1),OFFSET(Assumptions!$B$9,0,$C$1),Y$117)</f>
        <v>0</v>
      </c>
    </row>
    <row r="118" spans="1:26" x14ac:dyDescent="0.25">
      <c r="A118" s="12" t="s">
        <v>929</v>
      </c>
      <c r="B118" s="14" t="str">
        <f t="shared" si="80"/>
        <v>From Fiscal Forecasts</v>
      </c>
      <c r="C118" s="15"/>
      <c r="D118" s="50">
        <f>-'Fiscal Forecasts'!D$107</f>
        <v>1.768</v>
      </c>
      <c r="E118" s="50">
        <f>-'Fiscal Forecasts'!E$107</f>
        <v>2.351</v>
      </c>
      <c r="F118" s="50">
        <f>-'Fiscal Forecasts'!F$107</f>
        <v>1.8680000000000001</v>
      </c>
      <c r="G118" s="50">
        <f>-'Fiscal Forecasts'!G$107</f>
        <v>1.696</v>
      </c>
      <c r="H118" s="50">
        <f>-'Fiscal Forecasts'!H$107</f>
        <v>3.5249999999999999</v>
      </c>
      <c r="I118" s="50">
        <f>-'Fiscal Forecasts'!I$107</f>
        <v>3.8380000000000001</v>
      </c>
      <c r="J118" s="50">
        <f>-'Fiscal Forecasts'!J$107</f>
        <v>4.3390000000000004</v>
      </c>
      <c r="K118" s="50">
        <f>-'Fiscal Forecasts'!K$107</f>
        <v>1.9279999999999999</v>
      </c>
      <c r="L118" s="48">
        <f>-'Fiscal Forecasts'!L$107</f>
        <v>1.6359999999999999</v>
      </c>
      <c r="M118" s="48">
        <f>-'Fiscal Forecasts'!M$107</f>
        <v>1.998</v>
      </c>
      <c r="N118" s="48">
        <f>-'Fiscal Forecasts'!N$107</f>
        <v>2.1019999999999999</v>
      </c>
      <c r="O118" s="48">
        <f>-'Fiscal Forecasts'!O$107</f>
        <v>2.2869999999999999</v>
      </c>
      <c r="P118" s="48">
        <f>-'Fiscal Forecasts'!P$107</f>
        <v>2.4569999999999999</v>
      </c>
      <c r="Q118" s="20">
        <f t="shared" ref="Q118:Z118" ca="1" si="83">Q$460-P$460</f>
        <v>3.530282328841821</v>
      </c>
      <c r="R118" s="20">
        <f t="shared" ca="1" si="83"/>
        <v>3.7140215577371549</v>
      </c>
      <c r="S118" s="20">
        <f t="shared" ca="1" si="83"/>
        <v>3.8122098213394651</v>
      </c>
      <c r="T118" s="20">
        <f t="shared" ca="1" si="83"/>
        <v>4.0095513075182794</v>
      </c>
      <c r="U118" s="20">
        <f t="shared" ca="1" si="83"/>
        <v>4.1935672940409034</v>
      </c>
      <c r="V118" s="20">
        <f t="shared" ca="1" si="83"/>
        <v>4.400995933931739</v>
      </c>
      <c r="W118" s="20">
        <f t="shared" ca="1" si="83"/>
        <v>4.618973898877428</v>
      </c>
      <c r="X118" s="20">
        <f t="shared" ca="1" si="83"/>
        <v>4.8066237935115765</v>
      </c>
      <c r="Y118" s="20">
        <f t="shared" ca="1" si="83"/>
        <v>5.0381852717342639</v>
      </c>
      <c r="Z118" s="20">
        <f t="shared" ca="1" si="83"/>
        <v>5.2154521576891852</v>
      </c>
    </row>
    <row r="119" spans="1:26" x14ac:dyDescent="0.25">
      <c r="A119" s="12" t="s">
        <v>1475</v>
      </c>
      <c r="B119" s="14" t="str">
        <f t="shared" si="80"/>
        <v>From Fiscal Forecasts</v>
      </c>
      <c r="C119" s="15"/>
      <c r="D119" s="50">
        <f>-'Fiscal Forecasts'!D$108</f>
        <v>0</v>
      </c>
      <c r="E119" s="50">
        <f>-'Fiscal Forecasts'!E$108</f>
        <v>0</v>
      </c>
      <c r="F119" s="50">
        <f>-'Fiscal Forecasts'!F$108</f>
        <v>0</v>
      </c>
      <c r="G119" s="50">
        <f>-'Fiscal Forecasts'!G$108</f>
        <v>0</v>
      </c>
      <c r="H119" s="50">
        <f>-'Fiscal Forecasts'!H$108</f>
        <v>-0.39500000000000002</v>
      </c>
      <c r="I119" s="50">
        <f>-'Fiscal Forecasts'!I$108</f>
        <v>-0.61399999999999999</v>
      </c>
      <c r="J119" s="50">
        <f>-'Fiscal Forecasts'!J$108</f>
        <v>-0.755</v>
      </c>
      <c r="K119" s="50">
        <f>-'Fiscal Forecasts'!K$108</f>
        <v>-0.41899999999999998</v>
      </c>
      <c r="L119" s="48">
        <f>-'Fiscal Forecasts'!L$108</f>
        <v>-0.63200000000000001</v>
      </c>
      <c r="M119" s="48">
        <f>-'Fiscal Forecasts'!M$108</f>
        <v>-0.57299999999999995</v>
      </c>
      <c r="N119" s="48">
        <f>-'Fiscal Forecasts'!N$108</f>
        <v>-0.46200000000000002</v>
      </c>
      <c r="O119" s="48">
        <f>-'Fiscal Forecasts'!O$108</f>
        <v>-0.35299999999999998</v>
      </c>
      <c r="P119" s="48">
        <f>-'Fiscal Forecasts'!P$108</f>
        <v>-0.21199999999999999</v>
      </c>
      <c r="Q119" s="20">
        <f t="shared" ref="Q119:Z119" ca="1" si="84">Q$454-P$454</f>
        <v>-4.7080000000000233E-2</v>
      </c>
      <c r="R119" s="20">
        <f t="shared" ca="1" si="84"/>
        <v>-1.7581599999999753E-2</v>
      </c>
      <c r="S119" s="20">
        <f t="shared" ca="1" si="84"/>
        <v>1.2506767999999724E-2</v>
      </c>
      <c r="T119" s="20">
        <f t="shared" ca="1" si="84"/>
        <v>3.6999999999999922E-2</v>
      </c>
      <c r="U119" s="20">
        <f t="shared" ca="1" si="84"/>
        <v>3.6999999999999922E-2</v>
      </c>
      <c r="V119" s="20">
        <f t="shared" ca="1" si="84"/>
        <v>3.6999999999999922E-2</v>
      </c>
      <c r="W119" s="20">
        <f t="shared" ca="1" si="84"/>
        <v>3.6999999999999922E-2</v>
      </c>
      <c r="X119" s="20">
        <f t="shared" ca="1" si="84"/>
        <v>3.6999999999999922E-2</v>
      </c>
      <c r="Y119" s="20">
        <f t="shared" ca="1" si="84"/>
        <v>3.6999999999999922E-2</v>
      </c>
      <c r="Z119" s="20">
        <f t="shared" ca="1" si="84"/>
        <v>3.6999999999999922E-2</v>
      </c>
    </row>
    <row r="120" spans="1:26" x14ac:dyDescent="0.25">
      <c r="A120" s="12" t="s">
        <v>930</v>
      </c>
      <c r="B120" s="14" t="str">
        <f t="shared" si="80"/>
        <v>From Fiscal Forecasts</v>
      </c>
      <c r="C120" s="15"/>
      <c r="D120" s="50">
        <f>-'Fiscal Forecasts'!D$109</f>
        <v>-0.57099999999999995</v>
      </c>
      <c r="E120" s="50">
        <f>-'Fiscal Forecasts'!E$109</f>
        <v>0.80400000000000005</v>
      </c>
      <c r="F120" s="50">
        <f>-'Fiscal Forecasts'!F$109</f>
        <v>-0.73299999999999998</v>
      </c>
      <c r="G120" s="50">
        <f>-'Fiscal Forecasts'!G$109</f>
        <v>-0.79</v>
      </c>
      <c r="H120" s="50">
        <f>-'Fiscal Forecasts'!H$109</f>
        <v>-6.0999999999999999E-2</v>
      </c>
      <c r="I120" s="50">
        <f>-'Fiscal Forecasts'!I$109</f>
        <v>-6.0999999999999999E-2</v>
      </c>
      <c r="J120" s="50">
        <f>-'Fiscal Forecasts'!J$109</f>
        <v>4.9000000000000002E-2</v>
      </c>
      <c r="K120" s="50">
        <f>-'Fiscal Forecasts'!K$109</f>
        <v>0.32300000000000001</v>
      </c>
      <c r="L120" s="48">
        <f>-'Fiscal Forecasts'!L$109</f>
        <v>4.5999999999999999E-2</v>
      </c>
      <c r="M120" s="48">
        <f>-'Fiscal Forecasts'!M$109</f>
        <v>4.8000000000000001E-2</v>
      </c>
      <c r="N120" s="48">
        <f>-'Fiscal Forecasts'!N$109</f>
        <v>4.7E-2</v>
      </c>
      <c r="O120" s="48">
        <f>-'Fiscal Forecasts'!O$109</f>
        <v>4.5999999999999999E-2</v>
      </c>
      <c r="P120" s="48">
        <f>-'Fiscal Forecasts'!P$109</f>
        <v>4.4999999999999998E-2</v>
      </c>
      <c r="Q120" s="20">
        <f t="shared" ref="Q120:Z120" ca="1" si="85">Q$465-P$465</f>
        <v>-0.17411321626617449</v>
      </c>
      <c r="R120" s="20">
        <f t="shared" ca="1" si="85"/>
        <v>-0.17596649722735647</v>
      </c>
      <c r="S120" s="20">
        <f t="shared" ca="1" si="85"/>
        <v>-0.17725092421441779</v>
      </c>
      <c r="T120" s="20">
        <f t="shared" ca="1" si="85"/>
        <v>-0.17767906654343824</v>
      </c>
      <c r="U120" s="20">
        <f t="shared" ca="1" si="85"/>
        <v>-0.17168507393715338</v>
      </c>
      <c r="V120" s="20">
        <f t="shared" ca="1" si="85"/>
        <v>-0.16954436229205205</v>
      </c>
      <c r="W120" s="20">
        <f t="shared" ca="1" si="85"/>
        <v>-0.1669755083179294</v>
      </c>
      <c r="X120" s="20">
        <f t="shared" ca="1" si="85"/>
        <v>-0.16397851201478764</v>
      </c>
      <c r="Y120" s="20">
        <f t="shared" ca="1" si="85"/>
        <v>-0.1596970887245841</v>
      </c>
      <c r="Z120" s="20">
        <f t="shared" ca="1" si="85"/>
        <v>-0.15584380776340101</v>
      </c>
    </row>
    <row r="121" spans="1:26" x14ac:dyDescent="0.25">
      <c r="A121" s="11" t="s">
        <v>1201</v>
      </c>
      <c r="B121" s="11"/>
      <c r="C121" s="15"/>
      <c r="D121" s="94">
        <f t="shared" ref="D121:Z121" si="86">-SUM(D$114:D$120)</f>
        <v>-4.9750000000000005</v>
      </c>
      <c r="E121" s="94">
        <f t="shared" si="86"/>
        <v>-12.507</v>
      </c>
      <c r="F121" s="94">
        <f t="shared" si="86"/>
        <v>-8.7899999999999991</v>
      </c>
      <c r="G121" s="94">
        <f t="shared" si="86"/>
        <v>-7.6849999999999996</v>
      </c>
      <c r="H121" s="94">
        <f t="shared" si="86"/>
        <v>-11.238999999999999</v>
      </c>
      <c r="I121" s="94">
        <f t="shared" si="86"/>
        <v>-12.820999999999998</v>
      </c>
      <c r="J121" s="94">
        <f t="shared" si="86"/>
        <v>-13.626999999999999</v>
      </c>
      <c r="K121" s="94">
        <f t="shared" si="86"/>
        <v>-13.006</v>
      </c>
      <c r="L121" s="95">
        <f t="shared" si="86"/>
        <v>-11.635</v>
      </c>
      <c r="M121" s="95">
        <f t="shared" si="86"/>
        <v>-12.521999999999998</v>
      </c>
      <c r="N121" s="95">
        <f t="shared" si="86"/>
        <v>-13.024000000000001</v>
      </c>
      <c r="O121" s="95">
        <f t="shared" si="86"/>
        <v>-13.629999999999997</v>
      </c>
      <c r="P121" s="95">
        <f t="shared" si="86"/>
        <v>-14.069000000000001</v>
      </c>
      <c r="Q121" s="99">
        <f t="shared" ca="1" si="86"/>
        <v>-14.820837363300775</v>
      </c>
      <c r="R121" s="99">
        <f t="shared" ca="1" si="86"/>
        <v>-15.179479527195666</v>
      </c>
      <c r="S121" s="99">
        <f t="shared" ca="1" si="86"/>
        <v>-15.453143496770364</v>
      </c>
      <c r="T121" s="99">
        <f t="shared" ca="1" si="86"/>
        <v>-15.822828735243453</v>
      </c>
      <c r="U121" s="99">
        <f t="shared" ca="1" si="86"/>
        <v>-16.161707139886545</v>
      </c>
      <c r="V121" s="99">
        <f t="shared" ca="1" si="86"/>
        <v>-16.521071547220544</v>
      </c>
      <c r="W121" s="99">
        <f t="shared" ca="1" si="86"/>
        <v>-16.896390405965313</v>
      </c>
      <c r="X121" s="99">
        <f t="shared" ca="1" si="86"/>
        <v>-17.244694302751764</v>
      </c>
      <c r="Y121" s="99">
        <f t="shared" ca="1" si="86"/>
        <v>-17.641167594308783</v>
      </c>
      <c r="Z121" s="99">
        <f t="shared" ca="1" si="86"/>
        <v>-17.986082217464116</v>
      </c>
    </row>
    <row r="122" spans="1:26" x14ac:dyDescent="0.25">
      <c r="A122" s="12" t="s">
        <v>932</v>
      </c>
      <c r="B122" s="14" t="str">
        <f t="shared" ref="B122:B127" si="87">$B$38</f>
        <v>From Fiscal Forecasts</v>
      </c>
      <c r="C122" s="15"/>
      <c r="D122" s="50">
        <f>'Fiscal Forecasts'!D$111</f>
        <v>4.1879999999999997</v>
      </c>
      <c r="E122" s="50">
        <f>'Fiscal Forecasts'!E$111</f>
        <v>0.63100000000000001</v>
      </c>
      <c r="F122" s="50">
        <f>'Fiscal Forecasts'!F$111</f>
        <v>1.4810000000000001</v>
      </c>
      <c r="G122" s="50">
        <f>'Fiscal Forecasts'!G$111</f>
        <v>5.0270000000000001</v>
      </c>
      <c r="H122" s="50">
        <f>'Fiscal Forecasts'!H$111</f>
        <v>1.155</v>
      </c>
      <c r="I122" s="50">
        <f>'Fiscal Forecasts'!I$111</f>
        <v>3.3050000000000002</v>
      </c>
      <c r="J122" s="50">
        <f>'Fiscal Forecasts'!J$111</f>
        <v>-1.62</v>
      </c>
      <c r="K122" s="50">
        <f>'Fiscal Forecasts'!K$111</f>
        <v>-0.81599999999999995</v>
      </c>
      <c r="L122" s="48">
        <f>'Fiscal Forecasts'!L$111</f>
        <v>4.8789999999999996</v>
      </c>
      <c r="M122" s="48">
        <f>'Fiscal Forecasts'!M$111</f>
        <v>1.446</v>
      </c>
      <c r="N122" s="48">
        <f>'Fiscal Forecasts'!N$111</f>
        <v>1.375</v>
      </c>
      <c r="O122" s="48">
        <f>'Fiscal Forecasts'!O$111</f>
        <v>1.5720000000000001</v>
      </c>
      <c r="P122" s="48">
        <f>'Fiscal Forecasts'!P$111</f>
        <v>0.52500000000000002</v>
      </c>
      <c r="Q122" s="20">
        <f t="shared" ref="Q122:Z122" ca="1" si="88">Q$354-P$354</f>
        <v>2.3396562245446049</v>
      </c>
      <c r="R122" s="20">
        <f t="shared" ca="1" si="88"/>
        <v>1.7389672332306674</v>
      </c>
      <c r="S122" s="20">
        <f t="shared" ca="1" si="88"/>
        <v>1.8109203041381008</v>
      </c>
      <c r="T122" s="20">
        <f t="shared" ca="1" si="88"/>
        <v>1.9051544576687078</v>
      </c>
      <c r="U122" s="20">
        <f t="shared" ca="1" si="88"/>
        <v>1.97949050186498</v>
      </c>
      <c r="V122" s="20">
        <f t="shared" ca="1" si="88"/>
        <v>2.0400572158238575</v>
      </c>
      <c r="W122" s="20">
        <f t="shared" ca="1" si="88"/>
        <v>2.0958581851533538</v>
      </c>
      <c r="X122" s="20">
        <f t="shared" ca="1" si="88"/>
        <v>2.1563918293906852</v>
      </c>
      <c r="Y122" s="20">
        <f t="shared" ca="1" si="88"/>
        <v>2.2268386436103</v>
      </c>
      <c r="Z122" s="20">
        <f t="shared" ca="1" si="88"/>
        <v>2.3000483170485424</v>
      </c>
    </row>
    <row r="123" spans="1:26" x14ac:dyDescent="0.25">
      <c r="A123" s="12" t="s">
        <v>933</v>
      </c>
      <c r="B123" s="14" t="str">
        <f t="shared" si="87"/>
        <v>From Fiscal Forecasts</v>
      </c>
      <c r="C123" s="15"/>
      <c r="D123" s="50">
        <f>'Fiscal Forecasts'!D$112</f>
        <v>3.6999999999999998E-2</v>
      </c>
      <c r="E123" s="50">
        <f>'Fiscal Forecasts'!E$112</f>
        <v>2.1000000000000001E-2</v>
      </c>
      <c r="F123" s="50">
        <f>'Fiscal Forecasts'!F$112</f>
        <v>1.1259999999999999</v>
      </c>
      <c r="G123" s="50">
        <f>'Fiscal Forecasts'!G$112</f>
        <v>0.19700000000000001</v>
      </c>
      <c r="H123" s="50">
        <f>'Fiscal Forecasts'!H$112</f>
        <v>0.183</v>
      </c>
      <c r="I123" s="50">
        <f>'Fiscal Forecasts'!I$112</f>
        <v>0.21099999999999999</v>
      </c>
      <c r="J123" s="50">
        <f>'Fiscal Forecasts'!J$112</f>
        <v>-0.98499999999999999</v>
      </c>
      <c r="K123" s="50">
        <f>'Fiscal Forecasts'!K$112</f>
        <v>-1.9179999999999999</v>
      </c>
      <c r="L123" s="48">
        <f>'Fiscal Forecasts'!L$112</f>
        <v>-0.16200000000000001</v>
      </c>
      <c r="M123" s="48">
        <f>'Fiscal Forecasts'!M$112</f>
        <v>0.75700000000000001</v>
      </c>
      <c r="N123" s="48">
        <f>'Fiscal Forecasts'!N$112</f>
        <v>0.33500000000000002</v>
      </c>
      <c r="O123" s="48">
        <f>'Fiscal Forecasts'!O$112</f>
        <v>0.24199999999999999</v>
      </c>
      <c r="P123" s="48">
        <f>'Fiscal Forecasts'!P$112</f>
        <v>0.22800000000000001</v>
      </c>
      <c r="Q123" s="20">
        <f t="shared" ref="Q123:Z123" ca="1" si="89">Q$404-Q$332</f>
        <v>0.70568000000000031</v>
      </c>
      <c r="R123" s="20">
        <f t="shared" ca="1" si="89"/>
        <v>0.74441360000000034</v>
      </c>
      <c r="S123" s="20">
        <f t="shared" ca="1" si="89"/>
        <v>0.78120187200000035</v>
      </c>
      <c r="T123" s="20">
        <f t="shared" ca="1" si="89"/>
        <v>0.81504590944000044</v>
      </c>
      <c r="U123" s="20">
        <f t="shared" ca="1" si="89"/>
        <v>0.84694682762880036</v>
      </c>
      <c r="V123" s="20">
        <f t="shared" ca="1" si="89"/>
        <v>0.87990576418137634</v>
      </c>
      <c r="W123" s="20">
        <f t="shared" ca="1" si="89"/>
        <v>0.91292387946500386</v>
      </c>
      <c r="X123" s="20">
        <f t="shared" ca="1" si="89"/>
        <v>0.94800235705430402</v>
      </c>
      <c r="Y123" s="20">
        <f t="shared" ca="1" si="89"/>
        <v>0.98414240419539001</v>
      </c>
      <c r="Z123" s="20">
        <f t="shared" ca="1" si="89"/>
        <v>1.020345252279298</v>
      </c>
    </row>
    <row r="124" spans="1:26" x14ac:dyDescent="0.25">
      <c r="A124" s="12" t="s">
        <v>934</v>
      </c>
      <c r="B124" s="14" t="str">
        <f t="shared" si="87"/>
        <v>From Fiscal Forecasts</v>
      </c>
      <c r="C124" s="15"/>
      <c r="D124" s="50">
        <f>'Fiscal Forecasts'!D$113</f>
        <v>0.17499999999999999</v>
      </c>
      <c r="E124" s="50">
        <f>'Fiscal Forecasts'!E$113</f>
        <v>0.254</v>
      </c>
      <c r="F124" s="50">
        <f>'Fiscal Forecasts'!F$113</f>
        <v>0.42099999999999999</v>
      </c>
      <c r="G124" s="50">
        <f>'Fiscal Forecasts'!G$113</f>
        <v>0.874</v>
      </c>
      <c r="H124" s="50">
        <f>'Fiscal Forecasts'!H$113</f>
        <v>-2.7E-2</v>
      </c>
      <c r="I124" s="50">
        <f>'Fiscal Forecasts'!I$113</f>
        <v>-0.18</v>
      </c>
      <c r="J124" s="50">
        <f>'Fiscal Forecasts'!J$113</f>
        <v>0.23899999999999999</v>
      </c>
      <c r="K124" s="50">
        <f>'Fiscal Forecasts'!K$113</f>
        <v>0.16500000000000001</v>
      </c>
      <c r="L124" s="48">
        <f>'Fiscal Forecasts'!L$113</f>
        <v>-0.154</v>
      </c>
      <c r="M124" s="48">
        <f>'Fiscal Forecasts'!M$113</f>
        <v>-8.1000000000000003E-2</v>
      </c>
      <c r="N124" s="48">
        <f>'Fiscal Forecasts'!N$113</f>
        <v>0.02</v>
      </c>
      <c r="O124" s="48">
        <f>'Fiscal Forecasts'!O$113</f>
        <v>2.9000000000000001E-2</v>
      </c>
      <c r="P124" s="48">
        <f>'Fiscal Forecasts'!P$113</f>
        <v>-1.2E-2</v>
      </c>
      <c r="Q124" s="20">
        <f t="shared" ref="Q124:Z124" ca="1" si="90">Q$410-P$410</f>
        <v>6.133999999999995E-2</v>
      </c>
      <c r="R124" s="20">
        <f t="shared" ca="1" si="90"/>
        <v>6.2566800000000367E-2</v>
      </c>
      <c r="S124" s="20">
        <f t="shared" ca="1" si="90"/>
        <v>6.3818136000000081E-2</v>
      </c>
      <c r="T124" s="20">
        <f t="shared" ca="1" si="90"/>
        <v>6.5094498720000171E-2</v>
      </c>
      <c r="U124" s="20">
        <f t="shared" ca="1" si="90"/>
        <v>6.6396388694399899E-2</v>
      </c>
      <c r="V124" s="20">
        <f t="shared" ca="1" si="90"/>
        <v>6.7724316468288137E-2</v>
      </c>
      <c r="W124" s="20">
        <f t="shared" ca="1" si="90"/>
        <v>6.9078802797653882E-2</v>
      </c>
      <c r="X124" s="20">
        <f t="shared" ca="1" si="90"/>
        <v>7.0460378853606898E-2</v>
      </c>
      <c r="Y124" s="20">
        <f t="shared" ca="1" si="90"/>
        <v>7.1869586430679089E-2</v>
      </c>
      <c r="Z124" s="20">
        <f t="shared" ca="1" si="90"/>
        <v>7.3306978159292768E-2</v>
      </c>
    </row>
    <row r="125" spans="1:26" x14ac:dyDescent="0.25">
      <c r="A125" s="12" t="s">
        <v>935</v>
      </c>
      <c r="B125" s="14" t="str">
        <f t="shared" si="87"/>
        <v>From Fiscal Forecasts</v>
      </c>
      <c r="C125" s="15"/>
      <c r="D125" s="50">
        <f>'Fiscal Forecasts'!D$114</f>
        <v>3.5999999999999997E-2</v>
      </c>
      <c r="E125" s="50">
        <f>'Fiscal Forecasts'!E$114</f>
        <v>0.108</v>
      </c>
      <c r="F125" s="50">
        <f>'Fiscal Forecasts'!F$114</f>
        <v>6.3E-2</v>
      </c>
      <c r="G125" s="50">
        <f>'Fiscal Forecasts'!G$114</f>
        <v>0.30299999999999999</v>
      </c>
      <c r="H125" s="50">
        <f>'Fiscal Forecasts'!H$114</f>
        <v>0.113</v>
      </c>
      <c r="I125" s="50">
        <f>'Fiscal Forecasts'!I$114</f>
        <v>0.30499999999999999</v>
      </c>
      <c r="J125" s="50">
        <f>'Fiscal Forecasts'!J$114</f>
        <v>0.32800000000000001</v>
      </c>
      <c r="K125" s="50">
        <f>'Fiscal Forecasts'!K$114</f>
        <v>0.183</v>
      </c>
      <c r="L125" s="48">
        <f>'Fiscal Forecasts'!L$114</f>
        <v>0.14699999999999999</v>
      </c>
      <c r="M125" s="48">
        <f>'Fiscal Forecasts'!M$114</f>
        <v>-3.3000000000000002E-2</v>
      </c>
      <c r="N125" s="48">
        <f>'Fiscal Forecasts'!N$114</f>
        <v>0.01</v>
      </c>
      <c r="O125" s="48">
        <f>'Fiscal Forecasts'!O$114</f>
        <v>2E-3</v>
      </c>
      <c r="P125" s="48">
        <f>'Fiscal Forecasts'!P$114</f>
        <v>-6.0000000000000001E-3</v>
      </c>
      <c r="Q125" s="20">
        <f t="shared" ref="Q125:Z125" ca="1" si="91">Q$414-P$414</f>
        <v>0.1062599999999998</v>
      </c>
      <c r="R125" s="20">
        <f t="shared" ca="1" si="91"/>
        <v>0.10838519999999985</v>
      </c>
      <c r="S125" s="20">
        <f t="shared" ca="1" si="91"/>
        <v>0.1105529040000004</v>
      </c>
      <c r="T125" s="20">
        <f t="shared" ca="1" si="91"/>
        <v>0.11276396207999984</v>
      </c>
      <c r="U125" s="20">
        <f t="shared" ca="1" si="91"/>
        <v>0.11501924132160024</v>
      </c>
      <c r="V125" s="20">
        <f t="shared" ca="1" si="91"/>
        <v>0.11731962614803226</v>
      </c>
      <c r="W125" s="20">
        <f t="shared" ca="1" si="91"/>
        <v>0.11966601867099236</v>
      </c>
      <c r="X125" s="20">
        <f t="shared" ca="1" si="91"/>
        <v>0.12205933904441224</v>
      </c>
      <c r="Y125" s="20">
        <f t="shared" ca="1" si="91"/>
        <v>0.12450052582530091</v>
      </c>
      <c r="Z125" s="20">
        <f t="shared" ca="1" si="91"/>
        <v>0.12699053634180668</v>
      </c>
    </row>
    <row r="126" spans="1:26" x14ac:dyDescent="0.25">
      <c r="A126" s="12" t="s">
        <v>1202</v>
      </c>
      <c r="B126" s="14" t="str">
        <f t="shared" si="87"/>
        <v>From Fiscal Forecasts</v>
      </c>
      <c r="C126" s="15"/>
      <c r="D126" s="50">
        <f>-'Fiscal Forecasts'!D$115</f>
        <v>9.7000000000000003E-2</v>
      </c>
      <c r="E126" s="50">
        <f>-'Fiscal Forecasts'!E$115</f>
        <v>6.8000000000000005E-2</v>
      </c>
      <c r="F126" s="50">
        <f>-'Fiscal Forecasts'!F$115</f>
        <v>-0.04</v>
      </c>
      <c r="G126" s="50">
        <f>-'Fiscal Forecasts'!G$115</f>
        <v>0.81899999999999995</v>
      </c>
      <c r="H126" s="50">
        <f>-'Fiscal Forecasts'!H$115</f>
        <v>0.24399999999999999</v>
      </c>
      <c r="I126" s="50">
        <f>-'Fiscal Forecasts'!I$115</f>
        <v>-0.158</v>
      </c>
      <c r="J126" s="50">
        <f>-'Fiscal Forecasts'!J$115</f>
        <v>7.3999999999999996E-2</v>
      </c>
      <c r="K126" s="50">
        <f>-'Fiscal Forecasts'!K$115</f>
        <v>0.27900000000000003</v>
      </c>
      <c r="L126" s="48">
        <f>-'Fiscal Forecasts'!L$115</f>
        <v>-0.10299999999999999</v>
      </c>
      <c r="M126" s="48">
        <f>-'Fiscal Forecasts'!M$115</f>
        <v>-3.9E-2</v>
      </c>
      <c r="N126" s="48">
        <f>-'Fiscal Forecasts'!N$115</f>
        <v>2.9000000000000001E-2</v>
      </c>
      <c r="O126" s="48">
        <f>-'Fiscal Forecasts'!O$115</f>
        <v>5.8000000000000003E-2</v>
      </c>
      <c r="P126" s="48">
        <f>-'Fiscal Forecasts'!P$115</f>
        <v>9.6000000000000002E-2</v>
      </c>
      <c r="Q126" s="20">
        <f t="shared" ref="Q126:Z126" ca="1" si="92">Q$450-P$450</f>
        <v>0.16759999999999975</v>
      </c>
      <c r="R126" s="20">
        <f t="shared" ca="1" si="92"/>
        <v>0.17095200000000066</v>
      </c>
      <c r="S126" s="20">
        <f t="shared" ca="1" si="92"/>
        <v>0.17437104000000048</v>
      </c>
      <c r="T126" s="20">
        <f t="shared" ca="1" si="92"/>
        <v>0.17785846079999956</v>
      </c>
      <c r="U126" s="20">
        <f t="shared" ca="1" si="92"/>
        <v>0.1814156300159997</v>
      </c>
      <c r="V126" s="20">
        <f t="shared" ca="1" si="92"/>
        <v>0.1850439426163204</v>
      </c>
      <c r="W126" s="20">
        <f t="shared" ca="1" si="92"/>
        <v>0.1887448214686458</v>
      </c>
      <c r="X126" s="20">
        <f t="shared" ca="1" si="92"/>
        <v>0.19251971789801914</v>
      </c>
      <c r="Y126" s="20">
        <f t="shared" ca="1" si="92"/>
        <v>0.19637011225598044</v>
      </c>
      <c r="Z126" s="20">
        <f t="shared" ca="1" si="92"/>
        <v>0.20029751450109945</v>
      </c>
    </row>
    <row r="127" spans="1:26" x14ac:dyDescent="0.25">
      <c r="A127" s="12" t="s">
        <v>1203</v>
      </c>
      <c r="B127" s="14" t="str">
        <f t="shared" si="87"/>
        <v>From Fiscal Forecasts</v>
      </c>
      <c r="C127" s="15"/>
      <c r="D127" s="50">
        <f>-'Fiscal Forecasts'!D$116</f>
        <v>2.5710000000000002</v>
      </c>
      <c r="E127" s="50">
        <f>-'Fiscal Forecasts'!E$116</f>
        <v>0.95599999999999996</v>
      </c>
      <c r="F127" s="50">
        <f>-'Fiscal Forecasts'!F$116</f>
        <v>1.8320000000000001</v>
      </c>
      <c r="G127" s="50">
        <f>-'Fiscal Forecasts'!G$116</f>
        <v>1.849</v>
      </c>
      <c r="H127" s="50">
        <f>-'Fiscal Forecasts'!H$116</f>
        <v>3.2770000000000001</v>
      </c>
      <c r="I127" s="50">
        <f>-'Fiscal Forecasts'!I$116</f>
        <v>1.3859999999999999</v>
      </c>
      <c r="J127" s="50">
        <f>-'Fiscal Forecasts'!J$116</f>
        <v>-1.349</v>
      </c>
      <c r="K127" s="50">
        <f>-'Fiscal Forecasts'!K$116</f>
        <v>-2.782</v>
      </c>
      <c r="L127" s="48">
        <f>-'Fiscal Forecasts'!L$116</f>
        <v>-2.0059999999999998</v>
      </c>
      <c r="M127" s="48">
        <f>-'Fiscal Forecasts'!M$116</f>
        <v>-0.23499999999999999</v>
      </c>
      <c r="N127" s="48">
        <f>-'Fiscal Forecasts'!N$116</f>
        <v>1.6E-2</v>
      </c>
      <c r="O127" s="48">
        <f>-'Fiscal Forecasts'!O$116</f>
        <v>0.21</v>
      </c>
      <c r="P127" s="48">
        <f>-'Fiscal Forecasts'!P$116</f>
        <v>-0.39800000000000002</v>
      </c>
      <c r="Q127" s="20">
        <f t="shared" ref="Q127:Z127" ca="1" si="93">SUM(Q$446-P$446,Q$471-P$471)</f>
        <v>1.6226919609048274</v>
      </c>
      <c r="R127" s="20">
        <f t="shared" ca="1" si="93"/>
        <v>1.0222955688282021</v>
      </c>
      <c r="S127" s="20">
        <f t="shared" ca="1" si="93"/>
        <v>1.0566873873224019</v>
      </c>
      <c r="T127" s="20">
        <f t="shared" ca="1" si="93"/>
        <v>1.0986448742902262</v>
      </c>
      <c r="U127" s="20">
        <f t="shared" ca="1" si="93"/>
        <v>1.1340204025139684</v>
      </c>
      <c r="V127" s="20">
        <f t="shared" ca="1" si="93"/>
        <v>1.1659588488342543</v>
      </c>
      <c r="W127" s="20">
        <f t="shared" ca="1" si="93"/>
        <v>1.1977677904215831</v>
      </c>
      <c r="X127" s="20">
        <f t="shared" ca="1" si="93"/>
        <v>1.2325267139891167</v>
      </c>
      <c r="Y127" s="20">
        <f t="shared" ca="1" si="93"/>
        <v>1.2723165251642925</v>
      </c>
      <c r="Z127" s="20">
        <f t="shared" ca="1" si="93"/>
        <v>1.3147144832417936</v>
      </c>
    </row>
    <row r="128" spans="1:26" x14ac:dyDescent="0.25">
      <c r="A128" s="11" t="s">
        <v>938</v>
      </c>
      <c r="B128" s="11"/>
      <c r="C128" s="15"/>
      <c r="D128" s="94">
        <f t="shared" ref="D128:Z128" si="94">SUM(D$122:D$125)-SUM(D$126:D$127)</f>
        <v>1.7679999999999989</v>
      </c>
      <c r="E128" s="94">
        <f t="shared" si="94"/>
        <v>-1.0000000000000009E-2</v>
      </c>
      <c r="F128" s="94">
        <f t="shared" si="94"/>
        <v>1.2990000000000002</v>
      </c>
      <c r="G128" s="94">
        <f t="shared" si="94"/>
        <v>3.7329999999999997</v>
      </c>
      <c r="H128" s="94">
        <f t="shared" si="94"/>
        <v>-2.0969999999999995</v>
      </c>
      <c r="I128" s="94">
        <f t="shared" si="94"/>
        <v>2.4130000000000003</v>
      </c>
      <c r="J128" s="94">
        <f t="shared" si="94"/>
        <v>-0.76300000000000034</v>
      </c>
      <c r="K128" s="94">
        <f t="shared" si="94"/>
        <v>0.11699999999999999</v>
      </c>
      <c r="L128" s="95">
        <f t="shared" si="94"/>
        <v>6.819</v>
      </c>
      <c r="M128" s="95">
        <f t="shared" si="94"/>
        <v>2.363</v>
      </c>
      <c r="N128" s="95">
        <f t="shared" si="94"/>
        <v>1.6950000000000001</v>
      </c>
      <c r="O128" s="95">
        <f t="shared" si="94"/>
        <v>1.577</v>
      </c>
      <c r="P128" s="95">
        <f t="shared" si="94"/>
        <v>1.0369999999999999</v>
      </c>
      <c r="Q128" s="99">
        <f t="shared" ca="1" si="94"/>
        <v>1.4226442636397776</v>
      </c>
      <c r="R128" s="99">
        <f t="shared" ca="1" si="94"/>
        <v>1.4610852644024654</v>
      </c>
      <c r="S128" s="99">
        <f t="shared" ca="1" si="94"/>
        <v>1.5354347888156994</v>
      </c>
      <c r="T128" s="99">
        <f t="shared" ca="1" si="94"/>
        <v>1.6215554928184823</v>
      </c>
      <c r="U128" s="99">
        <f t="shared" ca="1" si="94"/>
        <v>1.6924169269798122</v>
      </c>
      <c r="V128" s="99">
        <f t="shared" ca="1" si="94"/>
        <v>1.7540041311709795</v>
      </c>
      <c r="W128" s="99">
        <f t="shared" ca="1" si="94"/>
        <v>1.8110142741967752</v>
      </c>
      <c r="X128" s="99">
        <f t="shared" ca="1" si="94"/>
        <v>1.8718674724558726</v>
      </c>
      <c r="Y128" s="99">
        <f t="shared" ca="1" si="94"/>
        <v>1.938664522641397</v>
      </c>
      <c r="Z128" s="99">
        <f t="shared" ca="1" si="94"/>
        <v>2.0056790860860465</v>
      </c>
    </row>
    <row r="129" spans="1:26" x14ac:dyDescent="0.25">
      <c r="A129" s="11" t="s">
        <v>1204</v>
      </c>
      <c r="B129" s="11"/>
      <c r="C129" s="15"/>
      <c r="D129" s="94">
        <f t="shared" ref="D129:Z129" si="95">SUM(D$99,D$113,D$121,D$128)</f>
        <v>0.38899999999999846</v>
      </c>
      <c r="E129" s="94">
        <f t="shared" si="95"/>
        <v>-30.040000000000003</v>
      </c>
      <c r="F129" s="94">
        <f t="shared" si="95"/>
        <v>16.159000000000013</v>
      </c>
      <c r="G129" s="94">
        <f t="shared" si="95"/>
        <v>-16.932000000000009</v>
      </c>
      <c r="H129" s="94">
        <f t="shared" si="95"/>
        <v>5.3209999999999802</v>
      </c>
      <c r="I129" s="94">
        <f t="shared" si="95"/>
        <v>-8.3650000000000375</v>
      </c>
      <c r="J129" s="94">
        <f t="shared" si="95"/>
        <v>-4.3999999999999844</v>
      </c>
      <c r="K129" s="94">
        <f t="shared" si="95"/>
        <v>1.1359999999999824</v>
      </c>
      <c r="L129" s="95">
        <f t="shared" ca="1" si="95"/>
        <v>-2.9629999999999823</v>
      </c>
      <c r="M129" s="95">
        <f t="shared" ca="1" si="95"/>
        <v>3.4769999999999937</v>
      </c>
      <c r="N129" s="95">
        <f t="shared" ca="1" si="95"/>
        <v>8.9020000000000223</v>
      </c>
      <c r="O129" s="95">
        <f t="shared" ca="1" si="95"/>
        <v>13.542999999999992</v>
      </c>
      <c r="P129" s="95">
        <f t="shared" ca="1" si="95"/>
        <v>16.692999999999984</v>
      </c>
      <c r="Q129" s="99">
        <f t="shared" ca="1" si="95"/>
        <v>18.370355687838693</v>
      </c>
      <c r="R129" s="99">
        <f t="shared" ca="1" si="95"/>
        <v>20.342352294580795</v>
      </c>
      <c r="S129" s="99">
        <f t="shared" ca="1" si="95"/>
        <v>22.554055845863651</v>
      </c>
      <c r="T129" s="99">
        <f t="shared" ca="1" si="95"/>
        <v>25.012008944805974</v>
      </c>
      <c r="U129" s="99">
        <f t="shared" ca="1" si="95"/>
        <v>27.501431300427125</v>
      </c>
      <c r="V129" s="99">
        <f t="shared" ca="1" si="95"/>
        <v>29.845377292020444</v>
      </c>
      <c r="W129" s="99">
        <f t="shared" ca="1" si="95"/>
        <v>32.256539757880475</v>
      </c>
      <c r="X129" s="99">
        <f t="shared" ca="1" si="95"/>
        <v>34.763320810778666</v>
      </c>
      <c r="Y129" s="99">
        <f t="shared" ca="1" si="95"/>
        <v>37.49312288295868</v>
      </c>
      <c r="Z129" s="99">
        <f t="shared" ca="1" si="95"/>
        <v>40.342609883703531</v>
      </c>
    </row>
    <row r="130" spans="1:26" x14ac:dyDescent="0.25">
      <c r="A130" s="60" t="s">
        <v>1205</v>
      </c>
      <c r="B130" s="11"/>
      <c r="C130" s="15"/>
      <c r="D130" s="97" t="str">
        <f t="shared" ref="D130:Z130" ca="1" si="96">IF(ROUND(D$39-D$129,3)=0,"OK","ERROR")</f>
        <v>OK</v>
      </c>
      <c r="E130" s="97" t="str">
        <f t="shared" ca="1" si="96"/>
        <v>OK</v>
      </c>
      <c r="F130" s="97" t="str">
        <f t="shared" ca="1" si="96"/>
        <v>OK</v>
      </c>
      <c r="G130" s="97" t="str">
        <f t="shared" ca="1" si="96"/>
        <v>OK</v>
      </c>
      <c r="H130" s="97" t="str">
        <f t="shared" ca="1" si="96"/>
        <v>OK</v>
      </c>
      <c r="I130" s="97" t="str">
        <f t="shared" ca="1" si="96"/>
        <v>OK</v>
      </c>
      <c r="J130" s="97" t="str">
        <f t="shared" ca="1" si="96"/>
        <v>OK</v>
      </c>
      <c r="K130" s="97" t="str">
        <f t="shared" ca="1" si="96"/>
        <v>OK</v>
      </c>
      <c r="L130" s="97" t="str">
        <f t="shared" ca="1" si="96"/>
        <v>OK</v>
      </c>
      <c r="M130" s="97" t="str">
        <f t="shared" ca="1" si="96"/>
        <v>OK</v>
      </c>
      <c r="N130" s="97" t="str">
        <f t="shared" ca="1" si="96"/>
        <v>OK</v>
      </c>
      <c r="O130" s="97" t="str">
        <f t="shared" ca="1" si="96"/>
        <v>OK</v>
      </c>
      <c r="P130" s="97" t="str">
        <f t="shared" ca="1" si="96"/>
        <v>OK</v>
      </c>
      <c r="Q130" s="97" t="str">
        <f t="shared" ca="1" si="96"/>
        <v>OK</v>
      </c>
      <c r="R130" s="97" t="str">
        <f t="shared" ca="1" si="96"/>
        <v>OK</v>
      </c>
      <c r="S130" s="97" t="str">
        <f t="shared" ca="1" si="96"/>
        <v>OK</v>
      </c>
      <c r="T130" s="97" t="str">
        <f t="shared" ca="1" si="96"/>
        <v>OK</v>
      </c>
      <c r="U130" s="97" t="str">
        <f t="shared" ca="1" si="96"/>
        <v>OK</v>
      </c>
      <c r="V130" s="97" t="str">
        <f t="shared" ca="1" si="96"/>
        <v>OK</v>
      </c>
      <c r="W130" s="97" t="str">
        <f t="shared" ca="1" si="96"/>
        <v>OK</v>
      </c>
      <c r="X130" s="97" t="str">
        <f t="shared" ca="1" si="96"/>
        <v>OK</v>
      </c>
      <c r="Y130" s="97" t="str">
        <f t="shared" ca="1" si="96"/>
        <v>OK</v>
      </c>
      <c r="Z130" s="97" t="str">
        <f t="shared" ca="1" si="96"/>
        <v>OK</v>
      </c>
    </row>
    <row r="131" spans="1:26" x14ac:dyDescent="0.25">
      <c r="A131" s="11"/>
      <c r="B131" s="11"/>
      <c r="C131" s="15"/>
      <c r="D131" s="89"/>
      <c r="E131" s="89"/>
      <c r="F131" s="89"/>
      <c r="G131" s="89"/>
      <c r="H131" s="89"/>
      <c r="I131" s="89"/>
      <c r="J131" s="89"/>
      <c r="K131" s="89"/>
      <c r="L131" s="66"/>
      <c r="M131" s="66"/>
      <c r="N131" s="66"/>
      <c r="O131" s="66"/>
      <c r="P131" s="66"/>
      <c r="Q131" s="17"/>
      <c r="R131" s="17"/>
      <c r="S131" s="17"/>
      <c r="T131" s="17"/>
      <c r="U131" s="17"/>
      <c r="V131" s="17"/>
      <c r="W131" s="17"/>
      <c r="X131" s="17"/>
      <c r="Y131" s="17"/>
      <c r="Z131" s="17"/>
    </row>
    <row r="132" spans="1:26" x14ac:dyDescent="0.25">
      <c r="A132" s="57" t="s">
        <v>1206</v>
      </c>
      <c r="B132" s="11"/>
      <c r="C132" s="15"/>
      <c r="D132" s="91"/>
      <c r="E132" s="91"/>
      <c r="F132" s="91"/>
      <c r="G132" s="91"/>
      <c r="H132" s="91"/>
      <c r="I132" s="91"/>
      <c r="J132" s="91"/>
      <c r="K132" s="91"/>
    </row>
    <row r="133" spans="1:26" x14ac:dyDescent="0.25">
      <c r="A133" s="11" t="s">
        <v>1010</v>
      </c>
      <c r="B133" s="11"/>
      <c r="C133" s="15"/>
      <c r="D133" s="91"/>
      <c r="E133" s="91"/>
      <c r="F133" s="91"/>
      <c r="G133" s="91"/>
      <c r="H133" s="91"/>
      <c r="I133" s="91"/>
      <c r="J133" s="91"/>
      <c r="K133" s="91"/>
    </row>
    <row r="134" spans="1:26" x14ac:dyDescent="0.25">
      <c r="A134" s="12" t="s">
        <v>1207</v>
      </c>
      <c r="B134" s="14" t="str">
        <f t="shared" ref="B134:B139" si="97">$B$38</f>
        <v>From Fiscal Forecasts</v>
      </c>
      <c r="C134" s="15"/>
      <c r="D134" s="50">
        <f>'Fiscal Forecasts'!D$220</f>
        <v>32.878999999999998</v>
      </c>
      <c r="E134" s="50">
        <f>'Fiscal Forecasts'!E$220</f>
        <v>34.963000000000001</v>
      </c>
      <c r="F134" s="50">
        <f>'Fiscal Forecasts'!F$220</f>
        <v>38.164000000000001</v>
      </c>
      <c r="G134" s="50">
        <f>'Fiscal Forecasts'!G$220</f>
        <v>42.448</v>
      </c>
      <c r="H134" s="50">
        <f>'Fiscal Forecasts'!H$220</f>
        <v>47.386000000000003</v>
      </c>
      <c r="I134" s="50">
        <f>'Fiscal Forecasts'!I$220</f>
        <v>52.283000000000001</v>
      </c>
      <c r="J134" s="50">
        <f>'Fiscal Forecasts'!J$220</f>
        <v>52.46</v>
      </c>
      <c r="K134" s="50">
        <f>'Fiscal Forecasts'!K$220</f>
        <v>54.756</v>
      </c>
      <c r="L134" s="48">
        <f>'Fiscal Forecasts'!L$220</f>
        <v>58.030999999999999</v>
      </c>
      <c r="M134" s="48">
        <f>'Fiscal Forecasts'!M$220</f>
        <v>61.448</v>
      </c>
      <c r="N134" s="48">
        <f>'Fiscal Forecasts'!N$220</f>
        <v>65.171999999999997</v>
      </c>
      <c r="O134" s="48">
        <f>'Fiscal Forecasts'!O$220</f>
        <v>69.072999999999993</v>
      </c>
      <c r="P134" s="48">
        <f>'Fiscal Forecasts'!P$220</f>
        <v>73.194000000000003</v>
      </c>
      <c r="Q134" s="20">
        <f ca="1">P$134*(1+Q$17)*(1+IF(Q$6&lt;OFFSET(Assumptions!$B$8,0,$C$1)+OFFSET(Assumptions!$B$27,0,$C$1),OFFSET(Assumptions!$B$28,0,$C$1),1)*Q$26)</f>
        <v>76.384571281638955</v>
      </c>
      <c r="R134" s="20">
        <f ca="1">Q$134*(1+R$17)*(1+IF(R$6&lt;OFFSET(Assumptions!$B$8,0,$C$1)+OFFSET(Assumptions!$B$27,0,$C$1),OFFSET(Assumptions!$B$28,0,$C$1),1)*R$26)</f>
        <v>79.64046035574512</v>
      </c>
      <c r="S134" s="20">
        <f ca="1">R$134*(1+S$17)*(1+IF(S$6&lt;OFFSET(Assumptions!$B$8,0,$C$1)+OFFSET(Assumptions!$B$27,0,$C$1),OFFSET(Assumptions!$B$28,0,$C$1),1)*S$26)</f>
        <v>82.957886846126542</v>
      </c>
      <c r="T134" s="20">
        <f ca="1">S$134*(1+T$17)*(1+IF(T$6&lt;OFFSET(Assumptions!$B$8,0,$C$1)+OFFSET(Assumptions!$B$27,0,$C$1),OFFSET(Assumptions!$B$28,0,$C$1),1)*T$26)</f>
        <v>86.373036495226216</v>
      </c>
      <c r="U134" s="20">
        <f ca="1">T$134*(1+U$17)*(1+IF(U$6&lt;OFFSET(Assumptions!$B$8,0,$C$1)+OFFSET(Assumptions!$B$27,0,$C$1),OFFSET(Assumptions!$B$28,0,$C$1),1)*U$26)</f>
        <v>89.907274932942229</v>
      </c>
      <c r="V134" s="20">
        <f ca="1">U$134*(1+V$17)*(1+IF(V$6&lt;OFFSET(Assumptions!$B$8,0,$C$1)+OFFSET(Assumptions!$B$27,0,$C$1),OFFSET(Assumptions!$B$28,0,$C$1),1)*V$26)</f>
        <v>93.561859068958213</v>
      </c>
      <c r="W134" s="20">
        <f ca="1">V$134*(1+W$17)*(1+IF(W$6&lt;OFFSET(Assumptions!$B$8,0,$C$1)+OFFSET(Assumptions!$B$27,0,$C$1),OFFSET(Assumptions!$B$28,0,$C$1),1)*W$26)</f>
        <v>97.31835158672888</v>
      </c>
      <c r="X134" s="20">
        <f ca="1">W$134*(1+X$17)*(1+IF(X$6&lt;OFFSET(Assumptions!$B$8,0,$C$1)+OFFSET(Assumptions!$B$27,0,$C$1),OFFSET(Assumptions!$B$28,0,$C$1),1)*X$26)</f>
        <v>101.18301551918587</v>
      </c>
      <c r="Y134" s="20">
        <f ca="1">X$134*(1+Y$17)*(1+IF(Y$6&lt;OFFSET(Assumptions!$B$8,0,$C$1)+OFFSET(Assumptions!$B$27,0,$C$1),OFFSET(Assumptions!$B$28,0,$C$1),1)*Y$26)</f>
        <v>105.176060634442</v>
      </c>
      <c r="Z134" s="20">
        <f ca="1">Y$134*(1+Z$17)*(1+IF(Z$6&lt;OFFSET(Assumptions!$B$8,0,$C$1)+OFFSET(Assumptions!$B$27,0,$C$1),OFFSET(Assumptions!$B$28,0,$C$1),1)*Z$26)</f>
        <v>109.29851679835681</v>
      </c>
    </row>
    <row r="135" spans="1:26" x14ac:dyDescent="0.25">
      <c r="A135" s="12" t="s">
        <v>1208</v>
      </c>
      <c r="B135" s="14" t="str">
        <f t="shared" si="97"/>
        <v>From Fiscal Forecasts</v>
      </c>
      <c r="C135" s="15"/>
      <c r="D135" s="50">
        <f>'Fiscal Forecasts'!D$221</f>
        <v>8.3160000000000007</v>
      </c>
      <c r="E135" s="50">
        <f>'Fiscal Forecasts'!E$221</f>
        <v>8.1910000000000007</v>
      </c>
      <c r="F135" s="50">
        <f>'Fiscal Forecasts'!F$221</f>
        <v>10.183999999999999</v>
      </c>
      <c r="G135" s="50">
        <f>'Fiscal Forecasts'!G$221</f>
        <v>12.015000000000001</v>
      </c>
      <c r="H135" s="50">
        <f>'Fiscal Forecasts'!H$221</f>
        <v>11.71</v>
      </c>
      <c r="I135" s="50">
        <f>'Fiscal Forecasts'!I$221</f>
        <v>14.042999999999999</v>
      </c>
      <c r="J135" s="50">
        <f>'Fiscal Forecasts'!J$221</f>
        <v>13.896000000000001</v>
      </c>
      <c r="K135" s="50">
        <f>'Fiscal Forecasts'!K$221</f>
        <v>13.583</v>
      </c>
      <c r="L135" s="48">
        <f>'Fiscal Forecasts'!L$221</f>
        <v>14.44</v>
      </c>
      <c r="M135" s="48">
        <f>'Fiscal Forecasts'!M$221</f>
        <v>15.914</v>
      </c>
      <c r="N135" s="48">
        <f>'Fiscal Forecasts'!N$221</f>
        <v>16.79</v>
      </c>
      <c r="O135" s="48">
        <f>'Fiscal Forecasts'!O$221</f>
        <v>17.603000000000002</v>
      </c>
      <c r="P135" s="48">
        <f>'Fiscal Forecasts'!P$221</f>
        <v>18.367000000000001</v>
      </c>
      <c r="Q135" s="20">
        <f ca="1">P$135*(1+Q$17)*(1+IF(Q$6&lt;OFFSET(Assumptions!$B$8,0,$C$1)+OFFSET(Assumptions!$B$27,0,$C$1),OFFSET(Assumptions!$B$28,0,$C$1),1)*Q$26)</f>
        <v>19.167628777356924</v>
      </c>
      <c r="R135" s="20">
        <f ca="1">Q$135*(1+R$17)*(1+IF(R$6&lt;OFFSET(Assumptions!$B$8,0,$C$1)+OFFSET(Assumptions!$B$27,0,$C$1),OFFSET(Assumptions!$B$28,0,$C$1),1)*R$26)</f>
        <v>19.98464813173171</v>
      </c>
      <c r="S135" s="20">
        <f ca="1">R$135*(1+S$17)*(1+IF(S$6&lt;OFFSET(Assumptions!$B$8,0,$C$1)+OFFSET(Assumptions!$B$27,0,$C$1),OFFSET(Assumptions!$B$28,0,$C$1),1)*S$26)</f>
        <v>20.817109431139254</v>
      </c>
      <c r="T135" s="20">
        <f ca="1">S$135*(1+T$17)*(1+IF(T$6&lt;OFFSET(Assumptions!$B$8,0,$C$1)+OFFSET(Assumptions!$B$27,0,$C$1),OFFSET(Assumptions!$B$28,0,$C$1),1)*T$26)</f>
        <v>21.67409297630708</v>
      </c>
      <c r="U135" s="20">
        <f ca="1">T$135*(1+U$17)*(1+IF(U$6&lt;OFFSET(Assumptions!$B$8,0,$C$1)+OFFSET(Assumptions!$B$27,0,$C$1),OFFSET(Assumptions!$B$28,0,$C$1),1)*U$26)</f>
        <v>22.560960170141684</v>
      </c>
      <c r="V135" s="20">
        <f ca="1">U$135*(1+V$17)*(1+IF(V$6&lt;OFFSET(Assumptions!$B$8,0,$C$1)+OFFSET(Assumptions!$B$27,0,$C$1),OFFSET(Assumptions!$B$28,0,$C$1),1)*V$26)</f>
        <v>23.478026416366859</v>
      </c>
      <c r="W135" s="20">
        <f ca="1">V$135*(1+W$17)*(1+IF(W$6&lt;OFFSET(Assumptions!$B$8,0,$C$1)+OFFSET(Assumptions!$B$27,0,$C$1),OFFSET(Assumptions!$B$28,0,$C$1),1)*W$26)</f>
        <v>24.420665130932175</v>
      </c>
      <c r="X135" s="20">
        <f ca="1">W$135*(1+X$17)*(1+IF(X$6&lt;OFFSET(Assumptions!$B$8,0,$C$1)+OFFSET(Assumptions!$B$27,0,$C$1),OFFSET(Assumptions!$B$28,0,$C$1),1)*X$26)</f>
        <v>25.390447933449291</v>
      </c>
      <c r="Y135" s="20">
        <f ca="1">X$135*(1+Y$17)*(1+IF(Y$6&lt;OFFSET(Assumptions!$B$8,0,$C$1)+OFFSET(Assumptions!$B$27,0,$C$1),OFFSET(Assumptions!$B$28,0,$C$1),1)*Y$26)</f>
        <v>26.392446179643091</v>
      </c>
      <c r="Z135" s="20">
        <f ca="1">Y$135*(1+Z$17)*(1+IF(Z$6&lt;OFFSET(Assumptions!$B$8,0,$C$1)+OFFSET(Assumptions!$B$27,0,$C$1),OFFSET(Assumptions!$B$28,0,$C$1),1)*Z$26)</f>
        <v>27.426918299798071</v>
      </c>
    </row>
    <row r="136" spans="1:26" x14ac:dyDescent="0.25">
      <c r="A136" s="12" t="s">
        <v>1209</v>
      </c>
      <c r="B136" s="14" t="str">
        <f t="shared" si="97"/>
        <v>From Fiscal Forecasts</v>
      </c>
      <c r="C136" s="100" cm="1">
        <f t="array" aca="1" ref="C136" ca="1">SUMPRODUCT(OFFSET($P$136,0,0,1,-OFFSET(Assumptions!$B$31,0,$C$1))/OFFSET($P$13,0,0,1,-OFFSET(Assumptions!$B$31,0,$C$1)))/OFFSET(Assumptions!$B$31,0,$C$1)</f>
        <v>4.4102369887619182E-2</v>
      </c>
      <c r="D136" s="50">
        <f>'Fiscal Forecasts'!D$222</f>
        <v>15.199</v>
      </c>
      <c r="E136" s="50">
        <f>'Fiscal Forecasts'!E$222</f>
        <v>12.103999999999999</v>
      </c>
      <c r="F136" s="50">
        <f>'Fiscal Forecasts'!F$222</f>
        <v>15.768000000000001</v>
      </c>
      <c r="G136" s="50">
        <f>'Fiscal Forecasts'!G$222</f>
        <v>19.896000000000001</v>
      </c>
      <c r="H136" s="50">
        <f>'Fiscal Forecasts'!H$222</f>
        <v>17.978000000000002</v>
      </c>
      <c r="I136" s="50">
        <f>'Fiscal Forecasts'!I$222</f>
        <v>16.908999999999999</v>
      </c>
      <c r="J136" s="50">
        <f>'Fiscal Forecasts'!J$222</f>
        <v>17.495999999999999</v>
      </c>
      <c r="K136" s="50">
        <f>'Fiscal Forecasts'!K$222</f>
        <v>17.736999999999998</v>
      </c>
      <c r="L136" s="48">
        <f>'Fiscal Forecasts'!L$222</f>
        <v>22.251000000000001</v>
      </c>
      <c r="M136" s="48">
        <f>'Fiscal Forecasts'!M$222</f>
        <v>22.193000000000001</v>
      </c>
      <c r="N136" s="48">
        <f>'Fiscal Forecasts'!N$222</f>
        <v>23.693000000000001</v>
      </c>
      <c r="O136" s="48">
        <f>'Fiscal Forecasts'!O$222</f>
        <v>24.581</v>
      </c>
      <c r="P136" s="48">
        <f>'Fiscal Forecasts'!P$222</f>
        <v>25.527999999999999</v>
      </c>
      <c r="Q136" s="20">
        <f ca="1">(P$136/P$13+MIN(ABS($C$136-P$136/P$13),OFFSET(Assumptions!$B$32,0,$C$1))*SIGN($C$136-P$136/P$13))*Q$13</f>
        <v>26.801387769059946</v>
      </c>
      <c r="R136" s="20">
        <f ca="1">(Q$136/Q$13+MIN(ABS($C$136-Q$136/Q$13),OFFSET(Assumptions!$B$32,0,$C$1))*SIGN($C$136-Q$136/Q$13))*R$13</f>
        <v>27.942192398678536</v>
      </c>
      <c r="S136" s="20">
        <f ca="1">(R$136/R$13+MIN(ABS($C$136-R$136/R$13),OFFSET(Assumptions!$B$32,0,$C$1))*SIGN($C$136-R$136/R$13))*S$13</f>
        <v>29.113220121123309</v>
      </c>
      <c r="T136" s="20">
        <f ca="1">(S$136/S$13+MIN(ABS($C$136-S$136/S$13),OFFSET(Assumptions!$B$32,0,$C$1))*SIGN($C$136-S$136/S$13))*T$13</f>
        <v>30.311731887282871</v>
      </c>
      <c r="U136" s="20">
        <f ca="1">(T$136/T$13+MIN(ABS($C$136-T$136/T$13),OFFSET(Assumptions!$B$32,0,$C$1))*SIGN($C$136-T$136/T$13))*U$13</f>
        <v>31.552036643220198</v>
      </c>
      <c r="V136" s="20">
        <f ca="1">(U$136/U$13+MIN(ABS($C$136-U$136/U$13),OFFSET(Assumptions!$B$32,0,$C$1))*SIGN($C$136-U$136/U$13))*V$13</f>
        <v>32.834575488506204</v>
      </c>
      <c r="W136" s="20">
        <f ca="1">(V$136/V$13+MIN(ABS($C$136-V$136/V$13),OFFSET(Assumptions!$B$32,0,$C$1))*SIGN($C$136-V$136/V$13))*W$13</f>
        <v>34.152878035870529</v>
      </c>
      <c r="X136" s="20">
        <f ca="1">(W$136/W$13+MIN(ABS($C$136-W$136/W$13),OFFSET(Assumptions!$B$32,0,$C$1))*SIGN($C$136-W$136/W$13))*X$13</f>
        <v>35.509142232528284</v>
      </c>
      <c r="Y136" s="20">
        <f ca="1">(X$136/X$13+MIN(ABS($C$136-X$136/X$13),OFFSET(Assumptions!$B$32,0,$C$1))*SIGN($C$136-X$136/X$13))*Y$13</f>
        <v>36.910460489460903</v>
      </c>
      <c r="Z136" s="20">
        <f ca="1">(Y$136/Y$13+MIN(ABS($C$136-Y$136/Y$13),OFFSET(Assumptions!$B$32,0,$C$1))*SIGN($C$136-Y$136/Y$13))*Z$13</f>
        <v>38.357194227536326</v>
      </c>
    </row>
    <row r="137" spans="1:26" x14ac:dyDescent="0.25">
      <c r="A137" s="12" t="s">
        <v>1210</v>
      </c>
      <c r="B137" s="14" t="str">
        <f t="shared" si="97"/>
        <v>From Fiscal Forecasts</v>
      </c>
      <c r="C137" s="100" cm="1">
        <f t="array" aca="1" ref="C137" ca="1">SUMPRODUCT(OFFSET($P$137,0,0,1,-OFFSET(Assumptions!$B$31,0,$C$1))/OFFSET($P$13,0,0,1,-OFFSET(Assumptions!$B$31,0,$C$1)))/OFFSET(Assumptions!$B$31,0,$C$1)</f>
        <v>7.0306868088069713E-2</v>
      </c>
      <c r="D137" s="50">
        <f>'Fiscal Forecasts'!D$223</f>
        <v>21.861999999999998</v>
      </c>
      <c r="E137" s="50">
        <f>'Fiscal Forecasts'!E$223</f>
        <v>21.748999999999999</v>
      </c>
      <c r="F137" s="50">
        <f>'Fiscal Forecasts'!F$223</f>
        <v>25.562000000000001</v>
      </c>
      <c r="G137" s="50">
        <f>'Fiscal Forecasts'!G$223</f>
        <v>26.123999999999999</v>
      </c>
      <c r="H137" s="50">
        <f>'Fiscal Forecasts'!H$223</f>
        <v>28.13</v>
      </c>
      <c r="I137" s="50">
        <f>'Fiscal Forecasts'!I$223</f>
        <v>29.277999999999999</v>
      </c>
      <c r="J137" s="50">
        <f>'Fiscal Forecasts'!J$223</f>
        <v>29.55</v>
      </c>
      <c r="K137" s="50">
        <f>'Fiscal Forecasts'!K$223</f>
        <v>31.206</v>
      </c>
      <c r="L137" s="48">
        <f>'Fiscal Forecasts'!L$223</f>
        <v>33.792999999999999</v>
      </c>
      <c r="M137" s="48">
        <f>'Fiscal Forecasts'!M$223</f>
        <v>36.033999999999999</v>
      </c>
      <c r="N137" s="48">
        <f>'Fiscal Forecasts'!N$223</f>
        <v>37.880000000000003</v>
      </c>
      <c r="O137" s="48">
        <f>'Fiscal Forecasts'!O$223</f>
        <v>39.923000000000002</v>
      </c>
      <c r="P137" s="48">
        <f>'Fiscal Forecasts'!P$223</f>
        <v>41.601999999999997</v>
      </c>
      <c r="Q137" s="20">
        <f ca="1">(P$137/P$13+MIN(ABS($C$137-P$137/P$13),OFFSET(Assumptions!$B$32,0,$C$1))*SIGN($C$137-P$137/P$13))*Q$13</f>
        <v>43.109117776064949</v>
      </c>
      <c r="R137" s="20">
        <f ca="1">(Q$137/Q$13+MIN(ABS($C$137-Q$137/Q$13),OFFSET(Assumptions!$B$32,0,$C$1))*SIGN($C$137-Q$137/Q$13))*R$13</f>
        <v>44.627275220468917</v>
      </c>
      <c r="S137" s="20">
        <f ca="1">(R$137/R$13+MIN(ABS($C$137-R$137/R$13),OFFSET(Assumptions!$B$32,0,$C$1))*SIGN($C$137-R$137/R$13))*S$13</f>
        <v>46.411549580907362</v>
      </c>
      <c r="T137" s="20">
        <f ca="1">(S$137/S$13+MIN(ABS($C$137-S$137/S$13),OFFSET(Assumptions!$B$32,0,$C$1))*SIGN($C$137-S$137/S$13))*T$13</f>
        <v>48.322186330363195</v>
      </c>
      <c r="U137" s="20">
        <f ca="1">(T$137/T$13+MIN(ABS($C$137-T$137/T$13),OFFSET(Assumptions!$B$32,0,$C$1))*SIGN($C$137-T$137/T$13))*U$13</f>
        <v>50.299448393306697</v>
      </c>
      <c r="V137" s="20">
        <f ca="1">(U$137/U$13+MIN(ABS($C$137-U$137/U$13),OFFSET(Assumptions!$B$32,0,$C$1))*SIGN($C$137-U$137/U$13))*V$13</f>
        <v>52.344038959371993</v>
      </c>
      <c r="W137" s="20">
        <f ca="1">(V$137/V$13+MIN(ABS($C$137-V$137/V$13),OFFSET(Assumptions!$B$32,0,$C$1))*SIGN($C$137-V$137/V$13))*W$13</f>
        <v>54.445643102956346</v>
      </c>
      <c r="X137" s="20">
        <f ca="1">(W$137/W$13+MIN(ABS($C$137-W$137/W$13),OFFSET(Assumptions!$B$32,0,$C$1))*SIGN($C$137-W$137/W$13))*X$13</f>
        <v>56.607764735194458</v>
      </c>
      <c r="Y137" s="20">
        <f ca="1">(X$137/X$13+MIN(ABS($C$137-X$137/X$13),OFFSET(Assumptions!$B$32,0,$C$1))*SIGN($C$137-X$137/X$13))*Y$13</f>
        <v>58.841710395951878</v>
      </c>
      <c r="Z137" s="20">
        <f ca="1">(Y$137/Y$13+MIN(ABS($C$137-Y$137/Y$13),OFFSET(Assumptions!$B$32,0,$C$1))*SIGN($C$137-Y$137/Y$13))*Z$13</f>
        <v>61.148056253115968</v>
      </c>
    </row>
    <row r="138" spans="1:26" x14ac:dyDescent="0.25">
      <c r="A138" s="12" t="s">
        <v>1211</v>
      </c>
      <c r="B138" s="14" t="str">
        <f t="shared" si="97"/>
        <v>From Fiscal Forecasts</v>
      </c>
      <c r="C138" s="100" cm="1">
        <f t="array" aca="1" ref="C138" ca="1">SUMPRODUCT(OFFSET($P$138,0,0,1,-OFFSET(Assumptions!$B$31,0,$C$1))/OFFSET($P$13,0,0,1,-OFFSET(Assumptions!$B$31,0,$C$1)))/OFFSET(Assumptions!$B$31,0,$C$1)</f>
        <v>1.0076668266754657E-2</v>
      </c>
      <c r="D138" s="50">
        <f>'Fiscal Forecasts'!D$224</f>
        <v>3.8820000000000001</v>
      </c>
      <c r="E138" s="50">
        <f>'Fiscal Forecasts'!E$224</f>
        <v>3.819</v>
      </c>
      <c r="F138" s="50">
        <f>'Fiscal Forecasts'!F$224</f>
        <v>4.306</v>
      </c>
      <c r="G138" s="50">
        <f>'Fiscal Forecasts'!G$224</f>
        <v>3.823</v>
      </c>
      <c r="H138" s="50">
        <f>'Fiscal Forecasts'!H$224</f>
        <v>2.976</v>
      </c>
      <c r="I138" s="50">
        <f>'Fiscal Forecasts'!I$224</f>
        <v>4.0730000000000004</v>
      </c>
      <c r="J138" s="50">
        <f>'Fiscal Forecasts'!J$224</f>
        <v>4.3179999999999996</v>
      </c>
      <c r="K138" s="50">
        <f>'Fiscal Forecasts'!K$224</f>
        <v>4.5419999999999998</v>
      </c>
      <c r="L138" s="48">
        <f>'Fiscal Forecasts'!L$224</f>
        <v>4.6970000000000001</v>
      </c>
      <c r="M138" s="48">
        <f>'Fiscal Forecasts'!M$224</f>
        <v>4.9770000000000003</v>
      </c>
      <c r="N138" s="48">
        <f>'Fiscal Forecasts'!N$224</f>
        <v>5.6440000000000001</v>
      </c>
      <c r="O138" s="48">
        <f>'Fiscal Forecasts'!O$224</f>
        <v>6.359</v>
      </c>
      <c r="P138" s="48">
        <f>'Fiscal Forecasts'!P$224</f>
        <v>6.83</v>
      </c>
      <c r="Q138" s="20">
        <f ca="1">(P$138/P$13+MIN(ABS($C$138-P$138/P$13),OFFSET(Assumptions!$B$32,0,$C$1))*SIGN($C$138-P$138/P$13))*Q$13</f>
        <v>6.8234616931386274</v>
      </c>
      <c r="R138" s="20">
        <f ca="1">(Q$138/Q$13+MIN(ABS($C$138-Q$138/Q$13),OFFSET(Assumptions!$B$32,0,$C$1))*SIGN($C$138-Q$138/Q$13))*R$13</f>
        <v>6.7971153676319469</v>
      </c>
      <c r="S138" s="20">
        <f ca="1">(R$138/R$13+MIN(ABS($C$138-R$138/R$13),OFFSET(Assumptions!$B$32,0,$C$1))*SIGN($C$138-R$138/R$13))*S$13</f>
        <v>6.751911158307907</v>
      </c>
      <c r="T138" s="20">
        <f ca="1">(S$138/S$13+MIN(ABS($C$138-S$138/S$13),OFFSET(Assumptions!$B$32,0,$C$1))*SIGN($C$138-S$138/S$13))*T$13</f>
        <v>6.9257336419171613</v>
      </c>
      <c r="U138" s="20">
        <f ca="1">(T$138/T$13+MIN(ABS($C$138-T$138/T$13),OFFSET(Assumptions!$B$32,0,$C$1))*SIGN($C$138-T$138/T$13))*U$13</f>
        <v>7.2091229383904816</v>
      </c>
      <c r="V138" s="20">
        <f ca="1">(U$138/U$13+MIN(ABS($C$138-U$138/U$13),OFFSET(Assumptions!$B$32,0,$C$1))*SIGN($C$138-U$138/U$13))*V$13</f>
        <v>7.5021620316660957</v>
      </c>
      <c r="W138" s="20">
        <f ca="1">(V$138/V$13+MIN(ABS($C$138-V$138/V$13),OFFSET(Assumptions!$B$32,0,$C$1))*SIGN($C$138-V$138/V$13))*W$13</f>
        <v>7.8033725443632189</v>
      </c>
      <c r="X138" s="20">
        <f ca="1">(W$138/W$13+MIN(ABS($C$138-W$138/W$13),OFFSET(Assumptions!$B$32,0,$C$1))*SIGN($C$138-W$138/W$13))*X$13</f>
        <v>8.1132566713754795</v>
      </c>
      <c r="Y138" s="20">
        <f ca="1">(X$138/X$13+MIN(ABS($C$138-X$138/X$13),OFFSET(Assumptions!$B$32,0,$C$1))*SIGN($C$138-X$138/X$13))*Y$13</f>
        <v>8.4334349123008252</v>
      </c>
      <c r="Z138" s="20">
        <f ca="1">(Y$138/Y$13+MIN(ABS($C$138-Y$138/Y$13),OFFSET(Assumptions!$B$32,0,$C$1))*SIGN($C$138-Y$138/Y$13))*Z$13</f>
        <v>8.763989845880495</v>
      </c>
    </row>
    <row r="139" spans="1:26" x14ac:dyDescent="0.25">
      <c r="A139" s="12" t="s">
        <v>1013</v>
      </c>
      <c r="B139" s="14" t="str">
        <f t="shared" si="97"/>
        <v>From Fiscal Forecasts</v>
      </c>
      <c r="C139" s="100"/>
      <c r="D139" s="50">
        <f>'Fiscal Forecasts'!D$225</f>
        <v>3.585</v>
      </c>
      <c r="E139" s="50">
        <f>'Fiscal Forecasts'!E$225</f>
        <v>3.6949999999999998</v>
      </c>
      <c r="F139" s="50">
        <f>'Fiscal Forecasts'!F$225</f>
        <v>3.3780000000000001</v>
      </c>
      <c r="G139" s="50">
        <f>'Fiscal Forecasts'!G$225</f>
        <v>3.5670000000000002</v>
      </c>
      <c r="H139" s="50">
        <f>'Fiscal Forecasts'!H$225</f>
        <v>3.532</v>
      </c>
      <c r="I139" s="50">
        <f>'Fiscal Forecasts'!I$225</f>
        <v>3.3140000000000001</v>
      </c>
      <c r="J139" s="50">
        <f>'Fiscal Forecasts'!J$225</f>
        <v>3.3380000000000001</v>
      </c>
      <c r="K139" s="50">
        <f>'Fiscal Forecasts'!K$225</f>
        <v>3.1749999999999998</v>
      </c>
      <c r="L139" s="48">
        <f>'Fiscal Forecasts'!L$225</f>
        <v>3.1040000000000001</v>
      </c>
      <c r="M139" s="48">
        <f>'Fiscal Forecasts'!M$225</f>
        <v>3.04</v>
      </c>
      <c r="N139" s="48">
        <f>'Fiscal Forecasts'!N$225</f>
        <v>2.9870000000000001</v>
      </c>
      <c r="O139" s="48">
        <f>'Fiscal Forecasts'!O$225</f>
        <v>2.9580000000000002</v>
      </c>
      <c r="P139" s="48">
        <f>'Fiscal Forecasts'!P$225</f>
        <v>2.93</v>
      </c>
      <c r="Q139" s="20">
        <f t="shared" ref="Q139:Z139" ca="1" si="98">P$139*(1+Q$19)*(1+Q$29)</f>
        <v>3.0270016660619792</v>
      </c>
      <c r="R139" s="20">
        <f t="shared" ca="1" si="98"/>
        <v>3.1254536475160695</v>
      </c>
      <c r="S139" s="20">
        <f t="shared" ca="1" si="98"/>
        <v>3.2260451896469884</v>
      </c>
      <c r="T139" s="20">
        <f t="shared" ca="1" si="98"/>
        <v>3.3278252423663437</v>
      </c>
      <c r="U139" s="20">
        <f t="shared" ca="1" si="98"/>
        <v>3.4325331926614715</v>
      </c>
      <c r="V139" s="20">
        <f t="shared" ca="1" si="98"/>
        <v>3.5392765966534951</v>
      </c>
      <c r="W139" s="20">
        <f t="shared" ca="1" si="98"/>
        <v>3.6453672604374305</v>
      </c>
      <c r="X139" s="20">
        <f t="shared" ca="1" si="98"/>
        <v>3.7536911046346746</v>
      </c>
      <c r="Y139" s="20">
        <f t="shared" ca="1" si="98"/>
        <v>3.8652992310869632</v>
      </c>
      <c r="Z139" s="20">
        <f t="shared" ca="1" si="98"/>
        <v>3.9793519922991294</v>
      </c>
    </row>
    <row r="140" spans="1:26" x14ac:dyDescent="0.25">
      <c r="A140" s="11" t="s">
        <v>1212</v>
      </c>
      <c r="B140" s="14"/>
      <c r="C140" s="15"/>
      <c r="D140" s="94">
        <f t="shared" ref="D140:Z140" si="99">SUM(D$134:D$139)</f>
        <v>85.722999999999999</v>
      </c>
      <c r="E140" s="94">
        <f t="shared" si="99"/>
        <v>84.521000000000001</v>
      </c>
      <c r="F140" s="94">
        <f t="shared" si="99"/>
        <v>97.361999999999995</v>
      </c>
      <c r="G140" s="94">
        <f t="shared" si="99"/>
        <v>107.87299999999999</v>
      </c>
      <c r="H140" s="94">
        <f t="shared" si="99"/>
        <v>111.712</v>
      </c>
      <c r="I140" s="94">
        <f t="shared" si="99"/>
        <v>119.89999999999998</v>
      </c>
      <c r="J140" s="94">
        <f t="shared" si="99"/>
        <v>121.05799999999998</v>
      </c>
      <c r="K140" s="94">
        <f t="shared" si="99"/>
        <v>124.999</v>
      </c>
      <c r="L140" s="95">
        <f t="shared" si="99"/>
        <v>136.31600000000003</v>
      </c>
      <c r="M140" s="95">
        <f t="shared" si="99"/>
        <v>143.60599999999999</v>
      </c>
      <c r="N140" s="95">
        <f t="shared" si="99"/>
        <v>152.166</v>
      </c>
      <c r="O140" s="95">
        <f t="shared" si="99"/>
        <v>160.49700000000001</v>
      </c>
      <c r="P140" s="95">
        <f t="shared" si="99"/>
        <v>168.45100000000002</v>
      </c>
      <c r="Q140" s="96">
        <f t="shared" ca="1" si="99"/>
        <v>175.31316896332137</v>
      </c>
      <c r="R140" s="96">
        <f t="shared" ca="1" si="99"/>
        <v>182.11714512177235</v>
      </c>
      <c r="S140" s="96">
        <f t="shared" ca="1" si="99"/>
        <v>189.27772232725135</v>
      </c>
      <c r="T140" s="96">
        <f t="shared" ca="1" si="99"/>
        <v>196.93460657346287</v>
      </c>
      <c r="U140" s="96">
        <f t="shared" ca="1" si="99"/>
        <v>204.96137627066278</v>
      </c>
      <c r="V140" s="96">
        <f t="shared" ca="1" si="99"/>
        <v>213.25993856152289</v>
      </c>
      <c r="W140" s="96">
        <f t="shared" ca="1" si="99"/>
        <v>221.78627766128858</v>
      </c>
      <c r="X140" s="96">
        <f t="shared" ca="1" si="99"/>
        <v>230.55731819636804</v>
      </c>
      <c r="Y140" s="96">
        <f t="shared" ca="1" si="99"/>
        <v>239.61941184288565</v>
      </c>
      <c r="Z140" s="96">
        <f t="shared" ca="1" si="99"/>
        <v>248.97402741698681</v>
      </c>
    </row>
    <row r="141" spans="1:26" x14ac:dyDescent="0.25">
      <c r="A141" s="12" t="s">
        <v>1213</v>
      </c>
      <c r="B141" s="14" t="str">
        <f>$B$38</f>
        <v>From Fiscal Forecasts</v>
      </c>
      <c r="C141" s="15"/>
      <c r="D141" s="50">
        <f>D$140-'Fiscal Forecasts'!D$163</f>
        <v>-0.74500000000000455</v>
      </c>
      <c r="E141" s="50">
        <f>E$140-'Fiscal Forecasts'!E$163</f>
        <v>-0.58100000000000307</v>
      </c>
      <c r="F141" s="50">
        <f>F$140-'Fiscal Forecasts'!F$163</f>
        <v>-0.62100000000000932</v>
      </c>
      <c r="G141" s="50">
        <f>G$140-'Fiscal Forecasts'!G$163</f>
        <v>-0.58500000000000796</v>
      </c>
      <c r="H141" s="50">
        <f>H$140-'Fiscal Forecasts'!H$163</f>
        <v>-0.6460000000000008</v>
      </c>
      <c r="I141" s="50">
        <f>I$140-'Fiscal Forecasts'!I$163</f>
        <v>-0.66600000000002524</v>
      </c>
      <c r="J141" s="50">
        <f>J$140-'Fiscal Forecasts'!J$163</f>
        <v>-0.64000000000001478</v>
      </c>
      <c r="K141" s="50">
        <f>K$140-'Fiscal Forecasts'!K$163</f>
        <v>-0.88500000000000512</v>
      </c>
      <c r="L141" s="48">
        <f>L$140-'Fiscal Forecasts'!L$163</f>
        <v>-0.86899999999997135</v>
      </c>
      <c r="M141" s="48">
        <f>M$140-'Fiscal Forecasts'!M$163</f>
        <v>-0.88700000000000045</v>
      </c>
      <c r="N141" s="48">
        <f>N$140-'Fiscal Forecasts'!N$163</f>
        <v>-0.99000000000000909</v>
      </c>
      <c r="O141" s="48">
        <f>O$140-'Fiscal Forecasts'!O$163</f>
        <v>-1.1229999999999905</v>
      </c>
      <c r="P141" s="48">
        <f>P$140-'Fiscal Forecasts'!P$163</f>
        <v>-1.2209999999999752</v>
      </c>
      <c r="Q141" s="20">
        <f ca="1">IF(Q$6=OFFSET(Assumptions!$B$8,0,$C$1),AVERAGE(N$141/N$140,O$141/O$140,P$141/P$140),P$141/P$140)*Q$140</f>
        <v>-1.2126684664091874</v>
      </c>
      <c r="R141" s="20">
        <f ca="1">IF(R$6=OFFSET(Assumptions!$B$8,0,$C$1),AVERAGE(O$141/O$140,P$141/P$140,Q$141/Q$140),Q$141/Q$140)*R$140</f>
        <v>-1.2597326281167409</v>
      </c>
      <c r="S141" s="20">
        <f ca="1">IF(S$6=OFFSET(Assumptions!$B$8,0,$C$1),AVERAGE(P$141/P$140,Q$141/Q$140,R$141/R$140),R$141/R$140)*S$140</f>
        <v>-1.3092634547495623</v>
      </c>
      <c r="T141" s="20">
        <f ca="1">IF(T$6=OFFSET(Assumptions!$B$8,0,$C$1),AVERAGE(Q$141/Q$140,R$141/R$140,S$141/S$140),S$141/S$140)*T$140</f>
        <v>-1.3622273144027333</v>
      </c>
      <c r="U141" s="20">
        <f ca="1">IF(U$6=OFFSET(Assumptions!$B$8,0,$C$1),AVERAGE(R$141/R$140,S$141/S$140,T$141/T$140),T$141/T$140)*U$140</f>
        <v>-1.4177497292702645</v>
      </c>
      <c r="V141" s="20">
        <f ca="1">IF(V$6=OFFSET(Assumptions!$B$8,0,$C$1),AVERAGE(S$141/S$140,T$141/T$140,U$141/U$140),U$141/U$140)*V$140</f>
        <v>-1.4751521757959096</v>
      </c>
      <c r="W141" s="20">
        <f ca="1">IF(W$6=OFFSET(Assumptions!$B$8,0,$C$1),AVERAGE(T$141/T$140,U$141/U$140,V$141/V$140),V$141/V$140)*W$140</f>
        <v>-1.5341301899481767</v>
      </c>
      <c r="X141" s="20">
        <f ca="1">IF(X$6=OFFSET(Assumptions!$B$8,0,$C$1),AVERAGE(U$141/U$140,V$141/V$140,W$141/W$140),W$141/W$140)*X$140</f>
        <v>-1.5948008420012061</v>
      </c>
      <c r="Y141" s="20">
        <f ca="1">IF(Y$6=OFFSET(Assumptions!$B$8,0,$C$1),AVERAGE(V$141/V$140,W$141/W$140,X$141/X$140),X$141/X$140)*Y$140</f>
        <v>-1.6574847537105319</v>
      </c>
      <c r="Z141" s="20">
        <f ca="1">IF(Z$6=OFFSET(Assumptions!$B$8,0,$C$1),AVERAGE(W$141/W$140,X$141/X$140,Y$141/Y$140),Y$141/Y$140)*Z$140</f>
        <v>-1.7221920851059624</v>
      </c>
    </row>
    <row r="142" spans="1:26" x14ac:dyDescent="0.25">
      <c r="A142" s="11" t="s">
        <v>1214</v>
      </c>
      <c r="B142" s="11"/>
      <c r="C142" s="15"/>
      <c r="D142" s="94">
        <f t="shared" ref="D142:Z142" si="100">D$140-D$141</f>
        <v>86.468000000000004</v>
      </c>
      <c r="E142" s="94">
        <f t="shared" si="100"/>
        <v>85.102000000000004</v>
      </c>
      <c r="F142" s="94">
        <f t="shared" si="100"/>
        <v>97.983000000000004</v>
      </c>
      <c r="G142" s="94">
        <f t="shared" si="100"/>
        <v>108.458</v>
      </c>
      <c r="H142" s="94">
        <f t="shared" si="100"/>
        <v>112.358</v>
      </c>
      <c r="I142" s="94">
        <f t="shared" si="100"/>
        <v>120.566</v>
      </c>
      <c r="J142" s="94">
        <f t="shared" si="100"/>
        <v>121.69799999999999</v>
      </c>
      <c r="K142" s="94">
        <f t="shared" si="100"/>
        <v>125.884</v>
      </c>
      <c r="L142" s="95">
        <f t="shared" si="100"/>
        <v>137.185</v>
      </c>
      <c r="M142" s="95">
        <f t="shared" si="100"/>
        <v>144.49299999999999</v>
      </c>
      <c r="N142" s="95">
        <f t="shared" si="100"/>
        <v>153.15600000000001</v>
      </c>
      <c r="O142" s="95">
        <f t="shared" si="100"/>
        <v>161.62</v>
      </c>
      <c r="P142" s="95">
        <f t="shared" si="100"/>
        <v>169.672</v>
      </c>
      <c r="Q142" s="96">
        <f t="shared" ca="1" si="100"/>
        <v>176.52583742973056</v>
      </c>
      <c r="R142" s="96">
        <f t="shared" ca="1" si="100"/>
        <v>183.3768777498891</v>
      </c>
      <c r="S142" s="96">
        <f t="shared" ca="1" si="100"/>
        <v>190.58698578200091</v>
      </c>
      <c r="T142" s="96">
        <f t="shared" ca="1" si="100"/>
        <v>198.2968338878656</v>
      </c>
      <c r="U142" s="96">
        <f t="shared" ca="1" si="100"/>
        <v>206.37912599993305</v>
      </c>
      <c r="V142" s="96">
        <f t="shared" ca="1" si="100"/>
        <v>214.73509073731879</v>
      </c>
      <c r="W142" s="96">
        <f t="shared" ca="1" si="100"/>
        <v>223.32040785123675</v>
      </c>
      <c r="X142" s="96">
        <f t="shared" ca="1" si="100"/>
        <v>232.15211903836925</v>
      </c>
      <c r="Y142" s="96">
        <f t="shared" ca="1" si="100"/>
        <v>241.27689659659617</v>
      </c>
      <c r="Z142" s="96">
        <f t="shared" ca="1" si="100"/>
        <v>250.69621950209279</v>
      </c>
    </row>
    <row r="143" spans="1:26" x14ac:dyDescent="0.25">
      <c r="A143" s="11"/>
      <c r="B143" s="11"/>
      <c r="C143" s="15"/>
      <c r="D143" s="51"/>
      <c r="E143" s="51"/>
      <c r="F143" s="51"/>
      <c r="G143" s="51"/>
      <c r="H143" s="51"/>
      <c r="I143" s="51"/>
      <c r="J143" s="51"/>
      <c r="K143" s="51"/>
      <c r="L143" s="47"/>
      <c r="M143" s="47"/>
      <c r="N143" s="47"/>
      <c r="O143" s="47"/>
      <c r="P143" s="47"/>
      <c r="Q143" s="21"/>
      <c r="R143" s="21"/>
      <c r="S143" s="21"/>
      <c r="T143" s="21"/>
      <c r="U143" s="21"/>
      <c r="V143" s="21"/>
      <c r="W143" s="21"/>
      <c r="X143" s="21"/>
      <c r="Y143" s="21"/>
      <c r="Z143" s="21"/>
    </row>
    <row r="144" spans="1:26" x14ac:dyDescent="0.25">
      <c r="A144" s="11" t="s">
        <v>1015</v>
      </c>
      <c r="B144" s="11"/>
      <c r="C144" s="15"/>
      <c r="D144" s="51"/>
      <c r="E144" s="51"/>
      <c r="F144" s="51"/>
      <c r="G144" s="51"/>
      <c r="H144" s="51"/>
      <c r="I144" s="51"/>
      <c r="J144" s="51"/>
      <c r="K144" s="51"/>
      <c r="L144" s="47"/>
      <c r="M144" s="47"/>
      <c r="N144" s="47"/>
      <c r="O144" s="47"/>
      <c r="P144" s="47"/>
      <c r="Q144" s="21"/>
      <c r="R144" s="21"/>
      <c r="S144" s="21"/>
      <c r="T144" s="21"/>
      <c r="U144" s="21"/>
      <c r="V144" s="21"/>
      <c r="W144" s="21"/>
      <c r="X144" s="21"/>
      <c r="Y144" s="21"/>
      <c r="Z144" s="21"/>
    </row>
    <row r="145" spans="1:26" x14ac:dyDescent="0.25">
      <c r="A145" s="12" t="s">
        <v>1215</v>
      </c>
      <c r="B145" s="14" t="str">
        <f>$B$38</f>
        <v>From Fiscal Forecasts</v>
      </c>
      <c r="C145" s="15"/>
      <c r="D145" s="50">
        <f>'Fiscal Forecasts'!D$229</f>
        <v>0.84599999999999997</v>
      </c>
      <c r="E145" s="50">
        <f>'Fiscal Forecasts'!E$229</f>
        <v>1.0429999999999999</v>
      </c>
      <c r="F145" s="50">
        <f>'Fiscal Forecasts'!F$229</f>
        <v>1.6339999999999999</v>
      </c>
      <c r="G145" s="50">
        <f>'Fiscal Forecasts'!G$229</f>
        <v>3.0059999999999998</v>
      </c>
      <c r="H145" s="50">
        <f>'Fiscal Forecasts'!H$229</f>
        <v>1.5820000000000001</v>
      </c>
      <c r="I145" s="50">
        <f>'Fiscal Forecasts'!I$229</f>
        <v>1.69</v>
      </c>
      <c r="J145" s="50">
        <f>'Fiscal Forecasts'!J$229</f>
        <v>1.774</v>
      </c>
      <c r="K145" s="50">
        <f>'Fiscal Forecasts'!K$229</f>
        <v>1.706</v>
      </c>
      <c r="L145" s="48">
        <f>'Fiscal Forecasts'!L$229</f>
        <v>1.786</v>
      </c>
      <c r="M145" s="48">
        <f>'Fiscal Forecasts'!M$229</f>
        <v>1.754</v>
      </c>
      <c r="N145" s="48">
        <f>'Fiscal Forecasts'!N$229</f>
        <v>1.73</v>
      </c>
      <c r="O145" s="48">
        <f>'Fiscal Forecasts'!O$229</f>
        <v>1.6439999999999999</v>
      </c>
      <c r="P145" s="48">
        <f>'Fiscal Forecasts'!P$229</f>
        <v>1.5589999999999999</v>
      </c>
      <c r="Q145" s="20">
        <f t="shared" ref="Q145:Z145" ca="1" si="101">MAX(P$145,Q$313)</f>
        <v>1.5589999999999999</v>
      </c>
      <c r="R145" s="20">
        <f t="shared" ca="1" si="101"/>
        <v>1.5589999999999999</v>
      </c>
      <c r="S145" s="20">
        <f t="shared" ca="1" si="101"/>
        <v>1.5589999999999999</v>
      </c>
      <c r="T145" s="20">
        <f t="shared" ca="1" si="101"/>
        <v>1.5651969033599999</v>
      </c>
      <c r="U145" s="20">
        <f t="shared" ca="1" si="101"/>
        <v>1.5965008414271999</v>
      </c>
      <c r="V145" s="20">
        <f t="shared" ca="1" si="101"/>
        <v>1.6284308582557441</v>
      </c>
      <c r="W145" s="20">
        <f t="shared" ca="1" si="101"/>
        <v>1.660999475420859</v>
      </c>
      <c r="X145" s="20">
        <f t="shared" ca="1" si="101"/>
        <v>1.6942194649292763</v>
      </c>
      <c r="Y145" s="20">
        <f t="shared" ca="1" si="101"/>
        <v>1.7281038542278619</v>
      </c>
      <c r="Z145" s="20">
        <f t="shared" ca="1" si="101"/>
        <v>1.7626659313124191</v>
      </c>
    </row>
    <row r="146" spans="1:26" x14ac:dyDescent="0.25">
      <c r="A146" s="12" t="s">
        <v>1216</v>
      </c>
      <c r="B146" s="14" t="str">
        <f>$B$38</f>
        <v>From Fiscal Forecasts</v>
      </c>
      <c r="C146" s="15"/>
      <c r="D146" s="50">
        <f>'Fiscal Forecasts'!D$164-D$145</f>
        <v>1.1310000000000002</v>
      </c>
      <c r="E146" s="50">
        <f>'Fiscal Forecasts'!E$164-E$145</f>
        <v>1.0770000000000002</v>
      </c>
      <c r="F146" s="50">
        <f>'Fiscal Forecasts'!F$164-F$145</f>
        <v>1.1110000000000002</v>
      </c>
      <c r="G146" s="50">
        <f>'Fiscal Forecasts'!G$164-G$145</f>
        <v>1.3210000000000002</v>
      </c>
      <c r="H146" s="50">
        <f>'Fiscal Forecasts'!H$164-H$145</f>
        <v>1.7099999999999997</v>
      </c>
      <c r="I146" s="50">
        <f>'Fiscal Forecasts'!I$164-I$145</f>
        <v>1.899</v>
      </c>
      <c r="J146" s="50">
        <f>'Fiscal Forecasts'!J$164-J$145</f>
        <v>1.9260000000000002</v>
      </c>
      <c r="K146" s="50">
        <f>'Fiscal Forecasts'!K$164-K$145</f>
        <v>2.1179999999999999</v>
      </c>
      <c r="L146" s="48">
        <f>'Fiscal Forecasts'!L$164-L$145</f>
        <v>2.3050000000000002</v>
      </c>
      <c r="M146" s="48">
        <f>'Fiscal Forecasts'!M$164-M$145</f>
        <v>2.4090000000000003</v>
      </c>
      <c r="N146" s="48">
        <f>'Fiscal Forecasts'!N$164-N$145</f>
        <v>2.4540000000000002</v>
      </c>
      <c r="O146" s="48">
        <f>'Fiscal Forecasts'!O$164-O$145</f>
        <v>2.4719999999999995</v>
      </c>
      <c r="P146" s="48">
        <f>'Fiscal Forecasts'!P$164-P$145</f>
        <v>2.4649999999999999</v>
      </c>
      <c r="Q146" s="20">
        <f t="shared" ref="Q146:Z146" ca="1" si="102">P$146*(1+Q$19)*(1+Q$29)</f>
        <v>2.5466072037006064</v>
      </c>
      <c r="R146" s="20">
        <f t="shared" ca="1" si="102"/>
        <v>2.6294345532857029</v>
      </c>
      <c r="S146" s="20">
        <f t="shared" ca="1" si="102"/>
        <v>2.7140619086961859</v>
      </c>
      <c r="T146" s="20">
        <f t="shared" ca="1" si="102"/>
        <v>2.7996891544140055</v>
      </c>
      <c r="U146" s="20">
        <f t="shared" ca="1" si="102"/>
        <v>2.88777963136878</v>
      </c>
      <c r="V146" s="20">
        <f t="shared" ca="1" si="102"/>
        <v>2.9775825292665066</v>
      </c>
      <c r="W146" s="20">
        <f t="shared" ca="1" si="102"/>
        <v>3.0668362788321724</v>
      </c>
      <c r="X146" s="20">
        <f t="shared" ca="1" si="102"/>
        <v>3.1579687962199565</v>
      </c>
      <c r="Y146" s="20">
        <f t="shared" ca="1" si="102"/>
        <v>3.2518643701806704</v>
      </c>
      <c r="Z146" s="20">
        <f t="shared" ca="1" si="102"/>
        <v>3.3478166078557523</v>
      </c>
    </row>
    <row r="147" spans="1:26" x14ac:dyDescent="0.25">
      <c r="A147" s="11" t="s">
        <v>1217</v>
      </c>
      <c r="B147" s="11"/>
      <c r="C147" s="15"/>
      <c r="D147" s="94">
        <f t="shared" ref="D147:Z147" si="103">SUM(D$145:D$146)</f>
        <v>1.9770000000000003</v>
      </c>
      <c r="E147" s="94">
        <f t="shared" si="103"/>
        <v>2.12</v>
      </c>
      <c r="F147" s="94">
        <f t="shared" si="103"/>
        <v>2.7450000000000001</v>
      </c>
      <c r="G147" s="94">
        <f t="shared" si="103"/>
        <v>4.327</v>
      </c>
      <c r="H147" s="94">
        <f t="shared" si="103"/>
        <v>3.2919999999999998</v>
      </c>
      <c r="I147" s="94">
        <f t="shared" si="103"/>
        <v>3.589</v>
      </c>
      <c r="J147" s="94">
        <f t="shared" si="103"/>
        <v>3.7</v>
      </c>
      <c r="K147" s="94">
        <f t="shared" si="103"/>
        <v>3.8239999999999998</v>
      </c>
      <c r="L147" s="95">
        <f t="shared" si="103"/>
        <v>4.0910000000000002</v>
      </c>
      <c r="M147" s="95">
        <f t="shared" si="103"/>
        <v>4.1630000000000003</v>
      </c>
      <c r="N147" s="95">
        <f t="shared" si="103"/>
        <v>4.1840000000000002</v>
      </c>
      <c r="O147" s="95">
        <f t="shared" si="103"/>
        <v>4.1159999999999997</v>
      </c>
      <c r="P147" s="95">
        <f t="shared" si="103"/>
        <v>4.024</v>
      </c>
      <c r="Q147" s="96">
        <f t="shared" ca="1" si="103"/>
        <v>4.1056072037006066</v>
      </c>
      <c r="R147" s="96">
        <f t="shared" ca="1" si="103"/>
        <v>4.1884345532857026</v>
      </c>
      <c r="S147" s="96">
        <f t="shared" ca="1" si="103"/>
        <v>4.2730619086961861</v>
      </c>
      <c r="T147" s="96">
        <f t="shared" ca="1" si="103"/>
        <v>4.3648860577740054</v>
      </c>
      <c r="U147" s="96">
        <f t="shared" ca="1" si="103"/>
        <v>4.4842804727959802</v>
      </c>
      <c r="V147" s="96">
        <f t="shared" ca="1" si="103"/>
        <v>4.6060133875222506</v>
      </c>
      <c r="W147" s="96">
        <f t="shared" ca="1" si="103"/>
        <v>4.7278357542530314</v>
      </c>
      <c r="X147" s="96">
        <f t="shared" ca="1" si="103"/>
        <v>4.8521882611492329</v>
      </c>
      <c r="Y147" s="96">
        <f t="shared" ca="1" si="103"/>
        <v>4.9799682244085322</v>
      </c>
      <c r="Z147" s="96">
        <f t="shared" ca="1" si="103"/>
        <v>5.1104825391681716</v>
      </c>
    </row>
    <row r="148" spans="1:26" x14ac:dyDescent="0.25">
      <c r="A148" s="12" t="s">
        <v>1016</v>
      </c>
      <c r="B148" s="14" t="str">
        <f>$B$38</f>
        <v>From Fiscal Forecasts</v>
      </c>
      <c r="C148" s="15"/>
      <c r="D148" s="50">
        <f>'Fiscal Forecasts'!D$228</f>
        <v>3.0139999999999998</v>
      </c>
      <c r="E148" s="50">
        <f>'Fiscal Forecasts'!E$228</f>
        <v>3.032</v>
      </c>
      <c r="F148" s="50">
        <f>'Fiscal Forecasts'!F$228</f>
        <v>3.27</v>
      </c>
      <c r="G148" s="50">
        <f>'Fiscal Forecasts'!G$228</f>
        <v>3.4609999999999999</v>
      </c>
      <c r="H148" s="50">
        <f>'Fiscal Forecasts'!H$228</f>
        <v>3.855</v>
      </c>
      <c r="I148" s="50">
        <f>'Fiscal Forecasts'!I$228</f>
        <v>4.1449999999999996</v>
      </c>
      <c r="J148" s="50">
        <f>'Fiscal Forecasts'!J$228</f>
        <v>4.2439999999999998</v>
      </c>
      <c r="K148" s="50">
        <f>'Fiscal Forecasts'!K$228</f>
        <v>4.5010000000000003</v>
      </c>
      <c r="L148" s="48">
        <f>'Fiscal Forecasts'!L$228</f>
        <v>4.97</v>
      </c>
      <c r="M148" s="48">
        <f>'Fiscal Forecasts'!M$228</f>
        <v>5.3630000000000004</v>
      </c>
      <c r="N148" s="48">
        <f>'Fiscal Forecasts'!N$228</f>
        <v>5.4489999999999998</v>
      </c>
      <c r="O148" s="48">
        <f>'Fiscal Forecasts'!O$228</f>
        <v>5.8540000000000001</v>
      </c>
      <c r="P148" s="48">
        <f>'Fiscal Forecasts'!P$228</f>
        <v>5.9859999999999998</v>
      </c>
      <c r="Q148" s="20">
        <f>P$148*(Exogenous!AB$25-Exogenous!AB$26)/(Exogenous!AA$25-Exogenous!AA$26)</f>
        <v>6.5094507792485157</v>
      </c>
      <c r="R148" s="20">
        <f>Q$148*(Exogenous!AC$25-Exogenous!AC$26)/(Exogenous!AB$25-Exogenous!AB$26)</f>
        <v>7.0637669526430447</v>
      </c>
      <c r="S148" s="20">
        <f>R$148*(Exogenous!AD$25-Exogenous!AD$26)/(Exogenous!AC$25-Exogenous!AC$26)</f>
        <v>7.6352679431138677</v>
      </c>
      <c r="T148" s="20">
        <f>S$148*(Exogenous!AE$25-Exogenous!AE$26)/(Exogenous!AD$25-Exogenous!AD$26)</f>
        <v>8.2584606508699405</v>
      </c>
      <c r="U148" s="20">
        <f>T$148*(Exogenous!AF$25-Exogenous!AF$26)/(Exogenous!AE$25-Exogenous!AE$26)</f>
        <v>8.8628947371769744</v>
      </c>
      <c r="V148" s="20">
        <f>U$148*(Exogenous!AG$25-Exogenous!AG$26)/(Exogenous!AF$25-Exogenous!AF$26)</f>
        <v>9.2504040037755946</v>
      </c>
      <c r="W148" s="20">
        <f>V$148*(Exogenous!AH$25-Exogenous!AH$26)/(Exogenous!AG$25-Exogenous!AG$26)</f>
        <v>9.6520793273056462</v>
      </c>
      <c r="X148" s="20">
        <f>W$148*(Exogenous!AI$25-Exogenous!AI$26)/(Exogenous!AH$25-Exogenous!AH$26)</f>
        <v>10.044084082937973</v>
      </c>
      <c r="Y148" s="20">
        <f>X$148*(Exogenous!AJ$25-Exogenous!AJ$26)/(Exogenous!AI$25-Exogenous!AI$26)</f>
        <v>10.452764231770606</v>
      </c>
      <c r="Z148" s="20">
        <f>Y$148*(Exogenous!AK$25-Exogenous!AK$26)/(Exogenous!AJ$25-Exogenous!AJ$26)</f>
        <v>10.865392180026317</v>
      </c>
    </row>
    <row r="149" spans="1:26" x14ac:dyDescent="0.25">
      <c r="A149" s="12" t="s">
        <v>1218</v>
      </c>
      <c r="B149" s="14" t="str">
        <f>$B$38</f>
        <v>From Fiscal Forecasts</v>
      </c>
      <c r="C149" s="15"/>
      <c r="D149" s="50">
        <f>'Fiscal Forecasts'!D$10-SUM(D$147:D$148)</f>
        <v>1.0369999999999999</v>
      </c>
      <c r="E149" s="50">
        <f>'Fiscal Forecasts'!E$10-SUM(E$147:E$148)</f>
        <v>1.117</v>
      </c>
      <c r="F149" s="50">
        <f>'Fiscal Forecasts'!F$10-SUM(F$147:F$148)</f>
        <v>1.0229999999999997</v>
      </c>
      <c r="G149" s="50">
        <f>'Fiscal Forecasts'!G$10-SUM(G$147:G$148)</f>
        <v>1.1059999999999999</v>
      </c>
      <c r="H149" s="50">
        <f>'Fiscal Forecasts'!H$10-SUM(H$147:H$148)</f>
        <v>1.2599999999999998</v>
      </c>
      <c r="I149" s="50">
        <f>'Fiscal Forecasts'!I$10-SUM(I$147:I$148)</f>
        <v>1.6920000000000002</v>
      </c>
      <c r="J149" s="50">
        <f>'Fiscal Forecasts'!J$10-SUM(J$147:J$148)</f>
        <v>1.8240000000000007</v>
      </c>
      <c r="K149" s="50">
        <f>'Fiscal Forecasts'!K$10-SUM(K$147:K$148)</f>
        <v>1.9770000000000003</v>
      </c>
      <c r="L149" s="48">
        <f>'Fiscal Forecasts'!L$10-SUM(L$147:L$148)</f>
        <v>1.8499999999999996</v>
      </c>
      <c r="M149" s="48">
        <f>'Fiscal Forecasts'!M$10-SUM(M$147:M$148)</f>
        <v>1.9960000000000004</v>
      </c>
      <c r="N149" s="48">
        <f>'Fiscal Forecasts'!N$10-SUM(N$147:N$148)</f>
        <v>2.0900000000000016</v>
      </c>
      <c r="O149" s="48">
        <f>'Fiscal Forecasts'!O$10-SUM(O$147:O$148)</f>
        <v>2.2330000000000005</v>
      </c>
      <c r="P149" s="48">
        <f>'Fiscal Forecasts'!P$10-SUM(P$147:P$148)</f>
        <v>2.4120000000000008</v>
      </c>
      <c r="Q149" s="20">
        <f t="shared" ref="Q149:Z149" ca="1" si="104">P$149*(1+Q$29)</f>
        <v>2.4602400000000006</v>
      </c>
      <c r="R149" s="20">
        <f t="shared" ca="1" si="104"/>
        <v>2.5094448000000007</v>
      </c>
      <c r="S149" s="20">
        <f t="shared" ca="1" si="104"/>
        <v>2.5596336960000006</v>
      </c>
      <c r="T149" s="20">
        <f t="shared" ca="1" si="104"/>
        <v>2.6108263699200007</v>
      </c>
      <c r="U149" s="20">
        <f t="shared" ca="1" si="104"/>
        <v>2.6630428973184008</v>
      </c>
      <c r="V149" s="20">
        <f t="shared" ca="1" si="104"/>
        <v>2.7163037552647689</v>
      </c>
      <c r="W149" s="20">
        <f t="shared" ca="1" si="104"/>
        <v>2.7706298303700643</v>
      </c>
      <c r="X149" s="20">
        <f t="shared" ca="1" si="104"/>
        <v>2.8260424269774655</v>
      </c>
      <c r="Y149" s="20">
        <f t="shared" ca="1" si="104"/>
        <v>2.8825632755170147</v>
      </c>
      <c r="Z149" s="20">
        <f t="shared" ca="1" si="104"/>
        <v>2.940214541027355</v>
      </c>
    </row>
    <row r="150" spans="1:26" x14ac:dyDescent="0.25">
      <c r="A150" s="11" t="s">
        <v>1219</v>
      </c>
      <c r="B150" s="11"/>
      <c r="C150" s="15"/>
      <c r="D150" s="94">
        <f t="shared" ref="D150:Z150" si="105">SUM(D$147:D$149)</f>
        <v>6.0279999999999996</v>
      </c>
      <c r="E150" s="94">
        <f t="shared" si="105"/>
        <v>6.2690000000000001</v>
      </c>
      <c r="F150" s="94">
        <f t="shared" si="105"/>
        <v>7.0380000000000003</v>
      </c>
      <c r="G150" s="94">
        <f t="shared" si="105"/>
        <v>8.8940000000000001</v>
      </c>
      <c r="H150" s="94">
        <f t="shared" si="105"/>
        <v>8.407</v>
      </c>
      <c r="I150" s="94">
        <f t="shared" si="105"/>
        <v>9.4260000000000002</v>
      </c>
      <c r="J150" s="94">
        <f t="shared" si="105"/>
        <v>9.7680000000000007</v>
      </c>
      <c r="K150" s="94">
        <f t="shared" si="105"/>
        <v>10.302</v>
      </c>
      <c r="L150" s="95">
        <f t="shared" si="105"/>
        <v>10.911</v>
      </c>
      <c r="M150" s="95">
        <f t="shared" si="105"/>
        <v>11.522</v>
      </c>
      <c r="N150" s="95">
        <f t="shared" si="105"/>
        <v>11.723000000000001</v>
      </c>
      <c r="O150" s="95">
        <f t="shared" si="105"/>
        <v>12.202999999999999</v>
      </c>
      <c r="P150" s="95">
        <f t="shared" si="105"/>
        <v>12.422000000000001</v>
      </c>
      <c r="Q150" s="96">
        <f t="shared" ca="1" si="105"/>
        <v>13.075297982949122</v>
      </c>
      <c r="R150" s="96">
        <f t="shared" ca="1" si="105"/>
        <v>13.761646305928748</v>
      </c>
      <c r="S150" s="96">
        <f t="shared" ca="1" si="105"/>
        <v>14.467963547810054</v>
      </c>
      <c r="T150" s="96">
        <f t="shared" ca="1" si="105"/>
        <v>15.234173078563948</v>
      </c>
      <c r="U150" s="96">
        <f t="shared" ca="1" si="105"/>
        <v>16.010218107291355</v>
      </c>
      <c r="V150" s="96">
        <f t="shared" ca="1" si="105"/>
        <v>16.572721146562614</v>
      </c>
      <c r="W150" s="96">
        <f t="shared" ca="1" si="105"/>
        <v>17.150544911928744</v>
      </c>
      <c r="X150" s="96">
        <f t="shared" ca="1" si="105"/>
        <v>17.722314771064671</v>
      </c>
      <c r="Y150" s="96">
        <f t="shared" ca="1" si="105"/>
        <v>18.315295731696153</v>
      </c>
      <c r="Z150" s="96">
        <f t="shared" ca="1" si="105"/>
        <v>18.916089260221845</v>
      </c>
    </row>
    <row r="151" spans="1:26" x14ac:dyDescent="0.25">
      <c r="A151" s="12" t="s">
        <v>1220</v>
      </c>
      <c r="B151" s="14" t="str">
        <f>$B$38</f>
        <v>From Fiscal Forecasts</v>
      </c>
      <c r="C151" s="15"/>
      <c r="D151" s="50">
        <f>'Fiscal Forecasts'!D$374</f>
        <v>0</v>
      </c>
      <c r="E151" s="50">
        <f>'Fiscal Forecasts'!E$374</f>
        <v>0</v>
      </c>
      <c r="F151" s="50">
        <f>'Fiscal Forecasts'!F$374</f>
        <v>0.33600000000000002</v>
      </c>
      <c r="G151" s="50">
        <f>'Fiscal Forecasts'!G$374</f>
        <v>2.0960000000000001</v>
      </c>
      <c r="H151" s="50">
        <f>'Fiscal Forecasts'!H$374</f>
        <v>0.83199999999999996</v>
      </c>
      <c r="I151" s="50">
        <f>'Fiscal Forecasts'!I$374</f>
        <v>0.21</v>
      </c>
      <c r="J151" s="50">
        <f>'Fiscal Forecasts'!J$374</f>
        <v>0.26700000000000002</v>
      </c>
      <c r="K151" s="50">
        <f>'Fiscal Forecasts'!K$374</f>
        <v>4.0000000000000001E-3</v>
      </c>
      <c r="L151" s="48">
        <f>'Fiscal Forecasts'!L$374</f>
        <v>0.12</v>
      </c>
      <c r="M151" s="48">
        <f>'Fiscal Forecasts'!M$374</f>
        <v>0.2</v>
      </c>
      <c r="N151" s="48">
        <f>'Fiscal Forecasts'!N$374</f>
        <v>0.14899999999999999</v>
      </c>
      <c r="O151" s="48">
        <f>'Fiscal Forecasts'!O$374</f>
        <v>0.104</v>
      </c>
      <c r="P151" s="48">
        <f>'Fiscal Forecasts'!P$374</f>
        <v>3.6999999999999998E-2</v>
      </c>
      <c r="Q151" s="20">
        <f t="shared" ref="Q151:Z151" si="106">P$151</f>
        <v>3.6999999999999998E-2</v>
      </c>
      <c r="R151" s="20">
        <f t="shared" si="106"/>
        <v>3.6999999999999998E-2</v>
      </c>
      <c r="S151" s="20">
        <f t="shared" si="106"/>
        <v>3.6999999999999998E-2</v>
      </c>
      <c r="T151" s="20">
        <f t="shared" si="106"/>
        <v>3.6999999999999998E-2</v>
      </c>
      <c r="U151" s="20">
        <f t="shared" si="106"/>
        <v>3.6999999999999998E-2</v>
      </c>
      <c r="V151" s="20">
        <f t="shared" si="106"/>
        <v>3.6999999999999998E-2</v>
      </c>
      <c r="W151" s="20">
        <f t="shared" si="106"/>
        <v>3.6999999999999998E-2</v>
      </c>
      <c r="X151" s="20">
        <f t="shared" si="106"/>
        <v>3.6999999999999998E-2</v>
      </c>
      <c r="Y151" s="20">
        <f t="shared" si="106"/>
        <v>3.6999999999999998E-2</v>
      </c>
      <c r="Z151" s="20">
        <f t="shared" si="106"/>
        <v>3.6999999999999998E-2</v>
      </c>
    </row>
    <row r="152" spans="1:26" x14ac:dyDescent="0.25">
      <c r="A152" s="11"/>
      <c r="B152" s="11"/>
      <c r="C152" s="15"/>
      <c r="D152" s="51"/>
      <c r="E152" s="51"/>
      <c r="F152" s="51"/>
      <c r="G152" s="51"/>
      <c r="H152" s="51"/>
      <c r="I152" s="51"/>
      <c r="J152" s="51"/>
      <c r="K152" s="51"/>
      <c r="L152" s="47"/>
      <c r="M152" s="47"/>
      <c r="N152" s="47"/>
      <c r="O152" s="47"/>
      <c r="P152" s="47"/>
      <c r="Q152" s="21"/>
      <c r="R152" s="21"/>
      <c r="S152" s="21"/>
      <c r="T152" s="21"/>
      <c r="U152" s="21"/>
      <c r="V152" s="21"/>
      <c r="W152" s="21"/>
      <c r="X152" s="21"/>
      <c r="Y152" s="21"/>
      <c r="Z152" s="21"/>
    </row>
    <row r="153" spans="1:26" x14ac:dyDescent="0.25">
      <c r="A153" s="11" t="s">
        <v>866</v>
      </c>
      <c r="B153" s="11"/>
      <c r="C153" s="15"/>
      <c r="D153" s="51"/>
      <c r="E153" s="51"/>
      <c r="F153" s="51"/>
      <c r="G153" s="51"/>
      <c r="H153" s="51"/>
      <c r="I153" s="51"/>
      <c r="J153" s="51"/>
      <c r="K153" s="51"/>
      <c r="L153" s="47"/>
      <c r="M153" s="47"/>
      <c r="N153" s="47"/>
      <c r="O153" s="47"/>
      <c r="P153" s="47"/>
      <c r="Q153" s="21"/>
      <c r="R153" s="21"/>
      <c r="S153" s="21"/>
      <c r="T153" s="21"/>
      <c r="U153" s="21"/>
      <c r="V153" s="21"/>
      <c r="W153" s="21"/>
      <c r="X153" s="21"/>
      <c r="Y153" s="21"/>
      <c r="Z153" s="21"/>
    </row>
    <row r="154" spans="1:26" x14ac:dyDescent="0.25">
      <c r="A154" s="11" t="s">
        <v>1221</v>
      </c>
      <c r="B154" s="14" t="str">
        <f>$B$38</f>
        <v>From Fiscal Forecasts</v>
      </c>
      <c r="C154" s="15"/>
      <c r="D154" s="51">
        <f>'Fiscal Forecasts'!D165</f>
        <v>1.583</v>
      </c>
      <c r="E154" s="51">
        <f>'Fiscal Forecasts'!E165</f>
        <v>1.5529999999999999</v>
      </c>
      <c r="F154" s="51">
        <f>'Fiscal Forecasts'!F165</f>
        <v>1.5429999999999999</v>
      </c>
      <c r="G154" s="51">
        <f>'Fiscal Forecasts'!G165</f>
        <v>1.3859999999999999</v>
      </c>
      <c r="H154" s="51">
        <f>'Fiscal Forecasts'!H165</f>
        <v>1.631</v>
      </c>
      <c r="I154" s="51">
        <f>'Fiscal Forecasts'!I165</f>
        <v>1.798</v>
      </c>
      <c r="J154" s="51">
        <f>'Fiscal Forecasts'!J165</f>
        <v>2.004</v>
      </c>
      <c r="K154" s="51">
        <f>'Fiscal Forecasts'!K165</f>
        <v>2.3359999999999999</v>
      </c>
      <c r="L154" s="47">
        <f>'Fiscal Forecasts'!L165</f>
        <v>2.9159999999999999</v>
      </c>
      <c r="M154" s="47">
        <f>'Fiscal Forecasts'!M165</f>
        <v>2.9790000000000001</v>
      </c>
      <c r="N154" s="47">
        <f>'Fiscal Forecasts'!N165</f>
        <v>3.0310000000000001</v>
      </c>
      <c r="O154" s="47">
        <f>'Fiscal Forecasts'!O165</f>
        <v>3.02</v>
      </c>
      <c r="P154" s="47">
        <f>'Fiscal Forecasts'!P165</f>
        <v>3.0350000000000001</v>
      </c>
      <c r="Q154" s="21">
        <f t="shared" ref="Q154:Z154" ca="1" si="107">P$154*(1+Q$19)*(1+Q$29)</f>
        <v>3.1354778349822885</v>
      </c>
      <c r="R154" s="21">
        <f t="shared" ca="1" si="107"/>
        <v>3.2374579591164738</v>
      </c>
      <c r="S154" s="21">
        <f t="shared" ca="1" si="107"/>
        <v>3.34165431760362</v>
      </c>
      <c r="T154" s="21">
        <f t="shared" ca="1" si="107"/>
        <v>3.4470817783555803</v>
      </c>
      <c r="U154" s="21">
        <f t="shared" ca="1" si="107"/>
        <v>3.5555420613404651</v>
      </c>
      <c r="V154" s="21">
        <f t="shared" ca="1" si="107"/>
        <v>3.6661107409021687</v>
      </c>
      <c r="W154" s="21">
        <f t="shared" ca="1" si="107"/>
        <v>3.7760032885418422</v>
      </c>
      <c r="X154" s="21">
        <f t="shared" ca="1" si="107"/>
        <v>3.8882090452444484</v>
      </c>
      <c r="Y154" s="21">
        <f t="shared" ca="1" si="107"/>
        <v>4.0038167803238665</v>
      </c>
      <c r="Z154" s="21">
        <f t="shared" ca="1" si="107"/>
        <v>4.1219567565282773</v>
      </c>
    </row>
    <row r="155" spans="1:26" x14ac:dyDescent="0.25">
      <c r="A155" s="11" t="s">
        <v>1222</v>
      </c>
      <c r="B155" s="14" t="str">
        <f>$B$38</f>
        <v>From Fiscal Forecasts</v>
      </c>
      <c r="C155" s="15"/>
      <c r="D155" s="51">
        <f>'Fiscal Forecasts'!D11</f>
        <v>19.795999999999999</v>
      </c>
      <c r="E155" s="51">
        <f>'Fiscal Forecasts'!E11</f>
        <v>18.437000000000001</v>
      </c>
      <c r="F155" s="51">
        <f>'Fiscal Forecasts'!F11</f>
        <v>18.5</v>
      </c>
      <c r="G155" s="51">
        <f>'Fiscal Forecasts'!G11</f>
        <v>17.442</v>
      </c>
      <c r="H155" s="51">
        <f>'Fiscal Forecasts'!H11</f>
        <v>21.954000000000001</v>
      </c>
      <c r="I155" s="51">
        <f>'Fiscal Forecasts'!I11</f>
        <v>25.135000000000002</v>
      </c>
      <c r="J155" s="51">
        <f>'Fiscal Forecasts'!J11</f>
        <v>26.085000000000001</v>
      </c>
      <c r="K155" s="51">
        <f>'Fiscal Forecasts'!K11</f>
        <v>25.22</v>
      </c>
      <c r="L155" s="47">
        <f>'Fiscal Forecasts'!L11</f>
        <v>26.960999999999999</v>
      </c>
      <c r="M155" s="47">
        <f>'Fiscal Forecasts'!M11</f>
        <v>27.52</v>
      </c>
      <c r="N155" s="47">
        <f>'Fiscal Forecasts'!N11</f>
        <v>28.155999999999999</v>
      </c>
      <c r="O155" s="47">
        <f>'Fiscal Forecasts'!O11</f>
        <v>29.151</v>
      </c>
      <c r="P155" s="47">
        <f>'Fiscal Forecasts'!P11</f>
        <v>29.815999999999999</v>
      </c>
      <c r="Q155" s="21">
        <f t="shared" ref="Q155:Z155" ca="1" si="108">Q$154+(P$155-P$154)*(1+Q$14)</f>
        <v>31.082278581469399</v>
      </c>
      <c r="R155" s="21">
        <f t="shared" ca="1" si="108"/>
        <v>32.373817990717384</v>
      </c>
      <c r="S155" s="21">
        <f t="shared" ca="1" si="108"/>
        <v>33.699088373795036</v>
      </c>
      <c r="T155" s="21">
        <f t="shared" ca="1" si="108"/>
        <v>35.054248490549547</v>
      </c>
      <c r="U155" s="21">
        <f t="shared" ca="1" si="108"/>
        <v>36.456020529544169</v>
      </c>
      <c r="V155" s="21">
        <f t="shared" ca="1" si="108"/>
        <v>37.903940016000107</v>
      </c>
      <c r="W155" s="21">
        <f t="shared" ca="1" si="108"/>
        <v>39.388475508708048</v>
      </c>
      <c r="X155" s="21">
        <f t="shared" ca="1" si="108"/>
        <v>40.914908229707805</v>
      </c>
      <c r="Y155" s="21">
        <f t="shared" ca="1" si="108"/>
        <v>42.491722468210163</v>
      </c>
      <c r="Z155" s="21">
        <f t="shared" ca="1" si="108"/>
        <v>44.118425353902772</v>
      </c>
    </row>
    <row r="156" spans="1:26" x14ac:dyDescent="0.25">
      <c r="A156" s="11"/>
      <c r="B156" s="11"/>
      <c r="C156" s="15"/>
      <c r="D156" s="51"/>
      <c r="E156" s="51"/>
      <c r="F156" s="51"/>
      <c r="G156" s="51"/>
      <c r="H156" s="51"/>
      <c r="I156" s="51"/>
      <c r="J156" s="51"/>
      <c r="K156" s="51"/>
      <c r="L156" s="47"/>
      <c r="M156" s="47"/>
      <c r="N156" s="47"/>
      <c r="O156" s="47"/>
      <c r="P156" s="47"/>
      <c r="Q156" s="21"/>
      <c r="R156" s="21"/>
      <c r="S156" s="21"/>
      <c r="T156" s="21"/>
      <c r="U156" s="21"/>
      <c r="V156" s="21"/>
      <c r="W156" s="21"/>
      <c r="X156" s="21"/>
      <c r="Y156" s="21"/>
      <c r="Z156" s="21"/>
    </row>
    <row r="157" spans="1:26" x14ac:dyDescent="0.25">
      <c r="A157" s="11" t="s">
        <v>867</v>
      </c>
      <c r="B157" s="11"/>
      <c r="C157" s="15"/>
      <c r="D157" s="51"/>
      <c r="E157" s="51"/>
      <c r="F157" s="51"/>
      <c r="G157" s="51"/>
      <c r="H157" s="51"/>
      <c r="I157" s="51"/>
      <c r="J157" s="51"/>
      <c r="K157" s="51"/>
      <c r="L157" s="47"/>
      <c r="M157" s="47"/>
      <c r="N157" s="47"/>
      <c r="O157" s="47"/>
      <c r="P157" s="47"/>
      <c r="Q157" s="21"/>
      <c r="R157" s="21"/>
      <c r="S157" s="21"/>
      <c r="T157" s="21"/>
      <c r="U157" s="21"/>
      <c r="V157" s="21"/>
      <c r="W157" s="21"/>
      <c r="X157" s="21"/>
      <c r="Y157" s="21"/>
      <c r="Z157" s="21"/>
    </row>
    <row r="158" spans="1:26" x14ac:dyDescent="0.25">
      <c r="A158" s="12" t="s">
        <v>1223</v>
      </c>
      <c r="B158" s="11"/>
      <c r="C158" s="15"/>
      <c r="D158" s="50">
        <f ca="1">OFFSET(Assumptions!$B$48,0,$C$1)*D$375</f>
        <v>0.41243999999999997</v>
      </c>
      <c r="E158" s="50">
        <f ca="1">OFFSET(Assumptions!$B$48,0,$C$1)*E$375</f>
        <v>0.33726</v>
      </c>
      <c r="F158" s="50">
        <f ca="1">OFFSET(Assumptions!$B$48,0,$C$1)*F$375</f>
        <v>0.31163999999999997</v>
      </c>
      <c r="G158" s="50">
        <f ca="1">OFFSET(Assumptions!$B$48,0,$C$1)*G$375</f>
        <v>0.45233999999999996</v>
      </c>
      <c r="H158" s="50">
        <f ca="1">OFFSET(Assumptions!$B$48,0,$C$1)*H$375</f>
        <v>0.5544</v>
      </c>
      <c r="I158" s="50">
        <f ca="1">OFFSET(Assumptions!$B$48,0,$C$1)*I$375</f>
        <v>0.69677999999999995</v>
      </c>
      <c r="J158" s="50">
        <f ca="1">OFFSET(Assumptions!$B$48,0,$C$1)*J$375</f>
        <v>0.74927999999999995</v>
      </c>
      <c r="K158" s="50">
        <f ca="1">OFFSET(Assumptions!$B$48,0,$C$1)*K$375</f>
        <v>0.75348000000000004</v>
      </c>
      <c r="L158" s="48">
        <f ca="1">OFFSET(Assumptions!$B$48,0,$C$1)*L$375</f>
        <v>0.74885999999999997</v>
      </c>
      <c r="M158" s="48">
        <f ca="1">OFFSET(Assumptions!$B$48,0,$C$1)*M$375</f>
        <v>0.77532000000000001</v>
      </c>
      <c r="N158" s="48">
        <f ca="1">OFFSET(Assumptions!$B$48,0,$C$1)*N$375</f>
        <v>0.81227999999999989</v>
      </c>
      <c r="O158" s="48">
        <f ca="1">OFFSET(Assumptions!$B$48,0,$C$1)*O$375</f>
        <v>0.84965999999999997</v>
      </c>
      <c r="P158" s="48">
        <f ca="1">OFFSET(Assumptions!$B$48,0,$C$1)*P$375</f>
        <v>0.88913999999999993</v>
      </c>
      <c r="Q158" s="20">
        <f ca="1">OFFSET(Assumptions!$B$48,0,$C$1)*Q$375</f>
        <v>0.95870978269583018</v>
      </c>
      <c r="R158" s="20">
        <f ca="1">OFFSET(Assumptions!$B$48,0,$C$1)*R$375</f>
        <v>1.0175422012160071</v>
      </c>
      <c r="S158" s="20">
        <f ca="1">OFFSET(Assumptions!$B$48,0,$C$1)*S$375</f>
        <v>1.0788136908672246</v>
      </c>
      <c r="T158" s="20">
        <f ca="1">OFFSET(Assumptions!$B$48,0,$C$1)*T$375</f>
        <v>1.1426320853691245</v>
      </c>
      <c r="U158" s="20">
        <f ca="1">OFFSET(Assumptions!$B$48,0,$C$1)*U$375</f>
        <v>1.2090007055569587</v>
      </c>
      <c r="V158" s="20">
        <f ca="1">OFFSET(Assumptions!$B$48,0,$C$1)*V$375</f>
        <v>1.2779762319694714</v>
      </c>
      <c r="W158" s="20">
        <f ca="1">OFFSET(Assumptions!$B$48,0,$C$1)*W$375</f>
        <v>1.3501058732121565</v>
      </c>
      <c r="X158" s="20">
        <f ca="1">OFFSET(Assumptions!$B$48,0,$C$1)*X$375</f>
        <v>1.4260986796114399</v>
      </c>
      <c r="Y158" s="20">
        <f ca="1">OFFSET(Assumptions!$B$48,0,$C$1)*Y$375</f>
        <v>1.5068004336497027</v>
      </c>
      <c r="Z158" s="20">
        <f ca="1">OFFSET(Assumptions!$B$48,0,$C$1)*Z$375</f>
        <v>1.5931502850467707</v>
      </c>
    </row>
    <row r="159" spans="1:26" x14ac:dyDescent="0.25">
      <c r="A159" s="12" t="s">
        <v>1224</v>
      </c>
      <c r="B159" s="11"/>
      <c r="C159" s="15"/>
      <c r="D159" s="50">
        <f t="shared" ref="D159:Z159" si="109">D$404</f>
        <v>0.39400000000000002</v>
      </c>
      <c r="E159" s="50">
        <f t="shared" si="109"/>
        <v>0.33100000000000002</v>
      </c>
      <c r="F159" s="50">
        <f t="shared" si="109"/>
        <v>0.23499999999999999</v>
      </c>
      <c r="G159" s="50">
        <f t="shared" si="109"/>
        <v>0.28000000000000003</v>
      </c>
      <c r="H159" s="50">
        <f t="shared" si="109"/>
        <v>0.57699999999999996</v>
      </c>
      <c r="I159" s="50">
        <f t="shared" si="109"/>
        <v>0.63400000000000001</v>
      </c>
      <c r="J159" s="50">
        <f t="shared" si="109"/>
        <v>0.49199999999999999</v>
      </c>
      <c r="K159" s="50">
        <f t="shared" si="109"/>
        <v>0.311</v>
      </c>
      <c r="L159" s="48">
        <f t="shared" si="109"/>
        <v>0.36299999999999999</v>
      </c>
      <c r="M159" s="48">
        <f t="shared" si="109"/>
        <v>0.44600000000000001</v>
      </c>
      <c r="N159" s="48">
        <f t="shared" si="109"/>
        <v>0.47399999999999998</v>
      </c>
      <c r="O159" s="48">
        <f t="shared" si="109"/>
        <v>0.501</v>
      </c>
      <c r="P159" s="48">
        <f t="shared" si="109"/>
        <v>0.52600000000000002</v>
      </c>
      <c r="Q159" s="20">
        <f t="shared" si="109"/>
        <v>0.56899999999999995</v>
      </c>
      <c r="R159" s="20">
        <f t="shared" si="109"/>
        <v>0.60499999999999998</v>
      </c>
      <c r="S159" s="20">
        <f t="shared" si="109"/>
        <v>0.63900000000000001</v>
      </c>
      <c r="T159" s="20">
        <f t="shared" si="109"/>
        <v>0.67</v>
      </c>
      <c r="U159" s="20">
        <f t="shared" si="109"/>
        <v>0.69899999999999995</v>
      </c>
      <c r="V159" s="20">
        <f t="shared" si="109"/>
        <v>0.72899999999999998</v>
      </c>
      <c r="W159" s="20">
        <f t="shared" si="109"/>
        <v>0.75900000000000001</v>
      </c>
      <c r="X159" s="20">
        <f t="shared" si="109"/>
        <v>0.79100000000000004</v>
      </c>
      <c r="Y159" s="20">
        <f t="shared" si="109"/>
        <v>0.82399999999999995</v>
      </c>
      <c r="Z159" s="20">
        <f t="shared" si="109"/>
        <v>0.85699999999999998</v>
      </c>
    </row>
    <row r="160" spans="1:26" x14ac:dyDescent="0.25">
      <c r="A160" s="12" t="s">
        <v>1225</v>
      </c>
      <c r="B160" s="14" t="str">
        <f>$B$38</f>
        <v>From Fiscal Forecasts</v>
      </c>
      <c r="C160" s="15"/>
      <c r="D160" s="50">
        <f ca="1">'Fiscal Forecasts'!D$166-SUM(D$158:D$159)</f>
        <v>0.25356000000000001</v>
      </c>
      <c r="E160" s="50">
        <f ca="1">'Fiscal Forecasts'!E$166-SUM(E$158:E$159)</f>
        <v>0.1817399999999999</v>
      </c>
      <c r="F160" s="50">
        <f ca="1">'Fiscal Forecasts'!F$166-SUM(F$158:F$159)</f>
        <v>0.16935999999999996</v>
      </c>
      <c r="G160" s="50">
        <f ca="1">'Fiscal Forecasts'!G$166-SUM(G$158:G$159)</f>
        <v>0.12565999999999999</v>
      </c>
      <c r="H160" s="50">
        <f ca="1">'Fiscal Forecasts'!H$166-SUM(H$158:H$159)</f>
        <v>1.7306000000000001</v>
      </c>
      <c r="I160" s="50">
        <f ca="1">'Fiscal Forecasts'!I$166-SUM(I$158:I$159)</f>
        <v>3.11022</v>
      </c>
      <c r="J160" s="50">
        <f ca="1">'Fiscal Forecasts'!J$166-SUM(J$158:J$159)</f>
        <v>2.9477200000000003</v>
      </c>
      <c r="K160" s="50">
        <f ca="1">'Fiscal Forecasts'!K$166-SUM(K$158:K$159)</f>
        <v>2.45452</v>
      </c>
      <c r="L160" s="48">
        <f ca="1">'Fiscal Forecasts'!L$166-SUM(L$158:L$159)</f>
        <v>2.9171399999999998</v>
      </c>
      <c r="M160" s="48">
        <f ca="1">'Fiscal Forecasts'!M$166-SUM(M$158:M$159)</f>
        <v>3.2346800000000004</v>
      </c>
      <c r="N160" s="48">
        <f ca="1">'Fiscal Forecasts'!N$166-SUM(N$158:N$159)</f>
        <v>3.42272</v>
      </c>
      <c r="O160" s="48">
        <f ca="1">'Fiscal Forecasts'!O$166-SUM(O$158:O$159)</f>
        <v>3.8523400000000003</v>
      </c>
      <c r="P160" s="48">
        <f ca="1">'Fiscal Forecasts'!P$166-SUM(P$158:P$159)</f>
        <v>3.8328600000000002</v>
      </c>
      <c r="Q160" s="20">
        <f t="shared" ref="Q160:Z160" ca="1" si="110">P$160*(1+Q$29)*Q$30/P$30</f>
        <v>3.9095172000000002</v>
      </c>
      <c r="R160" s="20">
        <f t="shared" ca="1" si="110"/>
        <v>3.9877075440000005</v>
      </c>
      <c r="S160" s="20">
        <f t="shared" ca="1" si="110"/>
        <v>4.0674616948800004</v>
      </c>
      <c r="T160" s="20">
        <f t="shared" ca="1" si="110"/>
        <v>4.1488109287776007</v>
      </c>
      <c r="U160" s="20">
        <f t="shared" ca="1" si="110"/>
        <v>4.2317871473531525</v>
      </c>
      <c r="V160" s="20">
        <f t="shared" ca="1" si="110"/>
        <v>4.316422890300216</v>
      </c>
      <c r="W160" s="20">
        <f t="shared" ca="1" si="110"/>
        <v>4.4027513481062206</v>
      </c>
      <c r="X160" s="20">
        <f t="shared" ca="1" si="110"/>
        <v>4.4908063750683453</v>
      </c>
      <c r="Y160" s="20">
        <f t="shared" ca="1" si="110"/>
        <v>4.580622502569712</v>
      </c>
      <c r="Z160" s="20">
        <f t="shared" ca="1" si="110"/>
        <v>4.672234952621106</v>
      </c>
    </row>
    <row r="161" spans="1:26" x14ac:dyDescent="0.25">
      <c r="A161" s="11" t="s">
        <v>1226</v>
      </c>
      <c r="B161" s="11"/>
      <c r="C161" s="15"/>
      <c r="D161" s="94">
        <f t="shared" ref="D161:Z161" ca="1" si="111">SUM(D$158:D$160)</f>
        <v>1.06</v>
      </c>
      <c r="E161" s="94">
        <f t="shared" ca="1" si="111"/>
        <v>0.85</v>
      </c>
      <c r="F161" s="94">
        <f t="shared" ca="1" si="111"/>
        <v>0.71599999999999997</v>
      </c>
      <c r="G161" s="94">
        <f t="shared" ca="1" si="111"/>
        <v>0.85799999999999998</v>
      </c>
      <c r="H161" s="94">
        <f t="shared" ca="1" si="111"/>
        <v>2.8620000000000001</v>
      </c>
      <c r="I161" s="94">
        <f t="shared" ca="1" si="111"/>
        <v>4.4409999999999998</v>
      </c>
      <c r="J161" s="94">
        <f t="shared" ca="1" si="111"/>
        <v>4.1890000000000001</v>
      </c>
      <c r="K161" s="94">
        <f t="shared" ca="1" si="111"/>
        <v>3.5190000000000001</v>
      </c>
      <c r="L161" s="95">
        <f t="shared" ca="1" si="111"/>
        <v>4.0289999999999999</v>
      </c>
      <c r="M161" s="95">
        <f t="shared" ca="1" si="111"/>
        <v>4.4560000000000004</v>
      </c>
      <c r="N161" s="95">
        <f t="shared" ca="1" si="111"/>
        <v>4.7089999999999996</v>
      </c>
      <c r="O161" s="95">
        <f t="shared" ca="1" si="111"/>
        <v>5.2030000000000003</v>
      </c>
      <c r="P161" s="95">
        <f t="shared" ca="1" si="111"/>
        <v>5.2480000000000002</v>
      </c>
      <c r="Q161" s="96">
        <f t="shared" ca="1" si="111"/>
        <v>5.4372269826958304</v>
      </c>
      <c r="R161" s="96">
        <f t="shared" ca="1" si="111"/>
        <v>5.6102497452160076</v>
      </c>
      <c r="S161" s="96">
        <f t="shared" ca="1" si="111"/>
        <v>5.7852753857472248</v>
      </c>
      <c r="T161" s="96">
        <f t="shared" ca="1" si="111"/>
        <v>5.9614430141467256</v>
      </c>
      <c r="U161" s="96">
        <f t="shared" ca="1" si="111"/>
        <v>6.1397878529101106</v>
      </c>
      <c r="V161" s="96">
        <f t="shared" ca="1" si="111"/>
        <v>6.3233991222696879</v>
      </c>
      <c r="W161" s="96">
        <f t="shared" ca="1" si="111"/>
        <v>6.511857221318377</v>
      </c>
      <c r="X161" s="96">
        <f t="shared" ca="1" si="111"/>
        <v>6.7079050546797854</v>
      </c>
      <c r="Y161" s="96">
        <f t="shared" ca="1" si="111"/>
        <v>6.9114229362194148</v>
      </c>
      <c r="Z161" s="96">
        <f t="shared" ca="1" si="111"/>
        <v>7.1223852376678769</v>
      </c>
    </row>
    <row r="162" spans="1:26" x14ac:dyDescent="0.25">
      <c r="A162" s="12" t="s">
        <v>1020</v>
      </c>
      <c r="B162" s="14" t="str">
        <f>$B$38</f>
        <v>From Fiscal Forecasts</v>
      </c>
      <c r="C162" s="15"/>
      <c r="D162" s="50">
        <f>'Fiscal Forecasts'!D$233</f>
        <v>1.016</v>
      </c>
      <c r="E162" s="50">
        <f>'Fiscal Forecasts'!E$233</f>
        <v>0.94699999999999995</v>
      </c>
      <c r="F162" s="50">
        <f>'Fiscal Forecasts'!F$233</f>
        <v>0.78500000000000003</v>
      </c>
      <c r="G162" s="50">
        <f>'Fiscal Forecasts'!G$233</f>
        <v>0.82699999999999996</v>
      </c>
      <c r="H162" s="50">
        <f>'Fiscal Forecasts'!H$233</f>
        <v>2.097</v>
      </c>
      <c r="I162" s="50">
        <f>'Fiscal Forecasts'!I$233</f>
        <v>3.56</v>
      </c>
      <c r="J162" s="50">
        <f>'Fiscal Forecasts'!J$233</f>
        <v>4.0990000000000002</v>
      </c>
      <c r="K162" s="50">
        <f>'Fiscal Forecasts'!K$233</f>
        <v>3.9359999999999999</v>
      </c>
      <c r="L162" s="48">
        <f>'Fiscal Forecasts'!L$233</f>
        <v>4.0650000000000004</v>
      </c>
      <c r="M162" s="48">
        <f>'Fiscal Forecasts'!M$233</f>
        <v>4.51</v>
      </c>
      <c r="N162" s="48">
        <f>'Fiscal Forecasts'!N$233</f>
        <v>5.0789999999999997</v>
      </c>
      <c r="O162" s="48">
        <f>'Fiscal Forecasts'!O$233</f>
        <v>5.67</v>
      </c>
      <c r="P162" s="48">
        <f>'Fiscal Forecasts'!P$233</f>
        <v>6.1879999999999997</v>
      </c>
      <c r="Q162" s="20">
        <f ca="1">P$162*AVERAGE(1+Q$29,1+Exogenous!AB$31)</f>
        <v>6.4123297845524876</v>
      </c>
      <c r="R162" s="20">
        <f ca="1">Q$162*AVERAGE(1+R$29,1+Exogenous!AC$31)</f>
        <v>6.6479753701309878</v>
      </c>
      <c r="S162" s="20">
        <f ca="1">R$162*AVERAGE(1+S$29,1+Exogenous!AD$31)</f>
        <v>6.8950297789393744</v>
      </c>
      <c r="T162" s="20">
        <f ca="1">S$162*AVERAGE(1+T$29,1+Exogenous!AE$31)</f>
        <v>7.1534370794288984</v>
      </c>
      <c r="U162" s="20">
        <f ca="1">T$162*AVERAGE(1+U$29,1+Exogenous!AF$31)</f>
        <v>7.4224234327580669</v>
      </c>
      <c r="V162" s="20">
        <f ca="1">U$162*AVERAGE(1+V$29,1+Exogenous!AG$31)</f>
        <v>7.7016293009972374</v>
      </c>
      <c r="W162" s="20">
        <f ca="1">V$162*AVERAGE(1+W$29,1+Exogenous!AH$31)</f>
        <v>7.9913956994938786</v>
      </c>
      <c r="X162" s="20">
        <f ca="1">W$162*AVERAGE(1+X$29,1+Exogenous!AI$31)</f>
        <v>8.2921328172627824</v>
      </c>
      <c r="Y162" s="20">
        <f ca="1">X$162*AVERAGE(1+Y$29,1+Exogenous!AJ$31)</f>
        <v>8.6042488552918179</v>
      </c>
      <c r="Z162" s="20">
        <f ca="1">Y$162*AVERAGE(1+Z$29,1+Exogenous!AK$31)</f>
        <v>8.9281645934371223</v>
      </c>
    </row>
    <row r="163" spans="1:26" x14ac:dyDescent="0.25">
      <c r="A163" s="12" t="s">
        <v>1227</v>
      </c>
      <c r="B163" s="14" t="str">
        <f>$B$38</f>
        <v>From Fiscal Forecasts</v>
      </c>
      <c r="C163" s="15"/>
      <c r="D163" s="50">
        <f>'Fiscal Forecasts'!D$234</f>
        <v>1.014</v>
      </c>
      <c r="E163" s="50">
        <f>'Fiscal Forecasts'!E$234</f>
        <v>0.95299999999999996</v>
      </c>
      <c r="F163" s="50">
        <f>'Fiscal Forecasts'!F$234</f>
        <v>0.79100000000000004</v>
      </c>
      <c r="G163" s="50">
        <f>'Fiscal Forecasts'!G$234</f>
        <v>0.95699999999999996</v>
      </c>
      <c r="H163" s="50">
        <f>'Fiscal Forecasts'!H$234</f>
        <v>0.67500000000000004</v>
      </c>
      <c r="I163" s="50">
        <f>'Fiscal Forecasts'!I$234</f>
        <v>0.22800000000000001</v>
      </c>
      <c r="J163" s="50">
        <f>'Fiscal Forecasts'!J$234</f>
        <v>0.16200000000000001</v>
      </c>
      <c r="K163" s="50">
        <f>'Fiscal Forecasts'!K$234</f>
        <v>0.114</v>
      </c>
      <c r="L163" s="48">
        <f>'Fiscal Forecasts'!L$234</f>
        <v>7.8E-2</v>
      </c>
      <c r="M163" s="48">
        <f>'Fiscal Forecasts'!M$234</f>
        <v>8.4000000000000005E-2</v>
      </c>
      <c r="N163" s="48">
        <f>'Fiscal Forecasts'!N$234</f>
        <v>8.6999999999999994E-2</v>
      </c>
      <c r="O163" s="48">
        <f>'Fiscal Forecasts'!O$234</f>
        <v>9.4E-2</v>
      </c>
      <c r="P163" s="48">
        <f>'Fiscal Forecasts'!P$234</f>
        <v>0.106</v>
      </c>
      <c r="Q163" s="20">
        <f t="shared" ref="Q163:Z163" ca="1" si="112">P$163*(1+Q$29)</f>
        <v>0.10811999999999999</v>
      </c>
      <c r="R163" s="20">
        <f t="shared" ca="1" si="112"/>
        <v>0.11028239999999999</v>
      </c>
      <c r="S163" s="20">
        <f t="shared" ca="1" si="112"/>
        <v>0.11248804799999999</v>
      </c>
      <c r="T163" s="20">
        <f t="shared" ca="1" si="112"/>
        <v>0.11473780895999999</v>
      </c>
      <c r="U163" s="20">
        <f t="shared" ca="1" si="112"/>
        <v>0.11703256513919999</v>
      </c>
      <c r="V163" s="20">
        <f t="shared" ca="1" si="112"/>
        <v>0.119373216441984</v>
      </c>
      <c r="W163" s="20">
        <f t="shared" ca="1" si="112"/>
        <v>0.12176068077082368</v>
      </c>
      <c r="X163" s="20">
        <f t="shared" ca="1" si="112"/>
        <v>0.12419589438624015</v>
      </c>
      <c r="Y163" s="20">
        <f t="shared" ca="1" si="112"/>
        <v>0.12667981227396496</v>
      </c>
      <c r="Z163" s="20">
        <f t="shared" ca="1" si="112"/>
        <v>0.12921340851944427</v>
      </c>
    </row>
    <row r="164" spans="1:26" x14ac:dyDescent="0.25">
      <c r="A164" s="12" t="s">
        <v>1228</v>
      </c>
      <c r="B164" s="14" t="str">
        <f>$B$38</f>
        <v>From Fiscal Forecasts</v>
      </c>
      <c r="C164" s="15"/>
      <c r="D164" s="50">
        <f>'Fiscal Forecasts'!D$235</f>
        <v>-0.44400000000000001</v>
      </c>
      <c r="E164" s="50">
        <f>'Fiscal Forecasts'!E$235</f>
        <v>-0.45</v>
      </c>
      <c r="F164" s="50">
        <f>'Fiscal Forecasts'!F$235</f>
        <v>-0.34899999999999998</v>
      </c>
      <c r="G164" s="50">
        <f>'Fiscal Forecasts'!G$235</f>
        <v>-0.35</v>
      </c>
      <c r="H164" s="50">
        <f>'Fiscal Forecasts'!H$235</f>
        <v>-0.622</v>
      </c>
      <c r="I164" s="50">
        <f>'Fiscal Forecasts'!I$235</f>
        <v>-1.109</v>
      </c>
      <c r="J164" s="50">
        <f>'Fiscal Forecasts'!J$235</f>
        <v>-1.411</v>
      </c>
      <c r="K164" s="50">
        <f>'Fiscal Forecasts'!K$235</f>
        <v>-1.585</v>
      </c>
      <c r="L164" s="48">
        <f>'Fiscal Forecasts'!L$235</f>
        <v>-1.6859999999999999</v>
      </c>
      <c r="M164" s="48">
        <f>'Fiscal Forecasts'!M$235</f>
        <v>-1.847</v>
      </c>
      <c r="N164" s="48">
        <f>'Fiscal Forecasts'!N$235</f>
        <v>-1.958</v>
      </c>
      <c r="O164" s="48">
        <f>'Fiscal Forecasts'!O$235</f>
        <v>-2.0409999999999999</v>
      </c>
      <c r="P164" s="48">
        <f>'Fiscal Forecasts'!P$235</f>
        <v>-2.1429999999999998</v>
      </c>
      <c r="Q164" s="20">
        <f t="shared" ref="Q164:Z164" ca="1" si="113">P$164*Q$162/P$162</f>
        <v>-2.2206888701189365</v>
      </c>
      <c r="R164" s="20">
        <f t="shared" ca="1" si="113"/>
        <v>-2.3022965769538954</v>
      </c>
      <c r="S164" s="20">
        <f t="shared" ca="1" si="113"/>
        <v>-2.387855335531202</v>
      </c>
      <c r="T164" s="20">
        <f t="shared" ca="1" si="113"/>
        <v>-2.4773457758914232</v>
      </c>
      <c r="U164" s="20">
        <f t="shared" ca="1" si="113"/>
        <v>-2.5704999056885161</v>
      </c>
      <c r="V164" s="20">
        <f t="shared" ca="1" si="113"/>
        <v>-2.6671932113828505</v>
      </c>
      <c r="W164" s="20">
        <f t="shared" ca="1" si="113"/>
        <v>-2.7675437918576891</v>
      </c>
      <c r="X164" s="20">
        <f t="shared" ca="1" si="113"/>
        <v>-2.8716937019059698</v>
      </c>
      <c r="Y164" s="20">
        <f t="shared" ca="1" si="113"/>
        <v>-2.9797843078361934</v>
      </c>
      <c r="Z164" s="20">
        <f t="shared" ca="1" si="113"/>
        <v>-3.091961332213276</v>
      </c>
    </row>
    <row r="165" spans="1:26" x14ac:dyDescent="0.25">
      <c r="A165" s="11" t="s">
        <v>1229</v>
      </c>
      <c r="B165" s="11"/>
      <c r="C165" s="15"/>
      <c r="D165" s="94">
        <f t="shared" ref="D165:Z165" ca="1" si="114">SUM(D$161:D$164)</f>
        <v>2.6459999999999999</v>
      </c>
      <c r="E165" s="94">
        <f t="shared" ca="1" si="114"/>
        <v>2.2999999999999998</v>
      </c>
      <c r="F165" s="94">
        <f t="shared" ca="1" si="114"/>
        <v>1.9429999999999998</v>
      </c>
      <c r="G165" s="94">
        <f t="shared" ca="1" si="114"/>
        <v>2.2919999999999998</v>
      </c>
      <c r="H165" s="94">
        <f t="shared" ca="1" si="114"/>
        <v>5.0119999999999996</v>
      </c>
      <c r="I165" s="94">
        <f t="shared" ca="1" si="114"/>
        <v>7.1199999999999992</v>
      </c>
      <c r="J165" s="94">
        <f t="shared" ca="1" si="114"/>
        <v>7.0390000000000015</v>
      </c>
      <c r="K165" s="94">
        <f t="shared" ca="1" si="114"/>
        <v>5.984</v>
      </c>
      <c r="L165" s="95">
        <f t="shared" ca="1" si="114"/>
        <v>6.4860000000000007</v>
      </c>
      <c r="M165" s="95">
        <f t="shared" ca="1" si="114"/>
        <v>7.2030000000000012</v>
      </c>
      <c r="N165" s="95">
        <f t="shared" ca="1" si="114"/>
        <v>7.9169999999999998</v>
      </c>
      <c r="O165" s="95">
        <f t="shared" ca="1" si="114"/>
        <v>8.9260000000000002</v>
      </c>
      <c r="P165" s="95">
        <f t="shared" ca="1" si="114"/>
        <v>9.3990000000000009</v>
      </c>
      <c r="Q165" s="96">
        <f t="shared" ca="1" si="114"/>
        <v>9.7369878971293815</v>
      </c>
      <c r="R165" s="96">
        <f t="shared" ca="1" si="114"/>
        <v>10.066210938393098</v>
      </c>
      <c r="S165" s="96">
        <f t="shared" ca="1" si="114"/>
        <v>10.404937877155398</v>
      </c>
      <c r="T165" s="96">
        <f t="shared" ca="1" si="114"/>
        <v>10.752272126644201</v>
      </c>
      <c r="U165" s="96">
        <f t="shared" ca="1" si="114"/>
        <v>11.10874394511886</v>
      </c>
      <c r="V165" s="96">
        <f t="shared" ca="1" si="114"/>
        <v>11.477208428326058</v>
      </c>
      <c r="W165" s="96">
        <f t="shared" ca="1" si="114"/>
        <v>11.857469809725389</v>
      </c>
      <c r="X165" s="96">
        <f t="shared" ca="1" si="114"/>
        <v>12.252540064422837</v>
      </c>
      <c r="Y165" s="96">
        <f t="shared" ca="1" si="114"/>
        <v>12.662567295949003</v>
      </c>
      <c r="Z165" s="96">
        <f t="shared" ca="1" si="114"/>
        <v>13.087801907411166</v>
      </c>
    </row>
    <row r="166" spans="1:26" x14ac:dyDescent="0.25">
      <c r="A166" s="11"/>
      <c r="B166" s="11"/>
      <c r="C166" s="15"/>
      <c r="D166" s="91"/>
      <c r="E166" s="91"/>
      <c r="F166" s="91"/>
      <c r="G166" s="91"/>
      <c r="H166" s="91"/>
      <c r="I166" s="91"/>
      <c r="J166" s="91"/>
      <c r="K166" s="91"/>
    </row>
    <row r="167" spans="1:26" x14ac:dyDescent="0.25">
      <c r="A167" s="11" t="s">
        <v>1230</v>
      </c>
      <c r="B167" s="11"/>
      <c r="C167" s="15"/>
      <c r="D167" s="91"/>
      <c r="E167" s="91"/>
      <c r="F167" s="91"/>
      <c r="G167" s="91"/>
      <c r="H167" s="91"/>
      <c r="I167" s="91"/>
      <c r="J167" s="91"/>
      <c r="K167" s="91"/>
    </row>
    <row r="168" spans="1:26" x14ac:dyDescent="0.25">
      <c r="A168" s="12" t="s">
        <v>1231</v>
      </c>
      <c r="B168" s="11"/>
      <c r="C168" s="15"/>
      <c r="D168" s="50">
        <f ca="1">OFFSET(Assumptions!$B$49,0,$C$1)*D$375</f>
        <v>0.5597399999999999</v>
      </c>
      <c r="E168" s="50">
        <f ca="1">OFFSET(Assumptions!$B$49,0,$C$1)*E$375</f>
        <v>0.45771000000000001</v>
      </c>
      <c r="F168" s="50">
        <f ca="1">OFFSET(Assumptions!$B$49,0,$C$1)*F$375</f>
        <v>0.42293999999999998</v>
      </c>
      <c r="G168" s="50">
        <f ca="1">OFFSET(Assumptions!$B$49,0,$C$1)*G$375</f>
        <v>0.61388999999999994</v>
      </c>
      <c r="H168" s="50">
        <f ca="1">OFFSET(Assumptions!$B$49,0,$C$1)*H$375</f>
        <v>0.75239999999999996</v>
      </c>
      <c r="I168" s="50">
        <f ca="1">OFFSET(Assumptions!$B$49,0,$C$1)*I$375</f>
        <v>0.94562999999999997</v>
      </c>
      <c r="J168" s="50">
        <f ca="1">OFFSET(Assumptions!$B$49,0,$C$1)*J$375</f>
        <v>1.01688</v>
      </c>
      <c r="K168" s="50">
        <f ca="1">OFFSET(Assumptions!$B$49,0,$C$1)*K$375</f>
        <v>1.02258</v>
      </c>
      <c r="L168" s="48">
        <f ca="1">OFFSET(Assumptions!$B$49,0,$C$1)*L$375</f>
        <v>1.0163099999999998</v>
      </c>
      <c r="M168" s="48">
        <f ca="1">OFFSET(Assumptions!$B$49,0,$C$1)*M$375</f>
        <v>1.0522199999999999</v>
      </c>
      <c r="N168" s="48">
        <f ca="1">OFFSET(Assumptions!$B$49,0,$C$1)*N$375</f>
        <v>1.1023799999999999</v>
      </c>
      <c r="O168" s="48">
        <f ca="1">OFFSET(Assumptions!$B$49,0,$C$1)*O$375</f>
        <v>1.1531100000000001</v>
      </c>
      <c r="P168" s="48">
        <f ca="1">OFFSET(Assumptions!$B$49,0,$C$1)*P$375</f>
        <v>1.2066899999999998</v>
      </c>
      <c r="Q168" s="20">
        <f ca="1">OFFSET(Assumptions!$B$49,0,$C$1)*Q$375</f>
        <v>1.3011061336586267</v>
      </c>
      <c r="R168" s="20">
        <f ca="1">OFFSET(Assumptions!$B$49,0,$C$1)*R$375</f>
        <v>1.3809501302217237</v>
      </c>
      <c r="S168" s="20">
        <f ca="1">OFFSET(Assumptions!$B$49,0,$C$1)*S$375</f>
        <v>1.4641042947483762</v>
      </c>
      <c r="T168" s="20">
        <f ca="1">OFFSET(Assumptions!$B$49,0,$C$1)*T$375</f>
        <v>1.5507149730009546</v>
      </c>
      <c r="U168" s="20">
        <f ca="1">OFFSET(Assumptions!$B$49,0,$C$1)*U$375</f>
        <v>1.640786671827301</v>
      </c>
      <c r="V168" s="20">
        <f ca="1">OFFSET(Assumptions!$B$49,0,$C$1)*V$375</f>
        <v>1.7343963148157111</v>
      </c>
      <c r="W168" s="20">
        <f ca="1">OFFSET(Assumptions!$B$49,0,$C$1)*W$375</f>
        <v>1.832286542216498</v>
      </c>
      <c r="X168" s="20">
        <f ca="1">OFFSET(Assumptions!$B$49,0,$C$1)*X$375</f>
        <v>1.9354196366155254</v>
      </c>
      <c r="Y168" s="20">
        <f ca="1">OFFSET(Assumptions!$B$49,0,$C$1)*Y$375</f>
        <v>2.0449434456674536</v>
      </c>
      <c r="Z168" s="20">
        <f ca="1">OFFSET(Assumptions!$B$49,0,$C$1)*Z$375</f>
        <v>2.1621325297063314</v>
      </c>
    </row>
    <row r="169" spans="1:26" x14ac:dyDescent="0.25">
      <c r="A169" s="12" t="s">
        <v>1232</v>
      </c>
      <c r="B169" s="14" t="str">
        <f>$B$38</f>
        <v>From Fiscal Forecasts</v>
      </c>
      <c r="C169" s="15"/>
      <c r="D169" s="50">
        <f ca="1">'Fiscal Forecasts'!D$238-D$168</f>
        <v>0.90326000000000017</v>
      </c>
      <c r="E169" s="50">
        <f ca="1">'Fiscal Forecasts'!E$238-E$168</f>
        <v>0.87829000000000002</v>
      </c>
      <c r="F169" s="50">
        <f ca="1">'Fiscal Forecasts'!F$238-F$168</f>
        <v>0.6710600000000001</v>
      </c>
      <c r="G169" s="50">
        <f ca="1">'Fiscal Forecasts'!G$238-G$168</f>
        <v>0.77711000000000008</v>
      </c>
      <c r="H169" s="50">
        <f ca="1">'Fiscal Forecasts'!H$238-H$168</f>
        <v>1.3356000000000001</v>
      </c>
      <c r="I169" s="50">
        <f ca="1">'Fiscal Forecasts'!I$238-I$168</f>
        <v>0.76236999999999999</v>
      </c>
      <c r="J169" s="50">
        <f ca="1">'Fiscal Forecasts'!J$238-J$168</f>
        <v>0.68711999999999995</v>
      </c>
      <c r="K169" s="50">
        <f ca="1">'Fiscal Forecasts'!K$238-K$168</f>
        <v>0.75941999999999998</v>
      </c>
      <c r="L169" s="48">
        <f ca="1">'Fiscal Forecasts'!L$238-L$168</f>
        <v>0.67469000000000023</v>
      </c>
      <c r="M169" s="48">
        <f ca="1">'Fiscal Forecasts'!M$238-M$168</f>
        <v>0.74378000000000011</v>
      </c>
      <c r="N169" s="48">
        <f ca="1">'Fiscal Forecasts'!N$238-N$168</f>
        <v>0.86462000000000017</v>
      </c>
      <c r="O169" s="48">
        <f ca="1">'Fiscal Forecasts'!O$238-O$168</f>
        <v>0.99089000000000005</v>
      </c>
      <c r="P169" s="48">
        <f ca="1">'Fiscal Forecasts'!P$238-P$168</f>
        <v>1.1223100000000004</v>
      </c>
      <c r="Q169" s="20">
        <f t="shared" ref="Q169:Z169" ca="1" si="115">P$169*(1+Q$19)*(1+Q$29)</f>
        <v>1.1594656108662185</v>
      </c>
      <c r="R169" s="20">
        <f t="shared" ca="1" si="115"/>
        <v>1.197176751926198</v>
      </c>
      <c r="S169" s="20">
        <f t="shared" ca="1" si="115"/>
        <v>1.2357074323524615</v>
      </c>
      <c r="T169" s="20">
        <f t="shared" ca="1" si="115"/>
        <v>1.2746933610102975</v>
      </c>
      <c r="U169" s="20">
        <f t="shared" ca="1" si="115"/>
        <v>1.3148007943535485</v>
      </c>
      <c r="V169" s="20">
        <f t="shared" ca="1" si="115"/>
        <v>1.3556878898260019</v>
      </c>
      <c r="W169" s="20">
        <f t="shared" ca="1" si="115"/>
        <v>1.3963249590653699</v>
      </c>
      <c r="X169" s="20">
        <f t="shared" ca="1" si="115"/>
        <v>1.4378174278643492</v>
      </c>
      <c r="Y169" s="20">
        <f t="shared" ca="1" si="115"/>
        <v>1.4805679112768639</v>
      </c>
      <c r="Z169" s="20">
        <f t="shared" ca="1" si="115"/>
        <v>1.5242547899239718</v>
      </c>
    </row>
    <row r="170" spans="1:26" x14ac:dyDescent="0.25">
      <c r="A170" s="11" t="s">
        <v>1233</v>
      </c>
      <c r="B170" s="14"/>
      <c r="C170" s="15"/>
      <c r="D170" s="94">
        <f t="shared" ref="D170:Z170" ca="1" si="116">SUM(D$168:D$169)</f>
        <v>1.4630000000000001</v>
      </c>
      <c r="E170" s="94">
        <f t="shared" ca="1" si="116"/>
        <v>1.3360000000000001</v>
      </c>
      <c r="F170" s="94">
        <f t="shared" ca="1" si="116"/>
        <v>1.0940000000000001</v>
      </c>
      <c r="G170" s="94">
        <f t="shared" ca="1" si="116"/>
        <v>1.391</v>
      </c>
      <c r="H170" s="94">
        <f t="shared" ca="1" si="116"/>
        <v>2.0880000000000001</v>
      </c>
      <c r="I170" s="94">
        <f t="shared" ca="1" si="116"/>
        <v>1.708</v>
      </c>
      <c r="J170" s="94">
        <f t="shared" ca="1" si="116"/>
        <v>1.704</v>
      </c>
      <c r="K170" s="94">
        <f t="shared" ca="1" si="116"/>
        <v>1.782</v>
      </c>
      <c r="L170" s="95">
        <f t="shared" ca="1" si="116"/>
        <v>1.6910000000000001</v>
      </c>
      <c r="M170" s="95">
        <f t="shared" ca="1" si="116"/>
        <v>1.796</v>
      </c>
      <c r="N170" s="95">
        <f t="shared" ca="1" si="116"/>
        <v>1.9670000000000001</v>
      </c>
      <c r="O170" s="95">
        <f t="shared" ca="1" si="116"/>
        <v>2.1440000000000001</v>
      </c>
      <c r="P170" s="95">
        <f t="shared" ca="1" si="116"/>
        <v>2.3290000000000002</v>
      </c>
      <c r="Q170" s="96">
        <f t="shared" ca="1" si="116"/>
        <v>2.4605717445248452</v>
      </c>
      <c r="R170" s="96">
        <f t="shared" ca="1" si="116"/>
        <v>2.578126882147922</v>
      </c>
      <c r="S170" s="96">
        <f t="shared" ca="1" si="116"/>
        <v>2.6998117271008377</v>
      </c>
      <c r="T170" s="96">
        <f t="shared" ca="1" si="116"/>
        <v>2.8254083340112519</v>
      </c>
      <c r="U170" s="96">
        <f t="shared" ca="1" si="116"/>
        <v>2.9555874661808494</v>
      </c>
      <c r="V170" s="96">
        <f t="shared" ca="1" si="116"/>
        <v>3.090084204641713</v>
      </c>
      <c r="W170" s="96">
        <f t="shared" ca="1" si="116"/>
        <v>3.2286115012818679</v>
      </c>
      <c r="X170" s="96">
        <f t="shared" ca="1" si="116"/>
        <v>3.3732370644798744</v>
      </c>
      <c r="Y170" s="96">
        <f t="shared" ca="1" si="116"/>
        <v>3.5255113569443175</v>
      </c>
      <c r="Z170" s="96">
        <f t="shared" ca="1" si="116"/>
        <v>3.6863873196303034</v>
      </c>
    </row>
    <row r="171" spans="1:26" x14ac:dyDescent="0.25">
      <c r="A171" s="12" t="s">
        <v>1020</v>
      </c>
      <c r="B171" s="11"/>
      <c r="C171" s="15"/>
      <c r="D171" s="50">
        <f>'Fiscal Forecasts'!D$239</f>
        <v>0.42399999999999999</v>
      </c>
      <c r="E171" s="50">
        <f>'Fiscal Forecasts'!E$239</f>
        <v>0.39500000000000002</v>
      </c>
      <c r="F171" s="50">
        <f>'Fiscal Forecasts'!F$239</f>
        <v>0.44700000000000001</v>
      </c>
      <c r="G171" s="50">
        <f>'Fiscal Forecasts'!G$239</f>
        <v>0.52200000000000002</v>
      </c>
      <c r="H171" s="50">
        <f>'Fiscal Forecasts'!H$239</f>
        <v>0.60499999999999998</v>
      </c>
      <c r="I171" s="50">
        <f>'Fiscal Forecasts'!I$239</f>
        <v>0.63</v>
      </c>
      <c r="J171" s="50">
        <f>'Fiscal Forecasts'!J$239</f>
        <v>0.72499999999999998</v>
      </c>
      <c r="K171" s="50">
        <f>'Fiscal Forecasts'!K$239</f>
        <v>0.47799999999999998</v>
      </c>
      <c r="L171" s="48">
        <f>'Fiscal Forecasts'!L$239</f>
        <v>0.38900000000000001</v>
      </c>
      <c r="M171" s="48">
        <f>'Fiscal Forecasts'!M$239</f>
        <v>0.38900000000000001</v>
      </c>
      <c r="N171" s="48">
        <f>'Fiscal Forecasts'!N$239</f>
        <v>0.39300000000000002</v>
      </c>
      <c r="O171" s="48">
        <f>'Fiscal Forecasts'!O$239</f>
        <v>0.40100000000000002</v>
      </c>
      <c r="P171" s="48">
        <f>'Fiscal Forecasts'!P$239</f>
        <v>0.41199999999999998</v>
      </c>
      <c r="Q171" s="20">
        <f ca="1">P$171*AVERAGE(1+Q$29,1+Exogenous!AB$31)</f>
        <v>0.42693598436257674</v>
      </c>
      <c r="R171" s="20">
        <f ca="1">Q$171*AVERAGE(1+R$29,1+Exogenous!AC$31)</f>
        <v>0.44262538017032432</v>
      </c>
      <c r="S171" s="20">
        <f ca="1">R$171*AVERAGE(1+S$29,1+Exogenous!AD$31)</f>
        <v>0.45907438088607344</v>
      </c>
      <c r="T171" s="20">
        <f ca="1">S$171*AVERAGE(1+T$29,1+Exogenous!AE$31)</f>
        <v>0.4762792625605537</v>
      </c>
      <c r="U171" s="20">
        <f ca="1">T$171*AVERAGE(1+U$29,1+Exogenous!AF$31)</f>
        <v>0.49418850263353648</v>
      </c>
      <c r="V171" s="20">
        <f ca="1">U$171*AVERAGE(1+V$29,1+Exogenous!AG$31)</f>
        <v>0.51277816289768297</v>
      </c>
      <c r="W171" s="20">
        <f ca="1">V$171*AVERAGE(1+W$29,1+Exogenous!AH$31)</f>
        <v>0.53207094831795054</v>
      </c>
      <c r="X171" s="20">
        <f ca="1">W$171*AVERAGE(1+X$29,1+Exogenous!AI$31)</f>
        <v>0.5520941694751561</v>
      </c>
      <c r="Y171" s="20">
        <f ca="1">X$171*AVERAGE(1+Y$29,1+Exogenous!AJ$31)</f>
        <v>0.572875004586333</v>
      </c>
      <c r="Z171" s="20">
        <f ca="1">Y$171*AVERAGE(1+Z$29,1+Exogenous!AK$31)</f>
        <v>0.59444146937558073</v>
      </c>
    </row>
    <row r="172" spans="1:26" x14ac:dyDescent="0.25">
      <c r="A172" s="12" t="s">
        <v>1234</v>
      </c>
      <c r="B172" s="11"/>
      <c r="C172" s="15"/>
      <c r="D172" s="50">
        <f>'Fiscal Forecasts'!D$240</f>
        <v>-0.81699999999999995</v>
      </c>
      <c r="E172" s="50">
        <f>'Fiscal Forecasts'!E$240</f>
        <v>-0.82499999999999996</v>
      </c>
      <c r="F172" s="50">
        <f>'Fiscal Forecasts'!F$240</f>
        <v>-0.63800000000000001</v>
      </c>
      <c r="G172" s="50">
        <f>'Fiscal Forecasts'!G$240</f>
        <v>-0.66500000000000004</v>
      </c>
      <c r="H172" s="50">
        <f>'Fiscal Forecasts'!H$240</f>
        <v>-1.35</v>
      </c>
      <c r="I172" s="50">
        <f>'Fiscal Forecasts'!I$240</f>
        <v>-0.90800000000000003</v>
      </c>
      <c r="J172" s="50">
        <f>'Fiscal Forecasts'!J$240</f>
        <v>-0.79300000000000004</v>
      </c>
      <c r="K172" s="50">
        <f>'Fiscal Forecasts'!K$240</f>
        <v>-0.77600000000000002</v>
      </c>
      <c r="L172" s="48">
        <f>'Fiscal Forecasts'!L$240</f>
        <v>-0.73599999999999999</v>
      </c>
      <c r="M172" s="48">
        <f>'Fiscal Forecasts'!M$240</f>
        <v>-0.79100000000000004</v>
      </c>
      <c r="N172" s="48">
        <f>'Fiscal Forecasts'!N$240</f>
        <v>-0.88700000000000001</v>
      </c>
      <c r="O172" s="48">
        <f>'Fiscal Forecasts'!O$240</f>
        <v>-0.99199999999999999</v>
      </c>
      <c r="P172" s="48">
        <f>'Fiscal Forecasts'!P$240</f>
        <v>-1.0980000000000001</v>
      </c>
      <c r="Q172" s="20">
        <f t="shared" ref="Q172:Z172" ca="1" si="117">P$172*Q$171/P$171</f>
        <v>-1.1378051233740516</v>
      </c>
      <c r="R172" s="20">
        <f t="shared" ca="1" si="117"/>
        <v>-1.1796181248228546</v>
      </c>
      <c r="S172" s="20">
        <f t="shared" ca="1" si="117"/>
        <v>-1.2234555102255065</v>
      </c>
      <c r="T172" s="20">
        <f t="shared" ca="1" si="117"/>
        <v>-1.2693073550764271</v>
      </c>
      <c r="U172" s="20">
        <f t="shared" ca="1" si="117"/>
        <v>-1.3170363492515123</v>
      </c>
      <c r="V172" s="20">
        <f t="shared" ca="1" si="117"/>
        <v>-1.366578696266155</v>
      </c>
      <c r="W172" s="20">
        <f t="shared" ca="1" si="117"/>
        <v>-1.4179949059541497</v>
      </c>
      <c r="X172" s="20">
        <f t="shared" ca="1" si="117"/>
        <v>-1.4713577623391296</v>
      </c>
      <c r="Y172" s="20">
        <f t="shared" ca="1" si="117"/>
        <v>-1.5267396966888196</v>
      </c>
      <c r="Z172" s="20">
        <f t="shared" ca="1" si="117"/>
        <v>-1.5842153722679313</v>
      </c>
    </row>
    <row r="173" spans="1:26" x14ac:dyDescent="0.25">
      <c r="A173" s="11" t="s">
        <v>1235</v>
      </c>
      <c r="B173" s="11"/>
      <c r="C173" s="15"/>
      <c r="D173" s="94">
        <f t="shared" ref="D173:Z173" ca="1" si="118">SUM(D$170:D$172)</f>
        <v>1.07</v>
      </c>
      <c r="E173" s="94">
        <f t="shared" ca="1" si="118"/>
        <v>0.90600000000000014</v>
      </c>
      <c r="F173" s="94">
        <f t="shared" ca="1" si="118"/>
        <v>0.90300000000000014</v>
      </c>
      <c r="G173" s="94">
        <f t="shared" ca="1" si="118"/>
        <v>1.248</v>
      </c>
      <c r="H173" s="94">
        <f t="shared" ca="1" si="118"/>
        <v>1.343</v>
      </c>
      <c r="I173" s="94">
        <f t="shared" ca="1" si="118"/>
        <v>1.4300000000000002</v>
      </c>
      <c r="J173" s="94">
        <f t="shared" ca="1" si="118"/>
        <v>1.6359999999999997</v>
      </c>
      <c r="K173" s="94">
        <f t="shared" ca="1" si="118"/>
        <v>1.4839999999999998</v>
      </c>
      <c r="L173" s="95">
        <f t="shared" ca="1" si="118"/>
        <v>1.3440000000000001</v>
      </c>
      <c r="M173" s="95">
        <f t="shared" ca="1" si="118"/>
        <v>1.3940000000000001</v>
      </c>
      <c r="N173" s="95">
        <f t="shared" ca="1" si="118"/>
        <v>1.4730000000000003</v>
      </c>
      <c r="O173" s="95">
        <f t="shared" ca="1" si="118"/>
        <v>1.5529999999999999</v>
      </c>
      <c r="P173" s="95">
        <f t="shared" ca="1" si="118"/>
        <v>1.643</v>
      </c>
      <c r="Q173" s="96">
        <f t="shared" ca="1" si="118"/>
        <v>1.7497026055133702</v>
      </c>
      <c r="R173" s="96">
        <f t="shared" ca="1" si="118"/>
        <v>1.8411341374953916</v>
      </c>
      <c r="S173" s="96">
        <f t="shared" ca="1" si="118"/>
        <v>1.9354305977614048</v>
      </c>
      <c r="T173" s="96">
        <f t="shared" ca="1" si="118"/>
        <v>2.0323802414953782</v>
      </c>
      <c r="U173" s="96">
        <f t="shared" ca="1" si="118"/>
        <v>2.1327396195628738</v>
      </c>
      <c r="V173" s="96">
        <f t="shared" ca="1" si="118"/>
        <v>2.2362836712732408</v>
      </c>
      <c r="W173" s="96">
        <f t="shared" ca="1" si="118"/>
        <v>2.3426875436456687</v>
      </c>
      <c r="X173" s="96">
        <f t="shared" ca="1" si="118"/>
        <v>2.4539734716159005</v>
      </c>
      <c r="Y173" s="96">
        <f t="shared" ca="1" si="118"/>
        <v>2.5716466648418308</v>
      </c>
      <c r="Z173" s="96">
        <f t="shared" ca="1" si="118"/>
        <v>2.6966134167379527</v>
      </c>
    </row>
    <row r="174" spans="1:26" x14ac:dyDescent="0.25">
      <c r="B174" s="11"/>
      <c r="C174" s="15"/>
      <c r="D174" s="91"/>
      <c r="E174" s="91"/>
      <c r="F174" s="91"/>
      <c r="G174" s="91"/>
      <c r="H174" s="91"/>
      <c r="I174" s="91"/>
      <c r="J174" s="91"/>
      <c r="K174" s="91"/>
    </row>
    <row r="175" spans="1:26" x14ac:dyDescent="0.25">
      <c r="A175" s="11" t="s">
        <v>868</v>
      </c>
      <c r="B175" s="11"/>
      <c r="C175" s="15"/>
      <c r="D175" s="91"/>
      <c r="E175" s="91"/>
      <c r="F175" s="91"/>
      <c r="G175" s="91"/>
      <c r="H175" s="91"/>
      <c r="I175" s="91"/>
      <c r="J175" s="91"/>
      <c r="K175" s="91"/>
    </row>
    <row r="176" spans="1:26" x14ac:dyDescent="0.25">
      <c r="A176" s="12" t="s">
        <v>1236</v>
      </c>
      <c r="B176" s="11"/>
      <c r="C176" s="15"/>
      <c r="D176" s="50">
        <f t="shared" ref="D176:Z176" ca="1" si="119">D$375-SUM(D$158,D$168)</f>
        <v>9.8200000000001619E-3</v>
      </c>
      <c r="E176" s="50">
        <f t="shared" ca="1" si="119"/>
        <v>8.0300000000000926E-3</v>
      </c>
      <c r="F176" s="50">
        <f t="shared" ca="1" si="119"/>
        <v>7.4199999999999822E-3</v>
      </c>
      <c r="G176" s="50">
        <f t="shared" ca="1" si="119"/>
        <v>1.0769999999999946E-2</v>
      </c>
      <c r="H176" s="50">
        <f t="shared" ca="1" si="119"/>
        <v>1.3200000000000101E-2</v>
      </c>
      <c r="I176" s="50">
        <f t="shared" ca="1" si="119"/>
        <v>1.6590000000000105E-2</v>
      </c>
      <c r="J176" s="50">
        <f t="shared" ca="1" si="119"/>
        <v>1.7840000000000078E-2</v>
      </c>
      <c r="K176" s="50">
        <f t="shared" ca="1" si="119"/>
        <v>1.7939999999999845E-2</v>
      </c>
      <c r="L176" s="48">
        <f t="shared" ca="1" si="119"/>
        <v>1.7830000000000013E-2</v>
      </c>
      <c r="M176" s="48">
        <f t="shared" ca="1" si="119"/>
        <v>1.8460000000000143E-2</v>
      </c>
      <c r="N176" s="48">
        <f t="shared" ca="1" si="119"/>
        <v>1.9340000000000135E-2</v>
      </c>
      <c r="O176" s="48">
        <f t="shared" ca="1" si="119"/>
        <v>2.0230000000000192E-2</v>
      </c>
      <c r="P176" s="48">
        <f t="shared" ca="1" si="119"/>
        <v>2.1170000000000133E-2</v>
      </c>
      <c r="Q176" s="20">
        <f t="shared" ca="1" si="119"/>
        <v>2.2826423397519946E-2</v>
      </c>
      <c r="R176" s="20">
        <f t="shared" ca="1" si="119"/>
        <v>2.4227195267048085E-2</v>
      </c>
      <c r="S176" s="20">
        <f t="shared" ca="1" si="119"/>
        <v>2.568604025874377E-2</v>
      </c>
      <c r="T176" s="20">
        <f t="shared" ca="1" si="119"/>
        <v>2.7205525842122213E-2</v>
      </c>
      <c r="U176" s="20">
        <f t="shared" ca="1" si="119"/>
        <v>2.8785731084689292E-2</v>
      </c>
      <c r="V176" s="20">
        <f t="shared" ca="1" si="119"/>
        <v>3.0428005523083002E-2</v>
      </c>
      <c r="W176" s="20">
        <f t="shared" ca="1" si="119"/>
        <v>3.2145377933623376E-2</v>
      </c>
      <c r="X176" s="20">
        <f t="shared" ca="1" si="119"/>
        <v>3.395473046693942E-2</v>
      </c>
      <c r="Y176" s="20">
        <f t="shared" ca="1" si="119"/>
        <v>3.5876200801184144E-2</v>
      </c>
      <c r="Z176" s="20">
        <f t="shared" ca="1" si="119"/>
        <v>3.7932149643971069E-2</v>
      </c>
    </row>
    <row r="177" spans="1:26" x14ac:dyDescent="0.25">
      <c r="A177" s="12" t="s">
        <v>1237</v>
      </c>
      <c r="B177" s="14" t="str">
        <f>$B$38</f>
        <v>From Fiscal Forecasts</v>
      </c>
      <c r="C177" s="15"/>
      <c r="D177" s="50">
        <f ca="1">'Fiscal Forecasts'!D$167-SUM(D$170,D$176)</f>
        <v>0.91317999999999988</v>
      </c>
      <c r="E177" s="50">
        <f ca="1">'Fiscal Forecasts'!E$167-SUM(E$170,E$176)</f>
        <v>0.95396999999999998</v>
      </c>
      <c r="F177" s="50">
        <f ca="1">'Fiscal Forecasts'!F$167-SUM(F$170,F$176)</f>
        <v>0.87958000000000003</v>
      </c>
      <c r="G177" s="50">
        <f ca="1">'Fiscal Forecasts'!G$167-SUM(G$170,G$176)</f>
        <v>1.0842300000000002</v>
      </c>
      <c r="H177" s="50">
        <f ca="1">'Fiscal Forecasts'!H$167-SUM(H$170,H$176)</f>
        <v>1.1537999999999995</v>
      </c>
      <c r="I177" s="50">
        <f ca="1">'Fiscal Forecasts'!I$167-SUM(I$170,I$176)</f>
        <v>1.10141</v>
      </c>
      <c r="J177" s="50">
        <f ca="1">'Fiscal Forecasts'!J$167-SUM(J$170,J$176)</f>
        <v>1.0981599999999998</v>
      </c>
      <c r="K177" s="50">
        <f ca="1">'Fiscal Forecasts'!K$167-SUM(K$170,K$176)</f>
        <v>1.28606</v>
      </c>
      <c r="L177" s="48">
        <f ca="1">'Fiscal Forecasts'!L$167-SUM(L$170,L$176)</f>
        <v>0.54017000000000004</v>
      </c>
      <c r="M177" s="48">
        <f ca="1">'Fiscal Forecasts'!M$167-SUM(M$170,M$176)</f>
        <v>0.5275399999999999</v>
      </c>
      <c r="N177" s="48">
        <f ca="1">'Fiscal Forecasts'!N$167-SUM(N$170,N$176)</f>
        <v>0.69065999999999983</v>
      </c>
      <c r="O177" s="48">
        <f ca="1">'Fiscal Forecasts'!O$167-SUM(O$170,O$176)</f>
        <v>0.67976999999999954</v>
      </c>
      <c r="P177" s="48">
        <f ca="1">'Fiscal Forecasts'!P$167-SUM(P$170,P$176)</f>
        <v>0.67982999999999949</v>
      </c>
      <c r="Q177" s="20">
        <f t="shared" ref="Q177:Z177" ca="1" si="120">P$177*(1+Q$19)*(1+Q$29)</f>
        <v>0.70233670397232539</v>
      </c>
      <c r="R177" s="20">
        <f t="shared" ca="1" si="120"/>
        <v>0.72517991576479435</v>
      </c>
      <c r="S177" s="20">
        <f t="shared" ca="1" si="120"/>
        <v>0.74851955675007165</v>
      </c>
      <c r="T177" s="20">
        <f t="shared" ca="1" si="120"/>
        <v>0.77213496058631714</v>
      </c>
      <c r="U177" s="20">
        <f t="shared" ca="1" si="120"/>
        <v>0.7964297066099133</v>
      </c>
      <c r="V177" s="20">
        <f t="shared" ca="1" si="120"/>
        <v>0.82119672651977582</v>
      </c>
      <c r="W177" s="20">
        <f t="shared" ca="1" si="120"/>
        <v>0.84581229510688605</v>
      </c>
      <c r="X177" s="20">
        <f t="shared" ca="1" si="120"/>
        <v>0.87094601490231693</v>
      </c>
      <c r="Y177" s="20">
        <f t="shared" ca="1" si="120"/>
        <v>0.89684176664499926</v>
      </c>
      <c r="Z177" s="20">
        <f t="shared" ca="1" si="120"/>
        <v>0.92330473205621666</v>
      </c>
    </row>
    <row r="178" spans="1:26" x14ac:dyDescent="0.25">
      <c r="A178" s="11" t="s">
        <v>1238</v>
      </c>
      <c r="B178" s="11"/>
      <c r="C178" s="15"/>
      <c r="D178" s="94">
        <f t="shared" ref="D178:Z178" ca="1" si="121">SUM(D$176:D$177)</f>
        <v>0.92300000000000004</v>
      </c>
      <c r="E178" s="94">
        <f t="shared" ca="1" si="121"/>
        <v>0.96200000000000008</v>
      </c>
      <c r="F178" s="94">
        <f t="shared" ca="1" si="121"/>
        <v>0.88700000000000001</v>
      </c>
      <c r="G178" s="94">
        <f t="shared" ca="1" si="121"/>
        <v>1.0950000000000002</v>
      </c>
      <c r="H178" s="94">
        <f t="shared" ca="1" si="121"/>
        <v>1.1669999999999996</v>
      </c>
      <c r="I178" s="94">
        <f t="shared" ca="1" si="121"/>
        <v>1.1180000000000001</v>
      </c>
      <c r="J178" s="94">
        <f t="shared" ca="1" si="121"/>
        <v>1.1159999999999999</v>
      </c>
      <c r="K178" s="94">
        <f t="shared" ca="1" si="121"/>
        <v>1.3039999999999998</v>
      </c>
      <c r="L178" s="95">
        <f t="shared" ca="1" si="121"/>
        <v>0.55800000000000005</v>
      </c>
      <c r="M178" s="95">
        <f t="shared" ca="1" si="121"/>
        <v>0.54600000000000004</v>
      </c>
      <c r="N178" s="95">
        <f t="shared" ca="1" si="121"/>
        <v>0.71</v>
      </c>
      <c r="O178" s="95">
        <f t="shared" ca="1" si="121"/>
        <v>0.69999999999999973</v>
      </c>
      <c r="P178" s="95">
        <f t="shared" ca="1" si="121"/>
        <v>0.70099999999999962</v>
      </c>
      <c r="Q178" s="96">
        <f t="shared" ca="1" si="121"/>
        <v>0.72516312736984534</v>
      </c>
      <c r="R178" s="96">
        <f t="shared" ca="1" si="121"/>
        <v>0.74940711103184243</v>
      </c>
      <c r="S178" s="96">
        <f t="shared" ca="1" si="121"/>
        <v>0.77420559700881542</v>
      </c>
      <c r="T178" s="96">
        <f t="shared" ca="1" si="121"/>
        <v>0.79934048642843936</v>
      </c>
      <c r="U178" s="96">
        <f t="shared" ca="1" si="121"/>
        <v>0.82521543769460259</v>
      </c>
      <c r="V178" s="96">
        <f t="shared" ca="1" si="121"/>
        <v>0.85162473204285882</v>
      </c>
      <c r="W178" s="96">
        <f t="shared" ca="1" si="121"/>
        <v>0.87795767304050942</v>
      </c>
      <c r="X178" s="96">
        <f t="shared" ca="1" si="121"/>
        <v>0.90490074536925635</v>
      </c>
      <c r="Y178" s="96">
        <f t="shared" ca="1" si="121"/>
        <v>0.9327179674461834</v>
      </c>
      <c r="Z178" s="96">
        <f t="shared" ca="1" si="121"/>
        <v>0.96123688170018773</v>
      </c>
    </row>
    <row r="179" spans="1:26" x14ac:dyDescent="0.25">
      <c r="A179" s="11" t="s">
        <v>1239</v>
      </c>
      <c r="B179" s="14" t="str">
        <f>$B$38</f>
        <v>From Fiscal Forecasts</v>
      </c>
      <c r="C179" s="15"/>
      <c r="D179" s="51">
        <f ca="1">'Fiscal Forecasts'!D$13-D$173</f>
        <v>3.8789999999999996</v>
      </c>
      <c r="E179" s="51">
        <f ca="1">'Fiscal Forecasts'!E$13-E$173</f>
        <v>3.57</v>
      </c>
      <c r="F179" s="51">
        <f ca="1">'Fiscal Forecasts'!F$13-F$173</f>
        <v>3.589</v>
      </c>
      <c r="G179" s="51">
        <f ca="1">'Fiscal Forecasts'!G$13-G$173</f>
        <v>3.8780000000000001</v>
      </c>
      <c r="H179" s="51">
        <f ca="1">'Fiscal Forecasts'!H$13-H$173</f>
        <v>4.5830000000000002</v>
      </c>
      <c r="I179" s="51">
        <f ca="1">'Fiscal Forecasts'!I$13-I$173</f>
        <v>4.3360000000000003</v>
      </c>
      <c r="J179" s="51">
        <f ca="1">'Fiscal Forecasts'!J$13-J$173</f>
        <v>4.2249999999999996</v>
      </c>
      <c r="K179" s="51">
        <f ca="1">'Fiscal Forecasts'!K$13-K$173</f>
        <v>4.3449999999999998</v>
      </c>
      <c r="L179" s="47">
        <f ca="1">'Fiscal Forecasts'!L$13-L$173</f>
        <v>3.8389999999999995</v>
      </c>
      <c r="M179" s="47">
        <f ca="1">'Fiscal Forecasts'!M$13-M$173</f>
        <v>3.9740000000000002</v>
      </c>
      <c r="N179" s="47">
        <f ca="1">'Fiscal Forecasts'!N$13-N$173</f>
        <v>4.1969999999999992</v>
      </c>
      <c r="O179" s="47">
        <f ca="1">'Fiscal Forecasts'!O$13-O$173</f>
        <v>4.351</v>
      </c>
      <c r="P179" s="47">
        <f ca="1">'Fiscal Forecasts'!P$13-P$173</f>
        <v>4.391</v>
      </c>
      <c r="Q179" s="21">
        <f t="shared" ref="Q179:Z179" ca="1" si="122">Q$178+(P$179-P$178)*(1+Q$29)</f>
        <v>4.4889631273698454</v>
      </c>
      <c r="R179" s="21">
        <f t="shared" ca="1" si="122"/>
        <v>4.5884831110318425</v>
      </c>
      <c r="S179" s="21">
        <f t="shared" ca="1" si="122"/>
        <v>4.6900631170088154</v>
      </c>
      <c r="T179" s="21">
        <f t="shared" ca="1" si="122"/>
        <v>4.7935151568284393</v>
      </c>
      <c r="U179" s="21">
        <f t="shared" ca="1" si="122"/>
        <v>4.8992736015026024</v>
      </c>
      <c r="V179" s="21">
        <f t="shared" ca="1" si="122"/>
        <v>5.0071640591270183</v>
      </c>
      <c r="W179" s="21">
        <f t="shared" ca="1" si="122"/>
        <v>5.1166077866663517</v>
      </c>
      <c r="X179" s="21">
        <f t="shared" ca="1" si="122"/>
        <v>5.2283238612676159</v>
      </c>
      <c r="Y179" s="21">
        <f t="shared" ca="1" si="122"/>
        <v>5.3426095456625102</v>
      </c>
      <c r="Z179" s="21">
        <f t="shared" ca="1" si="122"/>
        <v>5.4593262914808411</v>
      </c>
    </row>
    <row r="180" spans="1:26" x14ac:dyDescent="0.25">
      <c r="A180" s="11"/>
      <c r="B180" s="11"/>
      <c r="C180" s="15"/>
      <c r="D180" s="91"/>
      <c r="E180" s="91"/>
      <c r="F180" s="91"/>
      <c r="G180" s="91"/>
      <c r="H180" s="91"/>
      <c r="I180" s="91"/>
      <c r="J180" s="91"/>
      <c r="K180" s="91"/>
    </row>
    <row r="181" spans="1:26" x14ac:dyDescent="0.25">
      <c r="A181" s="11" t="s">
        <v>870</v>
      </c>
      <c r="B181" s="11"/>
      <c r="C181" s="15"/>
    </row>
    <row r="182" spans="1:26" x14ac:dyDescent="0.25">
      <c r="A182" s="12" t="s">
        <v>1240</v>
      </c>
      <c r="B182" s="14" t="str">
        <f t="shared" ref="B182:B188" si="123">$B$38</f>
        <v>From Fiscal Forecasts</v>
      </c>
      <c r="C182" s="15"/>
      <c r="D182" s="50">
        <f>'Fiscal Forecasts'!D$243</f>
        <v>14.561999999999999</v>
      </c>
      <c r="E182" s="50">
        <f>'Fiscal Forecasts'!E$243</f>
        <v>15.521000000000001</v>
      </c>
      <c r="F182" s="50">
        <f>'Fiscal Forecasts'!F$243</f>
        <v>16.568999999999999</v>
      </c>
      <c r="G182" s="50">
        <f>'Fiscal Forecasts'!G$243</f>
        <v>17.763999999999999</v>
      </c>
      <c r="H182" s="50">
        <f>'Fiscal Forecasts'!H$243</f>
        <v>19.516999999999999</v>
      </c>
      <c r="I182" s="50">
        <f>'Fiscal Forecasts'!I$243</f>
        <v>21.574000000000002</v>
      </c>
      <c r="J182" s="50">
        <f>'Fiscal Forecasts'!J$243</f>
        <v>23.190999999999999</v>
      </c>
      <c r="K182" s="50">
        <f>'Fiscal Forecasts'!K$243</f>
        <v>24.721</v>
      </c>
      <c r="L182" s="48">
        <f>'Fiscal Forecasts'!L$243</f>
        <v>26.48</v>
      </c>
      <c r="M182" s="48">
        <f>'Fiscal Forecasts'!M$243</f>
        <v>28.321000000000002</v>
      </c>
      <c r="N182" s="48">
        <f>'Fiscal Forecasts'!N$243</f>
        <v>29.706</v>
      </c>
      <c r="O182" s="48">
        <f>'Fiscal Forecasts'!O$243</f>
        <v>31.236999999999998</v>
      </c>
      <c r="P182" s="48">
        <f>'Fiscal Forecasts'!P$243</f>
        <v>32.887999999999998</v>
      </c>
      <c r="Q182" s="20">
        <f ca="1">P$182*(1+'Population Treasury'!AB$237)*Q$204/P$204</f>
        <v>34.725908993862177</v>
      </c>
      <c r="R182" s="20">
        <f ca="1">Q$182*(1+'Population Treasury'!AC$237)*R$204/Q$204</f>
        <v>36.635202985101024</v>
      </c>
      <c r="S182" s="20">
        <f ca="1">R$182*(1+'Population Treasury'!AD$237)*S$204/R$204</f>
        <v>38.629858294940007</v>
      </c>
      <c r="T182" s="20">
        <f ca="1">S$182*(1+'Population Treasury'!AE$237)*T$204/S$204</f>
        <v>40.676909740310336</v>
      </c>
      <c r="U182" s="20">
        <f ca="1">T$182*(1+'Population Treasury'!AF$237)*U$204/T$204</f>
        <v>42.872020812705678</v>
      </c>
      <c r="V182" s="20">
        <f ca="1">U$182*(1+'Population Treasury'!AG$237)*V$204/U$204</f>
        <v>45.107449897766166</v>
      </c>
      <c r="W182" s="20">
        <f ca="1">V$182*(1+'Population Treasury'!AH$237)*W$204/V$204</f>
        <v>47.337696142069042</v>
      </c>
      <c r="X182" s="20">
        <f ca="1">W$182*(1+'Population Treasury'!AI$237)*X$204/W$204</f>
        <v>49.565382428266936</v>
      </c>
      <c r="Y182" s="20">
        <f ca="1">X$182*(1+'Population Treasury'!AJ$237)*Y$204/X$204</f>
        <v>51.768799535982517</v>
      </c>
      <c r="Z182" s="20">
        <f ca="1">Y$182*(1+'Population Treasury'!AK$237)*Z$204/Y$204</f>
        <v>53.973305982538974</v>
      </c>
    </row>
    <row r="183" spans="1:26" x14ac:dyDescent="0.25">
      <c r="A183" s="12" t="s">
        <v>1241</v>
      </c>
      <c r="B183" s="14" t="str">
        <f t="shared" si="123"/>
        <v>From Fiscal Forecasts</v>
      </c>
      <c r="C183" s="15"/>
      <c r="D183" s="50">
        <f>'Fiscal Forecasts'!D$244</f>
        <v>1.8540000000000001</v>
      </c>
      <c r="E183" s="50">
        <f>'Fiscal Forecasts'!E$244</f>
        <v>2.2850000000000001</v>
      </c>
      <c r="F183" s="50">
        <f>'Fiscal Forecasts'!F$244</f>
        <v>3.2240000000000002</v>
      </c>
      <c r="G183" s="50">
        <f>'Fiscal Forecasts'!G$244</f>
        <v>3.33</v>
      </c>
      <c r="H183" s="50">
        <f>'Fiscal Forecasts'!H$244</f>
        <v>3.4729999999999999</v>
      </c>
      <c r="I183" s="50">
        <f>'Fiscal Forecasts'!I$244</f>
        <v>4.0620000000000003</v>
      </c>
      <c r="J183" s="50">
        <f>'Fiscal Forecasts'!J$244</f>
        <v>4.641</v>
      </c>
      <c r="K183" s="50">
        <f>'Fiscal Forecasts'!K$244</f>
        <v>4.9260000000000002</v>
      </c>
      <c r="L183" s="48">
        <f>'Fiscal Forecasts'!L$244</f>
        <v>5.0309999999999997</v>
      </c>
      <c r="M183" s="48">
        <f>'Fiscal Forecasts'!M$244</f>
        <v>5.0110000000000001</v>
      </c>
      <c r="N183" s="48">
        <f>'Fiscal Forecasts'!N$244</f>
        <v>4.9039999999999999</v>
      </c>
      <c r="O183" s="48">
        <f>'Fiscal Forecasts'!O$244</f>
        <v>5.0010000000000003</v>
      </c>
      <c r="P183" s="48">
        <f>'Fiscal Forecasts'!P$244</f>
        <v>5.109</v>
      </c>
      <c r="Q183" s="20">
        <f ca="1">P$183*AVERAGE(1+SUMPRODUCT(Exogenous!$B$44:$B$54,'Population Treasury'!AB$215:AB$225)+SUMPRODUCT(Exogenous!$C$44:$C$54,'Population Treasury'!AB$226:AB$236),Q$16*Q$23/(P$16*P$23))*(1+Q$29)</f>
        <v>5.254733315137246</v>
      </c>
      <c r="R183" s="20">
        <f ca="1">Q$183*AVERAGE(1+SUMPRODUCT(Exogenous!$B$44:$B$54,'Population Treasury'!AC$215:AC$225)+SUMPRODUCT(Exogenous!$C$44:$C$54,'Population Treasury'!AC$226:AC$236),R$16*R$23/(Q$16*Q$23))*(1+R$29)</f>
        <v>5.4017980613666081</v>
      </c>
      <c r="S183" s="20">
        <f ca="1">R$183*AVERAGE(1+SUMPRODUCT(Exogenous!$B$44:$B$54,'Population Treasury'!AD$215:AD$225)+SUMPRODUCT(Exogenous!$C$44:$C$54,'Population Treasury'!AD$226:AD$236),S$16*S$23/(R$16*R$23))*(1+S$29)</f>
        <v>5.5492510963877857</v>
      </c>
      <c r="T183" s="20">
        <f ca="1">S$183*AVERAGE(1+SUMPRODUCT(Exogenous!$B$44:$B$54,'Population Treasury'!AE$215:AE$225)+SUMPRODUCT(Exogenous!$C$44:$C$54,'Population Treasury'!AE$226:AE$236),T$16*T$23/(S$16*S$23))*(1+T$29)</f>
        <v>5.7145345108437127</v>
      </c>
      <c r="U183" s="20">
        <f ca="1">T$183*AVERAGE(1+SUMPRODUCT(Exogenous!$B$44:$B$54,'Population Treasury'!AF$215:AF$225)+SUMPRODUCT(Exogenous!$C$44:$C$54,'Population Treasury'!AF$226:AF$236),U$16*U$23/(T$16*T$23))*(1+U$29)</f>
        <v>5.8807006094395549</v>
      </c>
      <c r="V183" s="20">
        <f ca="1">U$183*AVERAGE(1+SUMPRODUCT(Exogenous!$B$44:$B$54,'Population Treasury'!AG$215:AG$225)+SUMPRODUCT(Exogenous!$C$44:$C$54,'Population Treasury'!AG$226:AG$236),V$16*V$23/(U$16*U$23))*(1+V$29)</f>
        <v>6.052324910542298</v>
      </c>
      <c r="W183" s="20">
        <f ca="1">V$183*AVERAGE(1+SUMPRODUCT(Exogenous!$B$44:$B$54,'Population Treasury'!AH$215:AH$225)+SUMPRODUCT(Exogenous!$C$44:$C$54,'Population Treasury'!AH$226:AH$236),W$16*W$23/(V$16*V$23))*(1+W$29)</f>
        <v>6.2285551627600331</v>
      </c>
      <c r="X183" s="20">
        <f ca="1">W$183*AVERAGE(1+SUMPRODUCT(Exogenous!$B$44:$B$54,'Population Treasury'!AI$215:AI$225)+SUMPRODUCT(Exogenous!$C$44:$C$54,'Population Treasury'!AI$226:AI$236),X$16*X$23/(W$16*W$23))*(1+X$29)</f>
        <v>6.4078367846075315</v>
      </c>
      <c r="Y183" s="20">
        <f ca="1">X$183*AVERAGE(1+SUMPRODUCT(Exogenous!$B$44:$B$54,'Population Treasury'!AJ$215:AJ$225)+SUMPRODUCT(Exogenous!$C$44:$C$54,'Population Treasury'!AJ$226:AJ$236),Y$16*Y$23/(X$16*X$23))*(1+Y$29)</f>
        <v>6.5927907093504485</v>
      </c>
      <c r="Z183" s="20">
        <f ca="1">Y$183*AVERAGE(1+SUMPRODUCT(Exogenous!$B$44:$B$54,'Population Treasury'!AK$215:AK$225)+SUMPRODUCT(Exogenous!$C$44:$C$54,'Population Treasury'!AK$226:AK$236),Z$16*Z$23/(Y$16*Y$23))*(1+Z$29)</f>
        <v>6.7851611000174437</v>
      </c>
    </row>
    <row r="184" spans="1:26" x14ac:dyDescent="0.25">
      <c r="A184" s="12" t="s">
        <v>688</v>
      </c>
      <c r="B184" s="14" t="str">
        <f t="shared" si="123"/>
        <v>From Fiscal Forecasts</v>
      </c>
      <c r="C184" s="15"/>
      <c r="D184" s="50">
        <f>'Fiscal Forecasts'!D$245</f>
        <v>1.556</v>
      </c>
      <c r="E184" s="50">
        <f>'Fiscal Forecasts'!E$245</f>
        <v>1.65</v>
      </c>
      <c r="F184" s="50">
        <f>'Fiscal Forecasts'!F$245</f>
        <v>1.8260000000000001</v>
      </c>
      <c r="G184" s="50">
        <f>'Fiscal Forecasts'!G$245</f>
        <v>2.0470000000000002</v>
      </c>
      <c r="H184" s="50">
        <f>'Fiscal Forecasts'!H$245</f>
        <v>2.3109999999999999</v>
      </c>
      <c r="I184" s="50">
        <f>'Fiscal Forecasts'!I$245</f>
        <v>2.5299999999999998</v>
      </c>
      <c r="J184" s="50">
        <f>'Fiscal Forecasts'!J$245</f>
        <v>2.6680000000000001</v>
      </c>
      <c r="K184" s="50">
        <f>'Fiscal Forecasts'!K$245</f>
        <v>2.8260000000000001</v>
      </c>
      <c r="L184" s="48">
        <f>'Fiscal Forecasts'!L$245</f>
        <v>3.0059999999999998</v>
      </c>
      <c r="M184" s="48">
        <f>'Fiscal Forecasts'!M$245</f>
        <v>3.19</v>
      </c>
      <c r="N184" s="48">
        <f>'Fiscal Forecasts'!N$245</f>
        <v>3.286</v>
      </c>
      <c r="O184" s="48">
        <f>'Fiscal Forecasts'!O$245</f>
        <v>3.4340000000000002</v>
      </c>
      <c r="P184" s="48">
        <f>'Fiscal Forecasts'!P$245</f>
        <v>3.581</v>
      </c>
      <c r="Q184" s="20">
        <f ca="1">P$184*(1+SUMPRODUCT(Exogenous!$I$44:$I$54,'Population Treasury'!AB$215:AB$225)+SUMPRODUCT(Exogenous!$J$44:$J$54,'Population Treasury'!AB$226:AB$236))*(1+Q$29)</f>
        <v>3.6880822061662717</v>
      </c>
      <c r="R184" s="20">
        <f ca="1">Q$184*(1+SUMPRODUCT(Exogenous!$I$44:$I$54,'Population Treasury'!AC$215:AC$225)+SUMPRODUCT(Exogenous!$J$44:$J$54,'Population Treasury'!AC$226:AC$236))*(1+R$29)</f>
        <v>3.7955043780043982</v>
      </c>
      <c r="S184" s="20">
        <f ca="1">R$184*(1+SUMPRODUCT(Exogenous!$I$44:$I$54,'Population Treasury'!AD$215:AD$225)+SUMPRODUCT(Exogenous!$J$44:$J$54,'Population Treasury'!AD$226:AD$236))*(1+S$29)</f>
        <v>3.9024425842854971</v>
      </c>
      <c r="T184" s="20">
        <f ca="1">S$184*(1+SUMPRODUCT(Exogenous!$I$44:$I$54,'Population Treasury'!AE$215:AE$225)+SUMPRODUCT(Exogenous!$J$44:$J$54,'Population Treasury'!AE$226:AE$236))*(1+T$29)</f>
        <v>4.0135394958533741</v>
      </c>
      <c r="U184" s="20">
        <f ca="1">T$184*(1+SUMPRODUCT(Exogenous!$I$44:$I$54,'Population Treasury'!AF$215:AF$225)+SUMPRODUCT(Exogenous!$J$44:$J$54,'Population Treasury'!AF$226:AF$236))*(1+U$29)</f>
        <v>4.1212295536805259</v>
      </c>
      <c r="V184" s="20">
        <f ca="1">U$184*(1+SUMPRODUCT(Exogenous!$I$44:$I$54,'Population Treasury'!AG$215:AG$225)+SUMPRODUCT(Exogenous!$J$44:$J$54,'Population Treasury'!AG$226:AG$236))*(1+V$29)</f>
        <v>4.2373831515068696</v>
      </c>
      <c r="W184" s="20">
        <f ca="1">V$184*(1+SUMPRODUCT(Exogenous!$I$44:$I$54,'Population Treasury'!AH$215:AH$225)+SUMPRODUCT(Exogenous!$J$44:$J$54,'Population Treasury'!AH$226:AH$236))*(1+W$29)</f>
        <v>4.3638027445229941</v>
      </c>
      <c r="X184" s="20">
        <f ca="1">W$184*(1+SUMPRODUCT(Exogenous!$I$44:$I$54,'Population Treasury'!AI$215:AI$225)+SUMPRODUCT(Exogenous!$J$44:$J$54,'Population Treasury'!AI$226:AI$236))*(1+X$29)</f>
        <v>4.4999104075329077</v>
      </c>
      <c r="Y184" s="20">
        <f ca="1">X$184*(1+SUMPRODUCT(Exogenous!$I$44:$I$54,'Population Treasury'!AJ$215:AJ$225)+SUMPRODUCT(Exogenous!$J$44:$J$54,'Population Treasury'!AJ$226:AJ$236))*(1+Y$29)</f>
        <v>4.650060740500682</v>
      </c>
      <c r="Z184" s="20">
        <f ca="1">Y$184*(1+SUMPRODUCT(Exogenous!$I$44:$I$54,'Population Treasury'!AK$215:AK$225)+SUMPRODUCT(Exogenous!$J$44:$J$54,'Population Treasury'!AK$226:AK$236))*(1+Z$29)</f>
        <v>4.8127462427083705</v>
      </c>
    </row>
    <row r="185" spans="1:26" x14ac:dyDescent="0.25">
      <c r="A185" s="12" t="s">
        <v>689</v>
      </c>
      <c r="B185" s="14" t="str">
        <f t="shared" si="123"/>
        <v>From Fiscal Forecasts</v>
      </c>
      <c r="C185" s="15"/>
      <c r="D185" s="50">
        <f>'Fiscal Forecasts'!D$246</f>
        <v>1.115</v>
      </c>
      <c r="E185" s="50">
        <f>'Fiscal Forecasts'!E$246</f>
        <v>1.2310000000000001</v>
      </c>
      <c r="F185" s="50">
        <f>'Fiscal Forecasts'!F$246</f>
        <v>1.4550000000000001</v>
      </c>
      <c r="G185" s="50">
        <f>'Fiscal Forecasts'!G$246</f>
        <v>1.704</v>
      </c>
      <c r="H185" s="50">
        <f>'Fiscal Forecasts'!H$246</f>
        <v>1.917</v>
      </c>
      <c r="I185" s="50">
        <f>'Fiscal Forecasts'!I$246</f>
        <v>2.097</v>
      </c>
      <c r="J185" s="50">
        <f>'Fiscal Forecasts'!J$246</f>
        <v>2.2549999999999999</v>
      </c>
      <c r="K185" s="50">
        <f>'Fiscal Forecasts'!K$246</f>
        <v>2.3860000000000001</v>
      </c>
      <c r="L185" s="48">
        <f>'Fiscal Forecasts'!L$246</f>
        <v>2.4380000000000002</v>
      </c>
      <c r="M185" s="48">
        <f>'Fiscal Forecasts'!M$246</f>
        <v>2.3919999999999999</v>
      </c>
      <c r="N185" s="48">
        <f>'Fiscal Forecasts'!N$246</f>
        <v>2.234</v>
      </c>
      <c r="O185" s="48">
        <f>'Fiscal Forecasts'!O$246</f>
        <v>2.2400000000000002</v>
      </c>
      <c r="P185" s="48">
        <f>'Fiscal Forecasts'!P$246</f>
        <v>2.2839999999999998</v>
      </c>
      <c r="Q185" s="20">
        <f ca="1">P$185*(1+SUMPRODUCT(Exogenous!$P$44:$P$54,'Population Treasury'!AB$215:AB$225)+SUMPRODUCT(Exogenous!$Q$44:$Q$54,'Population Treasury'!AB$226:AB$236))*(1+Q$29)</f>
        <v>2.3489588309586225</v>
      </c>
      <c r="R185" s="20">
        <f ca="1">Q$185*(1+SUMPRODUCT(Exogenous!$P$44:$P$54,'Population Treasury'!AC$215:AC$225)+SUMPRODUCT(Exogenous!$Q$44:$Q$54,'Population Treasury'!AC$226:AC$236))*(1+R$29)</f>
        <v>2.4152781325459118</v>
      </c>
      <c r="S185" s="20">
        <f ca="1">R$185*(1+SUMPRODUCT(Exogenous!$P$44:$P$54,'Population Treasury'!AD$215:AD$225)+SUMPRODUCT(Exogenous!$Q$44:$Q$54,'Population Treasury'!AD$226:AD$236))*(1+S$29)</f>
        <v>2.4813427390347425</v>
      </c>
      <c r="T185" s="20">
        <f ca="1">S$185*(1+SUMPRODUCT(Exogenous!$P$44:$P$54,'Population Treasury'!AE$215:AE$225)+SUMPRODUCT(Exogenous!$Q$44:$Q$54,'Population Treasury'!AE$226:AE$236))*(1+T$29)</f>
        <v>2.5474849352744724</v>
      </c>
      <c r="U185" s="20">
        <f ca="1">T$185*(1+SUMPRODUCT(Exogenous!$P$44:$P$54,'Population Treasury'!AF$215:AF$225)+SUMPRODUCT(Exogenous!$Q$44:$Q$54,'Population Treasury'!AF$226:AF$236))*(1+U$29)</f>
        <v>2.6149840748244544</v>
      </c>
      <c r="V185" s="20">
        <f ca="1">U$185*(1+SUMPRODUCT(Exogenous!$P$44:$P$54,'Population Treasury'!AG$215:AG$225)+SUMPRODUCT(Exogenous!$Q$44:$Q$54,'Population Treasury'!AG$226:AG$236))*(1+V$29)</f>
        <v>2.6857284816213052</v>
      </c>
      <c r="W185" s="20">
        <f ca="1">V$185*(1+SUMPRODUCT(Exogenous!$P$44:$P$54,'Population Treasury'!AH$215:AH$225)+SUMPRODUCT(Exogenous!$Q$44:$Q$54,'Population Treasury'!AH$226:AH$236))*(1+W$29)</f>
        <v>2.7571611952855459</v>
      </c>
      <c r="X185" s="20">
        <f ca="1">W$185*(1+SUMPRODUCT(Exogenous!$P$44:$P$54,'Population Treasury'!AI$215:AI$225)+SUMPRODUCT(Exogenous!$Q$44:$Q$54,'Population Treasury'!AI$226:AI$236))*(1+X$29)</f>
        <v>2.8301877414585848</v>
      </c>
      <c r="Y185" s="20">
        <f ca="1">X$185*(1+SUMPRODUCT(Exogenous!$P$44:$P$54,'Population Treasury'!AJ$215:AJ$225)+SUMPRODUCT(Exogenous!$Q$44:$Q$54,'Population Treasury'!AJ$226:AJ$236))*(1+Y$29)</f>
        <v>2.9020098172986213</v>
      </c>
      <c r="Z185" s="20">
        <f ca="1">Y$185*(1+SUMPRODUCT(Exogenous!$P$44:$P$54,'Population Treasury'!AK$215:AK$225)+SUMPRODUCT(Exogenous!$Q$44:$Q$54,'Population Treasury'!AK$226:AK$236))*(1+Z$29)</f>
        <v>2.9754943164379557</v>
      </c>
    </row>
    <row r="186" spans="1:26" x14ac:dyDescent="0.25">
      <c r="A186" s="12" t="s">
        <v>690</v>
      </c>
      <c r="B186" s="14" t="str">
        <f t="shared" si="123"/>
        <v>From Fiscal Forecasts</v>
      </c>
      <c r="D186" s="50">
        <f>'Fiscal Forecasts'!D$247</f>
        <v>2.766</v>
      </c>
      <c r="E186" s="50">
        <f>'Fiscal Forecasts'!E$247</f>
        <v>2.83</v>
      </c>
      <c r="F186" s="50">
        <f>'Fiscal Forecasts'!F$247</f>
        <v>2.6880000000000002</v>
      </c>
      <c r="G186" s="50">
        <f>'Fiscal Forecasts'!G$247</f>
        <v>2.536</v>
      </c>
      <c r="H186" s="50">
        <f>'Fiscal Forecasts'!H$247</f>
        <v>2.6269999999999998</v>
      </c>
      <c r="I186" s="50">
        <f>'Fiscal Forecasts'!I$247</f>
        <v>2.7450000000000001</v>
      </c>
      <c r="J186" s="50">
        <f>'Fiscal Forecasts'!J$247</f>
        <v>2.9950000000000001</v>
      </c>
      <c r="K186" s="50">
        <f>'Fiscal Forecasts'!K$247</f>
        <v>3.0579999999999998</v>
      </c>
      <c r="L186" s="48">
        <f>'Fiscal Forecasts'!L$247</f>
        <v>3.4169999999999998</v>
      </c>
      <c r="M186" s="48">
        <f>'Fiscal Forecasts'!M$247</f>
        <v>3.2130000000000001</v>
      </c>
      <c r="N186" s="48">
        <f>'Fiscal Forecasts'!N$247</f>
        <v>3.2549999999999999</v>
      </c>
      <c r="O186" s="48">
        <f>'Fiscal Forecasts'!O$247</f>
        <v>3.194</v>
      </c>
      <c r="P186" s="48">
        <f>'Fiscal Forecasts'!P$247</f>
        <v>3.226</v>
      </c>
      <c r="Q186" s="20">
        <f t="shared" ref="Q186:Z186" ca="1" si="124">P$186*(1+Q$19)*(1+Q$29)</f>
        <v>3.3328011517801852</v>
      </c>
      <c r="R186" s="20">
        <f t="shared" ca="1" si="124"/>
        <v>3.4411991354562583</v>
      </c>
      <c r="S186" s="20">
        <f t="shared" ca="1" si="124"/>
        <v>3.551952826553304</v>
      </c>
      <c r="T186" s="20">
        <f t="shared" ca="1" si="124"/>
        <v>3.664015096202669</v>
      </c>
      <c r="U186" s="20">
        <f t="shared" ca="1" si="124"/>
        <v>3.7793010510327312</v>
      </c>
      <c r="V186" s="20">
        <f t="shared" ca="1" si="124"/>
        <v>3.8968280890116622</v>
      </c>
      <c r="W186" s="20">
        <f t="shared" ca="1" si="124"/>
        <v>4.0136364444270125</v>
      </c>
      <c r="X186" s="20">
        <f t="shared" ca="1" si="124"/>
        <v>4.1329035848298483</v>
      </c>
      <c r="Y186" s="20">
        <f t="shared" ca="1" si="124"/>
        <v>4.2557867984595692</v>
      </c>
      <c r="Z186" s="20">
        <f t="shared" ca="1" si="124"/>
        <v>4.3813616133641586</v>
      </c>
    </row>
    <row r="187" spans="1:26" x14ac:dyDescent="0.25">
      <c r="A187" s="12" t="s">
        <v>691</v>
      </c>
      <c r="B187" s="14" t="str">
        <f t="shared" si="123"/>
        <v>From Fiscal Forecasts</v>
      </c>
      <c r="D187" s="50">
        <f>'Fiscal Forecasts'!D$248</f>
        <v>1.64</v>
      </c>
      <c r="E187" s="50">
        <f>'Fiscal Forecasts'!E$248</f>
        <v>1.923</v>
      </c>
      <c r="F187" s="50">
        <f>'Fiscal Forecasts'!F$248</f>
        <v>2.302</v>
      </c>
      <c r="G187" s="50">
        <f>'Fiscal Forecasts'!G$248</f>
        <v>2.3860000000000001</v>
      </c>
      <c r="H187" s="50">
        <f>'Fiscal Forecasts'!H$248</f>
        <v>2.3490000000000002</v>
      </c>
      <c r="I187" s="50">
        <f>'Fiscal Forecasts'!I$248</f>
        <v>2.411</v>
      </c>
      <c r="J187" s="50">
        <f>'Fiscal Forecasts'!J$248</f>
        <v>2.2320000000000002</v>
      </c>
      <c r="K187" s="50">
        <f>'Fiscal Forecasts'!K$248</f>
        <v>2.306</v>
      </c>
      <c r="L187" s="48">
        <f>'Fiscal Forecasts'!L$248</f>
        <v>2.2330000000000001</v>
      </c>
      <c r="M187" s="48">
        <f>'Fiscal Forecasts'!M$248</f>
        <v>2.33</v>
      </c>
      <c r="N187" s="48">
        <f>'Fiscal Forecasts'!N$248</f>
        <v>2.2210000000000001</v>
      </c>
      <c r="O187" s="48">
        <f>'Fiscal Forecasts'!O$248</f>
        <v>2.2469999999999999</v>
      </c>
      <c r="P187" s="48">
        <f>'Fiscal Forecasts'!P$248</f>
        <v>2.2829999999999999</v>
      </c>
      <c r="Q187" s="20">
        <f t="shared" ref="Q187:Z187" ca="1" si="125">P$187*(1+Q$19)*(1+Q$29)</f>
        <v>2.3585818442387363</v>
      </c>
      <c r="R187" s="20">
        <f t="shared" ca="1" si="125"/>
        <v>2.4352937465116673</v>
      </c>
      <c r="S187" s="20">
        <f t="shared" ca="1" si="125"/>
        <v>2.5136727535713557</v>
      </c>
      <c r="T187" s="20">
        <f t="shared" ca="1" si="125"/>
        <v>2.5929778253659932</v>
      </c>
      <c r="U187" s="20">
        <f t="shared" ca="1" si="125"/>
        <v>2.6745642589918557</v>
      </c>
      <c r="V187" s="20">
        <f t="shared" ca="1" si="125"/>
        <v>2.7577366792354701</v>
      </c>
      <c r="W187" s="20">
        <f t="shared" ca="1" si="125"/>
        <v>2.8404004967845227</v>
      </c>
      <c r="X187" s="20">
        <f t="shared" ca="1" si="125"/>
        <v>2.924804365829679</v>
      </c>
      <c r="Y187" s="20">
        <f t="shared" ca="1" si="125"/>
        <v>3.0117672848367012</v>
      </c>
      <c r="Z187" s="20">
        <f t="shared" ca="1" si="125"/>
        <v>3.1006350165252252</v>
      </c>
    </row>
    <row r="188" spans="1:26" x14ac:dyDescent="0.25">
      <c r="A188" s="12" t="s">
        <v>692</v>
      </c>
      <c r="B188" s="14" t="str">
        <f t="shared" si="123"/>
        <v>From Fiscal Forecasts</v>
      </c>
      <c r="C188" s="15"/>
      <c r="D188" s="50">
        <f>'Fiscal Forecasts'!D$249</f>
        <v>2.351</v>
      </c>
      <c r="E188" s="50">
        <f>'Fiscal Forecasts'!E$249</f>
        <v>14.971</v>
      </c>
      <c r="F188" s="50">
        <f>'Fiscal Forecasts'!F$249</f>
        <v>5.0529999999999999</v>
      </c>
      <c r="G188" s="50">
        <f>'Fiscal Forecasts'!G$249</f>
        <v>11.973000000000001</v>
      </c>
      <c r="H188" s="50">
        <f>'Fiscal Forecasts'!H$249</f>
        <v>4.1159999999999997</v>
      </c>
      <c r="I188" s="50">
        <f>'Fiscal Forecasts'!I$249</f>
        <v>3.7759999999999998</v>
      </c>
      <c r="J188" s="50">
        <f>'Fiscal Forecasts'!J$249</f>
        <v>4.1500000000000004</v>
      </c>
      <c r="K188" s="50">
        <f>'Fiscal Forecasts'!K$249</f>
        <v>4.3860000000000001</v>
      </c>
      <c r="L188" s="48">
        <f>'Fiscal Forecasts'!L$249</f>
        <v>4.5549999999999997</v>
      </c>
      <c r="M188" s="48">
        <f>'Fiscal Forecasts'!M$249</f>
        <v>4.5350000000000001</v>
      </c>
      <c r="N188" s="48">
        <f>'Fiscal Forecasts'!N$249</f>
        <v>4.617</v>
      </c>
      <c r="O188" s="48">
        <f>'Fiscal Forecasts'!O$249</f>
        <v>4.7519999999999998</v>
      </c>
      <c r="P188" s="48">
        <f>'Fiscal Forecasts'!P$249</f>
        <v>4.9109999999999996</v>
      </c>
      <c r="Q188" s="20">
        <f t="shared" ref="Q188:Z188" ca="1" si="126">P$188*(1+Q$19)*(1+Q$29)</f>
        <v>5.0735853863584897</v>
      </c>
      <c r="R188" s="20">
        <f t="shared" ca="1" si="126"/>
        <v>5.2386016597103788</v>
      </c>
      <c r="S188" s="20">
        <f t="shared" ca="1" si="126"/>
        <v>5.4072040704287891</v>
      </c>
      <c r="T188" s="20">
        <f t="shared" ca="1" si="126"/>
        <v>5.5777985546966233</v>
      </c>
      <c r="U188" s="20">
        <f t="shared" ca="1" si="126"/>
        <v>5.7533005150718353</v>
      </c>
      <c r="V188" s="20">
        <f t="shared" ca="1" si="126"/>
        <v>5.9322141181451551</v>
      </c>
      <c r="W188" s="20">
        <f t="shared" ca="1" si="126"/>
        <v>6.1100336573406864</v>
      </c>
      <c r="X188" s="20">
        <f t="shared" ca="1" si="126"/>
        <v>6.2915962508057595</v>
      </c>
      <c r="Y188" s="20">
        <f t="shared" ca="1" si="126"/>
        <v>6.4786636600232299</v>
      </c>
      <c r="Z188" s="20">
        <f t="shared" ca="1" si="126"/>
        <v>6.669828544089083</v>
      </c>
    </row>
    <row r="189" spans="1:26" x14ac:dyDescent="0.25">
      <c r="A189" s="11" t="s">
        <v>1242</v>
      </c>
      <c r="B189" s="14"/>
      <c r="C189" s="15"/>
      <c r="D189" s="94">
        <f t="shared" ref="D189:Z189" si="127">SUM(D$182:D$188)</f>
        <v>25.844000000000001</v>
      </c>
      <c r="E189" s="94">
        <f t="shared" si="127"/>
        <v>40.411000000000001</v>
      </c>
      <c r="F189" s="94">
        <f t="shared" si="127"/>
        <v>33.116999999999997</v>
      </c>
      <c r="G189" s="94">
        <f t="shared" si="127"/>
        <v>41.74</v>
      </c>
      <c r="H189" s="94">
        <f t="shared" si="127"/>
        <v>36.31</v>
      </c>
      <c r="I189" s="94">
        <f t="shared" si="127"/>
        <v>39.195000000000007</v>
      </c>
      <c r="J189" s="94">
        <f t="shared" si="127"/>
        <v>42.131999999999998</v>
      </c>
      <c r="K189" s="94">
        <f t="shared" si="127"/>
        <v>44.609000000000002</v>
      </c>
      <c r="L189" s="95">
        <f t="shared" si="127"/>
        <v>47.16</v>
      </c>
      <c r="M189" s="95">
        <f t="shared" si="127"/>
        <v>48.992000000000004</v>
      </c>
      <c r="N189" s="95">
        <f t="shared" si="127"/>
        <v>50.223000000000006</v>
      </c>
      <c r="O189" s="95">
        <f t="shared" si="127"/>
        <v>52.105000000000004</v>
      </c>
      <c r="P189" s="95">
        <f t="shared" si="127"/>
        <v>54.282000000000004</v>
      </c>
      <c r="Q189" s="96">
        <f t="shared" ca="1" si="127"/>
        <v>56.782651728501726</v>
      </c>
      <c r="R189" s="96">
        <f t="shared" ca="1" si="127"/>
        <v>59.362878098696243</v>
      </c>
      <c r="S189" s="96">
        <f t="shared" ca="1" si="127"/>
        <v>62.035724365201482</v>
      </c>
      <c r="T189" s="96">
        <f t="shared" ca="1" si="127"/>
        <v>64.787260158547184</v>
      </c>
      <c r="U189" s="96">
        <f t="shared" ca="1" si="127"/>
        <v>67.696100875746652</v>
      </c>
      <c r="V189" s="96">
        <f t="shared" ca="1" si="127"/>
        <v>70.669665327828923</v>
      </c>
      <c r="W189" s="96">
        <f t="shared" ca="1" si="127"/>
        <v>73.651285843189839</v>
      </c>
      <c r="X189" s="96">
        <f t="shared" ca="1" si="127"/>
        <v>76.652621563331238</v>
      </c>
      <c r="Y189" s="96">
        <f t="shared" ca="1" si="127"/>
        <v>79.659878546451779</v>
      </c>
      <c r="Z189" s="96">
        <f t="shared" ca="1" si="127"/>
        <v>82.698532815681233</v>
      </c>
    </row>
    <row r="190" spans="1:26" x14ac:dyDescent="0.25">
      <c r="A190" s="12" t="s">
        <v>693</v>
      </c>
      <c r="B190" s="14" t="str">
        <f>$B$38</f>
        <v>From Fiscal Forecasts</v>
      </c>
      <c r="C190" s="15"/>
      <c r="D190" s="50">
        <f>'Fiscal Forecasts'!D$250</f>
        <v>0.58299999999999996</v>
      </c>
      <c r="E190" s="50">
        <f>'Fiscal Forecasts'!E$250</f>
        <v>0.56699999999999995</v>
      </c>
      <c r="F190" s="50">
        <f>'Fiscal Forecasts'!F$250</f>
        <v>0.59</v>
      </c>
      <c r="G190" s="50">
        <f>'Fiscal Forecasts'!G$250</f>
        <v>0.55600000000000005</v>
      </c>
      <c r="H190" s="50">
        <f>'Fiscal Forecasts'!H$250</f>
        <v>0.52500000000000002</v>
      </c>
      <c r="I190" s="50">
        <f>'Fiscal Forecasts'!I$250</f>
        <v>0.52600000000000002</v>
      </c>
      <c r="J190" s="50">
        <f>'Fiscal Forecasts'!J$250</f>
        <v>0.57399999999999995</v>
      </c>
      <c r="K190" s="50">
        <f>'Fiscal Forecasts'!K$250</f>
        <v>0.64100000000000001</v>
      </c>
      <c r="L190" s="48">
        <f>'Fiscal Forecasts'!L$250</f>
        <v>0.70399999999999996</v>
      </c>
      <c r="M190" s="48">
        <f>'Fiscal Forecasts'!M$250</f>
        <v>0.71499999999999997</v>
      </c>
      <c r="N190" s="48">
        <f>'Fiscal Forecasts'!N$250</f>
        <v>0.69899999999999995</v>
      </c>
      <c r="O190" s="48">
        <f>'Fiscal Forecasts'!O$250</f>
        <v>0.68899999999999995</v>
      </c>
      <c r="P190" s="48">
        <f>'Fiscal Forecasts'!P$250</f>
        <v>0.68899999999999995</v>
      </c>
      <c r="Q190" s="20">
        <f ca="1">P$190*(1+'Population Treasury'!AB$328)*(1+Q$29)</f>
        <v>0.7042704052526918</v>
      </c>
      <c r="R190" s="20">
        <f ca="1">Q$190*(1+'Population Treasury'!AC$328)*(1+R$29)</f>
        <v>0.7200817868108712</v>
      </c>
      <c r="S190" s="20">
        <f ca="1">R$190*(1+'Population Treasury'!AD$328)*(1+S$29)</f>
        <v>0.7364441451154754</v>
      </c>
      <c r="T190" s="20">
        <f ca="1">S$190*(1+'Population Treasury'!AE$328)*(1+T$29)</f>
        <v>0.75426820881386147</v>
      </c>
      <c r="U190" s="20">
        <f ca="1">T$190*(1+'Population Treasury'!AF$328)*(1+U$29)</f>
        <v>0.77251950077583986</v>
      </c>
      <c r="V190" s="20">
        <f ca="1">U$190*(1+'Population Treasury'!AG$328)*(1+V$29)</f>
        <v>0.79212822197401689</v>
      </c>
      <c r="W190" s="20">
        <f ca="1">V$190*(1+'Population Treasury'!AH$328)*(1+W$29)</f>
        <v>0.81256650909083683</v>
      </c>
      <c r="X190" s="20">
        <f ca="1">W$190*(1+'Population Treasury'!AI$328)*(1+X$29)</f>
        <v>0.834167094857449</v>
      </c>
      <c r="Y190" s="20">
        <f ca="1">X$190*(1+'Population Treasury'!AJ$328)*(1+Y$29)</f>
        <v>0.85705810709086938</v>
      </c>
      <c r="Z190" s="20">
        <f ca="1">Y$190*(1+'Population Treasury'!AK$328)*(1+Z$29)</f>
        <v>0.87732856685740601</v>
      </c>
    </row>
    <row r="191" spans="1:26" x14ac:dyDescent="0.25">
      <c r="A191" s="11" t="s">
        <v>1243</v>
      </c>
      <c r="B191" s="14"/>
      <c r="C191" s="15"/>
      <c r="D191" s="94">
        <f t="shared" ref="D191:Z191" si="128">SUM(D$189:D$190)</f>
        <v>26.427</v>
      </c>
      <c r="E191" s="94">
        <f t="shared" si="128"/>
        <v>40.978000000000002</v>
      </c>
      <c r="F191" s="94">
        <f t="shared" si="128"/>
        <v>33.707000000000001</v>
      </c>
      <c r="G191" s="94">
        <f t="shared" si="128"/>
        <v>42.295999999999999</v>
      </c>
      <c r="H191" s="94">
        <f t="shared" si="128"/>
        <v>36.835000000000001</v>
      </c>
      <c r="I191" s="94">
        <f t="shared" si="128"/>
        <v>39.721000000000011</v>
      </c>
      <c r="J191" s="94">
        <f t="shared" si="128"/>
        <v>42.705999999999996</v>
      </c>
      <c r="K191" s="94">
        <f t="shared" si="128"/>
        <v>45.25</v>
      </c>
      <c r="L191" s="95">
        <f t="shared" si="128"/>
        <v>47.863999999999997</v>
      </c>
      <c r="M191" s="95">
        <f t="shared" si="128"/>
        <v>49.707000000000008</v>
      </c>
      <c r="N191" s="95">
        <f t="shared" si="128"/>
        <v>50.922000000000004</v>
      </c>
      <c r="O191" s="95">
        <f t="shared" si="128"/>
        <v>52.794000000000004</v>
      </c>
      <c r="P191" s="95">
        <f t="shared" si="128"/>
        <v>54.971000000000004</v>
      </c>
      <c r="Q191" s="96">
        <f t="shared" ca="1" si="128"/>
        <v>57.486922133754419</v>
      </c>
      <c r="R191" s="96">
        <f t="shared" ca="1" si="128"/>
        <v>60.082959885507115</v>
      </c>
      <c r="S191" s="96">
        <f t="shared" ca="1" si="128"/>
        <v>62.772168510316959</v>
      </c>
      <c r="T191" s="96">
        <f t="shared" ca="1" si="128"/>
        <v>65.541528367361039</v>
      </c>
      <c r="U191" s="96">
        <f t="shared" ca="1" si="128"/>
        <v>68.468620376522495</v>
      </c>
      <c r="V191" s="96">
        <f t="shared" ca="1" si="128"/>
        <v>71.461793549802934</v>
      </c>
      <c r="W191" s="96">
        <f t="shared" ca="1" si="128"/>
        <v>74.463852352280682</v>
      </c>
      <c r="X191" s="96">
        <f t="shared" ca="1" si="128"/>
        <v>77.486788658188686</v>
      </c>
      <c r="Y191" s="96">
        <f t="shared" ca="1" si="128"/>
        <v>80.516936653542643</v>
      </c>
      <c r="Z191" s="96">
        <f t="shared" ca="1" si="128"/>
        <v>83.575861382538633</v>
      </c>
    </row>
    <row r="192" spans="1:26" x14ac:dyDescent="0.25">
      <c r="A192" s="12" t="s">
        <v>694</v>
      </c>
      <c r="B192" s="14" t="str">
        <f>$B$38</f>
        <v>From Fiscal Forecasts</v>
      </c>
      <c r="C192" s="15"/>
      <c r="D192" s="50">
        <f>'Fiscal Forecasts'!D$251</f>
        <v>0.95099999999999996</v>
      </c>
      <c r="E192" s="50">
        <f>'Fiscal Forecasts'!E$251</f>
        <v>0.89300000000000002</v>
      </c>
      <c r="F192" s="50">
        <f>'Fiscal Forecasts'!F$251</f>
        <v>0.91600000000000004</v>
      </c>
      <c r="G192" s="50">
        <f>'Fiscal Forecasts'!G$251</f>
        <v>0.96399999999999997</v>
      </c>
      <c r="H192" s="50">
        <f>'Fiscal Forecasts'!H$251</f>
        <v>0.997</v>
      </c>
      <c r="I192" s="50">
        <f>'Fiscal Forecasts'!I$251</f>
        <v>1.014</v>
      </c>
      <c r="J192" s="50">
        <f>'Fiscal Forecasts'!J$251</f>
        <v>1.02</v>
      </c>
      <c r="K192" s="50">
        <f>'Fiscal Forecasts'!K$251</f>
        <v>0.47</v>
      </c>
      <c r="L192" s="48">
        <f>'Fiscal Forecasts'!L$251</f>
        <v>0.49399999999999999</v>
      </c>
      <c r="M192" s="48">
        <f>'Fiscal Forecasts'!M$251</f>
        <v>0.51600000000000001</v>
      </c>
      <c r="N192" s="48">
        <f>'Fiscal Forecasts'!N$251</f>
        <v>0.54100000000000004</v>
      </c>
      <c r="O192" s="48">
        <f>'Fiscal Forecasts'!O$251</f>
        <v>0.56499999999999995</v>
      </c>
      <c r="P192" s="48">
        <f>'Fiscal Forecasts'!P$251</f>
        <v>0.58899999999999997</v>
      </c>
      <c r="Q192" s="20">
        <f>IF(ISBLANK(Exogenous!AB$37),P$192*(1+Q$17)*(1+Q$29),Exogenous!AB$37)</f>
        <v>0.61599999999999999</v>
      </c>
      <c r="R192" s="20">
        <f ca="1">IF(ISBLANK(Exogenous!AC$37),Q$192*(1+R$17)*(1+R$29),Exogenous!AC$37)</f>
        <v>0.6356043150767996</v>
      </c>
      <c r="S192" s="20">
        <f ca="1">IF(ISBLANK(Exogenous!AD$37),R$192*(1+S$17)*(1+S$29),Exogenous!AD$37)</f>
        <v>0.65552518581783481</v>
      </c>
      <c r="T192" s="20">
        <f ca="1">IF(ISBLANK(Exogenous!AE$37),S$192*(1+T$17)*(1+T$29),Exogenous!AE$37)</f>
        <v>0.67575382923088023</v>
      </c>
      <c r="U192" s="20">
        <f ca="1">IF(ISBLANK(Exogenous!AF$37),T$192*(1+U$17)*(1+U$29),Exogenous!AF$37)</f>
        <v>0.69644013067364774</v>
      </c>
      <c r="V192" s="20">
        <f ca="1">IF(ISBLANK(Exogenous!AG$37),U$192*(1+V$17)*(1+V$29),Exogenous!AG$37)</f>
        <v>0.71757355095976472</v>
      </c>
      <c r="W192" s="20">
        <f ca="1">IF(ISBLANK(Exogenous!AH$37),V$192*(1+W$17)*(1+W$29),Exogenous!AH$37)</f>
        <v>0.73899406472158069</v>
      </c>
      <c r="X192" s="20">
        <f ca="1">IF(ISBLANK(Exogenous!AI$37),W$192*(1+X$17)*(1+X$29),Exogenous!AI$37)</f>
        <v>0.76073334129191916</v>
      </c>
      <c r="Y192" s="20">
        <f ca="1">IF(ISBLANK(Exogenous!AJ$37),X$192*(1+Y$17)*(1+Y$29),Exogenous!AJ$37)</f>
        <v>0.78292535697248833</v>
      </c>
      <c r="Z192" s="20">
        <f ca="1">IF(ISBLANK(Exogenous!AK$37),Y$192*(1+Z$17)*(1+Z$29),Exogenous!AK$37)</f>
        <v>0.80555714389500477</v>
      </c>
    </row>
    <row r="193" spans="1:26" x14ac:dyDescent="0.25">
      <c r="A193" s="12" t="s">
        <v>1029</v>
      </c>
      <c r="B193" s="14" t="str">
        <f>$B$38</f>
        <v>From Fiscal Forecasts</v>
      </c>
      <c r="C193" s="15"/>
      <c r="D193" s="50">
        <f>'Fiscal Forecasts'!D$252</f>
        <v>0.70799999999999996</v>
      </c>
      <c r="E193" s="50">
        <f>'Fiscal Forecasts'!E$252</f>
        <v>0.73599999999999999</v>
      </c>
      <c r="F193" s="50">
        <f>'Fiscal Forecasts'!F$252</f>
        <v>0.80400000000000005</v>
      </c>
      <c r="G193" s="50">
        <f>'Fiscal Forecasts'!G$252</f>
        <v>0.82699999999999996</v>
      </c>
      <c r="H193" s="50">
        <f>'Fiscal Forecasts'!H$252</f>
        <v>0.97099999999999997</v>
      </c>
      <c r="I193" s="50">
        <f>'Fiscal Forecasts'!I$252</f>
        <v>1.202</v>
      </c>
      <c r="J193" s="50">
        <f>'Fiscal Forecasts'!J$252</f>
        <v>0.95299999999999996</v>
      </c>
      <c r="K193" s="50">
        <f>'Fiscal Forecasts'!K$252</f>
        <v>0.95599999999999996</v>
      </c>
      <c r="L193" s="48">
        <f>'Fiscal Forecasts'!L$252</f>
        <v>1.151</v>
      </c>
      <c r="M193" s="48">
        <f>'Fiscal Forecasts'!M$252</f>
        <v>0.98199999999999998</v>
      </c>
      <c r="N193" s="48">
        <f>'Fiscal Forecasts'!N$252</f>
        <v>0.98199999999999998</v>
      </c>
      <c r="O193" s="48">
        <f>'Fiscal Forecasts'!O$252</f>
        <v>0.98199999999999998</v>
      </c>
      <c r="P193" s="48">
        <f>'Fiscal Forecasts'!P$252</f>
        <v>0.98199999999999998</v>
      </c>
      <c r="Q193" s="20">
        <f t="shared" ref="Q193:Z193" ca="1" si="129">P$193*(1+Q$29)</f>
        <v>1.0016400000000001</v>
      </c>
      <c r="R193" s="20">
        <f t="shared" ca="1" si="129"/>
        <v>1.0216728000000002</v>
      </c>
      <c r="S193" s="20">
        <f t="shared" ca="1" si="129"/>
        <v>1.0421062560000003</v>
      </c>
      <c r="T193" s="20">
        <f t="shared" ca="1" si="129"/>
        <v>1.0629483811200002</v>
      </c>
      <c r="U193" s="20">
        <f t="shared" ca="1" si="129"/>
        <v>1.0842073487424002</v>
      </c>
      <c r="V193" s="20">
        <f t="shared" ca="1" si="129"/>
        <v>1.1058914957172483</v>
      </c>
      <c r="W193" s="20">
        <f t="shared" ca="1" si="129"/>
        <v>1.1280093256315933</v>
      </c>
      <c r="X193" s="20">
        <f t="shared" ca="1" si="129"/>
        <v>1.1505695121442252</v>
      </c>
      <c r="Y193" s="20">
        <f t="shared" ca="1" si="129"/>
        <v>1.1735809023871098</v>
      </c>
      <c r="Z193" s="20">
        <f t="shared" ca="1" si="129"/>
        <v>1.1970525204348519</v>
      </c>
    </row>
    <row r="194" spans="1:26" x14ac:dyDescent="0.25">
      <c r="A194" s="11" t="s">
        <v>1244</v>
      </c>
      <c r="B194" s="14"/>
      <c r="C194" s="15"/>
      <c r="D194" s="94">
        <f t="shared" ref="D194:Z194" si="130">SUM(D$191:D$193)</f>
        <v>28.085999999999999</v>
      </c>
      <c r="E194" s="94">
        <f t="shared" si="130"/>
        <v>42.606999999999999</v>
      </c>
      <c r="F194" s="94">
        <f t="shared" si="130"/>
        <v>35.427</v>
      </c>
      <c r="G194" s="94">
        <f t="shared" si="130"/>
        <v>44.086999999999996</v>
      </c>
      <c r="H194" s="94">
        <f t="shared" si="130"/>
        <v>38.802999999999997</v>
      </c>
      <c r="I194" s="94">
        <f t="shared" si="130"/>
        <v>41.937000000000012</v>
      </c>
      <c r="J194" s="94">
        <f t="shared" si="130"/>
        <v>44.679000000000002</v>
      </c>
      <c r="K194" s="94">
        <f t="shared" si="130"/>
        <v>46.676000000000002</v>
      </c>
      <c r="L194" s="95">
        <f t="shared" si="130"/>
        <v>49.509</v>
      </c>
      <c r="M194" s="95">
        <f t="shared" si="130"/>
        <v>51.205000000000005</v>
      </c>
      <c r="N194" s="95">
        <f t="shared" si="130"/>
        <v>52.445</v>
      </c>
      <c r="O194" s="95">
        <f t="shared" si="130"/>
        <v>54.341000000000001</v>
      </c>
      <c r="P194" s="95">
        <f t="shared" si="130"/>
        <v>56.542000000000002</v>
      </c>
      <c r="Q194" s="96">
        <f t="shared" ca="1" si="130"/>
        <v>59.10456213375442</v>
      </c>
      <c r="R194" s="96">
        <f t="shared" ca="1" si="130"/>
        <v>61.74023700058391</v>
      </c>
      <c r="S194" s="96">
        <f t="shared" ca="1" si="130"/>
        <v>64.469799952134792</v>
      </c>
      <c r="T194" s="96">
        <f t="shared" ca="1" si="130"/>
        <v>67.280230577711919</v>
      </c>
      <c r="U194" s="96">
        <f t="shared" ca="1" si="130"/>
        <v>70.249267855938541</v>
      </c>
      <c r="V194" s="96">
        <f t="shared" ca="1" si="130"/>
        <v>73.285258596479949</v>
      </c>
      <c r="W194" s="96">
        <f t="shared" ca="1" si="130"/>
        <v>76.330855742633858</v>
      </c>
      <c r="X194" s="96">
        <f t="shared" ca="1" si="130"/>
        <v>79.398091511624841</v>
      </c>
      <c r="Y194" s="96">
        <f t="shared" ca="1" si="130"/>
        <v>82.473442912902243</v>
      </c>
      <c r="Z194" s="96">
        <f t="shared" ca="1" si="130"/>
        <v>85.578471046868486</v>
      </c>
    </row>
    <row r="195" spans="1:26" x14ac:dyDescent="0.25">
      <c r="A195" s="11" t="s">
        <v>1245</v>
      </c>
      <c r="B195" s="14" t="str">
        <f>$B$38</f>
        <v>From Fiscal Forecasts</v>
      </c>
      <c r="C195" s="15"/>
      <c r="D195" s="51">
        <f>'Fiscal Forecasts'!D$170</f>
        <v>29.015000000000001</v>
      </c>
      <c r="E195" s="51">
        <f>'Fiscal Forecasts'!E$170</f>
        <v>43.616</v>
      </c>
      <c r="F195" s="51">
        <f>'Fiscal Forecasts'!F$170</f>
        <v>36.521000000000001</v>
      </c>
      <c r="G195" s="51">
        <f>'Fiscal Forecasts'!G$170</f>
        <v>45.265999999999998</v>
      </c>
      <c r="H195" s="51">
        <f>'Fiscal Forecasts'!H$170</f>
        <v>40.003</v>
      </c>
      <c r="I195" s="51">
        <f>'Fiscal Forecasts'!I$170</f>
        <v>43.265000000000001</v>
      </c>
      <c r="J195" s="51">
        <f>'Fiscal Forecasts'!J$170</f>
        <v>46.238999999999997</v>
      </c>
      <c r="K195" s="51">
        <f>'Fiscal Forecasts'!K$170</f>
        <v>48.417000000000002</v>
      </c>
      <c r="L195" s="47">
        <f>'Fiscal Forecasts'!L$170</f>
        <v>51.131</v>
      </c>
      <c r="M195" s="47">
        <f>'Fiscal Forecasts'!M$170</f>
        <v>52.792000000000002</v>
      </c>
      <c r="N195" s="47">
        <f>'Fiscal Forecasts'!N$170</f>
        <v>54.014000000000003</v>
      </c>
      <c r="O195" s="47">
        <f>'Fiscal Forecasts'!O$170</f>
        <v>55.95</v>
      </c>
      <c r="P195" s="47">
        <f>'Fiscal Forecasts'!P$170</f>
        <v>58.197000000000003</v>
      </c>
      <c r="Q195" s="21">
        <f t="shared" ref="Q195:Z195" ca="1" si="131">Q$194</f>
        <v>59.10456213375442</v>
      </c>
      <c r="R195" s="21">
        <f t="shared" ca="1" si="131"/>
        <v>61.74023700058391</v>
      </c>
      <c r="S195" s="21">
        <f t="shared" ca="1" si="131"/>
        <v>64.469799952134792</v>
      </c>
      <c r="T195" s="21">
        <f t="shared" ca="1" si="131"/>
        <v>67.280230577711919</v>
      </c>
      <c r="U195" s="21">
        <f t="shared" ca="1" si="131"/>
        <v>70.249267855938541</v>
      </c>
      <c r="V195" s="21">
        <f t="shared" ca="1" si="131"/>
        <v>73.285258596479949</v>
      </c>
      <c r="W195" s="21">
        <f t="shared" ca="1" si="131"/>
        <v>76.330855742633858</v>
      </c>
      <c r="X195" s="21">
        <f t="shared" ca="1" si="131"/>
        <v>79.398091511624841</v>
      </c>
      <c r="Y195" s="21">
        <f t="shared" ca="1" si="131"/>
        <v>82.473442912902243</v>
      </c>
      <c r="Z195" s="21">
        <f t="shared" ca="1" si="131"/>
        <v>85.578471046868486</v>
      </c>
    </row>
    <row r="196" spans="1:26" x14ac:dyDescent="0.25">
      <c r="A196" s="12" t="s">
        <v>1246</v>
      </c>
      <c r="B196" s="14" t="str">
        <f>$B$38</f>
        <v>From Fiscal Forecasts</v>
      </c>
      <c r="C196" s="100" cm="1">
        <f t="array" aca="1" ref="C196" ca="1">SUMPRODUCT(OFFSET($P$196,0,0,1,-OFFSET(Assumptions!$B$60,0,$C$1))/OFFSET($P$13,0,0,1,-OFFSET(Assumptions!$B$60,0,$C$1)))/OFFSET(Assumptions!$B$60,0,$C$1)</f>
        <v>1.1105091952102625E-2</v>
      </c>
      <c r="D196" s="50">
        <f>'Fiscal Forecasts'!D$57-D$189</f>
        <v>2.8959999999999972</v>
      </c>
      <c r="E196" s="50">
        <f>'Fiscal Forecasts'!E$57-E$189</f>
        <v>3.6169999999999973</v>
      </c>
      <c r="F196" s="50">
        <f>'Fiscal Forecasts'!F$57-F$189</f>
        <v>3.642000000000003</v>
      </c>
      <c r="G196" s="50">
        <f>'Fiscal Forecasts'!G$57-G$189</f>
        <v>1.1199999999999974</v>
      </c>
      <c r="H196" s="50">
        <f>'Fiscal Forecasts'!H$57-H$189</f>
        <v>5.2040000000000006</v>
      </c>
      <c r="I196" s="50">
        <f>'Fiscal Forecasts'!I$57-I$189</f>
        <v>5.3939999999999912</v>
      </c>
      <c r="J196" s="50">
        <f>'Fiscal Forecasts'!J$57-J$189</f>
        <v>5.3710000000000022</v>
      </c>
      <c r="K196" s="50">
        <f>'Fiscal Forecasts'!K$57-K$189</f>
        <v>5.6149999999999949</v>
      </c>
      <c r="L196" s="48">
        <f ca="1">'Fiscal Forecasts'!L$57-L$189+IF(OFFSET(Assumptions!$B$57,0,$C$1)="Yes",Allocation!C$10,0)</f>
        <v>6.2310000000000016</v>
      </c>
      <c r="M196" s="48">
        <f ca="1">'Fiscal Forecasts'!M$57-M$189+IF(OFFSET(Assumptions!$B$57,0,$C$1)="Yes",Allocation!D$10,0)</f>
        <v>6.1059999999999945</v>
      </c>
      <c r="N196" s="48">
        <f ca="1">'Fiscal Forecasts'!N$57-N$189+IF(OFFSET(Assumptions!$B$57,0,$C$1)="Yes",Allocation!E$10,0)</f>
        <v>6.1609999999999943</v>
      </c>
      <c r="O196" s="48">
        <f ca="1">'Fiscal Forecasts'!O$57-O$189+IF(OFFSET(Assumptions!$B$57,0,$C$1)="Yes",Allocation!F$10,0)</f>
        <v>5.9429999999999978</v>
      </c>
      <c r="P196" s="48">
        <f ca="1">'Fiscal Forecasts'!P$57-P$189+IF(OFFSET(Assumptions!$B$57,0,$C$1)="Yes",Allocation!G$10,0)</f>
        <v>6.0039999999999978</v>
      </c>
      <c r="Q196" s="20">
        <f ca="1">P$196+IF(OFFSET(Assumptions!$B$58,0,$C$1)="Yes",Allocation!$B$10*Q$248,IF(OFFSET(Assumptions!$B$59,0,$C$1)="Yes",(P$196/P$13+MIN(ABS($C$196-P$196/P$13),OFFSET(Assumptions!$B$61,0,$C$1))*SIGN($C$196-P$196/P$13))*Q$13-P$196,0))</f>
        <v>6.0039999999999978</v>
      </c>
      <c r="R196" s="20">
        <f ca="1">Q$196+IF(OFFSET(Assumptions!$B$58,0,$C$1)="Yes",Allocation!$B$10*R$248,IF(OFFSET(Assumptions!$B$59,0,$C$1)="Yes",(Q$196/Q$13+MIN(ABS($C$196-Q$196/Q$13),OFFSET(Assumptions!$B$61,0,$C$1))*SIGN($C$196-Q$196/Q$13))*R$13-Q$196,0))</f>
        <v>6.0039999999999978</v>
      </c>
      <c r="S196" s="20">
        <f ca="1">R$196+IF(OFFSET(Assumptions!$B$58,0,$C$1)="Yes",Allocation!$B$10*S$248,IF(OFFSET(Assumptions!$B$59,0,$C$1)="Yes",(R$196/R$13+MIN(ABS($C$196-R$196/R$13),OFFSET(Assumptions!$B$61,0,$C$1))*SIGN($C$196-R$196/R$13))*S$13-R$196,0))</f>
        <v>6.0039999999999978</v>
      </c>
      <c r="T196" s="20">
        <f ca="1">S$196+IF(OFFSET(Assumptions!$B$58,0,$C$1)="Yes",Allocation!$B$10*T$248,IF(OFFSET(Assumptions!$B$59,0,$C$1)="Yes",(S$196/S$13+MIN(ABS($C$196-S$196/S$13),OFFSET(Assumptions!$B$61,0,$C$1))*SIGN($C$196-S$196/S$13))*T$13-S$196,0))</f>
        <v>6.0039999999999978</v>
      </c>
      <c r="U196" s="20">
        <f ca="1">T$196+IF(OFFSET(Assumptions!$B$58,0,$C$1)="Yes",Allocation!$B$10*U$248,IF(OFFSET(Assumptions!$B$59,0,$C$1)="Yes",(T$196/T$13+MIN(ABS($C$196-T$196/T$13),OFFSET(Assumptions!$B$61,0,$C$1))*SIGN($C$196-T$196/T$13))*U$13-T$196,0))</f>
        <v>6.0039999999999978</v>
      </c>
      <c r="V196" s="20">
        <f ca="1">U$196+IF(OFFSET(Assumptions!$B$58,0,$C$1)="Yes",Allocation!$B$10*V$248,IF(OFFSET(Assumptions!$B$59,0,$C$1)="Yes",(U$196/U$13+MIN(ABS($C$196-U$196/U$13),OFFSET(Assumptions!$B$61,0,$C$1))*SIGN($C$196-U$196/U$13))*V$13-U$196,0))</f>
        <v>6.0039999999999978</v>
      </c>
      <c r="W196" s="20">
        <f ca="1">V$196+IF(OFFSET(Assumptions!$B$58,0,$C$1)="Yes",Allocation!$B$10*W$248,IF(OFFSET(Assumptions!$B$59,0,$C$1)="Yes",(V$196/V$13+MIN(ABS($C$196-V$196/V$13),OFFSET(Assumptions!$B$61,0,$C$1))*SIGN($C$196-V$196/V$13))*W$13-V$196,0))</f>
        <v>6.0039999999999978</v>
      </c>
      <c r="X196" s="20">
        <f ca="1">W$196+IF(OFFSET(Assumptions!$B$58,0,$C$1)="Yes",Allocation!$B$10*X$248,IF(OFFSET(Assumptions!$B$59,0,$C$1)="Yes",(W$196/W$13+MIN(ABS($C$196-W$196/W$13),OFFSET(Assumptions!$B$61,0,$C$1))*SIGN($C$196-W$196/W$13))*X$13-W$196,0))</f>
        <v>6.0039999999999978</v>
      </c>
      <c r="Y196" s="20">
        <f ca="1">X$196+IF(OFFSET(Assumptions!$B$58,0,$C$1)="Yes",Allocation!$B$10*Y$248,IF(OFFSET(Assumptions!$B$59,0,$C$1)="Yes",(X$196/X$13+MIN(ABS($C$196-X$196/X$13),OFFSET(Assumptions!$B$61,0,$C$1))*SIGN($C$196-X$196/X$13))*Y$13-X$196,0))</f>
        <v>6.0039999999999978</v>
      </c>
      <c r="Z196" s="20">
        <f ca="1">Y$196+IF(OFFSET(Assumptions!$B$58,0,$C$1)="Yes",Allocation!$B$10*Z$248,IF(OFFSET(Assumptions!$B$59,0,$C$1)="Yes",(Y$196/Y$13+MIN(ABS($C$196-Y$196/Y$13),OFFSET(Assumptions!$B$61,0,$C$1))*SIGN($C$196-Y$196/Y$13))*Z$13-Y$196,0))</f>
        <v>6.0039999999999978</v>
      </c>
    </row>
    <row r="197" spans="1:26" x14ac:dyDescent="0.25">
      <c r="A197" s="11" t="s">
        <v>1247</v>
      </c>
      <c r="B197" s="14"/>
      <c r="C197" s="15"/>
      <c r="D197" s="51">
        <f t="shared" ref="D197:Z197" si="132">SUM(D$189,D$196)</f>
        <v>28.74</v>
      </c>
      <c r="E197" s="51">
        <f t="shared" si="132"/>
        <v>44.027999999999999</v>
      </c>
      <c r="F197" s="51">
        <f t="shared" si="132"/>
        <v>36.759</v>
      </c>
      <c r="G197" s="51">
        <f t="shared" si="132"/>
        <v>42.86</v>
      </c>
      <c r="H197" s="51">
        <f t="shared" si="132"/>
        <v>41.514000000000003</v>
      </c>
      <c r="I197" s="51">
        <f t="shared" si="132"/>
        <v>44.588999999999999</v>
      </c>
      <c r="J197" s="51">
        <f t="shared" si="132"/>
        <v>47.503</v>
      </c>
      <c r="K197" s="51">
        <f t="shared" si="132"/>
        <v>50.223999999999997</v>
      </c>
      <c r="L197" s="47">
        <f t="shared" ca="1" si="132"/>
        <v>53.390999999999998</v>
      </c>
      <c r="M197" s="47">
        <f t="shared" ca="1" si="132"/>
        <v>55.097999999999999</v>
      </c>
      <c r="N197" s="47">
        <f t="shared" ca="1" si="132"/>
        <v>56.384</v>
      </c>
      <c r="O197" s="47">
        <f t="shared" ca="1" si="132"/>
        <v>58.048000000000002</v>
      </c>
      <c r="P197" s="47">
        <f t="shared" ca="1" si="132"/>
        <v>60.286000000000001</v>
      </c>
      <c r="Q197" s="21">
        <f t="shared" ca="1" si="132"/>
        <v>62.786651728501724</v>
      </c>
      <c r="R197" s="21">
        <f t="shared" ca="1" si="132"/>
        <v>65.366878098696247</v>
      </c>
      <c r="S197" s="21">
        <f t="shared" ca="1" si="132"/>
        <v>68.039724365201479</v>
      </c>
      <c r="T197" s="21">
        <f t="shared" ca="1" si="132"/>
        <v>70.791260158547175</v>
      </c>
      <c r="U197" s="21">
        <f t="shared" ca="1" si="132"/>
        <v>73.700100875746642</v>
      </c>
      <c r="V197" s="21">
        <f t="shared" ca="1" si="132"/>
        <v>76.673665327828928</v>
      </c>
      <c r="W197" s="21">
        <f t="shared" ca="1" si="132"/>
        <v>79.65528584318983</v>
      </c>
      <c r="X197" s="21">
        <f t="shared" ca="1" si="132"/>
        <v>82.656621563331242</v>
      </c>
      <c r="Y197" s="21">
        <f t="shared" ca="1" si="132"/>
        <v>85.66387854645177</v>
      </c>
      <c r="Z197" s="21">
        <f t="shared" ca="1" si="132"/>
        <v>88.702532815681224</v>
      </c>
    </row>
    <row r="198" spans="1:26" x14ac:dyDescent="0.25">
      <c r="A198" s="12" t="s">
        <v>1248</v>
      </c>
      <c r="B198" s="14" t="str">
        <f>$B$38</f>
        <v>From Fiscal Forecasts</v>
      </c>
      <c r="C198" s="15"/>
      <c r="D198" s="50">
        <f>'Fiscal Forecasts'!D$206</f>
        <v>6.6790000000000003</v>
      </c>
      <c r="E198" s="50">
        <f>'Fiscal Forecasts'!E$206</f>
        <v>7.6630000000000003</v>
      </c>
      <c r="F198" s="50">
        <f>'Fiscal Forecasts'!F$206</f>
        <v>7.968</v>
      </c>
      <c r="G198" s="50">
        <f>'Fiscal Forecasts'!G$206</f>
        <v>7.3879999999999999</v>
      </c>
      <c r="H198" s="50">
        <f>'Fiscal Forecasts'!H$206</f>
        <v>9.3290000000000006</v>
      </c>
      <c r="I198" s="50">
        <f>'Fiscal Forecasts'!I$206</f>
        <v>11.634</v>
      </c>
      <c r="J198" s="50">
        <f>'Fiscal Forecasts'!J$206</f>
        <v>12.760999999999999</v>
      </c>
      <c r="K198" s="50">
        <f>'Fiscal Forecasts'!K$206</f>
        <v>10.669</v>
      </c>
      <c r="L198" s="48">
        <f>'Fiscal Forecasts'!L$206</f>
        <v>11.167</v>
      </c>
      <c r="M198" s="48">
        <f>'Fiscal Forecasts'!M$206</f>
        <v>11.887</v>
      </c>
      <c r="N198" s="48">
        <f>'Fiscal Forecasts'!N$206</f>
        <v>12.044</v>
      </c>
      <c r="O198" s="48">
        <f>'Fiscal Forecasts'!O$206</f>
        <v>12.486000000000001</v>
      </c>
      <c r="P198" s="48">
        <f>'Fiscal Forecasts'!P$206</f>
        <v>13.964</v>
      </c>
      <c r="Q198" s="20">
        <f>P$198*Exogenous!AB$27/Exogenous!AA$27</f>
        <v>14.725401263097526</v>
      </c>
      <c r="R198" s="20">
        <f>Q$198*Exogenous!AC$27/Exogenous!AB$27</f>
        <v>15.544265309413285</v>
      </c>
      <c r="S198" s="20">
        <f>R$198*Exogenous!AD$27/Exogenous!AC$27</f>
        <v>16.360046622767598</v>
      </c>
      <c r="T198" s="20">
        <f>S$198*Exogenous!AE$27/Exogenous!AD$27</f>
        <v>17.145416164713321</v>
      </c>
      <c r="U198" s="20">
        <f>T$198*Exogenous!AF$27/Exogenous!AE$27</f>
        <v>17.979620806873328</v>
      </c>
      <c r="V198" s="20">
        <f>U$198*Exogenous!AG$27/Exogenous!AF$27</f>
        <v>18.823845570120163</v>
      </c>
      <c r="W198" s="20">
        <f>V$198*Exogenous!AH$27/Exogenous!AG$27</f>
        <v>19.701301164940279</v>
      </c>
      <c r="X198" s="20">
        <f>W$198*Exogenous!AI$27/Exogenous!AH$27</f>
        <v>20.616866136857279</v>
      </c>
      <c r="Y198" s="20">
        <f>X$198*Exogenous!AJ$27/Exogenous!AI$27</f>
        <v>21.528527879486475</v>
      </c>
      <c r="Z198" s="20">
        <f>Y$198*Exogenous!AK$27/Exogenous!AJ$27</f>
        <v>22.495239368343416</v>
      </c>
    </row>
    <row r="199" spans="1:26" x14ac:dyDescent="0.25">
      <c r="A199" s="12" t="s">
        <v>1249</v>
      </c>
      <c r="B199" s="14" t="str">
        <f>$B$38</f>
        <v>From Fiscal Forecasts</v>
      </c>
      <c r="C199" s="15"/>
      <c r="D199" s="50">
        <f>'Fiscal Forecasts'!D$40-SUM(D$197:D$198)</f>
        <v>-1.5169999999999959</v>
      </c>
      <c r="E199" s="50">
        <f>'Fiscal Forecasts'!E$40-SUM(E$197:E$198)</f>
        <v>-1.7910000000000039</v>
      </c>
      <c r="F199" s="50">
        <f>'Fiscal Forecasts'!F$40-SUM(F$197:F$198)</f>
        <v>-1.8350000000000009</v>
      </c>
      <c r="G199" s="50">
        <f>'Fiscal Forecasts'!G$40-SUM(G$197:G$198)</f>
        <v>-1.9450000000000003</v>
      </c>
      <c r="H199" s="50">
        <f>'Fiscal Forecasts'!H$40-SUM(H$197:H$198)</f>
        <v>-1.9980000000000047</v>
      </c>
      <c r="I199" s="50">
        <f>'Fiscal Forecasts'!I$40-SUM(I$197:I$198)</f>
        <v>-2.2269999999999968</v>
      </c>
      <c r="J199" s="50">
        <f>'Fiscal Forecasts'!J$40-SUM(J$197:J$198)</f>
        <v>-2.6289999999999978</v>
      </c>
      <c r="K199" s="50">
        <f>'Fiscal Forecasts'!K$40-SUM(K$197:K$198)</f>
        <v>-2.855000000000004</v>
      </c>
      <c r="L199" s="48">
        <f ca="1">'Fiscal Forecasts'!L$40-SUM(L$197:L$198)+IF(OFFSET(Assumptions!$B$57,0,$C$1)="Yes",Allocation!C$10,0)</f>
        <v>-3.3219999999999956</v>
      </c>
      <c r="M199" s="48">
        <f ca="1">'Fiscal Forecasts'!M$40-SUM(M$197:M$198)+IF(OFFSET(Assumptions!$B$57,0,$C$1)="Yes",Allocation!D$10,0)</f>
        <v>-3.3689999999999998</v>
      </c>
      <c r="N199" s="48">
        <f ca="1">'Fiscal Forecasts'!N$40-SUM(N$197:N$198)+IF(OFFSET(Assumptions!$B$57,0,$C$1)="Yes",Allocation!E$10,0)</f>
        <v>-3.445999999999998</v>
      </c>
      <c r="O199" s="48">
        <f ca="1">'Fiscal Forecasts'!O$40-SUM(O$197:O$198)+IF(OFFSET(Assumptions!$B$57,0,$C$1)="Yes",Allocation!F$10,0)</f>
        <v>-3.5880000000000081</v>
      </c>
      <c r="P199" s="48">
        <f ca="1">'Fiscal Forecasts'!P$40-SUM(P$197:P$198)+IF(OFFSET(Assumptions!$B$57,0,$C$1)="Yes",Allocation!G$10,0)</f>
        <v>-3.7309999999999945</v>
      </c>
      <c r="Q199" s="20">
        <f ca="1">P$199*Exogenous!AB$26/Exogenous!AA$26</f>
        <v>-4.0108249999999943</v>
      </c>
      <c r="R199" s="20">
        <f ca="1">Q$199*Exogenous!AC$26/Exogenous!AB$26</f>
        <v>-4.3116368749999934</v>
      </c>
      <c r="S199" s="20">
        <f ca="1">R$199*Exogenous!AD$26/Exogenous!AC$26</f>
        <v>-4.6350096406249941</v>
      </c>
      <c r="T199" s="20">
        <f ca="1">S$199*Exogenous!AE$26/Exogenous!AD$26</f>
        <v>-4.9826353636718679</v>
      </c>
      <c r="U199" s="20">
        <f ca="1">T$199*Exogenous!AF$26/Exogenous!AE$26</f>
        <v>-5.3563330159472562</v>
      </c>
      <c r="V199" s="20">
        <f ca="1">U$199*Exogenous!AG$26/Exogenous!AF$26</f>
        <v>-5.5766768128014501</v>
      </c>
      <c r="W199" s="20">
        <f ca="1">V$199*Exogenous!AH$26/Exogenous!AG$26</f>
        <v>-5.749865100571105</v>
      </c>
      <c r="X199" s="20">
        <f ca="1">W$199*Exogenous!AI$26/Exogenous!AH$26</f>
        <v>-5.932588574866565</v>
      </c>
      <c r="Y199" s="20">
        <f ca="1">X$199*Exogenous!AJ$26/Exogenous!AI$26</f>
        <v>-6.1268778237144259</v>
      </c>
      <c r="Z199" s="20">
        <f ca="1">Y$199*Exogenous!AK$26/Exogenous!AJ$26</f>
        <v>-6.3238607117571117</v>
      </c>
    </row>
    <row r="200" spans="1:26" x14ac:dyDescent="0.25">
      <c r="A200" s="11" t="s">
        <v>1250</v>
      </c>
      <c r="C200" s="15"/>
      <c r="D200" s="94">
        <f t="shared" ref="D200:K200" si="133">SUM(D$197:D$199)</f>
        <v>33.902000000000001</v>
      </c>
      <c r="E200" s="94">
        <f t="shared" si="133"/>
        <v>49.9</v>
      </c>
      <c r="F200" s="94">
        <f t="shared" si="133"/>
        <v>42.892000000000003</v>
      </c>
      <c r="G200" s="94">
        <f t="shared" si="133"/>
        <v>48.302999999999997</v>
      </c>
      <c r="H200" s="94">
        <f t="shared" si="133"/>
        <v>48.844999999999999</v>
      </c>
      <c r="I200" s="94">
        <f t="shared" si="133"/>
        <v>53.996000000000002</v>
      </c>
      <c r="J200" s="94">
        <f t="shared" si="133"/>
        <v>57.634999999999998</v>
      </c>
      <c r="K200" s="94">
        <f t="shared" si="133"/>
        <v>58.037999999999997</v>
      </c>
      <c r="L200" s="95">
        <f t="shared" ref="L200:Z200" ca="1" si="134">SUM(L$197:L$199)</f>
        <v>61.235999999999997</v>
      </c>
      <c r="M200" s="95">
        <f t="shared" ca="1" si="134"/>
        <v>63.616</v>
      </c>
      <c r="N200" s="95">
        <f t="shared" ca="1" si="134"/>
        <v>64.981999999999999</v>
      </c>
      <c r="O200" s="95">
        <f t="shared" ca="1" si="134"/>
        <v>66.945999999999998</v>
      </c>
      <c r="P200" s="95">
        <f t="shared" ca="1" si="134"/>
        <v>70.519000000000005</v>
      </c>
      <c r="Q200" s="96">
        <f t="shared" ca="1" si="134"/>
        <v>73.501227991599251</v>
      </c>
      <c r="R200" s="96">
        <f t="shared" ca="1" si="134"/>
        <v>76.599506533109547</v>
      </c>
      <c r="S200" s="96">
        <f t="shared" ca="1" si="134"/>
        <v>79.764761347344077</v>
      </c>
      <c r="T200" s="96">
        <f t="shared" ca="1" si="134"/>
        <v>82.954040959588639</v>
      </c>
      <c r="U200" s="96">
        <f t="shared" ca="1" si="134"/>
        <v>86.323388666672713</v>
      </c>
      <c r="V200" s="96">
        <f t="shared" ca="1" si="134"/>
        <v>89.920834085147646</v>
      </c>
      <c r="W200" s="96">
        <f t="shared" ca="1" si="134"/>
        <v>93.606721907559006</v>
      </c>
      <c r="X200" s="96">
        <f t="shared" ca="1" si="134"/>
        <v>97.340899125321954</v>
      </c>
      <c r="Y200" s="96">
        <f t="shared" ca="1" si="134"/>
        <v>101.06552860222382</v>
      </c>
      <c r="Z200" s="96">
        <f t="shared" ca="1" si="134"/>
        <v>104.87391147226754</v>
      </c>
    </row>
    <row r="201" spans="1:26" x14ac:dyDescent="0.25">
      <c r="A201" s="57" t="s">
        <v>1251</v>
      </c>
      <c r="C201" s="15"/>
      <c r="D201" s="12"/>
      <c r="E201" s="12"/>
      <c r="F201" s="12"/>
      <c r="G201" s="12"/>
      <c r="H201" s="12"/>
      <c r="I201" s="12"/>
      <c r="J201" s="12"/>
      <c r="K201" s="12"/>
      <c r="L201" s="12"/>
      <c r="M201" s="12"/>
    </row>
    <row r="202" spans="1:26" x14ac:dyDescent="0.25">
      <c r="A202" s="12" t="s">
        <v>1252</v>
      </c>
      <c r="C202" s="15"/>
      <c r="D202" s="93">
        <f>'Economic Forecasts'!Q$18</f>
        <v>1205.79</v>
      </c>
      <c r="E202" s="93">
        <f>'Economic Forecasts'!R$18</f>
        <v>1241.4100000000001</v>
      </c>
      <c r="F202" s="93">
        <f>'Economic Forecasts'!S$18</f>
        <v>1287.81</v>
      </c>
      <c r="G202" s="93">
        <f>'Economic Forecasts'!T$18</f>
        <v>1360.1</v>
      </c>
      <c r="H202" s="93">
        <f>'Economic Forecasts'!U$18</f>
        <v>1462.81</v>
      </c>
      <c r="I202" s="93">
        <f>'Economic Forecasts'!V$18</f>
        <v>1556.16</v>
      </c>
      <c r="J202" s="93">
        <f>'Economic Forecasts'!W$18</f>
        <v>1622.73</v>
      </c>
      <c r="K202" s="93">
        <f>'Economic Forecasts'!X$18</f>
        <v>1681.06</v>
      </c>
      <c r="L202" s="73">
        <f>'Economic Forecasts'!Y$18</f>
        <v>1729.05</v>
      </c>
      <c r="M202" s="73">
        <f>'Economic Forecasts'!Z$18</f>
        <v>1777.06</v>
      </c>
      <c r="N202" s="73">
        <f>'Economic Forecasts'!AA$18</f>
        <v>1832.62</v>
      </c>
      <c r="O202" s="73">
        <f>'Economic Forecasts'!AB$18</f>
        <v>1893.64</v>
      </c>
      <c r="P202" s="73">
        <f>'Economic Forecasts'!AC$18</f>
        <v>1959.15</v>
      </c>
      <c r="Q202" s="72">
        <f t="shared" ref="Q202:Z202" ca="1" si="135">P$202*(1+Q$26)</f>
        <v>2020.1814407999998</v>
      </c>
      <c r="R202" s="72">
        <f t="shared" ca="1" si="135"/>
        <v>2082.1525266779804</v>
      </c>
      <c r="S202" s="72">
        <f t="shared" ca="1" si="135"/>
        <v>2145.0335329836553</v>
      </c>
      <c r="T202" s="72">
        <f t="shared" ca="1" si="135"/>
        <v>2209.8135456797618</v>
      </c>
      <c r="U202" s="72">
        <f t="shared" ca="1" si="135"/>
        <v>2276.5499147592905</v>
      </c>
      <c r="V202" s="72">
        <f t="shared" ca="1" si="135"/>
        <v>2345.3017221850209</v>
      </c>
      <c r="W202" s="72">
        <f t="shared" ca="1" si="135"/>
        <v>2416.1298341950087</v>
      </c>
      <c r="X202" s="72">
        <f t="shared" ca="1" si="135"/>
        <v>2489.0969551876979</v>
      </c>
      <c r="Y202" s="72">
        <f t="shared" ca="1" si="135"/>
        <v>2564.2676832343664</v>
      </c>
      <c r="Z202" s="72">
        <f t="shared" ca="1" si="135"/>
        <v>2641.7085672680441</v>
      </c>
    </row>
    <row r="203" spans="1:26" x14ac:dyDescent="0.25">
      <c r="A203" s="12" t="s">
        <v>788</v>
      </c>
      <c r="C203" s="15"/>
      <c r="D203" s="93">
        <f>'Economic Forecasts'!Q$19</f>
        <v>958.37</v>
      </c>
      <c r="E203" s="93">
        <f>'Economic Forecasts'!R$19</f>
        <v>987.95</v>
      </c>
      <c r="F203" s="93">
        <f>'Economic Forecasts'!S$19</f>
        <v>1018.53</v>
      </c>
      <c r="G203" s="93">
        <f>'Economic Forecasts'!T$19</f>
        <v>1066.06</v>
      </c>
      <c r="H203" s="93">
        <f>'Economic Forecasts'!U$19</f>
        <v>1132.5999999999999</v>
      </c>
      <c r="I203" s="93">
        <f>'Economic Forecasts'!V$19</f>
        <v>1192.4000000000001</v>
      </c>
      <c r="J203" s="93">
        <f>'Economic Forecasts'!W$19</f>
        <v>1255.05</v>
      </c>
      <c r="K203" s="93">
        <f>'Economic Forecasts'!X$19</f>
        <v>1291.58</v>
      </c>
      <c r="L203" s="73">
        <f>'Economic Forecasts'!Y$19</f>
        <v>1321.5</v>
      </c>
      <c r="M203" s="73">
        <f>'Economic Forecasts'!Z$19</f>
        <v>1352.79</v>
      </c>
      <c r="N203" s="73">
        <f>'Economic Forecasts'!AA$19</f>
        <v>1389.2</v>
      </c>
      <c r="O203" s="73">
        <f>'Economic Forecasts'!AB$19</f>
        <v>1428.97</v>
      </c>
      <c r="P203" s="73">
        <f>'Economic Forecasts'!AC$19</f>
        <v>1471.49</v>
      </c>
      <c r="Q203" s="72">
        <f ca="1">IF(Q$6&lt;OFFSET(Assumptions!$B$8,0,$C$1)+OFFSET(Assumptions!$B$34,0,$C$1),Q$202-ROUND(IF(ROUNDDOWN(52*Q$202,0)&gt;Exogenous!$C$61,(ROUNDDOWN(52*Q$202,0)-Exogenous!$C$61)*Exogenous!$B$62+Exogenous!$E$61,IF(ROUNDDOWN(52*Q$202,0)&gt;Exogenous!$C$60,(ROUNDDOWN(52*Q$202,0)-Exogenous!$C$60)*Exogenous!$B$61+Exogenous!$E$60,IF(ROUNDDOWN(52*Q$202,0)&gt;Exogenous!$C$59,(ROUNDDOWN(52*Q$202,0)-Exogenous!$C$59)*Exogenous!$B$60+Exogenous!$E$59,IF(ROUNDDOWN(52*Q$202,0)&gt;Exogenous!$C$58,(ROUNDDOWN(52*Q$202,0)-Exogenous!$C$58)*Exogenous!$B$59+Exogenous!$E$58,ROUNDDOWN(52*Q$202,0)*Exogenous!$B$58))))/52+Q$202*Exogenous!$B$63,2),ROUND(P$203*(1+Q$26),2))</f>
        <v>1517.33</v>
      </c>
      <c r="R203" s="72">
        <f ca="1">IF(R$6&lt;OFFSET(Assumptions!$B$8,0,$C$1)+OFFSET(Assumptions!$B$34,0,$C$1),R$202-ROUND(IF(ROUNDDOWN(52*R$202,0)&gt;Exogenous!$C$61,(ROUNDDOWN(52*R$202,0)-Exogenous!$C$61)*Exogenous!$B$62+Exogenous!$E$61,IF(ROUNDDOWN(52*R$202,0)&gt;Exogenous!$C$60,(ROUNDDOWN(52*R$202,0)-Exogenous!$C$60)*Exogenous!$B$61+Exogenous!$E$60,IF(ROUNDDOWN(52*R$202,0)&gt;Exogenous!$C$59,(ROUNDDOWN(52*R$202,0)-Exogenous!$C$59)*Exogenous!$B$60+Exogenous!$E$59,IF(ROUNDDOWN(52*R$202,0)&gt;Exogenous!$C$58,(ROUNDDOWN(52*R$202,0)-Exogenous!$C$58)*Exogenous!$B$59+Exogenous!$E$58,ROUNDDOWN(52*R$202,0)*Exogenous!$B$58))))/52+R$202*Exogenous!$B$63,2),ROUND(Q$203*(1+R$26),2))</f>
        <v>1563.88</v>
      </c>
      <c r="S203" s="72">
        <f ca="1">IF(S$6&lt;OFFSET(Assumptions!$B$8,0,$C$1)+OFFSET(Assumptions!$B$34,0,$C$1),S$202-ROUND(IF(ROUNDDOWN(52*S$202,0)&gt;Exogenous!$C$61,(ROUNDDOWN(52*S$202,0)-Exogenous!$C$61)*Exogenous!$B$62+Exogenous!$E$61,IF(ROUNDDOWN(52*S$202,0)&gt;Exogenous!$C$60,(ROUNDDOWN(52*S$202,0)-Exogenous!$C$60)*Exogenous!$B$61+Exogenous!$E$60,IF(ROUNDDOWN(52*S$202,0)&gt;Exogenous!$C$59,(ROUNDDOWN(52*S$202,0)-Exogenous!$C$59)*Exogenous!$B$60+Exogenous!$E$59,IF(ROUNDDOWN(52*S$202,0)&gt;Exogenous!$C$58,(ROUNDDOWN(52*S$202,0)-Exogenous!$C$58)*Exogenous!$B$59+Exogenous!$E$58,ROUNDDOWN(52*S$202,0)*Exogenous!$B$58))))/52+S$202*Exogenous!$B$63,2),ROUND(R$203*(1+S$26),2))</f>
        <v>1611.11</v>
      </c>
      <c r="T203" s="72">
        <f ca="1">IF(T$6&lt;OFFSET(Assumptions!$B$8,0,$C$1)+OFFSET(Assumptions!$B$34,0,$C$1),T$202-ROUND(IF(ROUNDDOWN(52*T$202,0)&gt;Exogenous!$C$61,(ROUNDDOWN(52*T$202,0)-Exogenous!$C$61)*Exogenous!$B$62+Exogenous!$E$61,IF(ROUNDDOWN(52*T$202,0)&gt;Exogenous!$C$60,(ROUNDDOWN(52*T$202,0)-Exogenous!$C$60)*Exogenous!$B$61+Exogenous!$E$60,IF(ROUNDDOWN(52*T$202,0)&gt;Exogenous!$C$59,(ROUNDDOWN(52*T$202,0)-Exogenous!$C$59)*Exogenous!$B$60+Exogenous!$E$59,IF(ROUNDDOWN(52*T$202,0)&gt;Exogenous!$C$58,(ROUNDDOWN(52*T$202,0)-Exogenous!$C$58)*Exogenous!$B$59+Exogenous!$E$58,ROUNDDOWN(52*T$202,0)*Exogenous!$B$58))))/52+T$202*Exogenous!$B$63,2),ROUND(S$203*(1+T$26),2))</f>
        <v>1659.77</v>
      </c>
      <c r="U203" s="72">
        <f ca="1">IF(U$6&lt;OFFSET(Assumptions!$B$8,0,$C$1)+OFFSET(Assumptions!$B$34,0,$C$1),U$202-ROUND(IF(ROUNDDOWN(52*U$202,0)&gt;Exogenous!$C$61,(ROUNDDOWN(52*U$202,0)-Exogenous!$C$61)*Exogenous!$B$62+Exogenous!$E$61,IF(ROUNDDOWN(52*U$202,0)&gt;Exogenous!$C$60,(ROUNDDOWN(52*U$202,0)-Exogenous!$C$60)*Exogenous!$B$61+Exogenous!$E$60,IF(ROUNDDOWN(52*U$202,0)&gt;Exogenous!$C$59,(ROUNDDOWN(52*U$202,0)-Exogenous!$C$59)*Exogenous!$B$60+Exogenous!$E$59,IF(ROUNDDOWN(52*U$202,0)&gt;Exogenous!$C$58,(ROUNDDOWN(52*U$202,0)-Exogenous!$C$58)*Exogenous!$B$59+Exogenous!$E$58,ROUNDDOWN(52*U$202,0)*Exogenous!$B$58))))/52+U$202*Exogenous!$B$63,2),ROUND(T$203*(1+U$26),2))</f>
        <v>1709.9</v>
      </c>
      <c r="V203" s="72">
        <f ca="1">IF(V$6&lt;OFFSET(Assumptions!$B$8,0,$C$1)+OFFSET(Assumptions!$B$34,0,$C$1),V$202-ROUND(IF(ROUNDDOWN(52*V$202,0)&gt;Exogenous!$C$61,(ROUNDDOWN(52*V$202,0)-Exogenous!$C$61)*Exogenous!$B$62+Exogenous!$E$61,IF(ROUNDDOWN(52*V$202,0)&gt;Exogenous!$C$60,(ROUNDDOWN(52*V$202,0)-Exogenous!$C$60)*Exogenous!$B$61+Exogenous!$E$60,IF(ROUNDDOWN(52*V$202,0)&gt;Exogenous!$C$59,(ROUNDDOWN(52*V$202,0)-Exogenous!$C$59)*Exogenous!$B$60+Exogenous!$E$59,IF(ROUNDDOWN(52*V$202,0)&gt;Exogenous!$C$58,(ROUNDDOWN(52*V$202,0)-Exogenous!$C$58)*Exogenous!$B$59+Exogenous!$E$58,ROUNDDOWN(52*V$202,0)*Exogenous!$B$58))))/52+V$202*Exogenous!$B$63,2),ROUND(U$203*(1+V$26),2))</f>
        <v>1761.54</v>
      </c>
      <c r="W203" s="72">
        <f ca="1">IF(W$6&lt;OFFSET(Assumptions!$B$8,0,$C$1)+OFFSET(Assumptions!$B$34,0,$C$1),W$202-ROUND(IF(ROUNDDOWN(52*W$202,0)&gt;Exogenous!$C$61,(ROUNDDOWN(52*W$202,0)-Exogenous!$C$61)*Exogenous!$B$62+Exogenous!$E$61,IF(ROUNDDOWN(52*W$202,0)&gt;Exogenous!$C$60,(ROUNDDOWN(52*W$202,0)-Exogenous!$C$60)*Exogenous!$B$61+Exogenous!$E$60,IF(ROUNDDOWN(52*W$202,0)&gt;Exogenous!$C$59,(ROUNDDOWN(52*W$202,0)-Exogenous!$C$59)*Exogenous!$B$60+Exogenous!$E$59,IF(ROUNDDOWN(52*W$202,0)&gt;Exogenous!$C$58,(ROUNDDOWN(52*W$202,0)-Exogenous!$C$58)*Exogenous!$B$59+Exogenous!$E$58,ROUNDDOWN(52*W$202,0)*Exogenous!$B$58))))/52+W$202*Exogenous!$B$63,2),ROUND(V$203*(1+W$26),2))</f>
        <v>1814.74</v>
      </c>
      <c r="X203" s="72">
        <f ca="1">IF(X$6&lt;OFFSET(Assumptions!$B$8,0,$C$1)+OFFSET(Assumptions!$B$34,0,$C$1),X$202-ROUND(IF(ROUNDDOWN(52*X$202,0)&gt;Exogenous!$C$61,(ROUNDDOWN(52*X$202,0)-Exogenous!$C$61)*Exogenous!$B$62+Exogenous!$E$61,IF(ROUNDDOWN(52*X$202,0)&gt;Exogenous!$C$60,(ROUNDDOWN(52*X$202,0)-Exogenous!$C$60)*Exogenous!$B$61+Exogenous!$E$60,IF(ROUNDDOWN(52*X$202,0)&gt;Exogenous!$C$59,(ROUNDDOWN(52*X$202,0)-Exogenous!$C$59)*Exogenous!$B$60+Exogenous!$E$59,IF(ROUNDDOWN(52*X$202,0)&gt;Exogenous!$C$58,(ROUNDDOWN(52*X$202,0)-Exogenous!$C$58)*Exogenous!$B$59+Exogenous!$E$58,ROUNDDOWN(52*X$202,0)*Exogenous!$B$58))))/52+X$202*Exogenous!$B$63,2),ROUND(W$203*(1+X$26),2))</f>
        <v>1869.55</v>
      </c>
      <c r="Y203" s="72">
        <f ca="1">IF(Y$6&lt;OFFSET(Assumptions!$B$8,0,$C$1)+OFFSET(Assumptions!$B$34,0,$C$1),Y$202-ROUND(IF(ROUNDDOWN(52*Y$202,0)&gt;Exogenous!$C$61,(ROUNDDOWN(52*Y$202,0)-Exogenous!$C$61)*Exogenous!$B$62+Exogenous!$E$61,IF(ROUNDDOWN(52*Y$202,0)&gt;Exogenous!$C$60,(ROUNDDOWN(52*Y$202,0)-Exogenous!$C$60)*Exogenous!$B$61+Exogenous!$E$60,IF(ROUNDDOWN(52*Y$202,0)&gt;Exogenous!$C$59,(ROUNDDOWN(52*Y$202,0)-Exogenous!$C$59)*Exogenous!$B$60+Exogenous!$E$59,IF(ROUNDDOWN(52*Y$202,0)&gt;Exogenous!$C$58,(ROUNDDOWN(52*Y$202,0)-Exogenous!$C$58)*Exogenous!$B$59+Exogenous!$E$58,ROUNDDOWN(52*Y$202,0)*Exogenous!$B$58))))/52+Y$202*Exogenous!$B$63,2),ROUND(X$203*(1+Y$26),2))</f>
        <v>1926.01</v>
      </c>
      <c r="Z203" s="72">
        <f ca="1">IF(Z$6&lt;OFFSET(Assumptions!$B$8,0,$C$1)+OFFSET(Assumptions!$B$34,0,$C$1),Z$202-ROUND(IF(ROUNDDOWN(52*Z$202,0)&gt;Exogenous!$C$61,(ROUNDDOWN(52*Z$202,0)-Exogenous!$C$61)*Exogenous!$B$62+Exogenous!$E$61,IF(ROUNDDOWN(52*Z$202,0)&gt;Exogenous!$C$60,(ROUNDDOWN(52*Z$202,0)-Exogenous!$C$60)*Exogenous!$B$61+Exogenous!$E$60,IF(ROUNDDOWN(52*Z$202,0)&gt;Exogenous!$C$59,(ROUNDDOWN(52*Z$202,0)-Exogenous!$C$59)*Exogenous!$B$60+Exogenous!$E$59,IF(ROUNDDOWN(52*Z$202,0)&gt;Exogenous!$C$58,(ROUNDDOWN(52*Z$202,0)-Exogenous!$C$58)*Exogenous!$B$59+Exogenous!$E$58,ROUNDDOWN(52*Z$202,0)*Exogenous!$B$58))))/52+Z$202*Exogenous!$B$63,2),ROUND(Y$203*(1+Z$26),2))</f>
        <v>1984.18</v>
      </c>
    </row>
    <row r="204" spans="1:26" x14ac:dyDescent="0.25">
      <c r="A204" s="12" t="s">
        <v>789</v>
      </c>
      <c r="C204" s="15"/>
      <c r="D204" s="93">
        <f>'Economic Forecasts'!Q$20</f>
        <v>360.42</v>
      </c>
      <c r="E204" s="93">
        <f>'Economic Forecasts'!R$20</f>
        <v>372.27</v>
      </c>
      <c r="F204" s="93">
        <f>'Economic Forecasts'!S$20</f>
        <v>384.46</v>
      </c>
      <c r="G204" s="93">
        <f>'Economic Forecasts'!T$20</f>
        <v>408.66</v>
      </c>
      <c r="H204" s="93">
        <f>'Economic Forecasts'!U$20</f>
        <v>439.79</v>
      </c>
      <c r="I204" s="93">
        <f>'Economic Forecasts'!V$20</f>
        <v>461.41</v>
      </c>
      <c r="J204" s="93">
        <f>'Economic Forecasts'!W$20</f>
        <v>476.47</v>
      </c>
      <c r="K204" s="93">
        <f>'Economic Forecasts'!X$20</f>
        <v>492.14</v>
      </c>
      <c r="L204" s="73">
        <f>'Economic Forecasts'!Y$20</f>
        <v>510.24</v>
      </c>
      <c r="M204" s="73">
        <f>'Economic Forecasts'!Z$20</f>
        <v>519.77</v>
      </c>
      <c r="N204" s="73">
        <f>'Economic Forecasts'!AA$20</f>
        <v>531.32000000000005</v>
      </c>
      <c r="O204" s="73">
        <f>'Economic Forecasts'!AB$20</f>
        <v>546.11</v>
      </c>
      <c r="P204" s="73">
        <f>'Economic Forecasts'!AC$20</f>
        <v>563.11</v>
      </c>
      <c r="Q204" s="72">
        <f ca="1">IF(Q$6&lt;OFFSET(Assumptions!$B$8,0,$C$1)+OFFSET(Assumptions!$B$34,0,$C$1),IF(52*Q$205&gt;Exogenous!$D$61,(52*Q$205-Exogenous!$C$61*Exogenous!$B$62+Exogenous!$E$61)/(1-Exogenous!$B$62),IF(52*Q$205&gt;Exogenous!$D$60,(52*Q$205-Exogenous!$C$60*Exogenous!$B$61+Exogenous!$E$60)/(1-Exogenous!$B$61),IF(52*Q$205&gt;Exogenous!$D$59,(52*Q$205-Exogenous!$C$59*Exogenous!$B$60+Exogenous!$E$59)/(1-Exogenous!$B$60),IF(52*Q$205&gt;Exogenous!$D$58,(52*Q$205-Exogenous!$C$58*Exogenous!$B$59+Exogenous!$E$58)/(1-Exogenous!$B$59),52*Q$205/(1-Exogenous!$B$58)))))/52,P$204*Q$205/P$205)</f>
        <v>580.65409044461387</v>
      </c>
      <c r="R204" s="72">
        <f ca="1">IF(R$6&lt;OFFSET(Assumptions!$B$8,0,$C$1)+OFFSET(Assumptions!$B$34,0,$C$1),IF(52*R$205&gt;Exogenous!$D$61,(52*R$205-Exogenous!$C$61*Exogenous!$B$62+Exogenous!$E$61)/(1-Exogenous!$B$62),IF(52*R$205&gt;Exogenous!$D$60,(52*R$205-Exogenous!$C$60*Exogenous!$B$61+Exogenous!$E$60)/(1-Exogenous!$B$61),IF(52*R$205&gt;Exogenous!$D$59,(52*R$205-Exogenous!$C$59*Exogenous!$B$60+Exogenous!$E$59)/(1-Exogenous!$B$60),IF(52*R$205&gt;Exogenous!$D$58,(52*R$205-Exogenous!$C$58*Exogenous!$B$59+Exogenous!$E$58)/(1-Exogenous!$B$59),52*R$205/(1-Exogenous!$B$58)))))/52,Q$204*R$205/Q$205)</f>
        <v>598.46791335076932</v>
      </c>
      <c r="S204" s="72">
        <f ca="1">IF(S$6&lt;OFFSET(Assumptions!$B$8,0,$C$1)+OFFSET(Assumptions!$B$34,0,$C$1),IF(52*S$205&gt;Exogenous!$D$61,(52*S$205-Exogenous!$C$61*Exogenous!$B$62+Exogenous!$E$61)/(1-Exogenous!$B$62),IF(52*S$205&gt;Exogenous!$D$60,(52*S$205-Exogenous!$C$60*Exogenous!$B$61+Exogenous!$E$60)/(1-Exogenous!$B$61),IF(52*S$205&gt;Exogenous!$D$59,(52*S$205-Exogenous!$C$59*Exogenous!$B$60+Exogenous!$E$59)/(1-Exogenous!$B$60),IF(52*S$205&gt;Exogenous!$D$58,(52*S$205-Exogenous!$C$58*Exogenous!$B$59+Exogenous!$E$58)/(1-Exogenous!$B$59),52*S$205/(1-Exogenous!$B$58)))))/52,R$204*S$205/R$205)</f>
        <v>616.54195966350221</v>
      </c>
      <c r="T204" s="72">
        <f ca="1">IF(T$6&lt;OFFSET(Assumptions!$B$8,0,$C$1)+OFFSET(Assumptions!$B$34,0,$C$1),IF(52*T$205&gt;Exogenous!$D$61,(52*T$205-Exogenous!$C$61*Exogenous!$B$62+Exogenous!$E$61)/(1-Exogenous!$B$62),IF(52*T$205&gt;Exogenous!$D$60,(52*T$205-Exogenous!$C$60*Exogenous!$B$61+Exogenous!$E$60)/(1-Exogenous!$B$61),IF(52*T$205&gt;Exogenous!$D$59,(52*T$205-Exogenous!$C$59*Exogenous!$B$60+Exogenous!$E$59)/(1-Exogenous!$B$60),IF(52*T$205&gt;Exogenous!$D$58,(52*T$205-Exogenous!$C$58*Exogenous!$B$59+Exogenous!$E$58)/(1-Exogenous!$B$59),52*T$205/(1-Exogenous!$B$58)))))/52,S$204*T$205/S$205)</f>
        <v>635.16324049300863</v>
      </c>
      <c r="U204" s="72">
        <f ca="1">IF(U$6&lt;OFFSET(Assumptions!$B$8,0,$C$1)+OFFSET(Assumptions!$B$34,0,$C$1),IF(52*U$205&gt;Exogenous!$D$61,(52*U$205-Exogenous!$C$61*Exogenous!$B$62+Exogenous!$E$61)/(1-Exogenous!$B$62),IF(52*U$205&gt;Exogenous!$D$60,(52*U$205-Exogenous!$C$60*Exogenous!$B$61+Exogenous!$E$60)/(1-Exogenous!$B$61),IF(52*U$205&gt;Exogenous!$D$59,(52*U$205-Exogenous!$C$59*Exogenous!$B$60+Exogenous!$E$59)/(1-Exogenous!$B$60),IF(52*U$205&gt;Exogenous!$D$58,(52*U$205-Exogenous!$C$58*Exogenous!$B$59+Exogenous!$E$58)/(1-Exogenous!$B$59),52*U$205/(1-Exogenous!$B$58)))))/52,T$204*U$205/T$205)</f>
        <v>654.34706309849889</v>
      </c>
      <c r="V204" s="72">
        <f ca="1">IF(V$6&lt;OFFSET(Assumptions!$B$8,0,$C$1)+OFFSET(Assumptions!$B$34,0,$C$1),IF(52*V$205&gt;Exogenous!$D$61,(52*V$205-Exogenous!$C$61*Exogenous!$B$62+Exogenous!$E$61)/(1-Exogenous!$B$62),IF(52*V$205&gt;Exogenous!$D$60,(52*V$205-Exogenous!$C$60*Exogenous!$B$61+Exogenous!$E$60)/(1-Exogenous!$B$61),IF(52*V$205&gt;Exogenous!$D$59,(52*V$205-Exogenous!$C$59*Exogenous!$B$60+Exogenous!$E$59)/(1-Exogenous!$B$60),IF(52*V$205&gt;Exogenous!$D$58,(52*V$205-Exogenous!$C$58*Exogenous!$B$59+Exogenous!$E$58)/(1-Exogenous!$B$59),52*V$205/(1-Exogenous!$B$58)))))/52,U$204*V$205/U$205)</f>
        <v>674.10873473918343</v>
      </c>
      <c r="W204" s="72">
        <f ca="1">IF(W$6&lt;OFFSET(Assumptions!$B$8,0,$C$1)+OFFSET(Assumptions!$B$34,0,$C$1),IF(52*W$205&gt;Exogenous!$D$61,(52*W$205-Exogenous!$C$61*Exogenous!$B$62+Exogenous!$E$61)/(1-Exogenous!$B$62),IF(52*W$205&gt;Exogenous!$D$60,(52*W$205-Exogenous!$C$60*Exogenous!$B$61+Exogenous!$E$60)/(1-Exogenous!$B$61),IF(52*W$205&gt;Exogenous!$D$59,(52*W$205-Exogenous!$C$59*Exogenous!$B$60+Exogenous!$E$59)/(1-Exogenous!$B$60),IF(52*W$205&gt;Exogenous!$D$58,(52*W$205-Exogenous!$C$58*Exogenous!$B$59+Exogenous!$E$58)/(1-Exogenous!$B$59),52*W$205/(1-Exogenous!$B$58)))))/52,V$204*W$205/V$205)</f>
        <v>694.46738948907523</v>
      </c>
      <c r="X204" s="72">
        <f ca="1">IF(X$6&lt;OFFSET(Assumptions!$B$8,0,$C$1)+OFFSET(Assumptions!$B$34,0,$C$1),IF(52*X$205&gt;Exogenous!$D$61,(52*X$205-Exogenous!$C$61*Exogenous!$B$62+Exogenous!$E$61)/(1-Exogenous!$B$62),IF(52*X$205&gt;Exogenous!$D$60,(52*X$205-Exogenous!$C$60*Exogenous!$B$61+Exogenous!$E$60)/(1-Exogenous!$B$61),IF(52*X$205&gt;Exogenous!$D$59,(52*X$205-Exogenous!$C$59*Exogenous!$B$60+Exogenous!$E$59)/(1-Exogenous!$B$60),IF(52*X$205&gt;Exogenous!$D$58,(52*X$205-Exogenous!$C$58*Exogenous!$B$59+Exogenous!$E$58)/(1-Exogenous!$B$59),52*X$205/(1-Exogenous!$B$58)))))/52,W$204*X$205/W$205)</f>
        <v>715.44216142218761</v>
      </c>
      <c r="Y204" s="72">
        <f ca="1">IF(Y$6&lt;OFFSET(Assumptions!$B$8,0,$C$1)+OFFSET(Assumptions!$B$34,0,$C$1),IF(52*Y$205&gt;Exogenous!$D$61,(52*Y$205-Exogenous!$C$61*Exogenous!$B$62+Exogenous!$E$61)/(1-Exogenous!$B$62),IF(52*Y$205&gt;Exogenous!$D$60,(52*Y$205-Exogenous!$C$60*Exogenous!$B$61+Exogenous!$E$60)/(1-Exogenous!$B$61),IF(52*Y$205&gt;Exogenous!$D$59,(52*Y$205-Exogenous!$C$59*Exogenous!$B$60+Exogenous!$E$59)/(1-Exogenous!$B$60),IF(52*Y$205&gt;Exogenous!$D$58,(52*Y$205-Exogenous!$C$58*Exogenous!$B$59+Exogenous!$E$58)/(1-Exogenous!$B$59),52*Y$205/(1-Exogenous!$B$58)))))/52,X$204*Y$205/X$205)</f>
        <v>737.04835779773077</v>
      </c>
      <c r="Z204" s="72">
        <f ca="1">IF(Z$6&lt;OFFSET(Assumptions!$B$8,0,$C$1)+OFFSET(Assumptions!$B$34,0,$C$1),IF(52*Z$205&gt;Exogenous!$D$61,(52*Z$205-Exogenous!$C$61*Exogenous!$B$62+Exogenous!$E$61)/(1-Exogenous!$B$62),IF(52*Z$205&gt;Exogenous!$D$60,(52*Z$205-Exogenous!$C$60*Exogenous!$B$61+Exogenous!$E$60)/(1-Exogenous!$B$61),IF(52*Z$205&gt;Exogenous!$D$59,(52*Z$205-Exogenous!$C$59*Exogenous!$B$60+Exogenous!$E$59)/(1-Exogenous!$B$60),IF(52*Z$205&gt;Exogenous!$D$58,(52*Z$205-Exogenous!$C$58*Exogenous!$B$59+Exogenous!$E$58)/(1-Exogenous!$B$59),52*Z$205/(1-Exogenous!$B$58)))))/52,Y$204*Z$205/Y$205)</f>
        <v>759.30893950452048</v>
      </c>
    </row>
    <row r="205" spans="1:26" x14ac:dyDescent="0.25">
      <c r="A205" s="12" t="s">
        <v>790</v>
      </c>
      <c r="C205" s="15"/>
      <c r="D205" s="93">
        <f>'Economic Forecasts'!Q$21</f>
        <v>316.27</v>
      </c>
      <c r="E205" s="93">
        <f>'Economic Forecasts'!R$21</f>
        <v>326.02</v>
      </c>
      <c r="F205" s="93">
        <f>'Economic Forecasts'!S$21</f>
        <v>336.11</v>
      </c>
      <c r="G205" s="93">
        <f>'Economic Forecasts'!T$21</f>
        <v>356.11</v>
      </c>
      <c r="H205" s="93">
        <f>'Economic Forecasts'!U$21</f>
        <v>381.82</v>
      </c>
      <c r="I205" s="93">
        <f>'Economic Forecasts'!V$21</f>
        <v>399.59</v>
      </c>
      <c r="J205" s="93">
        <f>'Economic Forecasts'!W$21</f>
        <v>414.17</v>
      </c>
      <c r="K205" s="93">
        <f>'Economic Forecasts'!X$21</f>
        <v>427.04</v>
      </c>
      <c r="L205" s="73">
        <f>'Economic Forecasts'!Y$21</f>
        <v>441.99</v>
      </c>
      <c r="M205" s="73">
        <f>'Economic Forecasts'!Z$21</f>
        <v>449.95</v>
      </c>
      <c r="N205" s="73">
        <f>'Economic Forecasts'!AA$21</f>
        <v>459.4</v>
      </c>
      <c r="O205" s="73">
        <f>'Economic Forecasts'!AB$21</f>
        <v>471.56</v>
      </c>
      <c r="P205" s="73">
        <f>'Economic Forecasts'!AC$21</f>
        <v>485.59</v>
      </c>
      <c r="Q205" s="72">
        <f ca="1">IF(2*P$205*(1+Q$29)&gt;OFFSET(Assumptions!$B$36,0,$C$1)*Q$203,OFFSET(Assumptions!$B$36,0,$C$1)*Q$203,IF(2*P$205*(1+Q$29)&lt;OFFSET(Assumptions!$B$35,0,$C$1)*Q$203,OFFSET(Assumptions!$B$35,0,$C$1)*Q$203,2*P$205*(1+Q$29)))/2</f>
        <v>500.71890000000002</v>
      </c>
      <c r="R205" s="72">
        <f ca="1">IF(2*Q$205*(1+R$29)&gt;OFFSET(Assumptions!$B$36,0,$C$1)*R$203,OFFSET(Assumptions!$B$36,0,$C$1)*R$203,IF(2*Q$205*(1+R$29)&lt;OFFSET(Assumptions!$B$35,0,$C$1)*R$203,OFFSET(Assumptions!$B$35,0,$C$1)*R$203,2*Q$205*(1+R$29)))/2</f>
        <v>516.08040000000005</v>
      </c>
      <c r="S205" s="72">
        <f ca="1">IF(2*R$205*(1+S$29)&gt;OFFSET(Assumptions!$B$36,0,$C$1)*S$203,OFFSET(Assumptions!$B$36,0,$C$1)*S$203,IF(2*R$205*(1+S$29)&lt;OFFSET(Assumptions!$B$35,0,$C$1)*S$203,OFFSET(Assumptions!$B$35,0,$C$1)*S$203,2*R$205*(1+S$29)))/2</f>
        <v>531.66629999999998</v>
      </c>
      <c r="T205" s="72">
        <f ca="1">IF(2*S$205*(1+T$29)&gt;OFFSET(Assumptions!$B$36,0,$C$1)*T$203,OFFSET(Assumptions!$B$36,0,$C$1)*T$203,IF(2*S$205*(1+T$29)&lt;OFFSET(Assumptions!$B$35,0,$C$1)*T$203,OFFSET(Assumptions!$B$35,0,$C$1)*T$203,2*S$205*(1+T$29)))/2</f>
        <v>547.72410000000002</v>
      </c>
      <c r="U205" s="72">
        <f ca="1">IF(2*T$205*(1+U$29)&gt;OFFSET(Assumptions!$B$36,0,$C$1)*U$203,OFFSET(Assumptions!$B$36,0,$C$1)*U$203,IF(2*T$205*(1+U$29)&lt;OFFSET(Assumptions!$B$35,0,$C$1)*U$203,OFFSET(Assumptions!$B$35,0,$C$1)*U$203,2*T$205*(1+U$29)))/2</f>
        <v>564.26700000000005</v>
      </c>
      <c r="V205" s="72">
        <f ca="1">IF(2*U$205*(1+V$29)&gt;OFFSET(Assumptions!$B$36,0,$C$1)*V$203,OFFSET(Assumptions!$B$36,0,$C$1)*V$203,IF(2*U$205*(1+V$29)&lt;OFFSET(Assumptions!$B$35,0,$C$1)*V$203,OFFSET(Assumptions!$B$35,0,$C$1)*V$203,2*U$205*(1+V$29)))/2</f>
        <v>581.30820000000006</v>
      </c>
      <c r="W205" s="72">
        <f ca="1">IF(2*V$205*(1+W$29)&gt;OFFSET(Assumptions!$B$36,0,$C$1)*W$203,OFFSET(Assumptions!$B$36,0,$C$1)*W$203,IF(2*V$205*(1+W$29)&lt;OFFSET(Assumptions!$B$35,0,$C$1)*W$203,OFFSET(Assumptions!$B$35,0,$C$1)*W$203,2*V$205*(1+W$29)))/2</f>
        <v>598.86419999999998</v>
      </c>
      <c r="X205" s="72">
        <f ca="1">IF(2*W$205*(1+X$29)&gt;OFFSET(Assumptions!$B$36,0,$C$1)*X$203,OFFSET(Assumptions!$B$36,0,$C$1)*X$203,IF(2*W$205*(1+X$29)&lt;OFFSET(Assumptions!$B$35,0,$C$1)*X$203,OFFSET(Assumptions!$B$35,0,$C$1)*X$203,2*W$205*(1+X$29)))/2</f>
        <v>616.95150000000001</v>
      </c>
      <c r="Y205" s="72">
        <f ca="1">IF(2*X$205*(1+Y$29)&gt;OFFSET(Assumptions!$B$36,0,$C$1)*Y$203,OFFSET(Assumptions!$B$36,0,$C$1)*Y$203,IF(2*X$205*(1+Y$29)&lt;OFFSET(Assumptions!$B$35,0,$C$1)*Y$203,OFFSET(Assumptions!$B$35,0,$C$1)*Y$203,2*X$205*(1+Y$29)))/2</f>
        <v>635.58330000000001</v>
      </c>
      <c r="Z205" s="72">
        <f ca="1">IF(2*Y$205*(1+Z$29)&gt;OFFSET(Assumptions!$B$36,0,$C$1)*Z$203,OFFSET(Assumptions!$B$36,0,$C$1)*Z$203,IF(2*Y$205*(1+Z$29)&lt;OFFSET(Assumptions!$B$35,0,$C$1)*Z$203,OFFSET(Assumptions!$B$35,0,$C$1)*Z$203,2*Y$205*(1+Z$29)))/2</f>
        <v>654.77940000000001</v>
      </c>
    </row>
    <row r="207" spans="1:26" x14ac:dyDescent="0.25">
      <c r="A207" s="11" t="s">
        <v>871</v>
      </c>
    </row>
    <row r="208" spans="1:26" x14ac:dyDescent="0.25">
      <c r="A208" s="11" t="s">
        <v>1253</v>
      </c>
      <c r="B208" s="14" t="str">
        <f>$B$38</f>
        <v>From Fiscal Forecasts</v>
      </c>
      <c r="D208" s="51">
        <f>'Fiscal Forecasts'!D$171</f>
        <v>7.7939999999999996</v>
      </c>
      <c r="E208" s="51">
        <f>'Fiscal Forecasts'!E$171</f>
        <v>8.48</v>
      </c>
      <c r="F208" s="51">
        <f>'Fiscal Forecasts'!F$171</f>
        <v>9.3580000000000005</v>
      </c>
      <c r="G208" s="51">
        <f>'Fiscal Forecasts'!G$171</f>
        <v>9.9450000000000003</v>
      </c>
      <c r="H208" s="51">
        <f>'Fiscal Forecasts'!H$171</f>
        <v>10.449</v>
      </c>
      <c r="I208" s="51">
        <f>'Fiscal Forecasts'!I$171</f>
        <v>11.26</v>
      </c>
      <c r="J208" s="51">
        <f>'Fiscal Forecasts'!J$171</f>
        <v>11.185</v>
      </c>
      <c r="K208" s="51">
        <f>'Fiscal Forecasts'!K$171</f>
        <v>11.682</v>
      </c>
      <c r="L208" s="47">
        <f>'Fiscal Forecasts'!L$171</f>
        <v>12.255000000000001</v>
      </c>
      <c r="M208" s="47">
        <f>'Fiscal Forecasts'!M$171</f>
        <v>12.164999999999999</v>
      </c>
      <c r="N208" s="47">
        <f>'Fiscal Forecasts'!N$171</f>
        <v>12.157999999999999</v>
      </c>
      <c r="O208" s="47">
        <f>'Fiscal Forecasts'!O$171</f>
        <v>12.071</v>
      </c>
      <c r="P208" s="47">
        <f>'Fiscal Forecasts'!P$171</f>
        <v>12.128</v>
      </c>
      <c r="Q208" s="21">
        <f ca="1">SUM(Q$252,IF(Q$6=OFFSET(Assumptions!$B$8,0,$C$1),AVERAGE((N$208-N$252)/SUM(N$208,N$215,N$223,-N$252,-N$324),(O$208-O$252)/SUM(O$208,O$215,O$223,-O$252,-O$324),(P$208-P$252)/SUM(P$208,P$215,P$223,-P$252,-P$324)),(P$208-P$252)/SUM(P$208,P$215,P$223,-P$252,-P$324))*(Q$323-Q$256-Q$264))</f>
        <v>12.760540852212324</v>
      </c>
      <c r="R208" s="21">
        <f ca="1">SUM(R$252,IF(R$6=OFFSET(Assumptions!$B$8,0,$C$1),AVERAGE((O$208-O$252)/SUM(O$208,O$215,O$223,-O$252,-O$324),(P$208-P$252)/SUM(P$208,P$215,P$223,-P$252,-P$324),(Q$208-Q$252)/SUM(Q$208,Q$215,Q$223,-Q$252,-Q$324)),(Q$208-Q$252)/SUM(Q$208,Q$215,Q$223,-Q$252,-Q$324))*(R$323-R$256-R$264))</f>
        <v>12.758421738638912</v>
      </c>
      <c r="S208" s="21">
        <f ca="1">SUM(S$252,IF(S$6=OFFSET(Assumptions!$B$8,0,$C$1),AVERAGE((P$208-P$252)/SUM(P$208,P$215,P$223,-P$252,-P$324),(Q$208-Q$252)/SUM(Q$208,Q$215,Q$223,-Q$252,-Q$324),(R$208-R$252)/SUM(R$208,R$215,R$223,-R$252,-R$324)),(R$208-R$252)/SUM(R$208,R$215,R$223,-R$252,-R$324))*(S$323-S$256-S$264))</f>
        <v>12.756302625065507</v>
      </c>
      <c r="T208" s="21">
        <f ca="1">SUM(T$252,IF(T$6=OFFSET(Assumptions!$B$8,0,$C$1),AVERAGE((Q$208-Q$252)/SUM(Q$208,Q$215,Q$223,-Q$252,-Q$324),(R$208-R$252)/SUM(R$208,R$215,R$223,-R$252,-R$324),(S$208-S$252)/SUM(S$208,S$215,S$223,-S$252,-S$324)),(S$208-S$252)/SUM(S$208,S$215,S$223,-S$252,-S$324))*(T$323-T$256-T$264))</f>
        <v>12.754058857752476</v>
      </c>
      <c r="U208" s="21">
        <f ca="1">SUM(U$252,IF(U$6=OFFSET(Assumptions!$B$8,0,$C$1),AVERAGE((R$208-R$252)/SUM(R$208,R$215,R$223,-R$252,-R$324),(S$208-S$252)/SUM(S$208,S$215,S$223,-S$252,-S$324),(T$208-T$252)/SUM(T$208,T$215,T$223,-T$252,-T$324)),(T$208-T$252)/SUM(T$208,T$215,T$223,-T$252,-T$324))*(U$323-U$256-U$264))</f>
        <v>12.752064397918684</v>
      </c>
      <c r="V208" s="21">
        <f ca="1">SUM(V$252,IF(V$6=OFFSET(Assumptions!$B$8,0,$C$1),AVERAGE((S$208-S$252)/SUM(S$208,S$215,S$223,-S$252,-S$324),(T$208-T$252)/SUM(T$208,T$215,T$223,-T$252,-T$324),(U$208-U$252)/SUM(U$208,U$215,U$223,-U$252,-U$324)),(U$208-U$252)/SUM(U$208,U$215,U$223,-U$252,-U$324))*(V$323-V$256-V$264))</f>
        <v>12.750069938084883</v>
      </c>
      <c r="W208" s="21">
        <f ca="1">SUM(W$252,IF(W$6=OFFSET(Assumptions!$B$8,0,$C$1),AVERAGE((T$208-T$252)/SUM(T$208,T$215,T$223,-T$252,-T$324),(U$208-U$252)/SUM(U$208,U$215,U$223,-U$252,-U$324),(V$208-V$252)/SUM(V$208,V$215,V$223,-V$252,-V$324)),(V$208-V$252)/SUM(V$208,V$215,V$223,-V$252,-V$324))*(W$323-W$256-W$264))</f>
        <v>12.74795082451147</v>
      </c>
      <c r="X208" s="21">
        <f ca="1">SUM(X$252,IF(X$6=OFFSET(Assumptions!$B$8,0,$C$1),AVERAGE((U$208-U$252)/SUM(U$208,U$215,U$223,-U$252,-U$324),(V$208-V$252)/SUM(V$208,V$215,V$223,-V$252,-V$324),(W$208-W$252)/SUM(W$208,W$215,W$223,-W$252,-W$324)),(W$208-W$252)/SUM(W$208,W$215,W$223,-W$252,-W$324))*(X$323-X$256-X$264))</f>
        <v>12.745831710938065</v>
      </c>
      <c r="Y208" s="21">
        <f ca="1">SUM(Y$252,IF(Y$6=OFFSET(Assumptions!$B$8,0,$C$1),AVERAGE((V$208-V$252)/SUM(V$208,V$215,V$223,-V$252,-V$324),(W$208-W$252)/SUM(W$208,W$215,W$223,-W$252,-W$324),(X$208-X$252)/SUM(X$208,X$215,X$223,-X$252,-X$324)),(X$208-X$252)/SUM(X$208,X$215,X$223,-X$252,-X$324))*(Y$323-Y$256-Y$264))</f>
        <v>12.743961904843879</v>
      </c>
      <c r="Z208" s="21">
        <f ca="1">SUM(Z$252,IF(Z$6=OFFSET(Assumptions!$B$8,0,$C$1),AVERAGE((W$208-W$252)/SUM(W$208,W$215,W$223,-W$252,-W$324),(X$208-X$252)/SUM(X$208,X$215,X$223,-X$252,-X$324),(Y$208-Y$252)/SUM(Y$208,Y$215,Y$223,-Y$252,-Y$324)),(Y$208-Y$252)/SUM(Y$208,Y$215,Y$223,-Y$252,-Y$324))*(Z$323-Z$256-Z$264))</f>
        <v>12.742092098749703</v>
      </c>
    </row>
    <row r="209" spans="1:26" x14ac:dyDescent="0.25">
      <c r="A209" s="12" t="s">
        <v>1020</v>
      </c>
      <c r="B209" s="14" t="str">
        <f>$B$38</f>
        <v>From Fiscal Forecasts</v>
      </c>
      <c r="D209" s="50">
        <f>'Fiscal Forecasts'!D$255</f>
        <v>15.085000000000001</v>
      </c>
      <c r="E209" s="50">
        <f>'Fiscal Forecasts'!E$255</f>
        <v>16.317</v>
      </c>
      <c r="F209" s="50">
        <f>'Fiscal Forecasts'!F$255</f>
        <v>17.928999999999998</v>
      </c>
      <c r="G209" s="50">
        <f>'Fiscal Forecasts'!G$255</f>
        <v>19.896999999999998</v>
      </c>
      <c r="H209" s="50">
        <f>'Fiscal Forecasts'!H$255</f>
        <v>22.326000000000001</v>
      </c>
      <c r="I209" s="50">
        <f>'Fiscal Forecasts'!I$255</f>
        <v>24.337</v>
      </c>
      <c r="J209" s="50">
        <f>'Fiscal Forecasts'!J$255</f>
        <v>23.951000000000001</v>
      </c>
      <c r="K209" s="50">
        <f>'Fiscal Forecasts'!K$255</f>
        <v>25.045000000000002</v>
      </c>
      <c r="L209" s="48">
        <f>'Fiscal Forecasts'!L$255</f>
        <v>25.934999999999999</v>
      </c>
      <c r="M209" s="48">
        <f>'Fiscal Forecasts'!M$255</f>
        <v>25.988</v>
      </c>
      <c r="N209" s="48">
        <f>'Fiscal Forecasts'!N$255</f>
        <v>25.992999999999999</v>
      </c>
      <c r="O209" s="48">
        <f>'Fiscal Forecasts'!O$255</f>
        <v>26.021999999999998</v>
      </c>
      <c r="P209" s="48">
        <f>'Fiscal Forecasts'!P$255</f>
        <v>26.100999999999999</v>
      </c>
      <c r="Q209" s="20">
        <f ca="1">SUM(Q$253-Q$252,IF(Q$6=OFFSET(Assumptions!$B$8,0,$C$1),AVERAGE(SUM(N$209,-(N$253-N$252))/SUM(N$209,-(N$253-N$252),N$216,N$224),(O$209-(O$253-O$252))/SUM(O$209,-(O$253-O$252),O$216,O$224),(P$209-(P$253-P$252))/SUM(P$209,-(P$253-P$252),P$216,P$224)),(P$209-(P$253-P$252))/SUM(P$209,-(P$253-P$252),P$216,P$224))*SUM(Q$198-Q$239,Q$257,Q$266,Q$284,Q$326,-(Q$253-Q$252)))</f>
        <v>26.256932471996247</v>
      </c>
      <c r="R209" s="20">
        <f ca="1">SUM(R$253-R$252,IF(R$6=OFFSET(Assumptions!$B$8,0,$C$1),AVERAGE(SUM(O$209,-(O$253-O$252))/SUM(O$209,-(O$253-O$252),O$216,O$224),(P$209-(P$253-P$252))/SUM(P$209,-(P$253-P$252),P$216,P$224),(Q$209-(Q$253-Q$252))/SUM(Q$209,-(Q$253-Q$252),Q$216,Q$224)),(Q$209-(Q$253-Q$252))/SUM(Q$209,-(Q$253-Q$252),Q$216,Q$224))*SUM(R$198-R$239,R$257,R$266,R$284,R$326,-(R$253-R$252)))</f>
        <v>26.396462479796515</v>
      </c>
      <c r="S209" s="20">
        <f ca="1">SUM(S$253-S$252,IF(S$6=OFFSET(Assumptions!$B$8,0,$C$1),AVERAGE(SUM(P$209,-(P$253-P$252))/SUM(P$209,-(P$253-P$252),P$216,P$224),(Q$209-(Q$253-Q$252))/SUM(Q$209,-(Q$253-Q$252),Q$216,Q$224),(R$209-(R$253-R$252))/SUM(R$209,-(R$253-R$252),R$216,R$224)),(R$209-(R$253-R$252))/SUM(R$209,-(R$253-R$252),R$216,R$224))*SUM(S$198-S$239,S$257,S$266,S$284,S$326,-(S$253-S$252)))</f>
        <v>26.529700177315515</v>
      </c>
      <c r="T209" s="20">
        <f ca="1">SUM(T$253-T$252,IF(T$6=OFFSET(Assumptions!$B$8,0,$C$1),AVERAGE(SUM(Q$209,-(Q$253-Q$252))/SUM(Q$209,-(Q$253-Q$252),Q$216,Q$224),(R$209-(R$253-R$252))/SUM(R$209,-(R$253-R$252),R$216,R$224),(S$209-(S$253-S$252))/SUM(S$209,-(S$253-S$252),S$216,S$224)),(S$209-(S$253-S$252))/SUM(S$209,-(S$253-S$252),S$216,S$224))*SUM(T$198-T$239,T$257,T$266,T$284,T$326,-(T$253-T$252)))</f>
        <v>26.748036989949746</v>
      </c>
      <c r="U209" s="20">
        <f ca="1">SUM(U$253-U$252,IF(U$6=OFFSET(Assumptions!$B$8,0,$C$1),AVERAGE(SUM(R$209,-(R$253-R$252))/SUM(R$209,-(R$253-R$252),R$216,R$224),(S$209-(S$253-S$252))/SUM(S$209,-(S$253-S$252),S$216,S$224),(T$209-(T$253-T$252))/SUM(T$209,-(T$253-T$252),T$216,T$224)),(T$209-(T$253-T$252))/SUM(T$209,-(T$253-T$252),T$216,T$224))*SUM(U$198-U$239,U$257,U$266,U$284,U$326,-(U$253-U$252)))</f>
        <v>27.015509820565143</v>
      </c>
      <c r="V209" s="20">
        <f ca="1">SUM(V$253-V$252,IF(V$6=OFFSET(Assumptions!$B$8,0,$C$1),AVERAGE(SUM(S$209,-(S$253-S$252))/SUM(S$209,-(S$253-S$252),S$216,S$224),(T$209-(T$253-T$252))/SUM(T$209,-(T$253-T$252),T$216,T$224),(U$209-(U$253-U$252))/SUM(U$209,-(U$253-U$252),U$216,U$224)),(U$209-(U$253-U$252))/SUM(U$209,-(U$253-U$252),U$216,U$224))*SUM(V$198-V$239,V$257,V$266,V$284,V$326,-(V$253-V$252)))</f>
        <v>27.289118069868362</v>
      </c>
      <c r="W209" s="20">
        <f ca="1">SUM(W$253-W$252,IF(W$6=OFFSET(Assumptions!$B$8,0,$C$1),AVERAGE(SUM(T$209,-(T$253-T$252))/SUM(T$209,-(T$253-T$252),T$216,T$224),(U$209-(U$253-U$252))/SUM(U$209,-(U$253-U$252),U$216,U$224),(V$209-(V$253-V$252))/SUM(V$209,-(V$253-V$252),V$216,V$224)),(V$209-(V$253-V$252))/SUM(V$209,-(V$253-V$252),V$216,V$224))*SUM(W$198-W$239,W$257,W$266,W$284,W$326,-(W$253-W$252)))</f>
        <v>27.570480997189872</v>
      </c>
      <c r="X209" s="20">
        <f ca="1">SUM(X$253-X$252,IF(X$6=OFFSET(Assumptions!$B$8,0,$C$1),AVERAGE(SUM(U$209,-(U$253-U$252))/SUM(U$209,-(U$253-U$252),U$216,U$224),(V$209-(V$253-V$252))/SUM(V$209,-(V$253-V$252),V$216,V$224),(W$209-(W$253-W$252))/SUM(W$209,-(W$253-W$252),W$216,W$224)),(W$209-(W$253-W$252))/SUM(W$209,-(W$253-W$252),W$216,W$224))*SUM(X$198-X$239,X$257,X$266,X$284,X$326,-(X$253-X$252)))</f>
        <v>27.860286114978823</v>
      </c>
      <c r="Y209" s="20">
        <f ca="1">SUM(Y$253-Y$252,IF(Y$6=OFFSET(Assumptions!$B$8,0,$C$1),AVERAGE(SUM(V$209,-(V$253-V$252))/SUM(V$209,-(V$253-V$252),V$216,V$224),(W$209-(W$253-W$252))/SUM(W$209,-(W$253-W$252),W$216,W$224),(X$209-(X$253-X$252))/SUM(X$209,-(X$253-X$252),X$216,X$224)),(X$209-(X$253-X$252))/SUM(X$209,-(X$253-X$252),X$216,X$224))*SUM(Y$198-Y$239,Y$257,Y$266,Y$284,Y$326,-(Y$253-Y$252)))</f>
        <v>28.155345972139656</v>
      </c>
      <c r="Z209" s="20">
        <f ca="1">SUM(Z$253-Z$252,IF(Z$6=OFFSET(Assumptions!$B$8,0,$C$1),AVERAGE(SUM(W$209,-(W$253-W$252))/SUM(W$209,-(W$253-W$252),W$216,W$224),(X$209-(X$253-X$252))/SUM(X$209,-(X$253-X$252),X$216,X$224),(Y$209-(Y$253-Y$252))/SUM(Y$209,-(Y$253-Y$252),Y$216,Y$224)),(Y$209-(Y$253-Y$252))/SUM(Y$209,-(Y$253-Y$252),Y$216,Y$224))*SUM(Z$198-Z$239,Z$257,Z$266,Z$284,Z$326,-(Z$253-Z$252)))</f>
        <v>28.461070365600275</v>
      </c>
    </row>
    <row r="210" spans="1:26" x14ac:dyDescent="0.25">
      <c r="A210" s="12" t="s">
        <v>1227</v>
      </c>
      <c r="B210" s="14" t="str">
        <f>$B$38</f>
        <v>From Fiscal Forecasts</v>
      </c>
      <c r="D210" s="50">
        <f>'Fiscal Forecasts'!D$256</f>
        <v>3.0960000000000001</v>
      </c>
      <c r="E210" s="50">
        <f>'Fiscal Forecasts'!E$256</f>
        <v>3.0230000000000001</v>
      </c>
      <c r="F210" s="50">
        <f>'Fiscal Forecasts'!F$256</f>
        <v>2.5819999999999999</v>
      </c>
      <c r="G210" s="50">
        <f>'Fiscal Forecasts'!G$256</f>
        <v>2.8610000000000002</v>
      </c>
      <c r="H210" s="50">
        <f>'Fiscal Forecasts'!H$256</f>
        <v>3.33</v>
      </c>
      <c r="I210" s="50">
        <f>'Fiscal Forecasts'!I$256</f>
        <v>3.5459999999999998</v>
      </c>
      <c r="J210" s="50">
        <f>'Fiscal Forecasts'!J$256</f>
        <v>3.6970000000000001</v>
      </c>
      <c r="K210" s="50">
        <f>'Fiscal Forecasts'!K$256</f>
        <v>3.78</v>
      </c>
      <c r="L210" s="48">
        <f>'Fiscal Forecasts'!L$256</f>
        <v>3.78</v>
      </c>
      <c r="M210" s="48">
        <f>'Fiscal Forecasts'!M$256</f>
        <v>3.919</v>
      </c>
      <c r="N210" s="48">
        <f>'Fiscal Forecasts'!N$256</f>
        <v>3.9769999999999999</v>
      </c>
      <c r="O210" s="48">
        <f>'Fiscal Forecasts'!O$256</f>
        <v>4.069</v>
      </c>
      <c r="P210" s="48">
        <f>'Fiscal Forecasts'!P$256</f>
        <v>4.1559999999999997</v>
      </c>
      <c r="Q210" s="20">
        <f ca="1">IF(Q$6=OFFSET(Assumptions!$B$8,0,$C$1),AVERAGE(N$210/SUM(N$210,N$217,N$225),O$210/SUM(O$210,O$217,O$225),P$210/SUM(P$210,P$217,P$225)),P$210/SUM(P$210,P$217,P$225))*SUM(Q$285,Q$327-Q$240)</f>
        <v>4.310093006191007</v>
      </c>
      <c r="R210" s="20">
        <f ca="1">IF(R$6=OFFSET(Assumptions!$B$8,0,$C$1),AVERAGE(O$210/SUM(O$210,O$217,O$225),P$210/SUM(P$210,P$217,P$225),Q$210/SUM(Q$210,Q$217,Q$225)),Q$210/SUM(Q$210,Q$217,Q$225))*SUM(R$285,R$327-R$240)</f>
        <v>4.4715203113486401</v>
      </c>
      <c r="S210" s="20">
        <f ca="1">IF(S$6=OFFSET(Assumptions!$B$8,0,$C$1),AVERAGE(P$210/SUM(P$210,P$217,P$225),Q$210/SUM(Q$210,Q$217,Q$225),R$210/SUM(R$210,R$217,R$225)),R$210/SUM(R$210,R$217,R$225))*SUM(S$285,S$327-S$240)</f>
        <v>4.6368891345414811</v>
      </c>
      <c r="T210" s="20">
        <f ca="1">IF(T$6=OFFSET(Assumptions!$B$8,0,$C$1),AVERAGE(Q$210/SUM(Q$210,Q$217,Q$225),R$210/SUM(R$210,R$217,R$225),S$210/SUM(S$210,S$217,S$225)),S$210/SUM(S$210,S$217,S$225))*SUM(T$285,T$327-T$240)</f>
        <v>4.8052988052164016</v>
      </c>
      <c r="U210" s="20">
        <f ca="1">IF(U$6=OFFSET(Assumptions!$B$8,0,$C$1),AVERAGE(R$210/SUM(R$210,R$217,R$225),S$210/SUM(S$210,S$217,S$225),T$210/SUM(T$210,T$217,T$225)),T$210/SUM(T$210,T$217,T$225))*SUM(U$285,U$327-U$240)</f>
        <v>4.9791277611662794</v>
      </c>
      <c r="V210" s="20">
        <f ca="1">IF(V$6=OFFSET(Assumptions!$B$8,0,$C$1),AVERAGE(S$210/SUM(S$210,S$217,S$225),T$210/SUM(T$210,T$217,T$225),U$210/SUM(U$210,U$217,U$225)),U$210/SUM(U$210,U$217,U$225))*SUM(V$285,V$327-V$240)</f>
        <v>5.1577713922250989</v>
      </c>
      <c r="W210" s="20">
        <f ca="1">IF(W$6=OFFSET(Assumptions!$B$8,0,$C$1),AVERAGE(T$210/SUM(T$210,T$217,T$225),U$210/SUM(U$210,U$217,U$225),V$210/SUM(V$210,V$217,V$225)),V$210/SUM(V$210,V$217,V$225))*SUM(W$285,W$327-W$240)</f>
        <v>5.3387677771021913</v>
      </c>
      <c r="X210" s="20">
        <f ca="1">IF(X$6=OFFSET(Assumptions!$B$8,0,$C$1),AVERAGE(U$210/SUM(U$210,U$217,U$225),V$210/SUM(V$210,V$217,V$225),W$210/SUM(W$210,W$217,W$225)),W$210/SUM(W$210,W$217,W$225))*SUM(X$285,X$327-X$240)</f>
        <v>5.5243790951551937</v>
      </c>
      <c r="Y210" s="20">
        <f ca="1">IF(Y$6=OFFSET(Assumptions!$B$8,0,$C$1),AVERAGE(V$210/SUM(V$210,V$217,V$225),W$210/SUM(W$210,W$217,W$225),X$210/SUM(X$210,X$217,X$225)),X$210/SUM(X$210,X$217,X$225))*SUM(Y$285,Y$327-Y$240)</f>
        <v>5.7159346085901337</v>
      </c>
      <c r="Z210" s="20">
        <f ca="1">IF(Z$6=OFFSET(Assumptions!$B$8,0,$C$1),AVERAGE(W$210/SUM(W$210,W$217,W$225),X$210/SUM(X$210,X$217,X$225),Y$210/SUM(Y$210,Y$217,Y$225)),Y$210/SUM(Y$210,Y$217,Y$225))*SUM(Z$285,Z$327-Z$240)</f>
        <v>5.9128452821928779</v>
      </c>
    </row>
    <row r="211" spans="1:26" x14ac:dyDescent="0.25">
      <c r="A211" s="12" t="s">
        <v>1228</v>
      </c>
      <c r="B211" s="14" t="str">
        <f>$B$38</f>
        <v>From Fiscal Forecasts</v>
      </c>
      <c r="D211" s="50">
        <f>'Fiscal Forecasts'!D$257</f>
        <v>-4.2000000000000003E-2</v>
      </c>
      <c r="E211" s="50">
        <f>'Fiscal Forecasts'!E$257</f>
        <v>-4.4999999999999998E-2</v>
      </c>
      <c r="F211" s="50">
        <f>'Fiscal Forecasts'!F$257</f>
        <v>-5.1999999999999998E-2</v>
      </c>
      <c r="G211" s="50">
        <f>'Fiscal Forecasts'!G$257</f>
        <v>-5.5E-2</v>
      </c>
      <c r="H211" s="50">
        <f>'Fiscal Forecasts'!H$257</f>
        <v>-5.2999999999999999E-2</v>
      </c>
      <c r="I211" s="50">
        <f>'Fiscal Forecasts'!I$257</f>
        <v>-0.06</v>
      </c>
      <c r="J211" s="50">
        <f>'Fiscal Forecasts'!J$257</f>
        <v>-6.2E-2</v>
      </c>
      <c r="K211" s="50">
        <f>'Fiscal Forecasts'!K$257</f>
        <v>-7.3999999999999996E-2</v>
      </c>
      <c r="L211" s="48">
        <f>'Fiscal Forecasts'!L$257</f>
        <v>-5.7000000000000002E-2</v>
      </c>
      <c r="M211" s="48">
        <f>'Fiscal Forecasts'!M$257</f>
        <v>-5.8000000000000003E-2</v>
      </c>
      <c r="N211" s="48">
        <f>'Fiscal Forecasts'!N$257</f>
        <v>-0.06</v>
      </c>
      <c r="O211" s="48">
        <f>'Fiscal Forecasts'!O$257</f>
        <v>-0.06</v>
      </c>
      <c r="P211" s="48">
        <f>'Fiscal Forecasts'!P$257</f>
        <v>-6.0999999999999999E-2</v>
      </c>
      <c r="Q211" s="20">
        <f ca="1">IF(Q$6=OFFSET(Assumptions!$B$8,0,$C$1),AVERAGE(N$211/SUM(N$211,N$226),O$211/SUM(O$211,O$226),P$211/SUM(P$211,P$226)),P$211/SUM(P$211,P$226))*SUM(Q$199,Q$258,Q$267,Q$286,Q$328)</f>
        <v>-6.2735407244262631E-2</v>
      </c>
      <c r="R211" s="20">
        <f ca="1">IF(R$6=OFFSET(Assumptions!$B$8,0,$C$1),AVERAGE(O$211/SUM(O$211,O$226),P$211/SUM(P$211,P$226),Q$211/SUM(Q$211,Q$226)),Q$211/SUM(Q$211,Q$226))*SUM(R$199,R$258,R$267,R$286,R$328)</f>
        <v>-6.3106787996330099E-2</v>
      </c>
      <c r="S211" s="20">
        <f ca="1">IF(S$6=OFFSET(Assumptions!$B$8,0,$C$1),AVERAGE(P$211/SUM(P$211,P$226),Q$211/SUM(Q$211,Q$226),R$211/SUM(R$211,R$226)),R$211/SUM(R$211,R$226))*SUM(S$199,S$258,S$267,S$286,S$328)</f>
        <v>-6.3483406309761237E-2</v>
      </c>
      <c r="T211" s="20">
        <f ca="1">IF(T$6=OFFSET(Assumptions!$B$8,0,$C$1),AVERAGE(Q$211/SUM(Q$211,Q$226),R$211/SUM(R$211,R$226),S$211/SUM(S$211,S$226)),S$211/SUM(S$211,S$226))*SUM(T$199,T$258,T$267,T$286,T$328)</f>
        <v>-6.4114161298966674E-2</v>
      </c>
      <c r="U211" s="20">
        <f ca="1">IF(U$6=OFFSET(Assumptions!$B$8,0,$C$1),AVERAGE(R$211/SUM(R$211,R$226),S$211/SUM(S$211,S$226),T$211/SUM(T$211,T$226)),T$211/SUM(T$211,T$226))*SUM(U$199,U$258,U$267,U$286,U$328)</f>
        <v>-6.4887349990838269E-2</v>
      </c>
      <c r="V211" s="20">
        <f ca="1">IF(V$6=OFFSET(Assumptions!$B$8,0,$C$1),AVERAGE(S$211/SUM(S$211,S$226),T$211/SUM(T$211,T$226),U$211/SUM(U$211,U$226)),U$211/SUM(U$211,U$226))*SUM(V$199,V$258,V$267,V$286,V$328)</f>
        <v>-6.5516408961870748E-2</v>
      </c>
      <c r="W211" s="20">
        <f ca="1">IF(W$6=OFFSET(Assumptions!$B$8,0,$C$1),AVERAGE(T$211/SUM(T$211,T$226),U$211/SUM(U$211,U$226),V$211/SUM(V$211,V$226)),V$211/SUM(V$211,V$226))*SUM(W$199,W$258,W$267,W$286,W$328)</f>
        <v>-6.610775082857806E-2</v>
      </c>
      <c r="X211" s="20">
        <f ca="1">IF(X$6=OFFSET(Assumptions!$B$8,0,$C$1),AVERAGE(U$211/SUM(U$211,U$226),V$211/SUM(V$211,V$226),W$211/SUM(W$211,W$226)),W$211/SUM(W$211,W$226))*SUM(X$199,X$258,X$267,X$286,X$328)</f>
        <v>-6.6719866994300797E-2</v>
      </c>
      <c r="Y211" s="20">
        <f ca="1">IF(Y$6=OFFSET(Assumptions!$B$8,0,$C$1),AVERAGE(V$211/SUM(V$211,V$226),W$211/SUM(W$211,W$226),X$211/SUM(X$211,X$226)),X$211/SUM(X$211,X$226))*SUM(Y$199,Y$258,Y$267,Y$286,Y$328)</f>
        <v>-6.7356650810887223E-2</v>
      </c>
      <c r="Z211" s="20">
        <f ca="1">IF(Z$6=OFFSET(Assumptions!$B$8,0,$C$1),AVERAGE(W$211/SUM(W$211,W$226),X$211/SUM(X$211,X$226),Y$211/SUM(Y$211,Y$226)),Y$211/SUM(Y$211,Y$226))*SUM(Z$199,Z$258,Z$267,Z$286,Z$328)</f>
        <v>-6.8009105195476635E-2</v>
      </c>
    </row>
    <row r="212" spans="1:26" x14ac:dyDescent="0.25">
      <c r="A212" s="11" t="s">
        <v>1254</v>
      </c>
      <c r="D212" s="94">
        <f t="shared" ref="D212:Z212" si="136">SUM(D$208:D$211)</f>
        <v>25.933</v>
      </c>
      <c r="E212" s="94">
        <f t="shared" si="136"/>
        <v>27.774999999999999</v>
      </c>
      <c r="F212" s="94">
        <f t="shared" si="136"/>
        <v>29.817</v>
      </c>
      <c r="G212" s="94">
        <f t="shared" si="136"/>
        <v>32.647999999999996</v>
      </c>
      <c r="H212" s="94">
        <f t="shared" si="136"/>
        <v>36.052</v>
      </c>
      <c r="I212" s="94">
        <f t="shared" si="136"/>
        <v>39.082999999999998</v>
      </c>
      <c r="J212" s="94">
        <f t="shared" si="136"/>
        <v>38.771000000000008</v>
      </c>
      <c r="K212" s="94">
        <f t="shared" si="136"/>
        <v>40.433000000000007</v>
      </c>
      <c r="L212" s="95">
        <f t="shared" si="136"/>
        <v>41.912999999999997</v>
      </c>
      <c r="M212" s="95">
        <f t="shared" si="136"/>
        <v>42.013999999999996</v>
      </c>
      <c r="N212" s="95">
        <f t="shared" si="136"/>
        <v>42.067999999999991</v>
      </c>
      <c r="O212" s="95">
        <f t="shared" si="136"/>
        <v>42.101999999999997</v>
      </c>
      <c r="P212" s="95">
        <f t="shared" si="136"/>
        <v>42.323999999999998</v>
      </c>
      <c r="Q212" s="96">
        <f t="shared" ca="1" si="136"/>
        <v>43.264830923155316</v>
      </c>
      <c r="R212" s="96">
        <f t="shared" ca="1" si="136"/>
        <v>43.563297741787736</v>
      </c>
      <c r="S212" s="96">
        <f t="shared" ca="1" si="136"/>
        <v>43.85940853061274</v>
      </c>
      <c r="T212" s="96">
        <f t="shared" ca="1" si="136"/>
        <v>44.243280491619657</v>
      </c>
      <c r="U212" s="96">
        <f t="shared" ca="1" si="136"/>
        <v>44.681814629659272</v>
      </c>
      <c r="V212" s="96">
        <f t="shared" ca="1" si="136"/>
        <v>45.131442991216474</v>
      </c>
      <c r="W212" s="96">
        <f t="shared" ca="1" si="136"/>
        <v>45.591091847974951</v>
      </c>
      <c r="X212" s="96">
        <f t="shared" ca="1" si="136"/>
        <v>46.063777054077782</v>
      </c>
      <c r="Y212" s="96">
        <f t="shared" ca="1" si="136"/>
        <v>46.547885834762781</v>
      </c>
      <c r="Z212" s="96">
        <f t="shared" ca="1" si="136"/>
        <v>47.047998641347377</v>
      </c>
    </row>
    <row r="214" spans="1:26" x14ac:dyDescent="0.25">
      <c r="A214" s="11" t="s">
        <v>872</v>
      </c>
    </row>
    <row r="215" spans="1:26" x14ac:dyDescent="0.25">
      <c r="A215" s="11" t="s">
        <v>1255</v>
      </c>
      <c r="B215" s="14" t="str">
        <f>$B$38</f>
        <v>From Fiscal Forecasts</v>
      </c>
      <c r="C215" s="100" cm="1">
        <f t="array" aca="1" ref="C215" ca="1">SUMPRODUCT(OFFSET($P$215,0,0,1,-OFFSET(Assumptions!$B$38,0,$C$1))/OFFSET($P$417,0,0,1,-OFFSET(Assumptions!$B$38,0,$C$1)))/OFFSET(Assumptions!$B$38,0,$C$1)</f>
        <v>4.0793476717853723E-2</v>
      </c>
      <c r="D215" s="51">
        <f>'Fiscal Forecasts'!D$260</f>
        <v>1.5009999999999999</v>
      </c>
      <c r="E215" s="51">
        <f>'Fiscal Forecasts'!E$260</f>
        <v>1.675</v>
      </c>
      <c r="F215" s="51">
        <f>'Fiscal Forecasts'!F$260</f>
        <v>1.8820000000000001</v>
      </c>
      <c r="G215" s="51">
        <f>'Fiscal Forecasts'!G$260</f>
        <v>2.0019999999999998</v>
      </c>
      <c r="H215" s="51">
        <f>'Fiscal Forecasts'!H$260</f>
        <v>2.4</v>
      </c>
      <c r="I215" s="51">
        <f>'Fiscal Forecasts'!I$260</f>
        <v>2.8080000000000003</v>
      </c>
      <c r="J215" s="51">
        <f>'Fiscal Forecasts'!J$260</f>
        <v>2.7159999999999997</v>
      </c>
      <c r="K215" s="51">
        <f>'Fiscal Forecasts'!K$260</f>
        <v>2.7269999999999999</v>
      </c>
      <c r="L215" s="47">
        <f>'Fiscal Forecasts'!L$260</f>
        <v>2.706</v>
      </c>
      <c r="M215" s="47">
        <f>'Fiscal Forecasts'!M$260</f>
        <v>2.8039999999999998</v>
      </c>
      <c r="N215" s="47">
        <f>'Fiscal Forecasts'!N$260</f>
        <v>2.879</v>
      </c>
      <c r="O215" s="47">
        <f>'Fiscal Forecasts'!O$260</f>
        <v>2.867</v>
      </c>
      <c r="P215" s="47">
        <f>'Fiscal Forecasts'!P$260</f>
        <v>2.7930000000000001</v>
      </c>
      <c r="Q215" s="21">
        <f t="shared" ref="Q215:Z215" ca="1" si="137">$C$215*P$417</f>
        <v>2.8191555890174351</v>
      </c>
      <c r="R215" s="21">
        <f t="shared" ca="1" si="137"/>
        <v>2.8191555890174351</v>
      </c>
      <c r="S215" s="21">
        <f t="shared" ca="1" si="137"/>
        <v>2.8191555890174351</v>
      </c>
      <c r="T215" s="21">
        <f t="shared" ca="1" si="137"/>
        <v>2.8191555890174351</v>
      </c>
      <c r="U215" s="21">
        <f t="shared" ca="1" si="137"/>
        <v>2.8191555890174351</v>
      </c>
      <c r="V215" s="21">
        <f t="shared" ca="1" si="137"/>
        <v>2.8191555890174351</v>
      </c>
      <c r="W215" s="21">
        <f t="shared" ca="1" si="137"/>
        <v>2.8191555890174351</v>
      </c>
      <c r="X215" s="21">
        <f t="shared" ca="1" si="137"/>
        <v>2.8191555890174351</v>
      </c>
      <c r="Y215" s="21">
        <f t="shared" ca="1" si="137"/>
        <v>2.8191555890174351</v>
      </c>
      <c r="Z215" s="21">
        <f t="shared" ca="1" si="137"/>
        <v>2.8191555890174351</v>
      </c>
    </row>
    <row r="216" spans="1:26" x14ac:dyDescent="0.25">
      <c r="A216" s="12" t="s">
        <v>1020</v>
      </c>
      <c r="B216" s="14" t="str">
        <f>$B$38</f>
        <v>From Fiscal Forecasts</v>
      </c>
      <c r="C216" s="100" cm="1">
        <f t="array" aca="1" ref="C216" ca="1">SUMPRODUCT(OFFSET($P$216,0,0,1,-OFFSET(Assumptions!$B$38,0,$C$1))/OFFSET($P$418,0,0,1,-OFFSET(Assumptions!$B$38,0,$C$1)))/OFFSET(Assumptions!$B$38,0,$C$1)</f>
        <v>2.0557878069576589E-2</v>
      </c>
      <c r="D216" s="50">
        <f>'Fiscal Forecasts'!D$261</f>
        <v>1.587</v>
      </c>
      <c r="E216" s="50">
        <f>'Fiscal Forecasts'!E$261</f>
        <v>1.776</v>
      </c>
      <c r="F216" s="50">
        <f>'Fiscal Forecasts'!F$261</f>
        <v>1.954</v>
      </c>
      <c r="G216" s="50">
        <f>'Fiscal Forecasts'!G$261</f>
        <v>2.2509999999999999</v>
      </c>
      <c r="H216" s="50">
        <f>'Fiscal Forecasts'!H$261</f>
        <v>2.5110000000000001</v>
      </c>
      <c r="I216" s="50">
        <f>'Fiscal Forecasts'!I$261</f>
        <v>2.9019999999999997</v>
      </c>
      <c r="J216" s="50">
        <f>'Fiscal Forecasts'!J$261</f>
        <v>2.9870000000000001</v>
      </c>
      <c r="K216" s="50">
        <f>'Fiscal Forecasts'!K$261</f>
        <v>3.306</v>
      </c>
      <c r="L216" s="48">
        <f>'Fiscal Forecasts'!L$261</f>
        <v>3.4129999999999998</v>
      </c>
      <c r="M216" s="48">
        <f>'Fiscal Forecasts'!M$261</f>
        <v>3.5979999999999999</v>
      </c>
      <c r="N216" s="48">
        <f>'Fiscal Forecasts'!N$261</f>
        <v>3.661</v>
      </c>
      <c r="O216" s="48">
        <f>'Fiscal Forecasts'!O$261</f>
        <v>3.7090000000000001</v>
      </c>
      <c r="P216" s="48">
        <f>'Fiscal Forecasts'!P$261</f>
        <v>3.7679999999999998</v>
      </c>
      <c r="Q216" s="20">
        <f t="shared" ref="Q216:Z216" ca="1" si="138">$C$216*P$418</f>
        <v>3.7329817313859954</v>
      </c>
      <c r="R216" s="20">
        <f t="shared" ca="1" si="138"/>
        <v>3.7665247875594394</v>
      </c>
      <c r="S216" s="20">
        <f t="shared" ca="1" si="138"/>
        <v>3.8007387048563523</v>
      </c>
      <c r="T216" s="20">
        <f t="shared" ca="1" si="138"/>
        <v>3.8356369004992033</v>
      </c>
      <c r="U216" s="20">
        <f t="shared" ca="1" si="138"/>
        <v>3.8712330600549114</v>
      </c>
      <c r="V216" s="20">
        <f t="shared" ca="1" si="138"/>
        <v>3.9075411428017341</v>
      </c>
      <c r="W216" s="20">
        <f t="shared" ca="1" si="138"/>
        <v>3.9445753872034932</v>
      </c>
      <c r="X216" s="20">
        <f t="shared" ca="1" si="138"/>
        <v>3.982350316493287</v>
      </c>
      <c r="Y216" s="20">
        <f t="shared" ca="1" si="138"/>
        <v>4.0208807443688768</v>
      </c>
      <c r="Z216" s="20">
        <f t="shared" ca="1" si="138"/>
        <v>4.0601817808019787</v>
      </c>
    </row>
    <row r="217" spans="1:26" x14ac:dyDescent="0.25">
      <c r="A217" s="12" t="s">
        <v>1227</v>
      </c>
      <c r="B217" s="14" t="str">
        <f>$B$38</f>
        <v>From Fiscal Forecasts</v>
      </c>
      <c r="C217" s="100" cm="1">
        <f t="array" aca="1" ref="C217" ca="1">SUMPRODUCT(OFFSET($P$217,0,0,1,-OFFSET(Assumptions!$B$38,0,$C$1))/OFFSET($P$419,0,0,1,-OFFSET(Assumptions!$B$38,0,$C$1)))/OFFSET(Assumptions!$B$38,0,$C$1)</f>
        <v>4.4120996303196665E-2</v>
      </c>
      <c r="D217" s="50">
        <f>'Fiscal Forecasts'!D$262</f>
        <v>1.466</v>
      </c>
      <c r="E217" s="50">
        <f>'Fiscal Forecasts'!E$262</f>
        <v>1.843</v>
      </c>
      <c r="F217" s="50">
        <f>'Fiscal Forecasts'!F$262</f>
        <v>1.73</v>
      </c>
      <c r="G217" s="50">
        <f>'Fiscal Forecasts'!G$262</f>
        <v>1.899</v>
      </c>
      <c r="H217" s="50">
        <f>'Fiscal Forecasts'!H$262</f>
        <v>1.69</v>
      </c>
      <c r="I217" s="50">
        <f>'Fiscal Forecasts'!I$262</f>
        <v>1.911</v>
      </c>
      <c r="J217" s="50">
        <f>'Fiscal Forecasts'!J$262</f>
        <v>2.5910000000000002</v>
      </c>
      <c r="K217" s="50">
        <f>'Fiscal Forecasts'!K$262</f>
        <v>2.6480000000000001</v>
      </c>
      <c r="L217" s="48">
        <f>'Fiscal Forecasts'!L$262</f>
        <v>2.843</v>
      </c>
      <c r="M217" s="48">
        <f>'Fiscal Forecasts'!M$262</f>
        <v>2.8730000000000002</v>
      </c>
      <c r="N217" s="48">
        <f>'Fiscal Forecasts'!N$262</f>
        <v>2.9180000000000001</v>
      </c>
      <c r="O217" s="48">
        <f>'Fiscal Forecasts'!O$262</f>
        <v>3.258</v>
      </c>
      <c r="P217" s="48">
        <f>'Fiscal Forecasts'!P$262</f>
        <v>3.387</v>
      </c>
      <c r="Q217" s="20">
        <f t="shared" ref="Q217:Z217" ca="1" si="139">$C$217*P$419</f>
        <v>3.1775500327599207</v>
      </c>
      <c r="R217" s="20">
        <f t="shared" ca="1" si="139"/>
        <v>3.2411010334151196</v>
      </c>
      <c r="S217" s="20">
        <f t="shared" ca="1" si="139"/>
        <v>3.3059230540834217</v>
      </c>
      <c r="T217" s="20">
        <f t="shared" ca="1" si="139"/>
        <v>3.37204151516509</v>
      </c>
      <c r="U217" s="20">
        <f t="shared" ca="1" si="139"/>
        <v>3.4394823454683916</v>
      </c>
      <c r="V217" s="20">
        <f t="shared" ca="1" si="139"/>
        <v>3.5082719923777597</v>
      </c>
      <c r="W217" s="20">
        <f t="shared" ca="1" si="139"/>
        <v>3.5784374322253147</v>
      </c>
      <c r="X217" s="20">
        <f t="shared" ca="1" si="139"/>
        <v>3.6500061808698212</v>
      </c>
      <c r="Y217" s="20">
        <f t="shared" ca="1" si="139"/>
        <v>3.7230063044872179</v>
      </c>
      <c r="Z217" s="20">
        <f t="shared" ca="1" si="139"/>
        <v>3.7974664305769625</v>
      </c>
    </row>
    <row r="218" spans="1:26" x14ac:dyDescent="0.25">
      <c r="A218" s="11" t="s">
        <v>1256</v>
      </c>
      <c r="D218" s="94">
        <f t="shared" ref="D218:P218" si="140">SUM(D$215:D$217)</f>
        <v>4.5540000000000003</v>
      </c>
      <c r="E218" s="94">
        <f t="shared" si="140"/>
        <v>5.2940000000000005</v>
      </c>
      <c r="F218" s="94">
        <f t="shared" si="140"/>
        <v>5.5660000000000007</v>
      </c>
      <c r="G218" s="94">
        <f t="shared" si="140"/>
        <v>6.1520000000000001</v>
      </c>
      <c r="H218" s="94">
        <f t="shared" si="140"/>
        <v>6.6009999999999991</v>
      </c>
      <c r="I218" s="94">
        <f t="shared" si="140"/>
        <v>7.6210000000000004</v>
      </c>
      <c r="J218" s="94">
        <f t="shared" si="140"/>
        <v>8.2940000000000005</v>
      </c>
      <c r="K218" s="94">
        <f t="shared" si="140"/>
        <v>8.6809999999999992</v>
      </c>
      <c r="L218" s="95">
        <f t="shared" si="140"/>
        <v>8.9619999999999997</v>
      </c>
      <c r="M218" s="95">
        <f t="shared" si="140"/>
        <v>9.2749999999999986</v>
      </c>
      <c r="N218" s="95">
        <f t="shared" si="140"/>
        <v>9.4580000000000002</v>
      </c>
      <c r="O218" s="95">
        <f t="shared" si="140"/>
        <v>9.8339999999999996</v>
      </c>
      <c r="P218" s="95">
        <f t="shared" si="140"/>
        <v>9.9480000000000004</v>
      </c>
      <c r="Q218" s="96">
        <f t="shared" ref="Q218:Z218" ca="1" si="141">SUM(Q$215:Q$217)</f>
        <v>9.7296873531633512</v>
      </c>
      <c r="R218" s="96">
        <f t="shared" ca="1" si="141"/>
        <v>9.8267814099919946</v>
      </c>
      <c r="S218" s="96">
        <f t="shared" ca="1" si="141"/>
        <v>9.92581734795721</v>
      </c>
      <c r="T218" s="96">
        <f t="shared" ca="1" si="141"/>
        <v>10.026834004681728</v>
      </c>
      <c r="U218" s="96">
        <f t="shared" ca="1" si="141"/>
        <v>10.129870994540738</v>
      </c>
      <c r="V218" s="96">
        <f t="shared" ca="1" si="141"/>
        <v>10.234968724196928</v>
      </c>
      <c r="W218" s="96">
        <f t="shared" ca="1" si="141"/>
        <v>10.342168408446243</v>
      </c>
      <c r="X218" s="96">
        <f t="shared" ca="1" si="141"/>
        <v>10.451512086380543</v>
      </c>
      <c r="Y218" s="96">
        <f t="shared" ca="1" si="141"/>
        <v>10.563042637873529</v>
      </c>
      <c r="Z218" s="96">
        <f t="shared" ca="1" si="141"/>
        <v>10.676803800396376</v>
      </c>
    </row>
    <row r="219" spans="1:26" x14ac:dyDescent="0.25">
      <c r="A219" s="11" t="s">
        <v>1257</v>
      </c>
      <c r="B219" s="14" t="str">
        <f>$B$38</f>
        <v>From Fiscal Forecasts</v>
      </c>
      <c r="D219" s="51">
        <f>'Fiscal Forecasts'!D$265</f>
        <v>0.29399999999999998</v>
      </c>
      <c r="E219" s="51">
        <f>'Fiscal Forecasts'!E$265</f>
        <v>0.57399999999999995</v>
      </c>
      <c r="F219" s="51">
        <f>'Fiscal Forecasts'!F$265</f>
        <v>0.37</v>
      </c>
      <c r="G219" s="51">
        <f>'Fiscal Forecasts'!G$265</f>
        <v>0.316</v>
      </c>
      <c r="H219" s="51">
        <f>'Fiscal Forecasts'!H$265</f>
        <v>0.29399999999999998</v>
      </c>
      <c r="I219" s="51">
        <f>'Fiscal Forecasts'!I$265</f>
        <v>0.33</v>
      </c>
      <c r="J219" s="51">
        <f>'Fiscal Forecasts'!J$265</f>
        <v>0.34799999999999998</v>
      </c>
      <c r="K219" s="51">
        <f>'Fiscal Forecasts'!K$265</f>
        <v>0.34699999999999998</v>
      </c>
      <c r="L219" s="47">
        <f>'Fiscal Forecasts'!L$265</f>
        <v>0.34899999999999998</v>
      </c>
      <c r="M219" s="47">
        <f>'Fiscal Forecasts'!M$265</f>
        <v>0.371</v>
      </c>
      <c r="N219" s="47">
        <f>'Fiscal Forecasts'!N$265</f>
        <v>0.39200000000000002</v>
      </c>
      <c r="O219" s="47">
        <f>'Fiscal Forecasts'!O$265</f>
        <v>0.375</v>
      </c>
      <c r="P219" s="47">
        <f>'Fiscal Forecasts'!P$265</f>
        <v>0.37</v>
      </c>
      <c r="Q219" s="21">
        <f ca="1">IF(Q$6=OFFSET(Assumptions!$B$8,0,$C$1),AVERAGE(N$219/M$427,O$219/N$427,P$219/O$427),P$219/O$427)*P$427</f>
        <v>0.33893854716370403</v>
      </c>
      <c r="R219" s="21">
        <f ca="1">IF(R$6=OFFSET(Assumptions!$B$8,0,$C$1),AVERAGE(O$219/N$427,P$219/O$427,Q$219/P$427),Q$219/P$427)*Q$427</f>
        <v>0.33893854716370403</v>
      </c>
      <c r="S219" s="21">
        <f ca="1">IF(S$6=OFFSET(Assumptions!$B$8,0,$C$1),AVERAGE(P$219/O$427,Q$219/P$427,R$219/Q$427),R$219/Q$427)*R$427</f>
        <v>0.33893854716370403</v>
      </c>
      <c r="T219" s="21">
        <f ca="1">IF(T$6=OFFSET(Assumptions!$B$8,0,$C$1),AVERAGE(Q$219/P$427,R$219/Q$427,S$219/R$427),S$219/R$427)*S$427</f>
        <v>0.33893854716370403</v>
      </c>
      <c r="U219" s="21">
        <f ca="1">IF(U$6=OFFSET(Assumptions!$B$8,0,$C$1),AVERAGE(R$219/Q$427,S$219/R$427,T$219/S$427),T$219/S$427)*T$427</f>
        <v>0.33893854716370403</v>
      </c>
      <c r="V219" s="21">
        <f ca="1">IF(V$6=OFFSET(Assumptions!$B$8,0,$C$1),AVERAGE(S$219/R$427,T$219/S$427,U$219/T$427),U$219/T$427)*U$427</f>
        <v>0.33893854716370403</v>
      </c>
      <c r="W219" s="21">
        <f ca="1">IF(W$6=OFFSET(Assumptions!$B$8,0,$C$1),AVERAGE(T$219/S$427,U$219/T$427,V$219/U$427),V$219/U$427)*V$427</f>
        <v>0.33893854716370403</v>
      </c>
      <c r="X219" s="21">
        <f ca="1">IF(X$6=OFFSET(Assumptions!$B$8,0,$C$1),AVERAGE(U$219/T$427,V$219/U$427,W$219/V$427),W$219/V$427)*W$427</f>
        <v>0.33893854716370403</v>
      </c>
      <c r="Y219" s="21">
        <f ca="1">IF(Y$6=OFFSET(Assumptions!$B$8,0,$C$1),AVERAGE(V$219/U$427,W$219/V$427,X$219/W$427),X$219/W$427)*X$427</f>
        <v>0.33893854716370403</v>
      </c>
      <c r="Z219" s="21">
        <f ca="1">IF(Z$6=OFFSET(Assumptions!$B$8,0,$C$1),AVERAGE(W$219/V$427,X$219/W$427,Y$219/X$427),Y$219/X$427)*Y$427</f>
        <v>0.33893854716370403</v>
      </c>
    </row>
    <row r="220" spans="1:26" x14ac:dyDescent="0.25">
      <c r="A220" s="11" t="s">
        <v>1258</v>
      </c>
      <c r="B220" s="14" t="str">
        <f>$B$38</f>
        <v>From Fiscal Forecasts</v>
      </c>
      <c r="D220" s="50">
        <f>SUM('Fiscal Forecasts'!D$266:D$267)</f>
        <v>0.64</v>
      </c>
      <c r="E220" s="50">
        <f>SUM('Fiscal Forecasts'!E$266:E$267)</f>
        <v>1.8010000000000002</v>
      </c>
      <c r="F220" s="50">
        <f>SUM('Fiscal Forecasts'!F$266:F$267)</f>
        <v>0.82799999999999996</v>
      </c>
      <c r="G220" s="50">
        <f>SUM('Fiscal Forecasts'!G$266:G$267)</f>
        <v>-0.54</v>
      </c>
      <c r="H220" s="50">
        <f>SUM('Fiscal Forecasts'!H$266:H$267)</f>
        <v>0.76800000000000002</v>
      </c>
      <c r="I220" s="50">
        <f>SUM('Fiscal Forecasts'!I$266:I$267)</f>
        <v>0.71100000000000008</v>
      </c>
      <c r="J220" s="50">
        <f>SUM('Fiscal Forecasts'!J$266:J$267)</f>
        <v>0.54699999999999993</v>
      </c>
      <c r="K220" s="50">
        <f>SUM('Fiscal Forecasts'!K$266:K$267)</f>
        <v>0.51300000000000001</v>
      </c>
      <c r="L220" s="48">
        <f>SUM('Fiscal Forecasts'!L$266:L$267)</f>
        <v>0.52200000000000002</v>
      </c>
      <c r="M220" s="48">
        <f>SUM('Fiscal Forecasts'!M$266:M$267)</f>
        <v>0.52100000000000002</v>
      </c>
      <c r="N220" s="48">
        <f>SUM('Fiscal Forecasts'!N$266:N$267)</f>
        <v>0.52200000000000002</v>
      </c>
      <c r="O220" s="48">
        <f>SUM('Fiscal Forecasts'!O$266:O$267)</f>
        <v>0.503</v>
      </c>
      <c r="P220" s="48">
        <f>SUM('Fiscal Forecasts'!P$266:P$267)</f>
        <v>0.48699999999999999</v>
      </c>
      <c r="Q220" s="21">
        <f ca="1">IF(Q$6=OFFSET(Assumptions!$B$8,0,$C$1),AVERAGE(N$220/M$428,O$220/N$428,P$220/O$428),P$220/O$428)*P$428</f>
        <v>0.53212235039807609</v>
      </c>
      <c r="R220" s="21">
        <f ca="1">IF(R$6=OFFSET(Assumptions!$B$8,0,$C$1),AVERAGE(O$220/N$428,P$220/O$428,Q$220/P$428),Q$220/P$428)*Q$428</f>
        <v>0.55528610953016788</v>
      </c>
      <c r="S220" s="21">
        <f ca="1">IF(S$6=OFFSET(Assumptions!$B$8,0,$C$1),AVERAGE(P$220/O$428,Q$220/P$428,R$220/Q$428),R$220/Q$428)*R$428</f>
        <v>0.57892193652440305</v>
      </c>
      <c r="T220" s="21">
        <f ca="1">IF(T$6=OFFSET(Assumptions!$B$8,0,$C$1),AVERAGE(Q$220/P$428,R$220/Q$428,S$220/R$428),S$220/R$428)*S$428</f>
        <v>0.60318394242317952</v>
      </c>
      <c r="U220" s="21">
        <f ca="1">IF(U$6=OFFSET(Assumptions!$B$8,0,$C$1),AVERAGE(R$220/Q$428,S$220/R$428,T$220/S$428),T$220/S$428)*T$428</f>
        <v>0.62801537807835695</v>
      </c>
      <c r="V220" s="21">
        <f ca="1">IF(V$6=OFFSET(Assumptions!$B$8,0,$C$1),AVERAGE(S$220/R$428,T$220/S$428,U$220/T$428),U$220/T$428)*U$428</f>
        <v>0.65371270422022476</v>
      </c>
      <c r="W220" s="21">
        <f ca="1">IF(W$6=OFFSET(Assumptions!$B$8,0,$C$1),AVERAGE(T$220/S$428,U$220/T$428,V$220/U$428),V$220/U$428)*V$428</f>
        <v>0.68028505979586884</v>
      </c>
      <c r="X220" s="21">
        <f ca="1">IF(X$6=OFFSET(Assumptions!$B$8,0,$C$1),AVERAGE(U$220/T$428,V$220/U$428,W$220/V$428),W$220/V$428)*W$428</f>
        <v>0.70759838771072869</v>
      </c>
      <c r="Y220" s="21">
        <f ca="1">IF(Y$6=OFFSET(Assumptions!$B$8,0,$C$1),AVERAGE(V$220/U$428,W$220/V$428,X$220/W$428),X$220/W$428)*X$428</f>
        <v>0.73569822626187076</v>
      </c>
      <c r="Z220" s="21">
        <f ca="1">IF(Z$6=OFFSET(Assumptions!$B$8,0,$C$1),AVERAGE(W$220/V$428,X$220/W$428,Y$220/X$428),Y$220/X$428)*Y$428</f>
        <v>0.76473151997825062</v>
      </c>
    </row>
    <row r="221" spans="1:26" x14ac:dyDescent="0.25">
      <c r="A221" s="11"/>
    </row>
    <row r="222" spans="1:26" x14ac:dyDescent="0.25">
      <c r="A222" s="11" t="s">
        <v>873</v>
      </c>
    </row>
    <row r="223" spans="1:26" x14ac:dyDescent="0.25">
      <c r="A223" s="11" t="s">
        <v>1259</v>
      </c>
      <c r="B223" s="14" t="str">
        <f>$B$38</f>
        <v>From Fiscal Forecasts</v>
      </c>
      <c r="D223" s="51">
        <f>'Fiscal Forecasts'!D$270</f>
        <v>44.959000000000003</v>
      </c>
      <c r="E223" s="51">
        <f>'Fiscal Forecasts'!E$270</f>
        <v>51.832999999999998</v>
      </c>
      <c r="F223" s="51">
        <f>'Fiscal Forecasts'!F$270</f>
        <v>58.084000000000003</v>
      </c>
      <c r="G223" s="51">
        <f>'Fiscal Forecasts'!G$270</f>
        <v>65.543000000000006</v>
      </c>
      <c r="H223" s="51">
        <f>'Fiscal Forecasts'!H$270</f>
        <v>68.150000000000006</v>
      </c>
      <c r="I223" s="51">
        <f>'Fiscal Forecasts'!I$270</f>
        <v>72.72</v>
      </c>
      <c r="J223" s="51">
        <f>'Fiscal Forecasts'!J$270</f>
        <v>72.67</v>
      </c>
      <c r="K223" s="51">
        <f>'Fiscal Forecasts'!K$270</f>
        <v>74.334000000000003</v>
      </c>
      <c r="L223" s="47">
        <f ca="1">'Fiscal Forecasts'!L$270+IF(OFFSET(Assumptions!$B$57,0,$C$1)="Yes",SUM(Allocation!C$10:C$20),0)</f>
        <v>79.567999999999998</v>
      </c>
      <c r="M223" s="47">
        <f ca="1">'Fiscal Forecasts'!M$270+IF(OFFSET(Assumptions!$B$57,0,$C$1)="Yes",SUM(Allocation!D$10:D$20),0)</f>
        <v>76.983000000000004</v>
      </c>
      <c r="N223" s="47">
        <f ca="1">'Fiscal Forecasts'!N$270+IF(OFFSET(Assumptions!$B$57,0,$C$1)="Yes",SUM(Allocation!E$10:E$20),0)</f>
        <v>77.331000000000003</v>
      </c>
      <c r="O223" s="47">
        <f ca="1">'Fiscal Forecasts'!O$270+IF(OFFSET(Assumptions!$B$57,0,$C$1)="Yes",SUM(Allocation!F$10:F$20),0)</f>
        <v>77.119</v>
      </c>
      <c r="P223" s="47">
        <f ca="1">'Fiscal Forecasts'!P$270+IF(OFFSET(Assumptions!$B$57,0,$C$1)="Yes",SUM(Allocation!G$10:G$20),0)</f>
        <v>77.394999999999996</v>
      </c>
      <c r="Q223" s="21">
        <f ca="1">SUM(-Q$215,Q$324,IF(Q$6=OFFSET(Assumptions!$B$8,0,$C$1),AVERAGE((N$223+N$215-N$324)/SUM(N$208,N$215,N$223,-N$252,-N$324),(O$223+O$215-O$324)/SUM(O$208,O$215,O$223,-O$252,-O$324),(P$223+P$215-P$324)/SUM(P$208,P$215,P$223,-P$252,-P$324)),(P$223+P$215-P$324)/SUM(P$208,P$215,P$223,-P$252,-P$324))*(Q$323-Q$256-Q$264))</f>
        <v>78.248035614232506</v>
      </c>
      <c r="R223" s="21">
        <f ca="1">SUM(-R$215,R$324,IF(R$6=OFFSET(Assumptions!$B$8,0,$C$1),AVERAGE((O$223+O$215-O$324)/SUM(O$208,O$215,O$223,-O$252,-O$324),(P$223+P$215-P$324)/SUM(P$208,P$215,P$223,-P$252,-P$324),(Q$223+Q$215-Q$324)/SUM(Q$208,Q$215,Q$223,-Q$252,-Q$324)),(Q$223+Q$215-Q$324)/SUM(Q$208,Q$215,Q$223,-Q$252,-Q$324))*(R$323-R$256-R$264))</f>
        <v>78.360803444641803</v>
      </c>
      <c r="S223" s="21">
        <f ca="1">SUM(-S$215,S$324,IF(S$6=OFFSET(Assumptions!$B$8,0,$C$1),AVERAGE((P$223+P$215-P$324)/SUM(P$208,P$215,P$223,-P$252,-P$324),(Q$223+Q$215-Q$324)/SUM(Q$208,Q$215,Q$223,-Q$252,-Q$324),(R$223+R$215-R$324)/SUM(R$208,R$215,R$223,-R$252,-R$324)),(R$223+R$215-R$324)/SUM(R$208,R$215,R$223,-R$252,-R$324))*(S$323-S$256-S$264))</f>
        <v>78.456352012985789</v>
      </c>
      <c r="T223" s="21">
        <f ca="1">SUM(-T$215,T$324,IF(T$6=OFFSET(Assumptions!$B$8,0,$C$1),AVERAGE((Q$223+Q$215-Q$324)/SUM(Q$208,Q$215,Q$223,-Q$252,-Q$324),(R$223+R$215-R$324)/SUM(R$208,R$215,R$223,-R$252,-R$324),(S$223+S$215-S$324)/SUM(S$208,S$215,S$223,-S$252,-S$324)),(S$223+S$215-S$324)/SUM(S$208,S$215,S$223,-S$252,-S$324))*(T$323-T$256-T$264))</f>
        <v>78.775793777486172</v>
      </c>
      <c r="U223" s="21">
        <f ca="1">SUM(-U$215,U$324,IF(U$6=OFFSET(Assumptions!$B$8,0,$C$1),AVERAGE((R$223+R$215-R$324)/SUM(R$208,R$215,R$223,-R$252,-R$324),(S$223+S$215-S$324)/SUM(S$208,S$215,S$223,-S$252,-S$324),(T$223+T$215-T$324)/SUM(T$208,T$215,T$223,-T$252,-T$324)),(T$223+T$215-T$324)/SUM(T$208,T$215,T$223,-T$252,-T$324))*(U$323-U$256-U$264))</f>
        <v>79.207624493503332</v>
      </c>
      <c r="V223" s="21">
        <f ca="1">SUM(-V$215,V$324,IF(V$6=OFFSET(Assumptions!$B$8,0,$C$1),AVERAGE((S$223+S$215-S$324)/SUM(S$208,S$215,S$223,-S$252,-S$324),(T$223+T$215-T$324)/SUM(T$208,T$215,T$223,-T$252,-T$324),(U$223+U$215-U$324)/SUM(U$208,U$215,U$223,-U$252,-U$324)),(U$223+U$215-U$324)/SUM(U$208,U$215,U$223,-U$252,-U$324))*(V$323-V$256-V$264))</f>
        <v>79.651143359102406</v>
      </c>
      <c r="W223" s="21">
        <f ca="1">SUM(-W$215,W$324,IF(W$6=OFFSET(Assumptions!$B$8,0,$C$1),AVERAGE((T$223+T$215-T$324)/SUM(T$208,T$215,T$223,-T$252,-T$324),(U$223+U$215-U$324)/SUM(U$208,U$215,U$223,-U$252,-U$324),(V$223+V$215-V$324)/SUM(V$208,V$215,V$223,-V$252,-V$324)),(V$223+V$215-V$324)/SUM(V$208,V$215,V$223,-V$252,-V$324))*(W$323-W$256-W$264))</f>
        <v>80.108755087737734</v>
      </c>
      <c r="X223" s="21">
        <f ca="1">SUM(-X$215,X$324,IF(X$6=OFFSET(Assumptions!$B$8,0,$C$1),AVERAGE((U$223+U$215-U$324)/SUM(U$208,U$215,U$223,-U$252,-U$324),(V$223+V$215-V$324)/SUM(V$208,V$215,V$223,-V$252,-V$324),(W$223+W$215-W$324)/SUM(W$208,W$215,W$223,-W$252,-W$324)),(W$223+W$215-W$324)/SUM(W$208,W$215,W$223,-W$252,-W$324))*(X$323-X$256-X$264))</f>
        <v>80.579425792650639</v>
      </c>
      <c r="Y223" s="21">
        <f ca="1">SUM(-Y$215,Y$324,IF(Y$6=OFFSET(Assumptions!$B$8,0,$C$1),AVERAGE((V$223+V$215-V$324)/SUM(V$208,V$215,V$223,-V$252,-V$324),(W$223+W$215-W$324)/SUM(W$208,W$215,W$223,-W$252,-W$324),(X$223+X$215-X$324)/SUM(X$208,X$215,X$223,-X$252,-X$324)),(X$223+X$215-X$324)/SUM(X$208,X$215,X$223,-X$252,-X$324))*(Y$323-Y$256-Y$264))</f>
        <v>81.065546070760661</v>
      </c>
      <c r="Z223" s="21">
        <f ca="1">SUM(-Z$215,Z$324,IF(Z$6=OFFSET(Assumptions!$B$8,0,$C$1),AVERAGE((W$223+W$215-W$324)/SUM(W$208,W$215,W$223,-W$252,-W$324),(X$223+X$215-X$324)/SUM(X$208,X$215,X$223,-X$252,-X$324),(Y$223+Y$215-Y$324)/SUM(Y$208,Y$215,Y$223,-Y$252,-Y$324)),(Y$223+Y$215-Y$324)/SUM(Y$208,Y$215,Y$223,-Y$252,-Y$324))*(Z$323-Z$256-Z$264))</f>
        <v>81.567634053663625</v>
      </c>
    </row>
    <row r="224" spans="1:26" x14ac:dyDescent="0.25">
      <c r="A224" s="12" t="s">
        <v>1020</v>
      </c>
      <c r="B224" s="14" t="str">
        <f>$B$38</f>
        <v>From Fiscal Forecasts</v>
      </c>
      <c r="D224" s="50">
        <f>'Fiscal Forecasts'!D$271</f>
        <v>22.132999999999999</v>
      </c>
      <c r="E224" s="50">
        <f>'Fiscal Forecasts'!E$271</f>
        <v>25.504999999999999</v>
      </c>
      <c r="F224" s="50">
        <f>'Fiscal Forecasts'!F$271</f>
        <v>25.257000000000001</v>
      </c>
      <c r="G224" s="50">
        <f>'Fiscal Forecasts'!G$271</f>
        <v>27.652000000000001</v>
      </c>
      <c r="H224" s="50">
        <f>'Fiscal Forecasts'!H$271</f>
        <v>33.918999999999997</v>
      </c>
      <c r="I224" s="50">
        <f>'Fiscal Forecasts'!I$271</f>
        <v>34.594999999999999</v>
      </c>
      <c r="J224" s="50">
        <f>'Fiscal Forecasts'!J$271</f>
        <v>34.951000000000001</v>
      </c>
      <c r="K224" s="50">
        <f>'Fiscal Forecasts'!K$271</f>
        <v>35.914000000000001</v>
      </c>
      <c r="L224" s="48">
        <f>'Fiscal Forecasts'!L$271</f>
        <v>38.064999999999998</v>
      </c>
      <c r="M224" s="48">
        <f>'Fiscal Forecasts'!M$271</f>
        <v>36.436</v>
      </c>
      <c r="N224" s="48">
        <f>'Fiscal Forecasts'!N$271</f>
        <v>36.185000000000002</v>
      </c>
      <c r="O224" s="48">
        <f>'Fiscal Forecasts'!O$271</f>
        <v>36.218000000000004</v>
      </c>
      <c r="P224" s="48">
        <f>'Fiscal Forecasts'!P$271</f>
        <v>36.292999999999999</v>
      </c>
      <c r="Q224" s="20">
        <f ca="1">SUM(-Q$216,IF(Q$6=OFFSET(Assumptions!$B$8,0,$C$1),AVERAGE(SUM(N$216,N$224)/SUM(N$209,-(N$253-N$252),N$216,N$224),SUM(O$216,O$224)/SUM(O$209,-(O$253-O$252),O$216,O$224),SUM(P$216,P$224)/SUM(P$209,-(P$253-P$252),P$216,P$224)),SUM(P$216,P$224)/SUM(P$209,-(P$253-P$252),P$216,P$224))*SUM(Q$198-Q$239,Q$257,Q$266,Q$284,Q$326,-(Q$253-Q$252)))</f>
        <v>36.547158559487649</v>
      </c>
      <c r="R224" s="20">
        <f ca="1">SUM(-R$216,IF(R$6=OFFSET(Assumptions!$B$8,0,$C$1),AVERAGE(SUM(O$216,O$224)/SUM(O$209,-(O$253-O$252),O$216,O$224),SUM(P$216,P$224)/SUM(P$209,-(P$253-P$252),P$216,P$224),SUM(Q$216,Q$224)/SUM(Q$209,-(Q$253-Q$252),Q$216,Q$224)),SUM(Q$216,Q$224)/SUM(Q$209,-(Q$253-Q$252),Q$216,Q$224))*SUM(R$198-R$239,R$257,R$266,R$284,R$326,-(R$253-R$252)))</f>
        <v>36.728305460868114</v>
      </c>
      <c r="S224" s="20">
        <f ca="1">SUM(-S$216,IF(S$6=OFFSET(Assumptions!$B$8,0,$C$1),AVERAGE(SUM(P$216,P$224)/SUM(P$209,-(P$253-P$252),P$216,P$224),SUM(Q$216,Q$224)/SUM(Q$209,-(Q$253-Q$252),Q$216,Q$224),SUM(R$216,R$224)/SUM(R$209,-(R$253-R$252),R$216,R$224)),SUM(R$216,R$224)/SUM(R$209,-(R$253-R$252),R$216,R$224))*SUM(S$198-S$239,S$257,S$266,S$284,S$326,-(S$253-S$252)))</f>
        <v>36.899125813086997</v>
      </c>
      <c r="T224" s="20">
        <f ca="1">SUM(-T$216,IF(T$6=OFFSET(Assumptions!$B$8,0,$C$1),AVERAGE(SUM(Q$216,Q$224)/SUM(Q$209,-(Q$253-Q$252),Q$216,Q$224),SUM(R$216,R$224)/SUM(R$209,-(R$253-R$252),R$216,R$224),SUM(S$216,S$224)/SUM(S$209,-(S$253-S$252),S$216,S$224)),SUM(S$216,S$224)/SUM(S$209,-(S$253-S$252),S$216,S$224))*SUM(T$198-T$239,T$257,T$266,T$284,T$326,-(T$253-T$252)))</f>
        <v>37.199882350287318</v>
      </c>
      <c r="U224" s="20">
        <f ca="1">SUM(-U$216,IF(U$6=OFFSET(Assumptions!$B$8,0,$C$1),AVERAGE(SUM(R$216,R$224)/SUM(R$209,-(R$253-R$252),R$216,R$224),SUM(S$216,S$224)/SUM(S$209,-(S$253-S$252),S$216,S$224),SUM(T$216,T$224)/SUM(T$209,-(T$253-T$252),T$216,T$224)),SUM(T$216,T$224)/SUM(T$209,-(T$253-T$252),T$216,T$224))*SUM(U$198-U$239,U$257,U$266,U$284,U$326,-(U$253-U$252)))</f>
        <v>37.575273208052273</v>
      </c>
      <c r="V224" s="20">
        <f ca="1">SUM(-V$216,IF(V$6=OFFSET(Assumptions!$B$8,0,$C$1),AVERAGE(SUM(S$216,S$224)/SUM(S$209,-(S$253-S$252),S$216,S$224),SUM(T$216,T$224)/SUM(T$209,-(T$253-T$252),T$216,T$224),SUM(U$216,U$224)/SUM(U$209,-(U$253-U$252),U$216,U$224)),SUM(U$216,U$224)/SUM(U$209,-(U$253-U$252),U$216,U$224))*SUM(V$198-V$239,V$257,V$266,V$284,V$326,-(V$253-V$252)))</f>
        <v>37.959367077075427</v>
      </c>
      <c r="W224" s="20">
        <f ca="1">SUM(-W$216,IF(W$6=OFFSET(Assumptions!$B$8,0,$C$1),AVERAGE(SUM(T$216,T$224)/SUM(T$209,-(T$253-T$252),T$216,T$224),SUM(U$216,U$224)/SUM(U$209,-(U$253-U$252),U$216,U$224),SUM(V$216,V$224)/SUM(V$209,-(V$253-V$252),V$216,V$224)),SUM(V$216,V$224)/SUM(V$209,-(V$253-V$252),V$216,V$224))*SUM(W$198-W$239,W$257,W$266,W$284,W$326,-(W$253-W$252)))</f>
        <v>38.3546685138515</v>
      </c>
      <c r="X224" s="20">
        <f ca="1">SUM(-X$216,IF(X$6=OFFSET(Assumptions!$B$8,0,$C$1),AVERAGE(SUM(U$216,U$224)/SUM(U$209,-(U$253-U$252),U$216,U$224),SUM(V$216,V$224)/SUM(V$209,-(V$253-V$252),V$216,V$224),SUM(W$216,W$224)/SUM(W$209,-(W$253-W$252),W$216,W$224)),SUM(W$216,W$224)/SUM(W$209,-(W$253-W$252),W$216,W$224))*SUM(X$198-X$239,X$257,X$266,X$284,X$326,-(X$253-X$252)))</f>
        <v>38.762183992043269</v>
      </c>
      <c r="Y224" s="20">
        <f ca="1">SUM(-Y$216,IF(Y$6=OFFSET(Assumptions!$B$8,0,$C$1),AVERAGE(SUM(V$216,V$224)/SUM(V$209,-(V$253-V$252),V$216,V$224),SUM(W$216,W$224)/SUM(W$209,-(W$253-W$252),W$216,W$224),SUM(X$216,X$224)/SUM(X$209,-(X$253-X$252),X$216,X$224)),SUM(X$216,X$224)/SUM(X$209,-(X$253-X$252),X$216,X$224))*SUM(Y$198-Y$239,Y$257,Y$266,Y$284,Y$326,-(Y$253-Y$252)))</f>
        <v>39.17693947233424</v>
      </c>
      <c r="Z224" s="20">
        <f ca="1">SUM(-Z$216,IF(Z$6=OFFSET(Assumptions!$B$8,0,$C$1),AVERAGE(SUM(W$216,W$224)/SUM(W$209,-(W$253-W$252),W$216,W$224),SUM(X$216,X$224)/SUM(X$209,-(X$253-X$252),X$216,X$224),SUM(Y$216,Y$224)/SUM(Y$209,-(Y$253-Y$252),Y$216,Y$224)),SUM(Y$216,Y$224)/SUM(Y$209,-(Y$253-Y$252),Y$216,Y$224))*SUM(Z$198-Z$239,Z$257,Z$266,Z$284,Z$326,-(Z$253-Z$252)))</f>
        <v>39.607289308759356</v>
      </c>
    </row>
    <row r="225" spans="1:26" x14ac:dyDescent="0.25">
      <c r="A225" s="12" t="s">
        <v>1227</v>
      </c>
      <c r="B225" s="14" t="str">
        <f>$B$38</f>
        <v>From Fiscal Forecasts</v>
      </c>
      <c r="D225" s="50">
        <f>'Fiscal Forecasts'!D$272</f>
        <v>9.4740000000000002</v>
      </c>
      <c r="E225" s="50">
        <f>'Fiscal Forecasts'!E$272</f>
        <v>12.164999999999999</v>
      </c>
      <c r="F225" s="50">
        <f>'Fiscal Forecasts'!F$272</f>
        <v>11.702999999999999</v>
      </c>
      <c r="G225" s="50">
        <f>'Fiscal Forecasts'!G$272</f>
        <v>9.8040000000000003</v>
      </c>
      <c r="H225" s="50">
        <f>'Fiscal Forecasts'!H$272</f>
        <v>12.132</v>
      </c>
      <c r="I225" s="50">
        <f>'Fiscal Forecasts'!I$272</f>
        <v>16.550999999999998</v>
      </c>
      <c r="J225" s="50">
        <f>'Fiscal Forecasts'!J$272</f>
        <v>15.942</v>
      </c>
      <c r="K225" s="50">
        <f>'Fiscal Forecasts'!K$272</f>
        <v>13.926</v>
      </c>
      <c r="L225" s="48">
        <f>'Fiscal Forecasts'!L$272</f>
        <v>15.935</v>
      </c>
      <c r="M225" s="48">
        <f>'Fiscal Forecasts'!M$272</f>
        <v>15.486000000000001</v>
      </c>
      <c r="N225" s="48">
        <f>'Fiscal Forecasts'!N$272</f>
        <v>15.907999999999999</v>
      </c>
      <c r="O225" s="48">
        <f>'Fiscal Forecasts'!O$272</f>
        <v>16.349</v>
      </c>
      <c r="P225" s="48">
        <f>'Fiscal Forecasts'!P$272</f>
        <v>16.396000000000001</v>
      </c>
      <c r="Q225" s="20">
        <f ca="1">SUM(-Q$217,IF(Q$6=OFFSET(Assumptions!$B$8,0,$C$1),AVERAGE(SUM(N$217,N$225)/SUM(N$210,N$217,N$225),SUM(O$217,O$225)/SUM(O$210,O$217,O$225),SUM(P$217,P$225)/SUM(P$210,P$217,P$225)),SUM(P$217,P$225)/SUM(P$210,P$217,P$225))*SUM(Q$285,Q$327-Q$240))</f>
        <v>17.384180550105988</v>
      </c>
      <c r="R225" s="20">
        <f ca="1">SUM(-R$217,IF(R$6=OFFSET(Assumptions!$B$8,0,$C$1),AVERAGE(SUM(O$217,O$225)/SUM(O$210,O$217,O$225),SUM(P$217,P$225)/SUM(P$210,P$217,P$225),SUM(Q$217,Q$225)/SUM(Q$210,Q$217,Q$225)),SUM(Q$217,Q$225)/SUM(Q$210,Q$217,Q$225))*SUM(R$285,R$327-R$240))</f>
        <v>18.090734684676782</v>
      </c>
      <c r="S225" s="20">
        <f ca="1">SUM(-S$217,IF(S$6=OFFSET(Assumptions!$B$8,0,$C$1),AVERAGE(SUM(P$217,P$225)/SUM(P$210,P$217,P$225),SUM(Q$217,Q$225)/SUM(Q$210,Q$217,Q$225),SUM(R$217,R$225)/SUM(R$210,R$217,R$225)),SUM(R$217,R$225)/SUM(R$210,R$217,R$225))*SUM(S$285,S$327-S$240))</f>
        <v>18.81482120598487</v>
      </c>
      <c r="T225" s="20">
        <f ca="1">SUM(-T$217,IF(T$6=OFFSET(Assumptions!$B$8,0,$C$1),AVERAGE(SUM(Q$217,Q$225)/SUM(Q$210,Q$217,Q$225),SUM(R$217,R$225)/SUM(R$210,R$217,R$225),SUM(S$217,S$225)/SUM(S$210,S$217,S$225)),SUM(S$217,S$225)/SUM(S$210,S$217,S$225))*SUM(T$285,T$327-T$240))</f>
        <v>19.552117954503771</v>
      </c>
      <c r="U225" s="20">
        <f ca="1">SUM(-U$217,IF(U$6=OFFSET(Assumptions!$B$8,0,$C$1),AVERAGE(SUM(R$217,R$225)/SUM(R$210,R$217,R$225),SUM(S$217,S$225)/SUM(S$210,S$217,S$225),SUM(T$217,T$225)/SUM(T$210,T$217,T$225)),SUM(T$217,T$225)/SUM(T$210,T$217,T$225))*SUM(U$285,U$327-U$240))</f>
        <v>20.31394557724968</v>
      </c>
      <c r="V225" s="20">
        <f ca="1">SUM(-V$217,IF(V$6=OFFSET(Assumptions!$B$8,0,$C$1),AVERAGE(SUM(S$217,S$225)/SUM(S$210,S$217,S$225),SUM(T$217,T$225)/SUM(T$210,T$217,T$225),SUM(U$217,U$225)/SUM(U$210,U$217,U$225)),SUM(U$217,U$225)/SUM(U$210,U$217,U$225))*SUM(V$285,V$327-V$240))</f>
        <v>21.097393273455673</v>
      </c>
      <c r="W225" s="20">
        <f ca="1">SUM(-W$217,IF(W$6=OFFSET(Assumptions!$B$8,0,$C$1),AVERAGE(SUM(T$217,T$225)/SUM(T$210,T$217,T$225),SUM(U$217,U$225)/SUM(U$210,U$217,U$225),SUM(V$217,V$225)/SUM(V$210,V$217,V$225)),SUM(V$217,V$225)/SUM(V$210,V$217,V$225))*SUM(W$285,W$327-W$240))</f>
        <v>21.890689224573418</v>
      </c>
      <c r="X225" s="20">
        <f ca="1">SUM(-X$217,IF(X$6=OFFSET(Assumptions!$B$8,0,$C$1),AVERAGE(SUM(U$217,U$225)/SUM(U$210,U$217,U$225),SUM(V$217,V$225)/SUM(V$210,V$217,V$225),SUM(W$217,W$225)/SUM(W$210,W$217,W$225)),SUM(W$217,W$225)/SUM(W$210,W$217,W$225))*SUM(X$285,X$327-X$240))</f>
        <v>22.704597868053508</v>
      </c>
      <c r="Y225" s="20">
        <f ca="1">SUM(-Y$217,IF(Y$6=OFFSET(Assumptions!$B$8,0,$C$1),AVERAGE(SUM(V$217,V$225)/SUM(V$210,V$217,V$225),SUM(W$217,W$225)/SUM(W$210,W$217,W$225),SUM(X$217,X$225)/SUM(X$210,X$217,X$225)),SUM(X$217,X$225)/SUM(X$210,X$217,X$225))*SUM(Y$285,Y$327-Y$240))</f>
        <v>23.545432516273799</v>
      </c>
      <c r="Z225" s="20">
        <f ca="1">SUM(-Z$217,IF(Z$6=OFFSET(Assumptions!$B$8,0,$C$1),AVERAGE(SUM(W$217,W$225)/SUM(W$210,W$217,W$225),SUM(X$217,X$225)/SUM(X$210,X$217,X$225),SUM(Y$217,Y$225)/SUM(Y$210,Y$217,Y$225)),SUM(Y$217,Y$225)/SUM(Y$210,Y$217,Y$225))*SUM(Z$285,Z$327-Z$240))</f>
        <v>24.410354490221003</v>
      </c>
    </row>
    <row r="226" spans="1:26" x14ac:dyDescent="0.25">
      <c r="A226" s="12" t="s">
        <v>1228</v>
      </c>
      <c r="B226" s="14" t="str">
        <f>$B$38</f>
        <v>From Fiscal Forecasts</v>
      </c>
      <c r="D226" s="50">
        <f>'Fiscal Forecasts'!D$273</f>
        <v>-33.872999999999998</v>
      </c>
      <c r="E226" s="50">
        <f>'Fiscal Forecasts'!E$273</f>
        <v>-36.92</v>
      </c>
      <c r="F226" s="50">
        <f>'Fiscal Forecasts'!F$273</f>
        <v>-41.241999999999997</v>
      </c>
      <c r="G226" s="50">
        <f>'Fiscal Forecasts'!G$273</f>
        <v>-44.725999999999999</v>
      </c>
      <c r="H226" s="50">
        <f>'Fiscal Forecasts'!H$273</f>
        <v>-50.067</v>
      </c>
      <c r="I226" s="50">
        <f>'Fiscal Forecasts'!I$273</f>
        <v>-53.246000000000002</v>
      </c>
      <c r="J226" s="50">
        <f>'Fiscal Forecasts'!J$273</f>
        <v>-53.735999999999997</v>
      </c>
      <c r="K226" s="50">
        <f>'Fiscal Forecasts'!K$273</f>
        <v>-56.573</v>
      </c>
      <c r="L226" s="48">
        <f>'Fiscal Forecasts'!L$273</f>
        <v>-58.744</v>
      </c>
      <c r="M226" s="48">
        <f>'Fiscal Forecasts'!M$273</f>
        <v>-58.534999999999997</v>
      </c>
      <c r="N226" s="48">
        <f>'Fiscal Forecasts'!N$273</f>
        <v>-58.863999999999997</v>
      </c>
      <c r="O226" s="48">
        <f>'Fiscal Forecasts'!O$273</f>
        <v>-59.152000000000001</v>
      </c>
      <c r="P226" s="48">
        <f>'Fiscal Forecasts'!P$273</f>
        <v>-59.59</v>
      </c>
      <c r="Q226" s="20">
        <f ca="1">IF(Q$6=OFFSET(Assumptions!$B$8,0,$C$1),AVERAGE(N$226/SUM(N$211,N$226),O$226/SUM(O$211,O$226),P$226/SUM(P$211,P$226)),P$226/SUM(P$211,P$226))*SUM(Q$199,Q$258,Q$267,Q$286,Q$328)</f>
        <v>-61.559692723982657</v>
      </c>
      <c r="R226" s="20">
        <f ca="1">IF(R$6=OFFSET(Assumptions!$B$8,0,$C$1),AVERAGE(O$226/SUM(O$211,O$226),P$226/SUM(P$211,P$226),Q$226/SUM(Q$211,Q$226)),Q$226/SUM(Q$211,Q$226))*SUM(R$199,R$258,R$267,R$286,R$328)</f>
        <v>-61.924113487075189</v>
      </c>
      <c r="S226" s="20">
        <f ca="1">IF(S$6=OFFSET(Assumptions!$B$8,0,$C$1),AVERAGE(P$226/SUM(P$211,P$226),Q$226/SUM(Q$211,Q$226),R$226/SUM(R$211,R$226)),R$226/SUM(R$211,R$226))*SUM(S$199,S$258,S$267,S$286,S$328)</f>
        <v>-62.293673655207613</v>
      </c>
      <c r="T226" s="20">
        <f ca="1">IF(T$6=OFFSET(Assumptions!$B$8,0,$C$1),AVERAGE(Q$226/SUM(Q$211,Q$226),R$226/SUM(R$211,R$226),S$226/SUM(S$211,S$226)),S$226/SUM(S$211,S$226))*SUM(T$199,T$258,T$267,T$286,T$328)</f>
        <v>-62.912607763157588</v>
      </c>
      <c r="U226" s="20">
        <f ca="1">IF(U$6=OFFSET(Assumptions!$B$8,0,$C$1),AVERAGE(R$226/SUM(R$211,R$226),S$226/SUM(S$211,S$226),T$226/SUM(T$211,T$226)),T$226/SUM(T$211,T$226))*SUM(U$199,U$258,U$267,U$286,U$328)</f>
        <v>-63.671306245881247</v>
      </c>
      <c r="V226" s="20">
        <f ca="1">IF(V$6=OFFSET(Assumptions!$B$8,0,$C$1),AVERAGE(S$226/SUM(S$211,S$226),T$226/SUM(T$211,T$226),U$226/SUM(U$211,U$226)),U$226/SUM(U$211,U$226))*SUM(V$199,V$258,V$267,V$286,V$328)</f>
        <v>-64.288576120471348</v>
      </c>
      <c r="W226" s="20">
        <f ca="1">IF(W$6=OFFSET(Assumptions!$B$8,0,$C$1),AVERAGE(T$226/SUM(T$211,T$226),U$226/SUM(U$211,U$226),V$226/SUM(V$211,V$226)),V$226/SUM(V$211,V$226))*SUM(W$199,W$258,W$267,W$286,W$328)</f>
        <v>-64.868835741128507</v>
      </c>
      <c r="X226" s="20">
        <f ca="1">IF(X$6=OFFSET(Assumptions!$B$8,0,$C$1),AVERAGE(U$226/SUM(U$211,U$226),V$226/SUM(V$211,V$226),W$226/SUM(W$211,W$226)),W$226/SUM(W$211,W$226))*SUM(X$199,X$258,X$267,X$286,X$328)</f>
        <v>-65.469480332890839</v>
      </c>
      <c r="Y226" s="20">
        <f ca="1">IF(Y$6=OFFSET(Assumptions!$B$8,0,$C$1),AVERAGE(V$226/SUM(V$211,V$226),W$226/SUM(W$211,W$226),X$226/SUM(X$211,X$226)),X$226/SUM(X$211,X$226))*SUM(Y$199,Y$258,Y$267,Y$286,Y$328)</f>
        <v>-66.094330282904508</v>
      </c>
      <c r="Z226" s="20">
        <f ca="1">IF(Z$6=OFFSET(Assumptions!$B$8,0,$C$1),AVERAGE(W$226/SUM(W$211,W$226),X$226/SUM(X$211,X$226),Y$226/SUM(Y$211,Y$226)),Y$226/SUM(Y$211,Y$226))*SUM(Z$199,Z$258,Z$267,Z$286,Z$328)</f>
        <v>-66.734557121240883</v>
      </c>
    </row>
    <row r="227" spans="1:26" x14ac:dyDescent="0.25">
      <c r="A227" s="11" t="s">
        <v>1260</v>
      </c>
      <c r="D227" s="94">
        <f t="shared" ref="D227:Z227" si="142">SUM(D$223:D$226)</f>
        <v>42.693000000000005</v>
      </c>
      <c r="E227" s="94">
        <f t="shared" si="142"/>
        <v>52.582999999999984</v>
      </c>
      <c r="F227" s="94">
        <f t="shared" si="142"/>
        <v>53.802000000000014</v>
      </c>
      <c r="G227" s="94">
        <f t="shared" si="142"/>
        <v>58.27300000000001</v>
      </c>
      <c r="H227" s="94">
        <f t="shared" si="142"/>
        <v>64.134000000000015</v>
      </c>
      <c r="I227" s="94">
        <f t="shared" si="142"/>
        <v>70.62</v>
      </c>
      <c r="J227" s="94">
        <f t="shared" si="142"/>
        <v>69.827000000000027</v>
      </c>
      <c r="K227" s="94">
        <f t="shared" si="142"/>
        <v>67.600999999999999</v>
      </c>
      <c r="L227" s="95">
        <f ca="1">SUM(L$223:L$226)</f>
        <v>74.823999999999984</v>
      </c>
      <c r="M227" s="95">
        <f ca="1">SUM(M$223:M$226)</f>
        <v>70.37</v>
      </c>
      <c r="N227" s="95">
        <f ca="1">SUM(N$223:N$226)</f>
        <v>70.56</v>
      </c>
      <c r="O227" s="95">
        <f ca="1">SUM(O$223:O$226)</f>
        <v>70.534000000000006</v>
      </c>
      <c r="P227" s="95">
        <f ca="1">SUM(P$223:P$226)</f>
        <v>70.494</v>
      </c>
      <c r="Q227" s="96">
        <f t="shared" ca="1" si="142"/>
        <v>70.619681999843465</v>
      </c>
      <c r="R227" s="96">
        <f t="shared" ca="1" si="142"/>
        <v>71.255730103111503</v>
      </c>
      <c r="S227" s="96">
        <f t="shared" ca="1" si="142"/>
        <v>71.876625376850029</v>
      </c>
      <c r="T227" s="96">
        <f t="shared" ca="1" si="142"/>
        <v>72.615186319119658</v>
      </c>
      <c r="U227" s="96">
        <f t="shared" ca="1" si="142"/>
        <v>73.425537032924041</v>
      </c>
      <c r="V227" s="96">
        <f t="shared" ca="1" si="142"/>
        <v>74.419327589162165</v>
      </c>
      <c r="W227" s="96">
        <f t="shared" ca="1" si="142"/>
        <v>75.485277085034127</v>
      </c>
      <c r="X227" s="96">
        <f t="shared" ca="1" si="142"/>
        <v>76.576727319856559</v>
      </c>
      <c r="Y227" s="96">
        <f t="shared" ca="1" si="142"/>
        <v>77.693587776464199</v>
      </c>
      <c r="Z227" s="96">
        <f t="shared" ca="1" si="142"/>
        <v>78.850720731403115</v>
      </c>
    </row>
    <row r="228" spans="1:26" x14ac:dyDescent="0.25">
      <c r="A228" s="11"/>
    </row>
    <row r="229" spans="1:26" x14ac:dyDescent="0.25">
      <c r="A229" s="11" t="s">
        <v>1261</v>
      </c>
    </row>
    <row r="230" spans="1:26" x14ac:dyDescent="0.25">
      <c r="A230" s="11" t="s">
        <v>1262</v>
      </c>
      <c r="B230" s="14" t="str">
        <f>$B$38</f>
        <v>From Fiscal Forecasts</v>
      </c>
      <c r="D230" s="51">
        <f>'Fiscal Forecasts'!D$173</f>
        <v>3.69</v>
      </c>
      <c r="E230" s="51">
        <f>'Fiscal Forecasts'!E$173</f>
        <v>3.2280000000000002</v>
      </c>
      <c r="F230" s="51">
        <f>'Fiscal Forecasts'!F$173</f>
        <v>1.9179999999999999</v>
      </c>
      <c r="G230" s="51">
        <f>'Fiscal Forecasts'!G$173</f>
        <v>2.8839999999999999</v>
      </c>
      <c r="H230" s="51">
        <f>'Fiscal Forecasts'!H$173</f>
        <v>6.569</v>
      </c>
      <c r="I230" s="51">
        <f>'Fiscal Forecasts'!I$173</f>
        <v>8.9429999999999996</v>
      </c>
      <c r="J230" s="51">
        <f>'Fiscal Forecasts'!J$173</f>
        <v>8.8620000000000001</v>
      </c>
      <c r="K230" s="51">
        <f>'Fiscal Forecasts'!K$173</f>
        <v>9.0570000000000004</v>
      </c>
      <c r="L230" s="47">
        <f>'Fiscal Forecasts'!L$173</f>
        <v>10.291</v>
      </c>
      <c r="M230" s="47">
        <f>'Fiscal Forecasts'!M$173</f>
        <v>11.396000000000001</v>
      </c>
      <c r="N230" s="47">
        <f>'Fiscal Forecasts'!N$173</f>
        <v>12.481</v>
      </c>
      <c r="O230" s="47">
        <f>'Fiscal Forecasts'!O$173</f>
        <v>13.502000000000001</v>
      </c>
      <c r="P230" s="47">
        <f>'Fiscal Forecasts'!P$173</f>
        <v>13.689</v>
      </c>
      <c r="Q230" s="21">
        <f t="shared" ref="Q230:Z230" ca="1" si="143">Q$480</f>
        <v>13.633257785751347</v>
      </c>
      <c r="R230" s="21">
        <f t="shared" ca="1" si="143"/>
        <v>13.620869836334652</v>
      </c>
      <c r="S230" s="21">
        <f t="shared" ca="1" si="143"/>
        <v>13.580259900398898</v>
      </c>
      <c r="T230" s="21">
        <f t="shared" ca="1" si="143"/>
        <v>13.486105384497517</v>
      </c>
      <c r="U230" s="21">
        <f t="shared" ca="1" si="143"/>
        <v>13.32865289059211</v>
      </c>
      <c r="V230" s="21">
        <f t="shared" ca="1" si="143"/>
        <v>13.024639592732496</v>
      </c>
      <c r="W230" s="21">
        <f t="shared" ca="1" si="143"/>
        <v>12.655247084470162</v>
      </c>
      <c r="X230" s="21">
        <f t="shared" ca="1" si="143"/>
        <v>12.220673399712474</v>
      </c>
      <c r="Y230" s="21">
        <f t="shared" ca="1" si="143"/>
        <v>11.72170893427038</v>
      </c>
      <c r="Z230" s="21">
        <f t="shared" ca="1" si="143"/>
        <v>11.158747427612838</v>
      </c>
    </row>
    <row r="231" spans="1:26" x14ac:dyDescent="0.25">
      <c r="A231" s="12" t="s">
        <v>1020</v>
      </c>
      <c r="B231" s="14" t="str">
        <f>$B$38</f>
        <v>From Fiscal Forecasts</v>
      </c>
      <c r="D231" s="50">
        <f>'Fiscal Forecasts'!D$276</f>
        <v>0.11700000000000001</v>
      </c>
      <c r="E231" s="50">
        <f>'Fiscal Forecasts'!E$276</f>
        <v>0.16400000000000001</v>
      </c>
      <c r="F231" s="50">
        <f>'Fiscal Forecasts'!F$276</f>
        <v>0.218</v>
      </c>
      <c r="G231" s="50">
        <f>'Fiscal Forecasts'!G$276</f>
        <v>0.30099999999999999</v>
      </c>
      <c r="H231" s="50">
        <f>'Fiscal Forecasts'!H$276</f>
        <v>0.872</v>
      </c>
      <c r="I231" s="50">
        <f>'Fiscal Forecasts'!I$276</f>
        <v>1.9690000000000001</v>
      </c>
      <c r="J231" s="50">
        <f>'Fiscal Forecasts'!J$276</f>
        <v>2.387</v>
      </c>
      <c r="K231" s="50">
        <f>'Fiscal Forecasts'!K$276</f>
        <v>2.2010000000000001</v>
      </c>
      <c r="L231" s="48">
        <f>'Fiscal Forecasts'!L$276</f>
        <v>2.4409999999999998</v>
      </c>
      <c r="M231" s="48">
        <f>'Fiscal Forecasts'!M$276</f>
        <v>2.8340000000000001</v>
      </c>
      <c r="N231" s="48">
        <f>'Fiscal Forecasts'!N$276</f>
        <v>3.27</v>
      </c>
      <c r="O231" s="48">
        <f>'Fiscal Forecasts'!O$276</f>
        <v>3.6720000000000002</v>
      </c>
      <c r="P231" s="48">
        <f>'Fiscal Forecasts'!P$276</f>
        <v>4.0439999999999996</v>
      </c>
      <c r="Q231" s="20">
        <f ca="1">IF(Q$6=OFFSET(Assumptions!$B$8,0,$C$1),AVERAGE(N$231/SUM(N$231:N$233),O$231/SUM(O$231:O$233),P$231/SUM(P$231:P$233)),P$231/SUM(P$231:P$233))*(Q$96-Q$480)</f>
        <v>4.6514380133930748</v>
      </c>
      <c r="R231" s="20">
        <f ca="1">IF(R$6=OFFSET(Assumptions!$B$8,0,$C$1),AVERAGE(O$231/SUM(O$231:O$233),P$231/SUM(P$231:P$233),Q$231/SUM(Q$231:Q$233)),Q$231/SUM(Q$231:Q$233))*(R$96-R$480)</f>
        <v>5.031558997915301</v>
      </c>
      <c r="S231" s="20">
        <f ca="1">IF(S$6=OFFSET(Assumptions!$B$8,0,$C$1),AVERAGE(P$231/SUM(P$231:P$233),Q$231/SUM(Q$231:Q$233),R$231/SUM(R$231:R$233)),R$231/SUM(R$231:R$233))*(S$96-S$480)</f>
        <v>5.4121200149337341</v>
      </c>
      <c r="T231" s="20">
        <f ca="1">IF(T$6=OFFSET(Assumptions!$B$8,0,$C$1),AVERAGE(Q$231/SUM(Q$231:Q$233),R$231/SUM(R$231:R$233),S$231/SUM(S$231:S$233)),S$231/SUM(S$231:S$233))*(T$96-T$480)</f>
        <v>5.7918565040902505</v>
      </c>
      <c r="U231" s="20">
        <f ca="1">IF(U$6=OFFSET(Assumptions!$B$8,0,$C$1),AVERAGE(R$231/SUM(R$231:R$233),S$231/SUM(S$231:S$233),T$231/SUM(T$231:T$233)),T$231/SUM(T$231:T$233))*(U$96-U$480)</f>
        <v>6.1659247181660497</v>
      </c>
      <c r="V231" s="20">
        <f ca="1">IF(V$6=OFFSET(Assumptions!$B$8,0,$C$1),AVERAGE(S$231/SUM(S$231:S$233),T$231/SUM(T$231:T$233),U$231/SUM(U$231:U$233)),U$231/SUM(U$231:U$233))*(V$96-V$480)</f>
        <v>6.5020707607820816</v>
      </c>
      <c r="W231" s="20">
        <f ca="1">IF(W$6=OFFSET(Assumptions!$B$8,0,$C$1),AVERAGE(T$231/SUM(T$231:T$233),U$231/SUM(U$231:U$233),V$231/SUM(V$231:V$233)),V$231/SUM(V$231:V$233))*(W$96-W$480)</f>
        <v>6.8416778661127005</v>
      </c>
      <c r="X231" s="20">
        <f ca="1">IF(X$6=OFFSET(Assumptions!$B$8,0,$C$1),AVERAGE(U$231/SUM(U$231:U$233),V$231/SUM(V$231:V$233),W$231/SUM(W$231:W$233)),W$231/SUM(W$231:W$233))*(X$96-X$480)</f>
        <v>7.1861399183228212</v>
      </c>
      <c r="Y231" s="20">
        <f ca="1">IF(Y$6=OFFSET(Assumptions!$B$8,0,$C$1),AVERAGE(V$231/SUM(V$231:V$233),W$231/SUM(W$231:W$233),X$231/SUM(X$231:X$233)),X$231/SUM(X$231:X$233))*(Y$96-Y$480)</f>
        <v>7.5355603358301204</v>
      </c>
      <c r="Z231" s="20">
        <f ca="1">IF(Z$6=OFFSET(Assumptions!$B$8,0,$C$1),AVERAGE(W$231/SUM(W$231:W$233),X$231/SUM(X$231:X$233),Y$231/SUM(Y$231:Y$233)),Y$231/SUM(Y$231:Y$233))*(Z$96-Z$480)</f>
        <v>7.8907903593521862</v>
      </c>
    </row>
    <row r="232" spans="1:26" x14ac:dyDescent="0.25">
      <c r="A232" s="12" t="s">
        <v>1227</v>
      </c>
      <c r="B232" s="14" t="str">
        <f>$B$38</f>
        <v>From Fiscal Forecasts</v>
      </c>
      <c r="D232" s="50">
        <f>'Fiscal Forecasts'!D$277</f>
        <v>1.0449999999999999</v>
      </c>
      <c r="E232" s="50">
        <f>'Fiscal Forecasts'!E$277</f>
        <v>0.90100000000000002</v>
      </c>
      <c r="F232" s="50">
        <f>'Fiscal Forecasts'!F$277</f>
        <v>0.59199999999999997</v>
      </c>
      <c r="G232" s="50">
        <f>'Fiscal Forecasts'!G$277</f>
        <v>0.66</v>
      </c>
      <c r="H232" s="50">
        <f>'Fiscal Forecasts'!H$277</f>
        <v>0.68200000000000005</v>
      </c>
      <c r="I232" s="50">
        <f>'Fiscal Forecasts'!I$277</f>
        <v>0.57999999999999996</v>
      </c>
      <c r="J232" s="50">
        <f>'Fiscal Forecasts'!J$277</f>
        <v>0.57199999999999995</v>
      </c>
      <c r="K232" s="50">
        <f>'Fiscal Forecasts'!K$277</f>
        <v>0.57699999999999996</v>
      </c>
      <c r="L232" s="48">
        <f>'Fiscal Forecasts'!L$277</f>
        <v>0.64900000000000002</v>
      </c>
      <c r="M232" s="48">
        <f>'Fiscal Forecasts'!M$277</f>
        <v>0.74099999999999999</v>
      </c>
      <c r="N232" s="48">
        <f>'Fiscal Forecasts'!N$277</f>
        <v>0.84499999999999997</v>
      </c>
      <c r="O232" s="48">
        <f>'Fiscal Forecasts'!O$277</f>
        <v>0.89400000000000002</v>
      </c>
      <c r="P232" s="48">
        <f>'Fiscal Forecasts'!P$277</f>
        <v>0.95599999999999996</v>
      </c>
      <c r="Q232" s="20">
        <f ca="1">IF(Q$6=OFFSET(Assumptions!$B$8,0,$C$1),AVERAGE(N$232/SUM(N$231:N$233),O$232/SUM(O$231:O$233),P$232/SUM(P$231:P$233)),P$232/SUM(P$231:P$233))*(Q$96-Q$480)</f>
        <v>1.1459527186083478</v>
      </c>
      <c r="R232" s="20">
        <f ca="1">IF(R$6=OFFSET(Assumptions!$B$8,0,$C$1),AVERAGE(O$232/SUM(O$231:O$233),P$232/SUM(P$231:P$233),Q$232/SUM(Q$231:Q$233)),Q$232/SUM(Q$231:Q$233))*(R$96-R$480)</f>
        <v>1.2396013224076641</v>
      </c>
      <c r="S232" s="20">
        <f ca="1">IF(S$6=OFFSET(Assumptions!$B$8,0,$C$1),AVERAGE(P$232/SUM(P$231:P$233),Q$232/SUM(Q$231:Q$233),R$232/SUM(R$231:R$233)),R$232/SUM(R$231:R$233))*(S$96-S$480)</f>
        <v>1.3333583349257145</v>
      </c>
      <c r="T232" s="20">
        <f ca="1">IF(T$6=OFFSET(Assumptions!$B$8,0,$C$1),AVERAGE(Q$232/SUM(Q$231:Q$233),R$232/SUM(R$231:R$233),S$232/SUM(S$231:S$233)),S$232/SUM(S$231:S$233))*(T$96-T$480)</f>
        <v>1.426912212425689</v>
      </c>
      <c r="U232" s="20">
        <f ca="1">IF(U$6=OFFSET(Assumptions!$B$8,0,$C$1),AVERAGE(R$232/SUM(R$231:R$233),S$232/SUM(S$231:S$233),T$232/SUM(T$231:T$233)),T$232/SUM(T$231:T$233))*(U$96-U$480)</f>
        <v>1.5190696238822883</v>
      </c>
      <c r="V232" s="20">
        <f ca="1">IF(V$6=OFFSET(Assumptions!$B$8,0,$C$1),AVERAGE(S$232/SUM(S$231:S$233),T$232/SUM(T$231:T$233),U$232/SUM(U$231:U$233)),U$232/SUM(U$231:U$233))*(V$96-V$480)</f>
        <v>1.6018843298455054</v>
      </c>
      <c r="W232" s="20">
        <f ca="1">IF(W$6=OFFSET(Assumptions!$B$8,0,$C$1),AVERAGE(T$232/SUM(T$231:T$233),U$232/SUM(U$231:U$233),V$232/SUM(V$231:V$233)),V$232/SUM(V$231:V$233))*(W$96-W$480)</f>
        <v>1.6855517214116771</v>
      </c>
      <c r="X232" s="20">
        <f ca="1">IF(X$6=OFFSET(Assumptions!$B$8,0,$C$1),AVERAGE(U$232/SUM(U$231:U$233),V$232/SUM(V$231:V$233),W$232/SUM(W$231:W$233)),W$232/SUM(W$231:W$233))*(X$96-X$480)</f>
        <v>1.7704152032104272</v>
      </c>
      <c r="Y232" s="20">
        <f ca="1">IF(Y$6=OFFSET(Assumptions!$B$8,0,$C$1),AVERAGE(V$232/SUM(V$231:V$233),W$232/SUM(W$231:W$233),X$232/SUM(X$231:X$233)),X$232/SUM(X$231:X$233))*(Y$96-Y$480)</f>
        <v>1.8565002539467395</v>
      </c>
      <c r="Z232" s="20">
        <f ca="1">IF(Z$6=OFFSET(Assumptions!$B$8,0,$C$1),AVERAGE(W$232/SUM(W$231:W$233),X$232/SUM(X$231:X$233),Y$232/SUM(Y$231:Y$233)),Y$232/SUM(Y$231:Y$233))*(Z$96-Z$480)</f>
        <v>1.9440165897582251</v>
      </c>
    </row>
    <row r="233" spans="1:26" x14ac:dyDescent="0.25">
      <c r="A233" s="12" t="s">
        <v>1228</v>
      </c>
      <c r="B233" s="14" t="str">
        <f>$B$38</f>
        <v>From Fiscal Forecasts</v>
      </c>
      <c r="D233" s="50">
        <f>'Fiscal Forecasts'!D$278</f>
        <v>-0.55400000000000005</v>
      </c>
      <c r="E233" s="50">
        <f>'Fiscal Forecasts'!E$278</f>
        <v>-0.53900000000000003</v>
      </c>
      <c r="F233" s="50">
        <f>'Fiscal Forecasts'!F$278</f>
        <v>-0.45600000000000002</v>
      </c>
      <c r="G233" s="50">
        <f>'Fiscal Forecasts'!G$278</f>
        <v>-0.496</v>
      </c>
      <c r="H233" s="50">
        <f>'Fiscal Forecasts'!H$278</f>
        <v>-0.67500000000000004</v>
      </c>
      <c r="I233" s="50">
        <f>'Fiscal Forecasts'!I$278</f>
        <v>-1.1179999999999999</v>
      </c>
      <c r="J233" s="50">
        <f>'Fiscal Forecasts'!J$278</f>
        <v>-1.431</v>
      </c>
      <c r="K233" s="50">
        <f>'Fiscal Forecasts'!K$278</f>
        <v>-1.587</v>
      </c>
      <c r="L233" s="48">
        <f>'Fiscal Forecasts'!L$278</f>
        <v>-1.7230000000000001</v>
      </c>
      <c r="M233" s="48">
        <f>'Fiscal Forecasts'!M$278</f>
        <v>-1.89</v>
      </c>
      <c r="N233" s="48">
        <f>'Fiscal Forecasts'!N$278</f>
        <v>-2.0009999999999999</v>
      </c>
      <c r="O233" s="48">
        <f>'Fiscal Forecasts'!O$278</f>
        <v>-2.085</v>
      </c>
      <c r="P233" s="48">
        <f>'Fiscal Forecasts'!P$278</f>
        <v>-2.1890000000000001</v>
      </c>
      <c r="Q233" s="20">
        <f ca="1">IF(Q$6=OFFSET(Assumptions!$B$8,0,$C$1),AVERAGE(N$233/SUM(N$231:N$233),O$233/SUM(O$231:O$233),P$233/SUM(P$231:P$233)),P$233/SUM(P$231:P$233))*(Q$96-Q$480)</f>
        <v>-2.672483432457136</v>
      </c>
      <c r="R233" s="20">
        <f ca="1">IF(R$6=OFFSET(Assumptions!$B$8,0,$C$1),AVERAGE(O$233/SUM(O$231:O$233),P$233/SUM(P$231:P$233),Q$233/SUM(Q$231:Q$233)),Q$233/SUM(Q$231:Q$233))*(R$96-R$480)</f>
        <v>-2.8908819213846284</v>
      </c>
      <c r="S233" s="20">
        <f ca="1">IF(S$6=OFFSET(Assumptions!$B$8,0,$C$1),AVERAGE(P$233/SUM(P$231:P$233),Q$233/SUM(Q$231:Q$233),R$233/SUM(R$231:R$233)),R$233/SUM(R$231:R$233))*(S$96-S$480)</f>
        <v>-3.109533230956504</v>
      </c>
      <c r="T233" s="20">
        <f ca="1">IF(T$6=OFFSET(Assumptions!$B$8,0,$C$1),AVERAGE(Q$233/SUM(Q$231:Q$233),R$233/SUM(R$231:R$233),S$233/SUM(S$231:S$233)),S$233/SUM(S$231:S$233))*(T$96-T$480)</f>
        <v>-3.3277108080946198</v>
      </c>
      <c r="U233" s="20">
        <f ca="1">IF(U$6=OFFSET(Assumptions!$B$8,0,$C$1),AVERAGE(R$233/SUM(R$231:R$233),S$233/SUM(S$231:S$233),T$233/SUM(T$231:T$233)),T$233/SUM(T$231:T$233))*(U$96-U$480)</f>
        <v>-3.5426316781240499</v>
      </c>
      <c r="V233" s="20">
        <f ca="1">IF(V$6=OFFSET(Assumptions!$B$8,0,$C$1),AVERAGE(S$233/SUM(S$231:S$233),T$233/SUM(T$231:T$233),U$233/SUM(U$231:U$233)),U$233/SUM(U$231:U$233))*(V$96-V$480)</f>
        <v>-3.7357643668088683</v>
      </c>
      <c r="W233" s="20">
        <f ca="1">IF(W$6=OFFSET(Assumptions!$B$8,0,$C$1),AVERAGE(T$233/SUM(T$231:T$233),U$233/SUM(U$231:U$233),V$233/SUM(V$231:V$233)),V$233/SUM(V$231:V$233))*(W$96-W$480)</f>
        <v>-3.9308856088693944</v>
      </c>
      <c r="X233" s="20">
        <f ca="1">IF(X$6=OFFSET(Assumptions!$B$8,0,$C$1),AVERAGE(U$233/SUM(U$231:U$233),V$233/SUM(V$231:V$233),W$233/SUM(W$231:W$233)),W$233/SUM(W$231:W$233))*(X$96-X$480)</f>
        <v>-4.1287962603692314</v>
      </c>
      <c r="Y233" s="20">
        <f ca="1">IF(Y$6=OFFSET(Assumptions!$B$8,0,$C$1),AVERAGE(V$233/SUM(V$231:V$233),W$233/SUM(W$231:W$233),X$233/SUM(X$231:X$233)),X$233/SUM(X$231:X$233))*(Y$96-Y$480)</f>
        <v>-4.3295557403540714</v>
      </c>
      <c r="Z233" s="20">
        <f ca="1">IF(Z$6=OFFSET(Assumptions!$B$8,0,$C$1),AVERAGE(W$233/SUM(W$231:W$233),X$233/SUM(X$231:X$233),Y$233/SUM(Y$231:Y$233)),Y$233/SUM(Y$231:Y$233))*(Z$96-Z$480)</f>
        <v>-4.5336531291273037</v>
      </c>
    </row>
    <row r="234" spans="1:26" x14ac:dyDescent="0.25">
      <c r="A234" s="11" t="s">
        <v>1263</v>
      </c>
      <c r="D234" s="94">
        <f t="shared" ref="D234:Z234" si="144">SUM(D$230:D$233)</f>
        <v>4.298</v>
      </c>
      <c r="E234" s="94">
        <f t="shared" si="144"/>
        <v>3.754</v>
      </c>
      <c r="F234" s="94">
        <f t="shared" si="144"/>
        <v>2.2720000000000002</v>
      </c>
      <c r="G234" s="94">
        <f t="shared" si="144"/>
        <v>3.3490000000000002</v>
      </c>
      <c r="H234" s="94">
        <f t="shared" si="144"/>
        <v>7.4479999999999995</v>
      </c>
      <c r="I234" s="94">
        <f t="shared" si="144"/>
        <v>10.373999999999999</v>
      </c>
      <c r="J234" s="94">
        <f t="shared" si="144"/>
        <v>10.39</v>
      </c>
      <c r="K234" s="94">
        <f t="shared" si="144"/>
        <v>10.248000000000001</v>
      </c>
      <c r="L234" s="95">
        <f t="shared" si="144"/>
        <v>11.657999999999999</v>
      </c>
      <c r="M234" s="95">
        <f t="shared" si="144"/>
        <v>13.081</v>
      </c>
      <c r="N234" s="95">
        <f t="shared" si="144"/>
        <v>14.595000000000001</v>
      </c>
      <c r="O234" s="95">
        <f t="shared" si="144"/>
        <v>15.982999999999997</v>
      </c>
      <c r="P234" s="95">
        <f t="shared" si="144"/>
        <v>16.5</v>
      </c>
      <c r="Q234" s="96">
        <f t="shared" ca="1" si="144"/>
        <v>16.758165085295637</v>
      </c>
      <c r="R234" s="96">
        <f t="shared" ca="1" si="144"/>
        <v>17.001148235272989</v>
      </c>
      <c r="S234" s="96">
        <f t="shared" ca="1" si="144"/>
        <v>17.216205019301846</v>
      </c>
      <c r="T234" s="96">
        <f t="shared" ca="1" si="144"/>
        <v>17.377163292918837</v>
      </c>
      <c r="U234" s="96">
        <f t="shared" ca="1" si="144"/>
        <v>17.471015554516399</v>
      </c>
      <c r="V234" s="96">
        <f t="shared" ca="1" si="144"/>
        <v>17.392830316551212</v>
      </c>
      <c r="W234" s="96">
        <f t="shared" ca="1" si="144"/>
        <v>17.251591063125144</v>
      </c>
      <c r="X234" s="96">
        <f t="shared" ca="1" si="144"/>
        <v>17.048432260876492</v>
      </c>
      <c r="Y234" s="96">
        <f t="shared" ca="1" si="144"/>
        <v>16.784213783693168</v>
      </c>
      <c r="Z234" s="96">
        <f t="shared" ca="1" si="144"/>
        <v>16.459901247595944</v>
      </c>
    </row>
    <row r="235" spans="1:26" x14ac:dyDescent="0.25">
      <c r="A235" s="14" t="s">
        <v>658</v>
      </c>
      <c r="E235" s="89">
        <f t="shared" ref="E235:P235" si="145">E$230/AVERAGE(D$71,E$71)</f>
        <v>2.9634933968629935E-2</v>
      </c>
      <c r="F235" s="89">
        <f t="shared" si="145"/>
        <v>1.4817447196427743E-2</v>
      </c>
      <c r="G235" s="89">
        <f t="shared" si="145"/>
        <v>1.9129171655131016E-2</v>
      </c>
      <c r="H235" s="89">
        <f t="shared" si="145"/>
        <v>3.6492923905948361E-2</v>
      </c>
      <c r="I235" s="89">
        <f t="shared" si="145"/>
        <v>4.3905169154937182E-2</v>
      </c>
      <c r="J235" s="89">
        <f t="shared" si="145"/>
        <v>3.8926811269535878E-2</v>
      </c>
      <c r="K235" s="89">
        <f t="shared" si="145"/>
        <v>3.6534598349347733E-2</v>
      </c>
      <c r="L235" s="66">
        <f t="shared" si="145"/>
        <v>3.8861678706700244E-2</v>
      </c>
      <c r="M235" s="66">
        <f t="shared" si="145"/>
        <v>4.0583178422113488E-2</v>
      </c>
      <c r="N235" s="66">
        <f t="shared" si="145"/>
        <v>4.2446533725796272E-2</v>
      </c>
      <c r="O235" s="66">
        <f t="shared" si="145"/>
        <v>4.4865266302370359E-2</v>
      </c>
      <c r="P235" s="66">
        <f t="shared" si="145"/>
        <v>4.5545513073249118E-2</v>
      </c>
      <c r="Q235" s="101">
        <f ca="1">IF(Q$6&lt;OFFSET(Assumptions!$B$8,0,$C$1)+OFFSET(Assumptions!$B$23,0,$C$1),P$235+(OFFSET(P$30,0,OFFSET(Assumptions!$B$8,0,$C$1)+OFFSET(Assumptions!$B$23,0,$C$1)-Q$6)-P$235)/(OFFSET(Assumptions!$B$8,0,$C$1)+OFFSET(Assumptions!$B$23,0,$C$1)-Q$6),Q$30)</f>
        <v>4.5836410458599292E-2</v>
      </c>
      <c r="R235" s="101">
        <f ca="1">IF(R$6&lt;OFFSET(Assumptions!$B$8,0,$C$1)+OFFSET(Assumptions!$B$23,0,$C$1),Q$235+(OFFSET(Q$30,0,OFFSET(Assumptions!$B$8,0,$C$1)+OFFSET(Assumptions!$B$23,0,$C$1)-R$6)-Q$235)/(OFFSET(Assumptions!$B$8,0,$C$1)+OFFSET(Assumptions!$B$23,0,$C$1)-R$6),R$30)</f>
        <v>4.6127307843949472E-2</v>
      </c>
      <c r="S235" s="101">
        <f ca="1">IF(S$6&lt;OFFSET(Assumptions!$B$8,0,$C$1)+OFFSET(Assumptions!$B$23,0,$C$1),R$235+(OFFSET(R$30,0,OFFSET(Assumptions!$B$8,0,$C$1)+OFFSET(Assumptions!$B$23,0,$C$1)-S$6)-R$235)/(OFFSET(Assumptions!$B$8,0,$C$1)+OFFSET(Assumptions!$B$23,0,$C$1)-S$6),S$30)</f>
        <v>4.6418205229299646E-2</v>
      </c>
      <c r="T235" s="101">
        <f ca="1">IF(T$6&lt;OFFSET(Assumptions!$B$8,0,$C$1)+OFFSET(Assumptions!$B$23,0,$C$1),S$235+(OFFSET(S$30,0,OFFSET(Assumptions!$B$8,0,$C$1)+OFFSET(Assumptions!$B$23,0,$C$1)-T$6)-S$235)/(OFFSET(Assumptions!$B$8,0,$C$1)+OFFSET(Assumptions!$B$23,0,$C$1)-T$6),T$30)</f>
        <v>4.6709102614649819E-2</v>
      </c>
      <c r="U235" s="101">
        <f ca="1">IF(U$6&lt;OFFSET(Assumptions!$B$8,0,$C$1)+OFFSET(Assumptions!$B$23,0,$C$1),T$235+(OFFSET(T$30,0,OFFSET(Assumptions!$B$8,0,$C$1)+OFFSET(Assumptions!$B$23,0,$C$1)-U$6)-T$235)/(OFFSET(Assumptions!$B$8,0,$C$1)+OFFSET(Assumptions!$B$23,0,$C$1)-U$6),U$30)</f>
        <v>4.7E-2</v>
      </c>
      <c r="V235" s="101">
        <f ca="1">IF(V$6&lt;OFFSET(Assumptions!$B$8,0,$C$1)+OFFSET(Assumptions!$B$23,0,$C$1),U$235+(OFFSET(U$30,0,OFFSET(Assumptions!$B$8,0,$C$1)+OFFSET(Assumptions!$B$23,0,$C$1)-V$6)-U$235)/(OFFSET(Assumptions!$B$8,0,$C$1)+OFFSET(Assumptions!$B$23,0,$C$1)-V$6),V$30)</f>
        <v>4.7E-2</v>
      </c>
      <c r="W235" s="101">
        <f ca="1">IF(W$6&lt;OFFSET(Assumptions!$B$8,0,$C$1)+OFFSET(Assumptions!$B$23,0,$C$1),V$235+(OFFSET(V$30,0,OFFSET(Assumptions!$B$8,0,$C$1)+OFFSET(Assumptions!$B$23,0,$C$1)-W$6)-V$235)/(OFFSET(Assumptions!$B$8,0,$C$1)+OFFSET(Assumptions!$B$23,0,$C$1)-W$6),W$30)</f>
        <v>4.7E-2</v>
      </c>
      <c r="X235" s="101">
        <f ca="1">IF(X$6&lt;OFFSET(Assumptions!$B$8,0,$C$1)+OFFSET(Assumptions!$B$23,0,$C$1),W$235+(OFFSET(W$30,0,OFFSET(Assumptions!$B$8,0,$C$1)+OFFSET(Assumptions!$B$23,0,$C$1)-X$6)-W$235)/(OFFSET(Assumptions!$B$8,0,$C$1)+OFFSET(Assumptions!$B$23,0,$C$1)-X$6),X$30)</f>
        <v>4.7E-2</v>
      </c>
      <c r="Y235" s="101">
        <f ca="1">IF(Y$6&lt;OFFSET(Assumptions!$B$8,0,$C$1)+OFFSET(Assumptions!$B$23,0,$C$1),X$235+(OFFSET(X$30,0,OFFSET(Assumptions!$B$8,0,$C$1)+OFFSET(Assumptions!$B$23,0,$C$1)-Y$6)-X$235)/(OFFSET(Assumptions!$B$8,0,$C$1)+OFFSET(Assumptions!$B$23,0,$C$1)-Y$6),Y$30)</f>
        <v>4.7E-2</v>
      </c>
      <c r="Z235" s="101">
        <f ca="1">IF(Z$6&lt;OFFSET(Assumptions!$B$8,0,$C$1)+OFFSET(Assumptions!$B$23,0,$C$1),Y$235+(OFFSET(Y$30,0,OFFSET(Assumptions!$B$8,0,$C$1)+OFFSET(Assumptions!$B$23,0,$C$1)-Z$6)-Y$235)/(OFFSET(Assumptions!$B$8,0,$C$1)+OFFSET(Assumptions!$B$23,0,$C$1)-Z$6),Z$30)</f>
        <v>4.7E-2</v>
      </c>
    </row>
    <row r="236" spans="1:26" x14ac:dyDescent="0.25">
      <c r="A236" s="14"/>
    </row>
    <row r="237" spans="1:26" x14ac:dyDescent="0.25">
      <c r="A237" s="11" t="s">
        <v>875</v>
      </c>
    </row>
    <row r="238" spans="1:26" x14ac:dyDescent="0.25">
      <c r="A238" s="11" t="s">
        <v>1264</v>
      </c>
      <c r="B238" s="14" t="str">
        <f>$B$38</f>
        <v>From Fiscal Forecasts</v>
      </c>
      <c r="D238" s="51">
        <f>'Fiscal Forecasts'!D$174</f>
        <v>0</v>
      </c>
      <c r="E238" s="51">
        <f>'Fiscal Forecasts'!E$174</f>
        <v>0</v>
      </c>
      <c r="F238" s="51">
        <f>'Fiscal Forecasts'!F$174</f>
        <v>1E-3</v>
      </c>
      <c r="G238" s="51">
        <f>'Fiscal Forecasts'!G$174</f>
        <v>1E-3</v>
      </c>
      <c r="H238" s="51">
        <f>'Fiscal Forecasts'!H$174</f>
        <v>3.0000000000000001E-3</v>
      </c>
      <c r="I238" s="51">
        <f>'Fiscal Forecasts'!I$174</f>
        <v>2E-3</v>
      </c>
      <c r="J238" s="51">
        <f>'Fiscal Forecasts'!J$174</f>
        <v>3.0000000000000001E-3</v>
      </c>
      <c r="K238" s="51">
        <f>'Fiscal Forecasts'!K$174</f>
        <v>2E-3</v>
      </c>
      <c r="L238" s="47">
        <f>'Fiscal Forecasts'!L$174</f>
        <v>0</v>
      </c>
      <c r="M238" s="47">
        <f>'Fiscal Forecasts'!M$174</f>
        <v>0</v>
      </c>
      <c r="N238" s="47">
        <f>'Fiscal Forecasts'!N$174</f>
        <v>0</v>
      </c>
      <c r="O238" s="47">
        <f>'Fiscal Forecasts'!O$174</f>
        <v>0</v>
      </c>
      <c r="P238" s="47">
        <f>'Fiscal Forecasts'!P$174</f>
        <v>0</v>
      </c>
      <c r="Q238" s="21">
        <f ca="1">IF(Q$6=OFFSET(Assumptions!$B$8,0,$C$1),OFFSET(Assumptions!$B$9,0,$C$1),P$238)</f>
        <v>0</v>
      </c>
      <c r="R238" s="21">
        <f ca="1">IF(R$6=OFFSET(Assumptions!$B$8,0,$C$1),OFFSET(Assumptions!$B$9,0,$C$1),Q$238)</f>
        <v>0</v>
      </c>
      <c r="S238" s="21">
        <f ca="1">IF(S$6=OFFSET(Assumptions!$B$8,0,$C$1),OFFSET(Assumptions!$B$9,0,$C$1),R$238)</f>
        <v>0</v>
      </c>
      <c r="T238" s="21">
        <f ca="1">IF(T$6=OFFSET(Assumptions!$B$8,0,$C$1),OFFSET(Assumptions!$B$9,0,$C$1),S$238)</f>
        <v>0</v>
      </c>
      <c r="U238" s="21">
        <f ca="1">IF(U$6=OFFSET(Assumptions!$B$8,0,$C$1),OFFSET(Assumptions!$B$9,0,$C$1),T$238)</f>
        <v>0</v>
      </c>
      <c r="V238" s="21">
        <f ca="1">IF(V$6=OFFSET(Assumptions!$B$8,0,$C$1),OFFSET(Assumptions!$B$9,0,$C$1),U$238)</f>
        <v>0</v>
      </c>
      <c r="W238" s="21">
        <f ca="1">IF(W$6=OFFSET(Assumptions!$B$8,0,$C$1),OFFSET(Assumptions!$B$9,0,$C$1),V$238)</f>
        <v>0</v>
      </c>
      <c r="X238" s="21">
        <f ca="1">IF(X$6=OFFSET(Assumptions!$B$8,0,$C$1),OFFSET(Assumptions!$B$9,0,$C$1),W$238)</f>
        <v>0</v>
      </c>
      <c r="Y238" s="21">
        <f ca="1">IF(Y$6=OFFSET(Assumptions!$B$8,0,$C$1),OFFSET(Assumptions!$B$9,0,$C$1),X$238)</f>
        <v>0</v>
      </c>
      <c r="Z238" s="21">
        <f ca="1">IF(Z$6=OFFSET(Assumptions!$B$8,0,$C$1),OFFSET(Assumptions!$B$9,0,$C$1),Y$238)</f>
        <v>0</v>
      </c>
    </row>
    <row r="239" spans="1:26" x14ac:dyDescent="0.25">
      <c r="A239" s="12" t="s">
        <v>1020</v>
      </c>
      <c r="B239" s="14" t="str">
        <f>$B$38</f>
        <v>From Fiscal Forecasts</v>
      </c>
      <c r="D239" s="50">
        <f>'Fiscal Forecasts'!D$203</f>
        <v>5.8070000000000004</v>
      </c>
      <c r="E239" s="50">
        <f>'Fiscal Forecasts'!E$203</f>
        <v>6.8959999999999999</v>
      </c>
      <c r="F239" s="50">
        <f>'Fiscal Forecasts'!F$203</f>
        <v>6.8310000000000004</v>
      </c>
      <c r="G239" s="50">
        <f>'Fiscal Forecasts'!G$203</f>
        <v>6.44</v>
      </c>
      <c r="H239" s="50">
        <f>'Fiscal Forecasts'!H$203</f>
        <v>8.7729999999999997</v>
      </c>
      <c r="I239" s="50">
        <f>'Fiscal Forecasts'!I$203</f>
        <v>10.413</v>
      </c>
      <c r="J239" s="50">
        <f>'Fiscal Forecasts'!J$203</f>
        <v>11.526999999999999</v>
      </c>
      <c r="K239" s="50">
        <f>'Fiscal Forecasts'!K$203</f>
        <v>9.0389999999999997</v>
      </c>
      <c r="L239" s="48">
        <f>'Fiscal Forecasts'!L$203</f>
        <v>8.9380000000000006</v>
      </c>
      <c r="M239" s="48">
        <f>'Fiscal Forecasts'!M$203</f>
        <v>9.6059999999999999</v>
      </c>
      <c r="N239" s="48">
        <f>'Fiscal Forecasts'!N$203</f>
        <v>9.6690000000000005</v>
      </c>
      <c r="O239" s="48">
        <f>'Fiscal Forecasts'!O$203</f>
        <v>10.01</v>
      </c>
      <c r="P239" s="48">
        <f>'Fiscal Forecasts'!P$203</f>
        <v>11.411</v>
      </c>
      <c r="Q239" s="20">
        <f ca="1">IF(Q$6=OFFSET(Assumptions!$B$8,0,$C$1),AVERAGE(N$239/SUM(N$242:N$243),O$239/SUM(O$242:O$243),P$239/SUM(P$242:P$243)),P$239/SUM(P$242:P$243))*SUM(Q$242:Q$243)</f>
        <v>12.025296647655322</v>
      </c>
      <c r="R239" s="20">
        <f ca="1">IF(R$6=OFFSET(Assumptions!$B$8,0,$C$1),AVERAGE(O$239/SUM(O$242:O$243),P$239/SUM(P$242:P$243),Q$239/SUM(Q$242:Q$243)),Q$239/SUM(Q$242:Q$243))*SUM(R$242:R$243)</f>
        <v>12.684657668944586</v>
      </c>
      <c r="S239" s="20">
        <f ca="1">IF(S$6=OFFSET(Assumptions!$B$8,0,$C$1),AVERAGE(P$239/SUM(P$242:P$243),Q$239/SUM(Q$242:Q$243),R$239/SUM(R$242:R$243)),R$239/SUM(R$242:R$243))*SUM(S$242:S$243)</f>
        <v>13.342459925304862</v>
      </c>
      <c r="T239" s="20">
        <f ca="1">IF(T$6=OFFSET(Assumptions!$B$8,0,$C$1),AVERAGE(Q$239/SUM(Q$242:Q$243),R$239/SUM(R$242:R$243),S$239/SUM(S$242:S$243)),S$239/SUM(S$242:S$243))*SUM(T$242:T$243)</f>
        <v>13.977643031190203</v>
      </c>
      <c r="U239" s="20">
        <f ca="1">IF(U$6=OFFSET(Assumptions!$B$8,0,$C$1),AVERAGE(R$239/SUM(R$242:R$243),S$239/SUM(S$242:S$243),T$239/SUM(T$242:T$243)),T$239/SUM(T$242:T$243))*SUM(U$242:U$243)</f>
        <v>14.651446777224329</v>
      </c>
      <c r="V239" s="20">
        <f ca="1">IF(V$6=OFFSET(Assumptions!$B$8,0,$C$1),AVERAGE(S$239/SUM(S$242:S$243),T$239/SUM(T$242:T$243),U$239/SUM(U$242:U$243)),U$239/SUM(U$242:U$243))*SUM(V$242:V$243)</f>
        <v>15.334075328847771</v>
      </c>
      <c r="W239" s="20">
        <f ca="1">IF(W$6=OFFSET(Assumptions!$B$8,0,$C$1),AVERAGE(T$239/SUM(T$242:T$243),U$239/SUM(U$242:U$243),V$239/SUM(V$242:V$243)),V$239/SUM(V$242:V$243))*SUM(W$242:W$243)</f>
        <v>16.043180045535852</v>
      </c>
      <c r="X239" s="20">
        <f ca="1">IF(X$6=OFFSET(Assumptions!$B$8,0,$C$1),AVERAGE(U$239/SUM(U$242:U$243),V$239/SUM(V$242:V$243),W$239/SUM(W$242:W$243)),W$239/SUM(W$242:W$243))*SUM(X$242:X$243)</f>
        <v>16.782566169431945</v>
      </c>
      <c r="Y239" s="20">
        <f ca="1">IF(Y$6=OFFSET(Assumptions!$B$8,0,$C$1),AVERAGE(V$239/SUM(V$242:V$243),W$239/SUM(W$242:W$243),X$239/SUM(X$242:X$243)),X$239/SUM(X$242:X$243))*SUM(Y$242:Y$243)</f>
        <v>17.520160225430931</v>
      </c>
      <c r="Z239" s="20">
        <f ca="1">IF(Z$6=OFFSET(Assumptions!$B$8,0,$C$1),AVERAGE(W$239/SUM(W$242:W$243),X$239/SUM(X$242:X$243),Y$239/SUM(Y$242:Y$243)),Y$239/SUM(Y$242:Y$243))*SUM(Z$242:Z$243)</f>
        <v>18.301244323323377</v>
      </c>
    </row>
    <row r="240" spans="1:26" x14ac:dyDescent="0.25">
      <c r="A240" s="12" t="s">
        <v>1265</v>
      </c>
      <c r="B240" s="14" t="str">
        <f>$B$38</f>
        <v>From Fiscal Forecasts</v>
      </c>
      <c r="D240" s="50">
        <f>'Fiscal Forecasts'!D$204</f>
        <v>5.0000000000000001E-3</v>
      </c>
      <c r="E240" s="50">
        <f>'Fiscal Forecasts'!E$204</f>
        <v>7.0000000000000001E-3</v>
      </c>
      <c r="F240" s="50">
        <f>'Fiscal Forecasts'!F$204</f>
        <v>6.0000000000000001E-3</v>
      </c>
      <c r="G240" s="50">
        <f>'Fiscal Forecasts'!G$204</f>
        <v>6.0000000000000001E-3</v>
      </c>
      <c r="H240" s="50">
        <f>'Fiscal Forecasts'!H$204</f>
        <v>8.0000000000000002E-3</v>
      </c>
      <c r="I240" s="50">
        <f>'Fiscal Forecasts'!I$204</f>
        <v>1.0999999999999999E-2</v>
      </c>
      <c r="J240" s="50">
        <f>'Fiscal Forecasts'!J$204</f>
        <v>1.0999999999999999E-2</v>
      </c>
      <c r="K240" s="50">
        <f>'Fiscal Forecasts'!K$204</f>
        <v>1.0999999999999999E-2</v>
      </c>
      <c r="L240" s="48">
        <f>'Fiscal Forecasts'!L$204</f>
        <v>1.0999999999999999E-2</v>
      </c>
      <c r="M240" s="48">
        <f>'Fiscal Forecasts'!M$204</f>
        <v>1.2E-2</v>
      </c>
      <c r="N240" s="48">
        <f>'Fiscal Forecasts'!N$204</f>
        <v>1.2E-2</v>
      </c>
      <c r="O240" s="48">
        <f>'Fiscal Forecasts'!O$204</f>
        <v>1.2999999999999999E-2</v>
      </c>
      <c r="P240" s="48">
        <f>'Fiscal Forecasts'!P$204</f>
        <v>1.4E-2</v>
      </c>
      <c r="Q240" s="20">
        <f t="shared" ref="Q240:Z240" ca="1" si="146">SUM(Q$242:Q$243,-Q$239)</f>
        <v>1.5098419274004016E-2</v>
      </c>
      <c r="R240" s="20">
        <f t="shared" ca="1" si="146"/>
        <v>1.5926283188223422E-2</v>
      </c>
      <c r="S240" s="20">
        <f t="shared" ca="1" si="146"/>
        <v>1.675218998760819E-2</v>
      </c>
      <c r="T240" s="20">
        <f t="shared" ca="1" si="146"/>
        <v>1.7549697203390835E-2</v>
      </c>
      <c r="U240" s="20">
        <f t="shared" ca="1" si="146"/>
        <v>1.8395694750402924E-2</v>
      </c>
      <c r="V240" s="20">
        <f t="shared" ca="1" si="146"/>
        <v>1.9252772324687584E-2</v>
      </c>
      <c r="W240" s="20">
        <f t="shared" ca="1" si="146"/>
        <v>2.0143092175867849E-2</v>
      </c>
      <c r="X240" s="20">
        <f t="shared" ca="1" si="146"/>
        <v>2.1071431994091228E-2</v>
      </c>
      <c r="Y240" s="20">
        <f t="shared" ca="1" si="146"/>
        <v>2.1997521772810558E-2</v>
      </c>
      <c r="Z240" s="20">
        <f t="shared" ca="1" si="146"/>
        <v>2.2978215683636449E-2</v>
      </c>
    </row>
    <row r="241" spans="1:26" x14ac:dyDescent="0.25">
      <c r="A241" s="11" t="s">
        <v>1266</v>
      </c>
      <c r="D241" s="94">
        <f t="shared" ref="D241:Z241" si="147">SUM(D$238:D$240)</f>
        <v>5.8120000000000003</v>
      </c>
      <c r="E241" s="94">
        <f t="shared" si="147"/>
        <v>6.9029999999999996</v>
      </c>
      <c r="F241" s="94">
        <f t="shared" si="147"/>
        <v>6.838000000000001</v>
      </c>
      <c r="G241" s="94">
        <f t="shared" si="147"/>
        <v>6.447000000000001</v>
      </c>
      <c r="H241" s="94">
        <f t="shared" si="147"/>
        <v>8.7839999999999989</v>
      </c>
      <c r="I241" s="94">
        <f t="shared" si="147"/>
        <v>10.426</v>
      </c>
      <c r="J241" s="94">
        <f t="shared" si="147"/>
        <v>11.540999999999999</v>
      </c>
      <c r="K241" s="94">
        <f t="shared" si="147"/>
        <v>9.0519999999999996</v>
      </c>
      <c r="L241" s="95">
        <f t="shared" si="147"/>
        <v>8.9489999999999998</v>
      </c>
      <c r="M241" s="95">
        <f t="shared" si="147"/>
        <v>9.6180000000000003</v>
      </c>
      <c r="N241" s="95">
        <f t="shared" si="147"/>
        <v>9.6810000000000009</v>
      </c>
      <c r="O241" s="95">
        <f t="shared" si="147"/>
        <v>10.023</v>
      </c>
      <c r="P241" s="95">
        <f t="shared" si="147"/>
        <v>11.424999999999999</v>
      </c>
      <c r="Q241" s="96">
        <f t="shared" ca="1" si="147"/>
        <v>12.040395066929326</v>
      </c>
      <c r="R241" s="96">
        <f t="shared" ca="1" si="147"/>
        <v>12.70058395213281</v>
      </c>
      <c r="S241" s="96">
        <f t="shared" ca="1" si="147"/>
        <v>13.35921211529247</v>
      </c>
      <c r="T241" s="96">
        <f t="shared" ca="1" si="147"/>
        <v>13.995192728393594</v>
      </c>
      <c r="U241" s="96">
        <f t="shared" ca="1" si="147"/>
        <v>14.669842471974732</v>
      </c>
      <c r="V241" s="96">
        <f t="shared" ca="1" si="147"/>
        <v>15.353328101172458</v>
      </c>
      <c r="W241" s="96">
        <f t="shared" ca="1" si="147"/>
        <v>16.06332313771172</v>
      </c>
      <c r="X241" s="96">
        <f t="shared" ca="1" si="147"/>
        <v>16.803637601426036</v>
      </c>
      <c r="Y241" s="96">
        <f t="shared" ca="1" si="147"/>
        <v>17.542157747203742</v>
      </c>
      <c r="Z241" s="96">
        <f t="shared" ca="1" si="147"/>
        <v>18.324222539007014</v>
      </c>
    </row>
    <row r="242" spans="1:26" x14ac:dyDescent="0.25">
      <c r="A242" s="12" t="s">
        <v>1267</v>
      </c>
      <c r="B242" s="14" t="str">
        <f>$B$38</f>
        <v>From Fiscal Forecasts</v>
      </c>
      <c r="D242" s="50">
        <f>'Fiscal Forecasts'!D$281</f>
        <v>5.3620000000000001</v>
      </c>
      <c r="E242" s="50">
        <f>'Fiscal Forecasts'!E$281</f>
        <v>6.2460000000000004</v>
      </c>
      <c r="F242" s="50">
        <f>'Fiscal Forecasts'!F$281</f>
        <v>6.5389999999999997</v>
      </c>
      <c r="G242" s="50">
        <f>'Fiscal Forecasts'!G$281</f>
        <v>5.8330000000000002</v>
      </c>
      <c r="H242" s="50">
        <f>'Fiscal Forecasts'!H$281</f>
        <v>7.6189999999999998</v>
      </c>
      <c r="I242" s="50">
        <f>'Fiscal Forecasts'!I$281</f>
        <v>9.7720000000000002</v>
      </c>
      <c r="J242" s="50">
        <f>'Fiscal Forecasts'!J$281</f>
        <v>10.771000000000001</v>
      </c>
      <c r="K242" s="50">
        <f>'Fiscal Forecasts'!K$281</f>
        <v>8.5489999999999995</v>
      </c>
      <c r="L242" s="48">
        <f>'Fiscal Forecasts'!L$281</f>
        <v>8.3699999999999992</v>
      </c>
      <c r="M242" s="48">
        <f>'Fiscal Forecasts'!M$281</f>
        <v>8.9890000000000008</v>
      </c>
      <c r="N242" s="48">
        <f>'Fiscal Forecasts'!N$281</f>
        <v>9.0329999999999995</v>
      </c>
      <c r="O242" s="48">
        <f>'Fiscal Forecasts'!O$281</f>
        <v>9.3610000000000007</v>
      </c>
      <c r="P242" s="48">
        <f>'Fiscal Forecasts'!P$281</f>
        <v>10.737</v>
      </c>
      <c r="Q242" s="20">
        <f>P$242*Exogenous!AB$27/Exogenous!AA$27</f>
        <v>11.322445815087232</v>
      </c>
      <c r="R242" s="20">
        <f>Q$242*Exogenous!AC$27/Exogenous!AB$27</f>
        <v>11.952075095042282</v>
      </c>
      <c r="S242" s="20">
        <f>R$242*Exogenous!AD$27/Exogenous!AC$27</f>
        <v>12.579334043873938</v>
      </c>
      <c r="T242" s="20">
        <f>S$242*Exogenous!AE$27/Exogenous!AD$27</f>
        <v>13.183209206568813</v>
      </c>
      <c r="U242" s="20">
        <f>T$242*Exogenous!AF$27/Exogenous!AE$27</f>
        <v>13.824633958994479</v>
      </c>
      <c r="V242" s="20">
        <f>U$242*Exogenous!AG$27/Exogenous!AF$27</f>
        <v>14.473763240216281</v>
      </c>
      <c r="W242" s="20">
        <f>V$242*Exogenous!AH$27/Exogenous!AG$27</f>
        <v>15.148443899166695</v>
      </c>
      <c r="X242" s="20">
        <f>W$242*Exogenous!AI$27/Exogenous!AH$27</f>
        <v>15.852427077587839</v>
      </c>
      <c r="Y242" s="20">
        <f>X$242*Exogenous!AJ$27/Exogenous!AI$27</f>
        <v>16.553409040536113</v>
      </c>
      <c r="Z242" s="20">
        <f>Y$242*Exogenous!AK$27/Exogenous!AJ$27</f>
        <v>17.296719070316762</v>
      </c>
    </row>
    <row r="243" spans="1:26" x14ac:dyDescent="0.25">
      <c r="A243" s="12" t="s">
        <v>1268</v>
      </c>
      <c r="B243" s="14" t="str">
        <f>$B$38</f>
        <v>From Fiscal Forecasts</v>
      </c>
      <c r="D243" s="50">
        <f>SUM('Fiscal Forecasts'!D$282:D$283)</f>
        <v>0.44999999999999996</v>
      </c>
      <c r="E243" s="50">
        <f>SUM('Fiscal Forecasts'!E$282:E$283)</f>
        <v>0.65700000000000003</v>
      </c>
      <c r="F243" s="50">
        <f>SUM('Fiscal Forecasts'!F$282:F$283)</f>
        <v>0.29900000000000004</v>
      </c>
      <c r="G243" s="50">
        <f>SUM('Fiscal Forecasts'!G$282:G$283)</f>
        <v>0.61399999999999999</v>
      </c>
      <c r="H243" s="50">
        <f>SUM('Fiscal Forecasts'!H$282:H$283)</f>
        <v>1.1649999999999998</v>
      </c>
      <c r="I243" s="50">
        <f>SUM('Fiscal Forecasts'!I$282:I$283)</f>
        <v>0.65399999999999991</v>
      </c>
      <c r="J243" s="50">
        <f>SUM('Fiscal Forecasts'!J$282:J$283)</f>
        <v>0.77</v>
      </c>
      <c r="K243" s="50">
        <f>SUM('Fiscal Forecasts'!K$282:K$283)</f>
        <v>0.503</v>
      </c>
      <c r="L243" s="48">
        <f>SUM('Fiscal Forecasts'!L$282:L$283)</f>
        <v>0.57899999999999996</v>
      </c>
      <c r="M243" s="48">
        <f>SUM('Fiscal Forecasts'!M$282:M$283)</f>
        <v>0.629</v>
      </c>
      <c r="N243" s="48">
        <f>SUM('Fiscal Forecasts'!N$282:N$283)</f>
        <v>0.64800000000000002</v>
      </c>
      <c r="O243" s="48">
        <f>SUM('Fiscal Forecasts'!O$282:O$283)</f>
        <v>0.66200000000000003</v>
      </c>
      <c r="P243" s="48">
        <f>SUM('Fiscal Forecasts'!P$282:P$283)</f>
        <v>0.68800000000000006</v>
      </c>
      <c r="Q243" s="20">
        <f t="shared" ref="Q243:Z243" ca="1" si="148">P$243*(1+Q$14)</f>
        <v>0.71794925184209457</v>
      </c>
      <c r="R243" s="20">
        <f t="shared" ca="1" si="148"/>
        <v>0.74850885709052806</v>
      </c>
      <c r="S243" s="20">
        <f t="shared" ca="1" si="148"/>
        <v>0.7798780714185316</v>
      </c>
      <c r="T243" s="20">
        <f t="shared" ca="1" si="148"/>
        <v>0.81198352182478062</v>
      </c>
      <c r="U243" s="20">
        <f t="shared" ca="1" si="148"/>
        <v>0.84520851298025268</v>
      </c>
      <c r="V243" s="20">
        <f t="shared" ca="1" si="148"/>
        <v>0.87956486095617725</v>
      </c>
      <c r="W243" s="20">
        <f t="shared" ca="1" si="148"/>
        <v>0.9148792385450264</v>
      </c>
      <c r="X243" s="20">
        <f t="shared" ca="1" si="148"/>
        <v>0.95121052383819849</v>
      </c>
      <c r="Y243" s="20">
        <f t="shared" ca="1" si="148"/>
        <v>0.98874870666762915</v>
      </c>
      <c r="Z243" s="20">
        <f t="shared" ca="1" si="148"/>
        <v>1.0275034686902527</v>
      </c>
    </row>
    <row r="244" spans="1:26" x14ac:dyDescent="0.25">
      <c r="A244" s="12"/>
    </row>
    <row r="245" spans="1:26" x14ac:dyDescent="0.25">
      <c r="A245" s="11" t="s">
        <v>1269</v>
      </c>
    </row>
    <row r="246" spans="1:26" x14ac:dyDescent="0.25">
      <c r="A246" s="11" t="s">
        <v>876</v>
      </c>
      <c r="D246" s="51">
        <f>SUM($D$247:D$248)</f>
        <v>0</v>
      </c>
      <c r="E246" s="51">
        <f>SUM($D$247:E$248)</f>
        <v>0</v>
      </c>
      <c r="F246" s="51">
        <f>SUM($D$247:F$248)</f>
        <v>0</v>
      </c>
      <c r="G246" s="51">
        <f>SUM($D$247:G$248)</f>
        <v>0</v>
      </c>
      <c r="H246" s="51">
        <f>SUM($D$247:H$248)</f>
        <v>0</v>
      </c>
      <c r="I246" s="51">
        <f>SUM($D$247:I$248)</f>
        <v>0</v>
      </c>
      <c r="J246" s="51">
        <f>SUM($D$247:J$248)</f>
        <v>0</v>
      </c>
      <c r="K246" s="51">
        <f>SUM($D$247:K$248)</f>
        <v>0</v>
      </c>
      <c r="L246" s="47">
        <f ca="1">IF(OFFSET(Assumptions!$B$57,0,$C$1)="Yes",0,SUM($D$247:L$248))</f>
        <v>1.258</v>
      </c>
      <c r="M246" s="47">
        <f ca="1">IF(OFFSET(Assumptions!$B$57,0,$C$1)="Yes",0,SUM($D$247:M$248))</f>
        <v>2.968</v>
      </c>
      <c r="N246" s="47">
        <f ca="1">IF(OFFSET(Assumptions!$B$57,0,$C$1)="Yes",0,SUM($D$247:N$248))</f>
        <v>5.0250000000000004</v>
      </c>
      <c r="O246" s="47">
        <f ca="1">IF(OFFSET(Assumptions!$B$57,0,$C$1)="Yes",0,SUM($D$247:O$248))</f>
        <v>7.7829999999999986</v>
      </c>
      <c r="P246" s="47">
        <f ca="1">IF(OFFSET(Assumptions!$B$57,0,$C$1)="Yes",0,SUM($D$247:P$248))</f>
        <v>10.116</v>
      </c>
      <c r="Q246" s="21">
        <f ca="1">IF(OFFSET(Assumptions!$B$57,0,$C$1)="Yes",0,SUM($D$247:Q$248))</f>
        <v>13.215999999999999</v>
      </c>
      <c r="R246" s="21">
        <f ca="1">IF(OFFSET(Assumptions!$B$57,0,$C$1)="Yes",0,SUM($D$247:R$248))</f>
        <v>16.471</v>
      </c>
      <c r="S246" s="21">
        <f ca="1">IF(OFFSET(Assumptions!$B$57,0,$C$1)="Yes",0,SUM($D$247:S$248))</f>
        <v>19.888750000000002</v>
      </c>
      <c r="T246" s="21">
        <f ca="1">IF(OFFSET(Assumptions!$B$57,0,$C$1)="Yes",0,SUM($D$247:T$248))</f>
        <v>23.477387500000003</v>
      </c>
      <c r="U246" s="21">
        <f ca="1">IF(OFFSET(Assumptions!$B$57,0,$C$1)="Yes",0,SUM($D$247:U$248))</f>
        <v>27.245456875000002</v>
      </c>
      <c r="V246" s="21">
        <f ca="1">IF(OFFSET(Assumptions!$B$57,0,$C$1)="Yes",0,SUM($D$247:V$248))</f>
        <v>31.201929718750002</v>
      </c>
      <c r="W246" s="21">
        <f ca="1">IF(OFFSET(Assumptions!$B$57,0,$C$1)="Yes",0,SUM($D$247:W$248))</f>
        <v>35.356226204687502</v>
      </c>
      <c r="X246" s="21">
        <f ca="1">IF(OFFSET(Assumptions!$B$57,0,$C$1)="Yes",0,SUM($D$247:X$248))</f>
        <v>39.718237514921881</v>
      </c>
      <c r="Y246" s="21">
        <f ca="1">IF(OFFSET(Assumptions!$B$57,0,$C$1)="Yes",0,SUM($D$247:Y$248))</f>
        <v>44.29834939066798</v>
      </c>
      <c r="Z246" s="21">
        <f ca="1">IF(OFFSET(Assumptions!$B$57,0,$C$1)="Yes",0,SUM($D$247:Z$248))</f>
        <v>49.107466860201377</v>
      </c>
    </row>
    <row r="247" spans="1:26" x14ac:dyDescent="0.25">
      <c r="A247" s="12" t="s">
        <v>1457</v>
      </c>
      <c r="B247" s="14" t="str">
        <f>$B$38</f>
        <v>From Fiscal Forecasts</v>
      </c>
      <c r="D247" s="50">
        <f>SUM('Fiscal Forecasts'!D$286:D$287)-SUM('Fiscal Forecasts'!C$286:C$287)</f>
        <v>0</v>
      </c>
      <c r="E247" s="50">
        <f>SUM('Fiscal Forecasts'!E$286:E$287)-SUM('Fiscal Forecasts'!D$286:D$287)</f>
        <v>0</v>
      </c>
      <c r="F247" s="50">
        <f>SUM('Fiscal Forecasts'!F$286:F$287)-SUM('Fiscal Forecasts'!E$286:E$287)</f>
        <v>0</v>
      </c>
      <c r="G247" s="50">
        <f>SUM('Fiscal Forecasts'!G$286:G$287)-SUM('Fiscal Forecasts'!F$286:F$287)</f>
        <v>0</v>
      </c>
      <c r="H247" s="50">
        <f>SUM('Fiscal Forecasts'!H$286:H$287)-SUM('Fiscal Forecasts'!G$286:G$287)</f>
        <v>0</v>
      </c>
      <c r="I247" s="50">
        <f>SUM('Fiscal Forecasts'!I$286:I$287)-SUM('Fiscal Forecasts'!H$286:H$287)</f>
        <v>0</v>
      </c>
      <c r="J247" s="50">
        <f>SUM('Fiscal Forecasts'!J$286:J$287)-SUM('Fiscal Forecasts'!I$286:I$287)</f>
        <v>0</v>
      </c>
      <c r="K247" s="50">
        <f>SUM('Fiscal Forecasts'!K$286:K$287)-SUM('Fiscal Forecasts'!J$286:J$287)</f>
        <v>0</v>
      </c>
      <c r="L247" s="48">
        <f>SUM('Fiscal Forecasts'!L$286:L$287)-SUM('Fiscal Forecasts'!K$286:K$287)</f>
        <v>1.258</v>
      </c>
      <c r="M247" s="48">
        <f>SUM('Fiscal Forecasts'!M$286:M$287)-SUM('Fiscal Forecasts'!L$286:L$287)</f>
        <v>-0.69000000000000006</v>
      </c>
      <c r="N247" s="48">
        <f>SUM('Fiscal Forecasts'!N$286:N$287)-SUM('Fiscal Forecasts'!M$286:M$287)</f>
        <v>-0.34300000000000008</v>
      </c>
      <c r="O247" s="48">
        <f>SUM('Fiscal Forecasts'!O$286:O$287)-SUM('Fiscal Forecasts'!N$286:N$287)</f>
        <v>0.3580000000000001</v>
      </c>
      <c r="P247" s="48">
        <f>SUM('Fiscal Forecasts'!P$286:P$287)-SUM('Fiscal Forecasts'!O$286:O$287)</f>
        <v>-6.6999999999999948E-2</v>
      </c>
      <c r="Q247" s="20">
        <f ca="1">IF(Q$6=OFFSET(Assumptions!$B$8,0,$C$1),OFFSET(Assumptions!$B$9,0,$C$1),P$247)</f>
        <v>0</v>
      </c>
      <c r="R247" s="20">
        <f ca="1">IF(R$6=OFFSET(Assumptions!$B$8,0,$C$1),OFFSET(Assumptions!$B$9,0,$C$1),Q$247)</f>
        <v>0</v>
      </c>
      <c r="S247" s="20">
        <f ca="1">IF(S$6=OFFSET(Assumptions!$B$8,0,$C$1),OFFSET(Assumptions!$B$9,0,$C$1),R$247)</f>
        <v>0</v>
      </c>
      <c r="T247" s="20">
        <f ca="1">IF(T$6=OFFSET(Assumptions!$B$8,0,$C$1),OFFSET(Assumptions!$B$9,0,$C$1),S$247)</f>
        <v>0</v>
      </c>
      <c r="U247" s="20">
        <f ca="1">IF(U$6=OFFSET(Assumptions!$B$8,0,$C$1),OFFSET(Assumptions!$B$9,0,$C$1),T$247)</f>
        <v>0</v>
      </c>
      <c r="V247" s="20">
        <f ca="1">IF(V$6=OFFSET(Assumptions!$B$8,0,$C$1),OFFSET(Assumptions!$B$9,0,$C$1),U$247)</f>
        <v>0</v>
      </c>
      <c r="W247" s="20">
        <f ca="1">IF(W$6=OFFSET(Assumptions!$B$8,0,$C$1),OFFSET(Assumptions!$B$9,0,$C$1),V$247)</f>
        <v>0</v>
      </c>
      <c r="X247" s="20">
        <f ca="1">IF(X$6=OFFSET(Assumptions!$B$8,0,$C$1),OFFSET(Assumptions!$B$9,0,$C$1),W$247)</f>
        <v>0</v>
      </c>
      <c r="Y247" s="20">
        <f ca="1">IF(Y$6=OFFSET(Assumptions!$B$8,0,$C$1),OFFSET(Assumptions!$B$9,0,$C$1),X$247)</f>
        <v>0</v>
      </c>
      <c r="Z247" s="20">
        <f ca="1">IF(Z$6=OFFSET(Assumptions!$B$8,0,$C$1),OFFSET(Assumptions!$B$9,0,$C$1),Y$247)</f>
        <v>0</v>
      </c>
    </row>
    <row r="248" spans="1:26" x14ac:dyDescent="0.25">
      <c r="A248" s="12" t="s">
        <v>1270</v>
      </c>
      <c r="B248" s="14" t="str">
        <f>$B$38</f>
        <v>From Fiscal Forecasts</v>
      </c>
      <c r="D248" s="50">
        <f>SUM('Fiscal Forecasts'!D$288:D$291)-SUM('Fiscal Forecasts'!C$288:C$291)</f>
        <v>0</v>
      </c>
      <c r="E248" s="50">
        <f>SUM('Fiscal Forecasts'!E$288:E$291)-SUM('Fiscal Forecasts'!D$288:D$291)</f>
        <v>0</v>
      </c>
      <c r="F248" s="50">
        <f>SUM('Fiscal Forecasts'!F$288:F$291)-SUM('Fiscal Forecasts'!E$288:E$291)</f>
        <v>0</v>
      </c>
      <c r="G248" s="50">
        <f>SUM('Fiscal Forecasts'!G$288:G$291)-SUM('Fiscal Forecasts'!F$288:F$291)</f>
        <v>0</v>
      </c>
      <c r="H248" s="50">
        <f>SUM('Fiscal Forecasts'!H$288:H$291)-SUM('Fiscal Forecasts'!G$288:G$291)</f>
        <v>0</v>
      </c>
      <c r="I248" s="50">
        <f>SUM('Fiscal Forecasts'!I$288:I$291)-SUM('Fiscal Forecasts'!H$288:H$291)</f>
        <v>0</v>
      </c>
      <c r="J248" s="50">
        <f>SUM('Fiscal Forecasts'!J$288:J$291)-SUM('Fiscal Forecasts'!I$288:I$291)</f>
        <v>0</v>
      </c>
      <c r="K248" s="50">
        <f>SUM('Fiscal Forecasts'!K$288:K$291)-SUM('Fiscal Forecasts'!J$288:J$291)</f>
        <v>0</v>
      </c>
      <c r="L248" s="48">
        <f>SUM('Fiscal Forecasts'!L$288:L$291)-SUM('Fiscal Forecasts'!K$288:K$291)</f>
        <v>0</v>
      </c>
      <c r="M248" s="48">
        <f>SUM('Fiscal Forecasts'!M$288:M$291)-SUM('Fiscal Forecasts'!L$288:L$291)</f>
        <v>2.4</v>
      </c>
      <c r="N248" s="48">
        <f>SUM('Fiscal Forecasts'!N$288:N$291)-SUM('Fiscal Forecasts'!M$288:M$291)</f>
        <v>2.4</v>
      </c>
      <c r="O248" s="48">
        <f>SUM('Fiscal Forecasts'!O$288:O$291)-SUM('Fiscal Forecasts'!N$288:N$291)</f>
        <v>2.3999999999999995</v>
      </c>
      <c r="P248" s="48">
        <f>SUM('Fiscal Forecasts'!P$288:P$291)-SUM('Fiscal Forecasts'!O$288:O$291)</f>
        <v>2.4000000000000004</v>
      </c>
      <c r="Q248" s="20">
        <f ca="1">IF(Q$6=OFFSET(Assumptions!$B$8,0,$C$1),OFFSET(Assumptions!$B$41,0,$C$1)-IF(OFFSET(Assumptions!$B$58,0,$C$1)="Yes",Allocation!$G$6,0),(P$248+IF(AND(P$6=OFFSET(Assumptions!$B$8,0,$C$1),OFFSET(Assumptions!$B$58,0,$C$1)="Yes"),Allocation!$G$6,0))*(1+OFFSET(Assumptions!$B$42,0,$C$1)))</f>
        <v>3.1</v>
      </c>
      <c r="R248" s="20">
        <f ca="1">IF(R$6=OFFSET(Assumptions!$B$8,0,$C$1),OFFSET(Assumptions!$B$41,0,$C$1)-IF(OFFSET(Assumptions!$B$58,0,$C$1)="Yes",Allocation!$G$6,0),(Q$248+IF(AND(Q$6=OFFSET(Assumptions!$B$8,0,$C$1),OFFSET(Assumptions!$B$58,0,$C$1)="Yes"),Allocation!$G$6,0))*(1+OFFSET(Assumptions!$B$42,0,$C$1)))</f>
        <v>3.2550000000000003</v>
      </c>
      <c r="S248" s="20">
        <f ca="1">IF(S$6=OFFSET(Assumptions!$B$8,0,$C$1),OFFSET(Assumptions!$B$41,0,$C$1)-IF(OFFSET(Assumptions!$B$58,0,$C$1)="Yes",Allocation!$G$6,0),(R$248+IF(AND(R$6=OFFSET(Assumptions!$B$8,0,$C$1),OFFSET(Assumptions!$B$58,0,$C$1)="Yes"),Allocation!$G$6,0))*(1+OFFSET(Assumptions!$B$42,0,$C$1)))</f>
        <v>3.4177500000000003</v>
      </c>
      <c r="T248" s="20">
        <f ca="1">IF(T$6=OFFSET(Assumptions!$B$8,0,$C$1),OFFSET(Assumptions!$B$41,0,$C$1)-IF(OFFSET(Assumptions!$B$58,0,$C$1)="Yes",Allocation!$G$6,0),(S$248+IF(AND(S$6=OFFSET(Assumptions!$B$8,0,$C$1),OFFSET(Assumptions!$B$58,0,$C$1)="Yes"),Allocation!$G$6,0))*(1+OFFSET(Assumptions!$B$42,0,$C$1)))</f>
        <v>3.5886375000000004</v>
      </c>
      <c r="U248" s="20">
        <f ca="1">IF(U$6=OFFSET(Assumptions!$B$8,0,$C$1),OFFSET(Assumptions!$B$41,0,$C$1)-IF(OFFSET(Assumptions!$B$58,0,$C$1)="Yes",Allocation!$G$6,0),(T$248+IF(AND(T$6=OFFSET(Assumptions!$B$8,0,$C$1),OFFSET(Assumptions!$B$58,0,$C$1)="Yes"),Allocation!$G$6,0))*(1+OFFSET(Assumptions!$B$42,0,$C$1)))</f>
        <v>3.7680693750000005</v>
      </c>
      <c r="V248" s="20">
        <f ca="1">IF(V$6=OFFSET(Assumptions!$B$8,0,$C$1),OFFSET(Assumptions!$B$41,0,$C$1)-IF(OFFSET(Assumptions!$B$58,0,$C$1)="Yes",Allocation!$G$6,0),(U$248+IF(AND(U$6=OFFSET(Assumptions!$B$8,0,$C$1),OFFSET(Assumptions!$B$58,0,$C$1)="Yes"),Allocation!$G$6,0))*(1+OFFSET(Assumptions!$B$42,0,$C$1)))</f>
        <v>3.9564728437500007</v>
      </c>
      <c r="W248" s="20">
        <f ca="1">IF(W$6=OFFSET(Assumptions!$B$8,0,$C$1),OFFSET(Assumptions!$B$41,0,$C$1)-IF(OFFSET(Assumptions!$B$58,0,$C$1)="Yes",Allocation!$G$6,0),(V$248+IF(AND(V$6=OFFSET(Assumptions!$B$8,0,$C$1),OFFSET(Assumptions!$B$58,0,$C$1)="Yes"),Allocation!$G$6,0))*(1+OFFSET(Assumptions!$B$42,0,$C$1)))</f>
        <v>4.1542964859375013</v>
      </c>
      <c r="X248" s="20">
        <f ca="1">IF(X$6=OFFSET(Assumptions!$B$8,0,$C$1),OFFSET(Assumptions!$B$41,0,$C$1)-IF(OFFSET(Assumptions!$B$58,0,$C$1)="Yes",Allocation!$G$6,0),(W$248+IF(AND(W$6=OFFSET(Assumptions!$B$8,0,$C$1),OFFSET(Assumptions!$B$58,0,$C$1)="Yes"),Allocation!$G$6,0))*(1+OFFSET(Assumptions!$B$42,0,$C$1)))</f>
        <v>4.3620113102343767</v>
      </c>
      <c r="Y248" s="20">
        <f ca="1">IF(Y$6=OFFSET(Assumptions!$B$8,0,$C$1),OFFSET(Assumptions!$B$41,0,$C$1)-IF(OFFSET(Assumptions!$B$58,0,$C$1)="Yes",Allocation!$G$6,0),(X$248+IF(AND(X$6=OFFSET(Assumptions!$B$8,0,$C$1),OFFSET(Assumptions!$B$58,0,$C$1)="Yes"),Allocation!$G$6,0))*(1+OFFSET(Assumptions!$B$42,0,$C$1)))</f>
        <v>4.5801118757460957</v>
      </c>
      <c r="Z248" s="20">
        <f ca="1">IF(Z$6=OFFSET(Assumptions!$B$8,0,$C$1),OFFSET(Assumptions!$B$41,0,$C$1)-IF(OFFSET(Assumptions!$B$58,0,$C$1)="Yes",Allocation!$G$6,0),(Y$248+IF(AND(Y$6=OFFSET(Assumptions!$B$8,0,$C$1),OFFSET(Assumptions!$B$58,0,$C$1)="Yes"),Allocation!$G$6,0))*(1+OFFSET(Assumptions!$B$42,0,$C$1)))</f>
        <v>4.8091174695334002</v>
      </c>
    </row>
    <row r="249" spans="1:26" x14ac:dyDescent="0.25">
      <c r="A249" s="11" t="s">
        <v>711</v>
      </c>
      <c r="B249" s="14" t="str">
        <f>$B$38</f>
        <v>From Fiscal Forecasts</v>
      </c>
      <c r="D249" s="51">
        <f>'Fiscal Forecasts'!D$22</f>
        <v>0</v>
      </c>
      <c r="E249" s="51">
        <f>'Fiscal Forecasts'!E$22</f>
        <v>0</v>
      </c>
      <c r="F249" s="51">
        <f>'Fiscal Forecasts'!F$22</f>
        <v>0</v>
      </c>
      <c r="G249" s="51">
        <f>'Fiscal Forecasts'!G$22</f>
        <v>0</v>
      </c>
      <c r="H249" s="51">
        <f>'Fiscal Forecasts'!H$22</f>
        <v>0</v>
      </c>
      <c r="I249" s="51">
        <f>'Fiscal Forecasts'!I$22</f>
        <v>0</v>
      </c>
      <c r="J249" s="51">
        <f>'Fiscal Forecasts'!J$22</f>
        <v>0</v>
      </c>
      <c r="K249" s="51">
        <f>'Fiscal Forecasts'!K$22</f>
        <v>0</v>
      </c>
      <c r="L249" s="47">
        <f ca="1">IF(OFFSET(Assumptions!$B$57,0,$C$1)="Yes",0,'Fiscal Forecasts'!L$22)</f>
        <v>-2.6</v>
      </c>
      <c r="M249" s="47">
        <f ca="1">IF(OFFSET(Assumptions!$B$57,0,$C$1)="Yes",0,'Fiscal Forecasts'!M$22)</f>
        <v>-0.8</v>
      </c>
      <c r="N249" s="47">
        <f ca="1">IF(OFFSET(Assumptions!$B$57,0,$C$1)="Yes",0,'Fiscal Forecasts'!N$22)</f>
        <v>-0.65</v>
      </c>
      <c r="O249" s="47">
        <f ca="1">IF(OFFSET(Assumptions!$B$57,0,$C$1)="Yes",0,'Fiscal Forecasts'!O$22)</f>
        <v>-0.65</v>
      </c>
      <c r="P249" s="47">
        <f ca="1">IF(OFFSET(Assumptions!$B$57,0,$C$1)="Yes",0,'Fiscal Forecasts'!P$22)</f>
        <v>-0.65</v>
      </c>
      <c r="Q249" s="21">
        <f ca="1">IF(Q$6=OFFSET(Assumptions!$B$8,0,$C$1),OFFSET(Assumptions!$B$9,0,$C$1),P$249)</f>
        <v>0</v>
      </c>
      <c r="R249" s="21">
        <f ca="1">IF(R$6=OFFSET(Assumptions!$B$8,0,$C$1),OFFSET(Assumptions!$B$9,0,$C$1),Q$249)</f>
        <v>0</v>
      </c>
      <c r="S249" s="21">
        <f ca="1">IF(S$6=OFFSET(Assumptions!$B$8,0,$C$1),OFFSET(Assumptions!$B$9,0,$C$1),R$249)</f>
        <v>0</v>
      </c>
      <c r="T249" s="21">
        <f ca="1">IF(T$6=OFFSET(Assumptions!$B$8,0,$C$1),OFFSET(Assumptions!$B$9,0,$C$1),S$249)</f>
        <v>0</v>
      </c>
      <c r="U249" s="21">
        <f ca="1">IF(U$6=OFFSET(Assumptions!$B$8,0,$C$1),OFFSET(Assumptions!$B$9,0,$C$1),T$249)</f>
        <v>0</v>
      </c>
      <c r="V249" s="21">
        <f ca="1">IF(V$6=OFFSET(Assumptions!$B$8,0,$C$1),OFFSET(Assumptions!$B$9,0,$C$1),U$249)</f>
        <v>0</v>
      </c>
      <c r="W249" s="21">
        <f ca="1">IF(W$6=OFFSET(Assumptions!$B$8,0,$C$1),OFFSET(Assumptions!$B$9,0,$C$1),V$249)</f>
        <v>0</v>
      </c>
      <c r="X249" s="21">
        <f ca="1">IF(X$6=OFFSET(Assumptions!$B$8,0,$C$1),OFFSET(Assumptions!$B$9,0,$C$1),W$249)</f>
        <v>0</v>
      </c>
      <c r="Y249" s="21">
        <f ca="1">IF(Y$6=OFFSET(Assumptions!$B$8,0,$C$1),OFFSET(Assumptions!$B$9,0,$C$1),X$249)</f>
        <v>0</v>
      </c>
      <c r="Z249" s="21">
        <f ca="1">IF(Z$6=OFFSET(Assumptions!$B$8,0,$C$1),OFFSET(Assumptions!$B$9,0,$C$1),Y$249)</f>
        <v>0</v>
      </c>
    </row>
    <row r="251" spans="1:26" x14ac:dyDescent="0.25">
      <c r="A251" s="11" t="s">
        <v>1271</v>
      </c>
    </row>
    <row r="252" spans="1:26" x14ac:dyDescent="0.25">
      <c r="A252" s="11" t="s">
        <v>1272</v>
      </c>
      <c r="B252" s="14" t="str">
        <f>$B$38</f>
        <v>From Fiscal Forecasts</v>
      </c>
      <c r="D252" s="51">
        <f>'Fiscal Forecasts'!D$69</f>
        <v>6.6000000000000003E-2</v>
      </c>
      <c r="E252" s="51">
        <f>'Fiscal Forecasts'!E$69</f>
        <v>7.2999999999999995E-2</v>
      </c>
      <c r="F252" s="51">
        <f>'Fiscal Forecasts'!F$69</f>
        <v>9.9000000000000005E-2</v>
      </c>
      <c r="G252" s="51">
        <f>'Fiscal Forecasts'!G$69</f>
        <v>9.4E-2</v>
      </c>
      <c r="H252" s="51">
        <f>'Fiscal Forecasts'!H$69</f>
        <v>6.0999999999999999E-2</v>
      </c>
      <c r="I252" s="51">
        <f>'Fiscal Forecasts'!I$69</f>
        <v>6.9000000000000006E-2</v>
      </c>
      <c r="J252" s="51">
        <f>'Fiscal Forecasts'!J$69</f>
        <v>6.5000000000000002E-2</v>
      </c>
      <c r="K252" s="51">
        <f>'Fiscal Forecasts'!K$69</f>
        <v>6.0999999999999999E-2</v>
      </c>
      <c r="L252" s="47">
        <f>'Fiscal Forecasts'!L$69</f>
        <v>4.5999999999999999E-2</v>
      </c>
      <c r="M252" s="47">
        <f>'Fiscal Forecasts'!M$69</f>
        <v>4.8000000000000001E-2</v>
      </c>
      <c r="N252" s="47">
        <f>'Fiscal Forecasts'!N$69</f>
        <v>4.7E-2</v>
      </c>
      <c r="O252" s="47">
        <f>'Fiscal Forecasts'!O$69</f>
        <v>4.5999999999999999E-2</v>
      </c>
      <c r="P252" s="47">
        <f>'Fiscal Forecasts'!P$69</f>
        <v>4.4999999999999998E-2</v>
      </c>
      <c r="Q252" s="21">
        <f>P$252*Exogenous!AB$34/Exogenous!AA$34</f>
        <v>4.2880886426592796E-2</v>
      </c>
      <c r="R252" s="21">
        <f>Q$252*Exogenous!AC$34/Exogenous!AB$34</f>
        <v>4.07617728531856E-2</v>
      </c>
      <c r="S252" s="21">
        <f>R$252*Exogenous!AD$34/Exogenous!AC$34</f>
        <v>3.8642659279778398E-2</v>
      </c>
      <c r="T252" s="21">
        <f>S$252*Exogenous!AE$34/Exogenous!AD$34</f>
        <v>3.6398891966759002E-2</v>
      </c>
      <c r="U252" s="21">
        <f>T$252*Exogenous!AF$34/Exogenous!AE$34</f>
        <v>3.4404432132963993E-2</v>
      </c>
      <c r="V252" s="21">
        <f>U$252*Exogenous!AG$34/Exogenous!AF$34</f>
        <v>3.2409972299168976E-2</v>
      </c>
      <c r="W252" s="21">
        <f>V$252*Exogenous!AH$34/Exogenous!AG$34</f>
        <v>3.029085872576177E-2</v>
      </c>
      <c r="X252" s="21">
        <f>W$252*Exogenous!AI$34/Exogenous!AH$34</f>
        <v>2.8171745152354568E-2</v>
      </c>
      <c r="Y252" s="21">
        <f>X$252*Exogenous!AJ$34/Exogenous!AI$34</f>
        <v>2.6301939058171742E-2</v>
      </c>
      <c r="Z252" s="21">
        <f>Y$252*Exogenous!AK$34/Exogenous!AJ$34</f>
        <v>2.4432132963988915E-2</v>
      </c>
    </row>
    <row r="253" spans="1:26" x14ac:dyDescent="0.25">
      <c r="A253" s="11" t="s">
        <v>1273</v>
      </c>
      <c r="B253" s="14" t="str">
        <f>$B$38</f>
        <v>From Fiscal Forecasts</v>
      </c>
      <c r="D253" s="51">
        <f>'Fiscal Forecasts'!D$52</f>
        <v>0.08</v>
      </c>
      <c r="E253" s="51">
        <f>'Fiscal Forecasts'!E$52</f>
        <v>8.6999999999999994E-2</v>
      </c>
      <c r="F253" s="51">
        <f>'Fiscal Forecasts'!F$52</f>
        <v>0.114</v>
      </c>
      <c r="G253" s="51">
        <f>'Fiscal Forecasts'!G$52</f>
        <v>0.11</v>
      </c>
      <c r="H253" s="51">
        <f>'Fiscal Forecasts'!H$52</f>
        <v>7.8E-2</v>
      </c>
      <c r="I253" s="51">
        <f>'Fiscal Forecasts'!I$52</f>
        <v>9.4E-2</v>
      </c>
      <c r="J253" s="51">
        <f>'Fiscal Forecasts'!J$52</f>
        <v>8.3000000000000004E-2</v>
      </c>
      <c r="K253" s="51">
        <f>'Fiscal Forecasts'!K$52</f>
        <v>7.0000000000000007E-2</v>
      </c>
      <c r="L253" s="47">
        <f>'Fiscal Forecasts'!L$52</f>
        <v>5.3999999999999999E-2</v>
      </c>
      <c r="M253" s="47">
        <f>'Fiscal Forecasts'!M$52</f>
        <v>5.6000000000000001E-2</v>
      </c>
      <c r="N253" s="47">
        <f>'Fiscal Forecasts'!N$52</f>
        <v>5.5E-2</v>
      </c>
      <c r="O253" s="47">
        <f>'Fiscal Forecasts'!O$52</f>
        <v>5.3999999999999999E-2</v>
      </c>
      <c r="P253" s="47">
        <f>'Fiscal Forecasts'!P$52</f>
        <v>5.2999999999999999E-2</v>
      </c>
      <c r="Q253" s="21">
        <f>P$253*Exogenous!AB$34/Exogenous!AA$34</f>
        <v>5.0504155124653734E-2</v>
      </c>
      <c r="R253" s="21">
        <f>Q$253*Exogenous!AC$34/Exogenous!AB$34</f>
        <v>4.8008310249307476E-2</v>
      </c>
      <c r="S253" s="21">
        <f>R$253*Exogenous!AD$34/Exogenous!AC$34</f>
        <v>4.5512465373961218E-2</v>
      </c>
      <c r="T253" s="21">
        <f>S$253*Exogenous!AE$34/Exogenous!AD$34</f>
        <v>4.2869806094182825E-2</v>
      </c>
      <c r="U253" s="21">
        <f>T$253*Exogenous!AF$34/Exogenous!AE$34</f>
        <v>4.0520775623268702E-2</v>
      </c>
      <c r="V253" s="21">
        <f>U$253*Exogenous!AG$34/Exogenous!AF$34</f>
        <v>3.8171745152354573E-2</v>
      </c>
      <c r="W253" s="21">
        <f>V$253*Exogenous!AH$34/Exogenous!AG$34</f>
        <v>3.5675900277008316E-2</v>
      </c>
      <c r="X253" s="21">
        <f>W$253*Exogenous!AI$34/Exogenous!AH$34</f>
        <v>3.3180055401662058E-2</v>
      </c>
      <c r="Y253" s="21">
        <f>X$253*Exogenous!AJ$34/Exogenous!AI$34</f>
        <v>3.0977839335180061E-2</v>
      </c>
      <c r="Z253" s="21">
        <f>Y$253*Exogenous!AK$34/Exogenous!AJ$34</f>
        <v>2.8775623268698067E-2</v>
      </c>
    </row>
    <row r="255" spans="1:26" x14ac:dyDescent="0.25">
      <c r="A255" s="11" t="s">
        <v>1274</v>
      </c>
      <c r="D255" s="2"/>
      <c r="E255" s="2"/>
      <c r="F255" s="2"/>
      <c r="G255" s="2"/>
      <c r="H255" s="2"/>
      <c r="I255" s="2"/>
      <c r="J255" s="2"/>
      <c r="K255" s="2"/>
      <c r="L255" s="2"/>
    </row>
    <row r="256" spans="1:26" x14ac:dyDescent="0.25">
      <c r="A256" s="11" t="s">
        <v>1275</v>
      </c>
      <c r="B256" s="14" t="str">
        <f>$B$38</f>
        <v>From Fiscal Forecasts</v>
      </c>
      <c r="D256" s="51">
        <f>'Fiscal Forecasts'!D$58</f>
        <v>18.268000000000001</v>
      </c>
      <c r="E256" s="51">
        <f>'Fiscal Forecasts'!E$58</f>
        <v>19.890999999999998</v>
      </c>
      <c r="F256" s="51">
        <f>'Fiscal Forecasts'!F$58</f>
        <v>22.783999999999999</v>
      </c>
      <c r="G256" s="51">
        <f>'Fiscal Forecasts'!G$58</f>
        <v>27.780999999999999</v>
      </c>
      <c r="H256" s="51">
        <f>'Fiscal Forecasts'!H$58</f>
        <v>28.489000000000001</v>
      </c>
      <c r="I256" s="51">
        <f>'Fiscal Forecasts'!I$58</f>
        <v>29.998999999999999</v>
      </c>
      <c r="J256" s="51">
        <f>'Fiscal Forecasts'!J$58</f>
        <v>30.311</v>
      </c>
      <c r="K256" s="51">
        <f>'Fiscal Forecasts'!K$58</f>
        <v>32.917000000000002</v>
      </c>
      <c r="L256" s="47">
        <f ca="1">'Fiscal Forecasts'!L$58+IF(OFFSET(Assumptions!$B$57,0,$C$1)="Yes",Allocation!C$11,0)</f>
        <v>34.472000000000001</v>
      </c>
      <c r="M256" s="47">
        <f ca="1">'Fiscal Forecasts'!M$58+IF(OFFSET(Assumptions!$B$57,0,$C$1)="Yes",Allocation!D$11,0)</f>
        <v>34.094000000000001</v>
      </c>
      <c r="N256" s="47">
        <f ca="1">'Fiscal Forecasts'!N$58+IF(OFFSET(Assumptions!$B$57,0,$C$1)="Yes",Allocation!E$11,0)</f>
        <v>34.209000000000003</v>
      </c>
      <c r="O256" s="47">
        <f ca="1">'Fiscal Forecasts'!O$58+IF(OFFSET(Assumptions!$B$57,0,$C$1)="Yes",Allocation!F$11,0)</f>
        <v>34.293999999999997</v>
      </c>
      <c r="P256" s="47">
        <f ca="1">'Fiscal Forecasts'!P$58+IF(OFFSET(Assumptions!$B$57,0,$C$1)="Yes",Allocation!G$11,0)</f>
        <v>34.451999999999998</v>
      </c>
      <c r="Q256" s="21">
        <f ca="1">P$256+IF(OFFSET(Assumptions!$B$58,0,$C$1)="Yes",Allocation!$B$11*Q$248,IF(OFFSET(Assumptions!$B$59,0,$C$1)="Yes",Q$530-P$256,0))</f>
        <v>34.451999999999998</v>
      </c>
      <c r="R256" s="21">
        <f ca="1">Q$256+IF(OFFSET(Assumptions!$B$58,0,$C$1)="Yes",Allocation!$B$11*R$248,IF(OFFSET(Assumptions!$B$59,0,$C$1)="Yes",R$530-Q$256,0))</f>
        <v>34.451999999999998</v>
      </c>
      <c r="S256" s="21">
        <f ca="1">R$256+IF(OFFSET(Assumptions!$B$58,0,$C$1)="Yes",Allocation!$B$11*S$248,IF(OFFSET(Assumptions!$B$59,0,$C$1)="Yes",S$530-R$256,0))</f>
        <v>34.451999999999998</v>
      </c>
      <c r="T256" s="21">
        <f ca="1">S$256+IF(OFFSET(Assumptions!$B$58,0,$C$1)="Yes",Allocation!$B$11*T$248,IF(OFFSET(Assumptions!$B$59,0,$C$1)="Yes",T$530-S$256,0))</f>
        <v>34.451999999999998</v>
      </c>
      <c r="U256" s="21">
        <f ca="1">T$256+IF(OFFSET(Assumptions!$B$58,0,$C$1)="Yes",Allocation!$B$11*U$248,IF(OFFSET(Assumptions!$B$59,0,$C$1)="Yes",U$530-T$256,0))</f>
        <v>34.451999999999998</v>
      </c>
      <c r="V256" s="21">
        <f ca="1">U$256+IF(OFFSET(Assumptions!$B$58,0,$C$1)="Yes",Allocation!$B$11*V$248,IF(OFFSET(Assumptions!$B$59,0,$C$1)="Yes",V$530-U$256,0))</f>
        <v>34.451999999999998</v>
      </c>
      <c r="W256" s="21">
        <f ca="1">V$256+IF(OFFSET(Assumptions!$B$58,0,$C$1)="Yes",Allocation!$B$11*W$248,IF(OFFSET(Assumptions!$B$59,0,$C$1)="Yes",W$530-V$256,0))</f>
        <v>34.451999999999998</v>
      </c>
      <c r="X256" s="21">
        <f ca="1">W$256+IF(OFFSET(Assumptions!$B$58,0,$C$1)="Yes",Allocation!$B$11*X$248,IF(OFFSET(Assumptions!$B$59,0,$C$1)="Yes",X$530-W$256,0))</f>
        <v>34.451999999999998</v>
      </c>
      <c r="Y256" s="21">
        <f ca="1">X$256+IF(OFFSET(Assumptions!$B$58,0,$C$1)="Yes",Allocation!$B$11*Y$248,IF(OFFSET(Assumptions!$B$59,0,$C$1)="Yes",Y$530-X$256,0))</f>
        <v>34.451999999999998</v>
      </c>
      <c r="Z256" s="21">
        <f ca="1">Y$256+IF(OFFSET(Assumptions!$B$58,0,$C$1)="Yes",Allocation!$B$11*Z$248,IF(OFFSET(Assumptions!$B$59,0,$C$1)="Yes",Z$530-Y$256,0))</f>
        <v>34.451999999999998</v>
      </c>
    </row>
    <row r="257" spans="1:26" x14ac:dyDescent="0.25">
      <c r="A257" s="12" t="s">
        <v>1020</v>
      </c>
      <c r="B257" s="14" t="str">
        <f>$B$38</f>
        <v>From Fiscal Forecasts</v>
      </c>
      <c r="D257" s="50">
        <f>'Fiscal Forecasts'!D$207</f>
        <v>16.579000000000001</v>
      </c>
      <c r="E257" s="50">
        <f>'Fiscal Forecasts'!E$207</f>
        <v>17.788</v>
      </c>
      <c r="F257" s="50">
        <f>'Fiscal Forecasts'!F$207</f>
        <v>18.856000000000002</v>
      </c>
      <c r="G257" s="50">
        <f>'Fiscal Forecasts'!G$207</f>
        <v>22.004999999999999</v>
      </c>
      <c r="H257" s="50">
        <f>'Fiscal Forecasts'!H$207</f>
        <v>27.765999999999998</v>
      </c>
      <c r="I257" s="50">
        <f>'Fiscal Forecasts'!I$207</f>
        <v>27.89</v>
      </c>
      <c r="J257" s="50">
        <f>'Fiscal Forecasts'!J$207</f>
        <v>27.827000000000002</v>
      </c>
      <c r="K257" s="50">
        <f>'Fiscal Forecasts'!K$207</f>
        <v>29.77</v>
      </c>
      <c r="L257" s="48">
        <f>'Fiscal Forecasts'!L$207</f>
        <v>31.096</v>
      </c>
      <c r="M257" s="48">
        <f>'Fiscal Forecasts'!M$207</f>
        <v>30.754999999999999</v>
      </c>
      <c r="N257" s="48">
        <f>'Fiscal Forecasts'!N$207</f>
        <v>30.608000000000001</v>
      </c>
      <c r="O257" s="48">
        <f>'Fiscal Forecasts'!O$207</f>
        <v>30.402999999999999</v>
      </c>
      <c r="P257" s="48">
        <f>'Fiscal Forecasts'!P$207</f>
        <v>30.282</v>
      </c>
      <c r="Q257" s="20">
        <f t="shared" ref="Q257:Z257" ca="1" si="149">P$257+Q$256-P$256</f>
        <v>30.281999999999996</v>
      </c>
      <c r="R257" s="20">
        <f t="shared" ca="1" si="149"/>
        <v>30.281999999999996</v>
      </c>
      <c r="S257" s="20">
        <f t="shared" ca="1" si="149"/>
        <v>30.281999999999996</v>
      </c>
      <c r="T257" s="20">
        <f t="shared" ca="1" si="149"/>
        <v>30.281999999999996</v>
      </c>
      <c r="U257" s="20">
        <f t="shared" ca="1" si="149"/>
        <v>30.281999999999996</v>
      </c>
      <c r="V257" s="20">
        <f t="shared" ca="1" si="149"/>
        <v>30.281999999999996</v>
      </c>
      <c r="W257" s="20">
        <f t="shared" ca="1" si="149"/>
        <v>30.281999999999996</v>
      </c>
      <c r="X257" s="20">
        <f t="shared" ca="1" si="149"/>
        <v>30.281999999999996</v>
      </c>
      <c r="Y257" s="20">
        <f t="shared" ca="1" si="149"/>
        <v>30.281999999999996</v>
      </c>
      <c r="Z257" s="20">
        <f t="shared" ca="1" si="149"/>
        <v>30.281999999999996</v>
      </c>
    </row>
    <row r="258" spans="1:26" x14ac:dyDescent="0.25">
      <c r="A258" s="12" t="s">
        <v>1228</v>
      </c>
      <c r="B258" s="14" t="str">
        <f>$B$38</f>
        <v>From Fiscal Forecasts</v>
      </c>
      <c r="D258" s="50">
        <f>'Fiscal Forecasts'!D$41-SUM(D$256:D$257)</f>
        <v>-16.187000000000001</v>
      </c>
      <c r="E258" s="50">
        <f>'Fiscal Forecasts'!E$41-SUM(E$256:E$257)</f>
        <v>-17.21</v>
      </c>
      <c r="F258" s="50">
        <f>'Fiscal Forecasts'!F$41-SUM(F$256:F$257)</f>
        <v>-19.042000000000002</v>
      </c>
      <c r="G258" s="50">
        <f>'Fiscal Forecasts'!G$41-SUM(G$256:G$257)</f>
        <v>-22.128</v>
      </c>
      <c r="H258" s="50">
        <f>'Fiscal Forecasts'!H$41-SUM(H$256:H$257)</f>
        <v>-26.430999999999994</v>
      </c>
      <c r="I258" s="50">
        <f>'Fiscal Forecasts'!I$41-SUM(I$256:I$257)</f>
        <v>-28.048999999999996</v>
      </c>
      <c r="J258" s="50">
        <f>'Fiscal Forecasts'!J$41-SUM(J$256:J$257)</f>
        <v>-28.285000000000004</v>
      </c>
      <c r="K258" s="50">
        <f>'Fiscal Forecasts'!K$41-SUM(K$256:K$257)</f>
        <v>-30.897999999999996</v>
      </c>
      <c r="L258" s="48">
        <f ca="1">'Fiscal Forecasts'!L$41-SUM(L$256:L$257)+IF(OFFSET(Assumptions!$B$57,0,$C$1)="Yes",Allocation!C$11,0)</f>
        <v>-31.817999999999998</v>
      </c>
      <c r="M258" s="48">
        <f ca="1">'Fiscal Forecasts'!M$41-SUM(M$256:M$257)+IF(OFFSET(Assumptions!$B$57,0,$C$1)="Yes",Allocation!D$11,0)</f>
        <v>-31.799000000000007</v>
      </c>
      <c r="N258" s="48">
        <f ca="1">'Fiscal Forecasts'!N$41-SUM(N$256:N$257)+IF(OFFSET(Assumptions!$B$57,0,$C$1)="Yes",Allocation!E$11,0)</f>
        <v>-31.965000000000011</v>
      </c>
      <c r="O258" s="48">
        <f ca="1">'Fiscal Forecasts'!O$41-SUM(O$256:O$257)+IF(OFFSET(Assumptions!$B$57,0,$C$1)="Yes",Allocation!F$11,0)</f>
        <v>-32.077000000000005</v>
      </c>
      <c r="P258" s="48">
        <f ca="1">'Fiscal Forecasts'!P$41-SUM(P$256:P$257)+IF(OFFSET(Assumptions!$B$57,0,$C$1)="Yes",Allocation!G$11,0)</f>
        <v>-32.281999999999996</v>
      </c>
      <c r="Q258" s="20">
        <f t="shared" ref="Q258:Z258" ca="1" si="150">P$258-(Q$256-P$256)</f>
        <v>-32.281999999999996</v>
      </c>
      <c r="R258" s="20">
        <f t="shared" ca="1" si="150"/>
        <v>-32.281999999999996</v>
      </c>
      <c r="S258" s="20">
        <f t="shared" ca="1" si="150"/>
        <v>-32.281999999999996</v>
      </c>
      <c r="T258" s="20">
        <f t="shared" ca="1" si="150"/>
        <v>-32.281999999999996</v>
      </c>
      <c r="U258" s="20">
        <f t="shared" ca="1" si="150"/>
        <v>-32.281999999999996</v>
      </c>
      <c r="V258" s="20">
        <f t="shared" ca="1" si="150"/>
        <v>-32.281999999999996</v>
      </c>
      <c r="W258" s="20">
        <f t="shared" ca="1" si="150"/>
        <v>-32.281999999999996</v>
      </c>
      <c r="X258" s="20">
        <f t="shared" ca="1" si="150"/>
        <v>-32.281999999999996</v>
      </c>
      <c r="Y258" s="20">
        <f t="shared" ca="1" si="150"/>
        <v>-32.281999999999996</v>
      </c>
      <c r="Z258" s="20">
        <f t="shared" ca="1" si="150"/>
        <v>-32.281999999999996</v>
      </c>
    </row>
    <row r="259" spans="1:26" x14ac:dyDescent="0.25">
      <c r="A259" s="11" t="s">
        <v>1276</v>
      </c>
      <c r="D259" s="94">
        <f t="shared" ref="D259:Z259" si="151">SUM(D$256:D$258)</f>
        <v>18.66</v>
      </c>
      <c r="E259" s="94">
        <f t="shared" si="151"/>
        <v>20.469000000000001</v>
      </c>
      <c r="F259" s="94">
        <f t="shared" si="151"/>
        <v>22.597999999999999</v>
      </c>
      <c r="G259" s="94">
        <f t="shared" si="151"/>
        <v>27.658000000000001</v>
      </c>
      <c r="H259" s="94">
        <f t="shared" si="151"/>
        <v>29.824000000000002</v>
      </c>
      <c r="I259" s="94">
        <f t="shared" si="151"/>
        <v>29.84</v>
      </c>
      <c r="J259" s="94">
        <f t="shared" si="151"/>
        <v>29.853000000000002</v>
      </c>
      <c r="K259" s="94">
        <f t="shared" si="151"/>
        <v>31.789000000000001</v>
      </c>
      <c r="L259" s="95">
        <f t="shared" ca="1" si="151"/>
        <v>33.75</v>
      </c>
      <c r="M259" s="95">
        <f t="shared" ca="1" si="151"/>
        <v>33.049999999999997</v>
      </c>
      <c r="N259" s="95">
        <f t="shared" ca="1" si="151"/>
        <v>32.851999999999997</v>
      </c>
      <c r="O259" s="95">
        <f t="shared" ca="1" si="151"/>
        <v>32.619999999999997</v>
      </c>
      <c r="P259" s="95">
        <f t="shared" ca="1" si="151"/>
        <v>32.451999999999998</v>
      </c>
      <c r="Q259" s="96">
        <f t="shared" ca="1" si="151"/>
        <v>32.451999999999998</v>
      </c>
      <c r="R259" s="96">
        <f t="shared" ca="1" si="151"/>
        <v>32.451999999999998</v>
      </c>
      <c r="S259" s="96">
        <f t="shared" ca="1" si="151"/>
        <v>32.451999999999998</v>
      </c>
      <c r="T259" s="96">
        <f t="shared" ca="1" si="151"/>
        <v>32.451999999999998</v>
      </c>
      <c r="U259" s="96">
        <f t="shared" ca="1" si="151"/>
        <v>32.451999999999998</v>
      </c>
      <c r="V259" s="96">
        <f t="shared" ca="1" si="151"/>
        <v>32.451999999999998</v>
      </c>
      <c r="W259" s="96">
        <f t="shared" ca="1" si="151"/>
        <v>32.451999999999998</v>
      </c>
      <c r="X259" s="96">
        <f t="shared" ca="1" si="151"/>
        <v>32.451999999999998</v>
      </c>
      <c r="Y259" s="96">
        <f t="shared" ca="1" si="151"/>
        <v>32.451999999999998</v>
      </c>
      <c r="Z259" s="96">
        <f t="shared" ca="1" si="151"/>
        <v>32.451999999999998</v>
      </c>
    </row>
    <row r="260" spans="1:26" x14ac:dyDescent="0.25">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row>
    <row r="261" spans="1:26" x14ac:dyDescent="0.25">
      <c r="A261" s="11" t="s">
        <v>1277</v>
      </c>
    </row>
    <row r="262" spans="1:26" x14ac:dyDescent="0.25">
      <c r="A262" s="12" t="s">
        <v>693</v>
      </c>
      <c r="D262" s="50">
        <f>D$190</f>
        <v>0.58299999999999996</v>
      </c>
      <c r="E262" s="50">
        <f t="shared" ref="E262:Z262" si="152">E$190</f>
        <v>0.56699999999999995</v>
      </c>
      <c r="F262" s="50">
        <f t="shared" si="152"/>
        <v>0.59</v>
      </c>
      <c r="G262" s="50">
        <f t="shared" si="152"/>
        <v>0.55600000000000005</v>
      </c>
      <c r="H262" s="50">
        <f t="shared" si="152"/>
        <v>0.52500000000000002</v>
      </c>
      <c r="I262" s="50">
        <f t="shared" si="152"/>
        <v>0.52600000000000002</v>
      </c>
      <c r="J262" s="50">
        <f t="shared" si="152"/>
        <v>0.57399999999999995</v>
      </c>
      <c r="K262" s="50">
        <f t="shared" si="152"/>
        <v>0.64100000000000001</v>
      </c>
      <c r="L262" s="48">
        <f t="shared" si="152"/>
        <v>0.70399999999999996</v>
      </c>
      <c r="M262" s="48">
        <f t="shared" si="152"/>
        <v>0.71499999999999997</v>
      </c>
      <c r="N262" s="48">
        <f t="shared" si="152"/>
        <v>0.69899999999999995</v>
      </c>
      <c r="O262" s="48">
        <f t="shared" si="152"/>
        <v>0.68899999999999995</v>
      </c>
      <c r="P262" s="48">
        <f t="shared" si="152"/>
        <v>0.68899999999999995</v>
      </c>
      <c r="Q262" s="20">
        <f t="shared" ca="1" si="152"/>
        <v>0.7042704052526918</v>
      </c>
      <c r="R262" s="20">
        <f t="shared" ca="1" si="152"/>
        <v>0.7200817868108712</v>
      </c>
      <c r="S262" s="20">
        <f t="shared" ca="1" si="152"/>
        <v>0.7364441451154754</v>
      </c>
      <c r="T262" s="20">
        <f t="shared" ca="1" si="152"/>
        <v>0.75426820881386147</v>
      </c>
      <c r="U262" s="20">
        <f t="shared" ca="1" si="152"/>
        <v>0.77251950077583986</v>
      </c>
      <c r="V262" s="20">
        <f t="shared" ca="1" si="152"/>
        <v>0.79212822197401689</v>
      </c>
      <c r="W262" s="20">
        <f t="shared" ca="1" si="152"/>
        <v>0.81256650909083683</v>
      </c>
      <c r="X262" s="20">
        <f t="shared" ca="1" si="152"/>
        <v>0.834167094857449</v>
      </c>
      <c r="Y262" s="20">
        <f t="shared" ca="1" si="152"/>
        <v>0.85705810709086938</v>
      </c>
      <c r="Z262" s="20">
        <f t="shared" ca="1" si="152"/>
        <v>0.87732856685740601</v>
      </c>
    </row>
    <row r="263" spans="1:26" x14ac:dyDescent="0.25">
      <c r="A263" s="12" t="s">
        <v>1278</v>
      </c>
      <c r="D263" s="50">
        <f>D$402</f>
        <v>0.56299999999999994</v>
      </c>
      <c r="E263" s="50">
        <f t="shared" ref="E263:Z263" si="153">E$402</f>
        <v>0.50600000000000001</v>
      </c>
      <c r="F263" s="50">
        <f t="shared" si="153"/>
        <v>0.46899999999999997</v>
      </c>
      <c r="G263" s="50">
        <f t="shared" si="153"/>
        <v>0.48899999999999999</v>
      </c>
      <c r="H263" s="50">
        <f t="shared" si="153"/>
        <v>0.55100000000000005</v>
      </c>
      <c r="I263" s="50">
        <f t="shared" si="153"/>
        <v>0.54400000000000004</v>
      </c>
      <c r="J263" s="50">
        <f t="shared" si="153"/>
        <v>0.58499999999999996</v>
      </c>
      <c r="K263" s="50">
        <f t="shared" si="153"/>
        <v>0.76300000000000001</v>
      </c>
      <c r="L263" s="48">
        <f t="shared" si="153"/>
        <v>0.72399999999999998</v>
      </c>
      <c r="M263" s="48">
        <f t="shared" si="153"/>
        <v>0.78600000000000003</v>
      </c>
      <c r="N263" s="48">
        <f t="shared" si="153"/>
        <v>0.82099999999999995</v>
      </c>
      <c r="O263" s="48">
        <f t="shared" si="153"/>
        <v>0.85299999999999998</v>
      </c>
      <c r="P263" s="48">
        <f t="shared" si="153"/>
        <v>0.88300000000000001</v>
      </c>
      <c r="Q263" s="20">
        <f t="shared" si="153"/>
        <v>0.91100000000000003</v>
      </c>
      <c r="R263" s="20">
        <f t="shared" si="153"/>
        <v>0.93799999999999994</v>
      </c>
      <c r="S263" s="20">
        <f t="shared" si="153"/>
        <v>0.96199999999999997</v>
      </c>
      <c r="T263" s="20">
        <f t="shared" si="153"/>
        <v>0.98499999999999999</v>
      </c>
      <c r="U263" s="20">
        <f t="shared" si="153"/>
        <v>1.006</v>
      </c>
      <c r="V263" s="20">
        <f t="shared" si="153"/>
        <v>1.0249999999999999</v>
      </c>
      <c r="W263" s="20">
        <f t="shared" si="153"/>
        <v>1.046</v>
      </c>
      <c r="X263" s="20">
        <f t="shared" si="153"/>
        <v>1.0669999999999999</v>
      </c>
      <c r="Y263" s="20">
        <f t="shared" si="153"/>
        <v>1.0880000000000001</v>
      </c>
      <c r="Z263" s="20">
        <f t="shared" si="153"/>
        <v>1.109</v>
      </c>
    </row>
    <row r="264" spans="1:26" x14ac:dyDescent="0.25">
      <c r="A264" s="12" t="s">
        <v>1279</v>
      </c>
      <c r="B264" s="14" t="str">
        <f>$B$38</f>
        <v>From Fiscal Forecasts</v>
      </c>
      <c r="D264" s="50">
        <f>'Fiscal Forecasts'!D$59-SUM(D$262:D$263)</f>
        <v>13.146999999999998</v>
      </c>
      <c r="E264" s="50">
        <f>'Fiscal Forecasts'!E$59-SUM(E$262:E$263)</f>
        <v>15.248999999999999</v>
      </c>
      <c r="F264" s="50">
        <f>'Fiscal Forecasts'!F$59-SUM(F$262:F$263)</f>
        <v>14.980000000000002</v>
      </c>
      <c r="G264" s="50">
        <f>'Fiscal Forecasts'!G$59-SUM(G$262:G$263)</f>
        <v>16.978000000000002</v>
      </c>
      <c r="H264" s="50">
        <f>'Fiscal Forecasts'!H$59-SUM(H$262:H$263)</f>
        <v>17.326999999999998</v>
      </c>
      <c r="I264" s="50">
        <f>'Fiscal Forecasts'!I$59-SUM(I$262:I$263)</f>
        <v>19.152999999999999</v>
      </c>
      <c r="J264" s="50">
        <f>'Fiscal Forecasts'!J$59-SUM(J$262:J$263)</f>
        <v>19.736000000000001</v>
      </c>
      <c r="K264" s="50">
        <f>'Fiscal Forecasts'!K$59-SUM(K$262:K$263)</f>
        <v>19.802</v>
      </c>
      <c r="L264" s="48">
        <f ca="1">'Fiscal Forecasts'!L$59+IF(OFFSET(Assumptions!$B$57,0,$C$1)="Yes",Allocation!C$12,0)-SUM(L$262:L$263)</f>
        <v>20.759</v>
      </c>
      <c r="M264" s="48">
        <f ca="1">'Fiscal Forecasts'!M$59+IF(OFFSET(Assumptions!$B$57,0,$C$1)="Yes",Allocation!D$12,0)-SUM(M$262:M$263)</f>
        <v>20.567999999999998</v>
      </c>
      <c r="N264" s="48">
        <f ca="1">'Fiscal Forecasts'!N$59+IF(OFFSET(Assumptions!$B$57,0,$C$1)="Yes",Allocation!E$12,0)-SUM(N$262:N$263)</f>
        <v>20.428000000000001</v>
      </c>
      <c r="O264" s="48">
        <f ca="1">'Fiscal Forecasts'!O$59+IF(OFFSET(Assumptions!$B$57,0,$C$1)="Yes",Allocation!F$12,0)-SUM(O$262:O$263)</f>
        <v>20.410000000000004</v>
      </c>
      <c r="P264" s="48">
        <f ca="1">'Fiscal Forecasts'!P$59+IF(OFFSET(Assumptions!$B$57,0,$C$1)="Yes",Allocation!G$12,0)-SUM(P$262:P$263)</f>
        <v>20.446999999999999</v>
      </c>
      <c r="Q264" s="20">
        <f ca="1">P$264+IF(OFFSET(Assumptions!$B$58,0,$C$1)="Yes",Allocation!$B$12*Q$248,IF(OFFSET(Assumptions!$B$59,0,$C$1)="Yes",SUM(Q$533:Q$536,Q$539)-P$264,0))</f>
        <v>20.446999999999999</v>
      </c>
      <c r="R264" s="20">
        <f ca="1">Q$264+IF(OFFSET(Assumptions!$B$58,0,$C$1)="Yes",Allocation!$B$12*R$248,IF(OFFSET(Assumptions!$B$59,0,$C$1)="Yes",SUM(R$533:R$536,R$539)-Q$264,0))</f>
        <v>20.446999999999999</v>
      </c>
      <c r="S264" s="20">
        <f ca="1">R$264+IF(OFFSET(Assumptions!$B$58,0,$C$1)="Yes",Allocation!$B$12*S$248,IF(OFFSET(Assumptions!$B$59,0,$C$1)="Yes",SUM(S$533:S$536,S$539)-R$264,0))</f>
        <v>20.446999999999999</v>
      </c>
      <c r="T264" s="20">
        <f ca="1">S$264+IF(OFFSET(Assumptions!$B$58,0,$C$1)="Yes",Allocation!$B$12*T$248,IF(OFFSET(Assumptions!$B$59,0,$C$1)="Yes",SUM(T$533:T$536,T$539)-S$264,0))</f>
        <v>20.446999999999999</v>
      </c>
      <c r="U264" s="20">
        <f ca="1">T$264+IF(OFFSET(Assumptions!$B$58,0,$C$1)="Yes",Allocation!$B$12*U$248,IF(OFFSET(Assumptions!$B$59,0,$C$1)="Yes",SUM(U$533:U$536,U$539)-T$264,0))</f>
        <v>20.446999999999999</v>
      </c>
      <c r="V264" s="20">
        <f ca="1">U$264+IF(OFFSET(Assumptions!$B$58,0,$C$1)="Yes",Allocation!$B$12*V$248,IF(OFFSET(Assumptions!$B$59,0,$C$1)="Yes",SUM(V$533:V$536,V$539)-U$264,0))</f>
        <v>20.446999999999999</v>
      </c>
      <c r="W264" s="20">
        <f ca="1">V$264+IF(OFFSET(Assumptions!$B$58,0,$C$1)="Yes",Allocation!$B$12*W$248,IF(OFFSET(Assumptions!$B$59,0,$C$1)="Yes",SUM(W$533:W$536,W$539)-V$264,0))</f>
        <v>20.446999999999999</v>
      </c>
      <c r="X264" s="20">
        <f ca="1">W$264+IF(OFFSET(Assumptions!$B$58,0,$C$1)="Yes",Allocation!$B$12*X$248,IF(OFFSET(Assumptions!$B$59,0,$C$1)="Yes",SUM(X$533:X$536,X$539)-W$264,0))</f>
        <v>20.446999999999999</v>
      </c>
      <c r="Y264" s="20">
        <f ca="1">X$264+IF(OFFSET(Assumptions!$B$58,0,$C$1)="Yes",Allocation!$B$12*Y$248,IF(OFFSET(Assumptions!$B$59,0,$C$1)="Yes",SUM(Y$533:Y$536,Y$539)-X$264,0))</f>
        <v>20.446999999999999</v>
      </c>
      <c r="Z264" s="20">
        <f ca="1">Y$264+IF(OFFSET(Assumptions!$B$58,0,$C$1)="Yes",Allocation!$B$12*Z$248,IF(OFFSET(Assumptions!$B$59,0,$C$1)="Yes",SUM(Z$533:Z$536,Z$539)-Y$264,0))</f>
        <v>20.446999999999999</v>
      </c>
    </row>
    <row r="265" spans="1:26" x14ac:dyDescent="0.25">
      <c r="A265" s="11" t="s">
        <v>1128</v>
      </c>
      <c r="D265" s="94">
        <f>SUM(D$262:D$264)</f>
        <v>14.292999999999999</v>
      </c>
      <c r="E265" s="94">
        <f t="shared" ref="E265:Z265" si="154">SUM(E$262:E$264)</f>
        <v>16.321999999999999</v>
      </c>
      <c r="F265" s="94">
        <f t="shared" si="154"/>
        <v>16.039000000000001</v>
      </c>
      <c r="G265" s="94">
        <f t="shared" si="154"/>
        <v>18.023000000000003</v>
      </c>
      <c r="H265" s="94">
        <f t="shared" si="154"/>
        <v>18.402999999999999</v>
      </c>
      <c r="I265" s="94">
        <f t="shared" si="154"/>
        <v>20.222999999999999</v>
      </c>
      <c r="J265" s="94">
        <f t="shared" si="154"/>
        <v>20.895</v>
      </c>
      <c r="K265" s="94">
        <f t="shared" si="154"/>
        <v>21.206</v>
      </c>
      <c r="L265" s="95">
        <f t="shared" ca="1" si="154"/>
        <v>22.187000000000001</v>
      </c>
      <c r="M265" s="95">
        <f t="shared" ca="1" si="154"/>
        <v>22.068999999999999</v>
      </c>
      <c r="N265" s="95">
        <f t="shared" ca="1" si="154"/>
        <v>21.948</v>
      </c>
      <c r="O265" s="95">
        <f t="shared" ca="1" si="154"/>
        <v>21.952000000000005</v>
      </c>
      <c r="P265" s="95">
        <f t="shared" ca="1" si="154"/>
        <v>22.018999999999998</v>
      </c>
      <c r="Q265" s="96">
        <f t="shared" ca="1" si="154"/>
        <v>22.06227040525269</v>
      </c>
      <c r="R265" s="96">
        <f t="shared" ca="1" si="154"/>
        <v>22.105081786810871</v>
      </c>
      <c r="S265" s="96">
        <f t="shared" ca="1" si="154"/>
        <v>22.145444145115476</v>
      </c>
      <c r="T265" s="96">
        <f t="shared" ca="1" si="154"/>
        <v>22.186268208813861</v>
      </c>
      <c r="U265" s="96">
        <f t="shared" ca="1" si="154"/>
        <v>22.225519500775839</v>
      </c>
      <c r="V265" s="96">
        <f t="shared" ca="1" si="154"/>
        <v>22.264128221974016</v>
      </c>
      <c r="W265" s="96">
        <f t="shared" ca="1" si="154"/>
        <v>22.305566509090838</v>
      </c>
      <c r="X265" s="96">
        <f t="shared" ca="1" si="154"/>
        <v>22.348167094857448</v>
      </c>
      <c r="Y265" s="96">
        <f t="shared" ca="1" si="154"/>
        <v>22.392058107090868</v>
      </c>
      <c r="Z265" s="96">
        <f t="shared" ca="1" si="154"/>
        <v>22.433328566857405</v>
      </c>
    </row>
    <row r="266" spans="1:26" x14ac:dyDescent="0.25">
      <c r="A266" s="12" t="s">
        <v>1020</v>
      </c>
      <c r="B266" s="14" t="str">
        <f>$B$38</f>
        <v>From Fiscal Forecasts</v>
      </c>
      <c r="D266" s="50">
        <f>'Fiscal Forecasts'!D$208</f>
        <v>11.428000000000001</v>
      </c>
      <c r="E266" s="50">
        <f>'Fiscal Forecasts'!E$208</f>
        <v>13.705</v>
      </c>
      <c r="F266" s="50">
        <f>'Fiscal Forecasts'!F$208</f>
        <v>12.840999999999999</v>
      </c>
      <c r="G266" s="50">
        <f>'Fiscal Forecasts'!G$208</f>
        <v>13.805</v>
      </c>
      <c r="H266" s="50">
        <f>'Fiscal Forecasts'!H$208</f>
        <v>14.166</v>
      </c>
      <c r="I266" s="50">
        <f>'Fiscal Forecasts'!I$208</f>
        <v>15.346</v>
      </c>
      <c r="J266" s="50">
        <f>'Fiscal Forecasts'!J$208</f>
        <v>16.091999999999999</v>
      </c>
      <c r="K266" s="50">
        <f>'Fiscal Forecasts'!K$208</f>
        <v>16.541</v>
      </c>
      <c r="L266" s="48">
        <f>'Fiscal Forecasts'!L$208</f>
        <v>17.132000000000001</v>
      </c>
      <c r="M266" s="48">
        <f>'Fiscal Forecasts'!M$208</f>
        <v>17.181999999999999</v>
      </c>
      <c r="N266" s="48">
        <f>'Fiscal Forecasts'!N$208</f>
        <v>16.97</v>
      </c>
      <c r="O266" s="48">
        <f>'Fiscal Forecasts'!O$208</f>
        <v>17.021000000000001</v>
      </c>
      <c r="P266" s="48">
        <f>'Fiscal Forecasts'!P$208</f>
        <v>17.047999999999998</v>
      </c>
      <c r="Q266" s="20">
        <f t="shared" ref="Q266:Z266" ca="1" si="155">SUM(P$266,Q$264-P$264)</f>
        <v>17.047999999999998</v>
      </c>
      <c r="R266" s="20">
        <f t="shared" ca="1" si="155"/>
        <v>17.047999999999998</v>
      </c>
      <c r="S266" s="20">
        <f t="shared" ca="1" si="155"/>
        <v>17.047999999999998</v>
      </c>
      <c r="T266" s="20">
        <f t="shared" ca="1" si="155"/>
        <v>17.047999999999998</v>
      </c>
      <c r="U266" s="20">
        <f t="shared" ca="1" si="155"/>
        <v>17.047999999999998</v>
      </c>
      <c r="V266" s="20">
        <f t="shared" ca="1" si="155"/>
        <v>17.047999999999998</v>
      </c>
      <c r="W266" s="20">
        <f t="shared" ca="1" si="155"/>
        <v>17.047999999999998</v>
      </c>
      <c r="X266" s="20">
        <f t="shared" ca="1" si="155"/>
        <v>17.047999999999998</v>
      </c>
      <c r="Y266" s="20">
        <f t="shared" ca="1" si="155"/>
        <v>17.047999999999998</v>
      </c>
      <c r="Z266" s="20">
        <f t="shared" ca="1" si="155"/>
        <v>17.047999999999998</v>
      </c>
    </row>
    <row r="267" spans="1:26" x14ac:dyDescent="0.25">
      <c r="A267" s="12" t="s">
        <v>1228</v>
      </c>
      <c r="B267" s="14" t="str">
        <f>$B$38</f>
        <v>From Fiscal Forecasts</v>
      </c>
      <c r="D267" s="50">
        <f>'Fiscal Forecasts'!D$42-SUM(D$265:D$266)</f>
        <v>-10.441000000000001</v>
      </c>
      <c r="E267" s="50">
        <f>'Fiscal Forecasts'!E$42-SUM(E$265:E$266)</f>
        <v>-12.446000000000002</v>
      </c>
      <c r="F267" s="50">
        <f>'Fiscal Forecasts'!F$42-SUM(F$265:F$266)</f>
        <v>-11.496000000000002</v>
      </c>
      <c r="G267" s="50">
        <f>'Fiscal Forecasts'!G$42-SUM(G$265:G$266)</f>
        <v>-12.917000000000002</v>
      </c>
      <c r="H267" s="50">
        <f>'Fiscal Forecasts'!H$42-SUM(H$265:H$266)</f>
        <v>-12.96</v>
      </c>
      <c r="I267" s="50">
        <f>'Fiscal Forecasts'!I$42-SUM(I$265:I$266)</f>
        <v>-14.383000000000003</v>
      </c>
      <c r="J267" s="50">
        <f>'Fiscal Forecasts'!J$42-SUM(J$265:J$266)</f>
        <v>-14.678999999999995</v>
      </c>
      <c r="K267" s="50">
        <f>'Fiscal Forecasts'!K$42-SUM(K$265:K$266)</f>
        <v>-14.896000000000001</v>
      </c>
      <c r="L267" s="48">
        <f ca="1">'Fiscal Forecasts'!L$42-SUM(L$265:L$266)+IF(OFFSET(Assumptions!$B$57,0,$C$1)="Yes",Allocation!C$12,0)</f>
        <v>-15.548000000000002</v>
      </c>
      <c r="M267" s="48">
        <f ca="1">'Fiscal Forecasts'!M$42-SUM(M$265:M$266)+IF(OFFSET(Assumptions!$B$57,0,$C$1)="Yes",Allocation!D$12,0)</f>
        <v>-15.472999999999999</v>
      </c>
      <c r="N267" s="48">
        <f ca="1">'Fiscal Forecasts'!N$42-SUM(N$265:N$266)+IF(OFFSET(Assumptions!$B$57,0,$C$1)="Yes",Allocation!E$12,0)</f>
        <v>-15.25</v>
      </c>
      <c r="O267" s="48">
        <f ca="1">'Fiscal Forecasts'!O$42-SUM(O$265:O$266)+IF(OFFSET(Assumptions!$B$57,0,$C$1)="Yes",Allocation!F$12,0)</f>
        <v>-15.261000000000006</v>
      </c>
      <c r="P267" s="48">
        <f ca="1">'Fiscal Forecasts'!P$42-SUM(P$265:P$266)+IF(OFFSET(Assumptions!$B$57,0,$C$1)="Yes",Allocation!G$12,0)</f>
        <v>-15.240999999999993</v>
      </c>
      <c r="Q267" s="20">
        <f t="shared" ref="Q267:Z267" ca="1" si="156">P$267-(Q$264-P$264)</f>
        <v>-15.240999999999993</v>
      </c>
      <c r="R267" s="20">
        <f t="shared" ca="1" si="156"/>
        <v>-15.240999999999993</v>
      </c>
      <c r="S267" s="20">
        <f t="shared" ca="1" si="156"/>
        <v>-15.240999999999993</v>
      </c>
      <c r="T267" s="20">
        <f t="shared" ca="1" si="156"/>
        <v>-15.240999999999993</v>
      </c>
      <c r="U267" s="20">
        <f t="shared" ca="1" si="156"/>
        <v>-15.240999999999993</v>
      </c>
      <c r="V267" s="20">
        <f t="shared" ca="1" si="156"/>
        <v>-15.240999999999993</v>
      </c>
      <c r="W267" s="20">
        <f t="shared" ca="1" si="156"/>
        <v>-15.240999999999993</v>
      </c>
      <c r="X267" s="20">
        <f t="shared" ca="1" si="156"/>
        <v>-15.240999999999993</v>
      </c>
      <c r="Y267" s="20">
        <f t="shared" ca="1" si="156"/>
        <v>-15.240999999999993</v>
      </c>
      <c r="Z267" s="20">
        <f t="shared" ca="1" si="156"/>
        <v>-15.240999999999993</v>
      </c>
    </row>
    <row r="268" spans="1:26" x14ac:dyDescent="0.25">
      <c r="A268" s="11" t="s">
        <v>1280</v>
      </c>
      <c r="D268" s="94">
        <f t="shared" ref="D268:K268" si="157">SUM(D$265:D$267)</f>
        <v>15.28</v>
      </c>
      <c r="E268" s="94">
        <f t="shared" si="157"/>
        <v>17.581</v>
      </c>
      <c r="F268" s="94">
        <f t="shared" si="157"/>
        <v>17.384</v>
      </c>
      <c r="G268" s="94">
        <f t="shared" si="157"/>
        <v>18.911000000000001</v>
      </c>
      <c r="H268" s="94">
        <f t="shared" si="157"/>
        <v>19.609000000000002</v>
      </c>
      <c r="I268" s="94">
        <f t="shared" si="157"/>
        <v>21.186</v>
      </c>
      <c r="J268" s="94">
        <f t="shared" si="157"/>
        <v>22.308</v>
      </c>
      <c r="K268" s="94">
        <f t="shared" si="157"/>
        <v>22.850999999999999</v>
      </c>
      <c r="L268" s="95">
        <f t="shared" ref="L268:Z268" ca="1" si="158">SUM(L$265:L$267)</f>
        <v>23.771000000000001</v>
      </c>
      <c r="M268" s="95">
        <f t="shared" ca="1" si="158"/>
        <v>23.777999999999999</v>
      </c>
      <c r="N268" s="95">
        <f t="shared" ca="1" si="158"/>
        <v>23.667999999999999</v>
      </c>
      <c r="O268" s="95">
        <f t="shared" ca="1" si="158"/>
        <v>23.712</v>
      </c>
      <c r="P268" s="95">
        <f t="shared" ca="1" si="158"/>
        <v>23.826000000000001</v>
      </c>
      <c r="Q268" s="96">
        <f t="shared" ca="1" si="158"/>
        <v>23.869270405252699</v>
      </c>
      <c r="R268" s="96">
        <f t="shared" ca="1" si="158"/>
        <v>23.91208178681088</v>
      </c>
      <c r="S268" s="96">
        <f t="shared" ca="1" si="158"/>
        <v>23.952444145115486</v>
      </c>
      <c r="T268" s="96">
        <f t="shared" ca="1" si="158"/>
        <v>23.993268208813866</v>
      </c>
      <c r="U268" s="96">
        <f t="shared" ca="1" si="158"/>
        <v>24.032519500775841</v>
      </c>
      <c r="V268" s="96">
        <f t="shared" ca="1" si="158"/>
        <v>24.071128221974021</v>
      </c>
      <c r="W268" s="96">
        <f t="shared" ca="1" si="158"/>
        <v>24.112566509090847</v>
      </c>
      <c r="X268" s="96">
        <f t="shared" ca="1" si="158"/>
        <v>24.155167094857454</v>
      </c>
      <c r="Y268" s="96">
        <f t="shared" ca="1" si="158"/>
        <v>24.19905810709087</v>
      </c>
      <c r="Z268" s="96">
        <f t="shared" ca="1" si="158"/>
        <v>24.240328566857407</v>
      </c>
    </row>
    <row r="270" spans="1:26" x14ac:dyDescent="0.25">
      <c r="A270" s="11" t="s">
        <v>1281</v>
      </c>
    </row>
    <row r="271" spans="1:26" x14ac:dyDescent="0.25">
      <c r="A271" s="12" t="s">
        <v>1282</v>
      </c>
      <c r="D271" s="50">
        <f t="shared" ref="D271:Z271" si="159">D$377</f>
        <v>0.13</v>
      </c>
      <c r="E271" s="50">
        <f t="shared" si="159"/>
        <v>0.15</v>
      </c>
      <c r="F271" s="50">
        <f t="shared" si="159"/>
        <v>0.125</v>
      </c>
      <c r="G271" s="50">
        <f t="shared" si="159"/>
        <v>-0.51700000000000002</v>
      </c>
      <c r="H271" s="50">
        <f t="shared" si="159"/>
        <v>1.054</v>
      </c>
      <c r="I271" s="50">
        <f t="shared" si="159"/>
        <v>0.189</v>
      </c>
      <c r="J271" s="50">
        <f t="shared" si="159"/>
        <v>0.193</v>
      </c>
      <c r="K271" s="50">
        <f t="shared" si="159"/>
        <v>0.215</v>
      </c>
      <c r="L271" s="48">
        <f t="shared" si="159"/>
        <v>0.32200000000000001</v>
      </c>
      <c r="M271" s="48">
        <f t="shared" si="159"/>
        <v>0.33600000000000002</v>
      </c>
      <c r="N271" s="48">
        <f t="shared" si="159"/>
        <v>0.35199999999999998</v>
      </c>
      <c r="O271" s="48">
        <f t="shared" si="159"/>
        <v>0.371</v>
      </c>
      <c r="P271" s="48">
        <f t="shared" si="159"/>
        <v>0.39100000000000001</v>
      </c>
      <c r="Q271" s="20">
        <f t="shared" si="159"/>
        <v>0.41851304952192758</v>
      </c>
      <c r="R271" s="20">
        <f t="shared" si="159"/>
        <v>0.44419562346666575</v>
      </c>
      <c r="S271" s="20">
        <f t="shared" si="159"/>
        <v>0.47094294413192073</v>
      </c>
      <c r="T271" s="20">
        <f t="shared" si="159"/>
        <v>0.49880208501132234</v>
      </c>
      <c r="U271" s="20">
        <f t="shared" si="159"/>
        <v>0.52777449577495117</v>
      </c>
      <c r="V271" s="20">
        <f t="shared" si="159"/>
        <v>0.55788491961991127</v>
      </c>
      <c r="W271" s="20">
        <f t="shared" si="159"/>
        <v>0.58937223378136083</v>
      </c>
      <c r="X271" s="20">
        <f t="shared" si="159"/>
        <v>0.62254596552159913</v>
      </c>
      <c r="Y271" s="20">
        <f t="shared" si="159"/>
        <v>0.65777533085606932</v>
      </c>
      <c r="Z271" s="20">
        <f t="shared" si="159"/>
        <v>0.69547030412768118</v>
      </c>
    </row>
    <row r="272" spans="1:26" x14ac:dyDescent="0.25">
      <c r="A272" s="12" t="s">
        <v>1283</v>
      </c>
      <c r="D272" s="50">
        <f t="shared" ref="D272:Z272" si="160">D$193</f>
        <v>0.70799999999999996</v>
      </c>
      <c r="E272" s="50">
        <f t="shared" si="160"/>
        <v>0.73599999999999999</v>
      </c>
      <c r="F272" s="50">
        <f t="shared" si="160"/>
        <v>0.80400000000000005</v>
      </c>
      <c r="G272" s="50">
        <f t="shared" si="160"/>
        <v>0.82699999999999996</v>
      </c>
      <c r="H272" s="50">
        <f t="shared" si="160"/>
        <v>0.97099999999999997</v>
      </c>
      <c r="I272" s="50">
        <f t="shared" si="160"/>
        <v>1.202</v>
      </c>
      <c r="J272" s="50">
        <f t="shared" si="160"/>
        <v>0.95299999999999996</v>
      </c>
      <c r="K272" s="50">
        <f t="shared" si="160"/>
        <v>0.95599999999999996</v>
      </c>
      <c r="L272" s="48">
        <f t="shared" si="160"/>
        <v>1.151</v>
      </c>
      <c r="M272" s="48">
        <f t="shared" si="160"/>
        <v>0.98199999999999998</v>
      </c>
      <c r="N272" s="48">
        <f t="shared" si="160"/>
        <v>0.98199999999999998</v>
      </c>
      <c r="O272" s="48">
        <f t="shared" si="160"/>
        <v>0.98199999999999998</v>
      </c>
      <c r="P272" s="48">
        <f t="shared" si="160"/>
        <v>0.98199999999999998</v>
      </c>
      <c r="Q272" s="20">
        <f t="shared" ca="1" si="160"/>
        <v>1.0016400000000001</v>
      </c>
      <c r="R272" s="20">
        <f t="shared" ca="1" si="160"/>
        <v>1.0216728000000002</v>
      </c>
      <c r="S272" s="20">
        <f t="shared" ca="1" si="160"/>
        <v>1.0421062560000003</v>
      </c>
      <c r="T272" s="20">
        <f t="shared" ca="1" si="160"/>
        <v>1.0629483811200002</v>
      </c>
      <c r="U272" s="20">
        <f t="shared" ca="1" si="160"/>
        <v>1.0842073487424002</v>
      </c>
      <c r="V272" s="20">
        <f t="shared" ca="1" si="160"/>
        <v>1.1058914957172483</v>
      </c>
      <c r="W272" s="20">
        <f t="shared" ca="1" si="160"/>
        <v>1.1280093256315933</v>
      </c>
      <c r="X272" s="20">
        <f t="shared" ca="1" si="160"/>
        <v>1.1505695121442252</v>
      </c>
      <c r="Y272" s="20">
        <f t="shared" ca="1" si="160"/>
        <v>1.1735809023871098</v>
      </c>
      <c r="Z272" s="20">
        <f t="shared" ca="1" si="160"/>
        <v>1.1970525204348519</v>
      </c>
    </row>
    <row r="273" spans="1:26" x14ac:dyDescent="0.25">
      <c r="A273" s="12" t="s">
        <v>1284</v>
      </c>
      <c r="B273" s="14" t="s">
        <v>1285</v>
      </c>
      <c r="D273" s="50">
        <f>Exogenous!O$39</f>
        <v>0.82899999999999996</v>
      </c>
      <c r="E273" s="50">
        <f>Exogenous!P$39</f>
        <v>1.3560000000000001</v>
      </c>
      <c r="F273" s="50">
        <f>Exogenous!Q$39</f>
        <v>0.88200000000000001</v>
      </c>
      <c r="G273" s="50">
        <f>Exogenous!R$39</f>
        <v>0.66200000000000003</v>
      </c>
      <c r="H273" s="50">
        <f>Exogenous!S$39</f>
        <v>1.4530000000000001</v>
      </c>
      <c r="I273" s="50">
        <f>Exogenous!T$39</f>
        <v>2.3929999999999998</v>
      </c>
      <c r="J273" s="50">
        <f>Exogenous!U$39</f>
        <v>1.8720000000000001</v>
      </c>
      <c r="K273" s="50">
        <f>Exogenous!V$39</f>
        <v>1.17</v>
      </c>
      <c r="L273" s="48">
        <f>Exogenous!W$39</f>
        <v>1.5249999999999999</v>
      </c>
      <c r="M273" s="48">
        <f>Exogenous!X$39</f>
        <v>1.3839999999999999</v>
      </c>
      <c r="N273" s="48">
        <f>Exogenous!Y$39</f>
        <v>1.39</v>
      </c>
      <c r="O273" s="48">
        <f>Exogenous!Z$39</f>
        <v>1.4</v>
      </c>
      <c r="P273" s="48">
        <f>Exogenous!AA$39</f>
        <v>1.41</v>
      </c>
      <c r="Q273" s="20">
        <f t="shared" ref="Q273:Z273" ca="1" si="161">P$273*Q$142/P$142</f>
        <v>1.4669564263751242</v>
      </c>
      <c r="R273" s="20">
        <f t="shared" ca="1" si="161"/>
        <v>1.52388960834636</v>
      </c>
      <c r="S273" s="20">
        <f t="shared" ca="1" si="161"/>
        <v>1.583806697349128</v>
      </c>
      <c r="T273" s="20">
        <f t="shared" ca="1" si="161"/>
        <v>1.6478767020008633</v>
      </c>
      <c r="U273" s="20">
        <f t="shared" ca="1" si="161"/>
        <v>1.7150417727138572</v>
      </c>
      <c r="V273" s="20">
        <f t="shared" ca="1" si="161"/>
        <v>1.7844811043638282</v>
      </c>
      <c r="W273" s="20">
        <f t="shared" ca="1" si="161"/>
        <v>1.8558263889754574</v>
      </c>
      <c r="X273" s="20">
        <f t="shared" ca="1" si="161"/>
        <v>1.9292192456274495</v>
      </c>
      <c r="Y273" s="20">
        <f t="shared" ca="1" si="161"/>
        <v>2.0050475281790781</v>
      </c>
      <c r="Z273" s="20">
        <f t="shared" ca="1" si="161"/>
        <v>2.0833235271462041</v>
      </c>
    </row>
    <row r="274" spans="1:26" x14ac:dyDescent="0.25">
      <c r="A274" s="12" t="s">
        <v>1286</v>
      </c>
      <c r="B274" s="14" t="str">
        <f>$B$38</f>
        <v>From Fiscal Forecasts</v>
      </c>
      <c r="C274" s="100" cm="1">
        <f t="array" aca="1" ref="C274" ca="1">SUMPRODUCT(OFFSET($P$274,0,0,1,-OFFSET(Assumptions!$B$60,0,$C$1))/OFFSET($P$13,0,0,1,-OFFSET(Assumptions!$B$60,0,$C$1)))/OFFSET(Assumptions!$B$60,0,$C$1)</f>
        <v>8.567326071189596E-3</v>
      </c>
      <c r="D274" s="50">
        <f>'Fiscal Forecasts'!D$60-SUM(D$271:D$273)</f>
        <v>3.4990000000000006</v>
      </c>
      <c r="E274" s="50">
        <f>'Fiscal Forecasts'!E$60-SUM(E$271:E$273)</f>
        <v>3.8410000000000002</v>
      </c>
      <c r="F274" s="50">
        <f>'Fiscal Forecasts'!F$60-SUM(F$271:F$273)</f>
        <v>3.9429999999999996</v>
      </c>
      <c r="G274" s="50">
        <f>'Fiscal Forecasts'!G$60-SUM(G$271:G$273)</f>
        <v>4.7479999999999993</v>
      </c>
      <c r="H274" s="50">
        <f>'Fiscal Forecasts'!H$60-SUM(H$271:H$273)</f>
        <v>3.3280000000000003</v>
      </c>
      <c r="I274" s="50">
        <f>'Fiscal Forecasts'!I$60-SUM(I$271:I$273)</f>
        <v>4.6840000000000002</v>
      </c>
      <c r="J274" s="50">
        <f>'Fiscal Forecasts'!J$60-SUM(J$271:J$273)</f>
        <v>4.8900000000000006</v>
      </c>
      <c r="K274" s="50">
        <f>'Fiscal Forecasts'!K$60-SUM(K$271:K$273)</f>
        <v>3.6390000000000002</v>
      </c>
      <c r="L274" s="48">
        <f ca="1">'Fiscal Forecasts'!L$60-SUM(L$271:L$273)+IF(OFFSET(Assumptions!$B$57,0,$C$1)="Yes",Allocation!C$13,0)</f>
        <v>3.6589999999999998</v>
      </c>
      <c r="M274" s="48">
        <f ca="1">'Fiscal Forecasts'!M$60-SUM(M$271:M$273)+IF(OFFSET(Assumptions!$B$57,0,$C$1)="Yes",Allocation!D$13,0)</f>
        <v>3.6849999999999996</v>
      </c>
      <c r="N274" s="48">
        <f ca="1">'Fiscal Forecasts'!N$60-SUM(N$271:N$273)+IF(OFFSET(Assumptions!$B$57,0,$C$1)="Yes",Allocation!E$13,0)</f>
        <v>3.6049999999999995</v>
      </c>
      <c r="O274" s="48">
        <f ca="1">'Fiscal Forecasts'!O$60-SUM(O$271:O$273)+IF(OFFSET(Assumptions!$B$57,0,$C$1)="Yes",Allocation!F$13,0)</f>
        <v>3.5739999999999998</v>
      </c>
      <c r="P274" s="48">
        <f ca="1">'Fiscal Forecasts'!P$60-SUM(P$271:P$273)+IF(OFFSET(Assumptions!$B$57,0,$C$1)="Yes",Allocation!G$13,0)</f>
        <v>3.48</v>
      </c>
      <c r="Q274" s="20">
        <f ca="1">P$274+IF(OFFSET(Assumptions!$B$58,0,$C$1)="Yes",Allocation!$B$13*Q$248,IF(OFFSET(Assumptions!$B$59,0,$C$1)="Yes",(P$274/P$13+MIN(ABS($C$274-P$274/P$13),OFFSET(Assumptions!$B$61,0,$C$1))*SIGN($C$274-P$274/P$13))*Q$13-P$274,0))</f>
        <v>3.48</v>
      </c>
      <c r="R274" s="20">
        <f ca="1">Q$274+IF(OFFSET(Assumptions!$B$58,0,$C$1)="Yes",Allocation!$B$13*R$248,IF(OFFSET(Assumptions!$B$59,0,$C$1)="Yes",(Q$274/Q$13+MIN(ABS($C$274-Q$274/Q$13),OFFSET(Assumptions!$B$61,0,$C$1))*SIGN($C$274-Q$274/Q$13))*R$13-Q$274,0))</f>
        <v>3.48</v>
      </c>
      <c r="S274" s="20">
        <f ca="1">R$274+IF(OFFSET(Assumptions!$B$58,0,$C$1)="Yes",Allocation!$B$13*S$248,IF(OFFSET(Assumptions!$B$59,0,$C$1)="Yes",(R$274/R$13+MIN(ABS($C$274-R$274/R$13),OFFSET(Assumptions!$B$61,0,$C$1))*SIGN($C$274-R$274/R$13))*S$13-R$274,0))</f>
        <v>3.48</v>
      </c>
      <c r="T274" s="20">
        <f ca="1">S$274+IF(OFFSET(Assumptions!$B$58,0,$C$1)="Yes",Allocation!$B$13*T$248,IF(OFFSET(Assumptions!$B$59,0,$C$1)="Yes",(S$274/S$13+MIN(ABS($C$274-S$274/S$13),OFFSET(Assumptions!$B$61,0,$C$1))*SIGN($C$274-S$274/S$13))*T$13-S$274,0))</f>
        <v>3.48</v>
      </c>
      <c r="U274" s="20">
        <f ca="1">T$274+IF(OFFSET(Assumptions!$B$58,0,$C$1)="Yes",Allocation!$B$13*U$248,IF(OFFSET(Assumptions!$B$59,0,$C$1)="Yes",(T$274/T$13+MIN(ABS($C$274-T$274/T$13),OFFSET(Assumptions!$B$61,0,$C$1))*SIGN($C$274-T$274/T$13))*U$13-T$274,0))</f>
        <v>3.48</v>
      </c>
      <c r="V274" s="20">
        <f ca="1">U$274+IF(OFFSET(Assumptions!$B$58,0,$C$1)="Yes",Allocation!$B$13*V$248,IF(OFFSET(Assumptions!$B$59,0,$C$1)="Yes",(U$274/U$13+MIN(ABS($C$274-U$274/U$13),OFFSET(Assumptions!$B$61,0,$C$1))*SIGN($C$274-U$274/U$13))*V$13-U$274,0))</f>
        <v>3.48</v>
      </c>
      <c r="W274" s="20">
        <f ca="1">V$274+IF(OFFSET(Assumptions!$B$58,0,$C$1)="Yes",Allocation!$B$13*W$248,IF(OFFSET(Assumptions!$B$59,0,$C$1)="Yes",(V$274/V$13+MIN(ABS($C$274-V$274/V$13),OFFSET(Assumptions!$B$61,0,$C$1))*SIGN($C$274-V$274/V$13))*W$13-V$274,0))</f>
        <v>3.48</v>
      </c>
      <c r="X274" s="20">
        <f ca="1">W$274+IF(OFFSET(Assumptions!$B$58,0,$C$1)="Yes",Allocation!$B$13*X$248,IF(OFFSET(Assumptions!$B$59,0,$C$1)="Yes",(W$274/W$13+MIN(ABS($C$274-W$274/W$13),OFFSET(Assumptions!$B$61,0,$C$1))*SIGN($C$274-W$274/W$13))*X$13-W$274,0))</f>
        <v>3.48</v>
      </c>
      <c r="Y274" s="20">
        <f ca="1">X$274+IF(OFFSET(Assumptions!$B$58,0,$C$1)="Yes",Allocation!$B$13*Y$248,IF(OFFSET(Assumptions!$B$59,0,$C$1)="Yes",(X$274/X$13+MIN(ABS($C$274-X$274/X$13),OFFSET(Assumptions!$B$61,0,$C$1))*SIGN($C$274-X$274/X$13))*Y$13-X$274,0))</f>
        <v>3.48</v>
      </c>
      <c r="Z274" s="20">
        <f ca="1">Y$274+IF(OFFSET(Assumptions!$B$58,0,$C$1)="Yes",Allocation!$B$13*Z$248,IF(OFFSET(Assumptions!$B$59,0,$C$1)="Yes",(Y$274/Y$13+MIN(ABS($C$274-Y$274/Y$13),OFFSET(Assumptions!$B$61,0,$C$1))*SIGN($C$274-Y$274/Y$13))*Z$13-Y$274,0))</f>
        <v>3.48</v>
      </c>
    </row>
    <row r="275" spans="1:26" x14ac:dyDescent="0.25">
      <c r="A275" s="11" t="s">
        <v>1287</v>
      </c>
      <c r="D275" s="94">
        <f t="shared" ref="D275:Z275" si="162">SUM(D$271:D$274)</f>
        <v>5.1660000000000004</v>
      </c>
      <c r="E275" s="94">
        <f t="shared" si="162"/>
        <v>6.0830000000000002</v>
      </c>
      <c r="F275" s="94">
        <f t="shared" si="162"/>
        <v>5.7539999999999996</v>
      </c>
      <c r="G275" s="94">
        <f t="shared" si="162"/>
        <v>5.7199999999999989</v>
      </c>
      <c r="H275" s="94">
        <f t="shared" si="162"/>
        <v>6.806</v>
      </c>
      <c r="I275" s="94">
        <f t="shared" si="162"/>
        <v>8.468</v>
      </c>
      <c r="J275" s="94">
        <f t="shared" si="162"/>
        <v>7.9080000000000004</v>
      </c>
      <c r="K275" s="94">
        <f t="shared" si="162"/>
        <v>5.98</v>
      </c>
      <c r="L275" s="95">
        <f t="shared" ca="1" si="162"/>
        <v>6.657</v>
      </c>
      <c r="M275" s="95">
        <f t="shared" ca="1" si="162"/>
        <v>6.3869999999999996</v>
      </c>
      <c r="N275" s="95">
        <f t="shared" ca="1" si="162"/>
        <v>6.3289999999999997</v>
      </c>
      <c r="O275" s="95">
        <f t="shared" ca="1" si="162"/>
        <v>6.327</v>
      </c>
      <c r="P275" s="95">
        <f t="shared" ca="1" si="162"/>
        <v>6.2629999999999999</v>
      </c>
      <c r="Q275" s="96">
        <f t="shared" ca="1" si="162"/>
        <v>6.3671094758970526</v>
      </c>
      <c r="R275" s="96">
        <f t="shared" ca="1" si="162"/>
        <v>6.4697580318130257</v>
      </c>
      <c r="S275" s="96">
        <f t="shared" ca="1" si="162"/>
        <v>6.5768558974810496</v>
      </c>
      <c r="T275" s="96">
        <f t="shared" ca="1" si="162"/>
        <v>6.6896271681321853</v>
      </c>
      <c r="U275" s="96">
        <f t="shared" ca="1" si="162"/>
        <v>6.8070236172312084</v>
      </c>
      <c r="V275" s="96">
        <f t="shared" ca="1" si="162"/>
        <v>6.9282575197009884</v>
      </c>
      <c r="W275" s="96">
        <f t="shared" ca="1" si="162"/>
        <v>7.0532079483884118</v>
      </c>
      <c r="X275" s="96">
        <f t="shared" ca="1" si="162"/>
        <v>7.1823347232932733</v>
      </c>
      <c r="Y275" s="96">
        <f t="shared" ca="1" si="162"/>
        <v>7.316403761422257</v>
      </c>
      <c r="Z275" s="96">
        <f t="shared" ca="1" si="162"/>
        <v>7.455846351708737</v>
      </c>
    </row>
    <row r="276" spans="1:26" x14ac:dyDescent="0.25">
      <c r="A276" s="11" t="s">
        <v>1288</v>
      </c>
      <c r="B276" s="14" t="str">
        <f>$B$38</f>
        <v>From Fiscal Forecasts</v>
      </c>
      <c r="D276" s="51">
        <f>'Fiscal Forecasts'!D$43</f>
        <v>4.7320000000000002</v>
      </c>
      <c r="E276" s="51">
        <f>'Fiscal Forecasts'!E$43</f>
        <v>5.8689999999999998</v>
      </c>
      <c r="F276" s="51">
        <f>'Fiscal Forecasts'!F$43</f>
        <v>5.6020000000000003</v>
      </c>
      <c r="G276" s="51">
        <f>'Fiscal Forecasts'!G$43</f>
        <v>5.4260000000000002</v>
      </c>
      <c r="H276" s="51">
        <f>'Fiscal Forecasts'!H$43</f>
        <v>6.6630000000000003</v>
      </c>
      <c r="I276" s="51">
        <f>'Fiscal Forecasts'!I$43</f>
        <v>8.1780000000000008</v>
      </c>
      <c r="J276" s="51">
        <f>'Fiscal Forecasts'!J$43</f>
        <v>7.7750000000000004</v>
      </c>
      <c r="K276" s="51">
        <f>'Fiscal Forecasts'!K$43</f>
        <v>5.6</v>
      </c>
      <c r="L276" s="47">
        <f ca="1">'Fiscal Forecasts'!L$43+IF(OFFSET(Assumptions!$B$57,0,$C$1)="Yes",Allocation!C$13,0)</f>
        <v>6.1420000000000003</v>
      </c>
      <c r="M276" s="47">
        <f ca="1">'Fiscal Forecasts'!M$43+IF(OFFSET(Assumptions!$B$57,0,$C$1)="Yes",Allocation!D$13,0)</f>
        <v>5.984</v>
      </c>
      <c r="N276" s="47">
        <f ca="1">'Fiscal Forecasts'!N$43+IF(OFFSET(Assumptions!$B$57,0,$C$1)="Yes",Allocation!E$13,0)</f>
        <v>6.1669999999999998</v>
      </c>
      <c r="O276" s="47">
        <f ca="1">'Fiscal Forecasts'!O$43+IF(OFFSET(Assumptions!$B$57,0,$C$1)="Yes",Allocation!F$13,0)</f>
        <v>6.1909999999999998</v>
      </c>
      <c r="P276" s="47">
        <f ca="1">'Fiscal Forecasts'!P$43+IF(OFFSET(Assumptions!$B$57,0,$C$1)="Yes",Allocation!G$13,0)</f>
        <v>6.1319999999999997</v>
      </c>
      <c r="Q276" s="21">
        <f t="shared" ref="Q276:Z276" ca="1" si="163">Q$275+P$276-P$275</f>
        <v>6.2361094758970523</v>
      </c>
      <c r="R276" s="21">
        <f t="shared" ca="1" si="163"/>
        <v>6.3387580318130254</v>
      </c>
      <c r="S276" s="21">
        <f t="shared" ca="1" si="163"/>
        <v>6.4458558974810494</v>
      </c>
      <c r="T276" s="21">
        <f t="shared" ca="1" si="163"/>
        <v>6.558627168132185</v>
      </c>
      <c r="U276" s="21">
        <f t="shared" ca="1" si="163"/>
        <v>6.6760236172312073</v>
      </c>
      <c r="V276" s="21">
        <f t="shared" ca="1" si="163"/>
        <v>6.7972575197009872</v>
      </c>
      <c r="W276" s="21">
        <f t="shared" ca="1" si="163"/>
        <v>6.9222079483884116</v>
      </c>
      <c r="X276" s="21">
        <f t="shared" ca="1" si="163"/>
        <v>7.051334723293273</v>
      </c>
      <c r="Y276" s="21">
        <f t="shared" ca="1" si="163"/>
        <v>7.1854037614222577</v>
      </c>
      <c r="Z276" s="21">
        <f t="shared" ca="1" si="163"/>
        <v>7.3248463517087368</v>
      </c>
    </row>
    <row r="278" spans="1:26" x14ac:dyDescent="0.25">
      <c r="A278" s="11" t="s">
        <v>1289</v>
      </c>
    </row>
    <row r="279" spans="1:26" x14ac:dyDescent="0.25">
      <c r="A279" s="11" t="s">
        <v>1290</v>
      </c>
      <c r="B279" s="14" t="str">
        <f>$B$38</f>
        <v>From Fiscal Forecasts</v>
      </c>
      <c r="C279" s="100" cm="1">
        <f t="array" aca="1" ref="C279" ca="1">SUMPRODUCT(OFFSET($P$279,0,0,1,-OFFSET(Assumptions!$B$60,0,$C$1))/OFFSET($P$13,0,0,1,-OFFSET(Assumptions!$B$60,0,$C$1)))/OFFSET(Assumptions!$B$60,0,$C$1)</f>
        <v>1.4739639541978919E-2</v>
      </c>
      <c r="D279" s="51">
        <f>'Fiscal Forecasts'!D$61</f>
        <v>4.625</v>
      </c>
      <c r="E279" s="51">
        <f>'Fiscal Forecasts'!E$61</f>
        <v>4.9109999999999996</v>
      </c>
      <c r="F279" s="51">
        <f>'Fiscal Forecasts'!F$61</f>
        <v>5.202</v>
      </c>
      <c r="G279" s="51">
        <f>'Fiscal Forecasts'!G$61</f>
        <v>5.444</v>
      </c>
      <c r="H279" s="51">
        <f>'Fiscal Forecasts'!H$61</f>
        <v>6.165</v>
      </c>
      <c r="I279" s="51">
        <f>'Fiscal Forecasts'!I$61</f>
        <v>6.5270000000000001</v>
      </c>
      <c r="J279" s="51">
        <f>'Fiscal Forecasts'!J$61</f>
        <v>6.734</v>
      </c>
      <c r="K279" s="51">
        <f>'Fiscal Forecasts'!K$61</f>
        <v>7.077</v>
      </c>
      <c r="L279" s="47">
        <f ca="1">'Fiscal Forecasts'!L$61+IF(OFFSET(Assumptions!$B$57,0,$C$1)="Yes",Allocation!C$14,0)</f>
        <v>7.7619999999999996</v>
      </c>
      <c r="M279" s="47">
        <f ca="1">'Fiscal Forecasts'!M$61+IF(OFFSET(Assumptions!$B$57,0,$C$1)="Yes",Allocation!D$14,0)</f>
        <v>7.4859999999999998</v>
      </c>
      <c r="N279" s="47">
        <f ca="1">'Fiscal Forecasts'!N$61+IF(OFFSET(Assumptions!$B$57,0,$C$1)="Yes",Allocation!E$14,0)</f>
        <v>7.34</v>
      </c>
      <c r="O279" s="47">
        <f ca="1">'Fiscal Forecasts'!O$61+IF(OFFSET(Assumptions!$B$57,0,$C$1)="Yes",Allocation!F$14,0)</f>
        <v>7.3689999999999998</v>
      </c>
      <c r="P279" s="47">
        <f ca="1">'Fiscal Forecasts'!P$61+IF(OFFSET(Assumptions!$B$57,0,$C$1)="Yes",Allocation!G$14,0)</f>
        <v>7.4039999999999999</v>
      </c>
      <c r="Q279" s="21">
        <f ca="1">P$279+IF(OFFSET(Assumptions!$B$58,0,$C$1)="Yes",Allocation!$B$14*Q$248,IF(OFFSET(Assumptions!$B$59,0,$C$1)="Yes",(P$279/P$13+MIN(ABS($C$279-P$279/P$13),OFFSET(Assumptions!$B$61,0,$C$1))*SIGN($C$279-P$279/P$13))*Q$13-P$279,0))</f>
        <v>7.4039999999999999</v>
      </c>
      <c r="R279" s="21">
        <f ca="1">Q$279+IF(OFFSET(Assumptions!$B$58,0,$C$1)="Yes",Allocation!$B$14*R$248,IF(OFFSET(Assumptions!$B$59,0,$C$1)="Yes",(Q$279/Q$13+MIN(ABS($C$279-Q$279/Q$13),OFFSET(Assumptions!$B$61,0,$C$1))*SIGN($C$279-Q$279/Q$13))*R$13-Q$279,0))</f>
        <v>7.4039999999999999</v>
      </c>
      <c r="S279" s="21">
        <f ca="1">R$279+IF(OFFSET(Assumptions!$B$58,0,$C$1)="Yes",Allocation!$B$14*S$248,IF(OFFSET(Assumptions!$B$59,0,$C$1)="Yes",(R$279/R$13+MIN(ABS($C$279-R$279/R$13),OFFSET(Assumptions!$B$61,0,$C$1))*SIGN($C$279-R$279/R$13))*S$13-R$279,0))</f>
        <v>7.4039999999999999</v>
      </c>
      <c r="T279" s="21">
        <f ca="1">S$279+IF(OFFSET(Assumptions!$B$58,0,$C$1)="Yes",Allocation!$B$14*T$248,IF(OFFSET(Assumptions!$B$59,0,$C$1)="Yes",(S$279/S$13+MIN(ABS($C$279-S$279/S$13),OFFSET(Assumptions!$B$61,0,$C$1))*SIGN($C$279-S$279/S$13))*T$13-S$279,0))</f>
        <v>7.4039999999999999</v>
      </c>
      <c r="U279" s="21">
        <f ca="1">T$279+IF(OFFSET(Assumptions!$B$58,0,$C$1)="Yes",Allocation!$B$14*U$248,IF(OFFSET(Assumptions!$B$59,0,$C$1)="Yes",(T$279/T$13+MIN(ABS($C$279-T$279/T$13),OFFSET(Assumptions!$B$61,0,$C$1))*SIGN($C$279-T$279/T$13))*U$13-T$279,0))</f>
        <v>7.4039999999999999</v>
      </c>
      <c r="V279" s="21">
        <f ca="1">U$279+IF(OFFSET(Assumptions!$B$58,0,$C$1)="Yes",Allocation!$B$14*V$248,IF(OFFSET(Assumptions!$B$59,0,$C$1)="Yes",(U$279/U$13+MIN(ABS($C$279-U$279/U$13),OFFSET(Assumptions!$B$61,0,$C$1))*SIGN($C$279-U$279/U$13))*V$13-U$279,0))</f>
        <v>7.4039999999999999</v>
      </c>
      <c r="W279" s="21">
        <f ca="1">V$279+IF(OFFSET(Assumptions!$B$58,0,$C$1)="Yes",Allocation!$B$14*W$248,IF(OFFSET(Assumptions!$B$59,0,$C$1)="Yes",(V$279/V$13+MIN(ABS($C$279-V$279/V$13),OFFSET(Assumptions!$B$61,0,$C$1))*SIGN($C$279-V$279/V$13))*W$13-V$279,0))</f>
        <v>7.4039999999999999</v>
      </c>
      <c r="X279" s="21">
        <f ca="1">W$279+IF(OFFSET(Assumptions!$B$58,0,$C$1)="Yes",Allocation!$B$14*X$248,IF(OFFSET(Assumptions!$B$59,0,$C$1)="Yes",(W$279/W$13+MIN(ABS($C$279-W$279/W$13),OFFSET(Assumptions!$B$61,0,$C$1))*SIGN($C$279-W$279/W$13))*X$13-W$279,0))</f>
        <v>7.4039999999999999</v>
      </c>
      <c r="Y279" s="21">
        <f ca="1">X$279+IF(OFFSET(Assumptions!$B$58,0,$C$1)="Yes",Allocation!$B$14*Y$248,IF(OFFSET(Assumptions!$B$59,0,$C$1)="Yes",(X$279/X$13+MIN(ABS($C$279-X$279/X$13),OFFSET(Assumptions!$B$61,0,$C$1))*SIGN($C$279-X$279/X$13))*Y$13-X$279,0))</f>
        <v>7.4039999999999999</v>
      </c>
      <c r="Z279" s="21">
        <f ca="1">Y$279+IF(OFFSET(Assumptions!$B$58,0,$C$1)="Yes",Allocation!$B$14*Z$248,IF(OFFSET(Assumptions!$B$59,0,$C$1)="Yes",(Y$279/Y$13+MIN(ABS($C$279-Y$279/Y$13),OFFSET(Assumptions!$B$61,0,$C$1))*SIGN($C$279-Y$279/Y$13))*Z$13-Y$279,0))</f>
        <v>7.4039999999999999</v>
      </c>
    </row>
    <row r="280" spans="1:26" x14ac:dyDescent="0.25">
      <c r="A280" s="11" t="s">
        <v>1291</v>
      </c>
      <c r="B280" s="14" t="str">
        <f>$B$38</f>
        <v>From Fiscal Forecasts</v>
      </c>
      <c r="D280" s="51">
        <f>'Fiscal Forecasts'!D$44</f>
        <v>5.05</v>
      </c>
      <c r="E280" s="51">
        <f>'Fiscal Forecasts'!E$44</f>
        <v>5.3040000000000003</v>
      </c>
      <c r="F280" s="51">
        <f>'Fiscal Forecasts'!F$44</f>
        <v>5.5330000000000004</v>
      </c>
      <c r="G280" s="51">
        <f>'Fiscal Forecasts'!G$44</f>
        <v>5.9210000000000003</v>
      </c>
      <c r="H280" s="51">
        <f>'Fiscal Forecasts'!H$44</f>
        <v>6.6660000000000004</v>
      </c>
      <c r="I280" s="51">
        <f>'Fiscal Forecasts'!I$44</f>
        <v>7.0720000000000001</v>
      </c>
      <c r="J280" s="51">
        <f>'Fiscal Forecasts'!J$44</f>
        <v>7.3090000000000002</v>
      </c>
      <c r="K280" s="51">
        <f>'Fiscal Forecasts'!K$44</f>
        <v>7.6340000000000003</v>
      </c>
      <c r="L280" s="47">
        <f ca="1">'Fiscal Forecasts'!L$44+IF(OFFSET(Assumptions!$B$57,0,$C$1)="Yes",Allocation!C$14,0)</f>
        <v>8.4649999999999999</v>
      </c>
      <c r="M280" s="47">
        <f ca="1">'Fiscal Forecasts'!M$44+IF(OFFSET(Assumptions!$B$57,0,$C$1)="Yes",Allocation!D$14,0)</f>
        <v>8.2680000000000007</v>
      </c>
      <c r="N280" s="47">
        <f ca="1">'Fiscal Forecasts'!N$44+IF(OFFSET(Assumptions!$B$57,0,$C$1)="Yes",Allocation!E$14,0)</f>
        <v>8.0830000000000002</v>
      </c>
      <c r="O280" s="47">
        <f ca="1">'Fiscal Forecasts'!O$44+IF(OFFSET(Assumptions!$B$57,0,$C$1)="Yes",Allocation!F$14,0)</f>
        <v>8.1440000000000001</v>
      </c>
      <c r="P280" s="47">
        <f ca="1">'Fiscal Forecasts'!P$44+IF(OFFSET(Assumptions!$B$57,0,$C$1)="Yes",Allocation!G$14,0)</f>
        <v>8.2080000000000002</v>
      </c>
      <c r="Q280" s="21">
        <f t="shared" ref="Q280:Z280" ca="1" si="164">Q$279+(P$280-P$279)*(1+Q$29)</f>
        <v>8.2240800000000007</v>
      </c>
      <c r="R280" s="21">
        <f t="shared" ca="1" si="164"/>
        <v>8.2404816000000007</v>
      </c>
      <c r="S280" s="21">
        <f t="shared" ca="1" si="164"/>
        <v>8.2572112320000013</v>
      </c>
      <c r="T280" s="21">
        <f t="shared" ca="1" si="164"/>
        <v>8.2742754566400016</v>
      </c>
      <c r="U280" s="21">
        <f t="shared" ca="1" si="164"/>
        <v>8.2916809657728017</v>
      </c>
      <c r="V280" s="21">
        <f t="shared" ca="1" si="164"/>
        <v>8.3094345850882583</v>
      </c>
      <c r="W280" s="21">
        <f t="shared" ca="1" si="164"/>
        <v>8.3275432767900242</v>
      </c>
      <c r="X280" s="21">
        <f t="shared" ca="1" si="164"/>
        <v>8.3460141423258243</v>
      </c>
      <c r="Y280" s="21">
        <f t="shared" ca="1" si="164"/>
        <v>8.3648544251723411</v>
      </c>
      <c r="Z280" s="21">
        <f t="shared" ca="1" si="164"/>
        <v>8.3840715136757886</v>
      </c>
    </row>
    <row r="282" spans="1:26" x14ac:dyDescent="0.25">
      <c r="A282" s="11" t="s">
        <v>1292</v>
      </c>
    </row>
    <row r="283" spans="1:26" x14ac:dyDescent="0.25">
      <c r="A283" s="11" t="s">
        <v>1293</v>
      </c>
      <c r="B283" s="14" t="str">
        <f>$B$38</f>
        <v>From Fiscal Forecasts</v>
      </c>
      <c r="D283" s="51">
        <f>'Fiscal Forecasts'!D$62</f>
        <v>2.8889999999999998</v>
      </c>
      <c r="E283" s="51">
        <f>'Fiscal Forecasts'!E$62</f>
        <v>3.1789999999999998</v>
      </c>
      <c r="F283" s="51">
        <f>'Fiscal Forecasts'!F$62</f>
        <v>5.6559999999999997</v>
      </c>
      <c r="G283" s="51">
        <f>'Fiscal Forecasts'!G$62</f>
        <v>4.657</v>
      </c>
      <c r="H283" s="51">
        <f>'Fiscal Forecasts'!H$62</f>
        <v>5.4720000000000004</v>
      </c>
      <c r="I283" s="51">
        <f>'Fiscal Forecasts'!I$62</f>
        <v>5.4870000000000001</v>
      </c>
      <c r="J283" s="51">
        <f>'Fiscal Forecasts'!J$62</f>
        <v>5.4720000000000004</v>
      </c>
      <c r="K283" s="51">
        <f>'Fiscal Forecasts'!K$62</f>
        <v>6.0350000000000001</v>
      </c>
      <c r="L283" s="47">
        <f>'Fiscal Forecasts'!L$62</f>
        <v>5.3330000000000002</v>
      </c>
      <c r="M283" s="47">
        <f>'Fiscal Forecasts'!M$62</f>
        <v>5.4080000000000004</v>
      </c>
      <c r="N283" s="47">
        <f>'Fiscal Forecasts'!N$62</f>
        <v>5.65</v>
      </c>
      <c r="O283" s="47">
        <f>'Fiscal Forecasts'!O$62</f>
        <v>5.5910000000000002</v>
      </c>
      <c r="P283" s="47">
        <f>'Fiscal Forecasts'!P$62</f>
        <v>5.6349999999999998</v>
      </c>
      <c r="Q283" s="21">
        <f t="shared" ref="Q283:Z283" ca="1" si="165">P$283+Q$138-P$138</f>
        <v>5.6284616931386271</v>
      </c>
      <c r="R283" s="21">
        <f t="shared" ca="1" si="165"/>
        <v>5.6021153676319475</v>
      </c>
      <c r="S283" s="21">
        <f t="shared" ca="1" si="165"/>
        <v>5.5569111583079076</v>
      </c>
      <c r="T283" s="21">
        <f t="shared" ca="1" si="165"/>
        <v>5.7307336419171619</v>
      </c>
      <c r="U283" s="21">
        <f t="shared" ca="1" si="165"/>
        <v>6.0141229383904831</v>
      </c>
      <c r="V283" s="21">
        <f t="shared" ca="1" si="165"/>
        <v>6.3071620316660963</v>
      </c>
      <c r="W283" s="21">
        <f t="shared" ca="1" si="165"/>
        <v>6.6083725443632204</v>
      </c>
      <c r="X283" s="21">
        <f t="shared" ca="1" si="165"/>
        <v>6.9182566713754809</v>
      </c>
      <c r="Y283" s="21">
        <f t="shared" ca="1" si="165"/>
        <v>7.2384349123008267</v>
      </c>
      <c r="Z283" s="21">
        <f t="shared" ca="1" si="165"/>
        <v>7.5689898458804947</v>
      </c>
    </row>
    <row r="284" spans="1:26" x14ac:dyDescent="0.25">
      <c r="A284" s="12" t="s">
        <v>1020</v>
      </c>
      <c r="B284" s="14" t="str">
        <f>$B$38</f>
        <v>From Fiscal Forecasts</v>
      </c>
      <c r="D284" s="50">
        <f>'Fiscal Forecasts'!D$209</f>
        <v>3.21</v>
      </c>
      <c r="E284" s="50">
        <f>'Fiscal Forecasts'!E$209</f>
        <v>3.8239999999999998</v>
      </c>
      <c r="F284" s="50">
        <f>'Fiscal Forecasts'!F$209</f>
        <v>4.2590000000000003</v>
      </c>
      <c r="G284" s="50">
        <f>'Fiscal Forecasts'!G$209</f>
        <v>4.5030000000000001</v>
      </c>
      <c r="H284" s="50">
        <f>'Fiscal Forecasts'!H$209</f>
        <v>6.1050000000000004</v>
      </c>
      <c r="I284" s="50">
        <f>'Fiscal Forecasts'!I$209</f>
        <v>6.6280000000000001</v>
      </c>
      <c r="J284" s="50">
        <f>'Fiscal Forecasts'!J$209</f>
        <v>5.9779999999999998</v>
      </c>
      <c r="K284" s="50">
        <f>'Fiscal Forecasts'!K$209</f>
        <v>6.0049999999999999</v>
      </c>
      <c r="L284" s="48">
        <f>'Fiscal Forecasts'!L$209</f>
        <v>7.1070000000000002</v>
      </c>
      <c r="M284" s="48">
        <f>'Fiscal Forecasts'!M$209</f>
        <v>6.2469999999999999</v>
      </c>
      <c r="N284" s="48">
        <f>'Fiscal Forecasts'!N$209</f>
        <v>6.1429999999999998</v>
      </c>
      <c r="O284" s="48">
        <f>'Fiscal Forecasts'!O$209</f>
        <v>6.085</v>
      </c>
      <c r="P284" s="48">
        <f>'Fiscal Forecasts'!P$209</f>
        <v>6.2039999999999997</v>
      </c>
      <c r="Q284" s="20">
        <f t="shared" ref="Q284:Z284" ca="1" si="166">Q$283+(P$284-P$283)*(1+Q$29)</f>
        <v>6.208841693138627</v>
      </c>
      <c r="R284" s="20">
        <f t="shared" ca="1" si="166"/>
        <v>6.194102967631947</v>
      </c>
      <c r="S284" s="20">
        <f t="shared" ca="1" si="166"/>
        <v>6.1607385103079073</v>
      </c>
      <c r="T284" s="20">
        <f t="shared" ca="1" si="166"/>
        <v>6.346637540957162</v>
      </c>
      <c r="U284" s="20">
        <f t="shared" ca="1" si="166"/>
        <v>6.6423449154112832</v>
      </c>
      <c r="V284" s="20">
        <f t="shared" ca="1" si="166"/>
        <v>6.9479484482273124</v>
      </c>
      <c r="W284" s="20">
        <f t="shared" ca="1" si="166"/>
        <v>7.2619746892556609</v>
      </c>
      <c r="X284" s="20">
        <f t="shared" ca="1" si="166"/>
        <v>7.5849308591657705</v>
      </c>
      <c r="Y284" s="20">
        <f t="shared" ca="1" si="166"/>
        <v>7.9184425838469217</v>
      </c>
      <c r="Z284" s="20">
        <f t="shared" ca="1" si="166"/>
        <v>8.2625976708575113</v>
      </c>
    </row>
    <row r="285" spans="1:26" x14ac:dyDescent="0.25">
      <c r="A285" s="12" t="s">
        <v>1227</v>
      </c>
      <c r="B285" s="14" t="str">
        <f>$B$38</f>
        <v>From Fiscal Forecasts</v>
      </c>
      <c r="D285" s="50">
        <f>'Fiscal Forecasts'!D$210</f>
        <v>5.4009999999999998</v>
      </c>
      <c r="E285" s="50">
        <f>'Fiscal Forecasts'!E$210</f>
        <v>8.9149999999999991</v>
      </c>
      <c r="F285" s="50">
        <f>'Fiscal Forecasts'!F$210</f>
        <v>5.8360000000000003</v>
      </c>
      <c r="G285" s="50">
        <f>'Fiscal Forecasts'!G$210</f>
        <v>4.8730000000000002</v>
      </c>
      <c r="H285" s="50">
        <f>'Fiscal Forecasts'!H$210</f>
        <v>8.5990000000000002</v>
      </c>
      <c r="I285" s="50">
        <f>'Fiscal Forecasts'!I$210</f>
        <v>10.317</v>
      </c>
      <c r="J285" s="50">
        <f>'Fiscal Forecasts'!J$210</f>
        <v>10.045999999999999</v>
      </c>
      <c r="K285" s="50">
        <f>'Fiscal Forecasts'!K$210</f>
        <v>10.468999999999999</v>
      </c>
      <c r="L285" s="48">
        <f>'Fiscal Forecasts'!L$210</f>
        <v>10.717000000000001</v>
      </c>
      <c r="M285" s="48">
        <f>'Fiscal Forecasts'!M$210</f>
        <v>10.779</v>
      </c>
      <c r="N285" s="48">
        <f>'Fiscal Forecasts'!N$210</f>
        <v>11.085000000000001</v>
      </c>
      <c r="O285" s="48">
        <f>'Fiscal Forecasts'!O$210</f>
        <v>11.627000000000001</v>
      </c>
      <c r="P285" s="48">
        <f>'Fiscal Forecasts'!P$210</f>
        <v>11.731999999999999</v>
      </c>
      <c r="Q285" s="20">
        <f t="shared" ref="Q285:Z285" ca="1" si="167">P$285*(1+Q$14)</f>
        <v>12.242704393330598</v>
      </c>
      <c r="R285" s="20">
        <f t="shared" ca="1" si="167"/>
        <v>12.763816731665804</v>
      </c>
      <c r="S285" s="20">
        <f t="shared" ca="1" si="167"/>
        <v>13.298734787619493</v>
      </c>
      <c r="T285" s="20">
        <f t="shared" ca="1" si="167"/>
        <v>13.846207380884191</v>
      </c>
      <c r="U285" s="20">
        <f t="shared" ca="1" si="167"/>
        <v>14.412770747506283</v>
      </c>
      <c r="V285" s="20">
        <f t="shared" ca="1" si="167"/>
        <v>14.998626378979461</v>
      </c>
      <c r="W285" s="20">
        <f t="shared" ca="1" si="167"/>
        <v>15.600818643328848</v>
      </c>
      <c r="X285" s="20">
        <f t="shared" ca="1" si="167"/>
        <v>16.220351548938577</v>
      </c>
      <c r="Y285" s="20">
        <f t="shared" ca="1" si="167"/>
        <v>16.860464864279972</v>
      </c>
      <c r="Z285" s="20">
        <f t="shared" ca="1" si="167"/>
        <v>17.521323684119242</v>
      </c>
    </row>
    <row r="286" spans="1:26" x14ac:dyDescent="0.25">
      <c r="A286" s="12" t="s">
        <v>1228</v>
      </c>
      <c r="B286" s="14" t="str">
        <f>$B$38</f>
        <v>From Fiscal Forecasts</v>
      </c>
      <c r="D286" s="50">
        <f>'Fiscal Forecasts'!D$45-SUM(D$283:D$285)</f>
        <v>-3.0709999999999997</v>
      </c>
      <c r="E286" s="50">
        <f>'Fiscal Forecasts'!E$45-SUM(E$283:E$285)</f>
        <v>-2.9559999999999995</v>
      </c>
      <c r="F286" s="50">
        <f>'Fiscal Forecasts'!F$45-SUM(F$283:F$285)</f>
        <v>-5.4159999999999986</v>
      </c>
      <c r="G286" s="50">
        <f>'Fiscal Forecasts'!G$45-SUM(G$283:G$285)</f>
        <v>-4.5050000000000008</v>
      </c>
      <c r="H286" s="50">
        <f>'Fiscal Forecasts'!H$45-SUM(H$283:H$285)</f>
        <v>-5.7480000000000011</v>
      </c>
      <c r="I286" s="50">
        <f>'Fiscal Forecasts'!I$45-SUM(I$283:I$285)</f>
        <v>-5.6990000000000016</v>
      </c>
      <c r="J286" s="50">
        <f>'Fiscal Forecasts'!J$45-SUM(J$283:J$285)</f>
        <v>-5.6659999999999986</v>
      </c>
      <c r="K286" s="50">
        <f>'Fiscal Forecasts'!K$45-SUM(K$283:K$285)</f>
        <v>-5.0489999999999995</v>
      </c>
      <c r="L286" s="48">
        <f>'Fiscal Forecasts'!L$45-SUM(L$283:L$285)</f>
        <v>-5.6200000000000045</v>
      </c>
      <c r="M286" s="48">
        <f>'Fiscal Forecasts'!M$45-SUM(M$283:M$285)</f>
        <v>-5.4649999999999999</v>
      </c>
      <c r="N286" s="48">
        <f>'Fiscal Forecasts'!N$45-SUM(N$283:N$285)</f>
        <v>-5.7719999999999985</v>
      </c>
      <c r="O286" s="48">
        <f>'Fiscal Forecasts'!O$45-SUM(O$283:O$285)</f>
        <v>-5.6340000000000003</v>
      </c>
      <c r="P286" s="48">
        <f>'Fiscal Forecasts'!P$45-SUM(P$283:P$285)</f>
        <v>-5.8219999999999992</v>
      </c>
      <c r="Q286" s="20">
        <f ca="1">IF(Q$6=OFFSET(Assumptions!$B$8,0,$C$1),AVERAGE(N$286/N$283,O$286/O$283,P$286/P$283),P$286/P$283)*Q$283</f>
        <v>-5.745663714385798</v>
      </c>
      <c r="R286" s="20">
        <f ca="1">IF(R$6=OFFSET(Assumptions!$B$8,0,$C$1),AVERAGE(O$286/O$283,P$286/P$283,Q$286/Q$283),Q$286/Q$283)*R$283</f>
        <v>-5.7187687767058168</v>
      </c>
      <c r="S286" s="20">
        <f ca="1">IF(S$6=OFFSET(Assumptions!$B$8,0,$C$1),AVERAGE(P$286/P$283,Q$286/Q$283,R$286/R$283),R$286/R$283)*S$283</f>
        <v>-5.6726232756060657</v>
      </c>
      <c r="T286" s="20">
        <f ca="1">IF(T$6=OFFSET(Assumptions!$B$8,0,$C$1),AVERAGE(Q$286/Q$283,R$286/R$283,S$286/S$283),S$286/S$283)*T$283</f>
        <v>-5.8500652821912063</v>
      </c>
      <c r="U286" s="20">
        <f ca="1">IF(U$6=OFFSET(Assumptions!$B$8,0,$C$1),AVERAGE(R$286/R$283,S$286/S$283,T$286/T$283),T$286/T$283)*U$283</f>
        <v>-6.1393556223523564</v>
      </c>
      <c r="V286" s="20">
        <f ca="1">IF(V$6=OFFSET(Assumptions!$B$8,0,$C$1),AVERAGE(S$286/S$283,T$286/T$283,U$286/U$283),U$286/U$283)*V$283</f>
        <v>-6.438496698000562</v>
      </c>
      <c r="W286" s="20">
        <f ca="1">IF(W$6=OFFSET(Assumptions!$B$8,0,$C$1),AVERAGE(T$286/T$283,U$286/U$283,V$286/V$283),V$286/V$283)*W$283</f>
        <v>-6.7459793473548535</v>
      </c>
      <c r="X286" s="20">
        <f ca="1">IF(X$6=OFFSET(Assumptions!$B$8,0,$C$1),AVERAGE(U$286/U$283,V$286/V$283,W$286/W$283),W$286/W$283)*X$283</f>
        <v>-7.062316222563398</v>
      </c>
      <c r="Y286" s="20">
        <f ca="1">IF(Y$6=OFFSET(Assumptions!$B$8,0,$C$1),AVERAGE(V$286/V$283,W$286/W$283,X$286/X$283),X$286/X$283)*Y$283</f>
        <v>-7.3891615670494835</v>
      </c>
      <c r="Z286" s="20">
        <f ca="1">IF(Z$6=OFFSET(Assumptions!$B$8,0,$C$1),AVERAGE(W$286/W$283,X$286/X$283,Y$286/Y$283),Y$286/Y$283)*Z$283</f>
        <v>-7.7265996790997438</v>
      </c>
    </row>
    <row r="287" spans="1:26" x14ac:dyDescent="0.25">
      <c r="A287" s="11" t="s">
        <v>1294</v>
      </c>
      <c r="D287" s="94">
        <f t="shared" ref="D287:Z287" si="168">SUM(D$283:D$286)</f>
        <v>8.4290000000000003</v>
      </c>
      <c r="E287" s="94">
        <f t="shared" si="168"/>
        <v>12.962</v>
      </c>
      <c r="F287" s="94">
        <f t="shared" si="168"/>
        <v>10.335000000000001</v>
      </c>
      <c r="G287" s="94">
        <f t="shared" si="168"/>
        <v>9.5280000000000005</v>
      </c>
      <c r="H287" s="94">
        <f t="shared" si="168"/>
        <v>14.428000000000001</v>
      </c>
      <c r="I287" s="94">
        <f t="shared" si="168"/>
        <v>16.733000000000001</v>
      </c>
      <c r="J287" s="94">
        <f t="shared" si="168"/>
        <v>15.83</v>
      </c>
      <c r="K287" s="94">
        <f t="shared" si="168"/>
        <v>17.46</v>
      </c>
      <c r="L287" s="95">
        <f t="shared" si="168"/>
        <v>17.536999999999999</v>
      </c>
      <c r="M287" s="95">
        <f t="shared" si="168"/>
        <v>16.969000000000001</v>
      </c>
      <c r="N287" s="95">
        <f t="shared" si="168"/>
        <v>17.106000000000002</v>
      </c>
      <c r="O287" s="95">
        <f t="shared" si="168"/>
        <v>17.669</v>
      </c>
      <c r="P287" s="95">
        <f t="shared" si="168"/>
        <v>17.748999999999999</v>
      </c>
      <c r="Q287" s="96">
        <f t="shared" ca="1" si="168"/>
        <v>18.334344065222055</v>
      </c>
      <c r="R287" s="96">
        <f t="shared" ca="1" si="168"/>
        <v>18.841266290223885</v>
      </c>
      <c r="S287" s="96">
        <f t="shared" ca="1" si="168"/>
        <v>19.343761180629244</v>
      </c>
      <c r="T287" s="96">
        <f t="shared" ca="1" si="168"/>
        <v>20.073513281567308</v>
      </c>
      <c r="U287" s="96">
        <f t="shared" ca="1" si="168"/>
        <v>20.929882978955696</v>
      </c>
      <c r="V287" s="96">
        <f t="shared" ca="1" si="168"/>
        <v>21.815240160872307</v>
      </c>
      <c r="W287" s="96">
        <f t="shared" ca="1" si="168"/>
        <v>22.725186529592875</v>
      </c>
      <c r="X287" s="96">
        <f t="shared" ca="1" si="168"/>
        <v>23.661222856916432</v>
      </c>
      <c r="Y287" s="96">
        <f t="shared" ca="1" si="168"/>
        <v>24.628180793378235</v>
      </c>
      <c r="Z287" s="96">
        <f t="shared" ca="1" si="168"/>
        <v>25.626311521757508</v>
      </c>
    </row>
    <row r="289" spans="1:26" x14ac:dyDescent="0.25">
      <c r="A289" s="11" t="s">
        <v>1295</v>
      </c>
    </row>
    <row r="290" spans="1:26" x14ac:dyDescent="0.25">
      <c r="A290" s="12" t="s">
        <v>1264</v>
      </c>
      <c r="D290" s="50">
        <f t="shared" ref="D290:Z290" si="169">D$238</f>
        <v>0</v>
      </c>
      <c r="E290" s="50">
        <f t="shared" si="169"/>
        <v>0</v>
      </c>
      <c r="F290" s="50">
        <f t="shared" si="169"/>
        <v>1E-3</v>
      </c>
      <c r="G290" s="50">
        <f t="shared" si="169"/>
        <v>1E-3</v>
      </c>
      <c r="H290" s="50">
        <f t="shared" si="169"/>
        <v>3.0000000000000001E-3</v>
      </c>
      <c r="I290" s="50">
        <f t="shared" si="169"/>
        <v>2E-3</v>
      </c>
      <c r="J290" s="50">
        <f t="shared" si="169"/>
        <v>3.0000000000000001E-3</v>
      </c>
      <c r="K290" s="50">
        <f t="shared" si="169"/>
        <v>2E-3</v>
      </c>
      <c r="L290" s="48">
        <f t="shared" si="169"/>
        <v>0</v>
      </c>
      <c r="M290" s="48">
        <f t="shared" si="169"/>
        <v>0</v>
      </c>
      <c r="N290" s="48">
        <f t="shared" si="169"/>
        <v>0</v>
      </c>
      <c r="O290" s="48">
        <f t="shared" si="169"/>
        <v>0</v>
      </c>
      <c r="P290" s="48">
        <f t="shared" si="169"/>
        <v>0</v>
      </c>
      <c r="Q290" s="20">
        <f t="shared" ca="1" si="169"/>
        <v>0</v>
      </c>
      <c r="R290" s="20">
        <f t="shared" ca="1" si="169"/>
        <v>0</v>
      </c>
      <c r="S290" s="20">
        <f t="shared" ca="1" si="169"/>
        <v>0</v>
      </c>
      <c r="T290" s="20">
        <f t="shared" ca="1" si="169"/>
        <v>0</v>
      </c>
      <c r="U290" s="20">
        <f t="shared" ca="1" si="169"/>
        <v>0</v>
      </c>
      <c r="V290" s="20">
        <f t="shared" ca="1" si="169"/>
        <v>0</v>
      </c>
      <c r="W290" s="20">
        <f t="shared" ca="1" si="169"/>
        <v>0</v>
      </c>
      <c r="X290" s="20">
        <f t="shared" ca="1" si="169"/>
        <v>0</v>
      </c>
      <c r="Y290" s="20">
        <f t="shared" ca="1" si="169"/>
        <v>0</v>
      </c>
      <c r="Z290" s="20">
        <f t="shared" ca="1" si="169"/>
        <v>0</v>
      </c>
    </row>
    <row r="291" spans="1:26" x14ac:dyDescent="0.25">
      <c r="A291" s="12" t="s">
        <v>694</v>
      </c>
      <c r="D291" s="50">
        <f t="shared" ref="D291:Z291" si="170">D$192</f>
        <v>0.95099999999999996</v>
      </c>
      <c r="E291" s="50">
        <f t="shared" si="170"/>
        <v>0.89300000000000002</v>
      </c>
      <c r="F291" s="50">
        <f t="shared" si="170"/>
        <v>0.91600000000000004</v>
      </c>
      <c r="G291" s="50">
        <f t="shared" si="170"/>
        <v>0.96399999999999997</v>
      </c>
      <c r="H291" s="50">
        <f t="shared" si="170"/>
        <v>0.997</v>
      </c>
      <c r="I291" s="50">
        <f t="shared" si="170"/>
        <v>1.014</v>
      </c>
      <c r="J291" s="50">
        <f t="shared" si="170"/>
        <v>1.02</v>
      </c>
      <c r="K291" s="50">
        <f t="shared" si="170"/>
        <v>0.47</v>
      </c>
      <c r="L291" s="48">
        <f t="shared" si="170"/>
        <v>0.49399999999999999</v>
      </c>
      <c r="M291" s="48">
        <f t="shared" si="170"/>
        <v>0.51600000000000001</v>
      </c>
      <c r="N291" s="48">
        <f t="shared" si="170"/>
        <v>0.54100000000000004</v>
      </c>
      <c r="O291" s="48">
        <f t="shared" si="170"/>
        <v>0.56499999999999995</v>
      </c>
      <c r="P291" s="48">
        <f t="shared" si="170"/>
        <v>0.58899999999999997</v>
      </c>
      <c r="Q291" s="20">
        <f t="shared" si="170"/>
        <v>0.61599999999999999</v>
      </c>
      <c r="R291" s="20">
        <f t="shared" ca="1" si="170"/>
        <v>0.6356043150767996</v>
      </c>
      <c r="S291" s="20">
        <f t="shared" ca="1" si="170"/>
        <v>0.65552518581783481</v>
      </c>
      <c r="T291" s="20">
        <f t="shared" ca="1" si="170"/>
        <v>0.67575382923088023</v>
      </c>
      <c r="U291" s="20">
        <f t="shared" ca="1" si="170"/>
        <v>0.69644013067364774</v>
      </c>
      <c r="V291" s="20">
        <f t="shared" ca="1" si="170"/>
        <v>0.71757355095976472</v>
      </c>
      <c r="W291" s="20">
        <f t="shared" ca="1" si="170"/>
        <v>0.73899406472158069</v>
      </c>
      <c r="X291" s="20">
        <f t="shared" ca="1" si="170"/>
        <v>0.76073334129191916</v>
      </c>
      <c r="Y291" s="20">
        <f t="shared" ca="1" si="170"/>
        <v>0.78292535697248833</v>
      </c>
      <c r="Z291" s="20">
        <f t="shared" ca="1" si="170"/>
        <v>0.80555714389500477</v>
      </c>
    </row>
    <row r="292" spans="1:26" x14ac:dyDescent="0.25">
      <c r="A292" s="12" t="s">
        <v>1296</v>
      </c>
      <c r="B292" s="14" t="str">
        <f>$B$38</f>
        <v>From Fiscal Forecasts</v>
      </c>
      <c r="C292" s="100" cm="1">
        <f t="array" aca="1" ref="C292" ca="1">SUMPRODUCT(OFFSET($P$292,0,0,1,-OFFSET(Assumptions!$B$60,0,$C$1)+1)/OFFSET($P$13,0,0,1,-OFFSET(Assumptions!$B$60,0,$C$1)+1))/(OFFSET(Assumptions!$B$60,0,$C$1)-1)</f>
        <v>5.7166810749682655E-3</v>
      </c>
      <c r="D292" s="50">
        <f>'Fiscal Forecasts'!D$63-SUM(D$290:D$291)</f>
        <v>2.0549999999999997</v>
      </c>
      <c r="E292" s="50">
        <f>'Fiscal Forecasts'!E$63-SUM(E$290:E$291)</f>
        <v>3.0949999999999998</v>
      </c>
      <c r="F292" s="50">
        <f>'Fiscal Forecasts'!F$63-SUM(F$290:F$291)</f>
        <v>3.5640000000000001</v>
      </c>
      <c r="G292" s="50">
        <f>'Fiscal Forecasts'!G$63-SUM(G$290:G$291)</f>
        <v>7.1129999999999995</v>
      </c>
      <c r="H292" s="50">
        <f>'Fiscal Forecasts'!H$63-SUM(H$290:H$291)</f>
        <v>2.69</v>
      </c>
      <c r="I292" s="50">
        <f>'Fiscal Forecasts'!I$63-SUM(I$290:I$291)</f>
        <v>2.9939999999999998</v>
      </c>
      <c r="J292" s="50">
        <f>'Fiscal Forecasts'!J$63-SUM(J$290:J$291)</f>
        <v>2.4909999999999997</v>
      </c>
      <c r="K292" s="50">
        <f>'Fiscal Forecasts'!K$63-SUM(K$290:K$291)</f>
        <v>2.54</v>
      </c>
      <c r="L292" s="48">
        <f ca="1">'Fiscal Forecasts'!L$63-SUM(L$290:L$291)+IF(OFFSET(Assumptions!$B$57,0,$C$1)="Yes",Allocation!C$15,0)</f>
        <v>3.274</v>
      </c>
      <c r="M292" s="48">
        <f ca="1">'Fiscal Forecasts'!M$63-SUM(M$290:M$291)+IF(OFFSET(Assumptions!$B$57,0,$C$1)="Yes",Allocation!D$15,0)</f>
        <v>2.5270000000000001</v>
      </c>
      <c r="N292" s="48">
        <f ca="1">'Fiscal Forecasts'!N$63-SUM(N$290:N$291)+IF(OFFSET(Assumptions!$B$57,0,$C$1)="Yes",Allocation!E$15,0)</f>
        <v>2.6920000000000002</v>
      </c>
      <c r="O292" s="48">
        <f ca="1">'Fiscal Forecasts'!O$63-SUM(O$290:O$291)+IF(OFFSET(Assumptions!$B$57,0,$C$1)="Yes",Allocation!F$15,0)</f>
        <v>2.7</v>
      </c>
      <c r="P292" s="48">
        <f ca="1">'Fiscal Forecasts'!P$63-SUM(P$290:P$291)+IF(OFFSET(Assumptions!$B$57,0,$C$1)="Yes",Allocation!G$15,0)</f>
        <v>2.7050000000000001</v>
      </c>
      <c r="Q292" s="20">
        <f ca="1">P$292+IF(OFFSET(Assumptions!$B$58,0,$C$1)="Yes",Allocation!$B$15*Q$248,IF(OFFSET(Assumptions!$B$59,0,$C$1)="Yes",(P$292/P$13+MIN(ABS($C$292-P$292/P$13),OFFSET(Assumptions!$B$61,0,$C$1))*SIGN($C$292-P$292/P$13))*Q$13-P$292,0))</f>
        <v>2.7050000000000001</v>
      </c>
      <c r="R292" s="20">
        <f ca="1">Q$292+IF(OFFSET(Assumptions!$B$58,0,$C$1)="Yes",Allocation!$B$15*R$248,IF(OFFSET(Assumptions!$B$59,0,$C$1)="Yes",(Q$292/Q$13+MIN(ABS($C$292-Q$292/Q$13),OFFSET(Assumptions!$B$61,0,$C$1))*SIGN($C$292-Q$292/Q$13))*R$13-Q$292,0))</f>
        <v>2.7050000000000001</v>
      </c>
      <c r="S292" s="20">
        <f ca="1">R$292+IF(OFFSET(Assumptions!$B$58,0,$C$1)="Yes",Allocation!$B$15*S$248,IF(OFFSET(Assumptions!$B$59,0,$C$1)="Yes",(R$292/R$13+MIN(ABS($C$292-R$292/R$13),OFFSET(Assumptions!$B$61,0,$C$1))*SIGN($C$292-R$292/R$13))*S$13-R$292,0))</f>
        <v>2.7050000000000001</v>
      </c>
      <c r="T292" s="20">
        <f ca="1">S$292+IF(OFFSET(Assumptions!$B$58,0,$C$1)="Yes",Allocation!$B$15*T$248,IF(OFFSET(Assumptions!$B$59,0,$C$1)="Yes",(S$292/S$13+MIN(ABS($C$292-S$292/S$13),OFFSET(Assumptions!$B$61,0,$C$1))*SIGN($C$292-S$292/S$13))*T$13-S$292,0))</f>
        <v>2.7050000000000001</v>
      </c>
      <c r="U292" s="20">
        <f ca="1">T$292+IF(OFFSET(Assumptions!$B$58,0,$C$1)="Yes",Allocation!$B$15*U$248,IF(OFFSET(Assumptions!$B$59,0,$C$1)="Yes",(T$292/T$13+MIN(ABS($C$292-T$292/T$13),OFFSET(Assumptions!$B$61,0,$C$1))*SIGN($C$292-T$292/T$13))*U$13-T$292,0))</f>
        <v>2.7050000000000001</v>
      </c>
      <c r="V292" s="20">
        <f ca="1">U$292+IF(OFFSET(Assumptions!$B$58,0,$C$1)="Yes",Allocation!$B$15*V$248,IF(OFFSET(Assumptions!$B$59,0,$C$1)="Yes",(U$292/U$13+MIN(ABS($C$292-U$292/U$13),OFFSET(Assumptions!$B$61,0,$C$1))*SIGN($C$292-U$292/U$13))*V$13-U$292,0))</f>
        <v>2.7050000000000001</v>
      </c>
      <c r="W292" s="20">
        <f ca="1">V$292+IF(OFFSET(Assumptions!$B$58,0,$C$1)="Yes",Allocation!$B$15*W$248,IF(OFFSET(Assumptions!$B$59,0,$C$1)="Yes",(V$292/V$13+MIN(ABS($C$292-V$292/V$13),OFFSET(Assumptions!$B$61,0,$C$1))*SIGN($C$292-V$292/V$13))*W$13-V$292,0))</f>
        <v>2.7050000000000001</v>
      </c>
      <c r="X292" s="20">
        <f ca="1">W$292+IF(OFFSET(Assumptions!$B$58,0,$C$1)="Yes",Allocation!$B$15*X$248,IF(OFFSET(Assumptions!$B$59,0,$C$1)="Yes",(W$292/W$13+MIN(ABS($C$292-W$292/W$13),OFFSET(Assumptions!$B$61,0,$C$1))*SIGN($C$292-W$292/W$13))*X$13-W$292,0))</f>
        <v>2.7050000000000001</v>
      </c>
      <c r="Y292" s="20">
        <f ca="1">X$292+IF(OFFSET(Assumptions!$B$58,0,$C$1)="Yes",Allocation!$B$15*Y$248,IF(OFFSET(Assumptions!$B$59,0,$C$1)="Yes",(X$292/X$13+MIN(ABS($C$292-X$292/X$13),OFFSET(Assumptions!$B$61,0,$C$1))*SIGN($C$292-X$292/X$13))*Y$13-X$292,0))</f>
        <v>2.7050000000000001</v>
      </c>
      <c r="Z292" s="20">
        <f ca="1">Y$292+IF(OFFSET(Assumptions!$B$58,0,$C$1)="Yes",Allocation!$B$15*Z$248,IF(OFFSET(Assumptions!$B$59,0,$C$1)="Yes",(Y$292/Y$13+MIN(ABS($C$292-Y$292/Y$13),OFFSET(Assumptions!$B$61,0,$C$1))*SIGN($C$292-Y$292/Y$13))*Z$13-Y$292,0))</f>
        <v>2.7050000000000001</v>
      </c>
    </row>
    <row r="293" spans="1:26" x14ac:dyDescent="0.25">
      <c r="A293" s="11" t="s">
        <v>1297</v>
      </c>
      <c r="D293" s="94">
        <f t="shared" ref="D293:Z293" si="171">SUM(D$290:D$292)</f>
        <v>3.0059999999999998</v>
      </c>
      <c r="E293" s="94">
        <f t="shared" si="171"/>
        <v>3.9879999999999995</v>
      </c>
      <c r="F293" s="94">
        <f t="shared" si="171"/>
        <v>4.4809999999999999</v>
      </c>
      <c r="G293" s="94">
        <f t="shared" si="171"/>
        <v>8.0779999999999994</v>
      </c>
      <c r="H293" s="94">
        <f t="shared" si="171"/>
        <v>3.69</v>
      </c>
      <c r="I293" s="94">
        <f t="shared" si="171"/>
        <v>4.01</v>
      </c>
      <c r="J293" s="94">
        <f t="shared" si="171"/>
        <v>3.5139999999999993</v>
      </c>
      <c r="K293" s="94">
        <f t="shared" si="171"/>
        <v>3.012</v>
      </c>
      <c r="L293" s="95">
        <f t="shared" ca="1" si="171"/>
        <v>3.7679999999999998</v>
      </c>
      <c r="M293" s="95">
        <f t="shared" ca="1" si="171"/>
        <v>3.0430000000000001</v>
      </c>
      <c r="N293" s="95">
        <f t="shared" ca="1" si="171"/>
        <v>3.2330000000000001</v>
      </c>
      <c r="O293" s="95">
        <f t="shared" ca="1" si="171"/>
        <v>3.2650000000000001</v>
      </c>
      <c r="P293" s="95">
        <f t="shared" ca="1" si="171"/>
        <v>3.294</v>
      </c>
      <c r="Q293" s="96">
        <f t="shared" ca="1" si="171"/>
        <v>3.3210000000000002</v>
      </c>
      <c r="R293" s="96">
        <f t="shared" ca="1" si="171"/>
        <v>3.3406043150767997</v>
      </c>
      <c r="S293" s="96">
        <f t="shared" ca="1" si="171"/>
        <v>3.3605251858178349</v>
      </c>
      <c r="T293" s="96">
        <f t="shared" ca="1" si="171"/>
        <v>3.3807538292308803</v>
      </c>
      <c r="U293" s="96">
        <f t="shared" ca="1" si="171"/>
        <v>3.4014401306736479</v>
      </c>
      <c r="V293" s="96">
        <f t="shared" ca="1" si="171"/>
        <v>3.4225735509597648</v>
      </c>
      <c r="W293" s="96">
        <f t="shared" ca="1" si="171"/>
        <v>3.443994064721581</v>
      </c>
      <c r="X293" s="96">
        <f t="shared" ca="1" si="171"/>
        <v>3.4657333412919193</v>
      </c>
      <c r="Y293" s="96">
        <f t="shared" ca="1" si="171"/>
        <v>3.4879253569724886</v>
      </c>
      <c r="Z293" s="96">
        <f t="shared" ca="1" si="171"/>
        <v>3.5105571438950047</v>
      </c>
    </row>
    <row r="294" spans="1:26" x14ac:dyDescent="0.25">
      <c r="A294" s="11" t="s">
        <v>1298</v>
      </c>
      <c r="B294" s="14" t="str">
        <f>$B$38</f>
        <v>From Fiscal Forecasts</v>
      </c>
      <c r="D294" s="51">
        <f>'Fiscal Forecasts'!D$46</f>
        <v>10.433</v>
      </c>
      <c r="E294" s="51">
        <f>'Fiscal Forecasts'!E$46</f>
        <v>11.246</v>
      </c>
      <c r="F294" s="51">
        <f>'Fiscal Forecasts'!F$46</f>
        <v>13.429</v>
      </c>
      <c r="G294" s="51">
        <f>'Fiscal Forecasts'!G$46</f>
        <v>16.672999999999998</v>
      </c>
      <c r="H294" s="51">
        <f>'Fiscal Forecasts'!H$46</f>
        <v>12.384</v>
      </c>
      <c r="I294" s="51">
        <f>'Fiscal Forecasts'!I$46</f>
        <v>16.007999999999999</v>
      </c>
      <c r="J294" s="51">
        <f>'Fiscal Forecasts'!J$46</f>
        <v>16.152999999999999</v>
      </c>
      <c r="K294" s="51">
        <f>'Fiscal Forecasts'!K$46</f>
        <v>12.811999999999999</v>
      </c>
      <c r="L294" s="47">
        <f ca="1">'Fiscal Forecasts'!L$46+IF(OFFSET(Assumptions!$B$57,0,$C$1)="Yes",Allocation!C$15,0)</f>
        <v>15.704000000000001</v>
      </c>
      <c r="M294" s="47">
        <f ca="1">'Fiscal Forecasts'!M$46+IF(OFFSET(Assumptions!$B$57,0,$C$1)="Yes",Allocation!D$15,0)</f>
        <v>14.314</v>
      </c>
      <c r="N294" s="47">
        <f ca="1">'Fiscal Forecasts'!N$46+IF(OFFSET(Assumptions!$B$57,0,$C$1)="Yes",Allocation!E$15,0)</f>
        <v>14.819000000000001</v>
      </c>
      <c r="O294" s="47">
        <f ca="1">'Fiscal Forecasts'!O$46+IF(OFFSET(Assumptions!$B$57,0,$C$1)="Yes",Allocation!F$15,0)</f>
        <v>15.06</v>
      </c>
      <c r="P294" s="47">
        <f ca="1">'Fiscal Forecasts'!P$46+IF(OFFSET(Assumptions!$B$57,0,$C$1)="Yes",Allocation!G$15,0)</f>
        <v>15.331</v>
      </c>
      <c r="Q294" s="21">
        <f t="shared" ref="Q294:Z294" ca="1" si="172">Q$293+(P$294-P$293)*(1+Q$19)*(1+Q$29)</f>
        <v>15.756501383750182</v>
      </c>
      <c r="R294" s="21">
        <f t="shared" ca="1" si="172"/>
        <v>16.180565255401348</v>
      </c>
      <c r="S294" s="21">
        <f t="shared" ca="1" si="172"/>
        <v>16.61373540690343</v>
      </c>
      <c r="T294" s="21">
        <f t="shared" ca="1" si="172"/>
        <v>17.052095959730426</v>
      </c>
      <c r="U294" s="21">
        <f t="shared" ca="1" si="172"/>
        <v>17.502942533426591</v>
      </c>
      <c r="V294" s="21">
        <f t="shared" ca="1" si="172"/>
        <v>17.962598258781647</v>
      </c>
      <c r="W294" s="21">
        <f t="shared" ca="1" si="172"/>
        <v>18.41985949608177</v>
      </c>
      <c r="X294" s="21">
        <f t="shared" ca="1" si="172"/>
        <v>18.886613828147752</v>
      </c>
      <c r="Y294" s="21">
        <f t="shared" ca="1" si="172"/>
        <v>19.367313358540336</v>
      </c>
      <c r="Z294" s="21">
        <f t="shared" ca="1" si="172"/>
        <v>19.858495687002389</v>
      </c>
    </row>
    <row r="296" spans="1:26" x14ac:dyDescent="0.25">
      <c r="A296" s="11" t="s">
        <v>1299</v>
      </c>
    </row>
    <row r="297" spans="1:26" x14ac:dyDescent="0.25">
      <c r="A297" s="11" t="s">
        <v>1300</v>
      </c>
      <c r="B297" s="14" t="str">
        <f>$B$38</f>
        <v>From Fiscal Forecasts</v>
      </c>
      <c r="C297" s="100" cm="1">
        <f t="array" aca="1" ref="C297" ca="1">SUMPRODUCT(OFFSET($P$297,0,0,1,-OFFSET(Assumptions!$B$60,0,$C$1))/OFFSET($P$13,0,0,1,-OFFSET(Assumptions!$B$60,0,$C$1)))/OFFSET(Assumptions!$B$60,0,$C$1)</f>
        <v>7.4547299267952536E-3</v>
      </c>
      <c r="D297" s="51">
        <f>'Fiscal Forecasts'!D$64</f>
        <v>2.395</v>
      </c>
      <c r="E297" s="51">
        <f>'Fiscal Forecasts'!E$64</f>
        <v>2.4990000000000001</v>
      </c>
      <c r="F297" s="51">
        <f>'Fiscal Forecasts'!F$64</f>
        <v>2.6640000000000001</v>
      </c>
      <c r="G297" s="51">
        <f>'Fiscal Forecasts'!G$64</f>
        <v>2.8319999999999999</v>
      </c>
      <c r="H297" s="51">
        <f>'Fiscal Forecasts'!H$64</f>
        <v>2.8860000000000001</v>
      </c>
      <c r="I297" s="51">
        <f>'Fiscal Forecasts'!I$64</f>
        <v>3.1629999999999998</v>
      </c>
      <c r="J297" s="51">
        <f>'Fiscal Forecasts'!J$64</f>
        <v>3.2709999999999999</v>
      </c>
      <c r="K297" s="51">
        <f>'Fiscal Forecasts'!K$64</f>
        <v>3.5249999999999999</v>
      </c>
      <c r="L297" s="47">
        <f ca="1">'Fiscal Forecasts'!L$64+IF(OFFSET(Assumptions!$B$57,0,$C$1)="Yes",Allocation!C$16,0)</f>
        <v>3.8780000000000001</v>
      </c>
      <c r="M297" s="47">
        <f ca="1">'Fiscal Forecasts'!M$64+IF(OFFSET(Assumptions!$B$57,0,$C$1)="Yes",Allocation!D$16,0)</f>
        <v>3.8580000000000001</v>
      </c>
      <c r="N297" s="47">
        <f ca="1">'Fiscal Forecasts'!N$64+IF(OFFSET(Assumptions!$B$57,0,$C$1)="Yes",Allocation!E$16,0)</f>
        <v>3.9</v>
      </c>
      <c r="O297" s="47">
        <f ca="1">'Fiscal Forecasts'!O$64+IF(OFFSET(Assumptions!$B$57,0,$C$1)="Yes",Allocation!F$16,0)</f>
        <v>3.9359999999999999</v>
      </c>
      <c r="P297" s="47">
        <f ca="1">'Fiscal Forecasts'!P$64+IF(OFFSET(Assumptions!$B$57,0,$C$1)="Yes",Allocation!G$16,0)</f>
        <v>3.948</v>
      </c>
      <c r="Q297" s="21">
        <f ca="1">P$297+IF(OFFSET(Assumptions!$B$58,0,$C$1)="Yes",Allocation!$B$16*Q$248,IF(OFFSET(Assumptions!$B$59,0,$C$1)="Yes",(P$297/P$13+MIN(ABS($C$297-P$297/P$13),OFFSET(Assumptions!$B$61,0,$C$1))*SIGN($C$297-P$297/P$13))*Q$13-P$297,0))</f>
        <v>3.948</v>
      </c>
      <c r="R297" s="21">
        <f ca="1">Q$297+IF(OFFSET(Assumptions!$B$58,0,$C$1)="Yes",Allocation!$B$16*R$248,IF(OFFSET(Assumptions!$B$59,0,$C$1)="Yes",(Q$297/Q$13+MIN(ABS($C$297-Q$297/Q$13),OFFSET(Assumptions!$B$61,0,$C$1))*SIGN($C$297-Q$297/Q$13))*R$13-Q$297,0))</f>
        <v>3.948</v>
      </c>
      <c r="S297" s="21">
        <f ca="1">R$297+IF(OFFSET(Assumptions!$B$58,0,$C$1)="Yes",Allocation!$B$16*S$248,IF(OFFSET(Assumptions!$B$59,0,$C$1)="Yes",(R$297/R$13+MIN(ABS($C$297-R$297/R$13),OFFSET(Assumptions!$B$61,0,$C$1))*SIGN($C$297-R$297/R$13))*S$13-R$297,0))</f>
        <v>3.948</v>
      </c>
      <c r="T297" s="21">
        <f ca="1">S$297+IF(OFFSET(Assumptions!$B$58,0,$C$1)="Yes",Allocation!$B$16*T$248,IF(OFFSET(Assumptions!$B$59,0,$C$1)="Yes",(S$297/S$13+MIN(ABS($C$297-S$297/S$13),OFFSET(Assumptions!$B$61,0,$C$1))*SIGN($C$297-S$297/S$13))*T$13-S$297,0))</f>
        <v>3.948</v>
      </c>
      <c r="U297" s="21">
        <f ca="1">T$297+IF(OFFSET(Assumptions!$B$58,0,$C$1)="Yes",Allocation!$B$16*U$248,IF(OFFSET(Assumptions!$B$59,0,$C$1)="Yes",(T$297/T$13+MIN(ABS($C$297-T$297/T$13),OFFSET(Assumptions!$B$61,0,$C$1))*SIGN($C$297-T$297/T$13))*U$13-T$297,0))</f>
        <v>3.948</v>
      </c>
      <c r="V297" s="21">
        <f ca="1">U$297+IF(OFFSET(Assumptions!$B$58,0,$C$1)="Yes",Allocation!$B$16*V$248,IF(OFFSET(Assumptions!$B$59,0,$C$1)="Yes",(U$297/U$13+MIN(ABS($C$297-U$297/U$13),OFFSET(Assumptions!$B$61,0,$C$1))*SIGN($C$297-U$297/U$13))*V$13-U$297,0))</f>
        <v>3.948</v>
      </c>
      <c r="W297" s="21">
        <f ca="1">V$297+IF(OFFSET(Assumptions!$B$58,0,$C$1)="Yes",Allocation!$B$16*W$248,IF(OFFSET(Assumptions!$B$59,0,$C$1)="Yes",(V$297/V$13+MIN(ABS($C$297-V$297/V$13),OFFSET(Assumptions!$B$61,0,$C$1))*SIGN($C$297-V$297/V$13))*W$13-V$297,0))</f>
        <v>3.948</v>
      </c>
      <c r="X297" s="21">
        <f ca="1">W$297+IF(OFFSET(Assumptions!$B$58,0,$C$1)="Yes",Allocation!$B$16*X$248,IF(OFFSET(Assumptions!$B$59,0,$C$1)="Yes",(W$297/W$13+MIN(ABS($C$297-W$297/W$13),OFFSET(Assumptions!$B$61,0,$C$1))*SIGN($C$297-W$297/W$13))*X$13-W$297,0))</f>
        <v>3.948</v>
      </c>
      <c r="Y297" s="21">
        <f ca="1">X$297+IF(OFFSET(Assumptions!$B$58,0,$C$1)="Yes",Allocation!$B$16*Y$248,IF(OFFSET(Assumptions!$B$59,0,$C$1)="Yes",(X$297/X$13+MIN(ABS($C$297-X$297/X$13),OFFSET(Assumptions!$B$61,0,$C$1))*SIGN($C$297-X$297/X$13))*Y$13-X$297,0))</f>
        <v>3.948</v>
      </c>
      <c r="Z297" s="21">
        <f ca="1">Y$297+IF(OFFSET(Assumptions!$B$58,0,$C$1)="Yes",Allocation!$B$16*Z$248,IF(OFFSET(Assumptions!$B$59,0,$C$1)="Yes",(Y$297/Y$13+MIN(ABS($C$297-Y$297/Y$13),OFFSET(Assumptions!$B$61,0,$C$1))*SIGN($C$297-Y$297/Y$13))*Z$13-Y$297,0))</f>
        <v>3.948</v>
      </c>
    </row>
    <row r="298" spans="1:26" x14ac:dyDescent="0.25">
      <c r="A298" s="11" t="s">
        <v>1301</v>
      </c>
      <c r="B298" s="14" t="str">
        <f>$B$38</f>
        <v>From Fiscal Forecasts</v>
      </c>
      <c r="D298" s="51">
        <f>'Fiscal Forecasts'!D$47</f>
        <v>2.39</v>
      </c>
      <c r="E298" s="51">
        <f>'Fiscal Forecasts'!E$47</f>
        <v>2.4820000000000002</v>
      </c>
      <c r="F298" s="51">
        <f>'Fiscal Forecasts'!F$47</f>
        <v>2.6480000000000001</v>
      </c>
      <c r="G298" s="51">
        <f>'Fiscal Forecasts'!G$47</f>
        <v>2.8029999999999999</v>
      </c>
      <c r="H298" s="51">
        <f>'Fiscal Forecasts'!H$47</f>
        <v>2.8380000000000001</v>
      </c>
      <c r="I298" s="51">
        <f>'Fiscal Forecasts'!I$47</f>
        <v>3.125</v>
      </c>
      <c r="J298" s="51">
        <f>'Fiscal Forecasts'!J$47</f>
        <v>3.226</v>
      </c>
      <c r="K298" s="51">
        <f>'Fiscal Forecasts'!K$47</f>
        <v>3.484</v>
      </c>
      <c r="L298" s="47">
        <f ca="1">'Fiscal Forecasts'!L$47+IF(OFFSET(Assumptions!$B$57,0,$C$1)="Yes",Allocation!C$16,0)</f>
        <v>3.835</v>
      </c>
      <c r="M298" s="47">
        <f ca="1">'Fiscal Forecasts'!M$47+IF(OFFSET(Assumptions!$B$57,0,$C$1)="Yes",Allocation!D$16,0)</f>
        <v>3.8140000000000001</v>
      </c>
      <c r="N298" s="47">
        <f ca="1">'Fiscal Forecasts'!N$47+IF(OFFSET(Assumptions!$B$57,0,$C$1)="Yes",Allocation!E$16,0)</f>
        <v>3.8559999999999999</v>
      </c>
      <c r="O298" s="47">
        <f ca="1">'Fiscal Forecasts'!O$47+IF(OFFSET(Assumptions!$B$57,0,$C$1)="Yes",Allocation!F$16,0)</f>
        <v>3.8919999999999999</v>
      </c>
      <c r="P298" s="47">
        <f ca="1">'Fiscal Forecasts'!P$47+IF(OFFSET(Assumptions!$B$57,0,$C$1)="Yes",Allocation!G$16,0)</f>
        <v>3.9039999999999999</v>
      </c>
      <c r="Q298" s="21">
        <f t="shared" ref="Q298:Z298" ca="1" si="173">Q$297</f>
        <v>3.948</v>
      </c>
      <c r="R298" s="21">
        <f t="shared" ca="1" si="173"/>
        <v>3.948</v>
      </c>
      <c r="S298" s="21">
        <f t="shared" ca="1" si="173"/>
        <v>3.948</v>
      </c>
      <c r="T298" s="21">
        <f t="shared" ca="1" si="173"/>
        <v>3.948</v>
      </c>
      <c r="U298" s="21">
        <f t="shared" ca="1" si="173"/>
        <v>3.948</v>
      </c>
      <c r="V298" s="21">
        <f t="shared" ca="1" si="173"/>
        <v>3.948</v>
      </c>
      <c r="W298" s="21">
        <f t="shared" ca="1" si="173"/>
        <v>3.948</v>
      </c>
      <c r="X298" s="21">
        <f t="shared" ca="1" si="173"/>
        <v>3.948</v>
      </c>
      <c r="Y298" s="21">
        <f t="shared" ca="1" si="173"/>
        <v>3.948</v>
      </c>
      <c r="Z298" s="21">
        <f t="shared" ca="1" si="173"/>
        <v>3.948</v>
      </c>
    </row>
    <row r="300" spans="1:26" x14ac:dyDescent="0.25">
      <c r="A300" s="11" t="s">
        <v>1302</v>
      </c>
    </row>
    <row r="301" spans="1:26" x14ac:dyDescent="0.25">
      <c r="A301" s="11" t="s">
        <v>1303</v>
      </c>
      <c r="B301" s="14" t="str">
        <f>$B$38</f>
        <v>From Fiscal Forecasts</v>
      </c>
      <c r="C301" s="100" cm="1">
        <f t="array" aca="1" ref="C301" ca="1">SUMPRODUCT(OFFSET($P$301,0,0,1,-OFFSET(Assumptions!$B$60,0,$C$1))/OFFSET($P$13,0,0,1,-OFFSET(Assumptions!$B$60,0,$C$1)))/OFFSET(Assumptions!$B$60,0,$C$1)</f>
        <v>3.1109948324532836E-3</v>
      </c>
      <c r="D301" s="51">
        <f>'Fiscal Forecasts'!D$65</f>
        <v>0.91800000000000004</v>
      </c>
      <c r="E301" s="51">
        <f>'Fiscal Forecasts'!E$65</f>
        <v>1.1060000000000001</v>
      </c>
      <c r="F301" s="51">
        <f>'Fiscal Forecasts'!F$65</f>
        <v>1.42</v>
      </c>
      <c r="G301" s="51">
        <f>'Fiscal Forecasts'!G$65</f>
        <v>1.468</v>
      </c>
      <c r="H301" s="51">
        <f>'Fiscal Forecasts'!H$65</f>
        <v>1.5369999999999999</v>
      </c>
      <c r="I301" s="51">
        <f>'Fiscal Forecasts'!I$65</f>
        <v>1.504</v>
      </c>
      <c r="J301" s="51">
        <f>'Fiscal Forecasts'!J$65</f>
        <v>1.4570000000000001</v>
      </c>
      <c r="K301" s="51">
        <f>'Fiscal Forecasts'!K$65</f>
        <v>1.4390000000000001</v>
      </c>
      <c r="L301" s="47">
        <f ca="1">'Fiscal Forecasts'!L$65+IF(OFFSET(Assumptions!$B$57,0,$C$1)="Yes",Allocation!C$17,0)</f>
        <v>1.4419999999999999</v>
      </c>
      <c r="M301" s="47">
        <f ca="1">'Fiscal Forecasts'!M$65+IF(OFFSET(Assumptions!$B$57,0,$C$1)="Yes",Allocation!D$17,0)</f>
        <v>1.4119999999999999</v>
      </c>
      <c r="N301" s="47">
        <f ca="1">'Fiscal Forecasts'!N$65+IF(OFFSET(Assumptions!$B$57,0,$C$1)="Yes",Allocation!E$17,0)</f>
        <v>1.3959999999999999</v>
      </c>
      <c r="O301" s="47">
        <f ca="1">'Fiscal Forecasts'!O$65+IF(OFFSET(Assumptions!$B$57,0,$C$1)="Yes",Allocation!F$17,0)</f>
        <v>1.365</v>
      </c>
      <c r="P301" s="47">
        <f ca="1">'Fiscal Forecasts'!P$65+IF(OFFSET(Assumptions!$B$57,0,$C$1)="Yes",Allocation!G$17,0)</f>
        <v>1.357</v>
      </c>
      <c r="Q301" s="21">
        <f ca="1">P$301+IF(OFFSET(Assumptions!$B$58,0,$C$1)="Yes",Allocation!$B$17*Q$248,IF(OFFSET(Assumptions!$B$59,0,$C$1)="Yes",(P$301/P$13+MIN(ABS($C$301-P$301/P$13),OFFSET(Assumptions!$B$61,0,$C$1))*SIGN($C$301-P$301/P$13))*Q$13-P$301,0))</f>
        <v>1.357</v>
      </c>
      <c r="R301" s="21">
        <f ca="1">Q$301+IF(OFFSET(Assumptions!$B$58,0,$C$1)="Yes",Allocation!$B$17*R$248,IF(OFFSET(Assumptions!$B$59,0,$C$1)="Yes",(Q$301/Q$13+MIN(ABS($C$301-Q$301/Q$13),OFFSET(Assumptions!$B$61,0,$C$1))*SIGN($C$301-Q$301/Q$13))*R$13-Q$301,0))</f>
        <v>1.357</v>
      </c>
      <c r="S301" s="21">
        <f ca="1">R$301+IF(OFFSET(Assumptions!$B$58,0,$C$1)="Yes",Allocation!$B$17*S$248,IF(OFFSET(Assumptions!$B$59,0,$C$1)="Yes",(R$301/R$13+MIN(ABS($C$301-R$301/R$13),OFFSET(Assumptions!$B$61,0,$C$1))*SIGN($C$301-R$301/R$13))*S$13-R$301,0))</f>
        <v>1.357</v>
      </c>
      <c r="T301" s="21">
        <f ca="1">S$301+IF(OFFSET(Assumptions!$B$58,0,$C$1)="Yes",Allocation!$B$17*T$248,IF(OFFSET(Assumptions!$B$59,0,$C$1)="Yes",(S$301/S$13+MIN(ABS($C$301-S$301/S$13),OFFSET(Assumptions!$B$61,0,$C$1))*SIGN($C$301-S$301/S$13))*T$13-S$301,0))</f>
        <v>1.357</v>
      </c>
      <c r="U301" s="21">
        <f ca="1">T$301+IF(OFFSET(Assumptions!$B$58,0,$C$1)="Yes",Allocation!$B$17*U$248,IF(OFFSET(Assumptions!$B$59,0,$C$1)="Yes",(T$301/T$13+MIN(ABS($C$301-T$301/T$13),OFFSET(Assumptions!$B$61,0,$C$1))*SIGN($C$301-T$301/T$13))*U$13-T$301,0))</f>
        <v>1.357</v>
      </c>
      <c r="V301" s="21">
        <f ca="1">U$301+IF(OFFSET(Assumptions!$B$58,0,$C$1)="Yes",Allocation!$B$17*V$248,IF(OFFSET(Assumptions!$B$59,0,$C$1)="Yes",(U$301/U$13+MIN(ABS($C$301-U$301/U$13),OFFSET(Assumptions!$B$61,0,$C$1))*SIGN($C$301-U$301/U$13))*V$13-U$301,0))</f>
        <v>1.357</v>
      </c>
      <c r="W301" s="21">
        <f ca="1">V$301+IF(OFFSET(Assumptions!$B$58,0,$C$1)="Yes",Allocation!$B$17*W$248,IF(OFFSET(Assumptions!$B$59,0,$C$1)="Yes",(V$301/V$13+MIN(ABS($C$301-V$301/V$13),OFFSET(Assumptions!$B$61,0,$C$1))*SIGN($C$301-V$301/V$13))*W$13-V$301,0))</f>
        <v>1.357</v>
      </c>
      <c r="X301" s="21">
        <f ca="1">W$301+IF(OFFSET(Assumptions!$B$58,0,$C$1)="Yes",Allocation!$B$17*X$248,IF(OFFSET(Assumptions!$B$59,0,$C$1)="Yes",(W$301/W$13+MIN(ABS($C$301-W$301/W$13),OFFSET(Assumptions!$B$61,0,$C$1))*SIGN($C$301-W$301/W$13))*X$13-W$301,0))</f>
        <v>1.357</v>
      </c>
      <c r="Y301" s="21">
        <f ca="1">X$301+IF(OFFSET(Assumptions!$B$58,0,$C$1)="Yes",Allocation!$B$17*Y$248,IF(OFFSET(Assumptions!$B$59,0,$C$1)="Yes",(X$301/X$13+MIN(ABS($C$301-X$301/X$13),OFFSET(Assumptions!$B$61,0,$C$1))*SIGN($C$301-X$301/X$13))*Y$13-X$301,0))</f>
        <v>1.357</v>
      </c>
      <c r="Z301" s="21">
        <f ca="1">Y$301+IF(OFFSET(Assumptions!$B$58,0,$C$1)="Yes",Allocation!$B$17*Z$248,IF(OFFSET(Assumptions!$B$59,0,$C$1)="Yes",(Y$301/Y$13+MIN(ABS($C$301-Y$301/Y$13),OFFSET(Assumptions!$B$61,0,$C$1))*SIGN($C$301-Y$301/Y$13))*Z$13-Y$301,0))</f>
        <v>1.357</v>
      </c>
    </row>
    <row r="302" spans="1:26" x14ac:dyDescent="0.25">
      <c r="A302" s="11" t="s">
        <v>1304</v>
      </c>
      <c r="B302" s="14" t="str">
        <f>$B$38</f>
        <v>From Fiscal Forecasts</v>
      </c>
      <c r="D302" s="51">
        <f>'Fiscal Forecasts'!D$48</f>
        <v>2.5030000000000001</v>
      </c>
      <c r="E302" s="51">
        <f>'Fiscal Forecasts'!E$48</f>
        <v>2.9039999999999999</v>
      </c>
      <c r="F302" s="51">
        <f>'Fiscal Forecasts'!F$48</f>
        <v>3.0230000000000001</v>
      </c>
      <c r="G302" s="51">
        <f>'Fiscal Forecasts'!G$48</f>
        <v>3.26</v>
      </c>
      <c r="H302" s="51">
        <f>'Fiscal Forecasts'!H$48</f>
        <v>3.4169999999999998</v>
      </c>
      <c r="I302" s="51">
        <f>'Fiscal Forecasts'!I$48</f>
        <v>3.6080000000000001</v>
      </c>
      <c r="J302" s="51">
        <f>'Fiscal Forecasts'!J$48</f>
        <v>3.3809999999999998</v>
      </c>
      <c r="K302" s="51">
        <f>'Fiscal Forecasts'!K$48</f>
        <v>3.5270000000000001</v>
      </c>
      <c r="L302" s="47">
        <f ca="1">'Fiscal Forecasts'!L$48+IF(OFFSET(Assumptions!$B$57,0,$C$1)="Yes",Allocation!C$17,0)</f>
        <v>3.528</v>
      </c>
      <c r="M302" s="47">
        <f ca="1">'Fiscal Forecasts'!M$48+IF(OFFSET(Assumptions!$B$57,0,$C$1)="Yes",Allocation!D$17,0)</f>
        <v>3.4950000000000001</v>
      </c>
      <c r="N302" s="47">
        <f ca="1">'Fiscal Forecasts'!N$48+IF(OFFSET(Assumptions!$B$57,0,$C$1)="Yes",Allocation!E$17,0)</f>
        <v>3.5459999999999998</v>
      </c>
      <c r="O302" s="47">
        <f ca="1">'Fiscal Forecasts'!O$48+IF(OFFSET(Assumptions!$B$57,0,$C$1)="Yes",Allocation!F$17,0)</f>
        <v>3.5680000000000001</v>
      </c>
      <c r="P302" s="47">
        <f ca="1">'Fiscal Forecasts'!P$48+IF(OFFSET(Assumptions!$B$57,0,$C$1)="Yes",Allocation!G$17,0)</f>
        <v>3.5990000000000002</v>
      </c>
      <c r="Q302" s="21">
        <f t="shared" ref="Q302:Z302" ca="1" si="174">Q$301+(P$302-P$301)*(1+Q$29)</f>
        <v>3.64384</v>
      </c>
      <c r="R302" s="21">
        <f t="shared" ca="1" si="174"/>
        <v>3.6895768000000002</v>
      </c>
      <c r="S302" s="21">
        <f t="shared" ca="1" si="174"/>
        <v>3.7362283359999999</v>
      </c>
      <c r="T302" s="21">
        <f t="shared" ca="1" si="174"/>
        <v>3.7838129027199994</v>
      </c>
      <c r="U302" s="21">
        <f t="shared" ca="1" si="174"/>
        <v>3.8323491607743989</v>
      </c>
      <c r="V302" s="21">
        <f t="shared" ca="1" si="174"/>
        <v>3.8818561439898867</v>
      </c>
      <c r="W302" s="21">
        <f t="shared" ca="1" si="174"/>
        <v>3.9323532668696846</v>
      </c>
      <c r="X302" s="21">
        <f t="shared" ca="1" si="174"/>
        <v>3.9838603322070778</v>
      </c>
      <c r="Y302" s="21">
        <f t="shared" ca="1" si="174"/>
        <v>4.0363975388512188</v>
      </c>
      <c r="Z302" s="21">
        <f t="shared" ca="1" si="174"/>
        <v>4.0899854896282433</v>
      </c>
    </row>
    <row r="304" spans="1:26" x14ac:dyDescent="0.25">
      <c r="A304" s="11" t="s">
        <v>1305</v>
      </c>
    </row>
    <row r="305" spans="1:26" x14ac:dyDescent="0.25">
      <c r="A305" s="11" t="s">
        <v>1306</v>
      </c>
      <c r="B305" s="14" t="str">
        <f>$B$38</f>
        <v>From Fiscal Forecasts</v>
      </c>
      <c r="C305" s="100" cm="1">
        <f t="array" aca="1" ref="C305" ca="1">SUMPRODUCT(OFFSET($P$305,0,0,1,-OFFSET(Assumptions!$B$60,0,$C$1))/OFFSET($P$13,0,0,1,-OFFSET(Assumptions!$B$60,0,$C$1)))/OFFSET(Assumptions!$B$60,0,$C$1)</f>
        <v>2.3716813443995723E-3</v>
      </c>
      <c r="D305" s="51">
        <f>'Fiscal Forecasts'!D$66</f>
        <v>0.96</v>
      </c>
      <c r="E305" s="51">
        <f>'Fiscal Forecasts'!E$66</f>
        <v>0.96099999999999997</v>
      </c>
      <c r="F305" s="51">
        <f>'Fiscal Forecasts'!F$66</f>
        <v>1.0149999999999999</v>
      </c>
      <c r="G305" s="51">
        <f>'Fiscal Forecasts'!G$66</f>
        <v>0.94899999999999995</v>
      </c>
      <c r="H305" s="51">
        <f>'Fiscal Forecasts'!H$66</f>
        <v>1.1559999999999999</v>
      </c>
      <c r="I305" s="51">
        <f>'Fiscal Forecasts'!I$66</f>
        <v>1.0620000000000001</v>
      </c>
      <c r="J305" s="51">
        <f>'Fiscal Forecasts'!J$66</f>
        <v>0.996</v>
      </c>
      <c r="K305" s="51">
        <f>'Fiscal Forecasts'!K$66</f>
        <v>1.03</v>
      </c>
      <c r="L305" s="47">
        <f ca="1">'Fiscal Forecasts'!L$66+IF(OFFSET(Assumptions!$B$57,0,$C$1)="Yes",Allocation!C$18,0)</f>
        <v>1.351</v>
      </c>
      <c r="M305" s="47">
        <f ca="1">'Fiscal Forecasts'!M$66+IF(OFFSET(Assumptions!$B$57,0,$C$1)="Yes",Allocation!D$18,0)</f>
        <v>1.1359999999999999</v>
      </c>
      <c r="N305" s="47">
        <f ca="1">'Fiscal Forecasts'!N$66+IF(OFFSET(Assumptions!$B$57,0,$C$1)="Yes",Allocation!E$18,0)</f>
        <v>1.1259999999999999</v>
      </c>
      <c r="O305" s="47">
        <f ca="1">'Fiscal Forecasts'!O$66+IF(OFFSET(Assumptions!$B$57,0,$C$1)="Yes",Allocation!F$18,0)</f>
        <v>1.18</v>
      </c>
      <c r="P305" s="47">
        <f ca="1">'Fiscal Forecasts'!P$66+IF(OFFSET(Assumptions!$B$57,0,$C$1)="Yes",Allocation!G$18,0)</f>
        <v>1.0980000000000001</v>
      </c>
      <c r="Q305" s="21">
        <f ca="1">P$305+IF(OFFSET(Assumptions!$B$58,0,$C$1)="Yes",Allocation!$B$18*Q$248,IF(OFFSET(Assumptions!$B$59,0,$C$1)="Yes",(P$305/P$13+MIN(ABS($C$305-P$305/P$13),OFFSET(Assumptions!$B$61,0,$C$1))*SIGN($C$305-P$305/P$13))*Q$13-P$305,0))</f>
        <v>1.0980000000000001</v>
      </c>
      <c r="R305" s="21">
        <f ca="1">Q$305+IF(OFFSET(Assumptions!$B$58,0,$C$1)="Yes",Allocation!$B$18*R$248,IF(OFFSET(Assumptions!$B$59,0,$C$1)="Yes",(Q$305/Q$13+MIN(ABS($C$305-Q$305/Q$13),OFFSET(Assumptions!$B$61,0,$C$1))*SIGN($C$305-Q$305/Q$13))*R$13-Q$305,0))</f>
        <v>1.0980000000000001</v>
      </c>
      <c r="S305" s="21">
        <f ca="1">R$305+IF(OFFSET(Assumptions!$B$58,0,$C$1)="Yes",Allocation!$B$18*S$248,IF(OFFSET(Assumptions!$B$59,0,$C$1)="Yes",(R$305/R$13+MIN(ABS($C$305-R$305/R$13),OFFSET(Assumptions!$B$61,0,$C$1))*SIGN($C$305-R$305/R$13))*S$13-R$305,0))</f>
        <v>1.0980000000000001</v>
      </c>
      <c r="T305" s="21">
        <f ca="1">S$305+IF(OFFSET(Assumptions!$B$58,0,$C$1)="Yes",Allocation!$B$18*T$248,IF(OFFSET(Assumptions!$B$59,0,$C$1)="Yes",(S$305/S$13+MIN(ABS($C$305-S$305/S$13),OFFSET(Assumptions!$B$61,0,$C$1))*SIGN($C$305-S$305/S$13))*T$13-S$305,0))</f>
        <v>1.0980000000000001</v>
      </c>
      <c r="U305" s="21">
        <f ca="1">T$305+IF(OFFSET(Assumptions!$B$58,0,$C$1)="Yes",Allocation!$B$18*U$248,IF(OFFSET(Assumptions!$B$59,0,$C$1)="Yes",(T$305/T$13+MIN(ABS($C$305-T$305/T$13),OFFSET(Assumptions!$B$61,0,$C$1))*SIGN($C$305-T$305/T$13))*U$13-T$305,0))</f>
        <v>1.0980000000000001</v>
      </c>
      <c r="V305" s="21">
        <f ca="1">U$305+IF(OFFSET(Assumptions!$B$58,0,$C$1)="Yes",Allocation!$B$18*V$248,IF(OFFSET(Assumptions!$B$59,0,$C$1)="Yes",(U$305/U$13+MIN(ABS($C$305-U$305/U$13),OFFSET(Assumptions!$B$61,0,$C$1))*SIGN($C$305-U$305/U$13))*V$13-U$305,0))</f>
        <v>1.0980000000000001</v>
      </c>
      <c r="W305" s="21">
        <f ca="1">V$305+IF(OFFSET(Assumptions!$B$58,0,$C$1)="Yes",Allocation!$B$18*W$248,IF(OFFSET(Assumptions!$B$59,0,$C$1)="Yes",(V$305/V$13+MIN(ABS($C$305-V$305/V$13),OFFSET(Assumptions!$B$61,0,$C$1))*SIGN($C$305-V$305/V$13))*W$13-V$305,0))</f>
        <v>1.0980000000000001</v>
      </c>
      <c r="X305" s="21">
        <f ca="1">W$305+IF(OFFSET(Assumptions!$B$58,0,$C$1)="Yes",Allocation!$B$18*X$248,IF(OFFSET(Assumptions!$B$59,0,$C$1)="Yes",(W$305/W$13+MIN(ABS($C$305-W$305/W$13),OFFSET(Assumptions!$B$61,0,$C$1))*SIGN($C$305-W$305/W$13))*X$13-W$305,0))</f>
        <v>1.0980000000000001</v>
      </c>
      <c r="Y305" s="21">
        <f ca="1">X$305+IF(OFFSET(Assumptions!$B$58,0,$C$1)="Yes",Allocation!$B$18*Y$248,IF(OFFSET(Assumptions!$B$59,0,$C$1)="Yes",(X$305/X$13+MIN(ABS($C$305-X$305/X$13),OFFSET(Assumptions!$B$61,0,$C$1))*SIGN($C$305-X$305/X$13))*Y$13-X$305,0))</f>
        <v>1.0980000000000001</v>
      </c>
      <c r="Z305" s="21">
        <f ca="1">Y$305+IF(OFFSET(Assumptions!$B$58,0,$C$1)="Yes",Allocation!$B$18*Z$248,IF(OFFSET(Assumptions!$B$59,0,$C$1)="Yes",(Y$305/Y$13+MIN(ABS($C$305-Y$305/Y$13),OFFSET(Assumptions!$B$61,0,$C$1))*SIGN($C$305-Y$305/Y$13))*Z$13-Y$305,0))</f>
        <v>1.0980000000000001</v>
      </c>
    </row>
    <row r="306" spans="1:26" x14ac:dyDescent="0.25">
      <c r="A306" s="11" t="s">
        <v>1307</v>
      </c>
      <c r="B306" s="14" t="str">
        <f>$B$38</f>
        <v>From Fiscal Forecasts</v>
      </c>
      <c r="D306" s="51">
        <f>'Fiscal Forecasts'!D$49</f>
        <v>2.395</v>
      </c>
      <c r="E306" s="51">
        <f>'Fiscal Forecasts'!E$49</f>
        <v>2.4300000000000002</v>
      </c>
      <c r="F306" s="51">
        <f>'Fiscal Forecasts'!F$49</f>
        <v>2.3980000000000001</v>
      </c>
      <c r="G306" s="51">
        <f>'Fiscal Forecasts'!G$49</f>
        <v>2.302</v>
      </c>
      <c r="H306" s="51">
        <f>'Fiscal Forecasts'!H$49</f>
        <v>2.74</v>
      </c>
      <c r="I306" s="51">
        <f>'Fiscal Forecasts'!I$49</f>
        <v>2.6360000000000001</v>
      </c>
      <c r="J306" s="51">
        <f>'Fiscal Forecasts'!J$49</f>
        <v>2.5249999999999999</v>
      </c>
      <c r="K306" s="51">
        <f>'Fiscal Forecasts'!K$49</f>
        <v>2.4449999999999998</v>
      </c>
      <c r="L306" s="47">
        <f ca="1">'Fiscal Forecasts'!L$49+IF(OFFSET(Assumptions!$B$57,0,$C$1)="Yes",Allocation!C$18,0)</f>
        <v>2.7530000000000001</v>
      </c>
      <c r="M306" s="47">
        <f ca="1">'Fiscal Forecasts'!M$49+IF(OFFSET(Assumptions!$B$57,0,$C$1)="Yes",Allocation!D$18,0)</f>
        <v>2.3940000000000001</v>
      </c>
      <c r="N306" s="47">
        <f ca="1">'Fiscal Forecasts'!N$49+IF(OFFSET(Assumptions!$B$57,0,$C$1)="Yes",Allocation!E$18,0)</f>
        <v>2.2040000000000002</v>
      </c>
      <c r="O306" s="47">
        <f ca="1">'Fiscal Forecasts'!O$49+IF(OFFSET(Assumptions!$B$57,0,$C$1)="Yes",Allocation!F$18,0)</f>
        <v>2.2759999999999998</v>
      </c>
      <c r="P306" s="47">
        <f ca="1">'Fiscal Forecasts'!P$49+IF(OFFSET(Assumptions!$B$57,0,$C$1)="Yes",Allocation!G$18,0)</f>
        <v>2.2250000000000001</v>
      </c>
      <c r="Q306" s="21">
        <f t="shared" ref="Q306:Z306" ca="1" si="175">Q$305+(P$306-P$305)*(1+Q$29)</f>
        <v>2.2475399999999999</v>
      </c>
      <c r="R306" s="21">
        <f t="shared" ca="1" si="175"/>
        <v>2.2705308</v>
      </c>
      <c r="S306" s="21">
        <f t="shared" ca="1" si="175"/>
        <v>2.2939814160000003</v>
      </c>
      <c r="T306" s="21">
        <f t="shared" ca="1" si="175"/>
        <v>2.3179010443200001</v>
      </c>
      <c r="U306" s="21">
        <f t="shared" ca="1" si="175"/>
        <v>2.3422990652064</v>
      </c>
      <c r="V306" s="21">
        <f t="shared" ca="1" si="175"/>
        <v>2.367185046510528</v>
      </c>
      <c r="W306" s="21">
        <f t="shared" ca="1" si="175"/>
        <v>2.3925687474407384</v>
      </c>
      <c r="X306" s="21">
        <f t="shared" ca="1" si="175"/>
        <v>2.4184601223895532</v>
      </c>
      <c r="Y306" s="21">
        <f t="shared" ca="1" si="175"/>
        <v>2.4448693248373443</v>
      </c>
      <c r="Z306" s="21">
        <f t="shared" ca="1" si="175"/>
        <v>2.4718067113340911</v>
      </c>
    </row>
    <row r="308" spans="1:26" x14ac:dyDescent="0.25">
      <c r="A308" s="11" t="s">
        <v>1308</v>
      </c>
    </row>
    <row r="309" spans="1:26" x14ac:dyDescent="0.25">
      <c r="A309" s="11" t="s">
        <v>1309</v>
      </c>
      <c r="B309" s="14" t="str">
        <f>$B$38</f>
        <v>From Fiscal Forecasts</v>
      </c>
      <c r="C309" s="100" cm="1">
        <f t="array" aca="1" ref="C309" ca="1">SUMPRODUCT(OFFSET($P$309,0,0,1,-OFFSET(Assumptions!$B$60,0,$C$1))/OFFSET($P$13,0,0,1,-OFFSET(Assumptions!$B$60,0,$C$1)))/OFFSET(Assumptions!$B$60,0,$C$1)</f>
        <v>4.4750855307662731E-3</v>
      </c>
      <c r="D309" s="51">
        <f>'Fiscal Forecasts'!D$67</f>
        <v>0.72699999999999998</v>
      </c>
      <c r="E309" s="51">
        <f>'Fiscal Forecasts'!E$67</f>
        <v>1.0149999999999999</v>
      </c>
      <c r="F309" s="51">
        <f>'Fiscal Forecasts'!F$67</f>
        <v>1.8129999999999999</v>
      </c>
      <c r="G309" s="51">
        <f>'Fiscal Forecasts'!G$67</f>
        <v>2.0329999999999999</v>
      </c>
      <c r="H309" s="51">
        <f>'Fiscal Forecasts'!H$67</f>
        <v>2.3119999999999998</v>
      </c>
      <c r="I309" s="51">
        <f>'Fiscal Forecasts'!I$67</f>
        <v>2.512</v>
      </c>
      <c r="J309" s="51">
        <f>'Fiscal Forecasts'!J$67</f>
        <v>2.15</v>
      </c>
      <c r="K309" s="51">
        <f>'Fiscal Forecasts'!K$67</f>
        <v>1.958</v>
      </c>
      <c r="L309" s="47">
        <f ca="1">'Fiscal Forecasts'!L$67+IF(OFFSET(Assumptions!$B$57,0,$C$1)="Yes",Allocation!C$19,0)</f>
        <v>2.2890000000000001</v>
      </c>
      <c r="M309" s="47">
        <f ca="1">'Fiscal Forecasts'!M$67+IF(OFFSET(Assumptions!$B$57,0,$C$1)="Yes",Allocation!D$19,0)</f>
        <v>1.9079999999999999</v>
      </c>
      <c r="N309" s="47">
        <f ca="1">'Fiscal Forecasts'!N$67+IF(OFFSET(Assumptions!$B$57,0,$C$1)="Yes",Allocation!E$19,0)</f>
        <v>1.8520000000000001</v>
      </c>
      <c r="O309" s="47">
        <f ca="1">'Fiscal Forecasts'!O$67+IF(OFFSET(Assumptions!$B$57,0,$C$1)="Yes",Allocation!F$19,0)</f>
        <v>1.7490000000000001</v>
      </c>
      <c r="P309" s="47">
        <f ca="1">'Fiscal Forecasts'!P$67+IF(OFFSET(Assumptions!$B$57,0,$C$1)="Yes",Allocation!G$19,0)</f>
        <v>1.7949999999999999</v>
      </c>
      <c r="Q309" s="21">
        <f ca="1">P$309+IF(OFFSET(Assumptions!$B$58,0,$C$1)="Yes",Allocation!$B$19*Q$248,IF(OFFSET(Assumptions!$B$59,0,$C$1)="Yes",(P$309/P$13+MIN(ABS($C$309-P$309/P$13),OFFSET(Assumptions!$B$61,0,$C$1))*SIGN($C$309-P$309/P$13))*Q$13-P$309,0))</f>
        <v>1.7949999999999999</v>
      </c>
      <c r="R309" s="21">
        <f ca="1">Q$309+IF(OFFSET(Assumptions!$B$58,0,$C$1)="Yes",Allocation!$B$19*R$248,IF(OFFSET(Assumptions!$B$59,0,$C$1)="Yes",(Q$309/Q$13+MIN(ABS($C$309-Q$309/Q$13),OFFSET(Assumptions!$B$61,0,$C$1))*SIGN($C$309-Q$309/Q$13))*R$13-Q$309,0))</f>
        <v>1.7949999999999999</v>
      </c>
      <c r="S309" s="21">
        <f ca="1">R$309+IF(OFFSET(Assumptions!$B$58,0,$C$1)="Yes",Allocation!$B$19*S$248,IF(OFFSET(Assumptions!$B$59,0,$C$1)="Yes",(R$309/R$13+MIN(ABS($C$309-R$309/R$13),OFFSET(Assumptions!$B$61,0,$C$1))*SIGN($C$309-R$309/R$13))*S$13-R$309,0))</f>
        <v>1.7949999999999999</v>
      </c>
      <c r="T309" s="21">
        <f ca="1">S$309+IF(OFFSET(Assumptions!$B$58,0,$C$1)="Yes",Allocation!$B$19*T$248,IF(OFFSET(Assumptions!$B$59,0,$C$1)="Yes",(S$309/S$13+MIN(ABS($C$309-S$309/S$13),OFFSET(Assumptions!$B$61,0,$C$1))*SIGN($C$309-S$309/S$13))*T$13-S$309,0))</f>
        <v>1.7949999999999999</v>
      </c>
      <c r="U309" s="21">
        <f ca="1">T$309+IF(OFFSET(Assumptions!$B$58,0,$C$1)="Yes",Allocation!$B$19*U$248,IF(OFFSET(Assumptions!$B$59,0,$C$1)="Yes",(T$309/T$13+MIN(ABS($C$309-T$309/T$13),OFFSET(Assumptions!$B$61,0,$C$1))*SIGN($C$309-T$309/T$13))*U$13-T$309,0))</f>
        <v>1.7949999999999999</v>
      </c>
      <c r="V309" s="21">
        <f ca="1">U$309+IF(OFFSET(Assumptions!$B$58,0,$C$1)="Yes",Allocation!$B$19*V$248,IF(OFFSET(Assumptions!$B$59,0,$C$1)="Yes",(U$309/U$13+MIN(ABS($C$309-U$309/U$13),OFFSET(Assumptions!$B$61,0,$C$1))*SIGN($C$309-U$309/U$13))*V$13-U$309,0))</f>
        <v>1.7949999999999999</v>
      </c>
      <c r="W309" s="21">
        <f ca="1">V$309+IF(OFFSET(Assumptions!$B$58,0,$C$1)="Yes",Allocation!$B$19*W$248,IF(OFFSET(Assumptions!$B$59,0,$C$1)="Yes",(V$309/V$13+MIN(ABS($C$309-V$309/V$13),OFFSET(Assumptions!$B$61,0,$C$1))*SIGN($C$309-V$309/V$13))*W$13-V$309,0))</f>
        <v>1.7949999999999999</v>
      </c>
      <c r="X309" s="21">
        <f ca="1">W$309+IF(OFFSET(Assumptions!$B$58,0,$C$1)="Yes",Allocation!$B$19*X$248,IF(OFFSET(Assumptions!$B$59,0,$C$1)="Yes",(W$309/W$13+MIN(ABS($C$309-W$309/W$13),OFFSET(Assumptions!$B$61,0,$C$1))*SIGN($C$309-W$309/W$13))*X$13-W$309,0))</f>
        <v>1.7949999999999999</v>
      </c>
      <c r="Y309" s="21">
        <f ca="1">X$309+IF(OFFSET(Assumptions!$B$58,0,$C$1)="Yes",Allocation!$B$19*Y$248,IF(OFFSET(Assumptions!$B$59,0,$C$1)="Yes",(X$309/X$13+MIN(ABS($C$309-X$309/X$13),OFFSET(Assumptions!$B$61,0,$C$1))*SIGN($C$309-X$309/X$13))*Y$13-X$309,0))</f>
        <v>1.7949999999999999</v>
      </c>
      <c r="Z309" s="21">
        <f ca="1">Y$309+IF(OFFSET(Assumptions!$B$58,0,$C$1)="Yes",Allocation!$B$19*Z$248,IF(OFFSET(Assumptions!$B$59,0,$C$1)="Yes",(Y$309/Y$13+MIN(ABS($C$309-Y$309/Y$13),OFFSET(Assumptions!$B$61,0,$C$1))*SIGN($C$309-Y$309/Y$13))*Z$13-Y$309,0))</f>
        <v>1.7949999999999999</v>
      </c>
    </row>
    <row r="310" spans="1:26" x14ac:dyDescent="0.25">
      <c r="A310" s="11" t="s">
        <v>1310</v>
      </c>
      <c r="B310" s="14" t="str">
        <f>$B$38</f>
        <v>From Fiscal Forecasts</v>
      </c>
      <c r="D310" s="51">
        <f>'Fiscal Forecasts'!D$50</f>
        <v>2.02</v>
      </c>
      <c r="E310" s="51">
        <f>'Fiscal Forecasts'!E$50</f>
        <v>2.3929999999999998</v>
      </c>
      <c r="F310" s="51">
        <f>'Fiscal Forecasts'!F$50</f>
        <v>3.351</v>
      </c>
      <c r="G310" s="51">
        <f>'Fiscal Forecasts'!G$50</f>
        <v>3.9350000000000001</v>
      </c>
      <c r="H310" s="51">
        <f>'Fiscal Forecasts'!H$50</f>
        <v>4.3959999999999999</v>
      </c>
      <c r="I310" s="51">
        <f>'Fiscal Forecasts'!I$50</f>
        <v>4.7889999999999997</v>
      </c>
      <c r="J310" s="51">
        <f>'Fiscal Forecasts'!J$50</f>
        <v>4.5069999999999997</v>
      </c>
      <c r="K310" s="51">
        <f>'Fiscal Forecasts'!K$50</f>
        <v>4.0339999999999998</v>
      </c>
      <c r="L310" s="47">
        <f ca="1">'Fiscal Forecasts'!L$50+IF(OFFSET(Assumptions!$B$57,0,$C$1)="Yes",Allocation!C$19,0)</f>
        <v>4.266</v>
      </c>
      <c r="M310" s="47">
        <f ca="1">'Fiscal Forecasts'!M$50+IF(OFFSET(Assumptions!$B$57,0,$C$1)="Yes",Allocation!D$19,0)</f>
        <v>3.915</v>
      </c>
      <c r="N310" s="47">
        <f ca="1">'Fiscal Forecasts'!N$50+IF(OFFSET(Assumptions!$B$57,0,$C$1)="Yes",Allocation!E$19,0)</f>
        <v>3.8740000000000001</v>
      </c>
      <c r="O310" s="47">
        <f ca="1">'Fiscal Forecasts'!O$50+IF(OFFSET(Assumptions!$B$57,0,$C$1)="Yes",Allocation!F$19,0)</f>
        <v>3.7850000000000001</v>
      </c>
      <c r="P310" s="47">
        <f ca="1">'Fiscal Forecasts'!P$50+IF(OFFSET(Assumptions!$B$57,0,$C$1)="Yes",Allocation!G$19,0)</f>
        <v>3.786</v>
      </c>
      <c r="Q310" s="21">
        <f t="shared" ref="Q310:Z310" ca="1" si="176">Q$309+(P$310-P$309)*(1+Q$29)</f>
        <v>3.8258200000000002</v>
      </c>
      <c r="R310" s="21">
        <f t="shared" ca="1" si="176"/>
        <v>3.8664364000000004</v>
      </c>
      <c r="S310" s="21">
        <f t="shared" ca="1" si="176"/>
        <v>3.9078651280000005</v>
      </c>
      <c r="T310" s="21">
        <f t="shared" ca="1" si="176"/>
        <v>3.9501224305600005</v>
      </c>
      <c r="U310" s="21">
        <f t="shared" ca="1" si="176"/>
        <v>3.9932248791712004</v>
      </c>
      <c r="V310" s="21">
        <f t="shared" ca="1" si="176"/>
        <v>4.0371893767546245</v>
      </c>
      <c r="W310" s="21">
        <f t="shared" ca="1" si="176"/>
        <v>4.082033164289717</v>
      </c>
      <c r="X310" s="21">
        <f t="shared" ca="1" si="176"/>
        <v>4.1277738275755116</v>
      </c>
      <c r="Y310" s="21">
        <f t="shared" ca="1" si="176"/>
        <v>4.1744293041270222</v>
      </c>
      <c r="Z310" s="21">
        <f t="shared" ca="1" si="176"/>
        <v>4.2220178902095622</v>
      </c>
    </row>
    <row r="312" spans="1:26" x14ac:dyDescent="0.25">
      <c r="A312" s="11" t="s">
        <v>1311</v>
      </c>
    </row>
    <row r="313" spans="1:26" x14ac:dyDescent="0.25">
      <c r="A313" s="12" t="s">
        <v>1312</v>
      </c>
      <c r="B313" s="14" t="str">
        <f>$B$38</f>
        <v>From Fiscal Forecasts</v>
      </c>
      <c r="D313" s="50">
        <f>'Fiscal Forecasts'!D$376</f>
        <v>0.54300000000000004</v>
      </c>
      <c r="E313" s="50">
        <f>'Fiscal Forecasts'!E$376</f>
        <v>0.65</v>
      </c>
      <c r="F313" s="50">
        <f>'Fiscal Forecasts'!F$376</f>
        <v>1.853</v>
      </c>
      <c r="G313" s="50">
        <f>'Fiscal Forecasts'!G$376</f>
        <v>1.4890000000000001</v>
      </c>
      <c r="H313" s="50">
        <f>'Fiscal Forecasts'!H$376</f>
        <v>1.103</v>
      </c>
      <c r="I313" s="50">
        <f>'Fiscal Forecasts'!I$376</f>
        <v>0.83399999999999996</v>
      </c>
      <c r="J313" s="50">
        <f>'Fiscal Forecasts'!J$376</f>
        <v>1.075</v>
      </c>
      <c r="K313" s="50">
        <f>'Fiscal Forecasts'!K$376</f>
        <v>1.2929999999999999</v>
      </c>
      <c r="L313" s="48">
        <f>'Fiscal Forecasts'!L$376</f>
        <v>1.23</v>
      </c>
      <c r="M313" s="48">
        <f>'Fiscal Forecasts'!M$376</f>
        <v>1.304</v>
      </c>
      <c r="N313" s="48">
        <f>'Fiscal Forecasts'!N$376</f>
        <v>1.369</v>
      </c>
      <c r="O313" s="48">
        <f>'Fiscal Forecasts'!O$376</f>
        <v>1.4179999999999999</v>
      </c>
      <c r="P313" s="48">
        <f>'Fiscal Forecasts'!P$376</f>
        <v>1.446</v>
      </c>
      <c r="Q313" s="20">
        <f t="shared" ref="Q313:Z313" ca="1" si="177">P$313*(1+Q$29)</f>
        <v>1.47492</v>
      </c>
      <c r="R313" s="20">
        <f t="shared" ca="1" si="177"/>
        <v>1.5044184</v>
      </c>
      <c r="S313" s="20">
        <f t="shared" ca="1" si="177"/>
        <v>1.534506768</v>
      </c>
      <c r="T313" s="20">
        <f t="shared" ca="1" si="177"/>
        <v>1.5651969033599999</v>
      </c>
      <c r="U313" s="20">
        <f t="shared" ca="1" si="177"/>
        <v>1.5965008414271999</v>
      </c>
      <c r="V313" s="20">
        <f t="shared" ca="1" si="177"/>
        <v>1.6284308582557441</v>
      </c>
      <c r="W313" s="20">
        <f t="shared" ca="1" si="177"/>
        <v>1.660999475420859</v>
      </c>
      <c r="X313" s="20">
        <f t="shared" ca="1" si="177"/>
        <v>1.6942194649292763</v>
      </c>
      <c r="Y313" s="20">
        <f t="shared" ca="1" si="177"/>
        <v>1.7281038542278619</v>
      </c>
      <c r="Z313" s="20">
        <f t="shared" ca="1" si="177"/>
        <v>1.7626659313124191</v>
      </c>
    </row>
    <row r="314" spans="1:26" x14ac:dyDescent="0.25">
      <c r="A314" s="12" t="s">
        <v>1313</v>
      </c>
      <c r="B314" s="14" t="str">
        <f>$B$38</f>
        <v>From Fiscal Forecasts</v>
      </c>
      <c r="C314" s="100" cm="1">
        <f t="array" aca="1" ref="C314" ca="1">SUMPRODUCT(OFFSET($P$314,0,0,1,-OFFSET(Assumptions!$B$60,0,$C$1))/OFFSET($P$13,0,0,1,-OFFSET(Assumptions!$B$60,0,$C$1)))/OFFSET(Assumptions!$B$60,0,$C$1)</f>
        <v>2.8172870122465314E-3</v>
      </c>
      <c r="D314" s="50">
        <f>'Fiscal Forecasts'!D$68-D$313</f>
        <v>0.57599999999999996</v>
      </c>
      <c r="E314" s="50">
        <f>'Fiscal Forecasts'!E$68-E$313</f>
        <v>0.83500000000000008</v>
      </c>
      <c r="F314" s="50">
        <f>'Fiscal Forecasts'!F$68-F$313</f>
        <v>5.2999999999999936E-2</v>
      </c>
      <c r="G314" s="50">
        <f>'Fiscal Forecasts'!G$68-G$313</f>
        <v>1.0599999999999998</v>
      </c>
      <c r="H314" s="50">
        <f>'Fiscal Forecasts'!H$68-H$313</f>
        <v>1.2779999999999998</v>
      </c>
      <c r="I314" s="50">
        <f>'Fiscal Forecasts'!I$68-I$313</f>
        <v>1.4630000000000001</v>
      </c>
      <c r="J314" s="50">
        <f>'Fiscal Forecasts'!J$68-J$313</f>
        <v>1.3350000000000002</v>
      </c>
      <c r="K314" s="50">
        <f>'Fiscal Forecasts'!K$68-K$313</f>
        <v>1.216</v>
      </c>
      <c r="L314" s="48">
        <f ca="1">'Fiscal Forecasts'!L$68-L$313+IF(OFFSET(Assumptions!$B$57,0,$C$1)="Yes",Allocation!C$20,0)</f>
        <v>1.6440000000000001</v>
      </c>
      <c r="M314" s="48">
        <f ca="1">'Fiscal Forecasts'!M$68-M$313+IF(OFFSET(Assumptions!$B$57,0,$C$1)="Yes",Allocation!D$20,0)</f>
        <v>1.4120000000000001</v>
      </c>
      <c r="N314" s="48">
        <f ca="1">'Fiscal Forecasts'!N$68-N$313+IF(OFFSET(Assumptions!$B$57,0,$C$1)="Yes",Allocation!E$20,0)</f>
        <v>1.3219999999999998</v>
      </c>
      <c r="O314" s="48">
        <f ca="1">'Fiscal Forecasts'!O$68-O$313+IF(OFFSET(Assumptions!$B$57,0,$C$1)="Yes",Allocation!F$20,0)</f>
        <v>1.1910000000000001</v>
      </c>
      <c r="P314" s="48">
        <f ca="1">'Fiscal Forecasts'!P$68-P$313+IF(OFFSET(Assumptions!$B$57,0,$C$1)="Yes",Allocation!G$20,0)</f>
        <v>1.1950000000000001</v>
      </c>
      <c r="Q314" s="20">
        <f ca="1">P$314+IF(OFFSET(Assumptions!$B$58,0,$C$1)="Yes",Allocation!$B$20*Q$248,IF(OFFSET(Assumptions!$B$59,0,$C$1)="Yes",(P$314/P$13+MIN(ABS($C$314-P$314/P$13),OFFSET(Assumptions!$B$61,0,$C$1))*SIGN($C$314-P$314/P$13))*Q$13-P$314,0))</f>
        <v>1.1950000000000001</v>
      </c>
      <c r="R314" s="20">
        <f ca="1">Q$314+IF(OFFSET(Assumptions!$B$58,0,$C$1)="Yes",Allocation!$B$20*R$248,IF(OFFSET(Assumptions!$B$59,0,$C$1)="Yes",(Q$314/Q$13+MIN(ABS($C$314-Q$314/Q$13),OFFSET(Assumptions!$B$61,0,$C$1))*SIGN($C$314-Q$314/Q$13))*R$13-Q$314,0))</f>
        <v>1.1950000000000001</v>
      </c>
      <c r="S314" s="20">
        <f ca="1">R$314+IF(OFFSET(Assumptions!$B$58,0,$C$1)="Yes",Allocation!$B$20*S$248,IF(OFFSET(Assumptions!$B$59,0,$C$1)="Yes",(R$314/R$13+MIN(ABS($C$314-R$314/R$13),OFFSET(Assumptions!$B$61,0,$C$1))*SIGN($C$314-R$314/R$13))*S$13-R$314,0))</f>
        <v>1.1950000000000001</v>
      </c>
      <c r="T314" s="20">
        <f ca="1">S$314+IF(OFFSET(Assumptions!$B$58,0,$C$1)="Yes",Allocation!$B$20*T$248,IF(OFFSET(Assumptions!$B$59,0,$C$1)="Yes",(S$314/S$13+MIN(ABS($C$314-S$314/S$13),OFFSET(Assumptions!$B$61,0,$C$1))*SIGN($C$314-S$314/S$13))*T$13-S$314,0))</f>
        <v>1.1950000000000001</v>
      </c>
      <c r="U314" s="20">
        <f ca="1">T$314+IF(OFFSET(Assumptions!$B$58,0,$C$1)="Yes",Allocation!$B$20*U$248,IF(OFFSET(Assumptions!$B$59,0,$C$1)="Yes",(T$314/T$13+MIN(ABS($C$314-T$314/T$13),OFFSET(Assumptions!$B$61,0,$C$1))*SIGN($C$314-T$314/T$13))*U$13-T$314,0))</f>
        <v>1.1950000000000001</v>
      </c>
      <c r="V314" s="20">
        <f ca="1">U$314+IF(OFFSET(Assumptions!$B$58,0,$C$1)="Yes",Allocation!$B$20*V$248,IF(OFFSET(Assumptions!$B$59,0,$C$1)="Yes",(U$314/U$13+MIN(ABS($C$314-U$314/U$13),OFFSET(Assumptions!$B$61,0,$C$1))*SIGN($C$314-U$314/U$13))*V$13-U$314,0))</f>
        <v>1.1950000000000001</v>
      </c>
      <c r="W314" s="20">
        <f ca="1">V$314+IF(OFFSET(Assumptions!$B$58,0,$C$1)="Yes",Allocation!$B$20*W$248,IF(OFFSET(Assumptions!$B$59,0,$C$1)="Yes",(V$314/V$13+MIN(ABS($C$314-V$314/V$13),OFFSET(Assumptions!$B$61,0,$C$1))*SIGN($C$314-V$314/V$13))*W$13-V$314,0))</f>
        <v>1.1950000000000001</v>
      </c>
      <c r="X314" s="20">
        <f ca="1">W$314+IF(OFFSET(Assumptions!$B$58,0,$C$1)="Yes",Allocation!$B$20*X$248,IF(OFFSET(Assumptions!$B$59,0,$C$1)="Yes",(W$314/W$13+MIN(ABS($C$314-W$314/W$13),OFFSET(Assumptions!$B$61,0,$C$1))*SIGN($C$314-W$314/W$13))*X$13-W$314,0))</f>
        <v>1.1950000000000001</v>
      </c>
      <c r="Y314" s="20">
        <f ca="1">X$314+IF(OFFSET(Assumptions!$B$58,0,$C$1)="Yes",Allocation!$B$20*Y$248,IF(OFFSET(Assumptions!$B$59,0,$C$1)="Yes",(X$314/X$13+MIN(ABS($C$314-X$314/X$13),OFFSET(Assumptions!$B$61,0,$C$1))*SIGN($C$314-X$314/X$13))*Y$13-X$314,0))</f>
        <v>1.1950000000000001</v>
      </c>
      <c r="Z314" s="20">
        <f ca="1">Y$314+IF(OFFSET(Assumptions!$B$58,0,$C$1)="Yes",Allocation!$B$20*Z$248,IF(OFFSET(Assumptions!$B$59,0,$C$1)="Yes",(Y$314/Y$13+MIN(ABS($C$314-Y$314/Y$13),OFFSET(Assumptions!$B$61,0,$C$1))*SIGN($C$314-Y$314/Y$13))*Z$13-Y$314,0))</f>
        <v>1.1950000000000001</v>
      </c>
    </row>
    <row r="315" spans="1:26" x14ac:dyDescent="0.25">
      <c r="A315" s="11" t="s">
        <v>1314</v>
      </c>
      <c r="D315" s="94">
        <f t="shared" ref="D315:Z315" si="178">SUM(D$313:D$314)</f>
        <v>1.119</v>
      </c>
      <c r="E315" s="94">
        <f t="shared" si="178"/>
        <v>1.4850000000000001</v>
      </c>
      <c r="F315" s="94">
        <f t="shared" si="178"/>
        <v>1.9059999999999999</v>
      </c>
      <c r="G315" s="94">
        <f t="shared" si="178"/>
        <v>2.5489999999999999</v>
      </c>
      <c r="H315" s="94">
        <f t="shared" si="178"/>
        <v>2.3809999999999998</v>
      </c>
      <c r="I315" s="94">
        <f t="shared" si="178"/>
        <v>2.2970000000000002</v>
      </c>
      <c r="J315" s="94">
        <f t="shared" si="178"/>
        <v>2.41</v>
      </c>
      <c r="K315" s="94">
        <f t="shared" si="178"/>
        <v>2.5089999999999999</v>
      </c>
      <c r="L315" s="95">
        <f t="shared" ca="1" si="178"/>
        <v>2.8740000000000001</v>
      </c>
      <c r="M315" s="95">
        <f t="shared" ca="1" si="178"/>
        <v>2.7160000000000002</v>
      </c>
      <c r="N315" s="95">
        <f t="shared" ca="1" si="178"/>
        <v>2.6909999999999998</v>
      </c>
      <c r="O315" s="95">
        <f t="shared" ca="1" si="178"/>
        <v>2.609</v>
      </c>
      <c r="P315" s="95">
        <f t="shared" ca="1" si="178"/>
        <v>2.641</v>
      </c>
      <c r="Q315" s="96">
        <f t="shared" ca="1" si="178"/>
        <v>2.6699200000000003</v>
      </c>
      <c r="R315" s="96">
        <f t="shared" ca="1" si="178"/>
        <v>2.6994183999999999</v>
      </c>
      <c r="S315" s="96">
        <f t="shared" ca="1" si="178"/>
        <v>2.7295067680000002</v>
      </c>
      <c r="T315" s="96">
        <f t="shared" ca="1" si="178"/>
        <v>2.7601969033599998</v>
      </c>
      <c r="U315" s="96">
        <f t="shared" ca="1" si="178"/>
        <v>2.7915008414272</v>
      </c>
      <c r="V315" s="96">
        <f t="shared" ca="1" si="178"/>
        <v>2.8234308582557439</v>
      </c>
      <c r="W315" s="96">
        <f t="shared" ca="1" si="178"/>
        <v>2.8559994754208589</v>
      </c>
      <c r="X315" s="96">
        <f t="shared" ca="1" si="178"/>
        <v>2.8892194649292762</v>
      </c>
      <c r="Y315" s="96">
        <f t="shared" ca="1" si="178"/>
        <v>2.923103854227862</v>
      </c>
      <c r="Z315" s="96">
        <f t="shared" ca="1" si="178"/>
        <v>2.9576659313124192</v>
      </c>
    </row>
    <row r="316" spans="1:26" x14ac:dyDescent="0.25">
      <c r="A316" s="11" t="s">
        <v>1315</v>
      </c>
      <c r="B316" s="14" t="str">
        <f>$B$38</f>
        <v>From Fiscal Forecasts</v>
      </c>
      <c r="D316" s="51">
        <f>'Fiscal Forecasts'!D$51</f>
        <v>1.1080000000000001</v>
      </c>
      <c r="E316" s="51">
        <f>'Fiscal Forecasts'!E$51</f>
        <v>1.472</v>
      </c>
      <c r="F316" s="51">
        <f>'Fiscal Forecasts'!F$51</f>
        <v>1.889</v>
      </c>
      <c r="G316" s="51">
        <f>'Fiscal Forecasts'!G$51</f>
        <v>2.5350000000000001</v>
      </c>
      <c r="H316" s="51">
        <f>'Fiscal Forecasts'!H$51</f>
        <v>2.3530000000000002</v>
      </c>
      <c r="I316" s="51">
        <f>'Fiscal Forecasts'!I$51</f>
        <v>2.2770000000000001</v>
      </c>
      <c r="J316" s="51">
        <f>'Fiscal Forecasts'!J$51</f>
        <v>2.4</v>
      </c>
      <c r="K316" s="51">
        <f>'Fiscal Forecasts'!K$51</f>
        <v>2.5099999999999998</v>
      </c>
      <c r="L316" s="47">
        <f ca="1">'Fiscal Forecasts'!L$51+IF(OFFSET(Assumptions!$B$57,0,$C$1)="Yes",Allocation!C$20,0)</f>
        <v>2.9060000000000001</v>
      </c>
      <c r="M316" s="47">
        <f ca="1">'Fiscal Forecasts'!M$51+IF(OFFSET(Assumptions!$B$57,0,$C$1)="Yes",Allocation!D$20,0)</f>
        <v>2.7480000000000002</v>
      </c>
      <c r="N316" s="47">
        <f ca="1">'Fiscal Forecasts'!N$51+IF(OFFSET(Assumptions!$B$57,0,$C$1)="Yes",Allocation!E$20,0)</f>
        <v>2.7229999999999999</v>
      </c>
      <c r="O316" s="47">
        <f ca="1">'Fiscal Forecasts'!O$51+IF(OFFSET(Assumptions!$B$57,0,$C$1)="Yes",Allocation!F$20,0)</f>
        <v>2.641</v>
      </c>
      <c r="P316" s="47">
        <f ca="1">'Fiscal Forecasts'!P$51+IF(OFFSET(Assumptions!$B$57,0,$C$1)="Yes",Allocation!G$20,0)</f>
        <v>2.673</v>
      </c>
      <c r="Q316" s="21">
        <f t="shared" ref="Q316:Z316" ca="1" si="179">Q$315</f>
        <v>2.6699200000000003</v>
      </c>
      <c r="R316" s="21">
        <f t="shared" ca="1" si="179"/>
        <v>2.6994183999999999</v>
      </c>
      <c r="S316" s="21">
        <f t="shared" ca="1" si="179"/>
        <v>2.7295067680000002</v>
      </c>
      <c r="T316" s="21">
        <f t="shared" ca="1" si="179"/>
        <v>2.7601969033599998</v>
      </c>
      <c r="U316" s="21">
        <f t="shared" ca="1" si="179"/>
        <v>2.7915008414272</v>
      </c>
      <c r="V316" s="21">
        <f t="shared" ca="1" si="179"/>
        <v>2.8234308582557439</v>
      </c>
      <c r="W316" s="21">
        <f t="shared" ca="1" si="179"/>
        <v>2.8559994754208589</v>
      </c>
      <c r="X316" s="21">
        <f t="shared" ca="1" si="179"/>
        <v>2.8892194649292762</v>
      </c>
      <c r="Y316" s="21">
        <f t="shared" ca="1" si="179"/>
        <v>2.923103854227862</v>
      </c>
      <c r="Z316" s="21">
        <f t="shared" ca="1" si="179"/>
        <v>2.9576659313124192</v>
      </c>
    </row>
    <row r="318" spans="1:26" x14ac:dyDescent="0.25">
      <c r="A318" s="11" t="s">
        <v>1316</v>
      </c>
    </row>
    <row r="319" spans="1:26" x14ac:dyDescent="0.25">
      <c r="A319" s="11" t="s">
        <v>1317</v>
      </c>
      <c r="B319" s="14" t="str">
        <f>$B$38</f>
        <v>From Fiscal Forecasts</v>
      </c>
      <c r="D319" s="51">
        <f>'Fiscal Forecasts'!D$70</f>
        <v>9.7000000000000003E-2</v>
      </c>
      <c r="E319" s="51">
        <f>'Fiscal Forecasts'!E$70</f>
        <v>6.3E-2</v>
      </c>
      <c r="F319" s="51">
        <f>'Fiscal Forecasts'!F$70</f>
        <v>0.254</v>
      </c>
      <c r="G319" s="51">
        <f>'Fiscal Forecasts'!G$70</f>
        <v>0.26900000000000002</v>
      </c>
      <c r="H319" s="51">
        <f>'Fiscal Forecasts'!H$70</f>
        <v>0.13300000000000001</v>
      </c>
      <c r="I319" s="51">
        <f>'Fiscal Forecasts'!I$70</f>
        <v>0.14499999999999999</v>
      </c>
      <c r="J319" s="51">
        <f>'Fiscal Forecasts'!J$70</f>
        <v>0.127</v>
      </c>
      <c r="K319" s="51">
        <f>'Fiscal Forecasts'!K$70</f>
        <v>0.189</v>
      </c>
      <c r="L319" s="47">
        <f>'Fiscal Forecasts'!L$70</f>
        <v>0.21</v>
      </c>
      <c r="M319" s="47">
        <f>'Fiscal Forecasts'!M$70</f>
        <v>8.1000000000000003E-2</v>
      </c>
      <c r="N319" s="47">
        <f>'Fiscal Forecasts'!N$70</f>
        <v>0.27700000000000002</v>
      </c>
      <c r="O319" s="47">
        <f>'Fiscal Forecasts'!O$70</f>
        <v>0.27600000000000002</v>
      </c>
      <c r="P319" s="47">
        <f>'Fiscal Forecasts'!P$70</f>
        <v>0.27600000000000002</v>
      </c>
      <c r="Q319" s="21">
        <f ca="1">IF(Q$6=OFFSET(Assumptions!$B$8,0,$C$1),OFFSET(Assumptions!$B$9,0,$C$1),P$319)</f>
        <v>0</v>
      </c>
      <c r="R319" s="21">
        <f ca="1">IF(R$6=OFFSET(Assumptions!$B$8,0,$C$1),OFFSET(Assumptions!$B$9,0,$C$1),Q$319)</f>
        <v>0</v>
      </c>
      <c r="S319" s="21">
        <f ca="1">IF(S$6=OFFSET(Assumptions!$B$8,0,$C$1),OFFSET(Assumptions!$B$9,0,$C$1),R$319)</f>
        <v>0</v>
      </c>
      <c r="T319" s="21">
        <f ca="1">IF(T$6=OFFSET(Assumptions!$B$8,0,$C$1),OFFSET(Assumptions!$B$9,0,$C$1),S$319)</f>
        <v>0</v>
      </c>
      <c r="U319" s="21">
        <f ca="1">IF(U$6=OFFSET(Assumptions!$B$8,0,$C$1),OFFSET(Assumptions!$B$9,0,$C$1),T$319)</f>
        <v>0</v>
      </c>
      <c r="V319" s="21">
        <f ca="1">IF(V$6=OFFSET(Assumptions!$B$8,0,$C$1),OFFSET(Assumptions!$B$9,0,$C$1),U$319)</f>
        <v>0</v>
      </c>
      <c r="W319" s="21">
        <f ca="1">IF(W$6=OFFSET(Assumptions!$B$8,0,$C$1),OFFSET(Assumptions!$B$9,0,$C$1),V$319)</f>
        <v>0</v>
      </c>
      <c r="X319" s="21">
        <f ca="1">IF(X$6=OFFSET(Assumptions!$B$8,0,$C$1),OFFSET(Assumptions!$B$9,0,$C$1),W$319)</f>
        <v>0</v>
      </c>
      <c r="Y319" s="21">
        <f ca="1">IF(Y$6=OFFSET(Assumptions!$B$8,0,$C$1),OFFSET(Assumptions!$B$9,0,$C$1),X$319)</f>
        <v>0</v>
      </c>
      <c r="Z319" s="21">
        <f ca="1">IF(Z$6=OFFSET(Assumptions!$B$8,0,$C$1),OFFSET(Assumptions!$B$9,0,$C$1),Y$319)</f>
        <v>0</v>
      </c>
    </row>
    <row r="320" spans="1:26" x14ac:dyDescent="0.25">
      <c r="A320" s="11" t="s">
        <v>1318</v>
      </c>
      <c r="B320" s="14" t="str">
        <f>$B$38</f>
        <v>From Fiscal Forecasts</v>
      </c>
      <c r="D320" s="51">
        <f>'Fiscal Forecasts'!D$53</f>
        <v>9.6000000000000002E-2</v>
      </c>
      <c r="E320" s="51">
        <f>'Fiscal Forecasts'!E$53</f>
        <v>6.3E-2</v>
      </c>
      <c r="F320" s="51">
        <f>'Fiscal Forecasts'!F$53</f>
        <v>0.254</v>
      </c>
      <c r="G320" s="51">
        <f>'Fiscal Forecasts'!G$53</f>
        <v>0.24199999999999999</v>
      </c>
      <c r="H320" s="51">
        <f>'Fiscal Forecasts'!H$53</f>
        <v>0.13300000000000001</v>
      </c>
      <c r="I320" s="51">
        <f>'Fiscal Forecasts'!I$53</f>
        <v>0.14499999999999999</v>
      </c>
      <c r="J320" s="51">
        <f>'Fiscal Forecasts'!J$53</f>
        <v>0.127</v>
      </c>
      <c r="K320" s="51">
        <f>'Fiscal Forecasts'!K$53</f>
        <v>0.189</v>
      </c>
      <c r="L320" s="47">
        <f>'Fiscal Forecasts'!L$53</f>
        <v>0.21</v>
      </c>
      <c r="M320" s="47">
        <f>'Fiscal Forecasts'!M$53</f>
        <v>8.1000000000000003E-2</v>
      </c>
      <c r="N320" s="47">
        <f>'Fiscal Forecasts'!N$53</f>
        <v>0.27700000000000002</v>
      </c>
      <c r="O320" s="47">
        <f>'Fiscal Forecasts'!O$53</f>
        <v>0.27600000000000002</v>
      </c>
      <c r="P320" s="47">
        <f>'Fiscal Forecasts'!P$53</f>
        <v>0.27600000000000002</v>
      </c>
      <c r="Q320" s="21">
        <f ca="1">IF(Q$6=OFFSET(Assumptions!$B$8,0,$C$1),OFFSET(Assumptions!$B$9,0,$C$1),P$320)</f>
        <v>0</v>
      </c>
      <c r="R320" s="21">
        <f ca="1">IF(R$6=OFFSET(Assumptions!$B$8,0,$C$1),OFFSET(Assumptions!$B$9,0,$C$1),Q$320)</f>
        <v>0</v>
      </c>
      <c r="S320" s="21">
        <f ca="1">IF(S$6=OFFSET(Assumptions!$B$8,0,$C$1),OFFSET(Assumptions!$B$9,0,$C$1),R$320)</f>
        <v>0</v>
      </c>
      <c r="T320" s="21">
        <f ca="1">IF(T$6=OFFSET(Assumptions!$B$8,0,$C$1),OFFSET(Assumptions!$B$9,0,$C$1),S$320)</f>
        <v>0</v>
      </c>
      <c r="U320" s="21">
        <f ca="1">IF(U$6=OFFSET(Assumptions!$B$8,0,$C$1),OFFSET(Assumptions!$B$9,0,$C$1),T$320)</f>
        <v>0</v>
      </c>
      <c r="V320" s="21">
        <f ca="1">IF(V$6=OFFSET(Assumptions!$B$8,0,$C$1),OFFSET(Assumptions!$B$9,0,$C$1),U$320)</f>
        <v>0</v>
      </c>
      <c r="W320" s="21">
        <f ca="1">IF(W$6=OFFSET(Assumptions!$B$8,0,$C$1),OFFSET(Assumptions!$B$9,0,$C$1),V$320)</f>
        <v>0</v>
      </c>
      <c r="X320" s="21">
        <f ca="1">IF(X$6=OFFSET(Assumptions!$B$8,0,$C$1),OFFSET(Assumptions!$B$9,0,$C$1),W$320)</f>
        <v>0</v>
      </c>
      <c r="Y320" s="21">
        <f ca="1">IF(Y$6=OFFSET(Assumptions!$B$8,0,$C$1),OFFSET(Assumptions!$B$9,0,$C$1),X$320)</f>
        <v>0</v>
      </c>
      <c r="Z320" s="21">
        <f ca="1">IF(Z$6=OFFSET(Assumptions!$B$8,0,$C$1),OFFSET(Assumptions!$B$9,0,$C$1),Y$320)</f>
        <v>0</v>
      </c>
    </row>
    <row r="322" spans="1:26" x14ac:dyDescent="0.25">
      <c r="A322" s="57" t="s">
        <v>1319</v>
      </c>
    </row>
    <row r="323" spans="1:26" x14ac:dyDescent="0.25">
      <c r="A323" s="11" t="s">
        <v>1320</v>
      </c>
      <c r="D323" s="51">
        <f>SUM(D$196,D$256,D$264,D$274,D$279,D$292,D$297,D$301,D$305,D$309,D$314)</f>
        <v>50.065999999999995</v>
      </c>
      <c r="E323" s="51">
        <f t="shared" ref="E323:Z323" si="180">SUM(E$196,E$256,E$264,E$274,E$279,E$292,E$297,E$301,E$305,E$309,E$314)</f>
        <v>57.019999999999996</v>
      </c>
      <c r="F323" s="51">
        <f t="shared" si="180"/>
        <v>61.080000000000005</v>
      </c>
      <c r="G323" s="51">
        <f t="shared" si="180"/>
        <v>71.525999999999996</v>
      </c>
      <c r="H323" s="51">
        <f t="shared" si="180"/>
        <v>72.372000000000014</v>
      </c>
      <c r="I323" s="51">
        <f t="shared" si="180"/>
        <v>78.45499999999997</v>
      </c>
      <c r="J323" s="51">
        <f t="shared" si="180"/>
        <v>78.74199999999999</v>
      </c>
      <c r="K323" s="51">
        <f t="shared" si="180"/>
        <v>80.757999999999996</v>
      </c>
      <c r="L323" s="47">
        <f t="shared" ca="1" si="180"/>
        <v>86.76100000000001</v>
      </c>
      <c r="M323" s="47">
        <f t="shared" ca="1" si="180"/>
        <v>84.192000000000007</v>
      </c>
      <c r="N323" s="47">
        <f t="shared" ca="1" si="180"/>
        <v>84.03100000000002</v>
      </c>
      <c r="O323" s="47">
        <f t="shared" ca="1" si="180"/>
        <v>83.710999999999999</v>
      </c>
      <c r="P323" s="47">
        <f t="shared" ca="1" si="180"/>
        <v>83.884999999999977</v>
      </c>
      <c r="Q323" s="21">
        <f t="shared" ca="1" si="180"/>
        <v>83.884999999999977</v>
      </c>
      <c r="R323" s="21">
        <f t="shared" ca="1" si="180"/>
        <v>83.884999999999977</v>
      </c>
      <c r="S323" s="21">
        <f t="shared" ca="1" si="180"/>
        <v>83.884999999999977</v>
      </c>
      <c r="T323" s="21">
        <f t="shared" ca="1" si="180"/>
        <v>83.884999999999977</v>
      </c>
      <c r="U323" s="21">
        <f t="shared" ca="1" si="180"/>
        <v>83.884999999999977</v>
      </c>
      <c r="V323" s="21">
        <f t="shared" ca="1" si="180"/>
        <v>83.884999999999977</v>
      </c>
      <c r="W323" s="21">
        <f t="shared" ca="1" si="180"/>
        <v>83.884999999999977</v>
      </c>
      <c r="X323" s="21">
        <f t="shared" ca="1" si="180"/>
        <v>83.884999999999977</v>
      </c>
      <c r="Y323" s="21">
        <f t="shared" ca="1" si="180"/>
        <v>83.884999999999977</v>
      </c>
      <c r="Z323" s="21">
        <f t="shared" ca="1" si="180"/>
        <v>83.884999999999977</v>
      </c>
    </row>
    <row r="324" spans="1:26" x14ac:dyDescent="0.25">
      <c r="A324" s="11" t="s">
        <v>1321</v>
      </c>
      <c r="D324" s="51">
        <f>SUM(D$256,D$263,D$264,D$271,D$273,D$283,D$313,D$319)</f>
        <v>36.466000000000001</v>
      </c>
      <c r="E324" s="51">
        <f t="shared" ref="E324:Z324" si="181">SUM(E$256,E$263,E$264,E$271,E$273,E$283,E$313,E$319)</f>
        <v>41.044000000000004</v>
      </c>
      <c r="F324" s="51">
        <f t="shared" si="181"/>
        <v>47.003</v>
      </c>
      <c r="G324" s="51">
        <f t="shared" si="181"/>
        <v>51.807999999999993</v>
      </c>
      <c r="H324" s="51">
        <f t="shared" si="181"/>
        <v>55.582000000000008</v>
      </c>
      <c r="I324" s="51">
        <f t="shared" si="181"/>
        <v>58.744000000000007</v>
      </c>
      <c r="J324" s="51">
        <f t="shared" si="181"/>
        <v>59.371000000000009</v>
      </c>
      <c r="K324" s="51">
        <f t="shared" si="181"/>
        <v>62.384</v>
      </c>
      <c r="L324" s="47">
        <f t="shared" ca="1" si="181"/>
        <v>64.574999999999989</v>
      </c>
      <c r="M324" s="47">
        <f t="shared" ca="1" si="181"/>
        <v>63.961000000000006</v>
      </c>
      <c r="N324" s="47">
        <f t="shared" ca="1" si="181"/>
        <v>64.495999999999995</v>
      </c>
      <c r="O324" s="47">
        <f t="shared" ca="1" si="181"/>
        <v>64.613</v>
      </c>
      <c r="P324" s="47">
        <f t="shared" ca="1" si="181"/>
        <v>64.939999999999984</v>
      </c>
      <c r="Q324" s="21">
        <f t="shared" ca="1" si="181"/>
        <v>64.798851169035686</v>
      </c>
      <c r="R324" s="21">
        <f t="shared" ca="1" si="181"/>
        <v>64.911618999444983</v>
      </c>
      <c r="S324" s="21">
        <f t="shared" ca="1" si="181"/>
        <v>65.007167567788954</v>
      </c>
      <c r="T324" s="21">
        <f t="shared" ca="1" si="181"/>
        <v>65.326609332289351</v>
      </c>
      <c r="U324" s="21">
        <f t="shared" ca="1" si="181"/>
        <v>65.758440048306497</v>
      </c>
      <c r="V324" s="21">
        <f t="shared" ca="1" si="181"/>
        <v>66.201958913905571</v>
      </c>
      <c r="W324" s="21">
        <f t="shared" ca="1" si="181"/>
        <v>66.659570642540899</v>
      </c>
      <c r="X324" s="21">
        <f t="shared" ca="1" si="181"/>
        <v>67.130241347453804</v>
      </c>
      <c r="Y324" s="21">
        <f t="shared" ca="1" si="181"/>
        <v>67.61636162556384</v>
      </c>
      <c r="Z324" s="21">
        <f t="shared" ca="1" si="181"/>
        <v>68.11844960846679</v>
      </c>
    </row>
    <row r="325" spans="1:26" x14ac:dyDescent="0.25">
      <c r="A325" s="57" t="s">
        <v>1322</v>
      </c>
    </row>
    <row r="326" spans="1:26" x14ac:dyDescent="0.25">
      <c r="A326" s="11" t="s">
        <v>1323</v>
      </c>
      <c r="B326" s="14" t="str">
        <f>$B$38</f>
        <v>From Fiscal Forecasts</v>
      </c>
      <c r="D326" s="51">
        <f>'Fiscal Forecasts'!D$211</f>
        <v>6.7160000000000002</v>
      </c>
      <c r="E326" s="51">
        <f>'Fiscal Forecasts'!E$211</f>
        <v>7.5140000000000002</v>
      </c>
      <c r="F326" s="51">
        <f>'Fiscal Forecasts'!F$211</f>
        <v>8.0459999999999994</v>
      </c>
      <c r="G326" s="51">
        <f>'Fiscal Forecasts'!G$211</f>
        <v>8.5389999999999997</v>
      </c>
      <c r="H326" s="51">
        <f>'Fiscal Forecasts'!H$211</f>
        <v>10.163</v>
      </c>
      <c r="I326" s="51">
        <f>'Fiscal Forecasts'!I$211</f>
        <v>10.747999999999999</v>
      </c>
      <c r="J326" s="51">
        <f>'Fiscal Forecasts'!J$211</f>
        <v>10.837999999999999</v>
      </c>
      <c r="K326" s="51">
        <f>'Fiscal Forecasts'!K$211</f>
        <v>10.319000000000001</v>
      </c>
      <c r="L326" s="47">
        <f>'Fiscal Forecasts'!L$211</f>
        <v>9.8490000000000002</v>
      </c>
      <c r="M326" s="47">
        <f>'Fiscal Forecasts'!M$211</f>
        <v>9.5570000000000004</v>
      </c>
      <c r="N326" s="47">
        <f>'Fiscal Forecasts'!N$211</f>
        <v>9.7430000000000003</v>
      </c>
      <c r="O326" s="47">
        <f>'Fiscal Forecasts'!O$211</f>
        <v>9.9640000000000004</v>
      </c>
      <c r="P326" s="47">
        <f>'Fiscal Forecasts'!P$211</f>
        <v>10.074999999999999</v>
      </c>
      <c r="Q326" s="21">
        <f ca="1">IF(Q$6=OFFSET(Assumptions!$B$8,0,$C$1),AVERAGE(N$326/SUM(N$253-N$252,N$276-N$275,N$280-N$279,,N$298-N$297,N$302-N$301,N$306-N$305,N$310-N$309,N$316-N$315),O$326/SUM(O$253-O$252,O$276-O$275,O$280-O$279,,O$298-O$297,O$302-O$301,O$306-O$305,O$310-O$309,O$316-O$315),P$326/SUM(P$253-P$252,P$276-P$275,P$280-P$279,,P$298-P$297,P$302-P$301,P$306-P$305,P$310-P$309,P$316-P$315)),P$326/SUM(P$253-P$252,P$276-P$275,P$280-P$279,,P$298-P$297,P$302-P$301,P$306-P$305,P$310-P$309,P$316-P$315))*SUM(Q$253-Q$252,Q$276-Q$275,Q$280-Q$279,,Q$298-Q$297,Q$302-Q$301,Q$306-Q$305,Q$310-Q$309,Q$316-Q$315)</f>
        <v>10.298126454289063</v>
      </c>
      <c r="R326" s="21">
        <f ca="1">IF(R$6=OFFSET(Assumptions!$B$8,0,$C$1),AVERAGE(O$326/SUM(O$253-O$252,O$276-O$275,O$280-O$279,,O$298-O$297,O$302-O$301,O$306-O$305,O$310-O$309,O$316-O$315),P$326/SUM(P$253-P$252,P$276-P$275,P$280-P$279,,P$298-P$297,P$302-P$301,P$306-P$305,P$310-P$309,P$316-P$315),Q$326/SUM(Q$253-Q$252,Q$276-Q$275,Q$280-Q$279,,Q$298-Q$297,Q$302-Q$301,Q$306-Q$305,Q$310-Q$309,Q$316-Q$315)),Q$326/SUM(Q$253-Q$252,Q$276-Q$275,Q$280-Q$279,,Q$298-Q$297,Q$302-Q$301,Q$306-Q$305,Q$310-Q$309,Q$316-Q$315))*SUM(R$253-R$252,R$276-R$275,R$280-R$279,,R$298-R$297,R$302-R$301,R$306-R$305,R$310-R$309,R$316-R$315)</f>
        <v>10.507582120123432</v>
      </c>
      <c r="S326" s="21">
        <f ca="1">IF(S$6=OFFSET(Assumptions!$B$8,0,$C$1),AVERAGE(P$326/SUM(P$253-P$252,P$276-P$275,P$280-P$279,,P$298-P$297,P$302-P$301,P$306-P$305,P$310-P$309,P$316-P$315),Q$326/SUM(Q$253-Q$252,Q$276-Q$275,Q$280-Q$279,,Q$298-Q$297,Q$302-Q$301,Q$306-Q$305,Q$310-Q$309,Q$316-Q$315),R$326/SUM(R$253-R$252,R$276-R$275,R$280-R$279,,R$298-R$297,R$302-R$301,R$306-R$305,R$310-R$309,R$316-R$315)),R$326/SUM(R$253-R$252,R$276-R$275,R$280-R$279,,R$298-R$297,R$302-R$301,R$306-R$305,R$310-R$309,R$316-R$315))*SUM(S$253-S$252,S$276-S$275,S$280-S$279,,S$298-S$297,S$302-S$301,S$306-S$305,S$310-S$309,S$316-S$315)</f>
        <v>10.721239487488216</v>
      </c>
      <c r="T326" s="21">
        <f ca="1">IF(T$6=OFFSET(Assumptions!$B$8,0,$C$1),AVERAGE(Q$326/SUM(Q$253-Q$252,Q$276-Q$275,Q$280-Q$279,,Q$298-Q$297,Q$302-Q$301,Q$306-Q$305,Q$310-Q$309,Q$316-Q$315),R$326/SUM(R$253-R$252,R$276-R$275,R$280-R$279,,R$298-R$297,R$302-R$301,R$306-R$305,R$310-R$309,R$316-R$315),S$326/SUM(S$253-S$252,S$276-S$275,S$280-S$279,,S$298-S$297,S$302-S$301,S$306-S$305,S$310-S$309,S$316-S$315)),S$326/SUM(S$253-S$252,S$276-S$275,S$280-S$279,,S$298-S$297,S$302-S$301,S$306-S$305,S$310-S$309,S$316-S$315))*SUM(T$253-T$252,T$276-T$275,T$280-T$279,,T$298-T$297,T$302-T$301,T$306-T$305,T$310-T$309,T$316-T$315)</f>
        <v>10.939145566256</v>
      </c>
      <c r="U326" s="21">
        <f ca="1">IF(U$6=OFFSET(Assumptions!$B$8,0,$C$1),AVERAGE(R$326/SUM(R$253-R$252,R$276-R$275,R$280-R$279,,R$298-R$297,R$302-R$301,R$306-R$305,R$310-R$309,R$316-R$315),S$326/SUM(S$253-S$252,S$276-S$275,S$280-S$279,,S$298-S$297,S$302-S$301,S$306-S$305,S$310-S$309,S$316-S$315),T$326/SUM(T$253-T$252,T$276-T$275,T$280-T$279,,T$298-T$297,T$302-T$301,T$306-T$305,T$310-T$309,T$316-T$315)),T$326/SUM(T$253-T$252,T$276-T$275,T$280-T$279,,T$298-T$297,T$302-T$301,T$306-T$305,T$310-T$309,T$316-T$315))*SUM(U$253-U$252,U$276-U$275,U$280-U$279,,U$298-U$297,U$302-U$301,U$306-U$305,U$310-U$309,U$316-U$315)</f>
        <v>11.16149714361206</v>
      </c>
      <c r="V326" s="21">
        <f ca="1">IF(V$6=OFFSET(Assumptions!$B$8,0,$C$1),AVERAGE(S$326/SUM(S$253-S$252,S$276-S$275,S$280-S$279,,S$298-S$297,S$302-S$301,S$306-S$305,S$310-S$309,S$316-S$315),T$326/SUM(T$253-T$252,T$276-T$275,T$280-T$279,,T$298-T$297,T$302-T$301,T$306-T$305,T$310-T$309,T$316-T$315),U$326/SUM(U$253-U$252,U$276-U$275,U$280-U$279,,U$298-U$297,U$302-U$301,U$306-U$305,U$310-U$309,U$316-U$315)),U$326/SUM(U$253-U$252,U$276-U$275,U$280-U$279,,U$298-U$297,U$302-U$301,U$306-U$305,U$310-U$309,U$316-U$315))*SUM(V$253-V$252,V$276-V$275,V$280-V$279,,V$298-V$297,V$302-V$301,V$306-V$305,V$310-V$309,V$316-V$315)</f>
        <v>11.388307600245811</v>
      </c>
      <c r="W326" s="21">
        <f ca="1">IF(W$6=OFFSET(Assumptions!$B$8,0,$C$1),AVERAGE(T$326/SUM(T$253-T$252,T$276-T$275,T$280-T$279,,T$298-T$297,T$302-T$301,T$306-T$305,T$310-T$309,T$316-T$315),U$326/SUM(U$253-U$252,U$276-U$275,U$280-U$279,,U$298-U$297,U$302-U$301,U$306-U$305,U$310-U$309,U$316-U$315),V$326/SUM(V$253-V$252,V$276-V$275,V$280-V$279,,V$298-V$297,V$302-V$301,V$306-V$305,V$310-V$309,V$316-V$315)),V$326/SUM(V$253-V$252,V$276-V$275,V$280-V$279,,V$298-V$297,V$302-V$301,V$306-V$305,V$310-V$309,V$316-V$315))*SUM(W$253-W$252,W$276-W$275,W$280-W$279,,W$298-W$297,W$302-W$301,W$306-W$305,W$310-W$309,W$316-W$315)</f>
        <v>11.619629089584787</v>
      </c>
      <c r="X326" s="21">
        <f ca="1">IF(X$6=OFFSET(Assumptions!$B$8,0,$C$1),AVERAGE(U$326/SUM(U$253-U$252,U$276-U$275,U$280-U$279,,U$298-U$297,U$302-U$301,U$306-U$305,U$310-U$309,U$316-U$315),V$326/SUM(V$253-V$252,V$276-V$275,V$280-V$279,,V$298-V$297,V$302-V$301,V$306-V$305,V$310-V$309,V$316-V$315),W$326/SUM(W$253-W$252,W$276-W$275,W$280-W$279,,W$298-W$297,W$302-W$301,W$306-W$305,W$310-W$309,W$316-W$315)),W$326/SUM(W$253-W$252,W$276-W$275,W$280-W$279,,W$298-W$297,W$302-W$301,W$306-W$305,W$310-W$309,W$316-W$315))*SUM(X$253-X$252,X$276-X$275,X$280-X$279,,X$298-X$297,X$302-X$301,X$306-X$305,X$310-X$309,X$316-X$315)</f>
        <v>11.855589596924265</v>
      </c>
      <c r="Y326" s="21">
        <f ca="1">IF(Y$6=OFFSET(Assumptions!$B$8,0,$C$1),AVERAGE(V$326/SUM(V$253-V$252,V$276-V$275,V$280-V$279,,V$298-V$297,V$302-V$301,V$306-V$305,V$310-V$309,V$316-V$315),W$326/SUM(W$253-W$252,W$276-W$275,W$280-W$279,,W$298-W$297,W$302-W$301,W$306-W$305,W$310-W$309,W$316-W$315),X$326/SUM(X$253-X$252,X$276-X$275,X$280-X$279,,X$298-X$297,X$302-X$301,X$306-X$305,X$310-X$309,X$316-X$315)),X$326/SUM(X$253-X$252,X$276-X$275,X$280-X$279,,X$298-X$297,X$302-X$301,X$306-X$305,X$310-X$309,X$316-X$315))*SUM(Y$253-Y$252,Y$276-Y$275,Y$280-Y$279,,Y$298-Y$297,Y$302-Y$301,Y$306-Y$305,Y$310-Y$309,Y$316-Y$315)</f>
        <v>12.096355950940298</v>
      </c>
      <c r="Z326" s="21">
        <f ca="1">IF(Z$6=OFFSET(Assumptions!$B$8,0,$C$1),AVERAGE(W$326/SUM(W$253-W$252,W$276-W$275,W$280-W$279,,W$298-W$297,W$302-W$301,W$306-W$305,W$310-W$309,W$316-W$315),X$326/SUM(X$253-X$252,X$276-X$275,X$280-X$279,,X$298-X$297,X$302-X$301,X$306-X$305,X$310-X$309,X$316-X$315),Y$326/SUM(Y$253-Y$252,Y$276-Y$275,Y$280-Y$279,,Y$298-Y$297,Y$302-Y$301,Y$306-Y$305,Y$310-Y$309,Y$316-Y$315)),Y$326/SUM(Y$253-Y$252,Y$276-Y$275,Y$280-Y$279,,Y$298-Y$297,Y$302-Y$301,Y$306-Y$305,Y$310-Y$309,Y$316-Y$315))*SUM(Z$253-Z$252,Z$276-Z$275,Z$280-Z$279,,Z$298-Z$297,Z$302-Z$301,Z$306-Z$305,Z$310-Z$309,Z$316-Z$315)</f>
        <v>12.341948739284053</v>
      </c>
    </row>
    <row r="327" spans="1:26" x14ac:dyDescent="0.25">
      <c r="A327" s="11" t="s">
        <v>1324</v>
      </c>
      <c r="B327" s="14" t="str">
        <f>$B$38</f>
        <v>From Fiscal Forecasts</v>
      </c>
      <c r="D327" s="51">
        <f>'Fiscal Forecasts'!D$212</f>
        <v>8.64</v>
      </c>
      <c r="E327" s="51">
        <f>'Fiscal Forecasts'!E$212</f>
        <v>8.3070000000000004</v>
      </c>
      <c r="F327" s="51">
        <f>'Fiscal Forecasts'!F$212</f>
        <v>10.321999999999999</v>
      </c>
      <c r="G327" s="51">
        <f>'Fiscal Forecasts'!G$212</f>
        <v>9.5259999999999998</v>
      </c>
      <c r="H327" s="51">
        <f>'Fiscal Forecasts'!H$212</f>
        <v>8.5609999999999999</v>
      </c>
      <c r="I327" s="51">
        <f>'Fiscal Forecasts'!I$212</f>
        <v>12.183</v>
      </c>
      <c r="J327" s="51">
        <f>'Fiscal Forecasts'!J$212</f>
        <v>12.195</v>
      </c>
      <c r="K327" s="51">
        <f>'Fiscal Forecasts'!K$212</f>
        <v>9.9339999999999993</v>
      </c>
      <c r="L327" s="47">
        <f>'Fiscal Forecasts'!L$212</f>
        <v>11.852</v>
      </c>
      <c r="M327" s="47">
        <f>'Fiscal Forecasts'!M$212</f>
        <v>11.510999999999999</v>
      </c>
      <c r="N327" s="47">
        <f>'Fiscal Forecasts'!N$212</f>
        <v>11.73</v>
      </c>
      <c r="O327" s="47">
        <f>'Fiscal Forecasts'!O$212</f>
        <v>12.061999999999999</v>
      </c>
      <c r="P327" s="47">
        <f>'Fiscal Forecasts'!P$212</f>
        <v>12.221</v>
      </c>
      <c r="Q327" s="21">
        <f ca="1">IF(Q$6=OFFSET(Assumptions!$B$8,0,$C$1),AVERAGE(N$327/(N$294-N$293),O$327/(O$294-O$293),P$327/(P$294-P$293)),P$327/(P$294-P$293))*(Q$294-Q$293)</f>
        <v>12.644217615000324</v>
      </c>
      <c r="R327" s="21">
        <f ca="1">IF(R$6=OFFSET(Assumptions!$B$8,0,$C$1),AVERAGE(O$327/(O$294-O$293),P$327/(P$294-P$293),Q$327/(Q$294-Q$293)),Q$327/(Q$294-Q$293))*(R$294-R$293)</f>
        <v>13.055465580962959</v>
      </c>
      <c r="S327" s="21">
        <f ca="1">IF(S$6=OFFSET(Assumptions!$B$8,0,$C$1),AVERAGE(P$327/(P$294-P$293),Q$327/(Q$294-Q$293),R$327/(R$294-R$293)),R$327/(R$294-R$293))*(S$294-S$293)</f>
        <v>13.475650796977892</v>
      </c>
      <c r="T327" s="21">
        <f ca="1">IF(T$6=OFFSET(Assumptions!$B$8,0,$C$1),AVERAGE(Q$327/(Q$294-Q$293),R$327/(R$294-R$293),S$327/(S$294-S$293)),S$327/(S$294-S$293))*(T$294-T$293)</f>
        <v>13.90080059120446</v>
      </c>
      <c r="U327" s="21">
        <f ca="1">IF(U$6=OFFSET(Assumptions!$B$8,0,$C$1),AVERAGE(R$327/(R$294-R$293),S$327/(S$294-S$293),T$327/(T$294-T$293)),T$327/(T$294-T$293))*(U$294-U$293)</f>
        <v>14.338180631128468</v>
      </c>
      <c r="V327" s="21">
        <f ca="1">IF(V$6=OFFSET(Assumptions!$B$8,0,$C$1),AVERAGE(S$327/(S$294-S$293),T$327/(T$294-T$293),U$327/(U$294-U$293)),U$327/(U$294-U$293))*(V$294-V$293)</f>
        <v>14.784063051403757</v>
      </c>
      <c r="W327" s="21">
        <f ca="1">IF(W$6=OFFSET(Assumptions!$B$8,0,$C$1),AVERAGE(T$327/(T$294-T$293),U$327/(U$294-U$293),V$327/(V$294-V$293)),V$327/(V$294-V$293))*(W$294-W$293)</f>
        <v>15.227218882747941</v>
      </c>
      <c r="X327" s="21">
        <f ca="1">IF(X$6=OFFSET(Assumptions!$B$8,0,$C$1),AVERAGE(U$327/(U$294-U$293),V$327/(V$294-V$293),W$327/(W$294-W$293)),W$327/(W$294-W$293))*(X$294-X$293)</f>
        <v>15.679703027134041</v>
      </c>
      <c r="Y327" s="21">
        <f ca="1">IF(Y$6=OFFSET(Assumptions!$B$8,0,$C$1),AVERAGE(V$327/(V$294-V$293),W$327/(W$294-W$293),X$327/(X$294-X$293)),X$327/(X$294-X$293))*(Y$294-Y$293)</f>
        <v>16.14590608684399</v>
      </c>
      <c r="Z327" s="21">
        <f ca="1">IF(Z$6=OFFSET(Assumptions!$B$8,0,$C$1),AVERAGE(W$327/(W$294-W$293),X$327/(X$294-X$293),Y$327/(Y$294-Y$293)),Y$327/(Y$294-Y$293))*(Z$294-Z$293)</f>
        <v>16.622320734555245</v>
      </c>
    </row>
    <row r="328" spans="1:26" x14ac:dyDescent="0.25">
      <c r="A328" s="11" t="s">
        <v>1325</v>
      </c>
      <c r="B328" s="14" t="str">
        <f>$B$38</f>
        <v>From Fiscal Forecasts</v>
      </c>
      <c r="D328" s="51">
        <f>'Fiscal Forecasts'!D$213</f>
        <v>-3.629</v>
      </c>
      <c r="E328" s="51">
        <f>'Fiscal Forecasts'!E$213</f>
        <v>-3.7549999999999999</v>
      </c>
      <c r="F328" s="51">
        <f>'Fiscal Forecasts'!F$213</f>
        <v>-4.7350000000000003</v>
      </c>
      <c r="G328" s="51">
        <f>'Fiscal Forecasts'!G$213</f>
        <v>-4.2939999999999996</v>
      </c>
      <c r="H328" s="51">
        <f>'Fiscal Forecasts'!H$213</f>
        <v>-4.1829999999999998</v>
      </c>
      <c r="I328" s="51">
        <f>'Fiscal Forecasts'!I$213</f>
        <v>-4.7560000000000002</v>
      </c>
      <c r="J328" s="51">
        <f>'Fiscal Forecasts'!J$213</f>
        <v>-4.1790000000000003</v>
      </c>
      <c r="K328" s="51">
        <f>'Fiscal Forecasts'!K$213</f>
        <v>-4.7279999999999998</v>
      </c>
      <c r="L328" s="47">
        <f>'Fiscal Forecasts'!L$213</f>
        <v>-4.1150000000000002</v>
      </c>
      <c r="M328" s="47">
        <f>'Fiscal Forecasts'!M$213</f>
        <v>-4.0739999999999998</v>
      </c>
      <c r="N328" s="47">
        <f>'Fiscal Forecasts'!N$213</f>
        <v>-4.0599999999999996</v>
      </c>
      <c r="O328" s="47">
        <f>'Fiscal Forecasts'!O$213</f>
        <v>-4.2610000000000001</v>
      </c>
      <c r="P328" s="47">
        <f>'Fiscal Forecasts'!P$213</f>
        <v>-4.2300000000000004</v>
      </c>
      <c r="Q328" s="21">
        <f t="shared" ref="Q328:Z328" ca="1" si="182">SUM(Q$253-Q$252,Q$276-Q$275,Q$280-Q$279,Q$294-Q$293,Q$298-Q$297,Q$302-Q$301,Q$306-Q$305,Q$310-Q$309,Q$316-Q$315,-Q$326,-Q$327)</f>
        <v>-4.3429394168411442</v>
      </c>
      <c r="R328" s="21">
        <f t="shared" ca="1" si="182"/>
        <v>-4.4338146233657216</v>
      </c>
      <c r="S328" s="21">
        <f t="shared" ca="1" si="182"/>
        <v>-4.5265241452863307</v>
      </c>
      <c r="T328" s="21">
        <f t="shared" ca="1" si="182"/>
        <v>-4.6210212785934885</v>
      </c>
      <c r="U328" s="21">
        <f t="shared" ca="1" si="182"/>
        <v>-4.7175049575724852</v>
      </c>
      <c r="V328" s="21">
        <f t="shared" ca="1" si="182"/>
        <v>-4.815919018631206</v>
      </c>
      <c r="W328" s="21">
        <f t="shared" ca="1" si="182"/>
        <v>-4.9160990440311281</v>
      </c>
      <c r="X328" s="21">
        <f t="shared" ca="1" si="182"/>
        <v>-5.0182954024552</v>
      </c>
      <c r="Y328" s="21">
        <f t="shared" ca="1" si="182"/>
        <v>-5.1226475429515066</v>
      </c>
      <c r="Z328" s="21">
        <f t="shared" ca="1" si="182"/>
        <v>-5.2291058355795208</v>
      </c>
    </row>
    <row r="330" spans="1:26" x14ac:dyDescent="0.25">
      <c r="A330" s="11" t="s">
        <v>1326</v>
      </c>
    </row>
    <row r="331" spans="1:26" x14ac:dyDescent="0.25">
      <c r="A331" s="12" t="s">
        <v>1327</v>
      </c>
      <c r="D331" s="50">
        <f t="shared" ref="D331:Z331" si="183">D$378</f>
        <v>1.9550000000000001</v>
      </c>
      <c r="E331" s="50">
        <f t="shared" si="183"/>
        <v>1.7000000000000001E-2</v>
      </c>
      <c r="F331" s="50">
        <f t="shared" si="183"/>
        <v>12.786</v>
      </c>
      <c r="G331" s="50">
        <f t="shared" si="183"/>
        <v>-5.133</v>
      </c>
      <c r="H331" s="50">
        <f t="shared" si="183"/>
        <v>5.766</v>
      </c>
      <c r="I331" s="50">
        <f t="shared" si="183"/>
        <v>8.3520000000000003</v>
      </c>
      <c r="J331" s="50">
        <f t="shared" si="183"/>
        <v>7.3129999999999997</v>
      </c>
      <c r="K331" s="50">
        <f t="shared" si="183"/>
        <v>10.266999999999999</v>
      </c>
      <c r="L331" s="48">
        <f t="shared" si="183"/>
        <v>5.2359999999999998</v>
      </c>
      <c r="M331" s="48">
        <f t="shared" si="183"/>
        <v>5.6260000000000003</v>
      </c>
      <c r="N331" s="48">
        <f t="shared" si="183"/>
        <v>6.0119999999999996</v>
      </c>
      <c r="O331" s="48">
        <f t="shared" si="183"/>
        <v>6.4580000000000002</v>
      </c>
      <c r="P331" s="48">
        <f t="shared" si="183"/>
        <v>6.9329999999999998</v>
      </c>
      <c r="Q331" s="20">
        <f t="shared" si="183"/>
        <v>7.2834499423829602</v>
      </c>
      <c r="R331" s="20">
        <f t="shared" si="183"/>
        <v>7.7304079092414062</v>
      </c>
      <c r="S331" s="20">
        <f t="shared" si="183"/>
        <v>8.1958958346018864</v>
      </c>
      <c r="T331" s="20">
        <f t="shared" si="183"/>
        <v>8.6807329460484794</v>
      </c>
      <c r="U331" s="20">
        <f t="shared" si="183"/>
        <v>9.1849444724228615</v>
      </c>
      <c r="V331" s="20">
        <f t="shared" si="183"/>
        <v>9.7089610235655766</v>
      </c>
      <c r="W331" s="20">
        <f t="shared" si="183"/>
        <v>10.256939818437033</v>
      </c>
      <c r="X331" s="20">
        <f t="shared" si="183"/>
        <v>10.834267609788034</v>
      </c>
      <c r="Y331" s="20">
        <f t="shared" si="183"/>
        <v>11.447369923344665</v>
      </c>
      <c r="Z331" s="20">
        <f t="shared" si="183"/>
        <v>12.103381608564206</v>
      </c>
    </row>
    <row r="332" spans="1:26" x14ac:dyDescent="0.25">
      <c r="A332" s="12" t="s">
        <v>1328</v>
      </c>
      <c r="B332" s="14" t="str">
        <f>$B$38</f>
        <v>From Fiscal Forecasts</v>
      </c>
      <c r="D332" s="50">
        <f>SUM('Fiscal Forecasts'!D$301,'Fiscal Forecasts'!D$307)-D$331</f>
        <v>1.2330000000000001</v>
      </c>
      <c r="E332" s="50">
        <f>SUM('Fiscal Forecasts'!E$301,'Fiscal Forecasts'!E$307)-E$331</f>
        <v>-3.9489999999999994</v>
      </c>
      <c r="F332" s="50">
        <f>SUM('Fiscal Forecasts'!F$301,'Fiscal Forecasts'!F$307)-F$331</f>
        <v>-5.2540000000000004</v>
      </c>
      <c r="G332" s="50">
        <f>SUM('Fiscal Forecasts'!G$301,'Fiscal Forecasts'!G$307)-G$331</f>
        <v>-6.0860000000000012</v>
      </c>
      <c r="H332" s="50">
        <f>SUM('Fiscal Forecasts'!H$301,'Fiscal Forecasts'!H$307)-H$331</f>
        <v>6.798</v>
      </c>
      <c r="I332" s="50">
        <f>SUM('Fiscal Forecasts'!I$301,'Fiscal Forecasts'!I$307)-I$331</f>
        <v>-0.45800000000000018</v>
      </c>
      <c r="J332" s="50">
        <f>SUM('Fiscal Forecasts'!J$301,'Fiscal Forecasts'!J$307)-J$331</f>
        <v>0.43100000000000094</v>
      </c>
      <c r="K332" s="50">
        <f>SUM('Fiscal Forecasts'!K$301,'Fiscal Forecasts'!K$307)-K$331</f>
        <v>1.7420000000000009</v>
      </c>
      <c r="L332" s="48">
        <f>SUM('Fiscal Forecasts'!L$301,'Fiscal Forecasts'!L$307)-L$331</f>
        <v>-6.2999999999999723E-2</v>
      </c>
      <c r="M332" s="48">
        <f>SUM('Fiscal Forecasts'!M$301,'Fiscal Forecasts'!M$307)-M$331</f>
        <v>-9.7000000000000419E-2</v>
      </c>
      <c r="N332" s="48">
        <f>SUM('Fiscal Forecasts'!N$301,'Fiscal Forecasts'!N$307)-N$331</f>
        <v>-0.12600000000000033</v>
      </c>
      <c r="O332" s="48">
        <f>SUM('Fiscal Forecasts'!O$301,'Fiscal Forecasts'!O$307)-O$331</f>
        <v>-0.13100000000000023</v>
      </c>
      <c r="P332" s="48">
        <f>SUM('Fiscal Forecasts'!P$301,'Fiscal Forecasts'!P$307)-P$331</f>
        <v>-0.13400000000000034</v>
      </c>
      <c r="Q332" s="20">
        <f t="shared" ref="Q332:Z332" ca="1" si="184">P$332*(1+Q$29)</f>
        <v>-0.13668000000000036</v>
      </c>
      <c r="R332" s="20">
        <f t="shared" ca="1" si="184"/>
        <v>-0.13941360000000036</v>
      </c>
      <c r="S332" s="20">
        <f t="shared" ca="1" si="184"/>
        <v>-0.14220187200000037</v>
      </c>
      <c r="T332" s="20">
        <f t="shared" ca="1" si="184"/>
        <v>-0.14504590944000037</v>
      </c>
      <c r="U332" s="20">
        <f t="shared" ca="1" si="184"/>
        <v>-0.14794682762880038</v>
      </c>
      <c r="V332" s="20">
        <f t="shared" ca="1" si="184"/>
        <v>-0.15090576418137638</v>
      </c>
      <c r="W332" s="20">
        <f t="shared" ca="1" si="184"/>
        <v>-0.15392387946500391</v>
      </c>
      <c r="X332" s="20">
        <f t="shared" ca="1" si="184"/>
        <v>-0.15700235705430399</v>
      </c>
      <c r="Y332" s="20">
        <f t="shared" ca="1" si="184"/>
        <v>-0.16014240419539008</v>
      </c>
      <c r="Z332" s="20">
        <f t="shared" ca="1" si="184"/>
        <v>-0.16334525227929789</v>
      </c>
    </row>
    <row r="333" spans="1:26" x14ac:dyDescent="0.25">
      <c r="A333" s="11" t="s">
        <v>1329</v>
      </c>
      <c r="D333" s="94">
        <f t="shared" ref="D333:P333" si="185">SUM(D$331:D$332)</f>
        <v>3.1880000000000002</v>
      </c>
      <c r="E333" s="94">
        <f t="shared" si="185"/>
        <v>-3.9319999999999995</v>
      </c>
      <c r="F333" s="94">
        <f t="shared" si="185"/>
        <v>7.5319999999999991</v>
      </c>
      <c r="G333" s="94">
        <f t="shared" si="185"/>
        <v>-11.219000000000001</v>
      </c>
      <c r="H333" s="94">
        <f t="shared" si="185"/>
        <v>12.564</v>
      </c>
      <c r="I333" s="94">
        <f t="shared" si="185"/>
        <v>7.8940000000000001</v>
      </c>
      <c r="J333" s="94">
        <f t="shared" si="185"/>
        <v>7.7440000000000007</v>
      </c>
      <c r="K333" s="94">
        <f t="shared" si="185"/>
        <v>12.009</v>
      </c>
      <c r="L333" s="95">
        <f t="shared" si="185"/>
        <v>5.173</v>
      </c>
      <c r="M333" s="95">
        <f t="shared" si="185"/>
        <v>5.5289999999999999</v>
      </c>
      <c r="N333" s="95">
        <f t="shared" si="185"/>
        <v>5.8859999999999992</v>
      </c>
      <c r="O333" s="95">
        <f t="shared" si="185"/>
        <v>6.327</v>
      </c>
      <c r="P333" s="95">
        <f t="shared" si="185"/>
        <v>6.7989999999999995</v>
      </c>
      <c r="Q333" s="96">
        <f t="shared" ref="Q333:Z333" ca="1" si="186">SUM(Q$331:Q$332)</f>
        <v>7.14676994238296</v>
      </c>
      <c r="R333" s="96">
        <f t="shared" ca="1" si="186"/>
        <v>7.5909943092414061</v>
      </c>
      <c r="S333" s="96">
        <f t="shared" ca="1" si="186"/>
        <v>8.0536939626018853</v>
      </c>
      <c r="T333" s="96">
        <f t="shared" ca="1" si="186"/>
        <v>8.5356870366084792</v>
      </c>
      <c r="U333" s="96">
        <f t="shared" ca="1" si="186"/>
        <v>9.0369976447940612</v>
      </c>
      <c r="V333" s="96">
        <f t="shared" ca="1" si="186"/>
        <v>9.5580552593842008</v>
      </c>
      <c r="W333" s="96">
        <f t="shared" ca="1" si="186"/>
        <v>10.103015938972028</v>
      </c>
      <c r="X333" s="96">
        <f t="shared" ca="1" si="186"/>
        <v>10.677265252733729</v>
      </c>
      <c r="Y333" s="96">
        <f t="shared" ca="1" si="186"/>
        <v>11.287227519149274</v>
      </c>
      <c r="Z333" s="96">
        <f t="shared" ca="1" si="186"/>
        <v>11.940036356284908</v>
      </c>
    </row>
    <row r="334" spans="1:26" x14ac:dyDescent="0.25">
      <c r="A334" s="12" t="s">
        <v>1020</v>
      </c>
      <c r="B334" s="14" t="str">
        <f>$B$38</f>
        <v>From Fiscal Forecasts</v>
      </c>
      <c r="D334" s="50">
        <f>SUM('Fiscal Forecasts'!D$302,'Fiscal Forecasts'!D$308)</f>
        <v>-7.8920000000000003</v>
      </c>
      <c r="E334" s="50">
        <f>SUM('Fiscal Forecasts'!E$302,'Fiscal Forecasts'!E$308)</f>
        <v>-4.32</v>
      </c>
      <c r="F334" s="50">
        <f>SUM('Fiscal Forecasts'!F$302,'Fiscal Forecasts'!F$308)</f>
        <v>12.293999999999999</v>
      </c>
      <c r="G334" s="50">
        <f>SUM('Fiscal Forecasts'!G$302,'Fiscal Forecasts'!G$308)</f>
        <v>1.3290000000000006</v>
      </c>
      <c r="H334" s="50">
        <f>SUM('Fiscal Forecasts'!H$302,'Fiscal Forecasts'!H$308)</f>
        <v>3</v>
      </c>
      <c r="I334" s="50">
        <f>SUM('Fiscal Forecasts'!I$302,'Fiscal Forecasts'!I$308)</f>
        <v>-3.415</v>
      </c>
      <c r="J334" s="50">
        <f>SUM('Fiscal Forecasts'!J$302,'Fiscal Forecasts'!J$308)</f>
        <v>2.9449999999999998</v>
      </c>
      <c r="K334" s="50">
        <f>SUM('Fiscal Forecasts'!K$302,'Fiscal Forecasts'!K$308)</f>
        <v>1.198</v>
      </c>
      <c r="L334" s="48">
        <f>SUM('Fiscal Forecasts'!L$302,'Fiscal Forecasts'!L$308)</f>
        <v>0.38500000000000001</v>
      </c>
      <c r="M334" s="48">
        <f>SUM('Fiscal Forecasts'!M$302,'Fiscal Forecasts'!M$308)</f>
        <v>0.70499999999999996</v>
      </c>
      <c r="N334" s="48">
        <f>SUM('Fiscal Forecasts'!N$302,'Fiscal Forecasts'!N$308)</f>
        <v>0.80200000000000005</v>
      </c>
      <c r="O334" s="48">
        <f>SUM('Fiscal Forecasts'!O$302,'Fiscal Forecasts'!O$308)</f>
        <v>0.90300000000000002</v>
      </c>
      <c r="P334" s="48">
        <f>SUM('Fiscal Forecasts'!P$302,'Fiscal Forecasts'!P$308)</f>
        <v>0.99999999999999989</v>
      </c>
      <c r="Q334" s="20">
        <f>P$334*Exogenous!AB$29/Exogenous!AA$29</f>
        <v>1.0363267389769488</v>
      </c>
      <c r="R334" s="20">
        <f>Q$334*Exogenous!AC$29/Exogenous!AB$29</f>
        <v>1.0802950857122942</v>
      </c>
      <c r="S334" s="20">
        <f>R$334*Exogenous!AD$29/Exogenous!AC$29</f>
        <v>1.1330471897300756</v>
      </c>
      <c r="T334" s="20">
        <f>S$334*Exogenous!AE$29/Exogenous!AD$29</f>
        <v>1.1969652329408531</v>
      </c>
      <c r="U334" s="20">
        <f>T$334*Exogenous!AF$29/Exogenous!AE$29</f>
        <v>1.2715589598048667</v>
      </c>
      <c r="V334" s="20">
        <f>U$334*Exogenous!AG$29/Exogenous!AF$29</f>
        <v>1.3495622108889265</v>
      </c>
      <c r="W334" s="20">
        <f>V$334*Exogenous!AH$29/Exogenous!AG$29</f>
        <v>1.4301190120455329</v>
      </c>
      <c r="X334" s="20">
        <f>W$334*Exogenous!AI$29/Exogenous!AH$29</f>
        <v>1.5127368065797728</v>
      </c>
      <c r="Y334" s="20">
        <f>X$334*Exogenous!AJ$29/Exogenous!AI$29</f>
        <v>1.598162204448075</v>
      </c>
      <c r="Z334" s="20">
        <f>Y$334*Exogenous!AK$29/Exogenous!AJ$29</f>
        <v>1.6858232592274347</v>
      </c>
    </row>
    <row r="335" spans="1:26" x14ac:dyDescent="0.25">
      <c r="A335" s="12" t="s">
        <v>1227</v>
      </c>
      <c r="B335" s="14" t="str">
        <f>$B$38</f>
        <v>From Fiscal Forecasts</v>
      </c>
      <c r="D335" s="50">
        <f>SUM('Fiscal Forecasts'!D$303,'Fiscal Forecasts'!D$309)</f>
        <v>0.254</v>
      </c>
      <c r="E335" s="50">
        <f>SUM('Fiscal Forecasts'!E$303,'Fiscal Forecasts'!E$309)</f>
        <v>-6.9000000000000006E-2</v>
      </c>
      <c r="F335" s="50">
        <f>SUM('Fiscal Forecasts'!F$303,'Fiscal Forecasts'!F$309)</f>
        <v>0.23199999999999998</v>
      </c>
      <c r="G335" s="50">
        <f>SUM('Fiscal Forecasts'!G$303,'Fiscal Forecasts'!G$309)</f>
        <v>0.85899999999999999</v>
      </c>
      <c r="H335" s="50">
        <f>SUM('Fiscal Forecasts'!H$303,'Fiscal Forecasts'!H$309)</f>
        <v>-0.13799999999999998</v>
      </c>
      <c r="I335" s="50">
        <f>SUM('Fiscal Forecasts'!I$303,'Fiscal Forecasts'!I$309)</f>
        <v>0.46499999999999997</v>
      </c>
      <c r="J335" s="50">
        <f>SUM('Fiscal Forecasts'!J$303,'Fiscal Forecasts'!J$309)</f>
        <v>-1.071</v>
      </c>
      <c r="K335" s="50">
        <f>SUM('Fiscal Forecasts'!K$303,'Fiscal Forecasts'!K$309)</f>
        <v>-0.81699999999999995</v>
      </c>
      <c r="L335" s="48">
        <f>SUM('Fiscal Forecasts'!L$303,'Fiscal Forecasts'!L$309)</f>
        <v>0.12</v>
      </c>
      <c r="M335" s="48">
        <f>SUM('Fiscal Forecasts'!M$303,'Fiscal Forecasts'!M$309)</f>
        <v>5.7000000000000002E-2</v>
      </c>
      <c r="N335" s="48">
        <f>SUM('Fiscal Forecasts'!N$303,'Fiscal Forecasts'!N$309)</f>
        <v>0.109</v>
      </c>
      <c r="O335" s="48">
        <f>SUM('Fiscal Forecasts'!O$303,'Fiscal Forecasts'!O$309)</f>
        <v>0.106</v>
      </c>
      <c r="P335" s="48">
        <f>SUM('Fiscal Forecasts'!P$303,'Fiscal Forecasts'!P$309)</f>
        <v>0.111</v>
      </c>
      <c r="Q335" s="20">
        <f t="shared" ref="Q335:Z335" ca="1" si="187">P$335*(1+Q$14)</f>
        <v>0.11583192871289606</v>
      </c>
      <c r="R335" s="20">
        <f t="shared" ca="1" si="187"/>
        <v>0.12076233014105901</v>
      </c>
      <c r="S335" s="20">
        <f t="shared" ca="1" si="187"/>
        <v>0.12582335163874564</v>
      </c>
      <c r="T335" s="20">
        <f t="shared" ca="1" si="187"/>
        <v>0.13100315541068408</v>
      </c>
      <c r="U335" s="20">
        <f t="shared" ca="1" si="187"/>
        <v>0.13636358276280239</v>
      </c>
      <c r="V335" s="20">
        <f t="shared" ca="1" si="187"/>
        <v>0.14190654006705766</v>
      </c>
      <c r="W335" s="20">
        <f t="shared" ca="1" si="187"/>
        <v>0.14760406319549119</v>
      </c>
      <c r="X335" s="20">
        <f t="shared" ca="1" si="187"/>
        <v>0.15346565137505819</v>
      </c>
      <c r="Y335" s="20">
        <f t="shared" ca="1" si="187"/>
        <v>0.15952195703503902</v>
      </c>
      <c r="Z335" s="20">
        <f t="shared" ca="1" si="187"/>
        <v>0.16577454218694485</v>
      </c>
    </row>
    <row r="336" spans="1:26" x14ac:dyDescent="0.25">
      <c r="A336" s="12" t="s">
        <v>1228</v>
      </c>
      <c r="B336" s="14" t="str">
        <f>$B$38</f>
        <v>From Fiscal Forecasts</v>
      </c>
      <c r="D336" s="50">
        <f>SUM('Fiscal Forecasts'!D$24,'Fiscal Forecasts'!D$25)-SUM(D$333:D$335)</f>
        <v>-2.6809999999999983</v>
      </c>
      <c r="E336" s="50">
        <f>SUM('Fiscal Forecasts'!E$24,'Fiscal Forecasts'!E$25)-SUM(E$333:E$335)</f>
        <v>-0.4009999999999998</v>
      </c>
      <c r="F336" s="50">
        <f>SUM('Fiscal Forecasts'!F$24,'Fiscal Forecasts'!F$25)-SUM(F$333:F$335)</f>
        <v>0.96500000000000341</v>
      </c>
      <c r="G336" s="50">
        <f>SUM('Fiscal Forecasts'!G$24,'Fiscal Forecasts'!G$25)-SUM(G$333:G$335)</f>
        <v>2.3090000000000011</v>
      </c>
      <c r="H336" s="50">
        <f>SUM('Fiscal Forecasts'!H$24,'Fiscal Forecasts'!H$25)-SUM(H$333:H$335)</f>
        <v>-0.76799999999999891</v>
      </c>
      <c r="I336" s="50">
        <f>SUM('Fiscal Forecasts'!I$24,'Fiscal Forecasts'!I$25)-SUM(I$333:I$335)</f>
        <v>-0.27700000000000014</v>
      </c>
      <c r="J336" s="50">
        <f>SUM('Fiscal Forecasts'!J$24,'Fiscal Forecasts'!J$25)-SUM(J$333:J$335)</f>
        <v>-0.74799999999999933</v>
      </c>
      <c r="K336" s="50">
        <f>SUM('Fiscal Forecasts'!K$24,'Fiscal Forecasts'!K$25)-SUM(K$333:K$335)</f>
        <v>-1.1380000000000017</v>
      </c>
      <c r="L336" s="48">
        <f>SUM('Fiscal Forecasts'!L$24,'Fiscal Forecasts'!L$25)-SUM(L$333:L$335)</f>
        <v>-8.3000000000000185E-2</v>
      </c>
      <c r="M336" s="48">
        <f>SUM('Fiscal Forecasts'!M$24,'Fiscal Forecasts'!M$25)-SUM(M$333:M$335)</f>
        <v>-0.10500000000000043</v>
      </c>
      <c r="N336" s="48">
        <f>SUM('Fiscal Forecasts'!N$24,'Fiscal Forecasts'!N$25)-SUM(N$333:N$335)</f>
        <v>-0.12699999999999889</v>
      </c>
      <c r="O336" s="48">
        <f>SUM('Fiscal Forecasts'!O$24,'Fiscal Forecasts'!O$25)-SUM(O$333:O$335)</f>
        <v>-0.17400000000000038</v>
      </c>
      <c r="P336" s="48">
        <f>SUM('Fiscal Forecasts'!P$24,'Fiscal Forecasts'!P$25)-SUM(P$333:P$335)</f>
        <v>-0.10499999999999954</v>
      </c>
      <c r="Q336" s="20">
        <f t="shared" ref="Q336:Z336" ca="1" si="188">P$336*(1+Q$14)</f>
        <v>-0.10957074337706335</v>
      </c>
      <c r="R336" s="20">
        <f t="shared" ca="1" si="188"/>
        <v>-0.11423463661992017</v>
      </c>
      <c r="S336" s="20">
        <f t="shared" ca="1" si="188"/>
        <v>-0.11902208938800209</v>
      </c>
      <c r="T336" s="20">
        <f t="shared" ca="1" si="188"/>
        <v>-0.12392190376686274</v>
      </c>
      <c r="U336" s="20">
        <f t="shared" ca="1" si="188"/>
        <v>-0.12899257828913679</v>
      </c>
      <c r="V336" s="20">
        <f t="shared" ca="1" si="188"/>
        <v>-0.13423591627964851</v>
      </c>
      <c r="W336" s="20">
        <f t="shared" ca="1" si="188"/>
        <v>-0.13962546518492344</v>
      </c>
      <c r="X336" s="20">
        <f t="shared" ca="1" si="188"/>
        <v>-0.14517021076018949</v>
      </c>
      <c r="Y336" s="20">
        <f t="shared" ca="1" si="188"/>
        <v>-0.15089914854665781</v>
      </c>
      <c r="Z336" s="20">
        <f t="shared" ca="1" si="188"/>
        <v>-0.15681375612278492</v>
      </c>
    </row>
    <row r="337" spans="1:26" x14ac:dyDescent="0.25">
      <c r="A337" s="11" t="s">
        <v>1330</v>
      </c>
      <c r="D337" s="94">
        <f t="shared" ref="D337:P337" si="189">SUM(D$333:D$336)</f>
        <v>-7.1309999999999993</v>
      </c>
      <c r="E337" s="94">
        <f t="shared" si="189"/>
        <v>-8.7219999999999995</v>
      </c>
      <c r="F337" s="94">
        <f t="shared" si="189"/>
        <v>21.023</v>
      </c>
      <c r="G337" s="94">
        <f t="shared" si="189"/>
        <v>-6.7219999999999995</v>
      </c>
      <c r="H337" s="94">
        <f t="shared" si="189"/>
        <v>14.658000000000001</v>
      </c>
      <c r="I337" s="94">
        <f t="shared" si="189"/>
        <v>4.6669999999999998</v>
      </c>
      <c r="J337" s="94">
        <f t="shared" si="189"/>
        <v>8.870000000000001</v>
      </c>
      <c r="K337" s="94">
        <f t="shared" si="189"/>
        <v>11.251999999999999</v>
      </c>
      <c r="L337" s="95">
        <f t="shared" si="189"/>
        <v>5.5949999999999998</v>
      </c>
      <c r="M337" s="95">
        <f t="shared" si="189"/>
        <v>6.1859999999999999</v>
      </c>
      <c r="N337" s="95">
        <f t="shared" si="189"/>
        <v>6.67</v>
      </c>
      <c r="O337" s="95">
        <f t="shared" si="189"/>
        <v>7.1619999999999999</v>
      </c>
      <c r="P337" s="95">
        <f t="shared" si="189"/>
        <v>7.8049999999999997</v>
      </c>
      <c r="Q337" s="96">
        <f t="shared" ref="Q337:Z337" ca="1" si="190">SUM(Q$333:Q$336)</f>
        <v>8.1893578666957438</v>
      </c>
      <c r="R337" s="96">
        <f t="shared" ca="1" si="190"/>
        <v>8.6778170884748373</v>
      </c>
      <c r="S337" s="96">
        <f t="shared" ca="1" si="190"/>
        <v>9.1935424145827049</v>
      </c>
      <c r="T337" s="96">
        <f t="shared" ca="1" si="190"/>
        <v>9.7397335211931519</v>
      </c>
      <c r="U337" s="96">
        <f t="shared" ca="1" si="190"/>
        <v>10.315927609072595</v>
      </c>
      <c r="V337" s="96">
        <f t="shared" ca="1" si="190"/>
        <v>10.915288094060537</v>
      </c>
      <c r="W337" s="96">
        <f t="shared" ca="1" si="190"/>
        <v>11.541113549028129</v>
      </c>
      <c r="X337" s="96">
        <f t="shared" ca="1" si="190"/>
        <v>12.198297499928369</v>
      </c>
      <c r="Y337" s="96">
        <f t="shared" ca="1" si="190"/>
        <v>12.89401253208573</v>
      </c>
      <c r="Z337" s="96">
        <f t="shared" ca="1" si="190"/>
        <v>13.634820401576503</v>
      </c>
    </row>
    <row r="339" spans="1:26" x14ac:dyDescent="0.25">
      <c r="A339" s="11" t="s">
        <v>881</v>
      </c>
    </row>
    <row r="340" spans="1:26" x14ac:dyDescent="0.25">
      <c r="A340" s="11" t="s">
        <v>1331</v>
      </c>
      <c r="B340" s="14" t="str">
        <f>$B$38</f>
        <v>From Fiscal Forecasts</v>
      </c>
      <c r="D340" s="51">
        <f>'Fiscal Forecasts'!D$177-SUM('Fiscal Forecasts'!D$301,'Fiscal Forecasts'!D$307)</f>
        <v>4.0000000000000036E-3</v>
      </c>
      <c r="E340" s="51">
        <f>'Fiscal Forecasts'!E$177-SUM('Fiscal Forecasts'!E$301,'Fiscal Forecasts'!E$307)</f>
        <v>-4.2000000000000703E-2</v>
      </c>
      <c r="F340" s="51">
        <f>'Fiscal Forecasts'!F$177-SUM('Fiscal Forecasts'!F$301,'Fiscal Forecasts'!F$307)</f>
        <v>-3.199999999999914E-2</v>
      </c>
      <c r="G340" s="51">
        <f>'Fiscal Forecasts'!G$177-SUM('Fiscal Forecasts'!G$301,'Fiscal Forecasts'!G$307)</f>
        <v>-0.18699999999999939</v>
      </c>
      <c r="H340" s="51">
        <f>'Fiscal Forecasts'!H$177-SUM('Fiscal Forecasts'!H$301,'Fiscal Forecasts'!H$307)</f>
        <v>-9.5000000000000639E-2</v>
      </c>
      <c r="I340" s="51">
        <f>'Fiscal Forecasts'!I$177-SUM('Fiscal Forecasts'!I$301,'Fiscal Forecasts'!I$307)</f>
        <v>-9.9999999999997868E-3</v>
      </c>
      <c r="J340" s="51">
        <f>'Fiscal Forecasts'!J$177-SUM('Fiscal Forecasts'!J$301,'Fiscal Forecasts'!J$307)</f>
        <v>-5.7000000000000384E-2</v>
      </c>
      <c r="K340" s="51">
        <f>'Fiscal Forecasts'!K$177-SUM('Fiscal Forecasts'!K$301,'Fiscal Forecasts'!K$307)</f>
        <v>-3.2000000000000028E-2</v>
      </c>
      <c r="L340" s="47">
        <f>'Fiscal Forecasts'!L$177-SUM('Fiscal Forecasts'!L$301,'Fiscal Forecasts'!L$307)</f>
        <v>3.9999999999995595E-3</v>
      </c>
      <c r="M340" s="47">
        <f>'Fiscal Forecasts'!M$177-SUM('Fiscal Forecasts'!M$301,'Fiscal Forecasts'!M$307)</f>
        <v>1.499999999999968E-2</v>
      </c>
      <c r="N340" s="47">
        <f>'Fiscal Forecasts'!N$177-SUM('Fiscal Forecasts'!N$301,'Fiscal Forecasts'!N$307)</f>
        <v>1.1000000000001009E-2</v>
      </c>
      <c r="O340" s="47">
        <f>'Fiscal Forecasts'!O$177-SUM('Fiscal Forecasts'!O$301,'Fiscal Forecasts'!O$307)</f>
        <v>1.2000000000000455E-2</v>
      </c>
      <c r="P340" s="47">
        <f>'Fiscal Forecasts'!P$177-SUM('Fiscal Forecasts'!P$301,'Fiscal Forecasts'!P$307)</f>
        <v>1.0000000000000675E-2</v>
      </c>
      <c r="Q340" s="21">
        <f t="shared" ref="Q340:Z340" ca="1" si="191">P$340*(1+Q$14)</f>
        <v>1.0435308893054404E-2</v>
      </c>
      <c r="R340" s="21">
        <f t="shared" ca="1" si="191"/>
        <v>1.0879489201897944E-2</v>
      </c>
      <c r="S340" s="21">
        <f t="shared" ca="1" si="191"/>
        <v>1.1335437084572445E-2</v>
      </c>
      <c r="T340" s="21">
        <f t="shared" ca="1" si="191"/>
        <v>1.1802086073035397E-2</v>
      </c>
      <c r="U340" s="21">
        <f t="shared" ca="1" si="191"/>
        <v>1.2285007456109151E-2</v>
      </c>
      <c r="V340" s="21">
        <f t="shared" ca="1" si="191"/>
        <v>1.2784372979015064E-2</v>
      </c>
      <c r="W340" s="21">
        <f t="shared" ca="1" si="191"/>
        <v>1.3297663350946046E-2</v>
      </c>
      <c r="X340" s="21">
        <f t="shared" ca="1" si="191"/>
        <v>1.3825734358114281E-2</v>
      </c>
      <c r="Y340" s="21">
        <f t="shared" ca="1" si="191"/>
        <v>1.4371347480635113E-2</v>
      </c>
      <c r="Z340" s="21">
        <f t="shared" ca="1" si="191"/>
        <v>1.4934643440266305E-2</v>
      </c>
    </row>
    <row r="341" spans="1:26" x14ac:dyDescent="0.25">
      <c r="A341" s="11" t="s">
        <v>1332</v>
      </c>
      <c r="B341" s="14" t="str">
        <f>$B$38</f>
        <v>From Fiscal Forecasts</v>
      </c>
      <c r="D341" s="51">
        <f>'Fiscal Forecasts'!D$27</f>
        <v>0.20599999999999999</v>
      </c>
      <c r="E341" s="51">
        <f>'Fiscal Forecasts'!E$27</f>
        <v>1.1930000000000001</v>
      </c>
      <c r="F341" s="51">
        <f>'Fiscal Forecasts'!F$27</f>
        <v>-0.36</v>
      </c>
      <c r="G341" s="51">
        <f>'Fiscal Forecasts'!G$27</f>
        <v>-0.126</v>
      </c>
      <c r="H341" s="51">
        <f>'Fiscal Forecasts'!H$27</f>
        <v>2.9000000000000001E-2</v>
      </c>
      <c r="I341" s="51">
        <f>'Fiscal Forecasts'!I$27</f>
        <v>0.12</v>
      </c>
      <c r="J341" s="51">
        <f>'Fiscal Forecasts'!J$27</f>
        <v>0.214</v>
      </c>
      <c r="K341" s="51">
        <f>'Fiscal Forecasts'!K$27</f>
        <v>0.27400000000000002</v>
      </c>
      <c r="L341" s="47">
        <f>'Fiscal Forecasts'!L$27</f>
        <v>0.26500000000000001</v>
      </c>
      <c r="M341" s="47">
        <f>'Fiscal Forecasts'!M$27</f>
        <v>0.252</v>
      </c>
      <c r="N341" s="47">
        <f>'Fiscal Forecasts'!N$27</f>
        <v>0.22</v>
      </c>
      <c r="O341" s="47">
        <f>'Fiscal Forecasts'!O$27</f>
        <v>0.127</v>
      </c>
      <c r="P341" s="47">
        <f>'Fiscal Forecasts'!P$27</f>
        <v>7.0000000000000007E-2</v>
      </c>
      <c r="Q341" s="21">
        <f t="shared" ref="Q341:Z341" ca="1" si="192">Q$340+(P$341-P$340)*(1+Q$14)</f>
        <v>7.3047162251375891E-2</v>
      </c>
      <c r="R341" s="21">
        <f t="shared" ca="1" si="192"/>
        <v>7.6156424413280466E-2</v>
      </c>
      <c r="S341" s="21">
        <f t="shared" ca="1" si="192"/>
        <v>7.9348059592001752E-2</v>
      </c>
      <c r="T341" s="21">
        <f t="shared" ca="1" si="192"/>
        <v>8.2614602511242197E-2</v>
      </c>
      <c r="U341" s="21">
        <f t="shared" ca="1" si="192"/>
        <v>8.5995052192758242E-2</v>
      </c>
      <c r="V341" s="21">
        <f t="shared" ca="1" si="192"/>
        <v>8.9490610853099395E-2</v>
      </c>
      <c r="W341" s="21">
        <f t="shared" ca="1" si="192"/>
        <v>9.308364345661603E-2</v>
      </c>
      <c r="X341" s="21">
        <f t="shared" ca="1" si="192"/>
        <v>9.6780140506793413E-2</v>
      </c>
      <c r="Y341" s="21">
        <f t="shared" ca="1" si="192"/>
        <v>0.10059943236443897</v>
      </c>
      <c r="Z341" s="21">
        <f t="shared" ca="1" si="192"/>
        <v>0.10454250408185706</v>
      </c>
    </row>
    <row r="343" spans="1:26" x14ac:dyDescent="0.25">
      <c r="A343" s="11" t="s">
        <v>941</v>
      </c>
    </row>
    <row r="344" spans="1:26" x14ac:dyDescent="0.25">
      <c r="A344" s="12" t="s">
        <v>1333</v>
      </c>
      <c r="D344" s="50">
        <f ca="1">OFFSET(Assumptions!$B$50,0,$C$1)*(D$384-D$350-D$391)</f>
        <v>1.31616</v>
      </c>
      <c r="E344" s="50">
        <f ca="1">OFFSET(Assumptions!$B$50,0,$C$1)*(E$384-E$350-E$391)</f>
        <v>1.29735</v>
      </c>
      <c r="F344" s="50">
        <f ca="1">OFFSET(Assumptions!$B$50,0,$C$1)*(F$384-F$350-F$391)</f>
        <v>1.6793399999999998</v>
      </c>
      <c r="G344" s="50">
        <f ca="1">OFFSET(Assumptions!$B$50,0,$C$1)*(G$384-G$350-G$391)</f>
        <v>1.8089399999999998</v>
      </c>
      <c r="H344" s="50">
        <f ca="1">OFFSET(Assumptions!$B$50,0,$C$1)*(H$384-H$350-H$391)</f>
        <v>1.7712000000000003</v>
      </c>
      <c r="I344" s="50">
        <f ca="1">OFFSET(Assumptions!$B$50,0,$C$1)*(I$384-I$350-I$391)</f>
        <v>2.0238899999999997</v>
      </c>
      <c r="J344" s="50">
        <f ca="1">OFFSET(Assumptions!$B$50,0,$C$1)*(J$384-J$350-J$391)</f>
        <v>2.2551899999999998</v>
      </c>
      <c r="K344" s="50">
        <f ca="1">OFFSET(Assumptions!$B$50,0,$C$1)*(K$384-K$350-K$391)</f>
        <v>2.5261199999999997</v>
      </c>
      <c r="L344" s="48">
        <f ca="1">OFFSET(Assumptions!$B$50,0,$C$1)*(L$384-L$350-L$391)</f>
        <v>2.8082699999999998</v>
      </c>
      <c r="M344" s="48">
        <f ca="1">OFFSET(Assumptions!$B$50,0,$C$1)*(M$384-M$350-M$391)</f>
        <v>3.0734999999999997</v>
      </c>
      <c r="N344" s="48">
        <f ca="1">OFFSET(Assumptions!$B$50,0,$C$1)*(N$384-N$350-N$391)</f>
        <v>3.2325900000000001</v>
      </c>
      <c r="O344" s="48">
        <f ca="1">OFFSET(Assumptions!$B$50,0,$C$1)*(O$384-O$350-O$391)</f>
        <v>3.4293900000000002</v>
      </c>
      <c r="P344" s="48">
        <f ca="1">OFFSET(Assumptions!$B$50,0,$C$1)*(P$384-P$350-P$391)</f>
        <v>3.6507000000000001</v>
      </c>
      <c r="Q344" s="20">
        <f ca="1">OFFSET(Assumptions!$B$50,0,$C$1)*(Q$384-Q$350-Q$391)</f>
        <v>3.8555168836921516</v>
      </c>
      <c r="R344" s="20">
        <f ca="1">OFFSET(Assumptions!$B$50,0,$C$1)*(R$384-R$350-R$391)</f>
        <v>4.0907614936116232</v>
      </c>
      <c r="S344" s="20">
        <f ca="1">OFFSET(Assumptions!$B$50,0,$C$1)*(S$384-S$350-S$391)</f>
        <v>4.3355826994696205</v>
      </c>
      <c r="T344" s="20">
        <f ca="1">OFFSET(Assumptions!$B$50,0,$C$1)*(T$384-T$350-T$391)</f>
        <v>4.5908237902422755</v>
      </c>
      <c r="U344" s="20">
        <f ca="1">OFFSET(Assumptions!$B$50,0,$C$1)*(U$384-U$350-U$391)</f>
        <v>4.8554975253519128</v>
      </c>
      <c r="V344" s="20">
        <f ca="1">OFFSET(Assumptions!$B$50,0,$C$1)*(V$384-V$350-V$391)</f>
        <v>5.1312818162294684</v>
      </c>
      <c r="W344" s="20">
        <f ca="1">OFFSET(Assumptions!$B$50,0,$C$1)*(W$384-W$350-W$391)</f>
        <v>5.4208727375388328</v>
      </c>
      <c r="X344" s="20">
        <f ca="1">OFFSET(Assumptions!$B$50,0,$C$1)*(X$384-X$350-X$391)</f>
        <v>5.7271350366906253</v>
      </c>
      <c r="Y344" s="20">
        <f ca="1">OFFSET(Assumptions!$B$50,0,$C$1)*(Y$384-Y$350-Y$391)</f>
        <v>6.0539090089442951</v>
      </c>
      <c r="Z344" s="20">
        <f ca="1">OFFSET(Assumptions!$B$50,0,$C$1)*(Z$384-Z$350-Z$391)</f>
        <v>6.4046646546135451</v>
      </c>
    </row>
    <row r="345" spans="1:26" x14ac:dyDescent="0.25">
      <c r="A345" s="12" t="s">
        <v>1334</v>
      </c>
      <c r="B345" s="14" t="str">
        <f>$B$38</f>
        <v>From Fiscal Forecasts</v>
      </c>
      <c r="D345" s="50">
        <f ca="1">'Fiscal Forecasts'!D$180-D$344</f>
        <v>16.06184</v>
      </c>
      <c r="E345" s="50">
        <f ca="1">'Fiscal Forecasts'!E$180-E$344</f>
        <v>16.883649999999999</v>
      </c>
      <c r="F345" s="50">
        <f ca="1">'Fiscal Forecasts'!F$180-F$344</f>
        <v>11.44966</v>
      </c>
      <c r="G345" s="50">
        <f ca="1">'Fiscal Forecasts'!G$180-G$344</f>
        <v>9.5990599999999997</v>
      </c>
      <c r="H345" s="50">
        <f ca="1">'Fiscal Forecasts'!H$180-H$344</f>
        <v>9.2018000000000004</v>
      </c>
      <c r="I345" s="50">
        <f ca="1">'Fiscal Forecasts'!I$180-I$344</f>
        <v>7.0871100000000009</v>
      </c>
      <c r="J345" s="50">
        <f ca="1">'Fiscal Forecasts'!J$180-J$344</f>
        <v>13.806810000000002</v>
      </c>
      <c r="K345" s="50">
        <f ca="1">'Fiscal Forecasts'!K$180-K$344</f>
        <v>17.553879999999999</v>
      </c>
      <c r="L345" s="48">
        <f ca="1">'Fiscal Forecasts'!L$180-L$344</f>
        <v>18.414729999999999</v>
      </c>
      <c r="M345" s="48">
        <f ca="1">'Fiscal Forecasts'!M$180-M$344</f>
        <v>18.426500000000001</v>
      </c>
      <c r="N345" s="48">
        <f ca="1">'Fiscal Forecasts'!N$180-N$344</f>
        <v>18.488410000000002</v>
      </c>
      <c r="O345" s="48">
        <f ca="1">'Fiscal Forecasts'!O$180-O$344</f>
        <v>18.16161</v>
      </c>
      <c r="P345" s="48">
        <f ca="1">'Fiscal Forecasts'!P$180-P$344</f>
        <v>17.622299999999999</v>
      </c>
      <c r="Q345" s="20">
        <f t="shared" ref="Q345:Z345" ca="1" si="193">P$345*(1+Q$14)</f>
        <v>18.389414390606017</v>
      </c>
      <c r="R345" s="20">
        <f t="shared" ca="1" si="193"/>
        <v>19.172162256259313</v>
      </c>
      <c r="S345" s="20">
        <f t="shared" ca="1" si="193"/>
        <v>19.975647293544743</v>
      </c>
      <c r="T345" s="20">
        <f t="shared" ca="1" si="193"/>
        <v>20.797990140483755</v>
      </c>
      <c r="U345" s="20">
        <f t="shared" ca="1" si="193"/>
        <v>21.649008689377759</v>
      </c>
      <c r="V345" s="20">
        <f t="shared" ca="1" si="193"/>
        <v>22.529005594808186</v>
      </c>
      <c r="W345" s="20">
        <f t="shared" ca="1" si="193"/>
        <v>23.433541286936059</v>
      </c>
      <c r="X345" s="20">
        <f t="shared" ca="1" si="193"/>
        <v>24.364123857898072</v>
      </c>
      <c r="Y345" s="20">
        <f t="shared" ca="1" si="193"/>
        <v>25.325619670797892</v>
      </c>
      <c r="Z345" s="20">
        <f t="shared" ca="1" si="193"/>
        <v>26.318276709738701</v>
      </c>
    </row>
    <row r="346" spans="1:26" x14ac:dyDescent="0.25">
      <c r="A346" s="11" t="s">
        <v>1335</v>
      </c>
      <c r="D346" s="94">
        <f t="shared" ref="D346:Z346" ca="1" si="194">SUM(D$344:D$345)</f>
        <v>17.378</v>
      </c>
      <c r="E346" s="94">
        <f t="shared" ca="1" si="194"/>
        <v>18.181000000000001</v>
      </c>
      <c r="F346" s="94">
        <f t="shared" ca="1" si="194"/>
        <v>13.129</v>
      </c>
      <c r="G346" s="94">
        <f t="shared" ca="1" si="194"/>
        <v>11.407999999999999</v>
      </c>
      <c r="H346" s="94">
        <f t="shared" ca="1" si="194"/>
        <v>10.973000000000001</v>
      </c>
      <c r="I346" s="94">
        <f t="shared" ca="1" si="194"/>
        <v>9.1110000000000007</v>
      </c>
      <c r="J346" s="94">
        <f t="shared" ca="1" si="194"/>
        <v>16.062000000000001</v>
      </c>
      <c r="K346" s="94">
        <f t="shared" ca="1" si="194"/>
        <v>20.079999999999998</v>
      </c>
      <c r="L346" s="95">
        <f t="shared" ca="1" si="194"/>
        <v>21.222999999999999</v>
      </c>
      <c r="M346" s="95">
        <f t="shared" ca="1" si="194"/>
        <v>21.5</v>
      </c>
      <c r="N346" s="95">
        <f t="shared" ca="1" si="194"/>
        <v>21.721000000000004</v>
      </c>
      <c r="O346" s="95">
        <f t="shared" ca="1" si="194"/>
        <v>21.591000000000001</v>
      </c>
      <c r="P346" s="95">
        <f t="shared" ca="1" si="194"/>
        <v>21.273</v>
      </c>
      <c r="Q346" s="96">
        <f t="shared" ca="1" si="194"/>
        <v>22.244931274298168</v>
      </c>
      <c r="R346" s="96">
        <f t="shared" ca="1" si="194"/>
        <v>23.262923749870936</v>
      </c>
      <c r="S346" s="96">
        <f t="shared" ca="1" si="194"/>
        <v>24.311229993014365</v>
      </c>
      <c r="T346" s="96">
        <f t="shared" ca="1" si="194"/>
        <v>25.38881393072603</v>
      </c>
      <c r="U346" s="96">
        <f t="shared" ca="1" si="194"/>
        <v>26.504506214729673</v>
      </c>
      <c r="V346" s="96">
        <f t="shared" ca="1" si="194"/>
        <v>27.660287411037654</v>
      </c>
      <c r="W346" s="96">
        <f t="shared" ca="1" si="194"/>
        <v>28.854414024474892</v>
      </c>
      <c r="X346" s="96">
        <f t="shared" ca="1" si="194"/>
        <v>30.091258894588698</v>
      </c>
      <c r="Y346" s="96">
        <f t="shared" ca="1" si="194"/>
        <v>31.379528679742187</v>
      </c>
      <c r="Z346" s="96">
        <f t="shared" ca="1" si="194"/>
        <v>32.722941364352245</v>
      </c>
    </row>
    <row r="347" spans="1:26" x14ac:dyDescent="0.25">
      <c r="A347" s="11" t="s">
        <v>1336</v>
      </c>
      <c r="B347" s="14" t="str">
        <f>$B$38</f>
        <v>From Fiscal Forecasts</v>
      </c>
      <c r="D347" s="51">
        <f>'Fiscal Forecasts'!D$120</f>
        <v>20.248000000000001</v>
      </c>
      <c r="E347" s="51">
        <f>'Fiscal Forecasts'!E$120</f>
        <v>21.927</v>
      </c>
      <c r="F347" s="51">
        <f>'Fiscal Forecasts'!F$120</f>
        <v>18.754999999999999</v>
      </c>
      <c r="G347" s="51">
        <f>'Fiscal Forecasts'!G$120</f>
        <v>17.835000000000001</v>
      </c>
      <c r="H347" s="51">
        <f>'Fiscal Forecasts'!H$120</f>
        <v>18.791</v>
      </c>
      <c r="I347" s="51">
        <f>'Fiscal Forecasts'!I$120</f>
        <v>16.212</v>
      </c>
      <c r="J347" s="51">
        <f>'Fiscal Forecasts'!J$120</f>
        <v>23.667999999999999</v>
      </c>
      <c r="K347" s="51">
        <f>'Fiscal Forecasts'!K$120</f>
        <v>28.646000000000001</v>
      </c>
      <c r="L347" s="47">
        <f>'Fiscal Forecasts'!L$120</f>
        <v>28.898</v>
      </c>
      <c r="M347" s="47">
        <f>'Fiscal Forecasts'!M$120</f>
        <v>28.678000000000001</v>
      </c>
      <c r="N347" s="47">
        <f>'Fiscal Forecasts'!N$120</f>
        <v>28.951000000000001</v>
      </c>
      <c r="O347" s="47">
        <f>'Fiscal Forecasts'!O$120</f>
        <v>28.582000000000001</v>
      </c>
      <c r="P347" s="47">
        <f>'Fiscal Forecasts'!P$120</f>
        <v>28.151</v>
      </c>
      <c r="Q347" s="21">
        <f t="shared" ref="Q347:Z347" ca="1" si="195">Q$346+(P$347-P$346)*(1+Q$14)</f>
        <v>29.422336730940501</v>
      </c>
      <c r="R347" s="21">
        <f t="shared" ca="1" si="195"/>
        <v>30.745836422935835</v>
      </c>
      <c r="S347" s="21">
        <f t="shared" ca="1" si="195"/>
        <v>32.107743619782767</v>
      </c>
      <c r="T347" s="21">
        <f t="shared" ca="1" si="195"/>
        <v>33.506288731759227</v>
      </c>
      <c r="U347" s="21">
        <f t="shared" ca="1" si="195"/>
        <v>34.954134343040977</v>
      </c>
      <c r="V347" s="21">
        <f t="shared" ca="1" si="195"/>
        <v>36.45337914600362</v>
      </c>
      <c r="W347" s="21">
        <f t="shared" ca="1" si="195"/>
        <v>38.000546877254962</v>
      </c>
      <c r="X347" s="21">
        <f t="shared" ca="1" si="195"/>
        <v>39.600598986099058</v>
      </c>
      <c r="Y347" s="21">
        <f t="shared" ca="1" si="195"/>
        <v>41.264141476922347</v>
      </c>
      <c r="Z347" s="21">
        <f t="shared" ca="1" si="195"/>
        <v>42.994989122566714</v>
      </c>
    </row>
    <row r="349" spans="1:26" x14ac:dyDescent="0.25">
      <c r="A349" s="11" t="s">
        <v>942</v>
      </c>
    </row>
    <row r="350" spans="1:26" x14ac:dyDescent="0.25">
      <c r="A350" s="12" t="s">
        <v>1337</v>
      </c>
      <c r="D350" s="50">
        <f t="shared" ref="D350:P350" si="196">D$384-D$76+D$75-D$72</f>
        <v>-1.567999999999997</v>
      </c>
      <c r="E350" s="50">
        <f t="shared" si="196"/>
        <v>1.2899999999999934</v>
      </c>
      <c r="F350" s="50">
        <f t="shared" si="196"/>
        <v>0.86300000000000299</v>
      </c>
      <c r="G350" s="50">
        <f t="shared" si="196"/>
        <v>0.49900000000000599</v>
      </c>
      <c r="H350" s="50">
        <f t="shared" si="196"/>
        <v>1.8429999999999807</v>
      </c>
      <c r="I350" s="50">
        <f t="shared" si="196"/>
        <v>2.6770000000000094</v>
      </c>
      <c r="J350" s="50">
        <f t="shared" si="196"/>
        <v>2.1510000000000047</v>
      </c>
      <c r="K350" s="50">
        <f t="shared" si="196"/>
        <v>4.8140000000000036</v>
      </c>
      <c r="L350" s="48">
        <f t="shared" si="196"/>
        <v>2.475000000000013</v>
      </c>
      <c r="M350" s="48">
        <f t="shared" si="196"/>
        <v>1.1260000000000125</v>
      </c>
      <c r="N350" s="48">
        <f t="shared" si="196"/>
        <v>1.8230000000000068</v>
      </c>
      <c r="O350" s="48">
        <f t="shared" si="196"/>
        <v>2.1649999999999965</v>
      </c>
      <c r="P350" s="48">
        <f t="shared" si="196"/>
        <v>2.3500000000000014</v>
      </c>
      <c r="Q350" s="20">
        <f t="shared" ref="Q350:Z350" ca="1" si="197">SUM(P$350,Q$442-P$442,Q$468-P$468)</f>
        <v>3.1163783738709481</v>
      </c>
      <c r="R350" s="20">
        <f t="shared" ca="1" si="197"/>
        <v>3.2719890369741136</v>
      </c>
      <c r="S350" s="20">
        <f t="shared" ca="1" si="197"/>
        <v>3.4339344698506422</v>
      </c>
      <c r="T350" s="20">
        <f t="shared" ca="1" si="197"/>
        <v>3.602772495087025</v>
      </c>
      <c r="U350" s="20">
        <f t="shared" ca="1" si="197"/>
        <v>3.7778500683436431</v>
      </c>
      <c r="V350" s="20">
        <f t="shared" ca="1" si="197"/>
        <v>3.9602771020239529</v>
      </c>
      <c r="W350" s="20">
        <f t="shared" ca="1" si="197"/>
        <v>4.1518370077282043</v>
      </c>
      <c r="X350" s="20">
        <f t="shared" ca="1" si="197"/>
        <v>4.3544247714640987</v>
      </c>
      <c r="Y350" s="20">
        <f t="shared" ca="1" si="197"/>
        <v>4.5705806890201046</v>
      </c>
      <c r="Z350" s="20">
        <f t="shared" ca="1" si="197"/>
        <v>4.802600111817739</v>
      </c>
    </row>
    <row r="351" spans="1:26" x14ac:dyDescent="0.25">
      <c r="A351" s="12" t="s">
        <v>1063</v>
      </c>
      <c r="B351" s="14" t="str">
        <f>$B$38</f>
        <v>From Fiscal Forecasts</v>
      </c>
      <c r="D351" s="50">
        <f>'Fiscal Forecasts'!D$319</f>
        <v>13.763999999999999</v>
      </c>
      <c r="E351" s="50">
        <f>'Fiscal Forecasts'!E$319</f>
        <v>14.29</v>
      </c>
      <c r="F351" s="50">
        <f>'Fiscal Forecasts'!F$319</f>
        <v>15.641999999999999</v>
      </c>
      <c r="G351" s="50">
        <f>'Fiscal Forecasts'!G$319</f>
        <v>20.076000000000001</v>
      </c>
      <c r="H351" s="50">
        <f>'Fiscal Forecasts'!H$319</f>
        <v>20.298999999999999</v>
      </c>
      <c r="I351" s="50">
        <f>'Fiscal Forecasts'!I$319</f>
        <v>22.413</v>
      </c>
      <c r="J351" s="50">
        <f>'Fiscal Forecasts'!J$319</f>
        <v>20.936</v>
      </c>
      <c r="K351" s="50">
        <f>'Fiscal Forecasts'!K$319</f>
        <v>19.382999999999999</v>
      </c>
      <c r="L351" s="48">
        <f>'Fiscal Forecasts'!L$319</f>
        <v>23.151</v>
      </c>
      <c r="M351" s="48">
        <f>'Fiscal Forecasts'!M$319</f>
        <v>24.097999999999999</v>
      </c>
      <c r="N351" s="48">
        <f>'Fiscal Forecasts'!N$319</f>
        <v>24.632999999999999</v>
      </c>
      <c r="O351" s="48">
        <f>'Fiscal Forecasts'!O$319</f>
        <v>25.231000000000002</v>
      </c>
      <c r="P351" s="48">
        <f>'Fiscal Forecasts'!P$319</f>
        <v>25.943000000000001</v>
      </c>
      <c r="Q351" s="20">
        <f t="shared" ref="Q351:Z351" ca="1" si="198">P$351*Q$142/P$142</f>
        <v>26.990957850673652</v>
      </c>
      <c r="R351" s="20">
        <f t="shared" ca="1" si="198"/>
        <v>28.038488020801154</v>
      </c>
      <c r="S351" s="20">
        <f t="shared" ca="1" si="198"/>
        <v>29.140919964062721</v>
      </c>
      <c r="T351" s="20">
        <f t="shared" ca="1" si="198"/>
        <v>30.31976260993504</v>
      </c>
      <c r="U351" s="20">
        <f t="shared" ca="1" si="198"/>
        <v>31.555552276252204</v>
      </c>
      <c r="V351" s="20">
        <f t="shared" ca="1" si="198"/>
        <v>32.833186730858728</v>
      </c>
      <c r="W351" s="20">
        <f t="shared" ca="1" si="198"/>
        <v>34.145889368220068</v>
      </c>
      <c r="X351" s="20">
        <f t="shared" ca="1" si="198"/>
        <v>35.496265878945337</v>
      </c>
      <c r="Y351" s="20">
        <f t="shared" ca="1" si="198"/>
        <v>36.891452498971518</v>
      </c>
      <c r="Z351" s="20">
        <f t="shared" ca="1" si="198"/>
        <v>38.331675365073757</v>
      </c>
    </row>
    <row r="352" spans="1:26" x14ac:dyDescent="0.25">
      <c r="A352" s="12" t="s">
        <v>1338</v>
      </c>
      <c r="B352" s="14" t="str">
        <f>$B$38</f>
        <v>From Fiscal Forecasts</v>
      </c>
      <c r="D352" s="50">
        <f>'Fiscal Forecasts'!D$181-SUM(D$350:D$351)</f>
        <v>4.3769999999999989</v>
      </c>
      <c r="E352" s="50">
        <f>'Fiscal Forecasts'!E$181-SUM(E$350:E$351)</f>
        <v>2.5200000000000085</v>
      </c>
      <c r="F352" s="50">
        <f>'Fiscal Forecasts'!F$181-SUM(F$350:F$351)</f>
        <v>3.7319999999999958</v>
      </c>
      <c r="G352" s="50">
        <f>'Fiscal Forecasts'!G$181-SUM(G$350:G$351)</f>
        <v>7.7129999999999939</v>
      </c>
      <c r="H352" s="50">
        <f>'Fiscal Forecasts'!H$181-SUM(H$350:H$351)</f>
        <v>3.5320000000000178</v>
      </c>
      <c r="I352" s="50">
        <f>'Fiscal Forecasts'!I$181-SUM(I$350:I$351)</f>
        <v>3.5489999999999888</v>
      </c>
      <c r="J352" s="50">
        <f>'Fiscal Forecasts'!J$181-SUM(J$350:J$351)</f>
        <v>3.1879999999999953</v>
      </c>
      <c r="K352" s="50">
        <f>'Fiscal Forecasts'!K$181-SUM(K$350:K$351)</f>
        <v>3.9099999999999966</v>
      </c>
      <c r="L352" s="48">
        <f>'Fiscal Forecasts'!L$181-SUM(L$350:L$351)</f>
        <v>3.8129999999999882</v>
      </c>
      <c r="M352" s="48">
        <f>'Fiscal Forecasts'!M$181-SUM(M$350:M$351)</f>
        <v>5.3349999999999902</v>
      </c>
      <c r="N352" s="48">
        <f>'Fiscal Forecasts'!N$181-SUM(N$350:N$351)</f>
        <v>4.9249999999999936</v>
      </c>
      <c r="O352" s="48">
        <f>'Fiscal Forecasts'!O$181-SUM(O$350:O$351)</f>
        <v>4.887000000000004</v>
      </c>
      <c r="P352" s="48">
        <f>'Fiscal Forecasts'!P$181-SUM(P$350:P$351)</f>
        <v>4.9369999999999941</v>
      </c>
      <c r="Q352" s="20">
        <f t="shared" ref="Q352:Z352" ca="1" si="199">SUM(P$352,Q$444-P$444,Q$469-P$469)</f>
        <v>5.1888399999999946</v>
      </c>
      <c r="R352" s="20">
        <f t="shared" ca="1" si="199"/>
        <v>5.4457167999999943</v>
      </c>
      <c r="S352" s="20">
        <f t="shared" ca="1" si="199"/>
        <v>5.7077311359999943</v>
      </c>
      <c r="T352" s="20">
        <f t="shared" ca="1" si="199"/>
        <v>5.9749857587199946</v>
      </c>
      <c r="U352" s="20">
        <f t="shared" ca="1" si="199"/>
        <v>6.2475854738943948</v>
      </c>
      <c r="V352" s="20">
        <f t="shared" ca="1" si="199"/>
        <v>6.5256371833722824</v>
      </c>
      <c r="W352" s="20">
        <f t="shared" ca="1" si="199"/>
        <v>6.809249927039728</v>
      </c>
      <c r="X352" s="20">
        <f t="shared" ca="1" si="199"/>
        <v>7.0985349255805223</v>
      </c>
      <c r="Y352" s="20">
        <f t="shared" ca="1" si="199"/>
        <v>7.3936056240921326</v>
      </c>
      <c r="Z352" s="20">
        <f t="shared" ca="1" si="199"/>
        <v>7.6945777365739758</v>
      </c>
    </row>
    <row r="353" spans="1:26" x14ac:dyDescent="0.25">
      <c r="A353" s="11" t="s">
        <v>1339</v>
      </c>
      <c r="D353" s="94">
        <f t="shared" ref="D353:P353" si="200">SUM(D$350:D$352)</f>
        <v>16.573</v>
      </c>
      <c r="E353" s="94">
        <f t="shared" si="200"/>
        <v>18.100000000000001</v>
      </c>
      <c r="F353" s="94">
        <f t="shared" si="200"/>
        <v>20.236999999999998</v>
      </c>
      <c r="G353" s="94">
        <f t="shared" si="200"/>
        <v>28.288</v>
      </c>
      <c r="H353" s="94">
        <f t="shared" si="200"/>
        <v>25.673999999999999</v>
      </c>
      <c r="I353" s="94">
        <f t="shared" si="200"/>
        <v>28.638999999999999</v>
      </c>
      <c r="J353" s="94">
        <f t="shared" si="200"/>
        <v>26.274999999999999</v>
      </c>
      <c r="K353" s="94">
        <f t="shared" si="200"/>
        <v>28.106999999999999</v>
      </c>
      <c r="L353" s="95">
        <f t="shared" si="200"/>
        <v>29.439</v>
      </c>
      <c r="M353" s="95">
        <f t="shared" si="200"/>
        <v>30.559000000000001</v>
      </c>
      <c r="N353" s="95">
        <f t="shared" si="200"/>
        <v>31.381</v>
      </c>
      <c r="O353" s="95">
        <f t="shared" si="200"/>
        <v>32.283000000000001</v>
      </c>
      <c r="P353" s="95">
        <f t="shared" si="200"/>
        <v>33.229999999999997</v>
      </c>
      <c r="Q353" s="96">
        <f t="shared" ref="Q353:Z353" ca="1" si="201">SUM(Q$350:Q$352)</f>
        <v>35.296176224544595</v>
      </c>
      <c r="R353" s="96">
        <f t="shared" ca="1" si="201"/>
        <v>36.756193857775258</v>
      </c>
      <c r="S353" s="96">
        <f t="shared" ca="1" si="201"/>
        <v>38.282585569913358</v>
      </c>
      <c r="T353" s="96">
        <f t="shared" ca="1" si="201"/>
        <v>39.897520863742059</v>
      </c>
      <c r="U353" s="96">
        <f t="shared" ca="1" si="201"/>
        <v>41.580987818490243</v>
      </c>
      <c r="V353" s="96">
        <f t="shared" ca="1" si="201"/>
        <v>43.319101016254962</v>
      </c>
      <c r="W353" s="96">
        <f t="shared" ca="1" si="201"/>
        <v>45.106976302988002</v>
      </c>
      <c r="X353" s="96">
        <f t="shared" ca="1" si="201"/>
        <v>46.949225575989956</v>
      </c>
      <c r="Y353" s="96">
        <f t="shared" ca="1" si="201"/>
        <v>48.855638812083754</v>
      </c>
      <c r="Z353" s="96">
        <f t="shared" ca="1" si="201"/>
        <v>50.828853213465472</v>
      </c>
    </row>
    <row r="354" spans="1:26" x14ac:dyDescent="0.25">
      <c r="A354" s="11" t="s">
        <v>1340</v>
      </c>
      <c r="B354" s="14" t="str">
        <f>$B$38</f>
        <v>From Fiscal Forecasts</v>
      </c>
      <c r="D354" s="51">
        <f>'Fiscal Forecasts'!D$121</f>
        <v>23.327000000000002</v>
      </c>
      <c r="E354" s="51">
        <f>'Fiscal Forecasts'!E$121</f>
        <v>24.742999999999999</v>
      </c>
      <c r="F354" s="51">
        <f>'Fiscal Forecasts'!F$121</f>
        <v>26.829000000000001</v>
      </c>
      <c r="G354" s="51">
        <f>'Fiscal Forecasts'!G$121</f>
        <v>35.134999999999998</v>
      </c>
      <c r="H354" s="51">
        <f>'Fiscal Forecasts'!H$121</f>
        <v>33.548000000000002</v>
      </c>
      <c r="I354" s="51">
        <f>'Fiscal Forecasts'!I$121</f>
        <v>37.231999999999999</v>
      </c>
      <c r="J354" s="51">
        <f>'Fiscal Forecasts'!J$121</f>
        <v>34.76</v>
      </c>
      <c r="K354" s="51">
        <f>'Fiscal Forecasts'!K$121</f>
        <v>36.582000000000001</v>
      </c>
      <c r="L354" s="47">
        <f>'Fiscal Forecasts'!L$121</f>
        <v>38.957000000000001</v>
      </c>
      <c r="M354" s="47">
        <f>'Fiscal Forecasts'!M$121</f>
        <v>40.423999999999999</v>
      </c>
      <c r="N354" s="47">
        <f>'Fiscal Forecasts'!N$121</f>
        <v>41.817999999999998</v>
      </c>
      <c r="O354" s="47">
        <f>'Fiscal Forecasts'!O$121</f>
        <v>43.411999999999999</v>
      </c>
      <c r="P354" s="47">
        <f>'Fiscal Forecasts'!P$121</f>
        <v>43.962000000000003</v>
      </c>
      <c r="Q354" s="21">
        <f t="shared" ref="Q354:Z354" ca="1" si="202">SUM(P$354,Q$353-P$353,,Q$446-P$446,Q$454-P$454,Q$471-P$471)-SUM(Q$445-P$445,Q$453-P$453,Q$470-P$470)</f>
        <v>46.301656224544608</v>
      </c>
      <c r="R354" s="21">
        <f t="shared" ca="1" si="202"/>
        <v>48.040623457775276</v>
      </c>
      <c r="S354" s="21">
        <f t="shared" ca="1" si="202"/>
        <v>49.851543761913376</v>
      </c>
      <c r="T354" s="21">
        <f t="shared" ca="1" si="202"/>
        <v>51.756698219582084</v>
      </c>
      <c r="U354" s="21">
        <f t="shared" ca="1" si="202"/>
        <v>53.736188721447064</v>
      </c>
      <c r="V354" s="21">
        <f t="shared" ca="1" si="202"/>
        <v>55.776245937270922</v>
      </c>
      <c r="W354" s="21">
        <f t="shared" ca="1" si="202"/>
        <v>57.872104122424275</v>
      </c>
      <c r="X354" s="21">
        <f t="shared" ca="1" si="202"/>
        <v>60.028495951814961</v>
      </c>
      <c r="Y354" s="21">
        <f t="shared" ca="1" si="202"/>
        <v>62.255334595425261</v>
      </c>
      <c r="Z354" s="21">
        <f t="shared" ca="1" si="202"/>
        <v>64.555382912473803</v>
      </c>
    </row>
    <row r="356" spans="1:26" x14ac:dyDescent="0.25">
      <c r="A356" s="11" t="s">
        <v>943</v>
      </c>
    </row>
    <row r="357" spans="1:26" x14ac:dyDescent="0.25">
      <c r="A357" s="12" t="s">
        <v>1341</v>
      </c>
      <c r="D357" s="50">
        <f ca="1">OFFSET(Assumptions!$B$51,0,$C$1)*(D$384-D$350-D$391)</f>
        <v>13.60032</v>
      </c>
      <c r="E357" s="50">
        <f ca="1">OFFSET(Assumptions!$B$51,0,$C$1)*(E$384-E$350-E$391)</f>
        <v>13.405950000000001</v>
      </c>
      <c r="F357" s="50">
        <f ca="1">OFFSET(Assumptions!$B$51,0,$C$1)*(F$384-F$350-F$391)</f>
        <v>17.353179999999998</v>
      </c>
      <c r="G357" s="50">
        <f ca="1">OFFSET(Assumptions!$B$51,0,$C$1)*(G$384-G$350-G$391)</f>
        <v>18.69238</v>
      </c>
      <c r="H357" s="50">
        <f ca="1">OFFSET(Assumptions!$B$51,0,$C$1)*(H$384-H$350-H$391)</f>
        <v>18.302400000000006</v>
      </c>
      <c r="I357" s="50">
        <f ca="1">OFFSET(Assumptions!$B$51,0,$C$1)*(I$384-I$350-I$391)</f>
        <v>20.913529999999998</v>
      </c>
      <c r="J357" s="50">
        <f ca="1">OFFSET(Assumptions!$B$51,0,$C$1)*(J$384-J$350-J$391)</f>
        <v>23.303630000000002</v>
      </c>
      <c r="K357" s="50">
        <f ca="1">OFFSET(Assumptions!$B$51,0,$C$1)*(K$384-K$350-K$391)</f>
        <v>26.10324</v>
      </c>
      <c r="L357" s="48">
        <f ca="1">OFFSET(Assumptions!$B$51,0,$C$1)*(L$384-L$350-L$391)</f>
        <v>29.018789999999999</v>
      </c>
      <c r="M357" s="48">
        <f ca="1">OFFSET(Assumptions!$B$51,0,$C$1)*(M$384-M$350-M$391)</f>
        <v>31.759499999999996</v>
      </c>
      <c r="N357" s="48">
        <f ca="1">OFFSET(Assumptions!$B$51,0,$C$1)*(N$384-N$350-N$391)</f>
        <v>33.40343</v>
      </c>
      <c r="O357" s="48">
        <f ca="1">OFFSET(Assumptions!$B$51,0,$C$1)*(O$384-O$350-O$391)</f>
        <v>35.437030000000007</v>
      </c>
      <c r="P357" s="48">
        <f ca="1">OFFSET(Assumptions!$B$51,0,$C$1)*(P$384-P$350-P$391)</f>
        <v>37.7239</v>
      </c>
      <c r="Q357" s="20">
        <f ca="1">OFFSET(Assumptions!$B$51,0,$C$1)*(Q$384-Q$350-Q$391)</f>
        <v>39.840341131485566</v>
      </c>
      <c r="R357" s="20">
        <f ca="1">OFFSET(Assumptions!$B$51,0,$C$1)*(R$384-R$350-R$391)</f>
        <v>42.27120210065344</v>
      </c>
      <c r="S357" s="20">
        <f ca="1">OFFSET(Assumptions!$B$51,0,$C$1)*(S$384-S$350-S$391)</f>
        <v>44.80102122785275</v>
      </c>
      <c r="T357" s="20">
        <f ca="1">OFFSET(Assumptions!$B$51,0,$C$1)*(T$384-T$350-T$391)</f>
        <v>47.43851249917018</v>
      </c>
      <c r="U357" s="20">
        <f ca="1">OFFSET(Assumptions!$B$51,0,$C$1)*(U$384-U$350-U$391)</f>
        <v>50.173474428636439</v>
      </c>
      <c r="V357" s="20">
        <f ca="1">OFFSET(Assumptions!$B$51,0,$C$1)*(V$384-V$350-V$391)</f>
        <v>53.023245434371177</v>
      </c>
      <c r="W357" s="20">
        <f ca="1">OFFSET(Assumptions!$B$51,0,$C$1)*(W$384-W$350-W$391)</f>
        <v>56.015684954567938</v>
      </c>
      <c r="X357" s="20">
        <f ca="1">OFFSET(Assumptions!$B$51,0,$C$1)*(X$384-X$350-X$391)</f>
        <v>59.180395379136463</v>
      </c>
      <c r="Y357" s="20">
        <f ca="1">OFFSET(Assumptions!$B$51,0,$C$1)*(Y$384-Y$350-Y$391)</f>
        <v>62.557059759091054</v>
      </c>
      <c r="Z357" s="20">
        <f ca="1">OFFSET(Assumptions!$B$51,0,$C$1)*(Z$384-Z$350-Z$391)</f>
        <v>66.181534764339972</v>
      </c>
    </row>
    <row r="358" spans="1:26" x14ac:dyDescent="0.25">
      <c r="A358" s="12" t="s">
        <v>1342</v>
      </c>
      <c r="B358" s="14" t="str">
        <f>$B$38</f>
        <v>From Fiscal Forecasts</v>
      </c>
      <c r="D358" s="50">
        <f ca="1">'Fiscal Forecasts'!D$182-D$357</f>
        <v>13.805679999999999</v>
      </c>
      <c r="E358" s="50">
        <f ca="1">'Fiscal Forecasts'!E$182-E$357</f>
        <v>30.260049999999996</v>
      </c>
      <c r="F358" s="50">
        <f ca="1">'Fiscal Forecasts'!F$182-F$357</f>
        <v>20.379819999999999</v>
      </c>
      <c r="G358" s="50">
        <f ca="1">'Fiscal Forecasts'!G$182-G$357</f>
        <v>25.071620000000003</v>
      </c>
      <c r="H358" s="50">
        <f ca="1">'Fiscal Forecasts'!H$182-H$357</f>
        <v>26.112599999999993</v>
      </c>
      <c r="I358" s="50">
        <f ca="1">'Fiscal Forecasts'!I$182-I$357</f>
        <v>31.057469999999999</v>
      </c>
      <c r="J358" s="50">
        <f ca="1">'Fiscal Forecasts'!J$182-J$357</f>
        <v>38.810369999999992</v>
      </c>
      <c r="K358" s="50">
        <f ca="1">'Fiscal Forecasts'!K$182-K$357</f>
        <v>42.483760000000004</v>
      </c>
      <c r="L358" s="48">
        <f ca="1">'Fiscal Forecasts'!L$182-L$357</f>
        <v>36.714210000000008</v>
      </c>
      <c r="M358" s="48">
        <f ca="1">'Fiscal Forecasts'!M$182-M$357</f>
        <v>38.716500000000003</v>
      </c>
      <c r="N358" s="48">
        <f ca="1">'Fiscal Forecasts'!N$182-N$357</f>
        <v>42.012569999999997</v>
      </c>
      <c r="O358" s="48">
        <f ca="1">'Fiscal Forecasts'!O$182-O$357</f>
        <v>43.351969999999994</v>
      </c>
      <c r="P358" s="48">
        <f ca="1">'Fiscal Forecasts'!P$182-P$357</f>
        <v>42.542100000000005</v>
      </c>
      <c r="Q358" s="20">
        <f t="shared" ref="Q358:Z358" ca="1" si="203">P$358*(1+Q$14)</f>
        <v>44.39399544591798</v>
      </c>
      <c r="R358" s="20">
        <f t="shared" ca="1" si="203"/>
        <v>46.283631757603125</v>
      </c>
      <c r="S358" s="20">
        <f t="shared" ca="1" si="203"/>
        <v>48.223329799555685</v>
      </c>
      <c r="T358" s="20">
        <f t="shared" ca="1" si="203"/>
        <v>50.208552592764534</v>
      </c>
      <c r="U358" s="20">
        <f t="shared" ca="1" si="203"/>
        <v>52.263001569850594</v>
      </c>
      <c r="V358" s="20">
        <f t="shared" ca="1" si="203"/>
        <v>54.387407371052014</v>
      </c>
      <c r="W358" s="20">
        <f t="shared" ca="1" si="203"/>
        <v>56.571052404224368</v>
      </c>
      <c r="X358" s="20">
        <f t="shared" ca="1" si="203"/>
        <v>58.81757736362939</v>
      </c>
      <c r="Y358" s="20">
        <f t="shared" ca="1" si="203"/>
        <v>61.138730165588584</v>
      </c>
      <c r="Z358" s="20">
        <f t="shared" ca="1" si="203"/>
        <v>63.535109470011037</v>
      </c>
    </row>
    <row r="359" spans="1:26" x14ac:dyDescent="0.25">
      <c r="A359" s="11" t="s">
        <v>1343</v>
      </c>
      <c r="D359" s="94">
        <f t="shared" ref="D359:Z359" ca="1" si="204">SUM(D$357:D$358)</f>
        <v>27.405999999999999</v>
      </c>
      <c r="E359" s="94">
        <f t="shared" ca="1" si="204"/>
        <v>43.665999999999997</v>
      </c>
      <c r="F359" s="94">
        <f t="shared" ca="1" si="204"/>
        <v>37.732999999999997</v>
      </c>
      <c r="G359" s="94">
        <f t="shared" ca="1" si="204"/>
        <v>43.764000000000003</v>
      </c>
      <c r="H359" s="94">
        <f t="shared" ca="1" si="204"/>
        <v>44.414999999999999</v>
      </c>
      <c r="I359" s="94">
        <f t="shared" ca="1" si="204"/>
        <v>51.970999999999997</v>
      </c>
      <c r="J359" s="94">
        <f t="shared" ca="1" si="204"/>
        <v>62.11399999999999</v>
      </c>
      <c r="K359" s="94">
        <f t="shared" ca="1" si="204"/>
        <v>68.587000000000003</v>
      </c>
      <c r="L359" s="95">
        <f t="shared" ca="1" si="204"/>
        <v>65.733000000000004</v>
      </c>
      <c r="M359" s="95">
        <f t="shared" ca="1" si="204"/>
        <v>70.475999999999999</v>
      </c>
      <c r="N359" s="95">
        <f t="shared" ca="1" si="204"/>
        <v>75.415999999999997</v>
      </c>
      <c r="O359" s="95">
        <f t="shared" ca="1" si="204"/>
        <v>78.789000000000001</v>
      </c>
      <c r="P359" s="95">
        <f t="shared" ca="1" si="204"/>
        <v>80.266000000000005</v>
      </c>
      <c r="Q359" s="96">
        <f t="shared" ca="1" si="204"/>
        <v>84.234336577403553</v>
      </c>
      <c r="R359" s="96">
        <f t="shared" ca="1" si="204"/>
        <v>88.554833858256558</v>
      </c>
      <c r="S359" s="96">
        <f t="shared" ca="1" si="204"/>
        <v>93.024351027408443</v>
      </c>
      <c r="T359" s="96">
        <f t="shared" ca="1" si="204"/>
        <v>97.647065091934707</v>
      </c>
      <c r="U359" s="96">
        <f t="shared" ca="1" si="204"/>
        <v>102.43647599848703</v>
      </c>
      <c r="V359" s="96">
        <f t="shared" ca="1" si="204"/>
        <v>107.41065280542318</v>
      </c>
      <c r="W359" s="96">
        <f t="shared" ca="1" si="204"/>
        <v>112.58673735879231</v>
      </c>
      <c r="X359" s="96">
        <f t="shared" ca="1" si="204"/>
        <v>117.99797274276585</v>
      </c>
      <c r="Y359" s="96">
        <f t="shared" ca="1" si="204"/>
        <v>123.69578992467964</v>
      </c>
      <c r="Z359" s="96">
        <f t="shared" ca="1" si="204"/>
        <v>129.71664423435101</v>
      </c>
    </row>
    <row r="360" spans="1:26" x14ac:dyDescent="0.25">
      <c r="A360" s="12" t="s">
        <v>1020</v>
      </c>
      <c r="B360" s="14" t="str">
        <f>$B$38</f>
        <v>From Fiscal Forecasts</v>
      </c>
      <c r="D360" s="50">
        <f>'Fiscal Forecasts'!D$214</f>
        <v>33.838000000000001</v>
      </c>
      <c r="E360" s="50">
        <f>'Fiscal Forecasts'!E$214</f>
        <v>34.494</v>
      </c>
      <c r="F360" s="50">
        <f>'Fiscal Forecasts'!F$214</f>
        <v>33.545999999999999</v>
      </c>
      <c r="G360" s="50">
        <f>'Fiscal Forecasts'!G$214</f>
        <v>31.513000000000002</v>
      </c>
      <c r="H360" s="50">
        <f>'Fiscal Forecasts'!H$214</f>
        <v>34.506</v>
      </c>
      <c r="I360" s="50">
        <f>'Fiscal Forecasts'!I$214</f>
        <v>39.212000000000003</v>
      </c>
      <c r="J360" s="50">
        <f>'Fiscal Forecasts'!J$214</f>
        <v>44.944000000000003</v>
      </c>
      <c r="K360" s="50">
        <f>'Fiscal Forecasts'!K$214</f>
        <v>47.911000000000001</v>
      </c>
      <c r="L360" s="48">
        <f>'Fiscal Forecasts'!L$214</f>
        <v>48.524999999999999</v>
      </c>
      <c r="M360" s="48">
        <f>'Fiscal Forecasts'!M$214</f>
        <v>49.545999999999999</v>
      </c>
      <c r="N360" s="48">
        <f>'Fiscal Forecasts'!N$214</f>
        <v>50.540999999999997</v>
      </c>
      <c r="O360" s="48">
        <f>'Fiscal Forecasts'!O$214</f>
        <v>52.61</v>
      </c>
      <c r="P360" s="48">
        <f>'Fiscal Forecasts'!P$214</f>
        <v>54.841999999999999</v>
      </c>
      <c r="Q360" s="20">
        <f ca="1">P$360*AVERAGE(Exogenous!AB$29/Exogenous!AA$29,1+Q$14)</f>
        <v>57.031776025129474</v>
      </c>
      <c r="R360" s="20">
        <f ca="1">Q$360*AVERAGE(Exogenous!AC$29/Exogenous!AB$29,1+R$14)</f>
        <v>59.455405252808703</v>
      </c>
      <c r="S360" s="20">
        <f ca="1">R$360*AVERAGE(Exogenous!AD$29/Exogenous!AC$29,1+S$14)</f>
        <v>62.152901174691372</v>
      </c>
      <c r="T360" s="20">
        <f ca="1">S$360*AVERAGE(Exogenous!AE$29/Exogenous!AD$29,1+T$14)</f>
        <v>65.185334557155159</v>
      </c>
      <c r="U360" s="20">
        <f ca="1">T$360*AVERAGE(Exogenous!AF$29/Exogenous!AE$29,1+U$14)</f>
        <v>68.550115135603448</v>
      </c>
      <c r="V360" s="20">
        <f ca="1">U$360*AVERAGE(Exogenous!AG$29/Exogenous!AF$29,1+V$14)</f>
        <v>72.04592937288129</v>
      </c>
      <c r="W360" s="20">
        <f ca="1">V$360*AVERAGE(Exogenous!AH$29/Exogenous!AG$29,1+W$14)</f>
        <v>75.642494203682332</v>
      </c>
      <c r="X360" s="20">
        <f ca="1">W$360*AVERAGE(Exogenous!AI$29/Exogenous!AH$29,1+X$14)</f>
        <v>79.329363736532812</v>
      </c>
      <c r="Y360" s="20">
        <f ca="1">X$360*AVERAGE(Exogenous!AJ$29/Exogenous!AI$29,1+Y$14)</f>
        <v>83.134569258151942</v>
      </c>
      <c r="Z360" s="20">
        <f ca="1">Y$360*AVERAGE(Exogenous!AK$29/Exogenous!AJ$29,1+Z$14)</f>
        <v>87.043844665109802</v>
      </c>
    </row>
    <row r="361" spans="1:26" x14ac:dyDescent="0.25">
      <c r="A361" s="12" t="s">
        <v>1227</v>
      </c>
      <c r="B361" s="14" t="str">
        <f>$B$38</f>
        <v>From Fiscal Forecasts</v>
      </c>
      <c r="D361" s="50">
        <f>'Fiscal Forecasts'!D$215</f>
        <v>3.3879999999999999</v>
      </c>
      <c r="E361" s="50">
        <f>'Fiscal Forecasts'!E$215</f>
        <v>3.88</v>
      </c>
      <c r="F361" s="50">
        <f>'Fiscal Forecasts'!F$215</f>
        <v>3.3250000000000002</v>
      </c>
      <c r="G361" s="50">
        <f>'Fiscal Forecasts'!G$215</f>
        <v>5.3479999999999999</v>
      </c>
      <c r="H361" s="50">
        <f>'Fiscal Forecasts'!H$215</f>
        <v>3.9380000000000002</v>
      </c>
      <c r="I361" s="50">
        <f>'Fiscal Forecasts'!I$215</f>
        <v>2.9710000000000001</v>
      </c>
      <c r="J361" s="50">
        <f>'Fiscal Forecasts'!J$215</f>
        <v>2.6240000000000001</v>
      </c>
      <c r="K361" s="50">
        <f>'Fiscal Forecasts'!K$215</f>
        <v>2.4279999999999999</v>
      </c>
      <c r="L361" s="48">
        <f>'Fiscal Forecasts'!L$215</f>
        <v>2.3250000000000002</v>
      </c>
      <c r="M361" s="48">
        <f>'Fiscal Forecasts'!M$215</f>
        <v>2.4729999999999999</v>
      </c>
      <c r="N361" s="48">
        <f>'Fiscal Forecasts'!N$215</f>
        <v>2.6179999999999999</v>
      </c>
      <c r="O361" s="48">
        <f>'Fiscal Forecasts'!O$215</f>
        <v>2.7669999999999999</v>
      </c>
      <c r="P361" s="48">
        <f>'Fiscal Forecasts'!P$215</f>
        <v>2.6669999999999998</v>
      </c>
      <c r="Q361" s="20">
        <f t="shared" ref="Q361:Z361" ca="1" si="205">P$361*(1+Q$14)</f>
        <v>2.7830968817774213</v>
      </c>
      <c r="R361" s="20">
        <f t="shared" ca="1" si="205"/>
        <v>2.901559770145985</v>
      </c>
      <c r="S361" s="20">
        <f t="shared" ca="1" si="205"/>
        <v>3.0231610704552661</v>
      </c>
      <c r="T361" s="20">
        <f t="shared" ca="1" si="205"/>
        <v>3.147616355678327</v>
      </c>
      <c r="U361" s="20">
        <f t="shared" ca="1" si="205"/>
        <v>3.2764114885440887</v>
      </c>
      <c r="V361" s="20">
        <f t="shared" ca="1" si="205"/>
        <v>3.4095922735030868</v>
      </c>
      <c r="W361" s="20">
        <f t="shared" ca="1" si="205"/>
        <v>3.5464868156970701</v>
      </c>
      <c r="X361" s="20">
        <f t="shared" ca="1" si="205"/>
        <v>3.6873233533088285</v>
      </c>
      <c r="Y361" s="20">
        <f t="shared" ca="1" si="205"/>
        <v>3.8328383730851243</v>
      </c>
      <c r="Z361" s="20">
        <f t="shared" ca="1" si="205"/>
        <v>3.9830694055187532</v>
      </c>
    </row>
    <row r="362" spans="1:26" x14ac:dyDescent="0.25">
      <c r="A362" s="12" t="s">
        <v>1228</v>
      </c>
      <c r="B362" s="14" t="str">
        <f>$B$38</f>
        <v>From Fiscal Forecasts</v>
      </c>
      <c r="D362" s="50">
        <f ca="1">'Fiscal Forecasts'!D$122-SUM(D$359:D$361)</f>
        <v>-21.016000000000005</v>
      </c>
      <c r="E362" s="50">
        <f ca="1">'Fiscal Forecasts'!E$122-SUM(E$359:E$361)</f>
        <v>-21.034999999999989</v>
      </c>
      <c r="F362" s="50">
        <f ca="1">'Fiscal Forecasts'!F$122-SUM(F$359:F$361)</f>
        <v>-17.820999999999998</v>
      </c>
      <c r="G362" s="50">
        <f ca="1">'Fiscal Forecasts'!G$122-SUM(G$359:G$361)</f>
        <v>-15.168999999999997</v>
      </c>
      <c r="H362" s="50">
        <f ca="1">'Fiscal Forecasts'!H$122-SUM(H$359:H$361)</f>
        <v>-16.369</v>
      </c>
      <c r="I362" s="50">
        <f ca="1">'Fiscal Forecasts'!I$122-SUM(I$359:I$361)</f>
        <v>-20.507999999999996</v>
      </c>
      <c r="J362" s="50">
        <f ca="1">'Fiscal Forecasts'!J$122-SUM(J$359:J$361)</f>
        <v>-27.137999999999991</v>
      </c>
      <c r="K362" s="50">
        <f ca="1">'Fiscal Forecasts'!K$122-SUM(K$359:K$361)</f>
        <v>-29.459000000000003</v>
      </c>
      <c r="L362" s="48">
        <f ca="1">'Fiscal Forecasts'!L$122-SUM(L$359:L$361)</f>
        <v>-29.169000000000011</v>
      </c>
      <c r="M362" s="48">
        <f ca="1">'Fiscal Forecasts'!M$122-SUM(M$359:M$361)</f>
        <v>-29.719999999999985</v>
      </c>
      <c r="N362" s="48">
        <f ca="1">'Fiscal Forecasts'!N$122-SUM(N$359:N$361)</f>
        <v>-30.209999999999994</v>
      </c>
      <c r="O362" s="48">
        <f ca="1">'Fiscal Forecasts'!O$122-SUM(O$359:O$361)</f>
        <v>-30.920999999999992</v>
      </c>
      <c r="P362" s="48">
        <f ca="1">'Fiscal Forecasts'!P$122-SUM(P$359:P$361)</f>
        <v>-31.77600000000001</v>
      </c>
      <c r="Q362" s="20">
        <f t="shared" ref="Q362:Z362" ca="1" si="206">P$362*Q$360/P$360</f>
        <v>-33.044777998149499</v>
      </c>
      <c r="R362" s="20">
        <f t="shared" ca="1" si="206"/>
        <v>-34.449052866657851</v>
      </c>
      <c r="S362" s="20">
        <f t="shared" ca="1" si="206"/>
        <v>-36.012008820374781</v>
      </c>
      <c r="T362" s="20">
        <f t="shared" ca="1" si="206"/>
        <v>-37.769030868461449</v>
      </c>
      <c r="U362" s="20">
        <f t="shared" ca="1" si="206"/>
        <v>-39.718618185860024</v>
      </c>
      <c r="V362" s="20">
        <f t="shared" ca="1" si="206"/>
        <v>-41.744127707827509</v>
      </c>
      <c r="W362" s="20">
        <f t="shared" ca="1" si="206"/>
        <v>-43.828013125272783</v>
      </c>
      <c r="X362" s="20">
        <f t="shared" ca="1" si="206"/>
        <v>-45.964221984830367</v>
      </c>
      <c r="Y362" s="20">
        <f t="shared" ca="1" si="206"/>
        <v>-48.168995892692401</v>
      </c>
      <c r="Z362" s="20">
        <f t="shared" ca="1" si="206"/>
        <v>-50.434068926708171</v>
      </c>
    </row>
    <row r="363" spans="1:26" x14ac:dyDescent="0.25">
      <c r="A363" s="11" t="s">
        <v>1344</v>
      </c>
      <c r="D363" s="94">
        <f t="shared" ref="D363:Z363" ca="1" si="207">SUM(D$359:D$362)</f>
        <v>43.616</v>
      </c>
      <c r="E363" s="94">
        <f t="shared" ca="1" si="207"/>
        <v>61.005000000000003</v>
      </c>
      <c r="F363" s="94">
        <f t="shared" ca="1" si="207"/>
        <v>56.783000000000001</v>
      </c>
      <c r="G363" s="94">
        <f t="shared" ca="1" si="207"/>
        <v>65.456000000000003</v>
      </c>
      <c r="H363" s="94">
        <f t="shared" ca="1" si="207"/>
        <v>66.489999999999995</v>
      </c>
      <c r="I363" s="94">
        <f t="shared" ca="1" si="207"/>
        <v>73.646000000000001</v>
      </c>
      <c r="J363" s="94">
        <f t="shared" ca="1" si="207"/>
        <v>82.543999999999997</v>
      </c>
      <c r="K363" s="94">
        <f t="shared" ca="1" si="207"/>
        <v>89.466999999999999</v>
      </c>
      <c r="L363" s="95">
        <f t="shared" ca="1" si="207"/>
        <v>87.414000000000001</v>
      </c>
      <c r="M363" s="95">
        <f t="shared" ca="1" si="207"/>
        <v>92.775000000000006</v>
      </c>
      <c r="N363" s="95">
        <f t="shared" ca="1" si="207"/>
        <v>98.364999999999995</v>
      </c>
      <c r="O363" s="95">
        <f t="shared" ca="1" si="207"/>
        <v>103.245</v>
      </c>
      <c r="P363" s="95">
        <f t="shared" ca="1" si="207"/>
        <v>105.999</v>
      </c>
      <c r="Q363" s="96">
        <f t="shared" ca="1" si="207"/>
        <v>111.00443148616097</v>
      </c>
      <c r="R363" s="96">
        <f t="shared" ca="1" si="207"/>
        <v>116.46274601455339</v>
      </c>
      <c r="S363" s="96">
        <f t="shared" ca="1" si="207"/>
        <v>122.18840445218032</v>
      </c>
      <c r="T363" s="96">
        <f t="shared" ca="1" si="207"/>
        <v>128.21098513630676</v>
      </c>
      <c r="U363" s="96">
        <f t="shared" ca="1" si="207"/>
        <v>134.54438443677452</v>
      </c>
      <c r="V363" s="96">
        <f t="shared" ca="1" si="207"/>
        <v>141.12204674398004</v>
      </c>
      <c r="W363" s="96">
        <f t="shared" ca="1" si="207"/>
        <v>147.94770525289894</v>
      </c>
      <c r="X363" s="96">
        <f t="shared" ca="1" si="207"/>
        <v>155.05043784777712</v>
      </c>
      <c r="Y363" s="96">
        <f t="shared" ca="1" si="207"/>
        <v>162.49420166322432</v>
      </c>
      <c r="Z363" s="96">
        <f t="shared" ca="1" si="207"/>
        <v>170.30948937827142</v>
      </c>
    </row>
    <row r="365" spans="1:26" x14ac:dyDescent="0.25">
      <c r="A365" s="11" t="s">
        <v>944</v>
      </c>
    </row>
    <row r="366" spans="1:26" x14ac:dyDescent="0.25">
      <c r="A366" s="12" t="s">
        <v>1345</v>
      </c>
      <c r="D366" s="50">
        <f ca="1">SUM(OFFSET(Assumptions!$B$52,0,$C$1),OFFSET(Assumptions!$B$53,0,$C$1))*(D$384-D$350-D$391)-D$388</f>
        <v>25.267520000000001</v>
      </c>
      <c r="E366" s="50">
        <f ca="1">SUM(OFFSET(Assumptions!$B$52,0,$C$1),OFFSET(Assumptions!$B$53,0,$C$1))*(E$384-E$350-E$391)-E$388</f>
        <v>24.321700000000007</v>
      </c>
      <c r="F366" s="50">
        <f ca="1">SUM(OFFSET(Assumptions!$B$52,0,$C$1),OFFSET(Assumptions!$B$53,0,$C$1))*(F$384-F$350-F$391)-F$388</f>
        <v>32.22748</v>
      </c>
      <c r="G366" s="50">
        <f ca="1">SUM(OFFSET(Assumptions!$B$52,0,$C$1),OFFSET(Assumptions!$B$53,0,$C$1))*(G$384-G$350-G$391)-G$388</f>
        <v>33.700679999999991</v>
      </c>
      <c r="H366" s="50">
        <f ca="1">SUM(OFFSET(Assumptions!$B$52,0,$C$1),OFFSET(Assumptions!$B$53,0,$C$1))*(H$384-H$350-H$391)-H$388</f>
        <v>31.649400000000007</v>
      </c>
      <c r="I366" s="50">
        <f ca="1">SUM(OFFSET(Assumptions!$B$52,0,$C$1),OFFSET(Assumptions!$B$53,0,$C$1))*(I$384-I$350-I$391)-I$388</f>
        <v>37.351579999999998</v>
      </c>
      <c r="J366" s="50">
        <f ca="1">SUM(OFFSET(Assumptions!$B$52,0,$C$1),OFFSET(Assumptions!$B$53,0,$C$1))*(J$384-J$350-J$391)-J$388</f>
        <v>41.521180000000001</v>
      </c>
      <c r="K366" s="50">
        <f ca="1">SUM(OFFSET(Assumptions!$B$52,0,$C$1),OFFSET(Assumptions!$B$53,0,$C$1))*(K$384-K$350-K$391)-K$388</f>
        <v>45.071639999999995</v>
      </c>
      <c r="L366" s="48">
        <f ca="1">SUM(OFFSET(Assumptions!$B$52,0,$C$1),OFFSET(Assumptions!$B$53,0,$C$1))*(L$384-L$350-L$391)-L$388</f>
        <v>50.456940000000003</v>
      </c>
      <c r="M366" s="48">
        <f ca="1">SUM(OFFSET(Assumptions!$B$52,0,$C$1),OFFSET(Assumptions!$B$53,0,$C$1))*(M$384-M$350-M$391)-M$388</f>
        <v>55.367999999999988</v>
      </c>
      <c r="N366" s="48">
        <f ca="1">SUM(OFFSET(Assumptions!$B$52,0,$C$1),OFFSET(Assumptions!$B$53,0,$C$1))*(N$384-N$350-N$391)-N$388</f>
        <v>57.913979999999995</v>
      </c>
      <c r="O366" s="48">
        <f ca="1">SUM(OFFSET(Assumptions!$B$52,0,$C$1),OFFSET(Assumptions!$B$53,0,$C$1))*(O$384-O$350-O$391)-O$388</f>
        <v>61.21858000000001</v>
      </c>
      <c r="P366" s="48">
        <f ca="1">SUM(OFFSET(Assumptions!$B$52,0,$C$1),OFFSET(Assumptions!$B$53,0,$C$1))*(P$384-P$350-P$391)-P$388</f>
        <v>64.983400000000017</v>
      </c>
      <c r="Q366" s="20">
        <f ca="1">OFFSET(Assumptions!$B$52,0,$C$1)*(Q$384-Q$350-Q$391)</f>
        <v>70.68447620102279</v>
      </c>
      <c r="R366" s="20">
        <f ca="1">OFFSET(Assumptions!$B$52,0,$C$1)*(R$384-R$350-R$391)</f>
        <v>74.997294049546426</v>
      </c>
      <c r="S366" s="20">
        <f ca="1">OFFSET(Assumptions!$B$52,0,$C$1)*(S$384-S$350-S$391)</f>
        <v>79.485682823609721</v>
      </c>
      <c r="T366" s="20">
        <f ca="1">OFFSET(Assumptions!$B$52,0,$C$1)*(T$384-T$350-T$391)</f>
        <v>84.165102821108391</v>
      </c>
      <c r="U366" s="20">
        <f ca="1">OFFSET(Assumptions!$B$52,0,$C$1)*(U$384-U$350-U$391)</f>
        <v>89.017454631451756</v>
      </c>
      <c r="V366" s="20">
        <f ca="1">OFFSET(Assumptions!$B$52,0,$C$1)*(V$384-V$350-V$391)</f>
        <v>94.073499964206945</v>
      </c>
      <c r="W366" s="20">
        <f ca="1">OFFSET(Assumptions!$B$52,0,$C$1)*(W$384-W$350-W$391)</f>
        <v>99.382666854878607</v>
      </c>
      <c r="X366" s="20">
        <f ca="1">OFFSET(Assumptions!$B$52,0,$C$1)*(X$384-X$350-X$391)</f>
        <v>104.99747567266147</v>
      </c>
      <c r="Y366" s="20">
        <f ca="1">OFFSET(Assumptions!$B$52,0,$C$1)*(Y$384-Y$350-Y$391)</f>
        <v>110.98833183064544</v>
      </c>
      <c r="Z366" s="20">
        <f ca="1">OFFSET(Assumptions!$B$52,0,$C$1)*(Z$384-Z$350-Z$391)</f>
        <v>117.41885200124834</v>
      </c>
    </row>
    <row r="367" spans="1:26" x14ac:dyDescent="0.25">
      <c r="A367" s="12" t="s">
        <v>1346</v>
      </c>
      <c r="B367" s="14" t="str">
        <f>$B$38</f>
        <v>From Fiscal Forecasts</v>
      </c>
      <c r="D367" s="50">
        <f ca="1">'Fiscal Forecasts'!D$183-D$366</f>
        <v>1.1274799999999985</v>
      </c>
      <c r="E367" s="50">
        <f ca="1">'Fiscal Forecasts'!E$183-E$366</f>
        <v>-6.4617000000000075</v>
      </c>
      <c r="F367" s="50">
        <f ca="1">'Fiscal Forecasts'!F$183-F$366</f>
        <v>-3.5834800000000016</v>
      </c>
      <c r="G367" s="50">
        <f ca="1">'Fiscal Forecasts'!G$183-G$366</f>
        <v>-4.5476799999999926</v>
      </c>
      <c r="H367" s="50">
        <f ca="1">'Fiscal Forecasts'!H$183-H$366</f>
        <v>-2.651400000000006</v>
      </c>
      <c r="I367" s="50">
        <f ca="1">'Fiscal Forecasts'!I$183-I$366</f>
        <v>-1.3579999999997483E-2</v>
      </c>
      <c r="J367" s="50">
        <f ca="1">'Fiscal Forecasts'!J$183-J$366</f>
        <v>1.4638199999999983</v>
      </c>
      <c r="K367" s="50">
        <f ca="1">'Fiscal Forecasts'!K$183-K$366</f>
        <v>5.6813600000000051</v>
      </c>
      <c r="L367" s="48">
        <f ca="1">'Fiscal Forecasts'!L$183-L$366</f>
        <v>3.6750599999999949</v>
      </c>
      <c r="M367" s="48">
        <f ca="1">'Fiscal Forecasts'!M$183-M$366</f>
        <v>3.0080000000000098</v>
      </c>
      <c r="N367" s="48">
        <f ca="1">'Fiscal Forecasts'!N$183-N$366</f>
        <v>3.1720200000000034</v>
      </c>
      <c r="O367" s="48">
        <f ca="1">'Fiscal Forecasts'!O$183-O$366</f>
        <v>3.6244199999999935</v>
      </c>
      <c r="P367" s="48">
        <f ca="1">'Fiscal Forecasts'!P$183-P$366</f>
        <v>3.9635999999999854</v>
      </c>
      <c r="Q367" s="20">
        <f t="shared" ref="Q367:Z367" ca="1" si="208">P$367*(1+Q$14)</f>
        <v>4.1361390328507488</v>
      </c>
      <c r="R367" s="20">
        <f t="shared" ca="1" si="208"/>
        <v>4.3121943400639617</v>
      </c>
      <c r="S367" s="20">
        <f t="shared" ca="1" si="208"/>
        <v>4.4929138428408137</v>
      </c>
      <c r="T367" s="20">
        <f t="shared" ca="1" si="208"/>
        <v>4.6778748359079767</v>
      </c>
      <c r="U367" s="20">
        <f t="shared" ca="1" si="208"/>
        <v>4.8692855553030761</v>
      </c>
      <c r="V367" s="20">
        <f t="shared" ca="1" si="208"/>
        <v>5.0672140739620497</v>
      </c>
      <c r="W367" s="20">
        <f t="shared" ca="1" si="208"/>
        <v>5.2706618457805989</v>
      </c>
      <c r="X367" s="20">
        <f t="shared" ca="1" si="208"/>
        <v>5.4799680701817852</v>
      </c>
      <c r="Y367" s="20">
        <f t="shared" ca="1" si="208"/>
        <v>5.6962272874241267</v>
      </c>
      <c r="Z367" s="20">
        <f t="shared" ca="1" si="208"/>
        <v>5.9194952739835305</v>
      </c>
    </row>
    <row r="368" spans="1:26" x14ac:dyDescent="0.25">
      <c r="A368" s="11" t="s">
        <v>1347</v>
      </c>
      <c r="D368" s="94">
        <f t="shared" ref="D368:Z368" ca="1" si="209">SUM(D$366:D$367)</f>
        <v>26.395</v>
      </c>
      <c r="E368" s="94">
        <f t="shared" ca="1" si="209"/>
        <v>17.86</v>
      </c>
      <c r="F368" s="94">
        <f t="shared" ca="1" si="209"/>
        <v>28.643999999999998</v>
      </c>
      <c r="G368" s="94">
        <f t="shared" ca="1" si="209"/>
        <v>29.152999999999999</v>
      </c>
      <c r="H368" s="94">
        <f t="shared" ca="1" si="209"/>
        <v>28.998000000000001</v>
      </c>
      <c r="I368" s="94">
        <f t="shared" ca="1" si="209"/>
        <v>37.338000000000001</v>
      </c>
      <c r="J368" s="94">
        <f t="shared" ca="1" si="209"/>
        <v>42.984999999999999</v>
      </c>
      <c r="K368" s="94">
        <f t="shared" ca="1" si="209"/>
        <v>50.753</v>
      </c>
      <c r="L368" s="95">
        <f t="shared" ca="1" si="209"/>
        <v>54.131999999999998</v>
      </c>
      <c r="M368" s="95">
        <f t="shared" ca="1" si="209"/>
        <v>58.375999999999998</v>
      </c>
      <c r="N368" s="95">
        <f t="shared" ca="1" si="209"/>
        <v>61.085999999999999</v>
      </c>
      <c r="O368" s="95">
        <f t="shared" ca="1" si="209"/>
        <v>64.843000000000004</v>
      </c>
      <c r="P368" s="95">
        <f t="shared" ca="1" si="209"/>
        <v>68.947000000000003</v>
      </c>
      <c r="Q368" s="96">
        <f t="shared" ca="1" si="209"/>
        <v>74.820615233873539</v>
      </c>
      <c r="R368" s="96">
        <f t="shared" ca="1" si="209"/>
        <v>79.309488389610394</v>
      </c>
      <c r="S368" s="96">
        <f t="shared" ca="1" si="209"/>
        <v>83.978596666450528</v>
      </c>
      <c r="T368" s="96">
        <f t="shared" ca="1" si="209"/>
        <v>88.842977657016363</v>
      </c>
      <c r="U368" s="96">
        <f t="shared" ca="1" si="209"/>
        <v>93.886740186754835</v>
      </c>
      <c r="V368" s="96">
        <f t="shared" ca="1" si="209"/>
        <v>99.140714038168994</v>
      </c>
      <c r="W368" s="96">
        <f t="shared" ca="1" si="209"/>
        <v>104.6533287006592</v>
      </c>
      <c r="X368" s="96">
        <f t="shared" ca="1" si="209"/>
        <v>110.47744374284325</v>
      </c>
      <c r="Y368" s="96">
        <f t="shared" ca="1" si="209"/>
        <v>116.68455911806956</v>
      </c>
      <c r="Z368" s="96">
        <f t="shared" ca="1" si="209"/>
        <v>123.33834727523187</v>
      </c>
    </row>
    <row r="369" spans="1:26" x14ac:dyDescent="0.25">
      <c r="A369" s="12" t="s">
        <v>1020</v>
      </c>
      <c r="B369" s="14" t="str">
        <f>$B$38</f>
        <v>From Fiscal Forecasts</v>
      </c>
      <c r="D369" s="50">
        <f>'Fiscal Forecasts'!D$216</f>
        <v>14.254</v>
      </c>
      <c r="E369" s="50">
        <f>'Fiscal Forecasts'!E$216</f>
        <v>17.135000000000002</v>
      </c>
      <c r="F369" s="50">
        <f>'Fiscal Forecasts'!F$216</f>
        <v>21.521999999999998</v>
      </c>
      <c r="G369" s="50">
        <f>'Fiscal Forecasts'!G$216</f>
        <v>18.613</v>
      </c>
      <c r="H369" s="50">
        <f>'Fiscal Forecasts'!H$216</f>
        <v>19.635000000000002</v>
      </c>
      <c r="I369" s="50">
        <f>'Fiscal Forecasts'!I$216</f>
        <v>16.818999999999999</v>
      </c>
      <c r="J369" s="50">
        <f>'Fiscal Forecasts'!J$216</f>
        <v>17.253</v>
      </c>
      <c r="K369" s="50">
        <f>'Fiscal Forecasts'!K$216</f>
        <v>17.209</v>
      </c>
      <c r="L369" s="48">
        <f>'Fiscal Forecasts'!L$216</f>
        <v>16.515999999999998</v>
      </c>
      <c r="M369" s="48">
        <f>'Fiscal Forecasts'!M$216</f>
        <v>16.759</v>
      </c>
      <c r="N369" s="48">
        <f>'Fiscal Forecasts'!N$216</f>
        <v>16.863</v>
      </c>
      <c r="O369" s="48">
        <f>'Fiscal Forecasts'!O$216</f>
        <v>16.975000000000001</v>
      </c>
      <c r="P369" s="48">
        <f>'Fiscal Forecasts'!P$216</f>
        <v>17.091000000000001</v>
      </c>
      <c r="Q369" s="20">
        <f ca="1">P$369*AVERAGE(Exogenous!AB$29/Exogenous!AA$29,1+Q$14)</f>
        <v>17.773423362486561</v>
      </c>
      <c r="R369" s="20">
        <f ca="1">Q$369*AVERAGE(Exogenous!AC$29/Exogenous!AB$29,1+R$14)</f>
        <v>18.528724903828337</v>
      </c>
      <c r="S369" s="20">
        <f ca="1">R$369*AVERAGE(Exogenous!AD$29/Exogenous!AC$29,1+S$14)</f>
        <v>19.369374457106787</v>
      </c>
      <c r="T369" s="20">
        <f ca="1">S$369*AVERAGE(Exogenous!AE$29/Exogenous!AD$29,1+T$14)</f>
        <v>20.314404159518965</v>
      </c>
      <c r="U369" s="20">
        <f ca="1">T$369*AVERAGE(Exogenous!AF$29/Exogenous!AE$29,1+U$14)</f>
        <v>21.363006779158287</v>
      </c>
      <c r="V369" s="20">
        <f ca="1">U$369*AVERAGE(Exogenous!AG$29/Exogenous!AF$29,1+V$14)</f>
        <v>22.452444821704432</v>
      </c>
      <c r="W369" s="20">
        <f ca="1">V$369*AVERAGE(Exogenous!AH$29/Exogenous!AG$29,1+W$14)</f>
        <v>23.573280851083751</v>
      </c>
      <c r="X369" s="20">
        <f ca="1">W$369*AVERAGE(Exogenous!AI$29/Exogenous!AH$29,1+X$14)</f>
        <v>24.72225950222608</v>
      </c>
      <c r="Y369" s="20">
        <f ca="1">X$369*AVERAGE(Exogenous!AJ$29/Exogenous!AI$29,1+Y$14)</f>
        <v>25.908116465319925</v>
      </c>
      <c r="Z369" s="20">
        <f ca="1">Y$369*AVERAGE(Exogenous!AK$29/Exogenous!AJ$29,1+Z$14)</f>
        <v>27.126405841716061</v>
      </c>
    </row>
    <row r="370" spans="1:26" x14ac:dyDescent="0.25">
      <c r="A370" s="12" t="s">
        <v>1227</v>
      </c>
      <c r="B370" s="14" t="str">
        <f>$B$38</f>
        <v>From Fiscal Forecasts</v>
      </c>
      <c r="D370" s="50">
        <f>'Fiscal Forecasts'!D$217</f>
        <v>0.27900000000000003</v>
      </c>
      <c r="E370" s="50">
        <f>'Fiscal Forecasts'!E$217</f>
        <v>3.7999999999999999E-2</v>
      </c>
      <c r="F370" s="50">
        <f>'Fiscal Forecasts'!F$217</f>
        <v>3.7999999999999999E-2</v>
      </c>
      <c r="G370" s="50">
        <f>'Fiscal Forecasts'!G$217</f>
        <v>3.4000000000000002E-2</v>
      </c>
      <c r="H370" s="50">
        <f>'Fiscal Forecasts'!H$217</f>
        <v>3.5999999999999997E-2</v>
      </c>
      <c r="I370" s="50">
        <f>'Fiscal Forecasts'!I$217</f>
        <v>3.2000000000000001E-2</v>
      </c>
      <c r="J370" s="50">
        <f>'Fiscal Forecasts'!J$217</f>
        <v>0.04</v>
      </c>
      <c r="K370" s="50">
        <f>'Fiscal Forecasts'!K$217</f>
        <v>4.2000000000000003E-2</v>
      </c>
      <c r="L370" s="48">
        <f>'Fiscal Forecasts'!L$217</f>
        <v>4.2000000000000003E-2</v>
      </c>
      <c r="M370" s="48">
        <f>'Fiscal Forecasts'!M$217</f>
        <v>4.2000000000000003E-2</v>
      </c>
      <c r="N370" s="48">
        <f>'Fiscal Forecasts'!N$217</f>
        <v>4.2000000000000003E-2</v>
      </c>
      <c r="O370" s="48">
        <f>'Fiscal Forecasts'!O$217</f>
        <v>4.2000000000000003E-2</v>
      </c>
      <c r="P370" s="48">
        <f>'Fiscal Forecasts'!P$217</f>
        <v>4.2000000000000003E-2</v>
      </c>
      <c r="Q370" s="20">
        <f t="shared" ref="Q370:Z370" ca="1" si="210">P$370*(1+Q$14)</f>
        <v>4.3828297350825537E-2</v>
      </c>
      <c r="R370" s="20">
        <f t="shared" ca="1" si="210"/>
        <v>4.5693854647968275E-2</v>
      </c>
      <c r="S370" s="20">
        <f t="shared" ca="1" si="210"/>
        <v>4.760883575520105E-2</v>
      </c>
      <c r="T370" s="20">
        <f t="shared" ca="1" si="210"/>
        <v>4.9568761506745322E-2</v>
      </c>
      <c r="U370" s="20">
        <f t="shared" ca="1" si="210"/>
        <v>5.1597031315654955E-2</v>
      </c>
      <c r="V370" s="20">
        <f t="shared" ca="1" si="210"/>
        <v>5.3694366511859652E-2</v>
      </c>
      <c r="W370" s="20">
        <f t="shared" ca="1" si="210"/>
        <v>5.5850186073969632E-2</v>
      </c>
      <c r="X370" s="20">
        <f t="shared" ca="1" si="210"/>
        <v>5.8068084304076062E-2</v>
      </c>
      <c r="Y370" s="20">
        <f t="shared" ca="1" si="210"/>
        <v>6.0359659418663399E-2</v>
      </c>
      <c r="Z370" s="20">
        <f t="shared" ca="1" si="210"/>
        <v>6.2725502449114248E-2</v>
      </c>
    </row>
    <row r="371" spans="1:26" x14ac:dyDescent="0.25">
      <c r="A371" s="12" t="s">
        <v>1228</v>
      </c>
      <c r="B371" s="14" t="str">
        <f>$B$38</f>
        <v>From Fiscal Forecasts</v>
      </c>
      <c r="D371" s="50">
        <f ca="1">'Fiscal Forecasts'!D$123-SUM(D$368:D$370)</f>
        <v>-1.3760000000000048</v>
      </c>
      <c r="E371" s="50">
        <f ca="1">'Fiscal Forecasts'!E$123-SUM(E$368:E$370)</f>
        <v>-1.2420000000000044</v>
      </c>
      <c r="F371" s="50">
        <f ca="1">'Fiscal Forecasts'!F$123-SUM(F$368:F$370)</f>
        <v>-1.664999999999992</v>
      </c>
      <c r="G371" s="50">
        <f ca="1">'Fiscal Forecasts'!G$123-SUM(G$368:G$370)</f>
        <v>-1.5389999999999944</v>
      </c>
      <c r="H371" s="50">
        <f ca="1">'Fiscal Forecasts'!H$123-SUM(H$368:H$370)</f>
        <v>-0.62300000000000466</v>
      </c>
      <c r="I371" s="50">
        <f ca="1">'Fiscal Forecasts'!I$123-SUM(I$368:I$370)</f>
        <v>-0.69399999999999551</v>
      </c>
      <c r="J371" s="50">
        <f ca="1">'Fiscal Forecasts'!J$123-SUM(J$368:J$370)</f>
        <v>-0.70499999999999829</v>
      </c>
      <c r="K371" s="50">
        <f ca="1">'Fiscal Forecasts'!K$123-SUM(K$368:K$370)</f>
        <v>-0.78300000000000125</v>
      </c>
      <c r="L371" s="48">
        <f ca="1">'Fiscal Forecasts'!L$123-SUM(L$368:L$370)</f>
        <v>-0.80100000000000193</v>
      </c>
      <c r="M371" s="48">
        <f ca="1">'Fiscal Forecasts'!M$123-SUM(M$368:M$370)</f>
        <v>-0.82599999999999341</v>
      </c>
      <c r="N371" s="48">
        <f ca="1">'Fiscal Forecasts'!N$123-SUM(N$368:N$370)</f>
        <v>-0.85599999999999454</v>
      </c>
      <c r="O371" s="48">
        <f ca="1">'Fiscal Forecasts'!O$123-SUM(O$368:O$370)</f>
        <v>-0.89300000000001489</v>
      </c>
      <c r="P371" s="48">
        <f ca="1">'Fiscal Forecasts'!P$123-SUM(P$368:P$370)</f>
        <v>-0.93300000000000693</v>
      </c>
      <c r="Q371" s="20">
        <f t="shared" ref="Q371:Z371" ca="1" si="211">P$371*AVERAGE(Q$368/P$368,Q$369/P$369)</f>
        <v>-0.99136806417422074</v>
      </c>
      <c r="R371" s="20">
        <f t="shared" ca="1" si="211"/>
        <v>-1.0421713445826555</v>
      </c>
      <c r="S371" s="20">
        <f t="shared" ca="1" si="211"/>
        <v>-1.096490394418975</v>
      </c>
      <c r="T371" s="20">
        <f t="shared" ca="1" si="211"/>
        <v>-1.1549958046523725</v>
      </c>
      <c r="U371" s="20">
        <f t="shared" ca="1" si="211"/>
        <v>-1.2175909904198992</v>
      </c>
      <c r="V371" s="20">
        <f t="shared" ca="1" si="211"/>
        <v>-1.2827060766582203</v>
      </c>
      <c r="W371" s="20">
        <f t="shared" ca="1" si="211"/>
        <v>-1.3503844636311129</v>
      </c>
      <c r="X371" s="20">
        <f t="shared" ca="1" si="211"/>
        <v>-1.4208692808337247</v>
      </c>
      <c r="Y371" s="20">
        <f t="shared" ca="1" si="211"/>
        <v>-1.4948622097055599</v>
      </c>
      <c r="Z371" s="20">
        <f t="shared" ca="1" si="211"/>
        <v>-1.5726303146332583</v>
      </c>
    </row>
    <row r="372" spans="1:26" x14ac:dyDescent="0.25">
      <c r="A372" s="11" t="s">
        <v>1348</v>
      </c>
      <c r="D372" s="94">
        <f t="shared" ref="D372:Z372" ca="1" si="212">SUM(D$368:D$371)</f>
        <v>39.552</v>
      </c>
      <c r="E372" s="94">
        <f t="shared" ca="1" si="212"/>
        <v>33.790999999999997</v>
      </c>
      <c r="F372" s="94">
        <f t="shared" ca="1" si="212"/>
        <v>48.539000000000001</v>
      </c>
      <c r="G372" s="94">
        <f t="shared" ca="1" si="212"/>
        <v>46.261000000000003</v>
      </c>
      <c r="H372" s="94">
        <f t="shared" ca="1" si="212"/>
        <v>48.045999999999999</v>
      </c>
      <c r="I372" s="94">
        <f t="shared" ca="1" si="212"/>
        <v>53.494999999999997</v>
      </c>
      <c r="J372" s="94">
        <f t="shared" ca="1" si="212"/>
        <v>59.573</v>
      </c>
      <c r="K372" s="94">
        <f t="shared" ca="1" si="212"/>
        <v>67.221000000000004</v>
      </c>
      <c r="L372" s="95">
        <f t="shared" ca="1" si="212"/>
        <v>69.888999999999996</v>
      </c>
      <c r="M372" s="95">
        <f t="shared" ca="1" si="212"/>
        <v>74.350999999999999</v>
      </c>
      <c r="N372" s="95">
        <f t="shared" ca="1" si="212"/>
        <v>77.135000000000005</v>
      </c>
      <c r="O372" s="95">
        <f t="shared" ca="1" si="212"/>
        <v>80.966999999999999</v>
      </c>
      <c r="P372" s="95">
        <f t="shared" ca="1" si="212"/>
        <v>85.147000000000006</v>
      </c>
      <c r="Q372" s="96">
        <f t="shared" ca="1" si="212"/>
        <v>91.646498829536696</v>
      </c>
      <c r="R372" s="96">
        <f t="shared" ca="1" si="212"/>
        <v>96.841735803504037</v>
      </c>
      <c r="S372" s="96">
        <f t="shared" ca="1" si="212"/>
        <v>102.29908956489353</v>
      </c>
      <c r="T372" s="96">
        <f t="shared" ca="1" si="212"/>
        <v>108.0519547733897</v>
      </c>
      <c r="U372" s="96">
        <f t="shared" ca="1" si="212"/>
        <v>114.08375300680888</v>
      </c>
      <c r="V372" s="96">
        <f t="shared" ca="1" si="212"/>
        <v>120.36414714972707</v>
      </c>
      <c r="W372" s="96">
        <f t="shared" ca="1" si="212"/>
        <v>126.93207527418582</v>
      </c>
      <c r="X372" s="96">
        <f t="shared" ca="1" si="212"/>
        <v>133.83690204853966</v>
      </c>
      <c r="Y372" s="96">
        <f t="shared" ca="1" si="212"/>
        <v>141.15817303310257</v>
      </c>
      <c r="Z372" s="96">
        <f t="shared" ca="1" si="212"/>
        <v>148.9548483047638</v>
      </c>
    </row>
    <row r="374" spans="1:26" x14ac:dyDescent="0.25">
      <c r="A374" s="11" t="s">
        <v>1088</v>
      </c>
    </row>
    <row r="375" spans="1:26" x14ac:dyDescent="0.25">
      <c r="A375" s="12" t="s">
        <v>524</v>
      </c>
      <c r="B375" s="14" t="str">
        <f>$B$38</f>
        <v>From Fiscal Forecasts</v>
      </c>
      <c r="D375" s="50">
        <f>'Fiscal Forecasts'!D$358</f>
        <v>0.98199999999999998</v>
      </c>
      <c r="E375" s="50">
        <f>'Fiscal Forecasts'!E$358</f>
        <v>0.80300000000000005</v>
      </c>
      <c r="F375" s="50">
        <f>'Fiscal Forecasts'!F$358</f>
        <v>0.74199999999999999</v>
      </c>
      <c r="G375" s="50">
        <f>'Fiscal Forecasts'!G$358</f>
        <v>1.077</v>
      </c>
      <c r="H375" s="50">
        <f>'Fiscal Forecasts'!H$358</f>
        <v>1.32</v>
      </c>
      <c r="I375" s="50">
        <f>'Fiscal Forecasts'!I$358</f>
        <v>1.659</v>
      </c>
      <c r="J375" s="50">
        <f>'Fiscal Forecasts'!J$358</f>
        <v>1.784</v>
      </c>
      <c r="K375" s="50">
        <f>'Fiscal Forecasts'!K$358</f>
        <v>1.794</v>
      </c>
      <c r="L375" s="48">
        <f>'Fiscal Forecasts'!L$358</f>
        <v>1.7829999999999999</v>
      </c>
      <c r="M375" s="48">
        <f>'Fiscal Forecasts'!M$358</f>
        <v>1.8460000000000001</v>
      </c>
      <c r="N375" s="48">
        <f>'Fiscal Forecasts'!N$358</f>
        <v>1.9339999999999999</v>
      </c>
      <c r="O375" s="48">
        <f>'Fiscal Forecasts'!O$358</f>
        <v>2.0230000000000001</v>
      </c>
      <c r="P375" s="48">
        <f>'Fiscal Forecasts'!P$358</f>
        <v>2.117</v>
      </c>
      <c r="Q375" s="20">
        <f>Exogenous!AB$7</f>
        <v>2.2826423397519768</v>
      </c>
      <c r="R375" s="20">
        <f>Exogenous!AC$7</f>
        <v>2.4227195267047787</v>
      </c>
      <c r="S375" s="20">
        <f>Exogenous!AD$7</f>
        <v>2.5686040258743446</v>
      </c>
      <c r="T375" s="20">
        <f>Exogenous!AE$7</f>
        <v>2.7205525842122014</v>
      </c>
      <c r="U375" s="20">
        <f>Exogenous!AF$7</f>
        <v>2.8785731084689492</v>
      </c>
      <c r="V375" s="20">
        <f>Exogenous!AG$7</f>
        <v>3.0428005523082655</v>
      </c>
      <c r="W375" s="20">
        <f>Exogenous!AH$7</f>
        <v>3.2145377933622776</v>
      </c>
      <c r="X375" s="20">
        <f>Exogenous!AI$7</f>
        <v>3.3954730466939047</v>
      </c>
      <c r="Y375" s="20">
        <f>Exogenous!AJ$7</f>
        <v>3.5876200801183402</v>
      </c>
      <c r="Z375" s="20">
        <f>Exogenous!AK$7</f>
        <v>3.7932149643970732</v>
      </c>
    </row>
    <row r="376" spans="1:26" x14ac:dyDescent="0.25">
      <c r="A376" s="12" t="s">
        <v>672</v>
      </c>
      <c r="B376" s="14" t="str">
        <f>$B$38</f>
        <v>From Fiscal Forecasts</v>
      </c>
      <c r="D376" s="50">
        <f>'Fiscal Forecasts'!D$359</f>
        <v>0.504</v>
      </c>
      <c r="E376" s="50">
        <f>'Fiscal Forecasts'!E$359</f>
        <v>0.44800000000000001</v>
      </c>
      <c r="F376" s="50">
        <f>'Fiscal Forecasts'!F$359</f>
        <v>2.1560000000000001</v>
      </c>
      <c r="G376" s="50">
        <f>'Fiscal Forecasts'!G$359</f>
        <v>3.5000000000000003E-2</v>
      </c>
      <c r="H376" s="50">
        <f>'Fiscal Forecasts'!H$359</f>
        <v>0.127</v>
      </c>
      <c r="I376" s="50">
        <f>'Fiscal Forecasts'!I$359</f>
        <v>1.29</v>
      </c>
      <c r="J376" s="50">
        <f>'Fiscal Forecasts'!J$359</f>
        <v>1.7549999999999999</v>
      </c>
      <c r="K376" s="50">
        <f>'Fiscal Forecasts'!K$359</f>
        <v>1.196</v>
      </c>
      <c r="L376" s="48">
        <f>'Fiscal Forecasts'!L$359</f>
        <v>1.1910000000000001</v>
      </c>
      <c r="M376" s="48">
        <f>'Fiscal Forecasts'!M$359</f>
        <v>1.2689999999999999</v>
      </c>
      <c r="N376" s="48">
        <f>'Fiscal Forecasts'!N$359</f>
        <v>1.351</v>
      </c>
      <c r="O376" s="48">
        <f>'Fiscal Forecasts'!O$359</f>
        <v>1.4419999999999999</v>
      </c>
      <c r="P376" s="48">
        <f>'Fiscal Forecasts'!P$359</f>
        <v>1.54</v>
      </c>
      <c r="Q376" s="20">
        <f>Exogenous!AB$8</f>
        <v>1.6465642618703413</v>
      </c>
      <c r="R376" s="20">
        <f>Exogenous!AC$8</f>
        <v>1.7476077262463132</v>
      </c>
      <c r="S376" s="20">
        <f>Exogenous!AD$8</f>
        <v>1.8528402449419756</v>
      </c>
      <c r="T376" s="20">
        <f>Exogenous!AE$8</f>
        <v>1.9624470201448843</v>
      </c>
      <c r="U376" s="20">
        <f>Exogenous!AF$8</f>
        <v>2.0764337553210344</v>
      </c>
      <c r="V376" s="20">
        <f>Exogenous!AG$8</f>
        <v>2.194897798125707</v>
      </c>
      <c r="W376" s="20">
        <f>Exogenous!AH$8</f>
        <v>2.3187789680432305</v>
      </c>
      <c r="X376" s="20">
        <f>Exogenous!AI$8</f>
        <v>2.4492950443728607</v>
      </c>
      <c r="Y376" s="20">
        <f>Exogenous!AJ$8</f>
        <v>2.5878986410692479</v>
      </c>
      <c r="Z376" s="20">
        <f>Exogenous!AK$8</f>
        <v>2.736202728390047</v>
      </c>
    </row>
    <row r="377" spans="1:26" x14ac:dyDescent="0.25">
      <c r="A377" s="12" t="s">
        <v>664</v>
      </c>
      <c r="B377" s="14" t="str">
        <f>$B$38</f>
        <v>From Fiscal Forecasts</v>
      </c>
      <c r="D377" s="50">
        <f>'Fiscal Forecasts'!D$360</f>
        <v>0.13</v>
      </c>
      <c r="E377" s="50">
        <f>'Fiscal Forecasts'!E$360</f>
        <v>0.15</v>
      </c>
      <c r="F377" s="50">
        <f>'Fiscal Forecasts'!F$360</f>
        <v>0.125</v>
      </c>
      <c r="G377" s="50">
        <f>'Fiscal Forecasts'!G$360</f>
        <v>-0.51700000000000002</v>
      </c>
      <c r="H377" s="50">
        <f>'Fiscal Forecasts'!H$360</f>
        <v>1.054</v>
      </c>
      <c r="I377" s="50">
        <f>'Fiscal Forecasts'!I$360</f>
        <v>0.189</v>
      </c>
      <c r="J377" s="50">
        <f>'Fiscal Forecasts'!J$360</f>
        <v>0.193</v>
      </c>
      <c r="K377" s="50">
        <f>'Fiscal Forecasts'!K$360</f>
        <v>0.215</v>
      </c>
      <c r="L377" s="48">
        <f>'Fiscal Forecasts'!L$360</f>
        <v>0.32200000000000001</v>
      </c>
      <c r="M377" s="48">
        <f>'Fiscal Forecasts'!M$360</f>
        <v>0.33600000000000002</v>
      </c>
      <c r="N377" s="48">
        <f>'Fiscal Forecasts'!N$360</f>
        <v>0.35199999999999998</v>
      </c>
      <c r="O377" s="48">
        <f>'Fiscal Forecasts'!O$360</f>
        <v>0.371</v>
      </c>
      <c r="P377" s="48">
        <f>'Fiscal Forecasts'!P$360</f>
        <v>0.39100000000000001</v>
      </c>
      <c r="Q377" s="20">
        <f>Exogenous!AB$9</f>
        <v>0.41851304952192758</v>
      </c>
      <c r="R377" s="20">
        <f>Exogenous!AC$9</f>
        <v>0.44419562346666575</v>
      </c>
      <c r="S377" s="20">
        <f>Exogenous!AD$9</f>
        <v>0.47094294413192073</v>
      </c>
      <c r="T377" s="20">
        <f>Exogenous!AE$9</f>
        <v>0.49880208501132234</v>
      </c>
      <c r="U377" s="20">
        <f>Exogenous!AF$9</f>
        <v>0.52777449577495117</v>
      </c>
      <c r="V377" s="20">
        <f>Exogenous!AG$9</f>
        <v>0.55788491961991127</v>
      </c>
      <c r="W377" s="20">
        <f>Exogenous!AH$9</f>
        <v>0.58937223378136083</v>
      </c>
      <c r="X377" s="20">
        <f>Exogenous!AI$9</f>
        <v>0.62254596552159913</v>
      </c>
      <c r="Y377" s="20">
        <f>Exogenous!AJ$9</f>
        <v>0.65777533085606932</v>
      </c>
      <c r="Z377" s="20">
        <f>Exogenous!AK$9</f>
        <v>0.69547030412768118</v>
      </c>
    </row>
    <row r="378" spans="1:26" x14ac:dyDescent="0.25">
      <c r="A378" s="12" t="s">
        <v>527</v>
      </c>
      <c r="B378" s="14" t="str">
        <f>$B$38</f>
        <v>From Fiscal Forecasts</v>
      </c>
      <c r="D378" s="50">
        <f>'Fiscal Forecasts'!D$361</f>
        <v>1.9550000000000001</v>
      </c>
      <c r="E378" s="50">
        <f>'Fiscal Forecasts'!E$361</f>
        <v>1.7000000000000001E-2</v>
      </c>
      <c r="F378" s="50">
        <f>'Fiscal Forecasts'!F$361</f>
        <v>12.786</v>
      </c>
      <c r="G378" s="50">
        <f>'Fiscal Forecasts'!G$361</f>
        <v>-5.133</v>
      </c>
      <c r="H378" s="50">
        <f>'Fiscal Forecasts'!H$361</f>
        <v>5.766</v>
      </c>
      <c r="I378" s="50">
        <f>'Fiscal Forecasts'!I$361</f>
        <v>8.3520000000000003</v>
      </c>
      <c r="J378" s="50">
        <f>'Fiscal Forecasts'!J$361</f>
        <v>7.3129999999999997</v>
      </c>
      <c r="K378" s="50">
        <f>'Fiscal Forecasts'!K$361</f>
        <v>10.266999999999999</v>
      </c>
      <c r="L378" s="48">
        <f>'Fiscal Forecasts'!L$361</f>
        <v>5.2359999999999998</v>
      </c>
      <c r="M378" s="48">
        <f>'Fiscal Forecasts'!M$361</f>
        <v>5.6260000000000003</v>
      </c>
      <c r="N378" s="48">
        <f>'Fiscal Forecasts'!N$361</f>
        <v>6.0119999999999996</v>
      </c>
      <c r="O378" s="48">
        <f>'Fiscal Forecasts'!O$361</f>
        <v>6.4580000000000002</v>
      </c>
      <c r="P378" s="48">
        <f>'Fiscal Forecasts'!P$361</f>
        <v>6.9329999999999998</v>
      </c>
      <c r="Q378" s="20">
        <f>Exogenous!AB$10</f>
        <v>7.2834499423829602</v>
      </c>
      <c r="R378" s="20">
        <f>Exogenous!AC$10</f>
        <v>7.7304079092414062</v>
      </c>
      <c r="S378" s="20">
        <f>Exogenous!AD$10</f>
        <v>8.1958958346018864</v>
      </c>
      <c r="T378" s="20">
        <f>Exogenous!AE$10</f>
        <v>8.6807329460484794</v>
      </c>
      <c r="U378" s="20">
        <f>Exogenous!AF$10</f>
        <v>9.1849444724228615</v>
      </c>
      <c r="V378" s="20">
        <f>Exogenous!AG$10</f>
        <v>9.7089610235655766</v>
      </c>
      <c r="W378" s="20">
        <f>Exogenous!AH$10</f>
        <v>10.256939818437033</v>
      </c>
      <c r="X378" s="20">
        <f>Exogenous!AI$10</f>
        <v>10.834267609788034</v>
      </c>
      <c r="Y378" s="20">
        <f>Exogenous!AJ$10</f>
        <v>11.447369923344665</v>
      </c>
      <c r="Z378" s="20">
        <f>Exogenous!AK$10</f>
        <v>12.103381608564206</v>
      </c>
    </row>
    <row r="379" spans="1:26" x14ac:dyDescent="0.25">
      <c r="A379" s="11" t="s">
        <v>1349</v>
      </c>
      <c r="D379" s="94">
        <f t="shared" ref="D379:Z379" si="213">D$375-D$376-D$377+D$378</f>
        <v>2.3029999999999999</v>
      </c>
      <c r="E379" s="94">
        <f t="shared" si="213"/>
        <v>0.22200000000000003</v>
      </c>
      <c r="F379" s="94">
        <f t="shared" si="213"/>
        <v>11.247</v>
      </c>
      <c r="G379" s="94">
        <f t="shared" si="213"/>
        <v>-3.5739999999999998</v>
      </c>
      <c r="H379" s="94">
        <f t="shared" si="213"/>
        <v>5.9050000000000002</v>
      </c>
      <c r="I379" s="94">
        <f t="shared" si="213"/>
        <v>8.532</v>
      </c>
      <c r="J379" s="94">
        <f t="shared" si="213"/>
        <v>7.149</v>
      </c>
      <c r="K379" s="94">
        <f t="shared" si="213"/>
        <v>10.65</v>
      </c>
      <c r="L379" s="95">
        <f t="shared" si="213"/>
        <v>5.5059999999999993</v>
      </c>
      <c r="M379" s="95">
        <f t="shared" si="213"/>
        <v>5.8670000000000009</v>
      </c>
      <c r="N379" s="95">
        <f t="shared" si="213"/>
        <v>6.2429999999999994</v>
      </c>
      <c r="O379" s="95">
        <f t="shared" si="213"/>
        <v>6.6680000000000001</v>
      </c>
      <c r="P379" s="95">
        <f t="shared" si="213"/>
        <v>7.1189999999999998</v>
      </c>
      <c r="Q379" s="96">
        <f t="shared" si="213"/>
        <v>7.5010149707426681</v>
      </c>
      <c r="R379" s="96">
        <f t="shared" si="213"/>
        <v>7.9613240862332058</v>
      </c>
      <c r="S379" s="96">
        <f t="shared" si="213"/>
        <v>8.4407166714023347</v>
      </c>
      <c r="T379" s="96">
        <f t="shared" si="213"/>
        <v>8.9400364251044735</v>
      </c>
      <c r="U379" s="96">
        <f t="shared" si="213"/>
        <v>9.4593093297958255</v>
      </c>
      <c r="V379" s="96">
        <f t="shared" si="213"/>
        <v>9.9989788581282237</v>
      </c>
      <c r="W379" s="96">
        <f t="shared" si="213"/>
        <v>10.563326409974719</v>
      </c>
      <c r="X379" s="96">
        <f t="shared" si="213"/>
        <v>11.157899646587479</v>
      </c>
      <c r="Y379" s="96">
        <f t="shared" si="213"/>
        <v>11.789316031537687</v>
      </c>
      <c r="Z379" s="96">
        <f t="shared" si="213"/>
        <v>12.46492354044355</v>
      </c>
    </row>
    <row r="380" spans="1:26" x14ac:dyDescent="0.25">
      <c r="A380" s="12" t="s">
        <v>1350</v>
      </c>
      <c r="B380" s="14" t="str">
        <f>$B$38</f>
        <v>From Fiscal Forecasts</v>
      </c>
      <c r="D380" s="50">
        <f>'Fiscal Forecasts'!D$362</f>
        <v>1</v>
      </c>
      <c r="E380" s="50">
        <f>'Fiscal Forecasts'!E$362</f>
        <v>1.46</v>
      </c>
      <c r="F380" s="50">
        <f>'Fiscal Forecasts'!F$362</f>
        <v>2.12</v>
      </c>
      <c r="G380" s="50">
        <f>'Fiscal Forecasts'!G$362</f>
        <v>2.42</v>
      </c>
      <c r="H380" s="50">
        <f>'Fiscal Forecasts'!H$362</f>
        <v>2.5579999999999998</v>
      </c>
      <c r="I380" s="50">
        <f>'Fiscal Forecasts'!I$362</f>
        <v>1.6140000000000001</v>
      </c>
      <c r="J380" s="50">
        <f>'Fiscal Forecasts'!J$362</f>
        <v>0.879</v>
      </c>
      <c r="K380" s="50">
        <f>'Fiscal Forecasts'!K$362</f>
        <v>0</v>
      </c>
      <c r="L380" s="48">
        <f>'Fiscal Forecasts'!L$362</f>
        <v>0.56200000000000006</v>
      </c>
      <c r="M380" s="48">
        <f>'Fiscal Forecasts'!M$362</f>
        <v>0.155</v>
      </c>
      <c r="N380" s="48">
        <f>'Fiscal Forecasts'!N$362</f>
        <v>0.35</v>
      </c>
      <c r="O380" s="48">
        <f>'Fiscal Forecasts'!O$362</f>
        <v>0.44900000000000001</v>
      </c>
      <c r="P380" s="48">
        <f>'Fiscal Forecasts'!P$362</f>
        <v>0.47299999999999998</v>
      </c>
      <c r="Q380" s="20">
        <f>Exogenous!AB$11</f>
        <v>0.35431289191672377</v>
      </c>
      <c r="R380" s="20">
        <f>Exogenous!AC$11</f>
        <v>0.22475822866131523</v>
      </c>
      <c r="S380" s="20">
        <f>Exogenous!AD$11</f>
        <v>7.8613672750343255E-2</v>
      </c>
      <c r="T380" s="20">
        <f>Exogenous!AE$11</f>
        <v>-5.8113137154620631E-2</v>
      </c>
      <c r="U380" s="20">
        <f>Exogenous!AF$11</f>
        <v>-0.24914726512719909</v>
      </c>
      <c r="V380" s="20">
        <f>Exogenous!AG$11</f>
        <v>-0.40218976675939189</v>
      </c>
      <c r="W380" s="20">
        <f>Exogenous!AH$11</f>
        <v>-0.48609182297989406</v>
      </c>
      <c r="X380" s="20">
        <f>Exogenous!AI$11</f>
        <v>-0.50053159184796669</v>
      </c>
      <c r="Y380" s="20">
        <f>Exogenous!AJ$11</f>
        <v>-0.41817925544185641</v>
      </c>
      <c r="Z380" s="20">
        <f>Exogenous!AK$11</f>
        <v>-0.2592683764618755</v>
      </c>
    </row>
    <row r="381" spans="1:26" x14ac:dyDescent="0.25">
      <c r="A381" s="12" t="s">
        <v>529</v>
      </c>
      <c r="B381" s="14" t="str">
        <f>$B$38</f>
        <v>From Fiscal Forecasts</v>
      </c>
      <c r="D381" s="50">
        <f>'Fiscal Forecasts'!D$363</f>
        <v>8.8999999999999996E-2</v>
      </c>
      <c r="E381" s="50">
        <f>'Fiscal Forecasts'!E$363</f>
        <v>-0.13</v>
      </c>
      <c r="F381" s="50">
        <f>'Fiscal Forecasts'!F$363</f>
        <v>1E-3</v>
      </c>
      <c r="G381" s="50">
        <f>'Fiscal Forecasts'!G$363</f>
        <v>-1E-3</v>
      </c>
      <c r="H381" s="50">
        <f>'Fiscal Forecasts'!H$363</f>
        <v>0</v>
      </c>
      <c r="I381" s="50">
        <f>'Fiscal Forecasts'!I$363</f>
        <v>0</v>
      </c>
      <c r="J381" s="50">
        <f>'Fiscal Forecasts'!J$363</f>
        <v>0</v>
      </c>
      <c r="K381" s="50">
        <f>'Fiscal Forecasts'!K$363</f>
        <v>0</v>
      </c>
      <c r="L381" s="48">
        <f>'Fiscal Forecasts'!L$363</f>
        <v>0</v>
      </c>
      <c r="M381" s="48">
        <f>'Fiscal Forecasts'!M$363</f>
        <v>0</v>
      </c>
      <c r="N381" s="48">
        <f>'Fiscal Forecasts'!N$363</f>
        <v>0</v>
      </c>
      <c r="O381" s="48">
        <f>'Fiscal Forecasts'!O$363</f>
        <v>0</v>
      </c>
      <c r="P381" s="48">
        <f>'Fiscal Forecasts'!P$363</f>
        <v>0</v>
      </c>
      <c r="Q381" s="20">
        <f>Exogenous!AB$12</f>
        <v>0</v>
      </c>
      <c r="R381" s="20">
        <f>Exogenous!AC$12</f>
        <v>0</v>
      </c>
      <c r="S381" s="20">
        <f>Exogenous!AD$12</f>
        <v>0</v>
      </c>
      <c r="T381" s="20">
        <f>Exogenous!AE$12</f>
        <v>0</v>
      </c>
      <c r="U381" s="20">
        <f>Exogenous!AF$12</f>
        <v>0</v>
      </c>
      <c r="V381" s="20">
        <f>Exogenous!AG$12</f>
        <v>0</v>
      </c>
      <c r="W381" s="20">
        <f>Exogenous!AH$12</f>
        <v>0</v>
      </c>
      <c r="X381" s="20">
        <f>Exogenous!AI$12</f>
        <v>0</v>
      </c>
      <c r="Y381" s="20">
        <f>Exogenous!AJ$12</f>
        <v>0</v>
      </c>
      <c r="Z381" s="20">
        <f>Exogenous!AK$12</f>
        <v>0</v>
      </c>
    </row>
    <row r="382" spans="1:26" x14ac:dyDescent="0.25">
      <c r="A382" s="11" t="s">
        <v>1093</v>
      </c>
      <c r="C382" s="103">
        <f>'Fiscal Forecasts'!$C$364</f>
        <v>39.052999999999997</v>
      </c>
      <c r="D382" s="94">
        <f t="shared" ref="D382:Z382" si="214">SUM(C$382,D$379,D$380,D$381)</f>
        <v>42.444999999999993</v>
      </c>
      <c r="E382" s="94">
        <f t="shared" si="214"/>
        <v>43.996999999999993</v>
      </c>
      <c r="F382" s="94">
        <f t="shared" si="214"/>
        <v>57.364999999999988</v>
      </c>
      <c r="G382" s="94">
        <f t="shared" si="214"/>
        <v>56.209999999999994</v>
      </c>
      <c r="H382" s="94">
        <f t="shared" si="214"/>
        <v>64.673000000000002</v>
      </c>
      <c r="I382" s="94">
        <f t="shared" si="214"/>
        <v>74.819000000000003</v>
      </c>
      <c r="J382" s="94">
        <f t="shared" si="214"/>
        <v>82.847000000000008</v>
      </c>
      <c r="K382" s="94">
        <f t="shared" si="214"/>
        <v>93.497000000000014</v>
      </c>
      <c r="L382" s="95">
        <f t="shared" si="214"/>
        <v>99.565000000000012</v>
      </c>
      <c r="M382" s="95">
        <f t="shared" si="214"/>
        <v>105.58700000000002</v>
      </c>
      <c r="N382" s="95">
        <f t="shared" si="214"/>
        <v>112.18</v>
      </c>
      <c r="O382" s="95">
        <f t="shared" si="214"/>
        <v>119.29700000000001</v>
      </c>
      <c r="P382" s="95">
        <f t="shared" si="214"/>
        <v>126.88900000000001</v>
      </c>
      <c r="Q382" s="96">
        <f t="shared" si="214"/>
        <v>134.74432786265939</v>
      </c>
      <c r="R382" s="96">
        <f t="shared" si="214"/>
        <v>142.93041017755394</v>
      </c>
      <c r="S382" s="96">
        <f t="shared" si="214"/>
        <v>151.44974052170662</v>
      </c>
      <c r="T382" s="96">
        <f t="shared" si="214"/>
        <v>160.33166380965645</v>
      </c>
      <c r="U382" s="96">
        <f t="shared" si="214"/>
        <v>169.54182587432507</v>
      </c>
      <c r="V382" s="96">
        <f t="shared" si="214"/>
        <v>179.1386149656939</v>
      </c>
      <c r="W382" s="96">
        <f t="shared" si="214"/>
        <v>189.21584955268872</v>
      </c>
      <c r="X382" s="96">
        <f t="shared" si="214"/>
        <v>199.87321760742824</v>
      </c>
      <c r="Y382" s="96">
        <f t="shared" si="214"/>
        <v>211.24435438352407</v>
      </c>
      <c r="Z382" s="96">
        <f t="shared" si="214"/>
        <v>223.45000954750574</v>
      </c>
    </row>
    <row r="383" spans="1:26" x14ac:dyDescent="0.25">
      <c r="A383" s="14" t="s">
        <v>1351</v>
      </c>
    </row>
    <row r="384" spans="1:26" x14ac:dyDescent="0.25">
      <c r="A384" s="12" t="s">
        <v>1094</v>
      </c>
      <c r="B384" s="14" t="str">
        <f>$B$38</f>
        <v>From Fiscal Forecasts</v>
      </c>
      <c r="D384" s="50">
        <f>'Fiscal Forecasts'!D$365</f>
        <v>44.307000000000002</v>
      </c>
      <c r="E384" s="50">
        <f>'Fiscal Forecasts'!E$365</f>
        <v>48.220999999999997</v>
      </c>
      <c r="F384" s="50">
        <f>'Fiscal Forecasts'!F$365</f>
        <v>62.311999999999998</v>
      </c>
      <c r="G384" s="50">
        <f>'Fiscal Forecasts'!G$365</f>
        <v>65.411000000000001</v>
      </c>
      <c r="H384" s="50">
        <f>'Fiscal Forecasts'!H$365</f>
        <v>68.233999999999995</v>
      </c>
      <c r="I384" s="50">
        <f>'Fiscal Forecasts'!I$365</f>
        <v>79.058000000000007</v>
      </c>
      <c r="J384" s="50">
        <f>'Fiscal Forecasts'!J$365</f>
        <v>87.295000000000002</v>
      </c>
      <c r="K384" s="50">
        <f>'Fiscal Forecasts'!K$365</f>
        <v>98.241</v>
      </c>
      <c r="L384" s="48">
        <f>'Fiscal Forecasts'!L$365</f>
        <v>105.30500000000001</v>
      </c>
      <c r="M384" s="48">
        <f>'Fiscal Forecasts'!M$365</f>
        <v>112.79900000000001</v>
      </c>
      <c r="N384" s="48">
        <f>'Fiscal Forecasts'!N$365</f>
        <v>118.80200000000001</v>
      </c>
      <c r="O384" s="48">
        <f>'Fiscal Forecasts'!O$365</f>
        <v>125.7</v>
      </c>
      <c r="P384" s="48">
        <f>'Fiscal Forecasts'!P$365</f>
        <v>133.26300000000001</v>
      </c>
      <c r="Q384" s="20">
        <f ca="1">IF(Q$6=OFFSET(Assumptions!$B$8,0,$C$1),AVERAGE(N$384/N$382,O$384/O$382,P$384/P$382),P$384/P$382)*Q$382</f>
        <v>142.06255178800495</v>
      </c>
      <c r="R384" s="20">
        <f ca="1">IF(R$6=OFFSET(Assumptions!$B$8,0,$C$1),AVERAGE(O$384/O$382,P$384/P$382,Q$384/Q$382),Q$384/Q$382)*R$382</f>
        <v>150.69323599747997</v>
      </c>
      <c r="S384" s="20">
        <f ca="1">IF(S$6=OFFSET(Assumptions!$B$8,0,$C$1),AVERAGE(P$384/P$382,Q$384/Q$382,R$384/R$382),R$384/R$382)*S$382</f>
        <v>159.67526757842273</v>
      </c>
      <c r="T384" s="20">
        <f ca="1">IF(T$6=OFFSET(Assumptions!$B$8,0,$C$1),AVERAGE(Q$384/Q$382,R$384/R$382,S$384/S$382),S$384/S$382)*T$382</f>
        <v>169.0395852241908</v>
      </c>
      <c r="U384" s="20">
        <f ca="1">IF(U$6=OFFSET(Assumptions!$B$8,0,$C$1),AVERAGE(R$384/R$382,S$384/S$382,T$384/T$382),T$384/T$382)*U$382</f>
        <v>178.74996892673548</v>
      </c>
      <c r="V384" s="20">
        <f ca="1">IF(V$6=OFFSET(Assumptions!$B$8,0,$C$1),AVERAGE(S$384/S$382,T$384/T$382,U$384/U$382),U$384/U$382)*V$382</f>
        <v>188.86797811433377</v>
      </c>
      <c r="W384" s="20">
        <f ca="1">IF(W$6=OFFSET(Assumptions!$B$8,0,$C$1),AVERAGE(T$384/T$382,U$384/U$382,V$384/V$382),V$384/V$382)*W$382</f>
        <v>199.49252671762645</v>
      </c>
      <c r="X384" s="20">
        <f ca="1">IF(X$6=OFFSET(Assumptions!$B$8,0,$C$1),AVERAGE(U$384/U$382,V$384/V$382,W$384/W$382),W$384/W$382)*X$382</f>
        <v>210.72871695446852</v>
      </c>
      <c r="Y384" s="20">
        <f ca="1">IF(Y$6=OFFSET(Assumptions!$B$8,0,$C$1),AVERAGE(V$384/V$382,W$384/W$382,X$384/X$382),X$384/X$382)*Y$382</f>
        <v>222.71744206643865</v>
      </c>
      <c r="Z384" s="20">
        <f ca="1">IF(Z$6=OFFSET(Assumptions!$B$8,0,$C$1),AVERAGE(W$384/W$382,X$384/X$382,Y$384/Y$382),Y$384/Y$382)*Z$382</f>
        <v>235.58600986698499</v>
      </c>
    </row>
    <row r="385" spans="1:26" x14ac:dyDescent="0.25">
      <c r="A385" s="12" t="s">
        <v>1352</v>
      </c>
      <c r="B385" s="14" t="str">
        <f>$B$38</f>
        <v>From Fiscal Forecasts</v>
      </c>
      <c r="D385" s="50">
        <f>-'Fiscal Forecasts'!D$366</f>
        <v>1.9910000000000001</v>
      </c>
      <c r="E385" s="50">
        <f>-'Fiscal Forecasts'!E$366</f>
        <v>4.226</v>
      </c>
      <c r="F385" s="50">
        <f>-'Fiscal Forecasts'!F$366</f>
        <v>4.9489999999999998</v>
      </c>
      <c r="G385" s="50">
        <f>-'Fiscal Forecasts'!G$366</f>
        <v>9.1020000000000003</v>
      </c>
      <c r="H385" s="50">
        <f>-'Fiscal Forecasts'!H$366</f>
        <v>3.5009999999999999</v>
      </c>
      <c r="I385" s="50">
        <f>-'Fiscal Forecasts'!I$366</f>
        <v>4.2350000000000003</v>
      </c>
      <c r="J385" s="50">
        <f>-'Fiscal Forecasts'!J$366</f>
        <v>4.5149999999999997</v>
      </c>
      <c r="K385" s="50">
        <f>-'Fiscal Forecasts'!K$366</f>
        <v>4.7569999999999997</v>
      </c>
      <c r="L385" s="48">
        <f>-'Fiscal Forecasts'!L$366</f>
        <v>5.7220000000000004</v>
      </c>
      <c r="M385" s="48">
        <f>-'Fiscal Forecasts'!M$366</f>
        <v>7.1920000000000002</v>
      </c>
      <c r="N385" s="48">
        <f>-'Fiscal Forecasts'!N$366</f>
        <v>6.5979999999999999</v>
      </c>
      <c r="O385" s="48">
        <f>-'Fiscal Forecasts'!O$366</f>
        <v>6.3760000000000003</v>
      </c>
      <c r="P385" s="48">
        <f>-'Fiscal Forecasts'!P$366</f>
        <v>6.343</v>
      </c>
      <c r="Q385" s="20">
        <f t="shared" ref="Q385:Z385" ca="1" si="215">Q$384-Q$382</f>
        <v>7.3182239253455634</v>
      </c>
      <c r="R385" s="20">
        <f t="shared" ca="1" si="215"/>
        <v>7.7628258199260358</v>
      </c>
      <c r="S385" s="20">
        <f t="shared" ca="1" si="215"/>
        <v>8.2255270567161176</v>
      </c>
      <c r="T385" s="20">
        <f t="shared" ca="1" si="215"/>
        <v>8.7079214145343542</v>
      </c>
      <c r="U385" s="20">
        <f t="shared" ca="1" si="215"/>
        <v>9.2081430524104064</v>
      </c>
      <c r="V385" s="20">
        <f t="shared" ca="1" si="215"/>
        <v>9.7293631486398624</v>
      </c>
      <c r="W385" s="20">
        <f t="shared" ca="1" si="215"/>
        <v>10.276677164937723</v>
      </c>
      <c r="X385" s="20">
        <f t="shared" ca="1" si="215"/>
        <v>10.855499347040279</v>
      </c>
      <c r="Y385" s="20">
        <f t="shared" ca="1" si="215"/>
        <v>11.473087682914581</v>
      </c>
      <c r="Z385" s="20">
        <f t="shared" ca="1" si="215"/>
        <v>12.136000319479251</v>
      </c>
    </row>
    <row r="386" spans="1:26" x14ac:dyDescent="0.25">
      <c r="A386" s="12" t="s">
        <v>1096</v>
      </c>
      <c r="B386" s="14" t="str">
        <f>$B$38</f>
        <v>From Fiscal Forecasts</v>
      </c>
      <c r="D386" s="50">
        <f>'Fiscal Forecasts'!D$367</f>
        <v>0</v>
      </c>
      <c r="E386" s="50">
        <f>'Fiscal Forecasts'!E$367</f>
        <v>2E-3</v>
      </c>
      <c r="F386" s="50">
        <f>'Fiscal Forecasts'!F$367</f>
        <v>2E-3</v>
      </c>
      <c r="G386" s="50">
        <f>'Fiscal Forecasts'!G$367</f>
        <v>-9.9000000000000005E-2</v>
      </c>
      <c r="H386" s="50">
        <f>'Fiscal Forecasts'!H$367</f>
        <v>-0.06</v>
      </c>
      <c r="I386" s="50">
        <f>'Fiscal Forecasts'!I$367</f>
        <v>-4.0000000000000001E-3</v>
      </c>
      <c r="J386" s="50">
        <f>'Fiscal Forecasts'!J$367</f>
        <v>6.7000000000000004E-2</v>
      </c>
      <c r="K386" s="50">
        <f>'Fiscal Forecasts'!K$367</f>
        <v>1.2999999999999999E-2</v>
      </c>
      <c r="L386" s="48">
        <f>'Fiscal Forecasts'!L$367</f>
        <v>-1.7999999999999999E-2</v>
      </c>
      <c r="M386" s="48">
        <f>'Fiscal Forecasts'!M$367</f>
        <v>-0.02</v>
      </c>
      <c r="N386" s="48">
        <f>'Fiscal Forecasts'!N$367</f>
        <v>-2.4E-2</v>
      </c>
      <c r="O386" s="48">
        <f>'Fiscal Forecasts'!O$367</f>
        <v>-2.7E-2</v>
      </c>
      <c r="P386" s="48">
        <f>'Fiscal Forecasts'!P$367</f>
        <v>-3.1E-2</v>
      </c>
      <c r="Q386" s="20">
        <f ca="1">IF(Q$6=OFFSET(Assumptions!$B$8,0,$C$1),OFFSET(Assumptions!$B$9,0,$C$1),P$386)</f>
        <v>0</v>
      </c>
      <c r="R386" s="20">
        <f ca="1">IF(R$6=OFFSET(Assumptions!$B$8,0,$C$1),OFFSET(Assumptions!$B$9,0,$C$1),Q$386)</f>
        <v>0</v>
      </c>
      <c r="S386" s="20">
        <f ca="1">IF(S$6=OFFSET(Assumptions!$B$8,0,$C$1),OFFSET(Assumptions!$B$9,0,$C$1),R$386)</f>
        <v>0</v>
      </c>
      <c r="T386" s="20">
        <f ca="1">IF(T$6=OFFSET(Assumptions!$B$8,0,$C$1),OFFSET(Assumptions!$B$9,0,$C$1),S$386)</f>
        <v>0</v>
      </c>
      <c r="U386" s="20">
        <f ca="1">IF(U$6=OFFSET(Assumptions!$B$8,0,$C$1),OFFSET(Assumptions!$B$9,0,$C$1),T$386)</f>
        <v>0</v>
      </c>
      <c r="V386" s="20">
        <f ca="1">IF(V$6=OFFSET(Assumptions!$B$8,0,$C$1),OFFSET(Assumptions!$B$9,0,$C$1),U$386)</f>
        <v>0</v>
      </c>
      <c r="W386" s="20">
        <f ca="1">IF(W$6=OFFSET(Assumptions!$B$8,0,$C$1),OFFSET(Assumptions!$B$9,0,$C$1),V$386)</f>
        <v>0</v>
      </c>
      <c r="X386" s="20">
        <f ca="1">IF(X$6=OFFSET(Assumptions!$B$8,0,$C$1),OFFSET(Assumptions!$B$9,0,$C$1),W$386)</f>
        <v>0</v>
      </c>
      <c r="Y386" s="20">
        <f ca="1">IF(Y$6=OFFSET(Assumptions!$B$8,0,$C$1),OFFSET(Assumptions!$B$9,0,$C$1),X$386)</f>
        <v>0</v>
      </c>
      <c r="Z386" s="20">
        <f ca="1">IF(Z$6=OFFSET(Assumptions!$B$8,0,$C$1),OFFSET(Assumptions!$B$9,0,$C$1),Y$386)</f>
        <v>0</v>
      </c>
    </row>
    <row r="388" spans="1:26" x14ac:dyDescent="0.25">
      <c r="A388" s="11" t="s">
        <v>1353</v>
      </c>
      <c r="B388" s="14" t="str">
        <f>$B$38</f>
        <v>From Fiscal Forecasts</v>
      </c>
      <c r="D388" s="51">
        <f>'Fiscal Forecasts'!D$125</f>
        <v>3.6880000000000002</v>
      </c>
      <c r="E388" s="51">
        <f>'Fiscal Forecasts'!E$125</f>
        <v>4.22</v>
      </c>
      <c r="F388" s="51">
        <f>'Fiscal Forecasts'!F$125</f>
        <v>4.718</v>
      </c>
      <c r="G388" s="51">
        <f>'Fiscal Forecasts'!G$125</f>
        <v>6.0960000000000001</v>
      </c>
      <c r="H388" s="51">
        <f>'Fiscal Forecasts'!H$125</f>
        <v>7.3170000000000002</v>
      </c>
      <c r="I388" s="51">
        <f>'Fiscal Forecasts'!I$125</f>
        <v>7.1740000000000004</v>
      </c>
      <c r="J388" s="51">
        <f>'Fiscal Forecasts'!J$125</f>
        <v>8.093</v>
      </c>
      <c r="K388" s="51">
        <f>'Fiscal Forecasts'!K$125</f>
        <v>10.503</v>
      </c>
      <c r="L388" s="47">
        <f>'Fiscal Forecasts'!L$125</f>
        <v>11.324999999999999</v>
      </c>
      <c r="M388" s="47">
        <f>'Fiscal Forecasts'!M$125</f>
        <v>12.249000000000001</v>
      </c>
      <c r="N388" s="47">
        <f>'Fiscal Forecasts'!N$125</f>
        <v>13.202999999999999</v>
      </c>
      <c r="O388" s="47">
        <f>'Fiscal Forecasts'!O$125</f>
        <v>14.228</v>
      </c>
      <c r="P388" s="47">
        <f>'Fiscal Forecasts'!P$125</f>
        <v>15.332000000000001</v>
      </c>
      <c r="Q388" s="21">
        <f ca="1">OFFSET(Assumptions!$B$53,0,$C$1)*(Q$384-Q$350-Q$391)</f>
        <v>14.136895240204558</v>
      </c>
      <c r="R388" s="21">
        <f ca="1">OFFSET(Assumptions!$B$53,0,$C$1)*(R$384-R$350-R$391)</f>
        <v>14.999458809909285</v>
      </c>
      <c r="S388" s="21">
        <f ca="1">OFFSET(Assumptions!$B$53,0,$C$1)*(S$384-S$350-S$391)</f>
        <v>15.897136564721942</v>
      </c>
      <c r="T388" s="21">
        <f ca="1">OFFSET(Assumptions!$B$53,0,$C$1)*(T$384-T$350-T$391)</f>
        <v>16.833020564221677</v>
      </c>
      <c r="U388" s="21">
        <f ca="1">OFFSET(Assumptions!$B$53,0,$C$1)*(U$384-U$350-U$391)</f>
        <v>17.803490926290348</v>
      </c>
      <c r="V388" s="21">
        <f ca="1">OFFSET(Assumptions!$B$53,0,$C$1)*(V$384-V$350-V$391)</f>
        <v>18.814699992841387</v>
      </c>
      <c r="W388" s="21">
        <f ca="1">OFFSET(Assumptions!$B$53,0,$C$1)*(W$384-W$350-W$391)</f>
        <v>19.876533370975721</v>
      </c>
      <c r="X388" s="21">
        <f ca="1">OFFSET(Assumptions!$B$53,0,$C$1)*(X$384-X$350-X$391)</f>
        <v>20.999495134532292</v>
      </c>
      <c r="Y388" s="21">
        <f ca="1">OFFSET(Assumptions!$B$53,0,$C$1)*(Y$384-Y$350-Y$391)</f>
        <v>22.197666366129084</v>
      </c>
      <c r="Z388" s="21">
        <f ca="1">OFFSET(Assumptions!$B$53,0,$C$1)*(Z$384-Z$350-Z$391)</f>
        <v>23.483770400249664</v>
      </c>
    </row>
    <row r="389" spans="1:26" x14ac:dyDescent="0.25">
      <c r="A389" s="11"/>
      <c r="B389" s="14"/>
      <c r="D389" s="50"/>
      <c r="E389" s="50"/>
      <c r="F389" s="50"/>
      <c r="G389" s="50"/>
      <c r="H389" s="50"/>
      <c r="I389" s="50"/>
      <c r="J389" s="50"/>
      <c r="K389" s="50"/>
      <c r="L389" s="48"/>
      <c r="M389" s="48"/>
      <c r="N389" s="48"/>
      <c r="O389" s="48"/>
      <c r="P389" s="48"/>
    </row>
    <row r="390" spans="1:26" x14ac:dyDescent="0.25">
      <c r="A390" s="11" t="s">
        <v>945</v>
      </c>
    </row>
    <row r="391" spans="1:26" x14ac:dyDescent="0.25">
      <c r="A391" s="12" t="s">
        <v>1354</v>
      </c>
      <c r="B391" s="14" t="str">
        <f>$B$38</f>
        <v>From Fiscal Forecasts</v>
      </c>
      <c r="D391" s="50">
        <f>'Fiscal Forecasts'!D$185-D$77</f>
        <v>2.0030000000000001</v>
      </c>
      <c r="E391" s="50">
        <f>'Fiscal Forecasts'!E$185-E$77</f>
        <v>3.6860000000000017</v>
      </c>
      <c r="F391" s="50">
        <f>'Fiscal Forecasts'!F$185-F$77</f>
        <v>5.4710000000000001</v>
      </c>
      <c r="G391" s="50">
        <f>'Fiscal Forecasts'!G$185-G$77</f>
        <v>4.6139999999999972</v>
      </c>
      <c r="H391" s="50">
        <f>'Fiscal Forecasts'!H$185-H$77</f>
        <v>7.3510000000000062</v>
      </c>
      <c r="I391" s="50">
        <f>'Fiscal Forecasts'!I$185-I$77</f>
        <v>8.9179999999999993</v>
      </c>
      <c r="J391" s="50">
        <f>'Fiscal Forecasts'!J$185-J$77</f>
        <v>9.9709999999999965</v>
      </c>
      <c r="K391" s="50">
        <f>'Fiscal Forecasts'!K$185-K$77</f>
        <v>9.2230000000000025</v>
      </c>
      <c r="L391" s="48">
        <f>'Fiscal Forecasts'!L$185-L$77</f>
        <v>9.2210000000000001</v>
      </c>
      <c r="M391" s="48">
        <f>'Fiscal Forecasts'!M$185-M$77</f>
        <v>9.222999999999999</v>
      </c>
      <c r="N391" s="48">
        <f>'Fiscal Forecasts'!N$185-N$77</f>
        <v>9.2259999999999991</v>
      </c>
      <c r="O391" s="48">
        <f>'Fiscal Forecasts'!O$185-O$77</f>
        <v>9.2220000000000013</v>
      </c>
      <c r="P391" s="48">
        <f>'Fiscal Forecasts'!P$185-P$77</f>
        <v>9.222999999999999</v>
      </c>
      <c r="Q391" s="20">
        <f ca="1">IF(Q$6=OFFSET(Assumptions!$B$8,0,$C$1),AVERAGE(N$391/N$384,O$391/O$384,P$391/P$384),P$391/P$384)*Q$384</f>
        <v>10.428943957728947</v>
      </c>
      <c r="R391" s="20">
        <f ca="1">IF(R$6=OFFSET(Assumptions!$B$8,0,$C$1),AVERAGE(O$391/O$384,P$391/P$384,Q$391/Q$384),Q$391/Q$384)*R$384</f>
        <v>11.062530506785087</v>
      </c>
      <c r="S391" s="20">
        <f ca="1">IF(S$6=OFFSET(Assumptions!$B$8,0,$C$1),AVERAGE(P$391/P$384,Q$391/Q$384,R$391/R$384),R$391/R$384)*S$384</f>
        <v>11.721909792918062</v>
      </c>
      <c r="T391" s="20">
        <f ca="1">IF(T$6=OFFSET(Assumptions!$B$8,0,$C$1),AVERAGE(Q$391/Q$384,R$391/R$384,S$391/S$384),S$391/S$384)*T$384</f>
        <v>12.409353054361247</v>
      </c>
      <c r="U391" s="20">
        <f ca="1">IF(U$6=OFFSET(Assumptions!$B$8,0,$C$1),AVERAGE(R$391/R$384,S$391/S$384,T$391/T$384),T$391/T$384)*U$384</f>
        <v>13.122201346661411</v>
      </c>
      <c r="V391" s="20">
        <f ca="1">IF(V$6=OFFSET(Assumptions!$B$8,0,$C$1),AVERAGE(S$391/S$384,T$391/T$384,U$391/U$384),U$391/U$384)*V$384</f>
        <v>13.864973804660851</v>
      </c>
      <c r="W391" s="20">
        <f ca="1">IF(W$6=OFFSET(Assumptions!$B$8,0,$C$1),AVERAGE(T$391/T$384,U$391/U$384,V$391/V$384),V$391/V$384)*W$384</f>
        <v>14.644931791937145</v>
      </c>
      <c r="X391" s="20">
        <f ca="1">IF(X$6=OFFSET(Assumptions!$B$8,0,$C$1),AVERAGE(U$391/U$384,V$391/V$384,W$391/W$384),W$391/W$384)*X$384</f>
        <v>15.46979095998358</v>
      </c>
      <c r="Y391" s="20">
        <f ca="1">IF(Y$6=OFFSET(Assumptions!$B$8,0,$C$1),AVERAGE(V$391/V$384,W$391/W$384,X$391/X$384),X$391/X$384)*Y$384</f>
        <v>16.349894412608673</v>
      </c>
      <c r="Z391" s="20">
        <f ca="1">IF(Z$6=OFFSET(Assumptions!$B$8,0,$C$1),AVERAGE(W$391/W$384,X$391/X$384,Y$391/Y$384),Y$391/Y$384)*Z$384</f>
        <v>17.294587934715778</v>
      </c>
    </row>
    <row r="392" spans="1:26" x14ac:dyDescent="0.25">
      <c r="A392" s="12" t="s">
        <v>1355</v>
      </c>
      <c r="D392" s="50">
        <f t="shared" ref="D392:Z392" si="216">D$406</f>
        <v>10.731</v>
      </c>
      <c r="E392" s="50">
        <f t="shared" si="216"/>
        <v>10.395</v>
      </c>
      <c r="F392" s="50">
        <f t="shared" si="216"/>
        <v>10.841000000000001</v>
      </c>
      <c r="G392" s="50">
        <f t="shared" si="216"/>
        <v>9.2089999999999996</v>
      </c>
      <c r="H392" s="50">
        <f t="shared" si="216"/>
        <v>9.3729999999999993</v>
      </c>
      <c r="I392" s="50">
        <f t="shared" si="216"/>
        <v>9.5960000000000001</v>
      </c>
      <c r="J392" s="50">
        <f t="shared" si="216"/>
        <v>10.053999999999998</v>
      </c>
      <c r="K392" s="50">
        <f t="shared" si="216"/>
        <v>10.545</v>
      </c>
      <c r="L392" s="48">
        <f t="shared" si="216"/>
        <v>10.648</v>
      </c>
      <c r="M392" s="48">
        <f t="shared" si="216"/>
        <v>10.73</v>
      </c>
      <c r="N392" s="48">
        <f t="shared" si="216"/>
        <v>10.746000000000002</v>
      </c>
      <c r="O392" s="48">
        <f t="shared" si="216"/>
        <v>10.714000000000002</v>
      </c>
      <c r="P392" s="48">
        <f t="shared" si="216"/>
        <v>10.643000000000004</v>
      </c>
      <c r="Q392" s="20">
        <f t="shared" si="216"/>
        <v>10.645000000000003</v>
      </c>
      <c r="R392" s="20">
        <f t="shared" si="216"/>
        <v>10.643000000000002</v>
      </c>
      <c r="S392" s="20">
        <f t="shared" si="216"/>
        <v>10.637000000000002</v>
      </c>
      <c r="T392" s="20">
        <f t="shared" si="216"/>
        <v>10.622000000000003</v>
      </c>
      <c r="U392" s="20">
        <f t="shared" si="216"/>
        <v>10.598000000000003</v>
      </c>
      <c r="V392" s="20">
        <f t="shared" si="216"/>
        <v>10.571000000000002</v>
      </c>
      <c r="W392" s="20">
        <f t="shared" si="216"/>
        <v>10.539000000000003</v>
      </c>
      <c r="X392" s="20">
        <f t="shared" si="216"/>
        <v>10.508000000000003</v>
      </c>
      <c r="Y392" s="20">
        <f t="shared" si="216"/>
        <v>10.485000000000005</v>
      </c>
      <c r="Z392" s="20">
        <f t="shared" si="216"/>
        <v>10.470000000000004</v>
      </c>
    </row>
    <row r="393" spans="1:26" x14ac:dyDescent="0.25">
      <c r="A393" s="12" t="s">
        <v>1356</v>
      </c>
      <c r="D393" s="50">
        <f t="shared" ref="D393:P393" si="217">D$77-D$406</f>
        <v>3.1140000000000008</v>
      </c>
      <c r="E393" s="50">
        <f t="shared" si="217"/>
        <v>4.1609999999999996</v>
      </c>
      <c r="F393" s="50">
        <f t="shared" si="217"/>
        <v>7.8870000000000005</v>
      </c>
      <c r="G393" s="50">
        <f t="shared" si="217"/>
        <v>16.894000000000002</v>
      </c>
      <c r="H393" s="50">
        <f t="shared" si="217"/>
        <v>27.167999999999999</v>
      </c>
      <c r="I393" s="50">
        <f t="shared" si="217"/>
        <v>30.791999999999998</v>
      </c>
      <c r="J393" s="50">
        <f t="shared" si="217"/>
        <v>24.257000000000001</v>
      </c>
      <c r="K393" s="50">
        <f t="shared" si="217"/>
        <v>17.386000000000003</v>
      </c>
      <c r="L393" s="48">
        <f t="shared" si="217"/>
        <v>20.164000000000001</v>
      </c>
      <c r="M393" s="48">
        <f t="shared" si="217"/>
        <v>22.080000000000002</v>
      </c>
      <c r="N393" s="48">
        <f t="shared" si="217"/>
        <v>24.045999999999999</v>
      </c>
      <c r="O393" s="48">
        <f t="shared" si="217"/>
        <v>25.786999999999995</v>
      </c>
      <c r="P393" s="48">
        <f t="shared" si="217"/>
        <v>25.721999999999998</v>
      </c>
      <c r="Q393" s="20">
        <f t="shared" ref="Q393:Z393" ca="1" si="218">P$393*(1+Q$29)</f>
        <v>26.236439999999998</v>
      </c>
      <c r="R393" s="20">
        <f t="shared" ca="1" si="218"/>
        <v>26.7611688</v>
      </c>
      <c r="S393" s="20">
        <f t="shared" ca="1" si="218"/>
        <v>27.296392176000001</v>
      </c>
      <c r="T393" s="20">
        <f t="shared" ca="1" si="218"/>
        <v>27.842320019520002</v>
      </c>
      <c r="U393" s="20">
        <f t="shared" ca="1" si="218"/>
        <v>28.399166419910404</v>
      </c>
      <c r="V393" s="20">
        <f t="shared" ca="1" si="218"/>
        <v>28.967149748308614</v>
      </c>
      <c r="W393" s="20">
        <f t="shared" ca="1" si="218"/>
        <v>29.546492743274786</v>
      </c>
      <c r="X393" s="20">
        <f t="shared" ca="1" si="218"/>
        <v>30.137422598140283</v>
      </c>
      <c r="Y393" s="20">
        <f t="shared" ca="1" si="218"/>
        <v>30.74017105010309</v>
      </c>
      <c r="Z393" s="20">
        <f t="shared" ca="1" si="218"/>
        <v>31.354974471105152</v>
      </c>
    </row>
    <row r="394" spans="1:26" x14ac:dyDescent="0.25">
      <c r="A394" s="11" t="s">
        <v>1357</v>
      </c>
      <c r="D394" s="94">
        <f t="shared" ref="D394:P394" si="219">SUM(D$391:D$393)</f>
        <v>15.848000000000001</v>
      </c>
      <c r="E394" s="94">
        <f t="shared" si="219"/>
        <v>18.242000000000001</v>
      </c>
      <c r="F394" s="94">
        <f t="shared" si="219"/>
        <v>24.199000000000002</v>
      </c>
      <c r="G394" s="94">
        <f t="shared" si="219"/>
        <v>30.716999999999999</v>
      </c>
      <c r="H394" s="94">
        <f t="shared" si="219"/>
        <v>43.892000000000003</v>
      </c>
      <c r="I394" s="94">
        <f t="shared" si="219"/>
        <v>49.305999999999997</v>
      </c>
      <c r="J394" s="94">
        <f t="shared" si="219"/>
        <v>44.281999999999996</v>
      </c>
      <c r="K394" s="94">
        <f t="shared" si="219"/>
        <v>37.154000000000003</v>
      </c>
      <c r="L394" s="95">
        <f t="shared" si="219"/>
        <v>40.033000000000001</v>
      </c>
      <c r="M394" s="95">
        <f t="shared" si="219"/>
        <v>42.033000000000001</v>
      </c>
      <c r="N394" s="95">
        <f t="shared" si="219"/>
        <v>44.018000000000001</v>
      </c>
      <c r="O394" s="95">
        <f t="shared" si="219"/>
        <v>45.722999999999999</v>
      </c>
      <c r="P394" s="95">
        <f t="shared" si="219"/>
        <v>45.588000000000001</v>
      </c>
      <c r="Q394" s="96">
        <f t="shared" ref="Q394:Z394" ca="1" si="220">SUM(Q$391:Q$393)</f>
        <v>47.310383957728945</v>
      </c>
      <c r="R394" s="96">
        <f t="shared" ca="1" si="220"/>
        <v>48.466699306785088</v>
      </c>
      <c r="S394" s="96">
        <f t="shared" ca="1" si="220"/>
        <v>49.655301968918067</v>
      </c>
      <c r="T394" s="96">
        <f t="shared" ca="1" si="220"/>
        <v>50.87367307388125</v>
      </c>
      <c r="U394" s="96">
        <f t="shared" ca="1" si="220"/>
        <v>52.119367766571813</v>
      </c>
      <c r="V394" s="96">
        <f t="shared" ca="1" si="220"/>
        <v>53.403123552969468</v>
      </c>
      <c r="W394" s="96">
        <f t="shared" ca="1" si="220"/>
        <v>54.730424535211938</v>
      </c>
      <c r="X394" s="96">
        <f t="shared" ca="1" si="220"/>
        <v>56.11521355812387</v>
      </c>
      <c r="Y394" s="96">
        <f t="shared" ca="1" si="220"/>
        <v>57.575065462711763</v>
      </c>
      <c r="Z394" s="96">
        <f t="shared" ca="1" si="220"/>
        <v>59.119562405820936</v>
      </c>
    </row>
    <row r="395" spans="1:26" x14ac:dyDescent="0.25">
      <c r="A395" s="12" t="s">
        <v>1358</v>
      </c>
      <c r="B395" s="14" t="str">
        <f>$B$38</f>
        <v>From Fiscal Forecasts</v>
      </c>
      <c r="D395" s="50">
        <f>'Fiscal Forecasts'!D$324</f>
        <v>20.411000000000001</v>
      </c>
      <c r="E395" s="50">
        <f>'Fiscal Forecasts'!E$324</f>
        <v>22.189</v>
      </c>
      <c r="F395" s="50">
        <f>'Fiscal Forecasts'!F$324</f>
        <v>25.206</v>
      </c>
      <c r="G395" s="50">
        <f>'Fiscal Forecasts'!G$324</f>
        <v>27.786000000000001</v>
      </c>
      <c r="H395" s="50">
        <f>'Fiscal Forecasts'!H$324</f>
        <v>29.785</v>
      </c>
      <c r="I395" s="50">
        <f>'Fiscal Forecasts'!I$324</f>
        <v>32.487000000000002</v>
      </c>
      <c r="J395" s="50">
        <f>'Fiscal Forecasts'!J$324</f>
        <v>35.942</v>
      </c>
      <c r="K395" s="50">
        <f>'Fiscal Forecasts'!K$324</f>
        <v>38.999000000000002</v>
      </c>
      <c r="L395" s="48">
        <f>'Fiscal Forecasts'!L$324</f>
        <v>42.354999999999997</v>
      </c>
      <c r="M395" s="48">
        <f>'Fiscal Forecasts'!M$324</f>
        <v>46.854999999999997</v>
      </c>
      <c r="N395" s="48">
        <f>'Fiscal Forecasts'!N$324</f>
        <v>52.057000000000002</v>
      </c>
      <c r="O395" s="48">
        <f>'Fiscal Forecasts'!O$324</f>
        <v>57.710999999999999</v>
      </c>
      <c r="P395" s="48">
        <f>'Fiscal Forecasts'!P$324</f>
        <v>63.762999999999998</v>
      </c>
      <c r="Q395" s="20">
        <f t="shared" ref="Q395:Z395" ca="1" si="221">P$395*(1+Q$14)</f>
        <v>66.538660094778294</v>
      </c>
      <c r="R395" s="20">
        <f t="shared" ca="1" si="221"/>
        <v>69.370886998057159</v>
      </c>
      <c r="S395" s="20">
        <f t="shared" ca="1" si="221"/>
        <v>72.278147482354385</v>
      </c>
      <c r="T395" s="20">
        <f t="shared" ca="1" si="221"/>
        <v>75.253641427490507</v>
      </c>
      <c r="U395" s="20">
        <f t="shared" ca="1" si="221"/>
        <v>78.332893042383475</v>
      </c>
      <c r="V395" s="20">
        <f t="shared" ca="1" si="221"/>
        <v>81.516997426088238</v>
      </c>
      <c r="W395" s="20">
        <f t="shared" ca="1" si="221"/>
        <v>84.789890824631541</v>
      </c>
      <c r="X395" s="20">
        <f t="shared" ca="1" si="221"/>
        <v>88.157029987638126</v>
      </c>
      <c r="Y395" s="20">
        <f t="shared" ca="1" si="221"/>
        <v>91.636022940767475</v>
      </c>
      <c r="Z395" s="20">
        <f t="shared" ca="1" si="221"/>
        <v>95.227766968163607</v>
      </c>
    </row>
    <row r="396" spans="1:26" x14ac:dyDescent="0.25">
      <c r="A396" s="12" t="s">
        <v>1359</v>
      </c>
      <c r="B396" s="14" t="str">
        <f>$B$38</f>
        <v>From Fiscal Forecasts</v>
      </c>
      <c r="D396" s="50">
        <f>'Fiscal Forecasts'!D$124-SUM(D$394:D$395)</f>
        <v>-2.5690000000000026</v>
      </c>
      <c r="E396" s="50">
        <f>'Fiscal Forecasts'!E$124-SUM(E$394:E$395)</f>
        <v>-2.8019999999999996</v>
      </c>
      <c r="F396" s="50">
        <f>'Fiscal Forecasts'!F$124-SUM(F$394:F$395)</f>
        <v>-3.7929999999999993</v>
      </c>
      <c r="G396" s="50">
        <f>'Fiscal Forecasts'!G$124-SUM(G$394:G$395)</f>
        <v>-3.8440000000000012</v>
      </c>
      <c r="H396" s="50">
        <f>'Fiscal Forecasts'!H$124-SUM(H$394:H$395)</f>
        <v>-7.1880000000000024</v>
      </c>
      <c r="I396" s="50">
        <f>'Fiscal Forecasts'!I$124-SUM(I$394:I$395)</f>
        <v>-12.415000000000006</v>
      </c>
      <c r="J396" s="50">
        <f>'Fiscal Forecasts'!J$124-SUM(J$394:J$395)</f>
        <v>-15.312999999999988</v>
      </c>
      <c r="K396" s="50">
        <f>'Fiscal Forecasts'!K$124-SUM(K$394:K$395)</f>
        <v>-15.880000000000003</v>
      </c>
      <c r="L396" s="48">
        <f>'Fiscal Forecasts'!L$124-SUM(L$394:L$395)</f>
        <v>-18.657000000000004</v>
      </c>
      <c r="M396" s="48">
        <f>'Fiscal Forecasts'!M$124-SUM(M$394:M$395)</f>
        <v>-20.274000000000001</v>
      </c>
      <c r="N396" s="48">
        <f>'Fiscal Forecasts'!N$124-SUM(N$394:N$395)</f>
        <v>-22.240000000000009</v>
      </c>
      <c r="O396" s="48">
        <f>'Fiscal Forecasts'!O$124-SUM(O$394:O$395)</f>
        <v>-23.875999999999991</v>
      </c>
      <c r="P396" s="48">
        <f>'Fiscal Forecasts'!P$124-SUM(P$394:P$395)</f>
        <v>-23.781000000000006</v>
      </c>
      <c r="Q396" s="20">
        <f t="shared" ref="Q396:Z396" ca="1" si="222">P$396-(Q$393-P$393)</f>
        <v>-24.295440000000006</v>
      </c>
      <c r="R396" s="20">
        <f t="shared" ca="1" si="222"/>
        <v>-24.820168800000008</v>
      </c>
      <c r="S396" s="20">
        <f t="shared" ca="1" si="222"/>
        <v>-25.355392176000009</v>
      </c>
      <c r="T396" s="20">
        <f t="shared" ca="1" si="222"/>
        <v>-25.901320019520011</v>
      </c>
      <c r="U396" s="20">
        <f t="shared" ca="1" si="222"/>
        <v>-26.458166419910413</v>
      </c>
      <c r="V396" s="20">
        <f t="shared" ca="1" si="222"/>
        <v>-27.026149748308622</v>
      </c>
      <c r="W396" s="20">
        <f t="shared" ca="1" si="222"/>
        <v>-27.605492743274795</v>
      </c>
      <c r="X396" s="20">
        <f t="shared" ca="1" si="222"/>
        <v>-28.196422598140291</v>
      </c>
      <c r="Y396" s="20">
        <f t="shared" ca="1" si="222"/>
        <v>-28.799171050103098</v>
      </c>
      <c r="Z396" s="20">
        <f t="shared" ca="1" si="222"/>
        <v>-29.41397447110516</v>
      </c>
    </row>
    <row r="397" spans="1:26" x14ac:dyDescent="0.25">
      <c r="A397" s="11" t="s">
        <v>1360</v>
      </c>
      <c r="D397" s="94">
        <f t="shared" ref="D397:P397" si="223">SUM(D$394:D$396)</f>
        <v>33.69</v>
      </c>
      <c r="E397" s="94">
        <f t="shared" si="223"/>
        <v>37.628999999999998</v>
      </c>
      <c r="F397" s="94">
        <f t="shared" si="223"/>
        <v>45.612000000000002</v>
      </c>
      <c r="G397" s="94">
        <f t="shared" si="223"/>
        <v>54.658999999999999</v>
      </c>
      <c r="H397" s="94">
        <f t="shared" si="223"/>
        <v>66.489000000000004</v>
      </c>
      <c r="I397" s="94">
        <f t="shared" si="223"/>
        <v>69.378</v>
      </c>
      <c r="J397" s="94">
        <f t="shared" si="223"/>
        <v>64.911000000000001</v>
      </c>
      <c r="K397" s="94">
        <f t="shared" si="223"/>
        <v>60.273000000000003</v>
      </c>
      <c r="L397" s="95">
        <f t="shared" si="223"/>
        <v>63.731000000000002</v>
      </c>
      <c r="M397" s="95">
        <f t="shared" si="223"/>
        <v>68.614000000000004</v>
      </c>
      <c r="N397" s="95">
        <f t="shared" si="223"/>
        <v>73.834999999999994</v>
      </c>
      <c r="O397" s="95">
        <f t="shared" si="223"/>
        <v>79.558000000000007</v>
      </c>
      <c r="P397" s="95">
        <f t="shared" si="223"/>
        <v>85.57</v>
      </c>
      <c r="Q397" s="96">
        <f t="shared" ref="Q397:Z397" ca="1" si="224">SUM(Q$394:Q$396)</f>
        <v>89.553604052507239</v>
      </c>
      <c r="R397" s="96">
        <f t="shared" ca="1" si="224"/>
        <v>93.017417504842243</v>
      </c>
      <c r="S397" s="96">
        <f t="shared" ca="1" si="224"/>
        <v>96.578057275272442</v>
      </c>
      <c r="T397" s="96">
        <f t="shared" ca="1" si="224"/>
        <v>100.22599448185174</v>
      </c>
      <c r="U397" s="96">
        <f t="shared" ca="1" si="224"/>
        <v>103.99409438904488</v>
      </c>
      <c r="V397" s="96">
        <f t="shared" ca="1" si="224"/>
        <v>107.89397123074909</v>
      </c>
      <c r="W397" s="96">
        <f t="shared" ca="1" si="224"/>
        <v>111.9148226165687</v>
      </c>
      <c r="X397" s="96">
        <f t="shared" ca="1" si="224"/>
        <v>116.07582094762171</v>
      </c>
      <c r="Y397" s="96">
        <f t="shared" ca="1" si="224"/>
        <v>120.41191735337614</v>
      </c>
      <c r="Z397" s="96">
        <f t="shared" ca="1" si="224"/>
        <v>124.93335490287937</v>
      </c>
    </row>
    <row r="399" spans="1:26" x14ac:dyDescent="0.25">
      <c r="A399" s="11" t="s">
        <v>1355</v>
      </c>
    </row>
    <row r="400" spans="1:26" x14ac:dyDescent="0.25">
      <c r="A400" s="12" t="s">
        <v>532</v>
      </c>
      <c r="B400" s="14" t="str">
        <f t="shared" ref="B400:B405" si="225">$B$38</f>
        <v>From Fiscal Forecasts</v>
      </c>
      <c r="D400" s="50">
        <f>'Fiscal Forecasts'!D$326</f>
        <v>1.361</v>
      </c>
      <c r="E400" s="50">
        <f>'Fiscal Forecasts'!E$326</f>
        <v>1.413</v>
      </c>
      <c r="F400" s="50">
        <f>'Fiscal Forecasts'!F$326</f>
        <v>1.43</v>
      </c>
      <c r="G400" s="50">
        <f>'Fiscal Forecasts'!G$326</f>
        <v>1.2949999999999999</v>
      </c>
      <c r="H400" s="50">
        <f>'Fiscal Forecasts'!H$326</f>
        <v>1.2709999999999999</v>
      </c>
      <c r="I400" s="50">
        <f>'Fiscal Forecasts'!I$326</f>
        <v>1.3480000000000001</v>
      </c>
      <c r="J400" s="50">
        <f>'Fiscal Forecasts'!J$326</f>
        <v>1.7090000000000001</v>
      </c>
      <c r="K400" s="50">
        <f>'Fiscal Forecasts'!K$326</f>
        <v>2.0089999999999999</v>
      </c>
      <c r="L400" s="48">
        <f>'Fiscal Forecasts'!L$326</f>
        <v>2.1560000000000001</v>
      </c>
      <c r="M400" s="48">
        <f>'Fiscal Forecasts'!M$326</f>
        <v>2.1890000000000001</v>
      </c>
      <c r="N400" s="48">
        <f>'Fiscal Forecasts'!N$326</f>
        <v>2.1920000000000002</v>
      </c>
      <c r="O400" s="48">
        <f>'Fiscal Forecasts'!O$326</f>
        <v>2.2149999999999999</v>
      </c>
      <c r="P400" s="48">
        <f>'Fiscal Forecasts'!P$326</f>
        <v>2.2530000000000001</v>
      </c>
      <c r="Q400" s="20">
        <f>Exogenous!AB$16</f>
        <v>2.2959999999999998</v>
      </c>
      <c r="R400" s="20">
        <f>Exogenous!AC$16</f>
        <v>2.3319999999999999</v>
      </c>
      <c r="S400" s="20">
        <f>Exogenous!AD$16</f>
        <v>2.3660000000000001</v>
      </c>
      <c r="T400" s="20">
        <f>Exogenous!AE$16</f>
        <v>2.3969999999999998</v>
      </c>
      <c r="U400" s="20">
        <f>Exogenous!AF$16</f>
        <v>2.4260000000000002</v>
      </c>
      <c r="V400" s="20">
        <f>Exogenous!AG$16</f>
        <v>2.456</v>
      </c>
      <c r="W400" s="20">
        <f>Exogenous!AH$16</f>
        <v>2.4860000000000002</v>
      </c>
      <c r="X400" s="20">
        <f>Exogenous!AI$16</f>
        <v>2.5179999999999998</v>
      </c>
      <c r="Y400" s="20">
        <f>Exogenous!AJ$16</f>
        <v>2.5510000000000002</v>
      </c>
      <c r="Z400" s="20">
        <f>Exogenous!AK$16</f>
        <v>2.5840000000000001</v>
      </c>
    </row>
    <row r="401" spans="1:26" x14ac:dyDescent="0.25">
      <c r="A401" s="12" t="s">
        <v>533</v>
      </c>
      <c r="B401" s="14" t="str">
        <f t="shared" si="225"/>
        <v>From Fiscal Forecasts</v>
      </c>
      <c r="D401" s="50">
        <f>'Fiscal Forecasts'!D$327</f>
        <v>3.5999999999999997E-2</v>
      </c>
      <c r="E401" s="50">
        <f>'Fiscal Forecasts'!E$327</f>
        <v>3.5999999999999997E-2</v>
      </c>
      <c r="F401" s="50">
        <f>'Fiscal Forecasts'!F$327</f>
        <v>3.7999999999999999E-2</v>
      </c>
      <c r="G401" s="50">
        <f>'Fiscal Forecasts'!G$327</f>
        <v>3.7999999999999999E-2</v>
      </c>
      <c r="H401" s="50">
        <f>'Fiscal Forecasts'!H$327</f>
        <v>0.03</v>
      </c>
      <c r="I401" s="50">
        <f>'Fiscal Forecasts'!I$327</f>
        <v>2.8000000000000001E-2</v>
      </c>
      <c r="J401" s="50">
        <f>'Fiscal Forecasts'!J$327</f>
        <v>2.5999999999999999E-2</v>
      </c>
      <c r="K401" s="50">
        <f>'Fiscal Forecasts'!K$327</f>
        <v>2.8000000000000001E-2</v>
      </c>
      <c r="L401" s="48">
        <f>'Fiscal Forecasts'!L$327</f>
        <v>3.4000000000000002E-2</v>
      </c>
      <c r="M401" s="48">
        <f>'Fiscal Forecasts'!M$327</f>
        <v>3.4000000000000002E-2</v>
      </c>
      <c r="N401" s="48">
        <f>'Fiscal Forecasts'!N$327</f>
        <v>3.4000000000000002E-2</v>
      </c>
      <c r="O401" s="48">
        <f>'Fiscal Forecasts'!O$327</f>
        <v>3.6999999999999998E-2</v>
      </c>
      <c r="P401" s="48">
        <f>'Fiscal Forecasts'!P$327</f>
        <v>3.7999999999999999E-2</v>
      </c>
      <c r="Q401" s="20">
        <f>Exogenous!AB$17</f>
        <v>3.9E-2</v>
      </c>
      <c r="R401" s="20">
        <f>Exogenous!AC$17</f>
        <v>0.04</v>
      </c>
      <c r="S401" s="20">
        <f>Exogenous!AD$17</f>
        <v>4.1000000000000002E-2</v>
      </c>
      <c r="T401" s="20">
        <f>Exogenous!AE$17</f>
        <v>4.2000000000000003E-2</v>
      </c>
      <c r="U401" s="20">
        <f>Exogenous!AF$17</f>
        <v>4.2999999999999997E-2</v>
      </c>
      <c r="V401" s="20">
        <f>Exogenous!AG$17</f>
        <v>4.3999999999999997E-2</v>
      </c>
      <c r="W401" s="20">
        <f>Exogenous!AH$17</f>
        <v>4.4999999999999998E-2</v>
      </c>
      <c r="X401" s="20">
        <f>Exogenous!AI$17</f>
        <v>4.5999999999999999E-2</v>
      </c>
      <c r="Y401" s="20">
        <f>Exogenous!AJ$17</f>
        <v>4.7E-2</v>
      </c>
      <c r="Z401" s="20">
        <f>Exogenous!AK$17</f>
        <v>4.8000000000000001E-2</v>
      </c>
    </row>
    <row r="402" spans="1:26" x14ac:dyDescent="0.25">
      <c r="A402" s="12" t="s">
        <v>1361</v>
      </c>
      <c r="B402" s="14" t="str">
        <f t="shared" si="225"/>
        <v>From Fiscal Forecasts</v>
      </c>
      <c r="D402" s="50">
        <f>'Fiscal Forecasts'!D$328</f>
        <v>0.56299999999999994</v>
      </c>
      <c r="E402" s="50">
        <f>'Fiscal Forecasts'!E$328</f>
        <v>0.50600000000000001</v>
      </c>
      <c r="F402" s="50">
        <f>'Fiscal Forecasts'!F$328</f>
        <v>0.46899999999999997</v>
      </c>
      <c r="G402" s="50">
        <f>'Fiscal Forecasts'!G$328</f>
        <v>0.48899999999999999</v>
      </c>
      <c r="H402" s="50">
        <f>'Fiscal Forecasts'!H$328</f>
        <v>0.55100000000000005</v>
      </c>
      <c r="I402" s="50">
        <f>'Fiscal Forecasts'!I$328</f>
        <v>0.54400000000000004</v>
      </c>
      <c r="J402" s="50">
        <f>'Fiscal Forecasts'!J$328</f>
        <v>0.58499999999999996</v>
      </c>
      <c r="K402" s="50">
        <f>'Fiscal Forecasts'!K$328</f>
        <v>0.76300000000000001</v>
      </c>
      <c r="L402" s="48">
        <f>'Fiscal Forecasts'!L$328</f>
        <v>0.72399999999999998</v>
      </c>
      <c r="M402" s="48">
        <f>'Fiscal Forecasts'!M$328</f>
        <v>0.78600000000000003</v>
      </c>
      <c r="N402" s="48">
        <f>'Fiscal Forecasts'!N$328</f>
        <v>0.82099999999999995</v>
      </c>
      <c r="O402" s="48">
        <f>'Fiscal Forecasts'!O$328</f>
        <v>0.85299999999999998</v>
      </c>
      <c r="P402" s="48">
        <f>'Fiscal Forecasts'!P$328</f>
        <v>0.88300000000000001</v>
      </c>
      <c r="Q402" s="20">
        <f>Exogenous!AB$18</f>
        <v>0.91100000000000003</v>
      </c>
      <c r="R402" s="20">
        <f>Exogenous!AC$18</f>
        <v>0.93799999999999994</v>
      </c>
      <c r="S402" s="20">
        <f>Exogenous!AD$18</f>
        <v>0.96199999999999997</v>
      </c>
      <c r="T402" s="20">
        <f>Exogenous!AE$18</f>
        <v>0.98499999999999999</v>
      </c>
      <c r="U402" s="20">
        <f>Exogenous!AF$18</f>
        <v>1.006</v>
      </c>
      <c r="V402" s="20">
        <f>Exogenous!AG$18</f>
        <v>1.0249999999999999</v>
      </c>
      <c r="W402" s="20">
        <f>Exogenous!AH$18</f>
        <v>1.046</v>
      </c>
      <c r="X402" s="20">
        <f>Exogenous!AI$18</f>
        <v>1.0669999999999999</v>
      </c>
      <c r="Y402" s="20">
        <f>Exogenous!AJ$18</f>
        <v>1.0880000000000001</v>
      </c>
      <c r="Z402" s="20">
        <f>Exogenous!AK$18</f>
        <v>1.109</v>
      </c>
    </row>
    <row r="403" spans="1:26" x14ac:dyDescent="0.25">
      <c r="A403" s="12" t="s">
        <v>1362</v>
      </c>
      <c r="B403" s="14" t="str">
        <f t="shared" si="225"/>
        <v>From Fiscal Forecasts</v>
      </c>
      <c r="D403" s="50">
        <f>'Fiscal Forecasts'!D$329</f>
        <v>1.371</v>
      </c>
      <c r="E403" s="50">
        <f>'Fiscal Forecasts'!E$329</f>
        <v>1.4770000000000001</v>
      </c>
      <c r="F403" s="50">
        <f>'Fiscal Forecasts'!F$329</f>
        <v>1.4950000000000001</v>
      </c>
      <c r="G403" s="50">
        <f>'Fiscal Forecasts'!G$329</f>
        <v>1.605</v>
      </c>
      <c r="H403" s="50">
        <f>'Fiscal Forecasts'!H$329</f>
        <v>1.6339999999999999</v>
      </c>
      <c r="I403" s="50">
        <f>'Fiscal Forecasts'!I$329</f>
        <v>1.5980000000000001</v>
      </c>
      <c r="J403" s="50">
        <f>'Fiscal Forecasts'!J$329</f>
        <v>1.5620000000000001</v>
      </c>
      <c r="K403" s="50">
        <f>'Fiscal Forecasts'!K$329</f>
        <v>1.6279999999999999</v>
      </c>
      <c r="L403" s="48">
        <f>'Fiscal Forecasts'!L$329</f>
        <v>1.726</v>
      </c>
      <c r="M403" s="48">
        <f>'Fiscal Forecasts'!M$329</f>
        <v>1.8009999999999999</v>
      </c>
      <c r="N403" s="48">
        <f>'Fiscal Forecasts'!N$329</f>
        <v>1.863</v>
      </c>
      <c r="O403" s="48">
        <f>'Fiscal Forecasts'!O$329</f>
        <v>1.9319999999999999</v>
      </c>
      <c r="P403" s="48">
        <f>'Fiscal Forecasts'!P$329</f>
        <v>2.0049999999999999</v>
      </c>
      <c r="Q403" s="20">
        <f>Exogenous!AB$19</f>
        <v>1.9910000000000001</v>
      </c>
      <c r="R403" s="20">
        <f>Exogenous!AC$19</f>
        <v>2.0409999999999999</v>
      </c>
      <c r="S403" s="20">
        <f>Exogenous!AD$19</f>
        <v>2.09</v>
      </c>
      <c r="T403" s="20">
        <f>Exogenous!AE$19</f>
        <v>2.1389999999999998</v>
      </c>
      <c r="U403" s="20">
        <f>Exogenous!AF$19</f>
        <v>2.1859999999999999</v>
      </c>
      <c r="V403" s="20">
        <f>Exogenous!AG$19</f>
        <v>2.2309999999999999</v>
      </c>
      <c r="W403" s="20">
        <f>Exogenous!AH$19</f>
        <v>2.2759999999999998</v>
      </c>
      <c r="X403" s="20">
        <f>Exogenous!AI$19</f>
        <v>2.319</v>
      </c>
      <c r="Y403" s="20">
        <f>Exogenous!AJ$19</f>
        <v>2.3570000000000002</v>
      </c>
      <c r="Z403" s="20">
        <f>Exogenous!AK$19</f>
        <v>2.395</v>
      </c>
    </row>
    <row r="404" spans="1:26" x14ac:dyDescent="0.25">
      <c r="A404" s="12" t="s">
        <v>536</v>
      </c>
      <c r="B404" s="14" t="str">
        <f t="shared" si="225"/>
        <v>From Fiscal Forecasts</v>
      </c>
      <c r="D404" s="50">
        <f>'Fiscal Forecasts'!D$330</f>
        <v>0.39400000000000002</v>
      </c>
      <c r="E404" s="50">
        <f>'Fiscal Forecasts'!E$330</f>
        <v>0.33100000000000002</v>
      </c>
      <c r="F404" s="50">
        <f>'Fiscal Forecasts'!F$330</f>
        <v>0.23499999999999999</v>
      </c>
      <c r="G404" s="50">
        <f>'Fiscal Forecasts'!G$330</f>
        <v>0.28000000000000003</v>
      </c>
      <c r="H404" s="50">
        <f>'Fiscal Forecasts'!H$330</f>
        <v>0.57699999999999996</v>
      </c>
      <c r="I404" s="50">
        <f>'Fiscal Forecasts'!I$330</f>
        <v>0.63400000000000001</v>
      </c>
      <c r="J404" s="50">
        <f>'Fiscal Forecasts'!J$330</f>
        <v>0.49199999999999999</v>
      </c>
      <c r="K404" s="50">
        <f>'Fiscal Forecasts'!K$330</f>
        <v>0.311</v>
      </c>
      <c r="L404" s="48">
        <f>'Fiscal Forecasts'!L$330</f>
        <v>0.36299999999999999</v>
      </c>
      <c r="M404" s="48">
        <f>'Fiscal Forecasts'!M$330</f>
        <v>0.44600000000000001</v>
      </c>
      <c r="N404" s="48">
        <f>'Fiscal Forecasts'!N$330</f>
        <v>0.47399999999999998</v>
      </c>
      <c r="O404" s="48">
        <f>'Fiscal Forecasts'!O$330</f>
        <v>0.501</v>
      </c>
      <c r="P404" s="48">
        <f>'Fiscal Forecasts'!P$330</f>
        <v>0.52600000000000002</v>
      </c>
      <c r="Q404" s="20">
        <f>Exogenous!AB$20</f>
        <v>0.56899999999999995</v>
      </c>
      <c r="R404" s="20">
        <f>Exogenous!AC$20</f>
        <v>0.60499999999999998</v>
      </c>
      <c r="S404" s="20">
        <f>Exogenous!AD$20</f>
        <v>0.63900000000000001</v>
      </c>
      <c r="T404" s="20">
        <f>Exogenous!AE$20</f>
        <v>0.67</v>
      </c>
      <c r="U404" s="20">
        <f>Exogenous!AF$20</f>
        <v>0.69899999999999995</v>
      </c>
      <c r="V404" s="20">
        <f>Exogenous!AG$20</f>
        <v>0.72899999999999998</v>
      </c>
      <c r="W404" s="20">
        <f>Exogenous!AH$20</f>
        <v>0.75900000000000001</v>
      </c>
      <c r="X404" s="20">
        <f>Exogenous!AI$20</f>
        <v>0.79100000000000004</v>
      </c>
      <c r="Y404" s="20">
        <f>Exogenous!AJ$20</f>
        <v>0.82399999999999995</v>
      </c>
      <c r="Z404" s="20">
        <f>Exogenous!AK$20</f>
        <v>0.85699999999999998</v>
      </c>
    </row>
    <row r="405" spans="1:26" x14ac:dyDescent="0.25">
      <c r="A405" s="12" t="s">
        <v>537</v>
      </c>
      <c r="B405" s="14" t="str">
        <f t="shared" si="225"/>
        <v>From Fiscal Forecasts</v>
      </c>
      <c r="D405" s="50">
        <f>'Fiscal Forecasts'!D$331</f>
        <v>0.94499999999999995</v>
      </c>
      <c r="E405" s="50">
        <f>'Fiscal Forecasts'!E$331</f>
        <v>-0.13300000000000001</v>
      </c>
      <c r="F405" s="50">
        <f>'Fiscal Forecasts'!F$331</f>
        <v>0.70699999999999996</v>
      </c>
      <c r="G405" s="50">
        <f>'Fiscal Forecasts'!G$331</f>
        <v>-1.151</v>
      </c>
      <c r="H405" s="50">
        <f>'Fiscal Forecasts'!H$331</f>
        <v>0.47099999999999997</v>
      </c>
      <c r="I405" s="50">
        <f>'Fiscal Forecasts'!I$331</f>
        <v>0.35499999999999998</v>
      </c>
      <c r="J405" s="50">
        <f>'Fiscal Forecasts'!J$331</f>
        <v>0.378</v>
      </c>
      <c r="K405" s="50">
        <f>'Fiscal Forecasts'!K$331</f>
        <v>0.53400000000000003</v>
      </c>
      <c r="L405" s="48">
        <f>'Fiscal Forecasts'!L$331</f>
        <v>0</v>
      </c>
      <c r="M405" s="48">
        <f>'Fiscal Forecasts'!M$331</f>
        <v>0</v>
      </c>
      <c r="N405" s="48">
        <f>'Fiscal Forecasts'!N$331</f>
        <v>0</v>
      </c>
      <c r="O405" s="48">
        <f>'Fiscal Forecasts'!O$331</f>
        <v>0</v>
      </c>
      <c r="P405" s="48">
        <f>'Fiscal Forecasts'!P$331</f>
        <v>0</v>
      </c>
      <c r="Q405" s="20">
        <f>Exogenous!AB$21</f>
        <v>0</v>
      </c>
      <c r="R405" s="20">
        <f>Exogenous!AC$21</f>
        <v>0</v>
      </c>
      <c r="S405" s="20">
        <f>Exogenous!AD$21</f>
        <v>0</v>
      </c>
      <c r="T405" s="20">
        <f>Exogenous!AE$21</f>
        <v>0</v>
      </c>
      <c r="U405" s="20">
        <f>Exogenous!AF$21</f>
        <v>0</v>
      </c>
      <c r="V405" s="20">
        <f>Exogenous!AG$21</f>
        <v>0</v>
      </c>
      <c r="W405" s="20">
        <f>Exogenous!AH$21</f>
        <v>0</v>
      </c>
      <c r="X405" s="20">
        <f>Exogenous!AI$21</f>
        <v>0</v>
      </c>
      <c r="Y405" s="20">
        <f>Exogenous!AJ$21</f>
        <v>0</v>
      </c>
      <c r="Z405" s="20">
        <f>Exogenous!AK$21</f>
        <v>0</v>
      </c>
    </row>
    <row r="406" spans="1:26" x14ac:dyDescent="0.25">
      <c r="A406" s="11" t="s">
        <v>1071</v>
      </c>
      <c r="C406" s="103">
        <f>'Fiscal Forecasts'!$C$332</f>
        <v>9.9290000000000003</v>
      </c>
      <c r="D406" s="94">
        <f>SUM(C$406,D$400,D$401,-D$402,-D$403,D$404,D$405)</f>
        <v>10.731</v>
      </c>
      <c r="E406" s="94">
        <f t="shared" ref="E406:Z406" si="226">SUM(D$406,E$400,E$401,-E$402,-E$403,E$404,E$405)</f>
        <v>10.395</v>
      </c>
      <c r="F406" s="94">
        <f t="shared" si="226"/>
        <v>10.841000000000001</v>
      </c>
      <c r="G406" s="94">
        <f t="shared" si="226"/>
        <v>9.2089999999999996</v>
      </c>
      <c r="H406" s="94">
        <f t="shared" si="226"/>
        <v>9.3729999999999993</v>
      </c>
      <c r="I406" s="94">
        <f t="shared" si="226"/>
        <v>9.5960000000000001</v>
      </c>
      <c r="J406" s="94">
        <f t="shared" si="226"/>
        <v>10.053999999999998</v>
      </c>
      <c r="K406" s="94">
        <f t="shared" si="226"/>
        <v>10.545</v>
      </c>
      <c r="L406" s="95">
        <f t="shared" si="226"/>
        <v>10.648</v>
      </c>
      <c r="M406" s="95">
        <f t="shared" si="226"/>
        <v>10.73</v>
      </c>
      <c r="N406" s="95">
        <f t="shared" si="226"/>
        <v>10.746000000000002</v>
      </c>
      <c r="O406" s="95">
        <f t="shared" si="226"/>
        <v>10.714000000000002</v>
      </c>
      <c r="P406" s="95">
        <f t="shared" si="226"/>
        <v>10.643000000000004</v>
      </c>
      <c r="Q406" s="96">
        <f t="shared" si="226"/>
        <v>10.645000000000003</v>
      </c>
      <c r="R406" s="96">
        <f t="shared" si="226"/>
        <v>10.643000000000002</v>
      </c>
      <c r="S406" s="96">
        <f t="shared" si="226"/>
        <v>10.637000000000002</v>
      </c>
      <c r="T406" s="96">
        <f t="shared" si="226"/>
        <v>10.622000000000003</v>
      </c>
      <c r="U406" s="96">
        <f t="shared" si="226"/>
        <v>10.598000000000003</v>
      </c>
      <c r="V406" s="96">
        <f t="shared" si="226"/>
        <v>10.571000000000002</v>
      </c>
      <c r="W406" s="96">
        <f t="shared" si="226"/>
        <v>10.539000000000003</v>
      </c>
      <c r="X406" s="96">
        <f t="shared" si="226"/>
        <v>10.508000000000003</v>
      </c>
      <c r="Y406" s="96">
        <f t="shared" si="226"/>
        <v>10.485000000000005</v>
      </c>
      <c r="Z406" s="96">
        <f t="shared" si="226"/>
        <v>10.470000000000004</v>
      </c>
    </row>
    <row r="408" spans="1:26" x14ac:dyDescent="0.25">
      <c r="A408" s="11" t="s">
        <v>947</v>
      </c>
    </row>
    <row r="409" spans="1:26" x14ac:dyDescent="0.25">
      <c r="A409" s="11" t="s">
        <v>1363</v>
      </c>
      <c r="B409" s="14" t="str">
        <f>$B$38</f>
        <v>From Fiscal Forecasts</v>
      </c>
      <c r="D409" s="51">
        <f>ROUND('Fiscal Forecasts'!D$189*D$410/SUM(D$410,D$414),3)</f>
        <v>0.75700000000000001</v>
      </c>
      <c r="E409" s="51">
        <f>ROUND('Fiscal Forecasts'!E$189*E$410/SUM(E$410,E$414),3)</f>
        <v>1.0569999999999999</v>
      </c>
      <c r="F409" s="51">
        <f>ROUND('Fiscal Forecasts'!F$189*F$410/SUM(F$410,F$414),3)</f>
        <v>1.169</v>
      </c>
      <c r="G409" s="51">
        <f>ROUND('Fiscal Forecasts'!G$189*G$410/SUM(G$410,G$414),3)</f>
        <v>1.7330000000000001</v>
      </c>
      <c r="H409" s="51">
        <f>ROUND('Fiscal Forecasts'!H$189*H$410/SUM(H$410,H$414),3)</f>
        <v>1.5860000000000001</v>
      </c>
      <c r="I409" s="51">
        <f>ROUND('Fiscal Forecasts'!I$189*I$410/SUM(I$410,I$414),3)</f>
        <v>1.6120000000000001</v>
      </c>
      <c r="J409" s="51">
        <f>ROUND('Fiscal Forecasts'!J$189*J$410/SUM(J$410,J$414),3)</f>
        <v>1.704</v>
      </c>
      <c r="K409" s="51">
        <f>ROUND('Fiscal Forecasts'!K$189*K$410/SUM(K$410,K$414),3)</f>
        <v>1.722</v>
      </c>
      <c r="L409" s="47">
        <f>ROUND('Fiscal Forecasts'!L$189*L$410/SUM(L$410,L$414),3)</f>
        <v>1.7230000000000001</v>
      </c>
      <c r="M409" s="47">
        <f>ROUND('Fiscal Forecasts'!M$189*M$410/SUM(M$410,M$414),3)</f>
        <v>1.6459999999999999</v>
      </c>
      <c r="N409" s="47">
        <f>ROUND('Fiscal Forecasts'!N$189*N$410/SUM(N$410,N$414),3)</f>
        <v>1.6339999999999999</v>
      </c>
      <c r="O409" s="47">
        <f>ROUND('Fiscal Forecasts'!O$189*O$410/SUM(O$410,O$414),3)</f>
        <v>1.629</v>
      </c>
      <c r="P409" s="47">
        <f>ROUND('Fiscal Forecasts'!P$189*P$410/SUM(P$410,P$414),3)</f>
        <v>1.61</v>
      </c>
      <c r="Q409" s="21">
        <f t="shared" ref="Q409:Z409" ca="1" si="227">P$409*(1+Q$29)</f>
        <v>1.6422000000000001</v>
      </c>
      <c r="R409" s="21">
        <f t="shared" ca="1" si="227"/>
        <v>1.6750440000000002</v>
      </c>
      <c r="S409" s="21">
        <f t="shared" ca="1" si="227"/>
        <v>1.7085448800000003</v>
      </c>
      <c r="T409" s="21">
        <f t="shared" ca="1" si="227"/>
        <v>1.7427157776000004</v>
      </c>
      <c r="U409" s="21">
        <f t="shared" ca="1" si="227"/>
        <v>1.7775700931520004</v>
      </c>
      <c r="V409" s="21">
        <f t="shared" ca="1" si="227"/>
        <v>1.8131214950150405</v>
      </c>
      <c r="W409" s="21">
        <f t="shared" ca="1" si="227"/>
        <v>1.8493839249153414</v>
      </c>
      <c r="X409" s="21">
        <f t="shared" ca="1" si="227"/>
        <v>1.8863716034136482</v>
      </c>
      <c r="Y409" s="21">
        <f t="shared" ca="1" si="227"/>
        <v>1.9240990354819212</v>
      </c>
      <c r="Z409" s="21">
        <f t="shared" ca="1" si="227"/>
        <v>1.9625810161915596</v>
      </c>
    </row>
    <row r="410" spans="1:26" x14ac:dyDescent="0.25">
      <c r="A410" s="11" t="s">
        <v>1364</v>
      </c>
      <c r="B410" s="14" t="str">
        <f>$B$38</f>
        <v>From Fiscal Forecasts</v>
      </c>
      <c r="D410" s="51">
        <f>'Fiscal Forecasts'!D$126</f>
        <v>1.5169999999999999</v>
      </c>
      <c r="E410" s="51">
        <f>'Fiscal Forecasts'!E$126</f>
        <v>1.7729999999999999</v>
      </c>
      <c r="F410" s="51">
        <f>'Fiscal Forecasts'!F$126</f>
        <v>2.194</v>
      </c>
      <c r="G410" s="51">
        <f>'Fiscal Forecasts'!G$126</f>
        <v>3.0680000000000001</v>
      </c>
      <c r="H410" s="51">
        <f>'Fiscal Forecasts'!H$126</f>
        <v>3.0409999999999999</v>
      </c>
      <c r="I410" s="51">
        <f>'Fiscal Forecasts'!I$126</f>
        <v>2.8610000000000002</v>
      </c>
      <c r="J410" s="51">
        <f>'Fiscal Forecasts'!J$126</f>
        <v>3.1</v>
      </c>
      <c r="K410" s="51">
        <f>'Fiscal Forecasts'!K$126</f>
        <v>3.2650000000000001</v>
      </c>
      <c r="L410" s="47">
        <f>'Fiscal Forecasts'!L$126</f>
        <v>3.1110000000000002</v>
      </c>
      <c r="M410" s="47">
        <f>'Fiscal Forecasts'!M$126</f>
        <v>3.03</v>
      </c>
      <c r="N410" s="47">
        <f>'Fiscal Forecasts'!N$126</f>
        <v>3.05</v>
      </c>
      <c r="O410" s="47">
        <f>'Fiscal Forecasts'!O$126</f>
        <v>3.0790000000000002</v>
      </c>
      <c r="P410" s="47">
        <f>'Fiscal Forecasts'!P$126</f>
        <v>3.0670000000000002</v>
      </c>
      <c r="Q410" s="21">
        <f t="shared" ref="Q410:Z410" ca="1" si="228">Q$409+(P$410-P$409)*(1+Q$29)</f>
        <v>3.1283400000000001</v>
      </c>
      <c r="R410" s="21">
        <f t="shared" ca="1" si="228"/>
        <v>3.1909068000000005</v>
      </c>
      <c r="S410" s="21">
        <f t="shared" ca="1" si="228"/>
        <v>3.2547249360000006</v>
      </c>
      <c r="T410" s="21">
        <f t="shared" ca="1" si="228"/>
        <v>3.3198194347200007</v>
      </c>
      <c r="U410" s="21">
        <f t="shared" ca="1" si="228"/>
        <v>3.3862158234144006</v>
      </c>
      <c r="V410" s="21">
        <f t="shared" ca="1" si="228"/>
        <v>3.4539401398826888</v>
      </c>
      <c r="W410" s="21">
        <f t="shared" ca="1" si="228"/>
        <v>3.5230189426803427</v>
      </c>
      <c r="X410" s="21">
        <f t="shared" ca="1" si="228"/>
        <v>3.5934793215339496</v>
      </c>
      <c r="Y410" s="21">
        <f t="shared" ca="1" si="228"/>
        <v>3.6653489079646286</v>
      </c>
      <c r="Z410" s="21">
        <f t="shared" ca="1" si="228"/>
        <v>3.7386558861239214</v>
      </c>
    </row>
    <row r="412" spans="1:26" x14ac:dyDescent="0.25">
      <c r="A412" s="11" t="s">
        <v>1365</v>
      </c>
    </row>
    <row r="413" spans="1:26" x14ac:dyDescent="0.25">
      <c r="A413" s="11" t="s">
        <v>1366</v>
      </c>
      <c r="B413" s="14" t="str">
        <f>$B$38</f>
        <v>From Fiscal Forecasts</v>
      </c>
      <c r="D413" s="51">
        <f>'Fiscal Forecasts'!D$189-D$409</f>
        <v>1.4119999999999999</v>
      </c>
      <c r="E413" s="51">
        <f>'Fiscal Forecasts'!E$189-E$409</f>
        <v>2.153</v>
      </c>
      <c r="F413" s="51">
        <f>'Fiscal Forecasts'!F$189-F$409</f>
        <v>2.0920000000000001</v>
      </c>
      <c r="G413" s="51">
        <f>'Fiscal Forecasts'!G$189-G$409</f>
        <v>2.3759999999999999</v>
      </c>
      <c r="H413" s="51">
        <f>'Fiscal Forecasts'!H$189-H$409</f>
        <v>2.4050000000000002</v>
      </c>
      <c r="I413" s="51">
        <f>'Fiscal Forecasts'!I$189-I$409</f>
        <v>2.8419999999999996</v>
      </c>
      <c r="J413" s="51">
        <f>'Fiscal Forecasts'!J$189-J$409</f>
        <v>2.835</v>
      </c>
      <c r="K413" s="51">
        <f>'Fiscal Forecasts'!K$189-K$409</f>
        <v>2.927</v>
      </c>
      <c r="L413" s="47">
        <f>'Fiscal Forecasts'!L$189-L$409</f>
        <v>3.1180000000000003</v>
      </c>
      <c r="M413" s="47">
        <f>'Fiscal Forecasts'!M$189-M$409</f>
        <v>3.0280000000000005</v>
      </c>
      <c r="N413" s="47">
        <f>'Fiscal Forecasts'!N$189-N$409</f>
        <v>2.8540000000000005</v>
      </c>
      <c r="O413" s="47">
        <f>'Fiscal Forecasts'!O$189-O$409</f>
        <v>2.8160000000000003</v>
      </c>
      <c r="P413" s="47">
        <f>'Fiscal Forecasts'!P$189-P$409</f>
        <v>2.7879999999999994</v>
      </c>
      <c r="Q413" s="21">
        <f t="shared" ref="Q413:Z413" ca="1" si="229">P$413*(1+Q$29)</f>
        <v>2.8437599999999996</v>
      </c>
      <c r="R413" s="21">
        <f t="shared" ca="1" si="229"/>
        <v>2.9006351999999995</v>
      </c>
      <c r="S413" s="21">
        <f t="shared" ca="1" si="229"/>
        <v>2.9586479039999998</v>
      </c>
      <c r="T413" s="21">
        <f t="shared" ca="1" si="229"/>
        <v>3.0178208620799998</v>
      </c>
      <c r="U413" s="21">
        <f t="shared" ca="1" si="229"/>
        <v>3.0781772793215998</v>
      </c>
      <c r="V413" s="21">
        <f t="shared" ca="1" si="229"/>
        <v>3.1397408249080319</v>
      </c>
      <c r="W413" s="21">
        <f t="shared" ca="1" si="229"/>
        <v>3.2025356414061927</v>
      </c>
      <c r="X413" s="21">
        <f t="shared" ca="1" si="229"/>
        <v>3.2665863542343168</v>
      </c>
      <c r="Y413" s="21">
        <f t="shared" ca="1" si="229"/>
        <v>3.331918081319003</v>
      </c>
      <c r="Z413" s="21">
        <f t="shared" ca="1" si="229"/>
        <v>3.3985564429453832</v>
      </c>
    </row>
    <row r="414" spans="1:26" x14ac:dyDescent="0.25">
      <c r="A414" s="11" t="s">
        <v>1367</v>
      </c>
      <c r="B414" s="14" t="str">
        <f>$B$38</f>
        <v>From Fiscal Forecasts</v>
      </c>
      <c r="D414" s="51">
        <f>'Fiscal Forecasts'!D$127</f>
        <v>2.8279999999999998</v>
      </c>
      <c r="E414" s="51">
        <f>'Fiscal Forecasts'!E$127</f>
        <v>3.61</v>
      </c>
      <c r="F414" s="51">
        <f>'Fiscal Forecasts'!F$127</f>
        <v>3.9279999999999999</v>
      </c>
      <c r="G414" s="51">
        <f>'Fiscal Forecasts'!G$127</f>
        <v>4.2080000000000002</v>
      </c>
      <c r="H414" s="51">
        <f>'Fiscal Forecasts'!H$127</f>
        <v>4.6120000000000001</v>
      </c>
      <c r="I414" s="51">
        <f>'Fiscal Forecasts'!I$127</f>
        <v>5.0449999999999999</v>
      </c>
      <c r="J414" s="51">
        <f>'Fiscal Forecasts'!J$127</f>
        <v>5.157</v>
      </c>
      <c r="K414" s="51">
        <f>'Fiscal Forecasts'!K$127</f>
        <v>5.55</v>
      </c>
      <c r="L414" s="47">
        <f>'Fiscal Forecasts'!L$127</f>
        <v>5.6280000000000001</v>
      </c>
      <c r="M414" s="47">
        <f>'Fiscal Forecasts'!M$127</f>
        <v>5.5730000000000004</v>
      </c>
      <c r="N414" s="47">
        <f>'Fiscal Forecasts'!N$127</f>
        <v>5.3250000000000002</v>
      </c>
      <c r="O414" s="47">
        <f>'Fiscal Forecasts'!O$127</f>
        <v>5.3239999999999998</v>
      </c>
      <c r="P414" s="47">
        <f>'Fiscal Forecasts'!P$127</f>
        <v>5.3129999999999997</v>
      </c>
      <c r="Q414" s="21">
        <f t="shared" ref="Q414:Z414" ca="1" si="230">Q$413+(P$414-P$413)*(1+Q$29)</f>
        <v>5.4192599999999995</v>
      </c>
      <c r="R414" s="21">
        <f t="shared" ca="1" si="230"/>
        <v>5.5276451999999994</v>
      </c>
      <c r="S414" s="21">
        <f t="shared" ca="1" si="230"/>
        <v>5.6381981039999998</v>
      </c>
      <c r="T414" s="21">
        <f t="shared" ca="1" si="230"/>
        <v>5.7509620660799996</v>
      </c>
      <c r="U414" s="21">
        <f t="shared" ca="1" si="230"/>
        <v>5.8659813074015998</v>
      </c>
      <c r="V414" s="21">
        <f t="shared" ca="1" si="230"/>
        <v>5.9833009335496321</v>
      </c>
      <c r="W414" s="21">
        <f t="shared" ca="1" si="230"/>
        <v>6.1029669522206245</v>
      </c>
      <c r="X414" s="21">
        <f t="shared" ca="1" si="230"/>
        <v>6.2250262912650367</v>
      </c>
      <c r="Y414" s="21">
        <f t="shared" ca="1" si="230"/>
        <v>6.3495268170903376</v>
      </c>
      <c r="Z414" s="21">
        <f t="shared" ca="1" si="230"/>
        <v>6.4765173534321443</v>
      </c>
    </row>
    <row r="416" spans="1:26" x14ac:dyDescent="0.25">
      <c r="A416" s="11" t="s">
        <v>1368</v>
      </c>
    </row>
    <row r="417" spans="1:26" x14ac:dyDescent="0.25">
      <c r="A417" s="11" t="s">
        <v>1369</v>
      </c>
      <c r="B417" s="14" t="str">
        <f>$B$38</f>
        <v>From Fiscal Forecasts</v>
      </c>
      <c r="D417" s="51">
        <f>'Fiscal Forecasts'!D$186</f>
        <v>43.683999999999997</v>
      </c>
      <c r="E417" s="51">
        <f>'Fiscal Forecasts'!E$186</f>
        <v>45.167000000000002</v>
      </c>
      <c r="F417" s="51">
        <f>'Fiscal Forecasts'!F$186</f>
        <v>51.92</v>
      </c>
      <c r="G417" s="51">
        <f>'Fiscal Forecasts'!G$186</f>
        <v>56.518999999999998</v>
      </c>
      <c r="H417" s="51">
        <f>'Fiscal Forecasts'!H$186</f>
        <v>63.033999999999999</v>
      </c>
      <c r="I417" s="51">
        <f>'Fiscal Forecasts'!I$186</f>
        <v>67.997</v>
      </c>
      <c r="J417" s="51">
        <f>'Fiscal Forecasts'!J$186</f>
        <v>67.518000000000001</v>
      </c>
      <c r="K417" s="51">
        <f>'Fiscal Forecasts'!K$186</f>
        <v>65.867999999999995</v>
      </c>
      <c r="L417" s="47">
        <f>'Fiscal Forecasts'!L$186</f>
        <v>67.391000000000005</v>
      </c>
      <c r="M417" s="47">
        <f>'Fiscal Forecasts'!M$186</f>
        <v>68.777000000000001</v>
      </c>
      <c r="N417" s="47">
        <f>'Fiscal Forecasts'!N$186</f>
        <v>69.62</v>
      </c>
      <c r="O417" s="47">
        <f>'Fiscal Forecasts'!O$186</f>
        <v>69.459000000000003</v>
      </c>
      <c r="P417" s="47">
        <f>'Fiscal Forecasts'!P$186</f>
        <v>69.108000000000004</v>
      </c>
      <c r="Q417" s="21">
        <f t="shared" ref="Q417:Z417" si="231">P$417</f>
        <v>69.108000000000004</v>
      </c>
      <c r="R417" s="21">
        <f t="shared" si="231"/>
        <v>69.108000000000004</v>
      </c>
      <c r="S417" s="21">
        <f t="shared" si="231"/>
        <v>69.108000000000004</v>
      </c>
      <c r="T417" s="21">
        <f t="shared" si="231"/>
        <v>69.108000000000004</v>
      </c>
      <c r="U417" s="21">
        <f t="shared" si="231"/>
        <v>69.108000000000004</v>
      </c>
      <c r="V417" s="21">
        <f t="shared" si="231"/>
        <v>69.108000000000004</v>
      </c>
      <c r="W417" s="21">
        <f t="shared" si="231"/>
        <v>69.108000000000004</v>
      </c>
      <c r="X417" s="21">
        <f t="shared" si="231"/>
        <v>69.108000000000004</v>
      </c>
      <c r="Y417" s="21">
        <f t="shared" si="231"/>
        <v>69.108000000000004</v>
      </c>
      <c r="Z417" s="21">
        <f t="shared" si="231"/>
        <v>69.108000000000004</v>
      </c>
    </row>
    <row r="418" spans="1:26" x14ac:dyDescent="0.25">
      <c r="A418" s="12" t="s">
        <v>1370</v>
      </c>
      <c r="B418" s="14" t="str">
        <f>$B$38</f>
        <v>From Fiscal Forecasts</v>
      </c>
      <c r="D418" s="50">
        <f>'Fiscal Forecasts'!D$335</f>
        <v>93.730999999999995</v>
      </c>
      <c r="E418" s="50">
        <f>'Fiscal Forecasts'!E$335</f>
        <v>101.509</v>
      </c>
      <c r="F418" s="50">
        <f>'Fiscal Forecasts'!F$335</f>
        <v>119.682</v>
      </c>
      <c r="G418" s="50">
        <f>'Fiscal Forecasts'!G$335</f>
        <v>145.18600000000001</v>
      </c>
      <c r="H418" s="50">
        <f>'Fiscal Forecasts'!H$335</f>
        <v>151.042</v>
      </c>
      <c r="I418" s="50">
        <f>'Fiscal Forecasts'!I$335</f>
        <v>158.06800000000001</v>
      </c>
      <c r="J418" s="50">
        <f>'Fiscal Forecasts'!J$335</f>
        <v>164.292</v>
      </c>
      <c r="K418" s="50">
        <f>'Fiscal Forecasts'!K$335</f>
        <v>165.83799999999999</v>
      </c>
      <c r="L418" s="48">
        <f>'Fiscal Forecasts'!L$335</f>
        <v>169.78800000000001</v>
      </c>
      <c r="M418" s="48">
        <f>'Fiscal Forecasts'!M$335</f>
        <v>173.96600000000001</v>
      </c>
      <c r="N418" s="48">
        <f>'Fiscal Forecasts'!N$335</f>
        <v>177.459</v>
      </c>
      <c r="O418" s="48">
        <f>'Fiscal Forecasts'!O$335</f>
        <v>179.83199999999999</v>
      </c>
      <c r="P418" s="48">
        <f>'Fiscal Forecasts'!P$335</f>
        <v>181.584</v>
      </c>
      <c r="Q418" s="20">
        <f t="shared" ref="Q418:Z418" ca="1" si="232">(P$418-P$423)*(1+Q$29)+Q$423</f>
        <v>183.21564000000001</v>
      </c>
      <c r="R418" s="20">
        <f t="shared" ca="1" si="232"/>
        <v>184.8799128</v>
      </c>
      <c r="S418" s="20">
        <f t="shared" ca="1" si="232"/>
        <v>186.57747105600001</v>
      </c>
      <c r="T418" s="20">
        <f t="shared" ca="1" si="232"/>
        <v>188.30898047712</v>
      </c>
      <c r="U418" s="20">
        <f t="shared" ca="1" si="232"/>
        <v>190.07512008666242</v>
      </c>
      <c r="V418" s="20">
        <f t="shared" ca="1" si="232"/>
        <v>191.87658248839568</v>
      </c>
      <c r="W418" s="20">
        <f t="shared" ca="1" si="232"/>
        <v>193.7140741381636</v>
      </c>
      <c r="X418" s="20">
        <f t="shared" ca="1" si="232"/>
        <v>195.58831562092686</v>
      </c>
      <c r="Y418" s="20">
        <f t="shared" ca="1" si="232"/>
        <v>197.50004193334541</v>
      </c>
      <c r="Z418" s="20">
        <f t="shared" ca="1" si="232"/>
        <v>199.45000277201234</v>
      </c>
    </row>
    <row r="419" spans="1:26" x14ac:dyDescent="0.25">
      <c r="A419" s="12" t="s">
        <v>1371</v>
      </c>
      <c r="B419" s="14" t="str">
        <f>$B$38</f>
        <v>From Fiscal Forecasts</v>
      </c>
      <c r="D419" s="50">
        <f>SUM('Fiscal Forecasts'!D$336:D$337)</f>
        <v>40.21</v>
      </c>
      <c r="E419" s="50">
        <f>SUM('Fiscal Forecasts'!E$336:E$337)</f>
        <v>39.826000000000001</v>
      </c>
      <c r="F419" s="50">
        <f>SUM('Fiscal Forecasts'!F$336:F$337)</f>
        <v>41.613999999999997</v>
      </c>
      <c r="G419" s="50">
        <f>SUM('Fiscal Forecasts'!G$336:G$337)</f>
        <v>47.476999999999997</v>
      </c>
      <c r="H419" s="50">
        <f>SUM('Fiscal Forecasts'!H$336:H$337)</f>
        <v>53.314</v>
      </c>
      <c r="I419" s="50">
        <f>SUM('Fiscal Forecasts'!I$336:I$337)</f>
        <v>57.724999999999994</v>
      </c>
      <c r="J419" s="50">
        <f>SUM('Fiscal Forecasts'!J$336:J$337)</f>
        <v>60.790999999999997</v>
      </c>
      <c r="K419" s="50">
        <f>SUM('Fiscal Forecasts'!K$336:K$337)</f>
        <v>64.260999999999996</v>
      </c>
      <c r="L419" s="48">
        <f>SUM('Fiscal Forecasts'!L$336:L$337)</f>
        <v>65.998000000000005</v>
      </c>
      <c r="M419" s="48">
        <f>SUM('Fiscal Forecasts'!M$336:M$337)</f>
        <v>67.91</v>
      </c>
      <c r="N419" s="48">
        <f>SUM('Fiscal Forecasts'!N$336:N$337)</f>
        <v>69.397999999999996</v>
      </c>
      <c r="O419" s="48">
        <f>SUM('Fiscal Forecasts'!O$336:O$337)</f>
        <v>70.602999999999994</v>
      </c>
      <c r="P419" s="48">
        <f>SUM('Fiscal Forecasts'!P$336:P$337)</f>
        <v>72.019000000000005</v>
      </c>
      <c r="Q419" s="20">
        <f t="shared" ref="Q419:Z419" ca="1" si="233">P$419*(1+Q$29)</f>
        <v>73.45938000000001</v>
      </c>
      <c r="R419" s="20">
        <f t="shared" ca="1" si="233"/>
        <v>74.928567600000008</v>
      </c>
      <c r="S419" s="20">
        <f t="shared" ca="1" si="233"/>
        <v>76.427138952000007</v>
      </c>
      <c r="T419" s="20">
        <f t="shared" ca="1" si="233"/>
        <v>77.955681731040002</v>
      </c>
      <c r="U419" s="20">
        <f t="shared" ca="1" si="233"/>
        <v>79.514795365660802</v>
      </c>
      <c r="V419" s="20">
        <f t="shared" ca="1" si="233"/>
        <v>81.105091272974022</v>
      </c>
      <c r="W419" s="20">
        <f t="shared" ca="1" si="233"/>
        <v>82.727193098433503</v>
      </c>
      <c r="X419" s="20">
        <f t="shared" ca="1" si="233"/>
        <v>84.381736960402179</v>
      </c>
      <c r="Y419" s="20">
        <f t="shared" ca="1" si="233"/>
        <v>86.06937169961023</v>
      </c>
      <c r="Z419" s="20">
        <f t="shared" ca="1" si="233"/>
        <v>87.790759133602435</v>
      </c>
    </row>
    <row r="420" spans="1:26" x14ac:dyDescent="0.25">
      <c r="A420" s="11" t="s">
        <v>1372</v>
      </c>
      <c r="D420" s="94">
        <f t="shared" ref="D420:I420" si="234">SUM(D$417:D$419)</f>
        <v>177.625</v>
      </c>
      <c r="E420" s="94">
        <f t="shared" si="234"/>
        <v>186.50199999999998</v>
      </c>
      <c r="F420" s="94">
        <f t="shared" si="234"/>
        <v>213.21600000000001</v>
      </c>
      <c r="G420" s="94">
        <f t="shared" si="234"/>
        <v>249.18200000000002</v>
      </c>
      <c r="H420" s="94">
        <f t="shared" si="234"/>
        <v>267.39</v>
      </c>
      <c r="I420" s="94">
        <f t="shared" si="234"/>
        <v>283.78999999999996</v>
      </c>
      <c r="J420" s="94">
        <f t="shared" ref="J420:P420" si="235">SUM(J$417:J$419)</f>
        <v>292.601</v>
      </c>
      <c r="K420" s="94">
        <f t="shared" si="235"/>
        <v>295.96699999999998</v>
      </c>
      <c r="L420" s="95">
        <f t="shared" si="235"/>
        <v>303.17700000000002</v>
      </c>
      <c r="M420" s="95">
        <f t="shared" si="235"/>
        <v>310.65300000000002</v>
      </c>
      <c r="N420" s="95">
        <f t="shared" si="235"/>
        <v>316.47699999999998</v>
      </c>
      <c r="O420" s="95">
        <f t="shared" si="235"/>
        <v>319.89400000000001</v>
      </c>
      <c r="P420" s="95">
        <f t="shared" si="235"/>
        <v>322.71100000000001</v>
      </c>
      <c r="Q420" s="96">
        <f t="shared" ref="Q420:Z420" ca="1" si="236">SUM(Q$417:Q$419)</f>
        <v>325.78302000000002</v>
      </c>
      <c r="R420" s="96">
        <f t="shared" ca="1" si="236"/>
        <v>328.91648040000001</v>
      </c>
      <c r="S420" s="96">
        <f t="shared" ca="1" si="236"/>
        <v>332.11261000800005</v>
      </c>
      <c r="T420" s="96">
        <f t="shared" ca="1" si="236"/>
        <v>335.37266220815997</v>
      </c>
      <c r="U420" s="96">
        <f t="shared" ca="1" si="236"/>
        <v>338.69791545232323</v>
      </c>
      <c r="V420" s="96">
        <f t="shared" ca="1" si="236"/>
        <v>342.08967376136968</v>
      </c>
      <c r="W420" s="96">
        <f t="shared" ca="1" si="236"/>
        <v>345.54926723659707</v>
      </c>
      <c r="X420" s="96">
        <f t="shared" ca="1" si="236"/>
        <v>349.07805258132902</v>
      </c>
      <c r="Y420" s="96">
        <f t="shared" ca="1" si="236"/>
        <v>352.67741363295568</v>
      </c>
      <c r="Z420" s="96">
        <f t="shared" ca="1" si="236"/>
        <v>356.34876190561477</v>
      </c>
    </row>
    <row r="422" spans="1:26" x14ac:dyDescent="0.25">
      <c r="A422" s="11" t="s">
        <v>950</v>
      </c>
    </row>
    <row r="423" spans="1:26" x14ac:dyDescent="0.25">
      <c r="A423" s="11" t="s">
        <v>1373</v>
      </c>
      <c r="B423" s="14" t="str">
        <f>$B$38</f>
        <v>From Fiscal Forecasts</v>
      </c>
      <c r="D423" s="51">
        <f>'Fiscal Forecasts'!D$187</f>
        <v>46.601999999999997</v>
      </c>
      <c r="E423" s="51">
        <f>'Fiscal Forecasts'!E$187</f>
        <v>49.604999999999997</v>
      </c>
      <c r="F423" s="51">
        <f>'Fiscal Forecasts'!F$187</f>
        <v>53.877000000000002</v>
      </c>
      <c r="G423" s="51">
        <f>'Fiscal Forecasts'!G$187</f>
        <v>57.801000000000002</v>
      </c>
      <c r="H423" s="51">
        <f>'Fiscal Forecasts'!H$187</f>
        <v>64.816999999999993</v>
      </c>
      <c r="I423" s="51">
        <f>'Fiscal Forecasts'!I$187</f>
        <v>69.174000000000007</v>
      </c>
      <c r="J423" s="51">
        <f>'Fiscal Forecasts'!J$187</f>
        <v>74.98</v>
      </c>
      <c r="K423" s="51">
        <f>'Fiscal Forecasts'!K$187</f>
        <v>79.525999999999996</v>
      </c>
      <c r="L423" s="47">
        <f>'Fiscal Forecasts'!L$187</f>
        <v>85.882999999999996</v>
      </c>
      <c r="M423" s="47">
        <f>'Fiscal Forecasts'!M$187</f>
        <v>91.435000000000002</v>
      </c>
      <c r="N423" s="47">
        <f>'Fiscal Forecasts'!N$187</f>
        <v>95.393000000000001</v>
      </c>
      <c r="O423" s="47">
        <f>'Fiscal Forecasts'!O$187</f>
        <v>98.093000000000004</v>
      </c>
      <c r="P423" s="47">
        <f>'Fiscal Forecasts'!P$187</f>
        <v>100.002</v>
      </c>
      <c r="Q423" s="21">
        <f t="shared" ref="Q423:Z423" si="237">P$423</f>
        <v>100.002</v>
      </c>
      <c r="R423" s="21">
        <f t="shared" si="237"/>
        <v>100.002</v>
      </c>
      <c r="S423" s="21">
        <f t="shared" si="237"/>
        <v>100.002</v>
      </c>
      <c r="T423" s="21">
        <f t="shared" si="237"/>
        <v>100.002</v>
      </c>
      <c r="U423" s="21">
        <f t="shared" si="237"/>
        <v>100.002</v>
      </c>
      <c r="V423" s="21">
        <f t="shared" si="237"/>
        <v>100.002</v>
      </c>
      <c r="W423" s="21">
        <f t="shared" si="237"/>
        <v>100.002</v>
      </c>
      <c r="X423" s="21">
        <f t="shared" si="237"/>
        <v>100.002</v>
      </c>
      <c r="Y423" s="21">
        <f t="shared" si="237"/>
        <v>100.002</v>
      </c>
      <c r="Z423" s="21">
        <f t="shared" si="237"/>
        <v>100.002</v>
      </c>
    </row>
    <row r="424" spans="1:26" x14ac:dyDescent="0.25">
      <c r="A424" s="11" t="s">
        <v>1374</v>
      </c>
      <c r="B424" s="14" t="str">
        <f>$B$38</f>
        <v>From Fiscal Forecasts</v>
      </c>
      <c r="D424" s="51">
        <f>'Fiscal Forecasts'!D$129</f>
        <v>14.65</v>
      </c>
      <c r="E424" s="51">
        <f>'Fiscal Forecasts'!E$129</f>
        <v>14.308</v>
      </c>
      <c r="F424" s="51">
        <f>'Fiscal Forecasts'!F$129</f>
        <v>14.420999999999999</v>
      </c>
      <c r="G424" s="51">
        <f>'Fiscal Forecasts'!G$129</f>
        <v>16.247</v>
      </c>
      <c r="H424" s="51">
        <f>'Fiscal Forecasts'!H$129</f>
        <v>17.033999999999999</v>
      </c>
      <c r="I424" s="51">
        <f>'Fiscal Forecasts'!I$129</f>
        <v>17.951000000000001</v>
      </c>
      <c r="J424" s="51">
        <f>'Fiscal Forecasts'!J$129</f>
        <v>19.478000000000002</v>
      </c>
      <c r="K424" s="51">
        <f>'Fiscal Forecasts'!K$129</f>
        <v>18.126999999999999</v>
      </c>
      <c r="L424" s="47">
        <f>'Fiscal Forecasts'!L$129</f>
        <v>18.913</v>
      </c>
      <c r="M424" s="47">
        <f>'Fiscal Forecasts'!M$129</f>
        <v>19.36</v>
      </c>
      <c r="N424" s="47">
        <f>'Fiscal Forecasts'!N$129</f>
        <v>19.609000000000002</v>
      </c>
      <c r="O424" s="47">
        <f>'Fiscal Forecasts'!O$129</f>
        <v>19.724</v>
      </c>
      <c r="P424" s="47">
        <f>'Fiscal Forecasts'!P$129</f>
        <v>19.824999999999999</v>
      </c>
      <c r="Q424" s="21">
        <f t="shared" ref="Q424:Z424" ca="1" si="238">P$424*(1+Q$29)</f>
        <v>20.221499999999999</v>
      </c>
      <c r="R424" s="21">
        <f t="shared" ca="1" si="238"/>
        <v>20.62593</v>
      </c>
      <c r="S424" s="21">
        <f t="shared" ca="1" si="238"/>
        <v>21.038448600000002</v>
      </c>
      <c r="T424" s="21">
        <f t="shared" ca="1" si="238"/>
        <v>21.459217572000004</v>
      </c>
      <c r="U424" s="21">
        <f t="shared" ca="1" si="238"/>
        <v>21.888401923440004</v>
      </c>
      <c r="V424" s="21">
        <f t="shared" ca="1" si="238"/>
        <v>22.326169961908803</v>
      </c>
      <c r="W424" s="21">
        <f t="shared" ca="1" si="238"/>
        <v>22.772693361146981</v>
      </c>
      <c r="X424" s="21">
        <f t="shared" ca="1" si="238"/>
        <v>23.22814722836992</v>
      </c>
      <c r="Y424" s="21">
        <f t="shared" ca="1" si="238"/>
        <v>23.692710172937318</v>
      </c>
      <c r="Z424" s="21">
        <f t="shared" ca="1" si="238"/>
        <v>24.166564376396064</v>
      </c>
    </row>
    <row r="426" spans="1:26" x14ac:dyDescent="0.25">
      <c r="A426" s="11" t="s">
        <v>951</v>
      </c>
    </row>
    <row r="427" spans="1:26" x14ac:dyDescent="0.25">
      <c r="A427" s="11" t="s">
        <v>1375</v>
      </c>
      <c r="B427" s="14" t="str">
        <f>$B$38</f>
        <v>From Fiscal Forecasts</v>
      </c>
      <c r="D427" s="51">
        <f>'Fiscal Forecasts'!D$188</f>
        <v>1.681</v>
      </c>
      <c r="E427" s="51">
        <f>'Fiscal Forecasts'!E$188</f>
        <v>1.57</v>
      </c>
      <c r="F427" s="51">
        <f>'Fiscal Forecasts'!F$188</f>
        <v>1.637</v>
      </c>
      <c r="G427" s="51">
        <f>'Fiscal Forecasts'!G$188</f>
        <v>1.4650000000000001</v>
      </c>
      <c r="H427" s="51">
        <f>'Fiscal Forecasts'!H$188</f>
        <v>1.583</v>
      </c>
      <c r="I427" s="51">
        <f>'Fiscal Forecasts'!I$188</f>
        <v>1.577</v>
      </c>
      <c r="J427" s="51">
        <f>'Fiscal Forecasts'!J$188</f>
        <v>1.53</v>
      </c>
      <c r="K427" s="51">
        <f>'Fiscal Forecasts'!K$188</f>
        <v>1.4570000000000001</v>
      </c>
      <c r="L427" s="47">
        <f>'Fiscal Forecasts'!L$188</f>
        <v>1.4379999999999999</v>
      </c>
      <c r="M427" s="47">
        <f>'Fiscal Forecasts'!M$188</f>
        <v>1.389</v>
      </c>
      <c r="N427" s="47">
        <f>'Fiscal Forecasts'!N$188</f>
        <v>1.294</v>
      </c>
      <c r="O427" s="47">
        <f>'Fiscal Forecasts'!O$188</f>
        <v>1.224</v>
      </c>
      <c r="P427" s="47">
        <f>'Fiscal Forecasts'!P$188</f>
        <v>1.163</v>
      </c>
      <c r="Q427" s="21">
        <f t="shared" ref="Q427:Z427" si="239">P$427</f>
        <v>1.163</v>
      </c>
      <c r="R427" s="21">
        <f t="shared" si="239"/>
        <v>1.163</v>
      </c>
      <c r="S427" s="21">
        <f t="shared" si="239"/>
        <v>1.163</v>
      </c>
      <c r="T427" s="21">
        <f t="shared" si="239"/>
        <v>1.163</v>
      </c>
      <c r="U427" s="21">
        <f t="shared" si="239"/>
        <v>1.163</v>
      </c>
      <c r="V427" s="21">
        <f t="shared" si="239"/>
        <v>1.163</v>
      </c>
      <c r="W427" s="21">
        <f t="shared" si="239"/>
        <v>1.163</v>
      </c>
      <c r="X427" s="21">
        <f t="shared" si="239"/>
        <v>1.163</v>
      </c>
      <c r="Y427" s="21">
        <f t="shared" si="239"/>
        <v>1.163</v>
      </c>
      <c r="Z427" s="21">
        <f t="shared" si="239"/>
        <v>1.163</v>
      </c>
    </row>
    <row r="428" spans="1:26" x14ac:dyDescent="0.25">
      <c r="A428" s="12" t="s">
        <v>1376</v>
      </c>
      <c r="B428" s="14" t="str">
        <f>$B$38</f>
        <v>From Fiscal Forecasts</v>
      </c>
      <c r="D428" s="50">
        <f>SUM('Fiscal Forecasts'!D$353:D$355)</f>
        <v>2.23</v>
      </c>
      <c r="E428" s="50">
        <f>SUM('Fiscal Forecasts'!E$353:E$355)</f>
        <v>2.3220000000000001</v>
      </c>
      <c r="F428" s="50">
        <f>SUM('Fiscal Forecasts'!F$353:F$355)</f>
        <v>1.964</v>
      </c>
      <c r="G428" s="50">
        <f>SUM('Fiscal Forecasts'!G$353:G$355)</f>
        <v>2.2320000000000002</v>
      </c>
      <c r="H428" s="50">
        <f>SUM('Fiscal Forecasts'!H$353:H$355)</f>
        <v>2.3249999999999997</v>
      </c>
      <c r="I428" s="50">
        <f>SUM('Fiscal Forecasts'!I$353:I$355)</f>
        <v>2.5069999999999997</v>
      </c>
      <c r="J428" s="50">
        <f>SUM('Fiscal Forecasts'!J$353:J$355)</f>
        <v>2.5609999999999999</v>
      </c>
      <c r="K428" s="50">
        <f>SUM('Fiscal Forecasts'!K$353:K$355)</f>
        <v>2.5070000000000001</v>
      </c>
      <c r="L428" s="48">
        <f>SUM('Fiscal Forecasts'!L$353:L$355)</f>
        <v>2.5920000000000001</v>
      </c>
      <c r="M428" s="48">
        <f>SUM('Fiscal Forecasts'!M$353:M$355)</f>
        <v>2.5659999999999998</v>
      </c>
      <c r="N428" s="48">
        <f>SUM('Fiscal Forecasts'!N$353:N$355)</f>
        <v>2.6120000000000001</v>
      </c>
      <c r="O428" s="48">
        <f>SUM('Fiscal Forecasts'!O$353:O$355)</f>
        <v>2.7010000000000001</v>
      </c>
      <c r="P428" s="48">
        <f>SUM('Fiscal Forecasts'!P$353:P$355)</f>
        <v>2.7700000000000005</v>
      </c>
      <c r="Q428" s="20">
        <f t="shared" ref="Q428:Z428" ca="1" si="240">P$428*(1+Q$14)</f>
        <v>2.8905805633758748</v>
      </c>
      <c r="R428" s="20">
        <f t="shared" ca="1" si="240"/>
        <v>3.0136185089255267</v>
      </c>
      <c r="S428" s="20">
        <f t="shared" ca="1" si="240"/>
        <v>3.1399160724263551</v>
      </c>
      <c r="T428" s="20">
        <f t="shared" ca="1" si="240"/>
        <v>3.2691778422305844</v>
      </c>
      <c r="U428" s="20">
        <f t="shared" ca="1" si="240"/>
        <v>3.4029470653420053</v>
      </c>
      <c r="V428" s="20">
        <f t="shared" ca="1" si="240"/>
        <v>3.5412713151869339</v>
      </c>
      <c r="W428" s="20">
        <f t="shared" ca="1" si="240"/>
        <v>3.6834527482118062</v>
      </c>
      <c r="X428" s="20">
        <f t="shared" ca="1" si="240"/>
        <v>3.8297284171973973</v>
      </c>
      <c r="Y428" s="20">
        <f t="shared" ca="1" si="240"/>
        <v>3.9808632521356575</v>
      </c>
      <c r="Z428" s="20">
        <f t="shared" ca="1" si="240"/>
        <v>4.1368962329534877</v>
      </c>
    </row>
    <row r="429" spans="1:26" x14ac:dyDescent="0.25">
      <c r="A429" s="11" t="s">
        <v>1377</v>
      </c>
      <c r="D429" s="94">
        <f t="shared" ref="D429:Z429" si="241">SUM(D$427:D$428)</f>
        <v>3.911</v>
      </c>
      <c r="E429" s="94">
        <f t="shared" si="241"/>
        <v>3.8920000000000003</v>
      </c>
      <c r="F429" s="94">
        <f t="shared" si="241"/>
        <v>3.601</v>
      </c>
      <c r="G429" s="94">
        <f t="shared" si="241"/>
        <v>3.6970000000000001</v>
      </c>
      <c r="H429" s="94">
        <f t="shared" si="241"/>
        <v>3.9079999999999995</v>
      </c>
      <c r="I429" s="94">
        <f t="shared" si="241"/>
        <v>4.0839999999999996</v>
      </c>
      <c r="J429" s="94">
        <f t="shared" si="241"/>
        <v>4.0910000000000002</v>
      </c>
      <c r="K429" s="94">
        <f t="shared" si="241"/>
        <v>3.9640000000000004</v>
      </c>
      <c r="L429" s="95">
        <f t="shared" si="241"/>
        <v>4.03</v>
      </c>
      <c r="M429" s="95">
        <f t="shared" si="241"/>
        <v>3.9550000000000001</v>
      </c>
      <c r="N429" s="95">
        <f t="shared" si="241"/>
        <v>3.9060000000000001</v>
      </c>
      <c r="O429" s="95">
        <f t="shared" si="241"/>
        <v>3.9249999999999998</v>
      </c>
      <c r="P429" s="95">
        <f t="shared" si="241"/>
        <v>3.9330000000000007</v>
      </c>
      <c r="Q429" s="96">
        <f t="shared" ca="1" si="241"/>
        <v>4.053580563375875</v>
      </c>
      <c r="R429" s="96">
        <f t="shared" ca="1" si="241"/>
        <v>4.176618508925527</v>
      </c>
      <c r="S429" s="96">
        <f t="shared" ca="1" si="241"/>
        <v>4.3029160724263553</v>
      </c>
      <c r="T429" s="96">
        <f t="shared" ca="1" si="241"/>
        <v>4.4321778422305842</v>
      </c>
      <c r="U429" s="96">
        <f t="shared" ca="1" si="241"/>
        <v>4.5659470653420051</v>
      </c>
      <c r="V429" s="96">
        <f t="shared" ca="1" si="241"/>
        <v>4.7042713151869338</v>
      </c>
      <c r="W429" s="96">
        <f t="shared" ca="1" si="241"/>
        <v>4.8464527482118065</v>
      </c>
      <c r="X429" s="96">
        <f t="shared" ca="1" si="241"/>
        <v>4.9927284171973971</v>
      </c>
      <c r="Y429" s="96">
        <f t="shared" ca="1" si="241"/>
        <v>5.1438632521356578</v>
      </c>
      <c r="Z429" s="96">
        <f t="shared" ca="1" si="241"/>
        <v>5.299896232953488</v>
      </c>
    </row>
    <row r="431" spans="1:26" x14ac:dyDescent="0.25">
      <c r="A431" s="11" t="s">
        <v>1378</v>
      </c>
    </row>
    <row r="432" spans="1:26" x14ac:dyDescent="0.25">
      <c r="A432" s="11" t="s">
        <v>1048</v>
      </c>
      <c r="D432" s="51">
        <f>SUM($D$433:D$434)</f>
        <v>0</v>
      </c>
      <c r="E432" s="51">
        <f>SUM($D$433:E$434)</f>
        <v>0</v>
      </c>
      <c r="F432" s="51">
        <f>SUM($D$433:F$434)</f>
        <v>0</v>
      </c>
      <c r="G432" s="51">
        <f>SUM($D$433:G$434)</f>
        <v>0</v>
      </c>
      <c r="H432" s="51">
        <f>SUM($D$433:H$434)</f>
        <v>0</v>
      </c>
      <c r="I432" s="51">
        <f>SUM($D$433:I$434)</f>
        <v>0</v>
      </c>
      <c r="J432" s="51">
        <f>SUM($D$433:J$434)</f>
        <v>0</v>
      </c>
      <c r="K432" s="51">
        <f>SUM($D$433:K$434)</f>
        <v>0</v>
      </c>
      <c r="L432" s="47">
        <f>SUM($D$433:L$434)</f>
        <v>1.994</v>
      </c>
      <c r="M432" s="47">
        <f>SUM($D$433:M$434)</f>
        <v>5.0810000000000004</v>
      </c>
      <c r="N432" s="47">
        <f>SUM($D$433:N$434)</f>
        <v>8.8090000000000011</v>
      </c>
      <c r="O432" s="47">
        <f>SUM($D$433:O$434)</f>
        <v>13.289000000000001</v>
      </c>
      <c r="P432" s="47">
        <f>SUM($D$433:P$434)</f>
        <v>18.557000000000002</v>
      </c>
      <c r="Q432" s="21">
        <f ca="1">SUM($D$433:Q$434)</f>
        <v>24.339000000000002</v>
      </c>
      <c r="R432" s="21">
        <f ca="1">SUM($D$433:R$434)</f>
        <v>31.093500000000002</v>
      </c>
      <c r="S432" s="21">
        <f ca="1">SUM($D$433:S$434)</f>
        <v>38.499125000000006</v>
      </c>
      <c r="T432" s="21">
        <f ca="1">SUM($D$433:T$434)</f>
        <v>46.206431250000009</v>
      </c>
      <c r="U432" s="21">
        <f ca="1">SUM($D$433:U$434)</f>
        <v>54.29910281250001</v>
      </c>
      <c r="V432" s="21">
        <f ca="1">SUM($D$433:V$434)</f>
        <v>62.796407953125012</v>
      </c>
      <c r="W432" s="21">
        <f ca="1">SUM($D$433:W$434)</f>
        <v>71.718578350781257</v>
      </c>
      <c r="X432" s="21">
        <f ca="1">SUM($D$433:X$434)</f>
        <v>81.08685726832033</v>
      </c>
      <c r="Y432" s="21">
        <f ca="1">SUM($D$433:Y$434)</f>
        <v>90.923550131736349</v>
      </c>
      <c r="Z432" s="21">
        <f ca="1">SUM($D$433:Z$434)</f>
        <v>101.25207763832317</v>
      </c>
    </row>
    <row r="433" spans="1:26" x14ac:dyDescent="0.25">
      <c r="A433" s="12" t="s">
        <v>1049</v>
      </c>
      <c r="B433" s="14" t="str">
        <f>$B$38</f>
        <v>From Fiscal Forecasts</v>
      </c>
      <c r="D433" s="50">
        <f>'Fiscal Forecasts'!D$294</f>
        <v>0</v>
      </c>
      <c r="E433" s="50">
        <f>'Fiscal Forecasts'!E$294</f>
        <v>0</v>
      </c>
      <c r="F433" s="50">
        <f>'Fiscal Forecasts'!F$294</f>
        <v>0</v>
      </c>
      <c r="G433" s="50">
        <f>'Fiscal Forecasts'!G$294</f>
        <v>0</v>
      </c>
      <c r="H433" s="50">
        <f>'Fiscal Forecasts'!H$294</f>
        <v>0</v>
      </c>
      <c r="I433" s="50">
        <f>'Fiscal Forecasts'!I$294</f>
        <v>0</v>
      </c>
      <c r="J433" s="50">
        <f>'Fiscal Forecasts'!J$294</f>
        <v>0</v>
      </c>
      <c r="K433" s="50">
        <f>'Fiscal Forecasts'!K$294</f>
        <v>0</v>
      </c>
      <c r="L433" s="48">
        <f>'Fiscal Forecasts'!L$294</f>
        <v>1.8939999999999999</v>
      </c>
      <c r="M433" s="48">
        <f>'Fiscal Forecasts'!M$294</f>
        <v>1.8620000000000001</v>
      </c>
      <c r="N433" s="48">
        <f>'Fiscal Forecasts'!N$294</f>
        <v>1.278</v>
      </c>
      <c r="O433" s="48">
        <f>'Fiscal Forecasts'!O$294</f>
        <v>0.80500000000000005</v>
      </c>
      <c r="P433" s="48">
        <f>'Fiscal Forecasts'!P$294</f>
        <v>0.71799999999999997</v>
      </c>
      <c r="Q433" s="20">
        <f ca="1">IF(Q$6&lt;OFFSET(Assumptions!$B$8,0,$C$1)+3,OFFSET(Assumptions!$B$45,0,$C$1)/3,OFFSET(Assumptions!$B$9,0,$C$1))</f>
        <v>0.23199999999999998</v>
      </c>
      <c r="R433" s="20">
        <f ca="1">IF(R$6&lt;OFFSET(Assumptions!$B$8,0,$C$1)+3,OFFSET(Assumptions!$B$45,0,$C$1)/3,OFFSET(Assumptions!$B$9,0,$C$1))</f>
        <v>0.23199999999999998</v>
      </c>
      <c r="S433" s="20">
        <f ca="1">IF(S$6&lt;OFFSET(Assumptions!$B$8,0,$C$1)+3,OFFSET(Assumptions!$B$45,0,$C$1)/3,OFFSET(Assumptions!$B$9,0,$C$1))</f>
        <v>0.23199999999999998</v>
      </c>
      <c r="T433" s="20">
        <f ca="1">IF(T$6&lt;OFFSET(Assumptions!$B$8,0,$C$1)+3,OFFSET(Assumptions!$B$45,0,$C$1)/3,OFFSET(Assumptions!$B$9,0,$C$1))</f>
        <v>0</v>
      </c>
      <c r="U433" s="20">
        <f ca="1">IF(U$6&lt;OFFSET(Assumptions!$B$8,0,$C$1)+3,OFFSET(Assumptions!$B$45,0,$C$1)/3,OFFSET(Assumptions!$B$9,0,$C$1))</f>
        <v>0</v>
      </c>
      <c r="V433" s="20">
        <f ca="1">IF(V$6&lt;OFFSET(Assumptions!$B$8,0,$C$1)+3,OFFSET(Assumptions!$B$45,0,$C$1)/3,OFFSET(Assumptions!$B$9,0,$C$1))</f>
        <v>0</v>
      </c>
      <c r="W433" s="20">
        <f ca="1">IF(W$6&lt;OFFSET(Assumptions!$B$8,0,$C$1)+3,OFFSET(Assumptions!$B$45,0,$C$1)/3,OFFSET(Assumptions!$B$9,0,$C$1))</f>
        <v>0</v>
      </c>
      <c r="X433" s="20">
        <f ca="1">IF(X$6&lt;OFFSET(Assumptions!$B$8,0,$C$1)+3,OFFSET(Assumptions!$B$45,0,$C$1)/3,OFFSET(Assumptions!$B$9,0,$C$1))</f>
        <v>0</v>
      </c>
      <c r="Y433" s="20">
        <f ca="1">IF(Y$6&lt;OFFSET(Assumptions!$B$8,0,$C$1)+3,OFFSET(Assumptions!$B$45,0,$C$1)/3,OFFSET(Assumptions!$B$9,0,$C$1))</f>
        <v>0</v>
      </c>
      <c r="Z433" s="20">
        <f ca="1">IF(Z$6&lt;OFFSET(Assumptions!$B$8,0,$C$1)+3,OFFSET(Assumptions!$B$45,0,$C$1)/3,OFFSET(Assumptions!$B$9,0,$C$1))</f>
        <v>0</v>
      </c>
    </row>
    <row r="434" spans="1:26" x14ac:dyDescent="0.25">
      <c r="A434" s="12" t="s">
        <v>1379</v>
      </c>
      <c r="B434" s="14" t="str">
        <f>$B$38</f>
        <v>From Fiscal Forecasts</v>
      </c>
      <c r="D434" s="50">
        <f>SUM('Fiscal Forecasts'!D$295:D$298)</f>
        <v>0</v>
      </c>
      <c r="E434" s="50">
        <f>SUM('Fiscal Forecasts'!E$295:E$298)</f>
        <v>0</v>
      </c>
      <c r="F434" s="50">
        <f>SUM('Fiscal Forecasts'!F$295:F$298)</f>
        <v>0</v>
      </c>
      <c r="G434" s="50">
        <f>SUM('Fiscal Forecasts'!G$295:G$298)</f>
        <v>0</v>
      </c>
      <c r="H434" s="50">
        <f>SUM('Fiscal Forecasts'!H$295:H$298)</f>
        <v>0</v>
      </c>
      <c r="I434" s="50">
        <f>SUM('Fiscal Forecasts'!I$295:I$298)</f>
        <v>0</v>
      </c>
      <c r="J434" s="50">
        <f>SUM('Fiscal Forecasts'!J$295:J$298)</f>
        <v>0</v>
      </c>
      <c r="K434" s="50">
        <f>SUM('Fiscal Forecasts'!K$295:K$298)</f>
        <v>0</v>
      </c>
      <c r="L434" s="48">
        <f>SUM('Fiscal Forecasts'!L$295:L$298)</f>
        <v>0.1</v>
      </c>
      <c r="M434" s="48">
        <f>SUM('Fiscal Forecasts'!M$295:M$298)</f>
        <v>1.2250000000000001</v>
      </c>
      <c r="N434" s="48">
        <f>SUM('Fiscal Forecasts'!N$295:N$298)</f>
        <v>2.4500000000000002</v>
      </c>
      <c r="O434" s="48">
        <f>SUM('Fiscal Forecasts'!O$295:O$298)</f>
        <v>3.6749999999999998</v>
      </c>
      <c r="P434" s="48">
        <f>SUM('Fiscal Forecasts'!P$295:P$298)</f>
        <v>4.55</v>
      </c>
      <c r="Q434" s="20">
        <f ca="1">IF(Q$6=OFFSET(Assumptions!$B$8,0,$C$1),0.35*Q$436+Exogenous!$AB$41,IF(Q$6=OFFSET(Assumptions!$B$8,0,$C$1)+1,0.35*Q$436+0.35*P$436+Exogenous!$AC$41,IF(Q$6=OFFSET(Assumptions!$B$8,0,$C$1)+2,0.35*Q$436+0.35*P$436+0.2*O$436+Exogenous!$AD$41,0.35*Q$436+0.35*P$436+0.2*O$436+0.1*N$436)))</f>
        <v>5.55</v>
      </c>
      <c r="R434" s="20">
        <f ca="1">IF(R$6=OFFSET(Assumptions!$B$8,0,$C$1),0.35*R$436+Exogenous!$AB$41,IF(R$6=OFFSET(Assumptions!$B$8,0,$C$1)+1,0.35*R$436+0.35*Q$436+Exogenous!$AC$41,IF(R$6=OFFSET(Assumptions!$B$8,0,$C$1)+2,0.35*R$436+0.35*Q$436+0.2*P$436+Exogenous!$AD$41,0.35*R$436+0.35*Q$436+0.2*P$436+0.1*O$436)))</f>
        <v>6.5225</v>
      </c>
      <c r="S434" s="20">
        <f ca="1">IF(S$6=OFFSET(Assumptions!$B$8,0,$C$1),0.35*S$436+Exogenous!$AB$41,IF(S$6=OFFSET(Assumptions!$B$8,0,$C$1)+1,0.35*S$436+0.35*R$436+Exogenous!$AC$41,IF(S$6=OFFSET(Assumptions!$B$8,0,$C$1)+2,0.35*S$436+0.35*R$436+0.2*Q$436+Exogenous!$AD$41,0.35*S$436+0.35*R$436+0.2*Q$436+0.1*P$436)))</f>
        <v>7.1736250000000013</v>
      </c>
      <c r="T434" s="20">
        <f ca="1">IF(T$6=OFFSET(Assumptions!$B$8,0,$C$1),0.35*T$436+Exogenous!$AB$41,IF(T$6=OFFSET(Assumptions!$B$8,0,$C$1)+1,0.35*T$436+0.35*S$436+Exogenous!$AC$41,IF(T$6=OFFSET(Assumptions!$B$8,0,$C$1)+2,0.35*T$436+0.35*S$436+0.2*R$436+Exogenous!$AD$41,0.35*T$436+0.35*S$436+0.2*R$436+0.1*Q$436)))</f>
        <v>7.7073062500000011</v>
      </c>
      <c r="U434" s="20">
        <f ca="1">IF(U$6=OFFSET(Assumptions!$B$8,0,$C$1),0.35*U$436+Exogenous!$AB$41,IF(U$6=OFFSET(Assumptions!$B$8,0,$C$1)+1,0.35*U$436+0.35*T$436+Exogenous!$AC$41,IF(U$6=OFFSET(Assumptions!$B$8,0,$C$1)+2,0.35*U$436+0.35*T$436+0.2*S$436+Exogenous!$AD$41,0.35*U$436+0.35*T$436+0.2*S$436+0.1*R$436)))</f>
        <v>8.0926715624999996</v>
      </c>
      <c r="V434" s="20">
        <f ca="1">IF(V$6=OFFSET(Assumptions!$B$8,0,$C$1),0.35*V$436+Exogenous!$AB$41,IF(V$6=OFFSET(Assumptions!$B$8,0,$C$1)+1,0.35*V$436+0.35*U$436+Exogenous!$AC$41,IF(V$6=OFFSET(Assumptions!$B$8,0,$C$1)+2,0.35*V$436+0.35*U$436+0.2*T$436+Exogenous!$AD$41,0.35*V$436+0.35*U$436+0.2*T$436+0.1*S$436)))</f>
        <v>8.4973051406250022</v>
      </c>
      <c r="W434" s="20">
        <f ca="1">IF(W$6=OFFSET(Assumptions!$B$8,0,$C$1),0.35*W$436+Exogenous!$AB$41,IF(W$6=OFFSET(Assumptions!$B$8,0,$C$1)+1,0.35*W$436+0.35*V$436+Exogenous!$AC$41,IF(W$6=OFFSET(Assumptions!$B$8,0,$C$1)+2,0.35*W$436+0.35*V$436+0.2*U$436+Exogenous!$AD$41,0.35*W$436+0.35*V$436+0.2*U$436+0.1*T$436)))</f>
        <v>8.9221703976562523</v>
      </c>
      <c r="X434" s="20">
        <f ca="1">IF(X$6=OFFSET(Assumptions!$B$8,0,$C$1),0.35*X$436+Exogenous!$AB$41,IF(X$6=OFFSET(Assumptions!$B$8,0,$C$1)+1,0.35*X$436+0.35*W$436+Exogenous!$AC$41,IF(X$6=OFFSET(Assumptions!$B$8,0,$C$1)+2,0.35*X$436+0.35*W$436+0.2*V$436+Exogenous!$AD$41,0.35*X$436+0.35*W$436+0.2*V$436+0.1*U$436)))</f>
        <v>9.3682789175390653</v>
      </c>
      <c r="Y434" s="20">
        <f ca="1">IF(Y$6=OFFSET(Assumptions!$B$8,0,$C$1),0.35*Y$436+Exogenous!$AB$41,IF(Y$6=OFFSET(Assumptions!$B$8,0,$C$1)+1,0.35*Y$436+0.35*X$436+Exogenous!$AC$41,IF(Y$6=OFFSET(Assumptions!$B$8,0,$C$1)+2,0.35*Y$436+0.35*X$436+0.2*W$436+Exogenous!$AD$41,0.35*Y$436+0.35*X$436+0.2*W$436+0.1*V$436)))</f>
        <v>9.8366928634160171</v>
      </c>
      <c r="Z434" s="20">
        <f ca="1">IF(Z$6=OFFSET(Assumptions!$B$8,0,$C$1),0.35*Z$436+Exogenous!$AB$41,IF(Z$6=OFFSET(Assumptions!$B$8,0,$C$1)+1,0.35*Z$436+0.35*Y$436+Exogenous!$AC$41,IF(Z$6=OFFSET(Assumptions!$B$8,0,$C$1)+2,0.35*Z$436+0.35*Y$436+0.2*X$436+Exogenous!$AD$41,0.35*Z$436+0.35*Y$436+0.2*X$436+0.1*W$436)))</f>
        <v>10.328527506586818</v>
      </c>
    </row>
    <row r="435" spans="1:26" x14ac:dyDescent="0.25">
      <c r="A435" s="11" t="s">
        <v>1380</v>
      </c>
      <c r="B435" s="14" t="str">
        <f>$B$38</f>
        <v>From Fiscal Forecasts</v>
      </c>
      <c r="D435" s="51">
        <f>'Fiscal Forecasts'!D$132</f>
        <v>0</v>
      </c>
      <c r="E435" s="51">
        <f>'Fiscal Forecasts'!E$132</f>
        <v>0</v>
      </c>
      <c r="F435" s="51">
        <f>'Fiscal Forecasts'!F$132</f>
        <v>0</v>
      </c>
      <c r="G435" s="51">
        <f>'Fiscal Forecasts'!G$132</f>
        <v>0</v>
      </c>
      <c r="H435" s="51">
        <f>'Fiscal Forecasts'!H$132</f>
        <v>0</v>
      </c>
      <c r="I435" s="51">
        <f>'Fiscal Forecasts'!I$132</f>
        <v>0</v>
      </c>
      <c r="J435" s="51">
        <f>'Fiscal Forecasts'!J$132</f>
        <v>0</v>
      </c>
      <c r="K435" s="51">
        <f>'Fiscal Forecasts'!K$132</f>
        <v>0</v>
      </c>
      <c r="L435" s="47">
        <f>'Fiscal Forecasts'!L$132</f>
        <v>-2</v>
      </c>
      <c r="M435" s="47">
        <f>'Fiscal Forecasts'!M$132</f>
        <v>-2.7</v>
      </c>
      <c r="N435" s="47">
        <f>'Fiscal Forecasts'!N$132</f>
        <v>-2.8</v>
      </c>
      <c r="O435" s="47">
        <f>'Fiscal Forecasts'!O$132</f>
        <v>-2.9</v>
      </c>
      <c r="P435" s="47">
        <f>'Fiscal Forecasts'!P$132</f>
        <v>-3</v>
      </c>
      <c r="Q435" s="21">
        <f t="shared" ref="Q435:Z435" si="242">P$435</f>
        <v>-3</v>
      </c>
      <c r="R435" s="21">
        <f t="shared" si="242"/>
        <v>-3</v>
      </c>
      <c r="S435" s="21">
        <f t="shared" si="242"/>
        <v>-3</v>
      </c>
      <c r="T435" s="21">
        <f t="shared" si="242"/>
        <v>-3</v>
      </c>
      <c r="U435" s="21">
        <f t="shared" si="242"/>
        <v>-3</v>
      </c>
      <c r="V435" s="21">
        <f t="shared" si="242"/>
        <v>-3</v>
      </c>
      <c r="W435" s="21">
        <f t="shared" si="242"/>
        <v>-3</v>
      </c>
      <c r="X435" s="21">
        <f t="shared" si="242"/>
        <v>-3</v>
      </c>
      <c r="Y435" s="21">
        <f t="shared" si="242"/>
        <v>-3</v>
      </c>
      <c r="Z435" s="21">
        <f t="shared" si="242"/>
        <v>-3</v>
      </c>
    </row>
    <row r="436" spans="1:26" x14ac:dyDescent="0.25">
      <c r="A436" s="11" t="s">
        <v>1381</v>
      </c>
      <c r="Q436" s="20">
        <f ca="1">IF(Q$6=OFFSET(Assumptions!$B$8,0,$C$1),OFFSET(Assumptions!$B$43,0,$C$1),P$436*(1+OFFSET(Assumptions!$B$44,0,$C$1)))</f>
        <v>7</v>
      </c>
      <c r="R436" s="20">
        <f ca="1">IF(R$6=OFFSET(Assumptions!$B$8,0,$C$1),OFFSET(Assumptions!$B$43,0,$C$1),Q$436*(1+OFFSET(Assumptions!$B$44,0,$C$1)))</f>
        <v>7.3500000000000005</v>
      </c>
      <c r="S436" s="20">
        <f ca="1">IF(S$6=OFFSET(Assumptions!$B$8,0,$C$1),OFFSET(Assumptions!$B$43,0,$C$1),R$436*(1+OFFSET(Assumptions!$B$44,0,$C$1)))</f>
        <v>7.7175000000000011</v>
      </c>
      <c r="T436" s="20">
        <f ca="1">IF(T$6=OFFSET(Assumptions!$B$8,0,$C$1),OFFSET(Assumptions!$B$43,0,$C$1),S$436*(1+OFFSET(Assumptions!$B$44,0,$C$1)))</f>
        <v>8.1033750000000015</v>
      </c>
      <c r="U436" s="20">
        <f ca="1">IF(U$6=OFFSET(Assumptions!$B$8,0,$C$1),OFFSET(Assumptions!$B$43,0,$C$1),T$436*(1+OFFSET(Assumptions!$B$44,0,$C$1)))</f>
        <v>8.5085437500000012</v>
      </c>
      <c r="V436" s="20">
        <f ca="1">IF(V$6=OFFSET(Assumptions!$B$8,0,$C$1),OFFSET(Assumptions!$B$43,0,$C$1),U$436*(1+OFFSET(Assumptions!$B$44,0,$C$1)))</f>
        <v>8.9339709375000016</v>
      </c>
      <c r="W436" s="20">
        <f ca="1">IF(W$6=OFFSET(Assumptions!$B$8,0,$C$1),OFFSET(Assumptions!$B$43,0,$C$1),V$436*(1+OFFSET(Assumptions!$B$44,0,$C$1)))</f>
        <v>9.3806694843750016</v>
      </c>
      <c r="X436" s="20">
        <f ca="1">IF(X$6=OFFSET(Assumptions!$B$8,0,$C$1),OFFSET(Assumptions!$B$43,0,$C$1),W$436*(1+OFFSET(Assumptions!$B$44,0,$C$1)))</f>
        <v>9.8497029585937526</v>
      </c>
      <c r="Y436" s="20">
        <f ca="1">IF(Y$6=OFFSET(Assumptions!$B$8,0,$C$1),OFFSET(Assumptions!$B$43,0,$C$1),X$436*(1+OFFSET(Assumptions!$B$44,0,$C$1)))</f>
        <v>10.342188106523441</v>
      </c>
      <c r="Z436" s="20">
        <f ca="1">IF(Z$6=OFFSET(Assumptions!$B$8,0,$C$1),OFFSET(Assumptions!$B$43,0,$C$1),Y$436*(1+OFFSET(Assumptions!$B$44,0,$C$1)))</f>
        <v>10.859297511849613</v>
      </c>
    </row>
    <row r="437" spans="1:26" x14ac:dyDescent="0.25">
      <c r="A437" s="11"/>
    </row>
    <row r="438" spans="1:26" x14ac:dyDescent="0.25">
      <c r="A438" s="11" t="s">
        <v>955</v>
      </c>
    </row>
    <row r="439" spans="1:26" x14ac:dyDescent="0.25">
      <c r="A439" s="11" t="s">
        <v>1382</v>
      </c>
      <c r="B439" s="14" t="str">
        <f>$B$38</f>
        <v>From Fiscal Forecasts</v>
      </c>
      <c r="D439" s="51">
        <f>'Fiscal Forecasts'!D$134</f>
        <v>6.8129999999999997</v>
      </c>
      <c r="E439" s="51">
        <f>'Fiscal Forecasts'!E$134</f>
        <v>8.0220000000000002</v>
      </c>
      <c r="F439" s="51">
        <f>'Fiscal Forecasts'!F$134</f>
        <v>8.2560000000000002</v>
      </c>
      <c r="G439" s="51">
        <f>'Fiscal Forecasts'!G$134</f>
        <v>9.0609999999999999</v>
      </c>
      <c r="H439" s="51">
        <f>'Fiscal Forecasts'!H$134</f>
        <v>9.0020000000000007</v>
      </c>
      <c r="I439" s="51">
        <f>'Fiscal Forecasts'!I$134</f>
        <v>8.9770000000000003</v>
      </c>
      <c r="J439" s="51">
        <f>'Fiscal Forecasts'!J$134</f>
        <v>9.1519999999999992</v>
      </c>
      <c r="K439" s="51">
        <f>'Fiscal Forecasts'!K$134</f>
        <v>10.262</v>
      </c>
      <c r="L439" s="47">
        <f>'Fiscal Forecasts'!L$134</f>
        <v>9.8059999999999992</v>
      </c>
      <c r="M439" s="47">
        <f>'Fiscal Forecasts'!M$134</f>
        <v>9.9039999999999999</v>
      </c>
      <c r="N439" s="47">
        <f>'Fiscal Forecasts'!N$134</f>
        <v>10.003</v>
      </c>
      <c r="O439" s="47">
        <f>'Fiscal Forecasts'!O$134</f>
        <v>10.103</v>
      </c>
      <c r="P439" s="47">
        <f>'Fiscal Forecasts'!P$134</f>
        <v>10.204000000000001</v>
      </c>
      <c r="Q439" s="21">
        <f t="shared" ref="Q439:Z439" ca="1" si="243">P$439*(1+Q$29)</f>
        <v>10.40808</v>
      </c>
      <c r="R439" s="21">
        <f t="shared" ca="1" si="243"/>
        <v>10.6162416</v>
      </c>
      <c r="S439" s="21">
        <f t="shared" ca="1" si="243"/>
        <v>10.828566432000001</v>
      </c>
      <c r="T439" s="21">
        <f t="shared" ca="1" si="243"/>
        <v>11.045137760640001</v>
      </c>
      <c r="U439" s="21">
        <f t="shared" ca="1" si="243"/>
        <v>11.266040515852801</v>
      </c>
      <c r="V439" s="21">
        <f t="shared" ca="1" si="243"/>
        <v>11.491361326169857</v>
      </c>
      <c r="W439" s="21">
        <f t="shared" ca="1" si="243"/>
        <v>11.721188552693254</v>
      </c>
      <c r="X439" s="21">
        <f t="shared" ca="1" si="243"/>
        <v>11.95561232374712</v>
      </c>
      <c r="Y439" s="21">
        <f t="shared" ca="1" si="243"/>
        <v>12.194724570222062</v>
      </c>
      <c r="Z439" s="21">
        <f t="shared" ca="1" si="243"/>
        <v>12.438619061626504</v>
      </c>
    </row>
    <row r="441" spans="1:26" x14ac:dyDescent="0.25">
      <c r="A441" s="11" t="s">
        <v>956</v>
      </c>
    </row>
    <row r="442" spans="1:26" x14ac:dyDescent="0.25">
      <c r="A442" s="12" t="s">
        <v>1383</v>
      </c>
      <c r="D442" s="50">
        <f t="shared" ref="D442:Z442" si="244">D$385-D$73</f>
        <v>1.0880000000000001</v>
      </c>
      <c r="E442" s="50">
        <f t="shared" si="244"/>
        <v>1.5510000000000002</v>
      </c>
      <c r="F442" s="50">
        <f t="shared" si="244"/>
        <v>2.7319999999999998</v>
      </c>
      <c r="G442" s="50">
        <f t="shared" si="244"/>
        <v>-0.8879999999999999</v>
      </c>
      <c r="H442" s="50">
        <f t="shared" si="244"/>
        <v>0.40799999999999992</v>
      </c>
      <c r="I442" s="50">
        <f t="shared" si="244"/>
        <v>1.4810000000000003</v>
      </c>
      <c r="J442" s="50">
        <f t="shared" si="244"/>
        <v>1.7999999999999998</v>
      </c>
      <c r="K442" s="50">
        <f t="shared" si="244"/>
        <v>0.34199999999999964</v>
      </c>
      <c r="L442" s="48">
        <f t="shared" si="244"/>
        <v>1.3720000000000008</v>
      </c>
      <c r="M442" s="48">
        <f t="shared" si="244"/>
        <v>1.4710000000000001</v>
      </c>
      <c r="N442" s="48">
        <f t="shared" si="244"/>
        <v>1.5510000000000002</v>
      </c>
      <c r="O442" s="48">
        <f t="shared" si="244"/>
        <v>1.6400000000000006</v>
      </c>
      <c r="P442" s="48">
        <f t="shared" si="244"/>
        <v>1.7640000000000002</v>
      </c>
      <c r="Q442" s="20">
        <f t="shared" ca="1" si="244"/>
        <v>2.561378373870947</v>
      </c>
      <c r="R442" s="20">
        <f t="shared" ca="1" si="244"/>
        <v>2.7169890369741125</v>
      </c>
      <c r="S442" s="20">
        <f t="shared" ca="1" si="244"/>
        <v>2.8789344698506412</v>
      </c>
      <c r="T442" s="20">
        <f t="shared" ca="1" si="244"/>
        <v>3.047772495087024</v>
      </c>
      <c r="U442" s="20">
        <f t="shared" ca="1" si="244"/>
        <v>3.2228500683436421</v>
      </c>
      <c r="V442" s="20">
        <f t="shared" ca="1" si="244"/>
        <v>3.4052771020239518</v>
      </c>
      <c r="W442" s="20">
        <f t="shared" ca="1" si="244"/>
        <v>3.5968370077282028</v>
      </c>
      <c r="X442" s="20">
        <f t="shared" ca="1" si="244"/>
        <v>3.7994247714640972</v>
      </c>
      <c r="Y442" s="20">
        <f t="shared" ca="1" si="244"/>
        <v>4.0155806890201031</v>
      </c>
      <c r="Z442" s="20">
        <f t="shared" ca="1" si="244"/>
        <v>4.2476001118177376</v>
      </c>
    </row>
    <row r="443" spans="1:26" x14ac:dyDescent="0.25">
      <c r="A443" s="12" t="s">
        <v>1099</v>
      </c>
      <c r="B443" s="14" t="str">
        <f>$B$38</f>
        <v>From Fiscal Forecasts</v>
      </c>
      <c r="D443" s="50">
        <f>'Fiscal Forecasts'!D$371</f>
        <v>6.2930000000000001</v>
      </c>
      <c r="E443" s="50">
        <f>'Fiscal Forecasts'!E$371</f>
        <v>5.0430000000000001</v>
      </c>
      <c r="F443" s="50">
        <f>'Fiscal Forecasts'!F$371</f>
        <v>5.3979999999999997</v>
      </c>
      <c r="G443" s="50">
        <f>'Fiscal Forecasts'!G$371</f>
        <v>5.4870000000000001</v>
      </c>
      <c r="H443" s="50">
        <f>'Fiscal Forecasts'!H$371</f>
        <v>6.2060000000000004</v>
      </c>
      <c r="I443" s="50">
        <f>'Fiscal Forecasts'!I$371</f>
        <v>6.65</v>
      </c>
      <c r="J443" s="50">
        <f>'Fiscal Forecasts'!J$371</f>
        <v>7.024</v>
      </c>
      <c r="K443" s="50">
        <f>'Fiscal Forecasts'!K$371</f>
        <v>6.77</v>
      </c>
      <c r="L443" s="48">
        <f>'Fiscal Forecasts'!L$371</f>
        <v>7.0110000000000001</v>
      </c>
      <c r="M443" s="48">
        <f>'Fiscal Forecasts'!M$371</f>
        <v>7.3529999999999998</v>
      </c>
      <c r="N443" s="48">
        <f>'Fiscal Forecasts'!N$371</f>
        <v>7.5469999999999997</v>
      </c>
      <c r="O443" s="48">
        <f>'Fiscal Forecasts'!O$371</f>
        <v>7.7809999999999997</v>
      </c>
      <c r="P443" s="48">
        <f>'Fiscal Forecasts'!P$371</f>
        <v>8.1940000000000008</v>
      </c>
      <c r="Q443" s="20">
        <f t="shared" ref="Q443:Z443" ca="1" si="245">P$443*Q$142/P$142</f>
        <v>8.5249935870338795</v>
      </c>
      <c r="R443" s="20">
        <f t="shared" ca="1" si="245"/>
        <v>8.8558520927589193</v>
      </c>
      <c r="S443" s="20">
        <f t="shared" ca="1" si="245"/>
        <v>9.2040511192047916</v>
      </c>
      <c r="T443" s="20">
        <f t="shared" ca="1" si="245"/>
        <v>9.5763841816986339</v>
      </c>
      <c r="U443" s="20">
        <f t="shared" ca="1" si="245"/>
        <v>9.9667037486647843</v>
      </c>
      <c r="V443" s="20">
        <f t="shared" ca="1" si="245"/>
        <v>10.370239836281709</v>
      </c>
      <c r="W443" s="20">
        <f t="shared" ca="1" si="245"/>
        <v>10.784852078911277</v>
      </c>
      <c r="X443" s="20">
        <f t="shared" ca="1" si="245"/>
        <v>11.211363474234982</v>
      </c>
      <c r="Y443" s="20">
        <f t="shared" ca="1" si="245"/>
        <v>11.652027975815157</v>
      </c>
      <c r="Z443" s="20">
        <f t="shared" ca="1" si="245"/>
        <v>12.10691700811064</v>
      </c>
    </row>
    <row r="444" spans="1:26" x14ac:dyDescent="0.25">
      <c r="A444" s="12" t="s">
        <v>1384</v>
      </c>
      <c r="B444" s="14" t="str">
        <f>$B$38</f>
        <v>From Fiscal Forecasts</v>
      </c>
      <c r="D444" s="50">
        <f>'Fiscal Forecasts'!D$192-SUM(D$442:D$443)</f>
        <v>3.0849999999999991</v>
      </c>
      <c r="E444" s="50">
        <f>'Fiscal Forecasts'!E$192-SUM(E$442:E$443)</f>
        <v>4.2559999999999993</v>
      </c>
      <c r="F444" s="50">
        <f>'Fiscal Forecasts'!F$192-SUM(F$442:F$443)</f>
        <v>3.9080000000000013</v>
      </c>
      <c r="G444" s="50">
        <f>'Fiscal Forecasts'!G$192-SUM(G$442:G$443)</f>
        <v>11.707999999999998</v>
      </c>
      <c r="H444" s="50">
        <f>'Fiscal Forecasts'!H$192-SUM(H$442:H$443)</f>
        <v>5.7219999999999995</v>
      </c>
      <c r="I444" s="50">
        <f>'Fiscal Forecasts'!I$192-SUM(I$442:I$443)</f>
        <v>4.6649999999999991</v>
      </c>
      <c r="J444" s="50">
        <f>'Fiscal Forecasts'!J$192-SUM(J$442:J$443)</f>
        <v>3.1690000000000005</v>
      </c>
      <c r="K444" s="50">
        <f>'Fiscal Forecasts'!K$192-SUM(K$442:K$443)</f>
        <v>4.926000000000001</v>
      </c>
      <c r="L444" s="48">
        <f>'Fiscal Forecasts'!L$192-SUM(L$442:L$443)</f>
        <v>3.3359999999999985</v>
      </c>
      <c r="M444" s="48">
        <f>'Fiscal Forecasts'!M$192-SUM(M$442:M$443)</f>
        <v>4.6810000000000009</v>
      </c>
      <c r="N444" s="48">
        <f>'Fiscal Forecasts'!N$192-SUM(N$442:N$443)</f>
        <v>4.1620000000000008</v>
      </c>
      <c r="O444" s="48">
        <f>'Fiscal Forecasts'!O$192-SUM(O$442:O$443)</f>
        <v>4.0230000000000015</v>
      </c>
      <c r="P444" s="48">
        <f>'Fiscal Forecasts'!P$192-SUM(P$442:P$443)</f>
        <v>3.8559999999999981</v>
      </c>
      <c r="Q444" s="20">
        <f t="shared" ref="Q444:Z444" ca="1" si="246">P$444*(1+Q$29)</f>
        <v>3.933119999999998</v>
      </c>
      <c r="R444" s="20">
        <f t="shared" ca="1" si="246"/>
        <v>4.0117823999999978</v>
      </c>
      <c r="S444" s="20">
        <f t="shared" ca="1" si="246"/>
        <v>4.0920180479999981</v>
      </c>
      <c r="T444" s="20">
        <f t="shared" ca="1" si="246"/>
        <v>4.1738584089599984</v>
      </c>
      <c r="U444" s="20">
        <f t="shared" ca="1" si="246"/>
        <v>4.2573355771391981</v>
      </c>
      <c r="V444" s="20">
        <f t="shared" ca="1" si="246"/>
        <v>4.3424822886819818</v>
      </c>
      <c r="W444" s="20">
        <f t="shared" ca="1" si="246"/>
        <v>4.4293319344556217</v>
      </c>
      <c r="X444" s="20">
        <f t="shared" ca="1" si="246"/>
        <v>4.5179185731447342</v>
      </c>
      <c r="Y444" s="20">
        <f t="shared" ca="1" si="246"/>
        <v>4.6082769446076286</v>
      </c>
      <c r="Z444" s="20">
        <f t="shared" ca="1" si="246"/>
        <v>4.7004424834997813</v>
      </c>
    </row>
    <row r="445" spans="1:26" x14ac:dyDescent="0.25">
      <c r="A445" s="11" t="s">
        <v>1385</v>
      </c>
      <c r="D445" s="94">
        <f t="shared" ref="D445:P445" si="247">SUM(D$442:D$444)</f>
        <v>10.465999999999999</v>
      </c>
      <c r="E445" s="94">
        <f t="shared" si="247"/>
        <v>10.85</v>
      </c>
      <c r="F445" s="94">
        <f t="shared" si="247"/>
        <v>12.038</v>
      </c>
      <c r="G445" s="94">
        <f t="shared" si="247"/>
        <v>16.306999999999999</v>
      </c>
      <c r="H445" s="94">
        <f t="shared" si="247"/>
        <v>12.336</v>
      </c>
      <c r="I445" s="94">
        <f t="shared" si="247"/>
        <v>12.795999999999999</v>
      </c>
      <c r="J445" s="94">
        <f t="shared" si="247"/>
        <v>11.993</v>
      </c>
      <c r="K445" s="94">
        <f t="shared" si="247"/>
        <v>12.038</v>
      </c>
      <c r="L445" s="95">
        <f t="shared" si="247"/>
        <v>11.718999999999999</v>
      </c>
      <c r="M445" s="95">
        <f t="shared" si="247"/>
        <v>13.505000000000001</v>
      </c>
      <c r="N445" s="95">
        <f t="shared" si="247"/>
        <v>13.26</v>
      </c>
      <c r="O445" s="95">
        <f t="shared" si="247"/>
        <v>13.444000000000001</v>
      </c>
      <c r="P445" s="95">
        <f t="shared" si="247"/>
        <v>13.814</v>
      </c>
      <c r="Q445" s="96">
        <f t="shared" ref="Q445:Z445" ca="1" si="248">SUM(Q$442:Q$444)</f>
        <v>15.019491960904826</v>
      </c>
      <c r="R445" s="96">
        <f t="shared" ca="1" si="248"/>
        <v>15.58462352973303</v>
      </c>
      <c r="S445" s="96">
        <f t="shared" ca="1" si="248"/>
        <v>16.175003637055433</v>
      </c>
      <c r="T445" s="96">
        <f t="shared" ca="1" si="248"/>
        <v>16.798015085745657</v>
      </c>
      <c r="U445" s="96">
        <f t="shared" ca="1" si="248"/>
        <v>17.446889394147625</v>
      </c>
      <c r="V445" s="96">
        <f t="shared" ca="1" si="248"/>
        <v>18.117999226987642</v>
      </c>
      <c r="W445" s="96">
        <f t="shared" ca="1" si="248"/>
        <v>18.811021021095101</v>
      </c>
      <c r="X445" s="96">
        <f t="shared" ca="1" si="248"/>
        <v>19.528706818843812</v>
      </c>
      <c r="Y445" s="96">
        <f t="shared" ca="1" si="248"/>
        <v>20.275885609442888</v>
      </c>
      <c r="Z445" s="96">
        <f t="shared" ca="1" si="248"/>
        <v>21.054959603428159</v>
      </c>
    </row>
    <row r="446" spans="1:26" x14ac:dyDescent="0.25">
      <c r="A446" s="11" t="s">
        <v>1386</v>
      </c>
      <c r="B446" s="14" t="str">
        <f>$B$38</f>
        <v>From Fiscal Forecasts</v>
      </c>
      <c r="D446" s="51">
        <f>'Fiscal Forecasts'!D$135</f>
        <v>16.742000000000001</v>
      </c>
      <c r="E446" s="51">
        <f>'Fiscal Forecasts'!E$135</f>
        <v>16.971</v>
      </c>
      <c r="F446" s="51">
        <f>'Fiscal Forecasts'!F$135</f>
        <v>17.577000000000002</v>
      </c>
      <c r="G446" s="51">
        <f>'Fiscal Forecasts'!G$135</f>
        <v>21.42</v>
      </c>
      <c r="H446" s="51">
        <f>'Fiscal Forecasts'!H$135</f>
        <v>18.725999999999999</v>
      </c>
      <c r="I446" s="51">
        <f>'Fiscal Forecasts'!I$135</f>
        <v>19.863</v>
      </c>
      <c r="J446" s="51">
        <f>'Fiscal Forecasts'!J$135</f>
        <v>21.957000000000001</v>
      </c>
      <c r="K446" s="51">
        <f>'Fiscal Forecasts'!K$135</f>
        <v>20.308</v>
      </c>
      <c r="L446" s="47">
        <f>'Fiscal Forecasts'!L$135</f>
        <v>20.341000000000001</v>
      </c>
      <c r="M446" s="47">
        <f>'Fiscal Forecasts'!M$135</f>
        <v>22.204999999999998</v>
      </c>
      <c r="N446" s="47">
        <f>'Fiscal Forecasts'!N$135</f>
        <v>21.843</v>
      </c>
      <c r="O446" s="47">
        <f>'Fiscal Forecasts'!O$135</f>
        <v>22.009</v>
      </c>
      <c r="P446" s="47">
        <f>'Fiscal Forecasts'!P$135</f>
        <v>22.122</v>
      </c>
      <c r="Q446" s="21">
        <f t="shared" ref="Q446:Z446" ca="1" si="249">Q$445+(P$446-P$445)*(1+Q$29)</f>
        <v>23.493651960904828</v>
      </c>
      <c r="R446" s="21">
        <f t="shared" ca="1" si="249"/>
        <v>24.228266729733029</v>
      </c>
      <c r="S446" s="21">
        <f t="shared" ca="1" si="249"/>
        <v>24.991519701055431</v>
      </c>
      <c r="T446" s="21">
        <f t="shared" ca="1" si="249"/>
        <v>25.790861471025657</v>
      </c>
      <c r="U446" s="21">
        <f t="shared" ca="1" si="249"/>
        <v>26.619592707133226</v>
      </c>
      <c r="V446" s="21">
        <f t="shared" ca="1" si="249"/>
        <v>27.474156606232953</v>
      </c>
      <c r="W446" s="21">
        <f t="shared" ca="1" si="249"/>
        <v>28.354301547925317</v>
      </c>
      <c r="X446" s="21">
        <f t="shared" ca="1" si="249"/>
        <v>29.262852956210633</v>
      </c>
      <c r="Y446" s="21">
        <f t="shared" ca="1" si="249"/>
        <v>30.204714669557045</v>
      </c>
      <c r="Z446" s="21">
        <f t="shared" ca="1" si="249"/>
        <v>31.182365244744602</v>
      </c>
    </row>
    <row r="448" spans="1:26" x14ac:dyDescent="0.25">
      <c r="A448" s="11" t="s">
        <v>957</v>
      </c>
    </row>
    <row r="449" spans="1:26" x14ac:dyDescent="0.25">
      <c r="A449" s="11" t="s">
        <v>1387</v>
      </c>
      <c r="B449" s="14" t="str">
        <f>$B$38</f>
        <v>From Fiscal Forecasts</v>
      </c>
      <c r="D449" s="51">
        <f>'Fiscal Forecasts'!D$193</f>
        <v>0.44900000000000001</v>
      </c>
      <c r="E449" s="51">
        <f>'Fiscal Forecasts'!E$193</f>
        <v>0.39800000000000002</v>
      </c>
      <c r="F449" s="51">
        <f>'Fiscal Forecasts'!F$193</f>
        <v>0.505</v>
      </c>
      <c r="G449" s="51">
        <f>'Fiscal Forecasts'!G$193</f>
        <v>0.56999999999999995</v>
      </c>
      <c r="H449" s="51">
        <f>'Fiscal Forecasts'!H$193</f>
        <v>0.504</v>
      </c>
      <c r="I449" s="51">
        <f>'Fiscal Forecasts'!I$193</f>
        <v>0.498</v>
      </c>
      <c r="J449" s="51">
        <f>'Fiscal Forecasts'!J$193</f>
        <v>0.47599999999999998</v>
      </c>
      <c r="K449" s="51">
        <f>'Fiscal Forecasts'!K$193</f>
        <v>0.441</v>
      </c>
      <c r="L449" s="47">
        <f>'Fiscal Forecasts'!L$193</f>
        <v>0.4</v>
      </c>
      <c r="M449" s="47">
        <f>'Fiscal Forecasts'!M$193</f>
        <v>0.35899999999999999</v>
      </c>
      <c r="N449" s="47">
        <f>'Fiscal Forecasts'!N$193</f>
        <v>0.318</v>
      </c>
      <c r="O449" s="47">
        <f>'Fiscal Forecasts'!O$193</f>
        <v>0.27700000000000002</v>
      </c>
      <c r="P449" s="47">
        <f>'Fiscal Forecasts'!P$193</f>
        <v>0.23599999999999999</v>
      </c>
      <c r="Q449" s="21">
        <f t="shared" ref="Q449:Z449" ca="1" si="250">SUM(P$449,Q$409-P$409,Q$413-P$413)</f>
        <v>0.32396000000000025</v>
      </c>
      <c r="R449" s="21">
        <f t="shared" ca="1" si="250"/>
        <v>0.41367920000000025</v>
      </c>
      <c r="S449" s="21">
        <f t="shared" ca="1" si="250"/>
        <v>0.50519278400000056</v>
      </c>
      <c r="T449" s="21">
        <f t="shared" ca="1" si="250"/>
        <v>0.5985366396800007</v>
      </c>
      <c r="U449" s="21">
        <f t="shared" ca="1" si="250"/>
        <v>0.69374737247360074</v>
      </c>
      <c r="V449" s="21">
        <f t="shared" ca="1" si="250"/>
        <v>0.79086231992307288</v>
      </c>
      <c r="W449" s="21">
        <f t="shared" ca="1" si="250"/>
        <v>0.88991956632153468</v>
      </c>
      <c r="X449" s="21">
        <f t="shared" ca="1" si="250"/>
        <v>0.99095795764796546</v>
      </c>
      <c r="Y449" s="21">
        <f t="shared" ca="1" si="250"/>
        <v>1.0940171168009247</v>
      </c>
      <c r="Z449" s="21">
        <f t="shared" ca="1" si="250"/>
        <v>1.1991374591369433</v>
      </c>
    </row>
    <row r="450" spans="1:26" x14ac:dyDescent="0.25">
      <c r="A450" s="11" t="s">
        <v>1388</v>
      </c>
      <c r="B450" s="14" t="str">
        <f>$B$38</f>
        <v>From Fiscal Forecasts</v>
      </c>
      <c r="D450" s="51">
        <f>'Fiscal Forecasts'!D$136</f>
        <v>2.5230000000000001</v>
      </c>
      <c r="E450" s="51">
        <f>'Fiscal Forecasts'!E$136</f>
        <v>2.59</v>
      </c>
      <c r="F450" s="51">
        <f>'Fiscal Forecasts'!F$136</f>
        <v>2.5489999999999999</v>
      </c>
      <c r="G450" s="51">
        <f>'Fiscal Forecasts'!G$136</f>
        <v>3.3679999999999999</v>
      </c>
      <c r="H450" s="51">
        <f>'Fiscal Forecasts'!H$136</f>
        <v>3.61</v>
      </c>
      <c r="I450" s="51">
        <f>'Fiscal Forecasts'!I$136</f>
        <v>3.4529999999999998</v>
      </c>
      <c r="J450" s="51">
        <f>'Fiscal Forecasts'!J$136</f>
        <v>3.5270000000000001</v>
      </c>
      <c r="K450" s="51">
        <f>'Fiscal Forecasts'!K$136</f>
        <v>3.806</v>
      </c>
      <c r="L450" s="47">
        <f>'Fiscal Forecasts'!L$136</f>
        <v>3.7029999999999998</v>
      </c>
      <c r="M450" s="47">
        <f>'Fiscal Forecasts'!M$136</f>
        <v>3.6640000000000001</v>
      </c>
      <c r="N450" s="47">
        <f>'Fiscal Forecasts'!N$136</f>
        <v>3.6930000000000001</v>
      </c>
      <c r="O450" s="47">
        <f>'Fiscal Forecasts'!O$136</f>
        <v>3.7509999999999999</v>
      </c>
      <c r="P450" s="47">
        <f>'Fiscal Forecasts'!P$136</f>
        <v>3.847</v>
      </c>
      <c r="Q450" s="21">
        <f t="shared" ref="Q450:Z450" ca="1" si="251">SUM(P$450,Q$410-P$410,Q$414-P$414)</f>
        <v>4.0145999999999997</v>
      </c>
      <c r="R450" s="21">
        <f t="shared" ca="1" si="251"/>
        <v>4.1855520000000004</v>
      </c>
      <c r="S450" s="21">
        <f t="shared" ca="1" si="251"/>
        <v>4.3599230400000009</v>
      </c>
      <c r="T450" s="21">
        <f t="shared" ca="1" si="251"/>
        <v>4.5377815008000004</v>
      </c>
      <c r="U450" s="21">
        <f t="shared" ca="1" si="251"/>
        <v>4.7191971308160001</v>
      </c>
      <c r="V450" s="21">
        <f t="shared" ca="1" si="251"/>
        <v>4.9042410734323205</v>
      </c>
      <c r="W450" s="21">
        <f t="shared" ca="1" si="251"/>
        <v>5.0929858949009663</v>
      </c>
      <c r="X450" s="21">
        <f t="shared" ca="1" si="251"/>
        <v>5.2855056127989855</v>
      </c>
      <c r="Y450" s="21">
        <f t="shared" ca="1" si="251"/>
        <v>5.4818757250549659</v>
      </c>
      <c r="Z450" s="21">
        <f t="shared" ca="1" si="251"/>
        <v>5.6821732395560653</v>
      </c>
    </row>
    <row r="452" spans="1:26" x14ac:dyDescent="0.25">
      <c r="A452" s="11" t="s">
        <v>1389</v>
      </c>
    </row>
    <row r="453" spans="1:26" x14ac:dyDescent="0.25">
      <c r="A453" s="11" t="s">
        <v>1390</v>
      </c>
      <c r="B453" s="14" t="str">
        <f>$B$38</f>
        <v>From Fiscal Forecasts</v>
      </c>
      <c r="D453" s="51">
        <f>'Fiscal Forecasts'!D$194</f>
        <v>2.8839999999999999</v>
      </c>
      <c r="E453" s="51">
        <f>'Fiscal Forecasts'!E$194</f>
        <v>3.8039999999999998</v>
      </c>
      <c r="F453" s="51">
        <f>'Fiscal Forecasts'!F$194</f>
        <v>5.8239999999999998</v>
      </c>
      <c r="G453" s="51">
        <f>'Fiscal Forecasts'!G$194</f>
        <v>11.461</v>
      </c>
      <c r="H453" s="51">
        <f>'Fiscal Forecasts'!H$194</f>
        <v>6.093</v>
      </c>
      <c r="I453" s="51">
        <f>'Fiscal Forecasts'!I$194</f>
        <v>6.8659999999999997</v>
      </c>
      <c r="J453" s="51">
        <f>'Fiscal Forecasts'!J$194</f>
        <v>7.3860000000000001</v>
      </c>
      <c r="K453" s="51">
        <f>'Fiscal Forecasts'!K$194</f>
        <v>6.407</v>
      </c>
      <c r="L453" s="47">
        <f>'Fiscal Forecasts'!L$194</f>
        <v>5.8460000000000001</v>
      </c>
      <c r="M453" s="47">
        <f>'Fiscal Forecasts'!M$194</f>
        <v>5.4980000000000002</v>
      </c>
      <c r="N453" s="47">
        <f>'Fiscal Forecasts'!N$194</f>
        <v>5.1710000000000003</v>
      </c>
      <c r="O453" s="47">
        <f>'Fiscal Forecasts'!O$194</f>
        <v>4.9290000000000003</v>
      </c>
      <c r="P453" s="47">
        <f>'Fiscal Forecasts'!P$194</f>
        <v>4.7519999999999998</v>
      </c>
      <c r="Q453" s="21">
        <f t="shared" ref="Q453:Z453" ca="1" si="252">SUM(P$453,-Q$145,Q$151,Q$313)</f>
        <v>4.7049199999999995</v>
      </c>
      <c r="R453" s="21">
        <f t="shared" ca="1" si="252"/>
        <v>4.6873383999999998</v>
      </c>
      <c r="S453" s="21">
        <f t="shared" ca="1" si="252"/>
        <v>4.6998451679999995</v>
      </c>
      <c r="T453" s="21">
        <f t="shared" ca="1" si="252"/>
        <v>4.7368451679999994</v>
      </c>
      <c r="U453" s="21">
        <f t="shared" ca="1" si="252"/>
        <v>4.7738451679999994</v>
      </c>
      <c r="V453" s="21">
        <f t="shared" ca="1" si="252"/>
        <v>4.8108451679999993</v>
      </c>
      <c r="W453" s="21">
        <f t="shared" ca="1" si="252"/>
        <v>4.8478451679999992</v>
      </c>
      <c r="X453" s="21">
        <f t="shared" ca="1" si="252"/>
        <v>4.8848451679999991</v>
      </c>
      <c r="Y453" s="21">
        <f t="shared" ca="1" si="252"/>
        <v>4.921845167999999</v>
      </c>
      <c r="Z453" s="21">
        <f t="shared" ca="1" si="252"/>
        <v>4.958845167999999</v>
      </c>
    </row>
    <row r="454" spans="1:26" x14ac:dyDescent="0.25">
      <c r="A454" s="11" t="s">
        <v>1391</v>
      </c>
      <c r="B454" s="14" t="str">
        <f>$B$38</f>
        <v>From Fiscal Forecasts</v>
      </c>
      <c r="D454" s="51">
        <f>'Fiscal Forecasts'!D$138</f>
        <v>2.8839999999999999</v>
      </c>
      <c r="E454" s="51">
        <f>'Fiscal Forecasts'!E$138</f>
        <v>3.8039999999999998</v>
      </c>
      <c r="F454" s="51">
        <f>'Fiscal Forecasts'!F$138</f>
        <v>5.8239999999999998</v>
      </c>
      <c r="G454" s="51">
        <f>'Fiscal Forecasts'!G$138</f>
        <v>11.308</v>
      </c>
      <c r="H454" s="51">
        <f>'Fiscal Forecasts'!H$138</f>
        <v>6.125</v>
      </c>
      <c r="I454" s="51">
        <f>'Fiscal Forecasts'!I$138</f>
        <v>6.6260000000000003</v>
      </c>
      <c r="J454" s="51">
        <f>'Fiscal Forecasts'!J$138</f>
        <v>7.1559999999999997</v>
      </c>
      <c r="K454" s="51">
        <f>'Fiscal Forecasts'!K$138</f>
        <v>6.2789999999999999</v>
      </c>
      <c r="L454" s="47">
        <f>'Fiscal Forecasts'!L$138</f>
        <v>5.7809999999999997</v>
      </c>
      <c r="M454" s="47">
        <f>'Fiscal Forecasts'!M$138</f>
        <v>5.4080000000000004</v>
      </c>
      <c r="N454" s="47">
        <f>'Fiscal Forecasts'!N$138</f>
        <v>5.0949999999999998</v>
      </c>
      <c r="O454" s="47">
        <f>'Fiscal Forecasts'!O$138</f>
        <v>4.8460000000000001</v>
      </c>
      <c r="P454" s="47">
        <f>'Fiscal Forecasts'!P$138</f>
        <v>4.6710000000000003</v>
      </c>
      <c r="Q454" s="21">
        <f t="shared" ref="Q454:Z454" ca="1" si="253">SUM(P$454,-Q$145,Q$151,Q$313)</f>
        <v>4.62392</v>
      </c>
      <c r="R454" s="21">
        <f t="shared" ca="1" si="253"/>
        <v>4.6063384000000003</v>
      </c>
      <c r="S454" s="21">
        <f t="shared" ca="1" si="253"/>
        <v>4.618845168</v>
      </c>
      <c r="T454" s="21">
        <f t="shared" ca="1" si="253"/>
        <v>4.6558451679999999</v>
      </c>
      <c r="U454" s="21">
        <f t="shared" ca="1" si="253"/>
        <v>4.6928451679999998</v>
      </c>
      <c r="V454" s="21">
        <f t="shared" ca="1" si="253"/>
        <v>4.7298451679999998</v>
      </c>
      <c r="W454" s="21">
        <f t="shared" ca="1" si="253"/>
        <v>4.7668451679999997</v>
      </c>
      <c r="X454" s="21">
        <f t="shared" ca="1" si="253"/>
        <v>4.8038451679999996</v>
      </c>
      <c r="Y454" s="21">
        <f t="shared" ca="1" si="253"/>
        <v>4.8408451679999995</v>
      </c>
      <c r="Z454" s="21">
        <f t="shared" ca="1" si="253"/>
        <v>4.8778451679999995</v>
      </c>
    </row>
    <row r="456" spans="1:26" x14ac:dyDescent="0.25">
      <c r="A456" s="11" t="s">
        <v>959</v>
      </c>
    </row>
    <row r="457" spans="1:26" x14ac:dyDescent="0.25">
      <c r="A457" s="11" t="s">
        <v>1392</v>
      </c>
      <c r="B457" s="14" t="str">
        <f>$B$38</f>
        <v>From Fiscal Forecasts</v>
      </c>
      <c r="D457" s="51">
        <f>'Fiscal Forecasts'!D$195</f>
        <v>4.0000000000000001E-3</v>
      </c>
      <c r="E457" s="51">
        <f>'Fiscal Forecasts'!E$195</f>
        <v>5.0000000000000001E-3</v>
      </c>
      <c r="F457" s="51">
        <f>'Fiscal Forecasts'!F$195</f>
        <v>4.0000000000000001E-3</v>
      </c>
      <c r="G457" s="51">
        <f>'Fiscal Forecasts'!G$195</f>
        <v>2E-3</v>
      </c>
      <c r="H457" s="51">
        <f>'Fiscal Forecasts'!H$195</f>
        <v>3.0000000000000001E-3</v>
      </c>
      <c r="I457" s="51">
        <f>'Fiscal Forecasts'!I$195</f>
        <v>2E-3</v>
      </c>
      <c r="J457" s="51">
        <f>'Fiscal Forecasts'!J$195</f>
        <v>2E-3</v>
      </c>
      <c r="K457" s="51">
        <f>'Fiscal Forecasts'!K$195</f>
        <v>2E-3</v>
      </c>
      <c r="L457" s="47">
        <f>'Fiscal Forecasts'!L$195</f>
        <v>2E-3</v>
      </c>
      <c r="M457" s="47">
        <f>'Fiscal Forecasts'!M$195</f>
        <v>2E-3</v>
      </c>
      <c r="N457" s="47">
        <f>'Fiscal Forecasts'!N$195</f>
        <v>2E-3</v>
      </c>
      <c r="O457" s="47">
        <f>'Fiscal Forecasts'!O$195</f>
        <v>2E-3</v>
      </c>
      <c r="P457" s="47">
        <f>'Fiscal Forecasts'!P$195</f>
        <v>2E-3</v>
      </c>
      <c r="Q457" s="21">
        <f ca="1">IF(Q$6=OFFSET(Assumptions!$B$8,0,$C$1),OFFSET(Assumptions!$B$9,0,$C$1),P$457)</f>
        <v>0</v>
      </c>
      <c r="R457" s="21">
        <f ca="1">IF(R$6=OFFSET(Assumptions!$B$8,0,$C$1),OFFSET(Assumptions!$B$9,0,$C$1),Q$457)</f>
        <v>0</v>
      </c>
      <c r="S457" s="21">
        <f ca="1">IF(S$6=OFFSET(Assumptions!$B$8,0,$C$1),OFFSET(Assumptions!$B$9,0,$C$1),R$457)</f>
        <v>0</v>
      </c>
      <c r="T457" s="21">
        <f ca="1">IF(T$6=OFFSET(Assumptions!$B$8,0,$C$1),OFFSET(Assumptions!$B$9,0,$C$1),S$457)</f>
        <v>0</v>
      </c>
      <c r="U457" s="21">
        <f ca="1">IF(U$6=OFFSET(Assumptions!$B$8,0,$C$1),OFFSET(Assumptions!$B$9,0,$C$1),T$457)</f>
        <v>0</v>
      </c>
      <c r="V457" s="21">
        <f ca="1">IF(V$6=OFFSET(Assumptions!$B$8,0,$C$1),OFFSET(Assumptions!$B$9,0,$C$1),U$457)</f>
        <v>0</v>
      </c>
      <c r="W457" s="21">
        <f ca="1">IF(W$6=OFFSET(Assumptions!$B$8,0,$C$1),OFFSET(Assumptions!$B$9,0,$C$1),V$457)</f>
        <v>0</v>
      </c>
      <c r="X457" s="21">
        <f ca="1">IF(X$6=OFFSET(Assumptions!$B$8,0,$C$1),OFFSET(Assumptions!$B$9,0,$C$1),W$457)</f>
        <v>0</v>
      </c>
      <c r="Y457" s="21">
        <f ca="1">IF(Y$6=OFFSET(Assumptions!$B$8,0,$C$1),OFFSET(Assumptions!$B$9,0,$C$1),X$457)</f>
        <v>0</v>
      </c>
      <c r="Z457" s="21">
        <f ca="1">IF(Z$6=OFFSET(Assumptions!$B$8,0,$C$1),OFFSET(Assumptions!$B$9,0,$C$1),Y$457)</f>
        <v>0</v>
      </c>
    </row>
    <row r="458" spans="1:26" x14ac:dyDescent="0.25">
      <c r="A458" s="12" t="s">
        <v>1393</v>
      </c>
      <c r="B458" s="14" t="str">
        <f>$B$38</f>
        <v>From Fiscal Forecasts</v>
      </c>
      <c r="D458" s="50">
        <f>'Fiscal Forecasts'!D$381</f>
        <v>56.610999999999997</v>
      </c>
      <c r="E458" s="50">
        <f>'Fiscal Forecasts'!E$381</f>
        <v>64.945999999999998</v>
      </c>
      <c r="F458" s="50">
        <f>'Fiscal Forecasts'!F$381</f>
        <v>59.133000000000003</v>
      </c>
      <c r="G458" s="50">
        <f>'Fiscal Forecasts'!G$381</f>
        <v>54.115000000000002</v>
      </c>
      <c r="H458" s="50">
        <f>'Fiscal Forecasts'!H$381</f>
        <v>55.664000000000001</v>
      </c>
      <c r="I458" s="50">
        <f>'Fiscal Forecasts'!I$381</f>
        <v>65.049000000000007</v>
      </c>
      <c r="J458" s="50">
        <f>'Fiscal Forecasts'!J$381</f>
        <v>68.766000000000005</v>
      </c>
      <c r="K458" s="50">
        <f>'Fiscal Forecasts'!K$381</f>
        <v>73.116</v>
      </c>
      <c r="L458" s="48">
        <f>'Fiscal Forecasts'!L$381</f>
        <v>62.813000000000002</v>
      </c>
      <c r="M458" s="48">
        <f>'Fiscal Forecasts'!M$381</f>
        <v>64.894000000000005</v>
      </c>
      <c r="N458" s="48">
        <f>'Fiscal Forecasts'!N$381</f>
        <v>67.055999999999997</v>
      </c>
      <c r="O458" s="48">
        <f>'Fiscal Forecasts'!O$381</f>
        <v>69.384</v>
      </c>
      <c r="P458" s="48">
        <f>'Fiscal Forecasts'!P$381</f>
        <v>71.867999999999995</v>
      </c>
      <c r="Q458" s="20">
        <f>P$458*Exogenous!AB$30/Exogenous!AA$30</f>
        <v>75.350373541238483</v>
      </c>
      <c r="R458" s="20">
        <f>Q$458*Exogenous!AC$30/Exogenous!AB$30</f>
        <v>79.011918457579867</v>
      </c>
      <c r="S458" s="20">
        <f>R$458*Exogenous!AD$30/Exogenous!AC$30</f>
        <v>82.770264303008062</v>
      </c>
      <c r="T458" s="20">
        <f>S$458*Exogenous!AE$30/Exogenous!AD$30</f>
        <v>86.723163331358961</v>
      </c>
      <c r="U458" s="20">
        <f>T$458*Exogenous!AF$30/Exogenous!AE$30</f>
        <v>90.857478323377009</v>
      </c>
      <c r="V458" s="20">
        <f>U$458*Exogenous!AG$30/Exogenous!AF$30</f>
        <v>95.196291127292156</v>
      </c>
      <c r="W458" s="20">
        <f>V$458*Exogenous!AH$30/Exogenous!AG$30</f>
        <v>99.750002013249556</v>
      </c>
      <c r="X458" s="20">
        <f>W$458*Exogenous!AI$30/Exogenous!AH$30</f>
        <v>104.48871142629368</v>
      </c>
      <c r="Y458" s="20">
        <f>X$458*Exogenous!AJ$30/Exogenous!AI$30</f>
        <v>109.45571050869646</v>
      </c>
      <c r="Z458" s="20">
        <f>Y$458*Exogenous!AK$30/Exogenous!AJ$30</f>
        <v>114.59747181447723</v>
      </c>
    </row>
    <row r="459" spans="1:26" x14ac:dyDescent="0.25">
      <c r="A459" s="12" t="s">
        <v>1394</v>
      </c>
      <c r="B459" s="14" t="str">
        <f>$B$38</f>
        <v>From Fiscal Forecasts</v>
      </c>
      <c r="D459" s="50">
        <f>SUM('Fiscal Forecasts'!D$382:D$383)-D$457</f>
        <v>1.601</v>
      </c>
      <c r="E459" s="50">
        <f>SUM('Fiscal Forecasts'!E$382:E$383)-E$457</f>
        <v>1.7390000000000001</v>
      </c>
      <c r="F459" s="50">
        <f>SUM('Fiscal Forecasts'!F$382:F$383)-F$457</f>
        <v>1.1990000000000001</v>
      </c>
      <c r="G459" s="50">
        <f>SUM('Fiscal Forecasts'!G$382:G$383)-G$457</f>
        <v>1.1839999999999999</v>
      </c>
      <c r="H459" s="50">
        <f>SUM('Fiscal Forecasts'!H$382:H$383)-H$457</f>
        <v>1.8440000000000001</v>
      </c>
      <c r="I459" s="50">
        <f>SUM('Fiscal Forecasts'!I$382:I$383)-I$457</f>
        <v>1.524</v>
      </c>
      <c r="J459" s="50">
        <f>SUM('Fiscal Forecasts'!J$382:J$383)-J$457</f>
        <v>1.5579999999999998</v>
      </c>
      <c r="K459" s="50">
        <f>SUM('Fiscal Forecasts'!K$382:K$383)-K$457</f>
        <v>1.4259999999999999</v>
      </c>
      <c r="L459" s="48">
        <f>SUM('Fiscal Forecasts'!L$382:L$383)-L$457</f>
        <v>1.24</v>
      </c>
      <c r="M459" s="48">
        <f>SUM('Fiscal Forecasts'!M$382:M$383)-M$457</f>
        <v>1.157</v>
      </c>
      <c r="N459" s="48">
        <f>SUM('Fiscal Forecasts'!N$382:N$383)-N$457</f>
        <v>1.097</v>
      </c>
      <c r="O459" s="48">
        <f>SUM('Fiscal Forecasts'!O$382:O$383)-O$457</f>
        <v>1.056</v>
      </c>
      <c r="P459" s="48">
        <f>SUM('Fiscal Forecasts'!P$382:P$383)-P$457</f>
        <v>1.03</v>
      </c>
      <c r="Q459" s="20">
        <f t="shared" ref="Q459:Z459" si="254">P$459*Q$458/P$458</f>
        <v>1.0799087876033233</v>
      </c>
      <c r="R459" s="20">
        <f t="shared" si="254"/>
        <v>1.1323854289990993</v>
      </c>
      <c r="S459" s="20">
        <f t="shared" si="254"/>
        <v>1.1862494049103678</v>
      </c>
      <c r="T459" s="20">
        <f t="shared" si="254"/>
        <v>1.24290168407775</v>
      </c>
      <c r="U459" s="20">
        <f t="shared" si="254"/>
        <v>1.3021539861006057</v>
      </c>
      <c r="V459" s="20">
        <f t="shared" si="254"/>
        <v>1.3643371161172</v>
      </c>
      <c r="W459" s="20">
        <f t="shared" si="254"/>
        <v>1.4296001290372218</v>
      </c>
      <c r="X459" s="20">
        <f t="shared" si="254"/>
        <v>1.4975145095046822</v>
      </c>
      <c r="Y459" s="20">
        <f t="shared" si="254"/>
        <v>1.5687006988361631</v>
      </c>
      <c r="Z459" s="20">
        <f t="shared" si="254"/>
        <v>1.6423915507445812</v>
      </c>
    </row>
    <row r="460" spans="1:26" x14ac:dyDescent="0.25">
      <c r="A460" s="11" t="s">
        <v>1395</v>
      </c>
      <c r="D460" s="94">
        <f t="shared" ref="D460:P460" si="255">SUM(D$457:D$459)</f>
        <v>58.215999999999994</v>
      </c>
      <c r="E460" s="94">
        <f t="shared" si="255"/>
        <v>66.69</v>
      </c>
      <c r="F460" s="94">
        <f t="shared" si="255"/>
        <v>60.335999999999999</v>
      </c>
      <c r="G460" s="94">
        <f t="shared" si="255"/>
        <v>55.301000000000002</v>
      </c>
      <c r="H460" s="94">
        <f t="shared" si="255"/>
        <v>57.511000000000003</v>
      </c>
      <c r="I460" s="94">
        <f t="shared" si="255"/>
        <v>66.575000000000003</v>
      </c>
      <c r="J460" s="94">
        <f t="shared" si="255"/>
        <v>70.325999999999993</v>
      </c>
      <c r="K460" s="94">
        <f t="shared" si="255"/>
        <v>74.543999999999997</v>
      </c>
      <c r="L460" s="95">
        <f t="shared" si="255"/>
        <v>64.055000000000007</v>
      </c>
      <c r="M460" s="95">
        <f t="shared" si="255"/>
        <v>66.052999999999997</v>
      </c>
      <c r="N460" s="95">
        <f t="shared" si="255"/>
        <v>68.154999999999987</v>
      </c>
      <c r="O460" s="95">
        <f t="shared" si="255"/>
        <v>70.441999999999993</v>
      </c>
      <c r="P460" s="95">
        <f t="shared" si="255"/>
        <v>72.899999999999991</v>
      </c>
      <c r="Q460" s="96">
        <f t="shared" ref="Q460:Z460" ca="1" si="256">SUM(Q$457:Q$459)</f>
        <v>76.430282328841813</v>
      </c>
      <c r="R460" s="96">
        <f t="shared" ca="1" si="256"/>
        <v>80.144303886578967</v>
      </c>
      <c r="S460" s="96">
        <f t="shared" ca="1" si="256"/>
        <v>83.956513707918432</v>
      </c>
      <c r="T460" s="96">
        <f t="shared" ca="1" si="256"/>
        <v>87.966065015436712</v>
      </c>
      <c r="U460" s="96">
        <f t="shared" ca="1" si="256"/>
        <v>92.159632309477615</v>
      </c>
      <c r="V460" s="96">
        <f t="shared" ca="1" si="256"/>
        <v>96.560628243409354</v>
      </c>
      <c r="W460" s="96">
        <f t="shared" ca="1" si="256"/>
        <v>101.17960214228678</v>
      </c>
      <c r="X460" s="96">
        <f t="shared" ca="1" si="256"/>
        <v>105.98622593579836</v>
      </c>
      <c r="Y460" s="96">
        <f t="shared" ca="1" si="256"/>
        <v>111.02441120753262</v>
      </c>
      <c r="Z460" s="96">
        <f t="shared" ca="1" si="256"/>
        <v>116.23986336522181</v>
      </c>
    </row>
    <row r="462" spans="1:26" x14ac:dyDescent="0.25">
      <c r="A462" s="11" t="s">
        <v>1396</v>
      </c>
    </row>
    <row r="463" spans="1:26" x14ac:dyDescent="0.25">
      <c r="A463" s="11" t="s">
        <v>1397</v>
      </c>
      <c r="B463" s="14" t="str">
        <f>$B$38</f>
        <v>From Fiscal Forecasts</v>
      </c>
      <c r="D463" s="51">
        <f>'Fiscal Forecasts'!D$196</f>
        <v>13.164999999999999</v>
      </c>
      <c r="E463" s="51">
        <f>'Fiscal Forecasts'!E$196</f>
        <v>13.976000000000001</v>
      </c>
      <c r="F463" s="51">
        <f>'Fiscal Forecasts'!F$196</f>
        <v>11.039</v>
      </c>
      <c r="G463" s="51">
        <f>'Fiscal Forecasts'!G$196</f>
        <v>8.7650000000000006</v>
      </c>
      <c r="H463" s="51">
        <f>'Fiscal Forecasts'!H$196</f>
        <v>8.0380000000000003</v>
      </c>
      <c r="I463" s="51">
        <f>'Fiscal Forecasts'!I$196</f>
        <v>7.3339999999999996</v>
      </c>
      <c r="J463" s="51">
        <f>'Fiscal Forecasts'!J$196</f>
        <v>6.6589999999999998</v>
      </c>
      <c r="K463" s="51">
        <f>'Fiscal Forecasts'!K$196</f>
        <v>6.2460000000000004</v>
      </c>
      <c r="L463" s="47">
        <f>'Fiscal Forecasts'!L$196</f>
        <v>5.633</v>
      </c>
      <c r="M463" s="47">
        <f>'Fiscal Forecasts'!M$196</f>
        <v>5.1289999999999996</v>
      </c>
      <c r="N463" s="47">
        <f>'Fiscal Forecasts'!N$196</f>
        <v>4.6379999999999999</v>
      </c>
      <c r="O463" s="47">
        <f>'Fiscal Forecasts'!O$196</f>
        <v>4.1639999999999997</v>
      </c>
      <c r="P463" s="47">
        <f>'Fiscal Forecasts'!P$196</f>
        <v>3.706</v>
      </c>
      <c r="Q463" s="20">
        <f>P$463*Exogenous!AB$35/Exogenous!AA$35</f>
        <v>3.5338867837338257</v>
      </c>
      <c r="R463" s="20">
        <f>Q$463*Exogenous!AC$35/Exogenous!AB$35</f>
        <v>3.3579202865064692</v>
      </c>
      <c r="S463" s="20">
        <f>R$463*Exogenous!AD$35/Exogenous!AC$35</f>
        <v>3.1806693622920514</v>
      </c>
      <c r="T463" s="20">
        <f>S$463*Exogenous!AE$35/Exogenous!AD$35</f>
        <v>3.0029902957486132</v>
      </c>
      <c r="U463" s="20">
        <f>T$463*Exogenous!AF$35/Exogenous!AE$35</f>
        <v>2.8313052218114598</v>
      </c>
      <c r="V463" s="20">
        <f>U$463*Exogenous!AG$35/Exogenous!AF$35</f>
        <v>2.6617608595194078</v>
      </c>
      <c r="W463" s="20">
        <f>V$463*Exogenous!AH$35/Exogenous!AG$35</f>
        <v>2.4947853512014784</v>
      </c>
      <c r="X463" s="20">
        <f>W$463*Exogenous!AI$35/Exogenous!AH$35</f>
        <v>2.3308068391866907</v>
      </c>
      <c r="Y463" s="20">
        <f>X$463*Exogenous!AJ$35/Exogenous!AI$35</f>
        <v>2.1711097504621066</v>
      </c>
      <c r="Z463" s="20">
        <f>Y$463*Exogenous!AK$35/Exogenous!AJ$35</f>
        <v>2.0152659426987056</v>
      </c>
    </row>
    <row r="464" spans="1:26" x14ac:dyDescent="0.25">
      <c r="A464" s="12" t="s">
        <v>1398</v>
      </c>
      <c r="B464" s="14" t="str">
        <f>$B$38</f>
        <v>From Fiscal Forecasts</v>
      </c>
      <c r="D464" s="50">
        <f>'Fiscal Forecasts'!D$140-D$463</f>
        <v>1.4000000000001123E-2</v>
      </c>
      <c r="E464" s="50">
        <f>'Fiscal Forecasts'!E$140-E$463</f>
        <v>6.9999999999996732E-3</v>
      </c>
      <c r="F464" s="50">
        <f>'Fiscal Forecasts'!F$140-F$463</f>
        <v>-9.9999999999944578E-4</v>
      </c>
      <c r="G464" s="50">
        <f>'Fiscal Forecasts'!G$140-G$463</f>
        <v>3.9999999999995595E-3</v>
      </c>
      <c r="H464" s="50">
        <f>'Fiscal Forecasts'!H$140-H$463</f>
        <v>9.9999999999944578E-4</v>
      </c>
      <c r="I464" s="50">
        <f>'Fiscal Forecasts'!I$140-I$463</f>
        <v>3.0000000000001137E-3</v>
      </c>
      <c r="J464" s="50">
        <f>'Fiscal Forecasts'!J$140-J$463</f>
        <v>1.9999999999997797E-3</v>
      </c>
      <c r="K464" s="50">
        <f>'Fiscal Forecasts'!K$140-K$463</f>
        <v>1.9999999999997797E-3</v>
      </c>
      <c r="L464" s="48">
        <f>'Fiscal Forecasts'!L$140-L$463</f>
        <v>1.000000000000334E-3</v>
      </c>
      <c r="M464" s="48">
        <f>'Fiscal Forecasts'!M$140-M$463</f>
        <v>2.0000000000006679E-3</v>
      </c>
      <c r="N464" s="48">
        <f>'Fiscal Forecasts'!N$140-N$463</f>
        <v>1.000000000000334E-3</v>
      </c>
      <c r="O464" s="48">
        <f>'Fiscal Forecasts'!O$140-O$463</f>
        <v>1.000000000000334E-3</v>
      </c>
      <c r="P464" s="48">
        <f>'Fiscal Forecasts'!P$140-P$463</f>
        <v>2.0000000000002238E-3</v>
      </c>
      <c r="Q464" s="20">
        <f ca="1">IF(Q$6=OFFSET(Assumptions!$B$8,0,$C$1),OFFSET(Assumptions!$B$9,0,$C$1),P$464)</f>
        <v>0</v>
      </c>
      <c r="R464" s="20">
        <f ca="1">IF(R$6=OFFSET(Assumptions!$B$8,0,$C$1),OFFSET(Assumptions!$B$9,0,$C$1),Q$464)</f>
        <v>0</v>
      </c>
      <c r="S464" s="20">
        <f ca="1">IF(S$6=OFFSET(Assumptions!$B$8,0,$C$1),OFFSET(Assumptions!$B$9,0,$C$1),R$464)</f>
        <v>0</v>
      </c>
      <c r="T464" s="20">
        <f ca="1">IF(T$6=OFFSET(Assumptions!$B$8,0,$C$1),OFFSET(Assumptions!$B$9,0,$C$1),S$464)</f>
        <v>0</v>
      </c>
      <c r="U464" s="20">
        <f ca="1">IF(U$6=OFFSET(Assumptions!$B$8,0,$C$1),OFFSET(Assumptions!$B$9,0,$C$1),T$464)</f>
        <v>0</v>
      </c>
      <c r="V464" s="20">
        <f ca="1">IF(V$6=OFFSET(Assumptions!$B$8,0,$C$1),OFFSET(Assumptions!$B$9,0,$C$1),U$464)</f>
        <v>0</v>
      </c>
      <c r="W464" s="20">
        <f ca="1">IF(W$6=OFFSET(Assumptions!$B$8,0,$C$1),OFFSET(Assumptions!$B$9,0,$C$1),V$464)</f>
        <v>0</v>
      </c>
      <c r="X464" s="20">
        <f ca="1">IF(X$6=OFFSET(Assumptions!$B$8,0,$C$1),OFFSET(Assumptions!$B$9,0,$C$1),W$464)</f>
        <v>0</v>
      </c>
      <c r="Y464" s="20">
        <f ca="1">IF(Y$6=OFFSET(Assumptions!$B$8,0,$C$1),OFFSET(Assumptions!$B$9,0,$C$1),X$464)</f>
        <v>0</v>
      </c>
      <c r="Z464" s="20">
        <f ca="1">IF(Z$6=OFFSET(Assumptions!$B$8,0,$C$1),OFFSET(Assumptions!$B$9,0,$C$1),Y$464)</f>
        <v>0</v>
      </c>
    </row>
    <row r="465" spans="1:26" x14ac:dyDescent="0.25">
      <c r="A465" s="11" t="s">
        <v>1399</v>
      </c>
      <c r="D465" s="94">
        <f t="shared" ref="D465:Z465" si="257">SUM(D$463:D$464)</f>
        <v>13.179</v>
      </c>
      <c r="E465" s="94">
        <f t="shared" si="257"/>
        <v>13.983000000000001</v>
      </c>
      <c r="F465" s="94">
        <f t="shared" si="257"/>
        <v>11.038</v>
      </c>
      <c r="G465" s="94">
        <f t="shared" si="257"/>
        <v>8.7690000000000001</v>
      </c>
      <c r="H465" s="94">
        <f t="shared" si="257"/>
        <v>8.0389999999999997</v>
      </c>
      <c r="I465" s="94">
        <f t="shared" si="257"/>
        <v>7.3369999999999997</v>
      </c>
      <c r="J465" s="94">
        <f t="shared" si="257"/>
        <v>6.6609999999999996</v>
      </c>
      <c r="K465" s="94">
        <f t="shared" si="257"/>
        <v>6.2480000000000002</v>
      </c>
      <c r="L465" s="95">
        <f t="shared" si="257"/>
        <v>5.6340000000000003</v>
      </c>
      <c r="M465" s="95">
        <f t="shared" si="257"/>
        <v>5.1310000000000002</v>
      </c>
      <c r="N465" s="95">
        <f t="shared" si="257"/>
        <v>4.6390000000000002</v>
      </c>
      <c r="O465" s="95">
        <f t="shared" si="257"/>
        <v>4.165</v>
      </c>
      <c r="P465" s="95">
        <f t="shared" si="257"/>
        <v>3.7080000000000002</v>
      </c>
      <c r="Q465" s="96">
        <f t="shared" ca="1" si="257"/>
        <v>3.5338867837338257</v>
      </c>
      <c r="R465" s="96">
        <f t="shared" ca="1" si="257"/>
        <v>3.3579202865064692</v>
      </c>
      <c r="S465" s="96">
        <f t="shared" ca="1" si="257"/>
        <v>3.1806693622920514</v>
      </c>
      <c r="T465" s="96">
        <f t="shared" ca="1" si="257"/>
        <v>3.0029902957486132</v>
      </c>
      <c r="U465" s="96">
        <f t="shared" ca="1" si="257"/>
        <v>2.8313052218114598</v>
      </c>
      <c r="V465" s="96">
        <f t="shared" ca="1" si="257"/>
        <v>2.6617608595194078</v>
      </c>
      <c r="W465" s="96">
        <f t="shared" ca="1" si="257"/>
        <v>2.4947853512014784</v>
      </c>
      <c r="X465" s="96">
        <f t="shared" ca="1" si="257"/>
        <v>2.3308068391866907</v>
      </c>
      <c r="Y465" s="96">
        <f t="shared" ca="1" si="257"/>
        <v>2.1711097504621066</v>
      </c>
      <c r="Z465" s="96">
        <f t="shared" ca="1" si="257"/>
        <v>2.0152659426987056</v>
      </c>
    </row>
    <row r="467" spans="1:26" x14ac:dyDescent="0.25">
      <c r="A467" s="11" t="s">
        <v>961</v>
      </c>
    </row>
    <row r="468" spans="1:26" x14ac:dyDescent="0.25">
      <c r="A468" s="12" t="s">
        <v>1400</v>
      </c>
      <c r="D468" s="50">
        <f t="shared" ref="D468:P468" si="258">-D$386</f>
        <v>0</v>
      </c>
      <c r="E468" s="50">
        <f t="shared" si="258"/>
        <v>-2E-3</v>
      </c>
      <c r="F468" s="50">
        <f t="shared" si="258"/>
        <v>-2E-3</v>
      </c>
      <c r="G468" s="50">
        <f t="shared" si="258"/>
        <v>9.9000000000000005E-2</v>
      </c>
      <c r="H468" s="50">
        <f t="shared" si="258"/>
        <v>0.06</v>
      </c>
      <c r="I468" s="50">
        <f t="shared" si="258"/>
        <v>4.0000000000000001E-3</v>
      </c>
      <c r="J468" s="50">
        <f t="shared" si="258"/>
        <v>-6.7000000000000004E-2</v>
      </c>
      <c r="K468" s="50">
        <f t="shared" si="258"/>
        <v>-1.2999999999999999E-2</v>
      </c>
      <c r="L468" s="48">
        <f t="shared" si="258"/>
        <v>1.7999999999999999E-2</v>
      </c>
      <c r="M468" s="48">
        <f t="shared" si="258"/>
        <v>0.02</v>
      </c>
      <c r="N468" s="48">
        <f t="shared" si="258"/>
        <v>2.4E-2</v>
      </c>
      <c r="O468" s="48">
        <f t="shared" si="258"/>
        <v>2.7E-2</v>
      </c>
      <c r="P468" s="48">
        <f t="shared" si="258"/>
        <v>3.1E-2</v>
      </c>
      <c r="Q468" s="20">
        <f ca="1">IF(Q$6=OFFSET(Assumptions!$B$8,0,$C$1),OFFSET(Assumptions!$B$9,0,$C$1),P$468)</f>
        <v>0</v>
      </c>
      <c r="R468" s="20">
        <f ca="1">IF(R$6=OFFSET(Assumptions!$B$8,0,$C$1),OFFSET(Assumptions!$B$9,0,$C$1),Q$468)</f>
        <v>0</v>
      </c>
      <c r="S468" s="20">
        <f ca="1">IF(S$6=OFFSET(Assumptions!$B$8,0,$C$1),OFFSET(Assumptions!$B$9,0,$C$1),R$468)</f>
        <v>0</v>
      </c>
      <c r="T468" s="20">
        <f ca="1">IF(T$6=OFFSET(Assumptions!$B$8,0,$C$1),OFFSET(Assumptions!$B$9,0,$C$1),S$468)</f>
        <v>0</v>
      </c>
      <c r="U468" s="20">
        <f ca="1">IF(U$6=OFFSET(Assumptions!$B$8,0,$C$1),OFFSET(Assumptions!$B$9,0,$C$1),T$468)</f>
        <v>0</v>
      </c>
      <c r="V468" s="20">
        <f ca="1">IF(V$6=OFFSET(Assumptions!$B$8,0,$C$1),OFFSET(Assumptions!$B$9,0,$C$1),U$468)</f>
        <v>0</v>
      </c>
      <c r="W468" s="20">
        <f ca="1">IF(W$6=OFFSET(Assumptions!$B$8,0,$C$1),OFFSET(Assumptions!$B$9,0,$C$1),V$468)</f>
        <v>0</v>
      </c>
      <c r="X468" s="20">
        <f ca="1">IF(X$6=OFFSET(Assumptions!$B$8,0,$C$1),OFFSET(Assumptions!$B$9,0,$C$1),W$468)</f>
        <v>0</v>
      </c>
      <c r="Y468" s="20">
        <f ca="1">IF(Y$6=OFFSET(Assumptions!$B$8,0,$C$1),OFFSET(Assumptions!$B$9,0,$C$1),X$468)</f>
        <v>0</v>
      </c>
      <c r="Z468" s="20">
        <f ca="1">IF(Z$6=OFFSET(Assumptions!$B$8,0,$C$1),OFFSET(Assumptions!$B$9,0,$C$1),Y$468)</f>
        <v>0</v>
      </c>
    </row>
    <row r="469" spans="1:26" x14ac:dyDescent="0.25">
      <c r="A469" s="12" t="s">
        <v>1401</v>
      </c>
      <c r="B469" s="14" t="str">
        <f>$B$38</f>
        <v>From Fiscal Forecasts</v>
      </c>
      <c r="D469" s="50">
        <f>'Fiscal Forecasts'!D$197-D$468</f>
        <v>7.5890000000000004</v>
      </c>
      <c r="E469" s="50">
        <f>'Fiscal Forecasts'!E$197-E$468</f>
        <v>9.3109999999999999</v>
      </c>
      <c r="F469" s="50">
        <f>'Fiscal Forecasts'!F$197-F$468</f>
        <v>8.6100000000000012</v>
      </c>
      <c r="G469" s="50">
        <f>'Fiscal Forecasts'!G$197-G$468</f>
        <v>8.7850000000000001</v>
      </c>
      <c r="H469" s="50">
        <f>'Fiscal Forecasts'!H$197-H$468</f>
        <v>8.2880000000000003</v>
      </c>
      <c r="I469" s="50">
        <f>'Fiscal Forecasts'!I$197-I$468</f>
        <v>8.875</v>
      </c>
      <c r="J469" s="50">
        <f>'Fiscal Forecasts'!J$197-J$468</f>
        <v>10.871</v>
      </c>
      <c r="K469" s="50">
        <f>'Fiscal Forecasts'!K$197-K$468</f>
        <v>9.802999999999999</v>
      </c>
      <c r="L469" s="48">
        <f>'Fiscal Forecasts'!L$197-L$468</f>
        <v>9.3669999999999991</v>
      </c>
      <c r="M469" s="48">
        <f>'Fiscal Forecasts'!M$197-M$468</f>
        <v>8.9779999999999998</v>
      </c>
      <c r="N469" s="48">
        <f>'Fiscal Forecasts'!N$197-N$468</f>
        <v>8.8250000000000011</v>
      </c>
      <c r="O469" s="48">
        <f>'Fiscal Forecasts'!O$197-O$468</f>
        <v>8.7780000000000005</v>
      </c>
      <c r="P469" s="48">
        <f>'Fiscal Forecasts'!P$197-P$468</f>
        <v>8.7359999999999989</v>
      </c>
      <c r="Q469" s="20">
        <f t="shared" ref="Q469:Z469" ca="1" si="259">P$469*(1+Q$29)</f>
        <v>8.9107199999999995</v>
      </c>
      <c r="R469" s="20">
        <f t="shared" ca="1" si="259"/>
        <v>9.0889343999999994</v>
      </c>
      <c r="S469" s="20">
        <f t="shared" ca="1" si="259"/>
        <v>9.270713087999999</v>
      </c>
      <c r="T469" s="20">
        <f t="shared" ca="1" si="259"/>
        <v>9.4561273497599991</v>
      </c>
      <c r="U469" s="20">
        <f t="shared" ca="1" si="259"/>
        <v>9.6452498967551996</v>
      </c>
      <c r="V469" s="20">
        <f t="shared" ca="1" si="259"/>
        <v>9.8381548946903035</v>
      </c>
      <c r="W469" s="20">
        <f t="shared" ca="1" si="259"/>
        <v>10.034917992584109</v>
      </c>
      <c r="X469" s="20">
        <f t="shared" ca="1" si="259"/>
        <v>10.235616352435791</v>
      </c>
      <c r="Y469" s="20">
        <f t="shared" ca="1" si="259"/>
        <v>10.440328679484507</v>
      </c>
      <c r="Z469" s="20">
        <f t="shared" ca="1" si="259"/>
        <v>10.649135253074197</v>
      </c>
    </row>
    <row r="470" spans="1:26" x14ac:dyDescent="0.25">
      <c r="A470" s="11" t="s">
        <v>1402</v>
      </c>
      <c r="D470" s="94">
        <f t="shared" ref="D470:P470" si="260">SUM(D$468:D$469)</f>
        <v>7.5890000000000004</v>
      </c>
      <c r="E470" s="94">
        <f t="shared" si="260"/>
        <v>9.3089999999999993</v>
      </c>
      <c r="F470" s="94">
        <f t="shared" si="260"/>
        <v>8.6080000000000005</v>
      </c>
      <c r="G470" s="94">
        <f t="shared" si="260"/>
        <v>8.8840000000000003</v>
      </c>
      <c r="H470" s="94">
        <f t="shared" si="260"/>
        <v>8.3480000000000008</v>
      </c>
      <c r="I470" s="94">
        <f t="shared" si="260"/>
        <v>8.8789999999999996</v>
      </c>
      <c r="J470" s="94">
        <f t="shared" si="260"/>
        <v>10.804</v>
      </c>
      <c r="K470" s="94">
        <f t="shared" si="260"/>
        <v>9.7899999999999991</v>
      </c>
      <c r="L470" s="95">
        <f t="shared" si="260"/>
        <v>9.3849999999999998</v>
      </c>
      <c r="M470" s="95">
        <f t="shared" si="260"/>
        <v>8.9979999999999993</v>
      </c>
      <c r="N470" s="95">
        <f t="shared" si="260"/>
        <v>8.8490000000000002</v>
      </c>
      <c r="O470" s="95">
        <f t="shared" si="260"/>
        <v>8.8049999999999997</v>
      </c>
      <c r="P470" s="95">
        <f t="shared" si="260"/>
        <v>8.7669999999999995</v>
      </c>
      <c r="Q470" s="96">
        <f t="shared" ref="Q470:Z470" ca="1" si="261">SUM(Q$468:Q$469)</f>
        <v>8.9107199999999995</v>
      </c>
      <c r="R470" s="96">
        <f t="shared" ca="1" si="261"/>
        <v>9.0889343999999994</v>
      </c>
      <c r="S470" s="96">
        <f t="shared" ca="1" si="261"/>
        <v>9.270713087999999</v>
      </c>
      <c r="T470" s="96">
        <f t="shared" ca="1" si="261"/>
        <v>9.4561273497599991</v>
      </c>
      <c r="U470" s="96">
        <f t="shared" ca="1" si="261"/>
        <v>9.6452498967551996</v>
      </c>
      <c r="V470" s="96">
        <f t="shared" ca="1" si="261"/>
        <v>9.8381548946903035</v>
      </c>
      <c r="W470" s="96">
        <f t="shared" ca="1" si="261"/>
        <v>10.034917992584109</v>
      </c>
      <c r="X470" s="96">
        <f t="shared" ca="1" si="261"/>
        <v>10.235616352435791</v>
      </c>
      <c r="Y470" s="96">
        <f t="shared" ca="1" si="261"/>
        <v>10.440328679484507</v>
      </c>
      <c r="Z470" s="96">
        <f t="shared" ca="1" si="261"/>
        <v>10.649135253074197</v>
      </c>
    </row>
    <row r="471" spans="1:26" x14ac:dyDescent="0.25">
      <c r="A471" s="11" t="s">
        <v>1403</v>
      </c>
      <c r="B471" s="14" t="str">
        <f>$B$38</f>
        <v>From Fiscal Forecasts</v>
      </c>
      <c r="D471" s="51">
        <f>'Fiscal Forecasts'!D$141</f>
        <v>10.708</v>
      </c>
      <c r="E471" s="51">
        <f>'Fiscal Forecasts'!E$141</f>
        <v>12.68</v>
      </c>
      <c r="F471" s="51">
        <f>'Fiscal Forecasts'!F$141</f>
        <v>13.263</v>
      </c>
      <c r="G471" s="51">
        <f>'Fiscal Forecasts'!G$141</f>
        <v>14.333</v>
      </c>
      <c r="H471" s="51">
        <f>'Fiscal Forecasts'!H$141</f>
        <v>15.426</v>
      </c>
      <c r="I471" s="51">
        <f>'Fiscal Forecasts'!I$141</f>
        <v>16.045000000000002</v>
      </c>
      <c r="J471" s="51">
        <f>'Fiscal Forecasts'!J$141</f>
        <v>17.984000000000002</v>
      </c>
      <c r="K471" s="51">
        <f>'Fiscal Forecasts'!K$141</f>
        <v>16.405000000000001</v>
      </c>
      <c r="L471" s="47">
        <f>'Fiscal Forecasts'!L$141</f>
        <v>14.760999999999999</v>
      </c>
      <c r="M471" s="47">
        <f>'Fiscal Forecasts'!M$141</f>
        <v>14.428000000000001</v>
      </c>
      <c r="N471" s="47">
        <f>'Fiscal Forecasts'!N$141</f>
        <v>14.282999999999999</v>
      </c>
      <c r="O471" s="47">
        <f>'Fiscal Forecasts'!O$141</f>
        <v>14.246</v>
      </c>
      <c r="P471" s="47">
        <f>'Fiscal Forecasts'!P$141</f>
        <v>14.132999999999999</v>
      </c>
      <c r="Q471" s="21">
        <f t="shared" ref="Q471:Z471" ca="1" si="262">Q$470+(P$471-P$470)*(1+Q$29)</f>
        <v>14.384039999999999</v>
      </c>
      <c r="R471" s="21">
        <f t="shared" ca="1" si="262"/>
        <v>14.671720799999999</v>
      </c>
      <c r="S471" s="21">
        <f t="shared" ca="1" si="262"/>
        <v>14.965155215999999</v>
      </c>
      <c r="T471" s="21">
        <f t="shared" ca="1" si="262"/>
        <v>15.264458320319999</v>
      </c>
      <c r="U471" s="21">
        <f t="shared" ca="1" si="262"/>
        <v>15.569747486726399</v>
      </c>
      <c r="V471" s="21">
        <f t="shared" ca="1" si="262"/>
        <v>15.881142436460927</v>
      </c>
      <c r="W471" s="21">
        <f t="shared" ca="1" si="262"/>
        <v>16.198765285190145</v>
      </c>
      <c r="X471" s="21">
        <f t="shared" ca="1" si="262"/>
        <v>16.522740590893946</v>
      </c>
      <c r="Y471" s="21">
        <f t="shared" ca="1" si="262"/>
        <v>16.853195402711826</v>
      </c>
      <c r="Z471" s="21">
        <f t="shared" ca="1" si="262"/>
        <v>17.190259310766063</v>
      </c>
    </row>
    <row r="473" spans="1:26" x14ac:dyDescent="0.25">
      <c r="A473" s="11" t="s">
        <v>1404</v>
      </c>
    </row>
    <row r="474" spans="1:26" x14ac:dyDescent="0.25">
      <c r="A474" s="12" t="s">
        <v>1111</v>
      </c>
      <c r="B474" s="14" t="str">
        <f t="shared" ref="B474:B480" si="263">$B$38</f>
        <v>From Fiscal Forecasts</v>
      </c>
      <c r="D474" s="50">
        <f>'Fiscal Forecasts'!D$387</f>
        <v>83.715999999999994</v>
      </c>
      <c r="E474" s="50">
        <f>'Fiscal Forecasts'!E$387</f>
        <v>84.31</v>
      </c>
      <c r="F474" s="50">
        <f>'Fiscal Forecasts'!F$387</f>
        <v>96.551000000000002</v>
      </c>
      <c r="G474" s="50">
        <f>'Fiscal Forecasts'!G$387</f>
        <v>105.48699999999999</v>
      </c>
      <c r="H474" s="50">
        <f>'Fiscal Forecasts'!H$387</f>
        <v>111.292</v>
      </c>
      <c r="I474" s="50">
        <f>'Fiscal Forecasts'!I$387</f>
        <v>116.73699999999999</v>
      </c>
      <c r="J474" s="50">
        <f>'Fiscal Forecasts'!J$387</f>
        <v>123.536</v>
      </c>
      <c r="K474" s="50">
        <f>'Fiscal Forecasts'!K$387</f>
        <v>129.00200000000001</v>
      </c>
      <c r="L474" s="48">
        <f>'Fiscal Forecasts'!L$387</f>
        <v>132.791</v>
      </c>
      <c r="M474" s="48">
        <f>'Fiscal Forecasts'!M$387</f>
        <v>143.83000000000001</v>
      </c>
      <c r="N474" s="48">
        <f>'Fiscal Forecasts'!N$387</f>
        <v>152.727</v>
      </c>
      <c r="O474" s="48">
        <f>'Fiscal Forecasts'!O$387</f>
        <v>161.23400000000001</v>
      </c>
      <c r="P474" s="48">
        <f>'Fiscal Forecasts'!P$387</f>
        <v>169.50700000000001</v>
      </c>
      <c r="Q474" s="20">
        <f t="shared" ref="Q474:Z474" ca="1" si="264">SUM(Q$142,Q$376,Q$443-P$443)-SUM(Q$351-P$351,Q$273)</f>
        <v>175.988481001586</v>
      </c>
      <c r="R474" s="20">
        <f t="shared" ca="1" si="264"/>
        <v>182.88392420338661</v>
      </c>
      <c r="S474" s="20">
        <f t="shared" ca="1" si="264"/>
        <v>190.10178641277807</v>
      </c>
      <c r="T474" s="20">
        <f t="shared" ca="1" si="264"/>
        <v>197.80489462263114</v>
      </c>
      <c r="U474" s="20">
        <f t="shared" ca="1" si="264"/>
        <v>205.89504788318922</v>
      </c>
      <c r="V474" s="20">
        <f t="shared" ca="1" si="264"/>
        <v>214.27140906409105</v>
      </c>
      <c r="W474" s="20">
        <f t="shared" ca="1" si="264"/>
        <v>222.88527003557277</v>
      </c>
      <c r="X474" s="20">
        <f t="shared" ca="1" si="264"/>
        <v>231.74832972171311</v>
      </c>
      <c r="Y474" s="20">
        <f t="shared" ca="1" si="264"/>
        <v>240.90522559104033</v>
      </c>
      <c r="Z474" s="20">
        <f t="shared" ca="1" si="264"/>
        <v>250.36376486952989</v>
      </c>
    </row>
    <row r="475" spans="1:26" x14ac:dyDescent="0.25">
      <c r="A475" s="12" t="s">
        <v>899</v>
      </c>
      <c r="B475" s="14" t="str">
        <f t="shared" si="263"/>
        <v>From Fiscal Forecasts</v>
      </c>
      <c r="D475" s="50">
        <f>'Fiscal Forecasts'!D$388</f>
        <v>1.359</v>
      </c>
      <c r="E475" s="50">
        <f>'Fiscal Forecasts'!E$388</f>
        <v>1.226</v>
      </c>
      <c r="F475" s="50">
        <f>'Fiscal Forecasts'!F$388</f>
        <v>2.2869999999999999</v>
      </c>
      <c r="G475" s="50">
        <f>'Fiscal Forecasts'!G$388</f>
        <v>3.3639999999999999</v>
      </c>
      <c r="H475" s="50">
        <f>'Fiscal Forecasts'!H$388</f>
        <v>2.492</v>
      </c>
      <c r="I475" s="50">
        <f>'Fiscal Forecasts'!I$388</f>
        <v>1.79</v>
      </c>
      <c r="J475" s="50">
        <f>'Fiscal Forecasts'!J$388</f>
        <v>1.9159999999999999</v>
      </c>
      <c r="K475" s="50">
        <f>'Fiscal Forecasts'!K$388</f>
        <v>1.829</v>
      </c>
      <c r="L475" s="48">
        <f>'Fiscal Forecasts'!L$388</f>
        <v>2.0750000000000002</v>
      </c>
      <c r="M475" s="48">
        <f>'Fiscal Forecasts'!M$388</f>
        <v>2.3180000000000001</v>
      </c>
      <c r="N475" s="48">
        <f>'Fiscal Forecasts'!N$388</f>
        <v>2.2839999999999998</v>
      </c>
      <c r="O475" s="48">
        <f>'Fiscal Forecasts'!O$388</f>
        <v>2.2469999999999999</v>
      </c>
      <c r="P475" s="48">
        <f>'Fiscal Forecasts'!P$388</f>
        <v>2.1859999999999999</v>
      </c>
      <c r="Q475" s="20">
        <f t="shared" ref="Q475:Z475" ca="1" si="265">SUM(Q$146,Q$151)</f>
        <v>2.5836072037006064</v>
      </c>
      <c r="R475" s="20">
        <f t="shared" ca="1" si="265"/>
        <v>2.6664345532857028</v>
      </c>
      <c r="S475" s="20">
        <f t="shared" ca="1" si="265"/>
        <v>2.7510619086961858</v>
      </c>
      <c r="T475" s="20">
        <f t="shared" ca="1" si="265"/>
        <v>2.8366891544140054</v>
      </c>
      <c r="U475" s="20">
        <f t="shared" ca="1" si="265"/>
        <v>2.9247796313687799</v>
      </c>
      <c r="V475" s="20">
        <f t="shared" ca="1" si="265"/>
        <v>3.0145825292665065</v>
      </c>
      <c r="W475" s="20">
        <f t="shared" ca="1" si="265"/>
        <v>3.1038362788321723</v>
      </c>
      <c r="X475" s="20">
        <f t="shared" ca="1" si="265"/>
        <v>3.1949687962199564</v>
      </c>
      <c r="Y475" s="20">
        <f t="shared" ca="1" si="265"/>
        <v>3.2888643701806703</v>
      </c>
      <c r="Z475" s="20">
        <f t="shared" ca="1" si="265"/>
        <v>3.3848166078557522</v>
      </c>
    </row>
    <row r="476" spans="1:26" x14ac:dyDescent="0.25">
      <c r="A476" s="12" t="s">
        <v>1112</v>
      </c>
      <c r="B476" s="14" t="str">
        <f t="shared" si="263"/>
        <v>From Fiscal Forecasts</v>
      </c>
      <c r="D476" s="50">
        <f>'Fiscal Forecasts'!D$389</f>
        <v>0.71199999999999997</v>
      </c>
      <c r="E476" s="50">
        <f>'Fiscal Forecasts'!E$389</f>
        <v>0.42799999999999999</v>
      </c>
      <c r="F476" s="50">
        <f>'Fiscal Forecasts'!F$389</f>
        <v>0.249</v>
      </c>
      <c r="G476" s="50">
        <f>'Fiscal Forecasts'!G$389</f>
        <v>0.39300000000000002</v>
      </c>
      <c r="H476" s="50">
        <f>'Fiscal Forecasts'!H$389</f>
        <v>0.98199999999999998</v>
      </c>
      <c r="I476" s="50">
        <f>'Fiscal Forecasts'!I$389</f>
        <v>1.8779999999999999</v>
      </c>
      <c r="J476" s="50">
        <f>'Fiscal Forecasts'!J$389</f>
        <v>3.3290000000000002</v>
      </c>
      <c r="K476" s="50">
        <f>'Fiscal Forecasts'!K$389</f>
        <v>2.9820000000000002</v>
      </c>
      <c r="L476" s="48">
        <f>'Fiscal Forecasts'!L$389</f>
        <v>1.5740000000000001</v>
      </c>
      <c r="M476" s="48">
        <f>'Fiscal Forecasts'!M$389</f>
        <v>0.9</v>
      </c>
      <c r="N476" s="48">
        <f>'Fiscal Forecasts'!N$389</f>
        <v>1.7070000000000001</v>
      </c>
      <c r="O476" s="48">
        <f>'Fiscal Forecasts'!O$389</f>
        <v>2.1059999999999999</v>
      </c>
      <c r="P476" s="48">
        <f>'Fiscal Forecasts'!P$389</f>
        <v>2.0499999999999998</v>
      </c>
      <c r="Q476" s="20">
        <f t="shared" ref="Q476:Z476" ca="1" si="266">SUM(Q$154,Q$169,Q$177)</f>
        <v>4.9972801498208321</v>
      </c>
      <c r="R476" s="20">
        <f t="shared" ca="1" si="266"/>
        <v>5.1598146268074663</v>
      </c>
      <c r="S476" s="20">
        <f t="shared" ca="1" si="266"/>
        <v>5.3258813067061528</v>
      </c>
      <c r="T476" s="20">
        <f t="shared" ca="1" si="266"/>
        <v>5.4939100999521955</v>
      </c>
      <c r="U476" s="20">
        <f t="shared" ca="1" si="266"/>
        <v>5.6667725623039269</v>
      </c>
      <c r="V476" s="20">
        <f t="shared" ca="1" si="266"/>
        <v>5.8429953572479461</v>
      </c>
      <c r="W476" s="20">
        <f t="shared" ca="1" si="266"/>
        <v>6.0181405427140984</v>
      </c>
      <c r="X476" s="20">
        <f t="shared" ca="1" si="266"/>
        <v>6.1969724880111139</v>
      </c>
      <c r="Y476" s="20">
        <f t="shared" ca="1" si="266"/>
        <v>6.3812264582457301</v>
      </c>
      <c r="Z476" s="20">
        <f t="shared" ca="1" si="266"/>
        <v>6.5695162785084653</v>
      </c>
    </row>
    <row r="477" spans="1:26" x14ac:dyDescent="0.25">
      <c r="A477" s="12" t="s">
        <v>900</v>
      </c>
      <c r="B477" s="14" t="str">
        <f t="shared" si="263"/>
        <v>From Fiscal Forecasts</v>
      </c>
      <c r="D477" s="50">
        <f>'Fiscal Forecasts'!D$390</f>
        <v>3.2</v>
      </c>
      <c r="E477" s="50">
        <f>'Fiscal Forecasts'!E$390</f>
        <v>3.2429999999999999</v>
      </c>
      <c r="F477" s="50">
        <f>'Fiscal Forecasts'!F$390</f>
        <v>2.98</v>
      </c>
      <c r="G477" s="50">
        <f>'Fiscal Forecasts'!G$390</f>
        <v>2.883</v>
      </c>
      <c r="H477" s="50">
        <f>'Fiscal Forecasts'!H$390</f>
        <v>3.9540000000000002</v>
      </c>
      <c r="I477" s="50">
        <f>'Fiscal Forecasts'!I$390</f>
        <v>3.7789999999999999</v>
      </c>
      <c r="J477" s="50">
        <f>'Fiscal Forecasts'!J$390</f>
        <v>3.7040000000000002</v>
      </c>
      <c r="K477" s="50">
        <f>'Fiscal Forecasts'!K$390</f>
        <v>4.173</v>
      </c>
      <c r="L477" s="48">
        <f>'Fiscal Forecasts'!L$390</f>
        <v>3.956</v>
      </c>
      <c r="M477" s="48">
        <f>'Fiscal Forecasts'!M$390</f>
        <v>4.133</v>
      </c>
      <c r="N477" s="48">
        <f>'Fiscal Forecasts'!N$390</f>
        <v>4.359</v>
      </c>
      <c r="O477" s="48">
        <f>'Fiscal Forecasts'!O$390</f>
        <v>4.4089999999999998</v>
      </c>
      <c r="P477" s="48">
        <f>'Fiscal Forecasts'!P$390</f>
        <v>4.5069999999999997</v>
      </c>
      <c r="Q477" s="20">
        <f t="shared" ref="Q477:Z477" ca="1" si="267">SUM(Q$160,Q$332)</f>
        <v>3.7728371999999997</v>
      </c>
      <c r="R477" s="20">
        <f t="shared" ca="1" si="267"/>
        <v>3.8482939439999999</v>
      </c>
      <c r="S477" s="20">
        <f t="shared" ca="1" si="267"/>
        <v>3.9252598228800002</v>
      </c>
      <c r="T477" s="20">
        <f t="shared" ca="1" si="267"/>
        <v>4.0037650193376004</v>
      </c>
      <c r="U477" s="20">
        <f t="shared" ca="1" si="267"/>
        <v>4.0838403197243522</v>
      </c>
      <c r="V477" s="20">
        <f t="shared" ca="1" si="267"/>
        <v>4.1655171261188393</v>
      </c>
      <c r="W477" s="20">
        <f t="shared" ca="1" si="267"/>
        <v>4.2488274686412169</v>
      </c>
      <c r="X477" s="20">
        <f t="shared" ca="1" si="267"/>
        <v>4.3338040180140416</v>
      </c>
      <c r="Y477" s="20">
        <f t="shared" ca="1" si="267"/>
        <v>4.4204800983743215</v>
      </c>
      <c r="Z477" s="20">
        <f t="shared" ca="1" si="267"/>
        <v>4.5088897003418085</v>
      </c>
    </row>
    <row r="478" spans="1:26" x14ac:dyDescent="0.25">
      <c r="A478" s="12" t="s">
        <v>870</v>
      </c>
      <c r="B478" s="14" t="str">
        <f t="shared" si="263"/>
        <v>From Fiscal Forecasts</v>
      </c>
      <c r="D478" s="50">
        <f>'Fiscal Forecasts'!D$391</f>
        <v>28.91</v>
      </c>
      <c r="E478" s="50">
        <f>'Fiscal Forecasts'!E$391</f>
        <v>43.915999999999997</v>
      </c>
      <c r="F478" s="50">
        <f>'Fiscal Forecasts'!F$391</f>
        <v>36.573999999999998</v>
      </c>
      <c r="G478" s="50">
        <f>'Fiscal Forecasts'!G$391</f>
        <v>45.44</v>
      </c>
      <c r="H478" s="50">
        <f>'Fiscal Forecasts'!H$391</f>
        <v>40.417000000000002</v>
      </c>
      <c r="I478" s="50">
        <f>'Fiscal Forecasts'!I$391</f>
        <v>43.494999999999997</v>
      </c>
      <c r="J478" s="50">
        <f>'Fiscal Forecasts'!J$391</f>
        <v>47.421999999999997</v>
      </c>
      <c r="K478" s="50">
        <f>'Fiscal Forecasts'!K$391</f>
        <v>49.707000000000001</v>
      </c>
      <c r="L478" s="48">
        <f>'Fiscal Forecasts'!L$391</f>
        <v>51.792999999999999</v>
      </c>
      <c r="M478" s="48">
        <f>'Fiscal Forecasts'!M$391</f>
        <v>53.119</v>
      </c>
      <c r="N478" s="48">
        <f>'Fiscal Forecasts'!N$391</f>
        <v>54.475999999999999</v>
      </c>
      <c r="O478" s="48">
        <f>'Fiscal Forecasts'!O$391</f>
        <v>56.414999999999999</v>
      </c>
      <c r="P478" s="48">
        <f>'Fiscal Forecasts'!P$391</f>
        <v>58.664999999999999</v>
      </c>
      <c r="Q478" s="20">
        <f t="shared" ref="Q478:Z478" ca="1" si="268">Q$195</f>
        <v>59.10456213375442</v>
      </c>
      <c r="R478" s="20">
        <f t="shared" ca="1" si="268"/>
        <v>61.74023700058391</v>
      </c>
      <c r="S478" s="20">
        <f t="shared" ca="1" si="268"/>
        <v>64.469799952134792</v>
      </c>
      <c r="T478" s="20">
        <f t="shared" ca="1" si="268"/>
        <v>67.280230577711919</v>
      </c>
      <c r="U478" s="20">
        <f t="shared" ca="1" si="268"/>
        <v>70.249267855938541</v>
      </c>
      <c r="V478" s="20">
        <f t="shared" ca="1" si="268"/>
        <v>73.285258596479949</v>
      </c>
      <c r="W478" s="20">
        <f t="shared" ca="1" si="268"/>
        <v>76.330855742633858</v>
      </c>
      <c r="X478" s="20">
        <f t="shared" ca="1" si="268"/>
        <v>79.398091511624841</v>
      </c>
      <c r="Y478" s="20">
        <f t="shared" ca="1" si="268"/>
        <v>82.473442912902243</v>
      </c>
      <c r="Z478" s="20">
        <f t="shared" ca="1" si="268"/>
        <v>85.578471046868486</v>
      </c>
    </row>
    <row r="479" spans="1:26" x14ac:dyDescent="0.25">
      <c r="A479" s="12" t="s">
        <v>1405</v>
      </c>
      <c r="B479" s="14" t="str">
        <f t="shared" si="263"/>
        <v>From Fiscal Forecasts</v>
      </c>
      <c r="D479" s="50">
        <f>'Fiscal Forecasts'!D$392</f>
        <v>50.591000000000001</v>
      </c>
      <c r="E479" s="50">
        <f>'Fiscal Forecasts'!E$392</f>
        <v>56.582999999999998</v>
      </c>
      <c r="F479" s="50">
        <f>'Fiscal Forecasts'!F$392</f>
        <v>63.893999999999998</v>
      </c>
      <c r="G479" s="50">
        <f>'Fiscal Forecasts'!G$392</f>
        <v>71.98</v>
      </c>
      <c r="H479" s="50">
        <f>'Fiscal Forecasts'!H$392</f>
        <v>76.433999999999997</v>
      </c>
      <c r="I479" s="50">
        <f>'Fiscal Forecasts'!I$392</f>
        <v>79.747</v>
      </c>
      <c r="J479" s="50">
        <f>'Fiscal Forecasts'!J$392</f>
        <v>79.742000000000004</v>
      </c>
      <c r="K479" s="50">
        <f>'Fiscal Forecasts'!K$392</f>
        <v>83.323999999999998</v>
      </c>
      <c r="L479" s="48">
        <f ca="1">'Fiscal Forecasts'!L$392+IF(OFFSET(Assumptions!$B$57,0,$C$1)="Yes",SUM(Allocation!C$10:C$20),0)</f>
        <v>89.21</v>
      </c>
      <c r="M479" s="48">
        <f ca="1">'Fiscal Forecasts'!M$392+IF(OFFSET(Assumptions!$B$57,0,$C$1)="Yes",SUM(Allocation!D$10:D$20),0)</f>
        <v>85.76</v>
      </c>
      <c r="N479" s="48">
        <f ca="1">'Fiscal Forecasts'!N$392+IF(OFFSET(Assumptions!$B$57,0,$C$1)="Yes",SUM(Allocation!E$10:E$20),0)</f>
        <v>85.373999999999995</v>
      </c>
      <c r="O479" s="48">
        <f ca="1">'Fiscal Forecasts'!O$392+IF(OFFSET(Assumptions!$B$57,0,$C$1)="Yes",SUM(Allocation!F$10:F$20),0)</f>
        <v>84.783000000000001</v>
      </c>
      <c r="P479" s="48">
        <f ca="1">'Fiscal Forecasts'!P$392+IF(OFFSET(Assumptions!$B$57,0,$C$1)="Yes",SUM(Allocation!G$10:G$20),0)</f>
        <v>85.192999999999998</v>
      </c>
      <c r="Q479" s="20">
        <f t="shared" ref="Q479:Z479" ca="1" si="269">SUM(Q$208,Q$223,Q$238)-SUM(Q$219,Q$263,Q$271,Q$273,Q$313,Q$457-P$457,Q$463-P$463)</f>
        <v>86.572361659650255</v>
      </c>
      <c r="R479" s="20">
        <f t="shared" ca="1" si="269"/>
        <v>86.545749501531347</v>
      </c>
      <c r="S479" s="20">
        <f t="shared" ca="1" si="269"/>
        <v>86.499710605620962</v>
      </c>
      <c r="T479" s="20">
        <f t="shared" ca="1" si="269"/>
        <v>86.6717174642462</v>
      </c>
      <c r="U479" s="20">
        <f t="shared" ca="1" si="269"/>
        <v>86.947118308279457</v>
      </c>
      <c r="V479" s="20">
        <f t="shared" ca="1" si="269"/>
        <v>87.236022230076145</v>
      </c>
      <c r="W479" s="20">
        <f t="shared" ca="1" si="269"/>
        <v>87.532544775225745</v>
      </c>
      <c r="X479" s="20">
        <f t="shared" ca="1" si="269"/>
        <v>87.837312792361459</v>
      </c>
      <c r="Y479" s="20">
        <f t="shared" ca="1" si="269"/>
        <v>88.151339803902403</v>
      </c>
      <c r="Z479" s="20">
        <f t="shared" ca="1" si="269"/>
        <v>88.476171650426721</v>
      </c>
    </row>
    <row r="480" spans="1:26" x14ac:dyDescent="0.25">
      <c r="A480" s="12" t="s">
        <v>904</v>
      </c>
      <c r="B480" s="14" t="str">
        <f t="shared" si="263"/>
        <v>From Fiscal Forecasts</v>
      </c>
      <c r="D480" s="50">
        <f>'Fiscal Forecasts'!D$393</f>
        <v>3.45</v>
      </c>
      <c r="E480" s="50">
        <f>'Fiscal Forecasts'!E$393</f>
        <v>3.016</v>
      </c>
      <c r="F480" s="50">
        <f>'Fiscal Forecasts'!F$393</f>
        <v>2.6419999999999999</v>
      </c>
      <c r="G480" s="50">
        <f>'Fiscal Forecasts'!G$393</f>
        <v>2.8410000000000002</v>
      </c>
      <c r="H480" s="50">
        <f>'Fiscal Forecasts'!H$393</f>
        <v>5.3049999999999997</v>
      </c>
      <c r="I480" s="50">
        <f>'Fiscal Forecasts'!I$393</f>
        <v>7.0439999999999996</v>
      </c>
      <c r="J480" s="50">
        <f>'Fiscal Forecasts'!J$393</f>
        <v>7.0010000000000003</v>
      </c>
      <c r="K480" s="50">
        <f>'Fiscal Forecasts'!K$393</f>
        <v>7.1029999999999998</v>
      </c>
      <c r="L480" s="48">
        <f>'Fiscal Forecasts'!L$393</f>
        <v>8.2070000000000007</v>
      </c>
      <c r="M480" s="48">
        <f>'Fiscal Forecasts'!M$393</f>
        <v>9.19</v>
      </c>
      <c r="N480" s="48">
        <f>'Fiscal Forecasts'!N$393</f>
        <v>10.423999999999999</v>
      </c>
      <c r="O480" s="48">
        <f>'Fiscal Forecasts'!O$393</f>
        <v>11.253</v>
      </c>
      <c r="P480" s="48">
        <f>'Fiscal Forecasts'!P$393</f>
        <v>11.305</v>
      </c>
      <c r="Q480" s="20">
        <f t="shared" ref="Q480:Z480" ca="1" si="270">(2*P$71-SUM(Q$474:Q$477,Q$488,Q$494)+SUM(Q$478,Q$479,Q$481,Q$493,Q$345-P$345))/(2/Q$235-1)</f>
        <v>13.633257785751347</v>
      </c>
      <c r="R480" s="20">
        <f t="shared" ca="1" si="270"/>
        <v>13.620869836334652</v>
      </c>
      <c r="S480" s="20">
        <f t="shared" ca="1" si="270"/>
        <v>13.580259900398898</v>
      </c>
      <c r="T480" s="20">
        <f t="shared" ca="1" si="270"/>
        <v>13.486105384497517</v>
      </c>
      <c r="U480" s="20">
        <f t="shared" ca="1" si="270"/>
        <v>13.32865289059211</v>
      </c>
      <c r="V480" s="20">
        <f t="shared" ca="1" si="270"/>
        <v>13.024639592732496</v>
      </c>
      <c r="W480" s="20">
        <f t="shared" ca="1" si="270"/>
        <v>12.655247084470162</v>
      </c>
      <c r="X480" s="20">
        <f t="shared" ca="1" si="270"/>
        <v>12.220673399712474</v>
      </c>
      <c r="Y480" s="20">
        <f t="shared" ca="1" si="270"/>
        <v>11.72170893427038</v>
      </c>
      <c r="Z480" s="20">
        <f t="shared" ca="1" si="270"/>
        <v>11.158747427612838</v>
      </c>
    </row>
    <row r="481" spans="1:26" x14ac:dyDescent="0.25">
      <c r="A481" s="12" t="s">
        <v>1185</v>
      </c>
      <c r="D481" s="50">
        <f t="shared" ref="D481:Z481" si="271">SUM(D$246,D$249)</f>
        <v>0</v>
      </c>
      <c r="E481" s="50">
        <f t="shared" si="271"/>
        <v>0</v>
      </c>
      <c r="F481" s="50">
        <f t="shared" si="271"/>
        <v>0</v>
      </c>
      <c r="G481" s="50">
        <f t="shared" si="271"/>
        <v>0</v>
      </c>
      <c r="H481" s="50">
        <f t="shared" si="271"/>
        <v>0</v>
      </c>
      <c r="I481" s="50">
        <f t="shared" si="271"/>
        <v>0</v>
      </c>
      <c r="J481" s="50">
        <f t="shared" si="271"/>
        <v>0</v>
      </c>
      <c r="K481" s="50">
        <f t="shared" si="271"/>
        <v>0</v>
      </c>
      <c r="L481" s="48">
        <f t="shared" ca="1" si="271"/>
        <v>-1.3420000000000001</v>
      </c>
      <c r="M481" s="48">
        <f t="shared" ca="1" si="271"/>
        <v>2.1680000000000001</v>
      </c>
      <c r="N481" s="48">
        <f t="shared" ca="1" si="271"/>
        <v>4.375</v>
      </c>
      <c r="O481" s="48">
        <f t="shared" ca="1" si="271"/>
        <v>7.1329999999999982</v>
      </c>
      <c r="P481" s="48">
        <f t="shared" ca="1" si="271"/>
        <v>9.4659999999999993</v>
      </c>
      <c r="Q481" s="20">
        <f t="shared" ca="1" si="271"/>
        <v>13.215999999999999</v>
      </c>
      <c r="R481" s="20">
        <f t="shared" ca="1" si="271"/>
        <v>16.471</v>
      </c>
      <c r="S481" s="20">
        <f t="shared" ca="1" si="271"/>
        <v>19.888750000000002</v>
      </c>
      <c r="T481" s="20">
        <f t="shared" ca="1" si="271"/>
        <v>23.477387500000003</v>
      </c>
      <c r="U481" s="20">
        <f t="shared" ca="1" si="271"/>
        <v>27.245456875000002</v>
      </c>
      <c r="V481" s="20">
        <f t="shared" ca="1" si="271"/>
        <v>31.201929718750002</v>
      </c>
      <c r="W481" s="20">
        <f t="shared" ca="1" si="271"/>
        <v>35.356226204687502</v>
      </c>
      <c r="X481" s="20">
        <f t="shared" ca="1" si="271"/>
        <v>39.718237514921881</v>
      </c>
      <c r="Y481" s="20">
        <f t="shared" ca="1" si="271"/>
        <v>44.29834939066798</v>
      </c>
      <c r="Z481" s="20">
        <f t="shared" ca="1" si="271"/>
        <v>49.107466860201377</v>
      </c>
    </row>
    <row r="482" spans="1:26" x14ac:dyDescent="0.25">
      <c r="A482" s="11" t="s">
        <v>1406</v>
      </c>
      <c r="D482" s="94">
        <f t="shared" ref="D482:K482" si="272">SUM(D$474:D$477)-SUM(D$478:D$481)</f>
        <v>6.0359999999999872</v>
      </c>
      <c r="E482" s="94">
        <f t="shared" si="272"/>
        <v>-14.308000000000007</v>
      </c>
      <c r="F482" s="94">
        <f t="shared" si="272"/>
        <v>-1.0429999999999779</v>
      </c>
      <c r="G482" s="94">
        <f t="shared" si="272"/>
        <v>-8.1340000000000003</v>
      </c>
      <c r="H482" s="94">
        <f t="shared" si="272"/>
        <v>-3.436000000000007</v>
      </c>
      <c r="I482" s="94">
        <f t="shared" si="272"/>
        <v>-6.1020000000000039</v>
      </c>
      <c r="J482" s="94">
        <f t="shared" si="272"/>
        <v>-1.6799999999999784</v>
      </c>
      <c r="K482" s="94">
        <f t="shared" si="272"/>
        <v>-2.1479999999999961</v>
      </c>
      <c r="L482" s="95">
        <f t="shared" ref="L482:Z482" ca="1" si="273">SUM(L$474:L$477)-SUM(L$478:L$481)</f>
        <v>-7.47199999999998</v>
      </c>
      <c r="M482" s="95">
        <f t="shared" ca="1" si="273"/>
        <v>0.94400000000001683</v>
      </c>
      <c r="N482" s="95">
        <f t="shared" ca="1" si="273"/>
        <v>6.4279999999999973</v>
      </c>
      <c r="O482" s="95">
        <f t="shared" ca="1" si="273"/>
        <v>10.411999999999949</v>
      </c>
      <c r="P482" s="95">
        <f t="shared" ca="1" si="273"/>
        <v>13.621000000000009</v>
      </c>
      <c r="Q482" s="96">
        <f t="shared" ca="1" si="273"/>
        <v>14.816023975951396</v>
      </c>
      <c r="R482" s="96">
        <f t="shared" ca="1" si="273"/>
        <v>16.180610989029873</v>
      </c>
      <c r="S482" s="96">
        <f t="shared" ca="1" si="273"/>
        <v>17.665468992905772</v>
      </c>
      <c r="T482" s="96">
        <f t="shared" ca="1" si="273"/>
        <v>19.22381796987932</v>
      </c>
      <c r="U482" s="96">
        <f t="shared" ca="1" si="273"/>
        <v>20.799944466776168</v>
      </c>
      <c r="V482" s="96">
        <f t="shared" ca="1" si="273"/>
        <v>22.546653938685751</v>
      </c>
      <c r="W482" s="96">
        <f t="shared" ca="1" si="273"/>
        <v>24.381200518743015</v>
      </c>
      <c r="X482" s="96">
        <f t="shared" ca="1" si="273"/>
        <v>26.299759805337601</v>
      </c>
      <c r="Y482" s="96">
        <f t="shared" ca="1" si="273"/>
        <v>28.350955476098051</v>
      </c>
      <c r="Z482" s="96">
        <f t="shared" ca="1" si="273"/>
        <v>30.506130471126454</v>
      </c>
    </row>
    <row r="483" spans="1:26" x14ac:dyDescent="0.25">
      <c r="A483" s="12" t="s">
        <v>1188</v>
      </c>
      <c r="B483" s="14" t="str">
        <f>$B$38</f>
        <v>From Fiscal Forecasts</v>
      </c>
      <c r="D483" s="50">
        <f>-'Fiscal Forecasts'!D$395</f>
        <v>3.0019999999999998</v>
      </c>
      <c r="E483" s="50">
        <f>-'Fiscal Forecasts'!E$395</f>
        <v>2.9550000000000001</v>
      </c>
      <c r="F483" s="50">
        <f>-'Fiscal Forecasts'!F$395</f>
        <v>3.137</v>
      </c>
      <c r="G483" s="50">
        <f>-'Fiscal Forecasts'!G$395</f>
        <v>3.4740000000000002</v>
      </c>
      <c r="H483" s="50">
        <f>-'Fiscal Forecasts'!H$395</f>
        <v>4.4349999999999996</v>
      </c>
      <c r="I483" s="50">
        <f>-'Fiscal Forecasts'!I$395</f>
        <v>4.7009999999999996</v>
      </c>
      <c r="J483" s="50">
        <f>-'Fiscal Forecasts'!J$395</f>
        <v>3.669</v>
      </c>
      <c r="K483" s="50">
        <f>-'Fiscal Forecasts'!K$395</f>
        <v>3.9510000000000001</v>
      </c>
      <c r="L483" s="48">
        <f>-'Fiscal Forecasts'!L$395</f>
        <v>4.55</v>
      </c>
      <c r="M483" s="48">
        <f>-'Fiscal Forecasts'!M$395</f>
        <v>4.2439999999999998</v>
      </c>
      <c r="N483" s="48">
        <f>-'Fiscal Forecasts'!N$395</f>
        <v>3.6379999999999999</v>
      </c>
      <c r="O483" s="48">
        <f>-'Fiscal Forecasts'!O$395</f>
        <v>2.8149999999999999</v>
      </c>
      <c r="P483" s="48">
        <f>-'Fiscal Forecasts'!P$395</f>
        <v>2.7480000000000002</v>
      </c>
      <c r="Q483" s="20">
        <f t="shared" ref="Q483:Z483" ca="1" si="274">SUM(Q$417-P$417,Q$215,Q$427-P$427,Q$219)</f>
        <v>3.158094136181139</v>
      </c>
      <c r="R483" s="20">
        <f t="shared" ca="1" si="274"/>
        <v>3.158094136181139</v>
      </c>
      <c r="S483" s="20">
        <f t="shared" ca="1" si="274"/>
        <v>3.158094136181139</v>
      </c>
      <c r="T483" s="20">
        <f t="shared" ca="1" si="274"/>
        <v>3.158094136181139</v>
      </c>
      <c r="U483" s="20">
        <f t="shared" ca="1" si="274"/>
        <v>3.158094136181139</v>
      </c>
      <c r="V483" s="20">
        <f t="shared" ca="1" si="274"/>
        <v>3.158094136181139</v>
      </c>
      <c r="W483" s="20">
        <f t="shared" ca="1" si="274"/>
        <v>3.158094136181139</v>
      </c>
      <c r="X483" s="20">
        <f t="shared" ca="1" si="274"/>
        <v>3.158094136181139</v>
      </c>
      <c r="Y483" s="20">
        <f t="shared" ca="1" si="274"/>
        <v>3.158094136181139</v>
      </c>
      <c r="Z483" s="20">
        <f t="shared" ca="1" si="274"/>
        <v>3.158094136181139</v>
      </c>
    </row>
    <row r="484" spans="1:26" x14ac:dyDescent="0.25">
      <c r="A484" s="12" t="s">
        <v>1407</v>
      </c>
      <c r="B484" s="14" t="str">
        <f>$B$38</f>
        <v>From Fiscal Forecasts</v>
      </c>
      <c r="D484" s="50">
        <f>-'Fiscal Forecasts'!D$396</f>
        <v>8.5999999999999993E-2</v>
      </c>
      <c r="E484" s="50">
        <f>-'Fiscal Forecasts'!E$396</f>
        <v>1.798</v>
      </c>
      <c r="F484" s="50">
        <f>-'Fiscal Forecasts'!F$396</f>
        <v>3.8679999999999999</v>
      </c>
      <c r="G484" s="50">
        <f>-'Fiscal Forecasts'!G$396</f>
        <v>9.1920000000000002</v>
      </c>
      <c r="H484" s="50">
        <f>-'Fiscal Forecasts'!H$396</f>
        <v>9.1590000000000007</v>
      </c>
      <c r="I484" s="50">
        <f>-'Fiscal Forecasts'!I$396</f>
        <v>2.5329999999999999</v>
      </c>
      <c r="J484" s="50">
        <f>-'Fiscal Forecasts'!J$396</f>
        <v>-6.194</v>
      </c>
      <c r="K484" s="50">
        <f>-'Fiscal Forecasts'!K$396</f>
        <v>-5.851</v>
      </c>
      <c r="L484" s="48">
        <f>-'Fiscal Forecasts'!L$396</f>
        <v>3.1070000000000002</v>
      </c>
      <c r="M484" s="48">
        <f>-'Fiscal Forecasts'!M$396</f>
        <v>2.2669999999999999</v>
      </c>
      <c r="N484" s="48">
        <f>-'Fiscal Forecasts'!N$396</f>
        <v>2.2570000000000001</v>
      </c>
      <c r="O484" s="48">
        <f>-'Fiscal Forecasts'!O$396</f>
        <v>1.9950000000000001</v>
      </c>
      <c r="P484" s="48">
        <f>-'Fiscal Forecasts'!P$396</f>
        <v>0.17799999999999999</v>
      </c>
      <c r="Q484" s="20">
        <f t="shared" ref="Q484:Z484" ca="1" si="275">SUM(Q$392-P$392-Q$404+Q$402,Q$393-P$393)</f>
        <v>0.85843999999999943</v>
      </c>
      <c r="R484" s="20">
        <f t="shared" ca="1" si="275"/>
        <v>0.85572880000000118</v>
      </c>
      <c r="S484" s="20">
        <f t="shared" ca="1" si="275"/>
        <v>0.85222337600000087</v>
      </c>
      <c r="T484" s="20">
        <f t="shared" ca="1" si="275"/>
        <v>0.84592784352000239</v>
      </c>
      <c r="U484" s="20">
        <f t="shared" ca="1" si="275"/>
        <v>0.83984640039040104</v>
      </c>
      <c r="V484" s="20">
        <f t="shared" ca="1" si="275"/>
        <v>0.83698332839820877</v>
      </c>
      <c r="W484" s="20">
        <f t="shared" ca="1" si="275"/>
        <v>0.83434299496617392</v>
      </c>
      <c r="X484" s="20">
        <f t="shared" ca="1" si="275"/>
        <v>0.83592985486549598</v>
      </c>
      <c r="Y484" s="20">
        <f t="shared" ca="1" si="275"/>
        <v>0.84374845196280901</v>
      </c>
      <c r="Z484" s="20">
        <f t="shared" ca="1" si="275"/>
        <v>0.8518034210020613</v>
      </c>
    </row>
    <row r="485" spans="1:26" x14ac:dyDescent="0.25">
      <c r="A485" s="12" t="s">
        <v>1408</v>
      </c>
      <c r="B485" s="14" t="str">
        <f>$B$38</f>
        <v>From Fiscal Forecasts</v>
      </c>
      <c r="D485" s="50">
        <f>-'Fiscal Forecasts'!D$397</f>
        <v>2.6579999999999999</v>
      </c>
      <c r="E485" s="50">
        <f>-'Fiscal Forecasts'!E$397</f>
        <v>3.1709999999999998</v>
      </c>
      <c r="F485" s="50">
        <f>-'Fiscal Forecasts'!F$397</f>
        <v>3.5990000000000002</v>
      </c>
      <c r="G485" s="50">
        <f>-'Fiscal Forecasts'!G$397</f>
        <v>3.823</v>
      </c>
      <c r="H485" s="50">
        <f>-'Fiscal Forecasts'!H$397</f>
        <v>6.06</v>
      </c>
      <c r="I485" s="50">
        <f>-'Fiscal Forecasts'!I$397</f>
        <v>4.3520000000000003</v>
      </c>
      <c r="J485" s="50">
        <f>-'Fiscal Forecasts'!J$397</f>
        <v>5.9619999999999997</v>
      </c>
      <c r="K485" s="50">
        <f>-'Fiscal Forecasts'!K$397</f>
        <v>4.6440000000000001</v>
      </c>
      <c r="L485" s="48">
        <f>-'Fiscal Forecasts'!L$397</f>
        <v>6.3</v>
      </c>
      <c r="M485" s="48">
        <f>-'Fiscal Forecasts'!M$397</f>
        <v>5.4260000000000002</v>
      </c>
      <c r="N485" s="48">
        <f>-'Fiscal Forecasts'!N$397</f>
        <v>3.84</v>
      </c>
      <c r="O485" s="48">
        <f>-'Fiscal Forecasts'!O$397</f>
        <v>2.5550000000000002</v>
      </c>
      <c r="P485" s="48">
        <f>-'Fiscal Forecasts'!P$397</f>
        <v>1.756</v>
      </c>
      <c r="Q485" s="20">
        <f t="shared" ref="Q485:Z485" ca="1" si="276">SUM(Q$423-P$423,-Q$340)</f>
        <v>-1.0435308893054404E-2</v>
      </c>
      <c r="R485" s="20">
        <f t="shared" ca="1" si="276"/>
        <v>-1.0879489201897944E-2</v>
      </c>
      <c r="S485" s="20">
        <f t="shared" ca="1" si="276"/>
        <v>-1.1335437084572445E-2</v>
      </c>
      <c r="T485" s="20">
        <f t="shared" ca="1" si="276"/>
        <v>-1.1802086073035397E-2</v>
      </c>
      <c r="U485" s="20">
        <f t="shared" ca="1" si="276"/>
        <v>-1.2285007456109151E-2</v>
      </c>
      <c r="V485" s="20">
        <f t="shared" ca="1" si="276"/>
        <v>-1.2784372979015064E-2</v>
      </c>
      <c r="W485" s="20">
        <f t="shared" ca="1" si="276"/>
        <v>-1.3297663350946046E-2</v>
      </c>
      <c r="X485" s="20">
        <f t="shared" ca="1" si="276"/>
        <v>-1.3825734358114281E-2</v>
      </c>
      <c r="Y485" s="20">
        <f t="shared" ca="1" si="276"/>
        <v>-1.4371347480635113E-2</v>
      </c>
      <c r="Z485" s="20">
        <f t="shared" ca="1" si="276"/>
        <v>-1.4934643440266305E-2</v>
      </c>
    </row>
    <row r="486" spans="1:26" x14ac:dyDescent="0.25">
      <c r="A486" s="12" t="s">
        <v>1409</v>
      </c>
      <c r="D486" s="50">
        <f t="shared" ref="D486:Z486" si="277">D$380</f>
        <v>1</v>
      </c>
      <c r="E486" s="50">
        <f t="shared" si="277"/>
        <v>1.46</v>
      </c>
      <c r="F486" s="50">
        <f t="shared" si="277"/>
        <v>2.12</v>
      </c>
      <c r="G486" s="50">
        <f t="shared" si="277"/>
        <v>2.42</v>
      </c>
      <c r="H486" s="50">
        <f t="shared" si="277"/>
        <v>2.5579999999999998</v>
      </c>
      <c r="I486" s="50">
        <f t="shared" si="277"/>
        <v>1.6140000000000001</v>
      </c>
      <c r="J486" s="50">
        <f t="shared" si="277"/>
        <v>0.879</v>
      </c>
      <c r="K486" s="50">
        <f t="shared" si="277"/>
        <v>0</v>
      </c>
      <c r="L486" s="48">
        <f t="shared" si="277"/>
        <v>0.56200000000000006</v>
      </c>
      <c r="M486" s="48">
        <f t="shared" si="277"/>
        <v>0.155</v>
      </c>
      <c r="N486" s="48">
        <f t="shared" si="277"/>
        <v>0.35</v>
      </c>
      <c r="O486" s="48">
        <f t="shared" si="277"/>
        <v>0.44900000000000001</v>
      </c>
      <c r="P486" s="48">
        <f t="shared" si="277"/>
        <v>0.47299999999999998</v>
      </c>
      <c r="Q486" s="20">
        <f t="shared" si="277"/>
        <v>0.35431289191672377</v>
      </c>
      <c r="R486" s="20">
        <f t="shared" si="277"/>
        <v>0.22475822866131523</v>
      </c>
      <c r="S486" s="20">
        <f t="shared" si="277"/>
        <v>7.8613672750343255E-2</v>
      </c>
      <c r="T486" s="20">
        <f t="shared" si="277"/>
        <v>-5.8113137154620631E-2</v>
      </c>
      <c r="U486" s="20">
        <f t="shared" si="277"/>
        <v>-0.24914726512719909</v>
      </c>
      <c r="V486" s="20">
        <f t="shared" si="277"/>
        <v>-0.40218976675939189</v>
      </c>
      <c r="W486" s="20">
        <f t="shared" si="277"/>
        <v>-0.48609182297989406</v>
      </c>
      <c r="X486" s="20">
        <f t="shared" si="277"/>
        <v>-0.50053159184796669</v>
      </c>
      <c r="Y486" s="20">
        <f t="shared" si="277"/>
        <v>-0.41817925544185641</v>
      </c>
      <c r="Z486" s="20">
        <f t="shared" si="277"/>
        <v>-0.2592683764618755</v>
      </c>
    </row>
    <row r="487" spans="1:26" x14ac:dyDescent="0.25">
      <c r="A487" s="12" t="s">
        <v>1193</v>
      </c>
      <c r="D487" s="50">
        <f t="shared" ref="D487:Z487" si="278">SUM(D$432-C$432,D$435-C$435)</f>
        <v>0</v>
      </c>
      <c r="E487" s="50">
        <f t="shared" si="278"/>
        <v>0</v>
      </c>
      <c r="F487" s="50">
        <f t="shared" si="278"/>
        <v>0</v>
      </c>
      <c r="G487" s="50">
        <f t="shared" si="278"/>
        <v>0</v>
      </c>
      <c r="H487" s="50">
        <f t="shared" si="278"/>
        <v>0</v>
      </c>
      <c r="I487" s="50">
        <f t="shared" si="278"/>
        <v>0</v>
      </c>
      <c r="J487" s="50">
        <f t="shared" si="278"/>
        <v>0</v>
      </c>
      <c r="K487" s="50">
        <f t="shared" si="278"/>
        <v>0</v>
      </c>
      <c r="L487" s="48">
        <f t="shared" si="278"/>
        <v>-6.0000000000000053E-3</v>
      </c>
      <c r="M487" s="48">
        <f t="shared" si="278"/>
        <v>2.3870000000000005</v>
      </c>
      <c r="N487" s="48">
        <f t="shared" si="278"/>
        <v>3.628000000000001</v>
      </c>
      <c r="O487" s="48">
        <f t="shared" si="278"/>
        <v>4.3800000000000008</v>
      </c>
      <c r="P487" s="48">
        <f t="shared" si="278"/>
        <v>5.168000000000001</v>
      </c>
      <c r="Q487" s="20">
        <f t="shared" ca="1" si="278"/>
        <v>5.782</v>
      </c>
      <c r="R487" s="20">
        <f t="shared" ca="1" si="278"/>
        <v>6.7545000000000002</v>
      </c>
      <c r="S487" s="20">
        <f t="shared" ca="1" si="278"/>
        <v>7.4056250000000041</v>
      </c>
      <c r="T487" s="20">
        <f t="shared" ca="1" si="278"/>
        <v>7.707306250000002</v>
      </c>
      <c r="U487" s="20">
        <f t="shared" ca="1" si="278"/>
        <v>8.0926715625000014</v>
      </c>
      <c r="V487" s="20">
        <f t="shared" ca="1" si="278"/>
        <v>8.4973051406250022</v>
      </c>
      <c r="W487" s="20">
        <f t="shared" ca="1" si="278"/>
        <v>8.9221703976562452</v>
      </c>
      <c r="X487" s="20">
        <f t="shared" ca="1" si="278"/>
        <v>9.3682789175390724</v>
      </c>
      <c r="Y487" s="20">
        <f t="shared" ca="1" si="278"/>
        <v>9.8366928634160189</v>
      </c>
      <c r="Z487" s="20">
        <f t="shared" ca="1" si="278"/>
        <v>10.328527506586823</v>
      </c>
    </row>
    <row r="488" spans="1:26" x14ac:dyDescent="0.25">
      <c r="A488" s="11" t="s">
        <v>1410</v>
      </c>
      <c r="D488" s="94">
        <f t="shared" ref="D488:K488" si="279">-SUM(D$483:D$487)</f>
        <v>-6.7459999999999996</v>
      </c>
      <c r="E488" s="94">
        <f t="shared" si="279"/>
        <v>-9.3840000000000003</v>
      </c>
      <c r="F488" s="94">
        <f t="shared" si="279"/>
        <v>-12.724</v>
      </c>
      <c r="G488" s="94">
        <f t="shared" si="279"/>
        <v>-18.908999999999999</v>
      </c>
      <c r="H488" s="94">
        <f t="shared" si="279"/>
        <v>-22.212</v>
      </c>
      <c r="I488" s="94">
        <f t="shared" si="279"/>
        <v>-13.200000000000001</v>
      </c>
      <c r="J488" s="94">
        <f t="shared" si="279"/>
        <v>-4.3159999999999998</v>
      </c>
      <c r="K488" s="94">
        <f t="shared" si="279"/>
        <v>-2.7440000000000002</v>
      </c>
      <c r="L488" s="95">
        <f>-SUM(L$483:L$487)</f>
        <v>-14.513</v>
      </c>
      <c r="M488" s="95">
        <f>-SUM(M$483:M$487)</f>
        <v>-14.478999999999999</v>
      </c>
      <c r="N488" s="95">
        <f>-SUM(N$483:N$487)</f>
        <v>-13.713000000000001</v>
      </c>
      <c r="O488" s="95">
        <f>-SUM(O$483:O$487)</f>
        <v>-12.194000000000001</v>
      </c>
      <c r="P488" s="95">
        <f>-SUM(P$483:P$487)</f>
        <v>-10.323</v>
      </c>
      <c r="Q488" s="96">
        <f t="shared" ref="Q488:Z488" ca="1" si="280">-SUM(Q$483:Q$487)</f>
        <v>-10.142411719204809</v>
      </c>
      <c r="R488" s="96">
        <f t="shared" ca="1" si="280"/>
        <v>-10.982201675640557</v>
      </c>
      <c r="S488" s="96">
        <f t="shared" ca="1" si="280"/>
        <v>-11.483220747846914</v>
      </c>
      <c r="T488" s="96">
        <f t="shared" ca="1" si="280"/>
        <v>-11.641413006473488</v>
      </c>
      <c r="U488" s="96">
        <f t="shared" ca="1" si="280"/>
        <v>-11.829179826488232</v>
      </c>
      <c r="V488" s="96">
        <f t="shared" ca="1" si="280"/>
        <v>-12.077408465465943</v>
      </c>
      <c r="W488" s="96">
        <f t="shared" ca="1" si="280"/>
        <v>-12.415218042472718</v>
      </c>
      <c r="X488" s="96">
        <f t="shared" ca="1" si="280"/>
        <v>-12.847945582379626</v>
      </c>
      <c r="Y488" s="96">
        <f t="shared" ca="1" si="280"/>
        <v>-13.405984848637475</v>
      </c>
      <c r="Z488" s="96">
        <f t="shared" ca="1" si="280"/>
        <v>-14.064222043867883</v>
      </c>
    </row>
    <row r="489" spans="1:26" x14ac:dyDescent="0.25">
      <c r="A489" s="11" t="s">
        <v>1411</v>
      </c>
      <c r="D489" s="94">
        <f t="shared" ref="D489:Z489" si="281">SUM(D$482,D$488)</f>
        <v>-0.7100000000000124</v>
      </c>
      <c r="E489" s="94">
        <f t="shared" si="281"/>
        <v>-23.692000000000007</v>
      </c>
      <c r="F489" s="94">
        <f t="shared" si="281"/>
        <v>-13.766999999999978</v>
      </c>
      <c r="G489" s="94">
        <f t="shared" si="281"/>
        <v>-27.042999999999999</v>
      </c>
      <c r="H489" s="94">
        <f t="shared" si="281"/>
        <v>-25.648000000000007</v>
      </c>
      <c r="I489" s="94">
        <f t="shared" si="281"/>
        <v>-19.302000000000007</v>
      </c>
      <c r="J489" s="94">
        <f t="shared" si="281"/>
        <v>-5.9959999999999782</v>
      </c>
      <c r="K489" s="94">
        <f t="shared" si="281"/>
        <v>-4.8919999999999959</v>
      </c>
      <c r="L489" s="95">
        <f t="shared" ca="1" si="281"/>
        <v>-21.984999999999978</v>
      </c>
      <c r="M489" s="95">
        <f t="shared" ca="1" si="281"/>
        <v>-13.534999999999982</v>
      </c>
      <c r="N489" s="95">
        <f t="shared" ca="1" si="281"/>
        <v>-7.2850000000000037</v>
      </c>
      <c r="O489" s="95">
        <f t="shared" ca="1" si="281"/>
        <v>-1.7820000000000515</v>
      </c>
      <c r="P489" s="95">
        <f t="shared" ca="1" si="281"/>
        <v>3.2980000000000089</v>
      </c>
      <c r="Q489" s="96">
        <f t="shared" ca="1" si="281"/>
        <v>4.673612256746587</v>
      </c>
      <c r="R489" s="96">
        <f t="shared" ca="1" si="281"/>
        <v>5.1984093133893161</v>
      </c>
      <c r="S489" s="96">
        <f t="shared" ca="1" si="281"/>
        <v>6.1822482450588581</v>
      </c>
      <c r="T489" s="96">
        <f t="shared" ca="1" si="281"/>
        <v>7.5824049634058319</v>
      </c>
      <c r="U489" s="96">
        <f t="shared" ca="1" si="281"/>
        <v>8.9707646402879355</v>
      </c>
      <c r="V489" s="96">
        <f t="shared" ca="1" si="281"/>
        <v>10.469245473219807</v>
      </c>
      <c r="W489" s="96">
        <f t="shared" ca="1" si="281"/>
        <v>11.965982476270296</v>
      </c>
      <c r="X489" s="96">
        <f t="shared" ca="1" si="281"/>
        <v>13.451814222957974</v>
      </c>
      <c r="Y489" s="96">
        <f t="shared" ca="1" si="281"/>
        <v>14.944970627460576</v>
      </c>
      <c r="Z489" s="96">
        <f t="shared" ca="1" si="281"/>
        <v>16.441908427258571</v>
      </c>
    </row>
    <row r="490" spans="1:26" x14ac:dyDescent="0.25">
      <c r="A490" s="11" t="s">
        <v>1412</v>
      </c>
      <c r="B490" s="14" t="str">
        <f>$B$62</f>
        <v>Projected Years only</v>
      </c>
      <c r="Q490" s="97" t="str">
        <f t="shared" ref="Q490:Z490" ca="1" si="282">IF(ROUND(SUM(Q$489,Q$78-P$78,Q$494),3)=0,"OK","ERROR")</f>
        <v>OK</v>
      </c>
      <c r="R490" s="97" t="str">
        <f t="shared" ca="1" si="282"/>
        <v>OK</v>
      </c>
      <c r="S490" s="97" t="str">
        <f t="shared" ca="1" si="282"/>
        <v>OK</v>
      </c>
      <c r="T490" s="97" t="str">
        <f t="shared" ca="1" si="282"/>
        <v>OK</v>
      </c>
      <c r="U490" s="97" t="str">
        <f t="shared" ca="1" si="282"/>
        <v>OK</v>
      </c>
      <c r="V490" s="97" t="str">
        <f t="shared" ca="1" si="282"/>
        <v>OK</v>
      </c>
      <c r="W490" s="97" t="str">
        <f t="shared" ca="1" si="282"/>
        <v>OK</v>
      </c>
      <c r="X490" s="97" t="str">
        <f t="shared" ca="1" si="282"/>
        <v>OK</v>
      </c>
      <c r="Y490" s="97" t="str">
        <f t="shared" ca="1" si="282"/>
        <v>OK</v>
      </c>
      <c r="Z490" s="97" t="str">
        <f t="shared" ca="1" si="282"/>
        <v>OK</v>
      </c>
    </row>
    <row r="491" spans="1:26" x14ac:dyDescent="0.25">
      <c r="A491" s="11"/>
    </row>
    <row r="492" spans="1:26" x14ac:dyDescent="0.25">
      <c r="A492" s="11" t="s">
        <v>1123</v>
      </c>
      <c r="B492" s="14" t="str">
        <f>$B$38</f>
        <v>From Fiscal Forecasts</v>
      </c>
      <c r="D492" s="51">
        <f>'Fiscal Forecasts'!D$401</f>
        <v>-4.9580000000000002</v>
      </c>
      <c r="E492" s="51">
        <f>'Fiscal Forecasts'!E$401</f>
        <v>33.061999999999998</v>
      </c>
      <c r="F492" s="51">
        <f>'Fiscal Forecasts'!F$401</f>
        <v>3.8090000000000002</v>
      </c>
      <c r="G492" s="51">
        <f>'Fiscal Forecasts'!G$401</f>
        <v>28.693999999999999</v>
      </c>
      <c r="H492" s="51">
        <f>'Fiscal Forecasts'!H$401</f>
        <v>22.715</v>
      </c>
      <c r="I492" s="51">
        <f>'Fiscal Forecasts'!I$401</f>
        <v>25.202999999999999</v>
      </c>
      <c r="J492" s="51">
        <f>'Fiscal Forecasts'!J$401</f>
        <v>21.693999999999999</v>
      </c>
      <c r="K492" s="51">
        <f>'Fiscal Forecasts'!K$401</f>
        <v>11.654</v>
      </c>
      <c r="L492" s="47">
        <f>'Fiscal Forecasts'!L$401</f>
        <v>18.459</v>
      </c>
      <c r="M492" s="47">
        <f>'Fiscal Forecasts'!M$401</f>
        <v>14.315</v>
      </c>
      <c r="N492" s="47">
        <f>'Fiscal Forecasts'!N$401</f>
        <v>8.83</v>
      </c>
      <c r="O492" s="47">
        <f>'Fiscal Forecasts'!O$401</f>
        <v>1.5569999999999999</v>
      </c>
      <c r="P492" s="47">
        <f>'Fiscal Forecasts'!P$401</f>
        <v>-5.915</v>
      </c>
      <c r="Q492" s="21">
        <f t="shared" ref="Q492:Z492" ca="1" si="283">-SUM(Q$482,Q$488,Q$496)</f>
        <v>-2.0861433873718296</v>
      </c>
      <c r="R492" s="21">
        <f t="shared" ca="1" si="283"/>
        <v>-2.5581314288376635</v>
      </c>
      <c r="S492" s="21">
        <f t="shared" ca="1" si="283"/>
        <v>-3.4706704950440157</v>
      </c>
      <c r="T492" s="21">
        <f t="shared" ca="1" si="283"/>
        <v>-4.8064496588308092</v>
      </c>
      <c r="U492" s="21">
        <f t="shared" ca="1" si="283"/>
        <v>-6.0947891501255711</v>
      </c>
      <c r="V492" s="21">
        <f t="shared" ca="1" si="283"/>
        <v>-7.4922350582460426</v>
      </c>
      <c r="W492" s="21">
        <f t="shared" ca="1" si="283"/>
        <v>-8.9041812056749183</v>
      </c>
      <c r="X492" s="21">
        <f t="shared" ca="1" si="283"/>
        <v>-10.29982423924362</v>
      </c>
      <c r="Y492" s="21">
        <f t="shared" ca="1" si="283"/>
        <v>-11.685175041834164</v>
      </c>
      <c r="Z492" s="21">
        <f t="shared" ca="1" si="283"/>
        <v>-13.073498588740346</v>
      </c>
    </row>
    <row r="493" spans="1:26" x14ac:dyDescent="0.25">
      <c r="A493" s="12" t="s">
        <v>1413</v>
      </c>
      <c r="B493" s="14" t="str">
        <f>$B$38</f>
        <v>From Fiscal Forecasts</v>
      </c>
      <c r="D493" s="50">
        <f>-'Fiscal Forecasts'!D$402</f>
        <v>-5.1630000000000003</v>
      </c>
      <c r="E493" s="50">
        <f>-'Fiscal Forecasts'!E$402</f>
        <v>14.911</v>
      </c>
      <c r="F493" s="50">
        <f>-'Fiscal Forecasts'!F$402</f>
        <v>-6.0419999999999998</v>
      </c>
      <c r="G493" s="50">
        <f>-'Fiscal Forecasts'!G$402</f>
        <v>2.8000000000000001E-2</v>
      </c>
      <c r="H493" s="50">
        <f>-'Fiscal Forecasts'!H$402</f>
        <v>-2.7749999999999999</v>
      </c>
      <c r="I493" s="50">
        <f>-'Fiscal Forecasts'!I$402</f>
        <v>8.4169999999999998</v>
      </c>
      <c r="J493" s="50">
        <f>-'Fiscal Forecasts'!J$402</f>
        <v>8.8219999999999992</v>
      </c>
      <c r="K493" s="50">
        <f>-'Fiscal Forecasts'!K$402</f>
        <v>3.7349999999999999</v>
      </c>
      <c r="L493" s="48">
        <f>-'Fiscal Forecasts'!L$402</f>
        <v>-3.702</v>
      </c>
      <c r="M493" s="48">
        <f>-'Fiscal Forecasts'!M$402</f>
        <v>0.80700000000000005</v>
      </c>
      <c r="N493" s="48">
        <f>-'Fiscal Forecasts'!N$402</f>
        <v>1.5580000000000001</v>
      </c>
      <c r="O493" s="48">
        <f>-'Fiscal Forecasts'!O$402</f>
        <v>-0.224</v>
      </c>
      <c r="P493" s="48">
        <f>-'Fiscal Forecasts'!P$402</f>
        <v>-2.6150000000000002</v>
      </c>
      <c r="Q493" s="20">
        <f t="shared" ref="Q493:Z493" ca="1" si="284">SUM(Q$358-P$358,Q$367-P$367)</f>
        <v>2.0244344787687387</v>
      </c>
      <c r="R493" s="20">
        <f t="shared" ca="1" si="284"/>
        <v>2.0656916188983576</v>
      </c>
      <c r="S493" s="20">
        <f t="shared" ca="1" si="284"/>
        <v>2.1204175447294125</v>
      </c>
      <c r="T493" s="20">
        <f t="shared" ca="1" si="284"/>
        <v>2.1701837862760112</v>
      </c>
      <c r="U493" s="20">
        <f t="shared" ca="1" si="284"/>
        <v>2.2458596964811601</v>
      </c>
      <c r="V493" s="20">
        <f t="shared" ca="1" si="284"/>
        <v>2.322334319860393</v>
      </c>
      <c r="W493" s="20">
        <f t="shared" ca="1" si="284"/>
        <v>2.3870928049909033</v>
      </c>
      <c r="X493" s="20">
        <f t="shared" ca="1" si="284"/>
        <v>2.4558311838062084</v>
      </c>
      <c r="Y493" s="20">
        <f t="shared" ca="1" si="284"/>
        <v>2.5374120192015353</v>
      </c>
      <c r="Z493" s="20">
        <f t="shared" ca="1" si="284"/>
        <v>2.6196472909818569</v>
      </c>
    </row>
    <row r="494" spans="1:26" x14ac:dyDescent="0.25">
      <c r="A494" s="12" t="s">
        <v>914</v>
      </c>
      <c r="D494" s="50">
        <f t="shared" ref="D494:Z494" si="285">D$107</f>
        <v>0.437</v>
      </c>
      <c r="E494" s="50">
        <f t="shared" si="285"/>
        <v>1.2090000000000001</v>
      </c>
      <c r="F494" s="50">
        <f t="shared" si="285"/>
        <v>0.23400000000000001</v>
      </c>
      <c r="G494" s="50">
        <f t="shared" si="285"/>
        <v>0.80500000000000005</v>
      </c>
      <c r="H494" s="50">
        <f t="shared" si="285"/>
        <v>-5.8999999999999997E-2</v>
      </c>
      <c r="I494" s="50">
        <f t="shared" si="285"/>
        <v>-2.4E-2</v>
      </c>
      <c r="J494" s="50">
        <f t="shared" si="285"/>
        <v>0.17499999999999999</v>
      </c>
      <c r="K494" s="50">
        <f t="shared" si="285"/>
        <v>1.1100000000000001</v>
      </c>
      <c r="L494" s="48">
        <f t="shared" si="285"/>
        <v>-0.45600000000000002</v>
      </c>
      <c r="M494" s="48">
        <f t="shared" si="285"/>
        <v>9.8000000000000004E-2</v>
      </c>
      <c r="N494" s="48">
        <f t="shared" si="285"/>
        <v>9.9000000000000005E-2</v>
      </c>
      <c r="O494" s="48">
        <f t="shared" si="285"/>
        <v>0.1</v>
      </c>
      <c r="P494" s="48">
        <f t="shared" si="285"/>
        <v>0.10100000000000001</v>
      </c>
      <c r="Q494" s="20">
        <f t="shared" ca="1" si="285"/>
        <v>0.20407999999999937</v>
      </c>
      <c r="R494" s="20">
        <f t="shared" ca="1" si="285"/>
        <v>0.20816160000000039</v>
      </c>
      <c r="S494" s="20">
        <f t="shared" ca="1" si="285"/>
        <v>0.21232483200000019</v>
      </c>
      <c r="T494" s="20">
        <f t="shared" ca="1" si="285"/>
        <v>0.21657132864000062</v>
      </c>
      <c r="U494" s="20">
        <f t="shared" ca="1" si="285"/>
        <v>0.22090275521279956</v>
      </c>
      <c r="V494" s="20">
        <f t="shared" ca="1" si="285"/>
        <v>0.22532081031705609</v>
      </c>
      <c r="W494" s="20">
        <f t="shared" ca="1" si="285"/>
        <v>0.2298272265233976</v>
      </c>
      <c r="X494" s="20">
        <f t="shared" ca="1" si="285"/>
        <v>0.23442377105386569</v>
      </c>
      <c r="Y494" s="20">
        <f t="shared" ca="1" si="285"/>
        <v>0.23911224647494222</v>
      </c>
      <c r="Z494" s="20">
        <f t="shared" ca="1" si="285"/>
        <v>0.24389449140444164</v>
      </c>
    </row>
    <row r="495" spans="1:26" x14ac:dyDescent="0.25">
      <c r="A495" s="12" t="s">
        <v>921</v>
      </c>
      <c r="B495" s="14" t="str">
        <f>$B$38</f>
        <v>From Fiscal Forecasts</v>
      </c>
      <c r="D495" s="50">
        <f>-'Fiscal Forecasts'!D$403</f>
        <v>-6.8000000000000005E-2</v>
      </c>
      <c r="E495" s="50">
        <f>-'Fiscal Forecasts'!E$403</f>
        <v>-4.3319999999999999</v>
      </c>
      <c r="F495" s="50">
        <f>-'Fiscal Forecasts'!F$403</f>
        <v>-3.6819999999999999</v>
      </c>
      <c r="G495" s="50">
        <f>-'Fiscal Forecasts'!G$403</f>
        <v>2.4279999999999999</v>
      </c>
      <c r="H495" s="50">
        <f>-'Fiscal Forecasts'!H$403</f>
        <v>-0.217</v>
      </c>
      <c r="I495" s="50">
        <f>-'Fiscal Forecasts'!I$403</f>
        <v>-2.54</v>
      </c>
      <c r="J495" s="50">
        <f>-'Fiscal Forecasts'!J$403</f>
        <v>7.0510000000000002</v>
      </c>
      <c r="K495" s="50">
        <f>-'Fiscal Forecasts'!K$403</f>
        <v>4.1369999999999996</v>
      </c>
      <c r="L495" s="48">
        <f>-'Fiscal Forecasts'!L$403</f>
        <v>-0.28000000000000003</v>
      </c>
      <c r="M495" s="48">
        <f>-'Fiscal Forecasts'!M$403</f>
        <v>7.0999999999999994E-2</v>
      </c>
      <c r="N495" s="48">
        <f>-'Fiscal Forecasts'!N$403</f>
        <v>8.5999999999999993E-2</v>
      </c>
      <c r="O495" s="48">
        <f>-'Fiscal Forecasts'!O$403</f>
        <v>9.9000000000000005E-2</v>
      </c>
      <c r="P495" s="48">
        <f>-'Fiscal Forecasts'!P$403</f>
        <v>9.9000000000000005E-2</v>
      </c>
      <c r="Q495" s="20">
        <f t="shared" ref="Q495:Z495" ca="1" si="286">Q$345-P$345</f>
        <v>0.76711439060601805</v>
      </c>
      <c r="R495" s="20">
        <f t="shared" ca="1" si="286"/>
        <v>0.78274786565329535</v>
      </c>
      <c r="S495" s="20">
        <f t="shared" ca="1" si="286"/>
        <v>0.80348503728543008</v>
      </c>
      <c r="T495" s="20">
        <f t="shared" ca="1" si="286"/>
        <v>0.82234284693901216</v>
      </c>
      <c r="U495" s="20">
        <f t="shared" ca="1" si="286"/>
        <v>0.85101854889400386</v>
      </c>
      <c r="V495" s="20">
        <f t="shared" ca="1" si="286"/>
        <v>0.87999690543042774</v>
      </c>
      <c r="W495" s="20">
        <f t="shared" ca="1" si="286"/>
        <v>0.90453569212787244</v>
      </c>
      <c r="X495" s="20">
        <f t="shared" ca="1" si="286"/>
        <v>0.93058257096201302</v>
      </c>
      <c r="Y495" s="20">
        <f t="shared" ca="1" si="286"/>
        <v>0.96149581289981967</v>
      </c>
      <c r="Z495" s="20">
        <f t="shared" ca="1" si="286"/>
        <v>0.99265703894080914</v>
      </c>
    </row>
    <row r="496" spans="1:26" x14ac:dyDescent="0.25">
      <c r="A496" s="11" t="s">
        <v>1414</v>
      </c>
      <c r="D496" s="94">
        <f t="shared" ref="D496:Z496" si="287">SUM(-D$493,D$494,-D$495)</f>
        <v>5.6680000000000001</v>
      </c>
      <c r="E496" s="94">
        <f t="shared" si="287"/>
        <v>-9.370000000000001</v>
      </c>
      <c r="F496" s="94">
        <f t="shared" si="287"/>
        <v>9.9580000000000002</v>
      </c>
      <c r="G496" s="94">
        <f t="shared" si="287"/>
        <v>-1.6509999999999998</v>
      </c>
      <c r="H496" s="94">
        <f t="shared" si="287"/>
        <v>2.9329999999999998</v>
      </c>
      <c r="I496" s="94">
        <f t="shared" si="287"/>
        <v>-5.9009999999999989</v>
      </c>
      <c r="J496" s="94">
        <f t="shared" si="287"/>
        <v>-15.697999999999999</v>
      </c>
      <c r="K496" s="94">
        <f t="shared" si="287"/>
        <v>-6.7619999999999996</v>
      </c>
      <c r="L496" s="95">
        <f t="shared" si="287"/>
        <v>3.5259999999999998</v>
      </c>
      <c r="M496" s="95">
        <f t="shared" si="287"/>
        <v>-0.78</v>
      </c>
      <c r="N496" s="95">
        <f t="shared" si="287"/>
        <v>-1.5450000000000002</v>
      </c>
      <c r="O496" s="95">
        <f t="shared" si="287"/>
        <v>0.22500000000000001</v>
      </c>
      <c r="P496" s="95">
        <f t="shared" si="287"/>
        <v>2.617</v>
      </c>
      <c r="Q496" s="96">
        <f t="shared" ca="1" si="287"/>
        <v>-2.5874688693747574</v>
      </c>
      <c r="R496" s="96">
        <f t="shared" ca="1" si="287"/>
        <v>-2.6402778845516526</v>
      </c>
      <c r="S496" s="96">
        <f t="shared" ca="1" si="287"/>
        <v>-2.7115777500148424</v>
      </c>
      <c r="T496" s="96">
        <f t="shared" ca="1" si="287"/>
        <v>-2.7759553045750227</v>
      </c>
      <c r="U496" s="96">
        <f t="shared" ca="1" si="287"/>
        <v>-2.8759754901623644</v>
      </c>
      <c r="V496" s="96">
        <f t="shared" ca="1" si="287"/>
        <v>-2.9770104149737646</v>
      </c>
      <c r="W496" s="96">
        <f t="shared" ca="1" si="287"/>
        <v>-3.0618012705953781</v>
      </c>
      <c r="X496" s="96">
        <f t="shared" ca="1" si="287"/>
        <v>-3.1519899837143557</v>
      </c>
      <c r="Y496" s="96">
        <f t="shared" ca="1" si="287"/>
        <v>-3.2597955856264127</v>
      </c>
      <c r="Z496" s="96">
        <f t="shared" ca="1" si="287"/>
        <v>-3.3684098385182244</v>
      </c>
    </row>
    <row r="497" spans="1:26" x14ac:dyDescent="0.25">
      <c r="A497" s="11" t="s">
        <v>1415</v>
      </c>
      <c r="D497" s="97" t="str">
        <f t="shared" ref="D497:Z497" si="288">IF(ROUND(SUM(D$489,D$492,D$496),3)=0,"OK","ERROR")</f>
        <v>OK</v>
      </c>
      <c r="E497" s="97" t="str">
        <f t="shared" si="288"/>
        <v>OK</v>
      </c>
      <c r="F497" s="97" t="str">
        <f t="shared" si="288"/>
        <v>OK</v>
      </c>
      <c r="G497" s="97" t="str">
        <f t="shared" si="288"/>
        <v>OK</v>
      </c>
      <c r="H497" s="97" t="str">
        <f t="shared" si="288"/>
        <v>OK</v>
      </c>
      <c r="I497" s="97" t="str">
        <f t="shared" si="288"/>
        <v>OK</v>
      </c>
      <c r="J497" s="97" t="str">
        <f t="shared" si="288"/>
        <v>OK</v>
      </c>
      <c r="K497" s="97" t="str">
        <f t="shared" si="288"/>
        <v>OK</v>
      </c>
      <c r="L497" s="97" t="str">
        <f t="shared" ca="1" si="288"/>
        <v>OK</v>
      </c>
      <c r="M497" s="97" t="str">
        <f t="shared" ca="1" si="288"/>
        <v>OK</v>
      </c>
      <c r="N497" s="97" t="str">
        <f t="shared" ca="1" si="288"/>
        <v>OK</v>
      </c>
      <c r="O497" s="97" t="str">
        <f t="shared" ca="1" si="288"/>
        <v>OK</v>
      </c>
      <c r="P497" s="97" t="str">
        <f t="shared" ca="1" si="288"/>
        <v>OK</v>
      </c>
      <c r="Q497" s="97" t="str">
        <f t="shared" ca="1" si="288"/>
        <v>OK</v>
      </c>
      <c r="R497" s="97" t="str">
        <f t="shared" ca="1" si="288"/>
        <v>OK</v>
      </c>
      <c r="S497" s="97" t="str">
        <f t="shared" ca="1" si="288"/>
        <v>OK</v>
      </c>
      <c r="T497" s="97" t="str">
        <f t="shared" ca="1" si="288"/>
        <v>OK</v>
      </c>
      <c r="U497" s="97" t="str">
        <f t="shared" ca="1" si="288"/>
        <v>OK</v>
      </c>
      <c r="V497" s="97" t="str">
        <f t="shared" ca="1" si="288"/>
        <v>OK</v>
      </c>
      <c r="W497" s="97" t="str">
        <f t="shared" ca="1" si="288"/>
        <v>OK</v>
      </c>
      <c r="X497" s="97" t="str">
        <f t="shared" ca="1" si="288"/>
        <v>OK</v>
      </c>
      <c r="Y497" s="97" t="str">
        <f t="shared" ca="1" si="288"/>
        <v>OK</v>
      </c>
      <c r="Z497" s="97" t="str">
        <f t="shared" ca="1" si="288"/>
        <v>OK</v>
      </c>
    </row>
    <row r="499" spans="1:26" x14ac:dyDescent="0.25">
      <c r="A499" s="57" t="s">
        <v>1416</v>
      </c>
      <c r="B499" s="14" t="str">
        <f>$B$62</f>
        <v>Projected Years only</v>
      </c>
    </row>
    <row r="500" spans="1:26" x14ac:dyDescent="0.25">
      <c r="A500" s="12" t="s">
        <v>1417</v>
      </c>
      <c r="Q500" s="20">
        <f t="shared" ref="Q500:Z500" ca="1" si="289">Q$482-Q$376+Q$375-Q$377</f>
        <v>15.033589004311104</v>
      </c>
      <c r="R500" s="20">
        <f t="shared" ca="1" si="289"/>
        <v>16.411527166021674</v>
      </c>
      <c r="S500" s="20">
        <f t="shared" ca="1" si="289"/>
        <v>17.910289829706219</v>
      </c>
      <c r="T500" s="20">
        <f t="shared" ca="1" si="289"/>
        <v>19.483121448935311</v>
      </c>
      <c r="U500" s="20">
        <f t="shared" ca="1" si="289"/>
        <v>21.07430932414913</v>
      </c>
      <c r="V500" s="20">
        <f t="shared" ca="1" si="289"/>
        <v>22.836671773248394</v>
      </c>
      <c r="W500" s="20">
        <f t="shared" ca="1" si="289"/>
        <v>24.687587110280703</v>
      </c>
      <c r="X500" s="20">
        <f t="shared" ca="1" si="289"/>
        <v>26.623391842137046</v>
      </c>
      <c r="Y500" s="20">
        <f t="shared" ca="1" si="289"/>
        <v>28.692901584291075</v>
      </c>
      <c r="Z500" s="20">
        <f t="shared" ca="1" si="289"/>
        <v>30.867672403005798</v>
      </c>
    </row>
    <row r="501" spans="1:26" x14ac:dyDescent="0.25">
      <c r="A501" s="12" t="s">
        <v>1418</v>
      </c>
      <c r="Q501" s="20">
        <f t="shared" ref="Q501:Z501" ca="1" si="290">Q$488+Q$486-Q$493-SUM(Q$357-P$357,Q$366-P$366,Q$388-P$388,Q$391-P$391,-Q$331)</f>
        <v>-12.357439894115707</v>
      </c>
      <c r="R501" s="20">
        <f t="shared" ca="1" si="290"/>
        <v>-13.33255609308857</v>
      </c>
      <c r="S501" s="20">
        <f t="shared" ca="1" si="290"/>
        <v>-13.904393727432335</v>
      </c>
      <c r="T501" s="20">
        <f t="shared" ca="1" si="290"/>
        <v>-14.12921551361466</v>
      </c>
      <c r="U501" s="20">
        <f t="shared" ca="1" si="290"/>
        <v>-14.409874709852188</v>
      </c>
      <c r="V501" s="20">
        <f t="shared" ca="1" si="290"/>
        <v>-14.752769391560557</v>
      </c>
      <c r="W501" s="20">
        <f t="shared" ca="1" si="290"/>
        <v>-15.174860628285535</v>
      </c>
      <c r="X501" s="20">
        <f t="shared" ca="1" si="290"/>
        <v>-15.697380922200157</v>
      </c>
      <c r="Y501" s="20">
        <f t="shared" ca="1" si="290"/>
        <v>-16.360001422096644</v>
      </c>
      <c r="Z501" s="20">
        <f t="shared" ca="1" si="290"/>
        <v>-17.125548834826915</v>
      </c>
    </row>
    <row r="502" spans="1:26" x14ac:dyDescent="0.25">
      <c r="A502" s="12" t="s">
        <v>914</v>
      </c>
      <c r="Q502" s="20">
        <f t="shared" ref="Q502:Z502" ca="1" si="291">Q$494</f>
        <v>0.20407999999999937</v>
      </c>
      <c r="R502" s="20">
        <f t="shared" ca="1" si="291"/>
        <v>0.20816160000000039</v>
      </c>
      <c r="S502" s="20">
        <f t="shared" ca="1" si="291"/>
        <v>0.21232483200000019</v>
      </c>
      <c r="T502" s="20">
        <f t="shared" ca="1" si="291"/>
        <v>0.21657132864000062</v>
      </c>
      <c r="U502" s="20">
        <f t="shared" ca="1" si="291"/>
        <v>0.22090275521279956</v>
      </c>
      <c r="V502" s="20">
        <f t="shared" ca="1" si="291"/>
        <v>0.22532081031705609</v>
      </c>
      <c r="W502" s="20">
        <f t="shared" ca="1" si="291"/>
        <v>0.2298272265233976</v>
      </c>
      <c r="X502" s="20">
        <f t="shared" ca="1" si="291"/>
        <v>0.23442377105386569</v>
      </c>
      <c r="Y502" s="20">
        <f t="shared" ca="1" si="291"/>
        <v>0.23911224647494222</v>
      </c>
      <c r="Z502" s="20">
        <f t="shared" ca="1" si="291"/>
        <v>0.24389449140444164</v>
      </c>
    </row>
    <row r="503" spans="1:26" x14ac:dyDescent="0.25">
      <c r="A503" s="12" t="s">
        <v>1419</v>
      </c>
      <c r="Q503" s="20">
        <f t="shared" ref="Q503:Z503" ca="1" si="292">SUM(Q$495,Q$344-P$344)-SUM(Q$500:Q$502)</f>
        <v>-1.9082978358972262</v>
      </c>
      <c r="R503" s="20">
        <f t="shared" ca="1" si="292"/>
        <v>-2.2691401973603376</v>
      </c>
      <c r="S503" s="20">
        <f t="shared" ca="1" si="292"/>
        <v>-3.1699146911304563</v>
      </c>
      <c r="T503" s="20">
        <f t="shared" ca="1" si="292"/>
        <v>-4.4928933262489839</v>
      </c>
      <c r="U503" s="20">
        <f t="shared" ca="1" si="292"/>
        <v>-5.7696450855061006</v>
      </c>
      <c r="V503" s="20">
        <f t="shared" ca="1" si="292"/>
        <v>-7.1534419956969097</v>
      </c>
      <c r="W503" s="20">
        <f t="shared" ca="1" si="292"/>
        <v>-8.5484270950813297</v>
      </c>
      <c r="X503" s="20">
        <f t="shared" ca="1" si="292"/>
        <v>-9.9235898208769484</v>
      </c>
      <c r="Y503" s="20">
        <f t="shared" ca="1" si="292"/>
        <v>-11.283742623515884</v>
      </c>
      <c r="Z503" s="20">
        <f t="shared" ca="1" si="292"/>
        <v>-12.642605374973265</v>
      </c>
    </row>
    <row r="504" spans="1:26" x14ac:dyDescent="0.25">
      <c r="A504" s="11" t="s">
        <v>1420</v>
      </c>
      <c r="Q504" s="96">
        <f t="shared" ref="Q504:Z504" ca="1" si="293">SUM(Q$500:Q$503)</f>
        <v>0.97193127429816961</v>
      </c>
      <c r="R504" s="96">
        <f t="shared" ca="1" si="293"/>
        <v>1.017992475572767</v>
      </c>
      <c r="S504" s="96">
        <f t="shared" ca="1" si="293"/>
        <v>1.0483062431434274</v>
      </c>
      <c r="T504" s="96">
        <f t="shared" ca="1" si="293"/>
        <v>1.0775839377116672</v>
      </c>
      <c r="U504" s="96">
        <f t="shared" ca="1" si="293"/>
        <v>1.1156922840036412</v>
      </c>
      <c r="V504" s="96">
        <f t="shared" ca="1" si="293"/>
        <v>1.1557811963079834</v>
      </c>
      <c r="W504" s="96">
        <f t="shared" ca="1" si="293"/>
        <v>1.1941266134372359</v>
      </c>
      <c r="X504" s="96">
        <f t="shared" ca="1" si="293"/>
        <v>1.2368448701138064</v>
      </c>
      <c r="Y504" s="96">
        <f t="shared" ca="1" si="293"/>
        <v>1.2882697851534886</v>
      </c>
      <c r="Z504" s="96">
        <f t="shared" ca="1" si="293"/>
        <v>1.34341268461006</v>
      </c>
    </row>
    <row r="505" spans="1:26" x14ac:dyDescent="0.25">
      <c r="A505" s="57" t="s">
        <v>1198</v>
      </c>
    </row>
    <row r="506" spans="1:26" x14ac:dyDescent="0.25">
      <c r="A506" s="11" t="s">
        <v>1187</v>
      </c>
      <c r="Q506" s="21">
        <f t="shared" ref="Q506:Z506" ca="1" si="294">Q$500</f>
        <v>15.033589004311104</v>
      </c>
      <c r="R506" s="21">
        <f t="shared" ca="1" si="294"/>
        <v>16.411527166021674</v>
      </c>
      <c r="S506" s="21">
        <f t="shared" ca="1" si="294"/>
        <v>17.910289829706219</v>
      </c>
      <c r="T506" s="21">
        <f t="shared" ca="1" si="294"/>
        <v>19.483121448935311</v>
      </c>
      <c r="U506" s="21">
        <f t="shared" ca="1" si="294"/>
        <v>21.07430932414913</v>
      </c>
      <c r="V506" s="21">
        <f t="shared" ca="1" si="294"/>
        <v>22.836671773248394</v>
      </c>
      <c r="W506" s="21">
        <f t="shared" ca="1" si="294"/>
        <v>24.687587110280703</v>
      </c>
      <c r="X506" s="21">
        <f t="shared" ca="1" si="294"/>
        <v>26.623391842137046</v>
      </c>
      <c r="Y506" s="21">
        <f t="shared" ca="1" si="294"/>
        <v>28.692901584291075</v>
      </c>
      <c r="Z506" s="21">
        <f t="shared" ca="1" si="294"/>
        <v>30.867672403005798</v>
      </c>
    </row>
    <row r="507" spans="1:26" x14ac:dyDescent="0.25">
      <c r="A507" s="11" t="s">
        <v>880</v>
      </c>
      <c r="Q507" s="21">
        <f t="shared" ref="Q507:Z507" ca="1" si="295">Q$333</f>
        <v>7.14676994238296</v>
      </c>
      <c r="R507" s="21">
        <f t="shared" ca="1" si="295"/>
        <v>7.5909943092414061</v>
      </c>
      <c r="S507" s="21">
        <f t="shared" ca="1" si="295"/>
        <v>8.0536939626018853</v>
      </c>
      <c r="T507" s="21">
        <f t="shared" ca="1" si="295"/>
        <v>8.5356870366084792</v>
      </c>
      <c r="U507" s="21">
        <f t="shared" ca="1" si="295"/>
        <v>9.0369976447940612</v>
      </c>
      <c r="V507" s="21">
        <f t="shared" ca="1" si="295"/>
        <v>9.5580552593842008</v>
      </c>
      <c r="W507" s="21">
        <f t="shared" ca="1" si="295"/>
        <v>10.103015938972028</v>
      </c>
      <c r="X507" s="21">
        <f t="shared" ca="1" si="295"/>
        <v>10.677265252733729</v>
      </c>
      <c r="Y507" s="21">
        <f t="shared" ca="1" si="295"/>
        <v>11.287227519149274</v>
      </c>
      <c r="Z507" s="21">
        <f t="shared" ca="1" si="295"/>
        <v>11.940036356284908</v>
      </c>
    </row>
    <row r="508" spans="1:26" x14ac:dyDescent="0.25">
      <c r="A508" s="12" t="s">
        <v>1421</v>
      </c>
      <c r="Q508" s="20">
        <f t="shared" ref="Q508:Z508" ca="1" si="296">SUM(Q$215,Q$219)</f>
        <v>3.158094136181139</v>
      </c>
      <c r="R508" s="20">
        <f t="shared" ca="1" si="296"/>
        <v>3.158094136181139</v>
      </c>
      <c r="S508" s="20">
        <f t="shared" ca="1" si="296"/>
        <v>3.158094136181139</v>
      </c>
      <c r="T508" s="20">
        <f t="shared" ca="1" si="296"/>
        <v>3.158094136181139</v>
      </c>
      <c r="U508" s="20">
        <f t="shared" ca="1" si="296"/>
        <v>3.158094136181139</v>
      </c>
      <c r="V508" s="20">
        <f t="shared" ca="1" si="296"/>
        <v>3.158094136181139</v>
      </c>
      <c r="W508" s="20">
        <f t="shared" ca="1" si="296"/>
        <v>3.158094136181139</v>
      </c>
      <c r="X508" s="20">
        <f t="shared" ca="1" si="296"/>
        <v>3.158094136181139</v>
      </c>
      <c r="Y508" s="20">
        <f t="shared" ca="1" si="296"/>
        <v>3.158094136181139</v>
      </c>
      <c r="Z508" s="20">
        <f t="shared" ca="1" si="296"/>
        <v>3.158094136181139</v>
      </c>
    </row>
    <row r="509" spans="1:26" x14ac:dyDescent="0.25">
      <c r="A509" s="12" t="s">
        <v>1422</v>
      </c>
      <c r="Q509" s="20">
        <f t="shared" ref="Q509:Z509" si="297">Q$402</f>
        <v>0.91100000000000003</v>
      </c>
      <c r="R509" s="20">
        <f t="shared" si="297"/>
        <v>0.93799999999999994</v>
      </c>
      <c r="S509" s="20">
        <f t="shared" si="297"/>
        <v>0.96199999999999997</v>
      </c>
      <c r="T509" s="20">
        <f t="shared" si="297"/>
        <v>0.98499999999999999</v>
      </c>
      <c r="U509" s="20">
        <f t="shared" si="297"/>
        <v>1.006</v>
      </c>
      <c r="V509" s="20">
        <f t="shared" si="297"/>
        <v>1.0249999999999999</v>
      </c>
      <c r="W509" s="20">
        <f t="shared" si="297"/>
        <v>1.046</v>
      </c>
      <c r="X509" s="20">
        <f t="shared" si="297"/>
        <v>1.0669999999999999</v>
      </c>
      <c r="Y509" s="20">
        <f t="shared" si="297"/>
        <v>1.0880000000000001</v>
      </c>
      <c r="Z509" s="20">
        <f t="shared" si="297"/>
        <v>1.109</v>
      </c>
    </row>
    <row r="510" spans="1:26" x14ac:dyDescent="0.25">
      <c r="A510" s="12" t="s">
        <v>1423</v>
      </c>
      <c r="Q510" s="20">
        <f t="shared" ref="Q510:Z510" ca="1" si="298">Q$457-P$457</f>
        <v>-2E-3</v>
      </c>
      <c r="R510" s="20">
        <f t="shared" ca="1" si="298"/>
        <v>0</v>
      </c>
      <c r="S510" s="20">
        <f t="shared" ca="1" si="298"/>
        <v>0</v>
      </c>
      <c r="T510" s="20">
        <f t="shared" ca="1" si="298"/>
        <v>0</v>
      </c>
      <c r="U510" s="20">
        <f t="shared" ca="1" si="298"/>
        <v>0</v>
      </c>
      <c r="V510" s="20">
        <f t="shared" ca="1" si="298"/>
        <v>0</v>
      </c>
      <c r="W510" s="20">
        <f t="shared" ca="1" si="298"/>
        <v>0</v>
      </c>
      <c r="X510" s="20">
        <f t="shared" ca="1" si="298"/>
        <v>0</v>
      </c>
      <c r="Y510" s="20">
        <f t="shared" ca="1" si="298"/>
        <v>0</v>
      </c>
      <c r="Z510" s="20">
        <f t="shared" ca="1" si="298"/>
        <v>0</v>
      </c>
    </row>
    <row r="511" spans="1:26" x14ac:dyDescent="0.25">
      <c r="A511" s="12" t="s">
        <v>769</v>
      </c>
      <c r="Q511" s="20">
        <f t="shared" ref="Q511:Z511" ca="1" si="299">-Q$340</f>
        <v>-1.0435308893054404E-2</v>
      </c>
      <c r="R511" s="20">
        <f t="shared" ca="1" si="299"/>
        <v>-1.0879489201897944E-2</v>
      </c>
      <c r="S511" s="20">
        <f t="shared" ca="1" si="299"/>
        <v>-1.1335437084572445E-2</v>
      </c>
      <c r="T511" s="20">
        <f t="shared" ca="1" si="299"/>
        <v>-1.1802086073035397E-2</v>
      </c>
      <c r="U511" s="20">
        <f t="shared" ca="1" si="299"/>
        <v>-1.2285007456109151E-2</v>
      </c>
      <c r="V511" s="20">
        <f t="shared" ca="1" si="299"/>
        <v>-1.2784372979015064E-2</v>
      </c>
      <c r="W511" s="20">
        <f t="shared" ca="1" si="299"/>
        <v>-1.3297663350946046E-2</v>
      </c>
      <c r="X511" s="20">
        <f t="shared" ca="1" si="299"/>
        <v>-1.3825734358114281E-2</v>
      </c>
      <c r="Y511" s="20">
        <f t="shared" ca="1" si="299"/>
        <v>-1.4371347480635113E-2</v>
      </c>
      <c r="Z511" s="20">
        <f t="shared" ca="1" si="299"/>
        <v>-1.4934643440266305E-2</v>
      </c>
    </row>
    <row r="512" spans="1:26" x14ac:dyDescent="0.25">
      <c r="A512" s="11" t="s">
        <v>1201</v>
      </c>
      <c r="Q512" s="96">
        <f t="shared" ref="Q512:Z512" ca="1" si="300">-SUM(Q$508:Q$511)</f>
        <v>-4.0566588272880848</v>
      </c>
      <c r="R512" s="96">
        <f t="shared" ca="1" si="300"/>
        <v>-4.0852146469792414</v>
      </c>
      <c r="S512" s="96">
        <f t="shared" ca="1" si="300"/>
        <v>-4.1087586990965663</v>
      </c>
      <c r="T512" s="96">
        <f t="shared" ca="1" si="300"/>
        <v>-4.1312920501081036</v>
      </c>
      <c r="U512" s="96">
        <f t="shared" ca="1" si="300"/>
        <v>-4.1518091287250298</v>
      </c>
      <c r="V512" s="96">
        <f t="shared" ca="1" si="300"/>
        <v>-4.1703097632021242</v>
      </c>
      <c r="W512" s="96">
        <f t="shared" ca="1" si="300"/>
        <v>-4.1907964728301925</v>
      </c>
      <c r="X512" s="96">
        <f t="shared" ca="1" si="300"/>
        <v>-4.2112684018230242</v>
      </c>
      <c r="Y512" s="96">
        <f t="shared" ca="1" si="300"/>
        <v>-4.2317227887005036</v>
      </c>
      <c r="Z512" s="96">
        <f t="shared" ca="1" si="300"/>
        <v>-4.2521594927408728</v>
      </c>
    </row>
    <row r="513" spans="1:26" x14ac:dyDescent="0.25">
      <c r="A513" s="12" t="s">
        <v>932</v>
      </c>
      <c r="Q513" s="20">
        <f t="shared" ref="Q513:Z513" ca="1" si="301">Q$353-P$353</f>
        <v>2.0661762245445985</v>
      </c>
      <c r="R513" s="20">
        <f t="shared" ca="1" si="301"/>
        <v>1.4600176332306631</v>
      </c>
      <c r="S513" s="20">
        <f t="shared" ca="1" si="301"/>
        <v>1.5263917121380999</v>
      </c>
      <c r="T513" s="20">
        <f t="shared" ca="1" si="301"/>
        <v>1.6149352938287009</v>
      </c>
      <c r="U513" s="20">
        <f t="shared" ca="1" si="301"/>
        <v>1.6834669547481838</v>
      </c>
      <c r="V513" s="20">
        <f t="shared" ca="1" si="301"/>
        <v>1.7381131977647186</v>
      </c>
      <c r="W513" s="20">
        <f t="shared" ca="1" si="301"/>
        <v>1.7878752867330405</v>
      </c>
      <c r="X513" s="20">
        <f t="shared" ca="1" si="301"/>
        <v>1.8422492730019542</v>
      </c>
      <c r="Y513" s="20">
        <f t="shared" ca="1" si="301"/>
        <v>1.9064132360937975</v>
      </c>
      <c r="Z513" s="20">
        <f t="shared" ca="1" si="301"/>
        <v>1.9732144013817177</v>
      </c>
    </row>
    <row r="514" spans="1:26" x14ac:dyDescent="0.25">
      <c r="A514" s="12" t="s">
        <v>933</v>
      </c>
      <c r="Q514" s="20">
        <f t="shared" ref="Q514:Z514" ca="1" si="302">Q$404-Q$332</f>
        <v>0.70568000000000031</v>
      </c>
      <c r="R514" s="20">
        <f t="shared" ca="1" si="302"/>
        <v>0.74441360000000034</v>
      </c>
      <c r="S514" s="20">
        <f t="shared" ca="1" si="302"/>
        <v>0.78120187200000035</v>
      </c>
      <c r="T514" s="20">
        <f t="shared" ca="1" si="302"/>
        <v>0.81504590944000044</v>
      </c>
      <c r="U514" s="20">
        <f t="shared" ca="1" si="302"/>
        <v>0.84694682762880036</v>
      </c>
      <c r="V514" s="20">
        <f t="shared" ca="1" si="302"/>
        <v>0.87990576418137634</v>
      </c>
      <c r="W514" s="20">
        <f t="shared" ca="1" si="302"/>
        <v>0.91292387946500386</v>
      </c>
      <c r="X514" s="20">
        <f t="shared" ca="1" si="302"/>
        <v>0.94800235705430402</v>
      </c>
      <c r="Y514" s="20">
        <f t="shared" ca="1" si="302"/>
        <v>0.98414240419539001</v>
      </c>
      <c r="Z514" s="20">
        <f t="shared" ca="1" si="302"/>
        <v>1.020345252279298</v>
      </c>
    </row>
    <row r="515" spans="1:26" x14ac:dyDescent="0.25">
      <c r="A515" s="12" t="s">
        <v>934</v>
      </c>
      <c r="Q515" s="20">
        <f t="shared" ref="Q515:Z515" ca="1" si="303">Q$409-P$409</f>
        <v>3.2200000000000006E-2</v>
      </c>
      <c r="R515" s="20">
        <f t="shared" ca="1" si="303"/>
        <v>3.2844000000000095E-2</v>
      </c>
      <c r="S515" s="20">
        <f t="shared" ca="1" si="303"/>
        <v>3.3500880000000066E-2</v>
      </c>
      <c r="T515" s="20">
        <f t="shared" ca="1" si="303"/>
        <v>3.4170897600000139E-2</v>
      </c>
      <c r="U515" s="20">
        <f t="shared" ca="1" si="303"/>
        <v>3.4854315552000026E-2</v>
      </c>
      <c r="V515" s="20">
        <f t="shared" ca="1" si="303"/>
        <v>3.5551401863040066E-2</v>
      </c>
      <c r="W515" s="20">
        <f t="shared" ca="1" si="303"/>
        <v>3.626242990030093E-2</v>
      </c>
      <c r="X515" s="20">
        <f t="shared" ca="1" si="303"/>
        <v>3.6987678498306753E-2</v>
      </c>
      <c r="Y515" s="20">
        <f t="shared" ca="1" si="303"/>
        <v>3.7727432068273004E-2</v>
      </c>
      <c r="Z515" s="20">
        <f t="shared" ca="1" si="303"/>
        <v>3.8481980709638375E-2</v>
      </c>
    </row>
    <row r="516" spans="1:26" x14ac:dyDescent="0.25">
      <c r="A516" s="12" t="s">
        <v>935</v>
      </c>
      <c r="Q516" s="20">
        <f t="shared" ref="Q516:Z516" ca="1" si="304">Q$413-P$413</f>
        <v>5.5760000000000254E-2</v>
      </c>
      <c r="R516" s="20">
        <f t="shared" ca="1" si="304"/>
        <v>5.6875199999999904E-2</v>
      </c>
      <c r="S516" s="20">
        <f t="shared" ca="1" si="304"/>
        <v>5.8012704000000248E-2</v>
      </c>
      <c r="T516" s="20">
        <f t="shared" ca="1" si="304"/>
        <v>5.9172958080000004E-2</v>
      </c>
      <c r="U516" s="20">
        <f t="shared" ca="1" si="304"/>
        <v>6.0356417241600013E-2</v>
      </c>
      <c r="V516" s="20">
        <f t="shared" ca="1" si="304"/>
        <v>6.1563545586432067E-2</v>
      </c>
      <c r="W516" s="20">
        <f t="shared" ca="1" si="304"/>
        <v>6.2794816498160877E-2</v>
      </c>
      <c r="X516" s="20">
        <f t="shared" ca="1" si="304"/>
        <v>6.4050712828124023E-2</v>
      </c>
      <c r="Y516" s="20">
        <f t="shared" ca="1" si="304"/>
        <v>6.5331727084686264E-2</v>
      </c>
      <c r="Z516" s="20">
        <f t="shared" ca="1" si="304"/>
        <v>6.6638361626380149E-2</v>
      </c>
    </row>
    <row r="517" spans="1:26" x14ac:dyDescent="0.25">
      <c r="A517" s="12" t="s">
        <v>1424</v>
      </c>
      <c r="Q517" s="20">
        <f t="shared" ref="Q517:Z517" ca="1" si="305">Q$449-P$449</f>
        <v>8.796000000000026E-2</v>
      </c>
      <c r="R517" s="20">
        <f t="shared" ca="1" si="305"/>
        <v>8.9719199999999999E-2</v>
      </c>
      <c r="S517" s="20">
        <f t="shared" ca="1" si="305"/>
        <v>9.1513584000000314E-2</v>
      </c>
      <c r="T517" s="20">
        <f t="shared" ca="1" si="305"/>
        <v>9.3343855680000143E-2</v>
      </c>
      <c r="U517" s="20">
        <f t="shared" ca="1" si="305"/>
        <v>9.5210732793600039E-2</v>
      </c>
      <c r="V517" s="20">
        <f t="shared" ca="1" si="305"/>
        <v>9.7114947449472133E-2</v>
      </c>
      <c r="W517" s="20">
        <f t="shared" ca="1" si="305"/>
        <v>9.9057246398461807E-2</v>
      </c>
      <c r="X517" s="20">
        <f t="shared" ca="1" si="305"/>
        <v>0.10103839132643078</v>
      </c>
      <c r="Y517" s="20">
        <f t="shared" ca="1" si="305"/>
        <v>0.10305915915295927</v>
      </c>
      <c r="Z517" s="20">
        <f t="shared" ca="1" si="305"/>
        <v>0.10512034233601852</v>
      </c>
    </row>
    <row r="518" spans="1:26" x14ac:dyDescent="0.25">
      <c r="A518" s="12" t="s">
        <v>1425</v>
      </c>
      <c r="Q518" s="20">
        <f t="shared" ref="Q518:Z518" ca="1" si="306">SUM(Q$445-P$445,Q$453-P$453,Q$470-P$470)</f>
        <v>1.3021319609048261</v>
      </c>
      <c r="R518" s="20">
        <f t="shared" ca="1" si="306"/>
        <v>0.72576436882820339</v>
      </c>
      <c r="S518" s="20">
        <f t="shared" ca="1" si="306"/>
        <v>0.78466556332240245</v>
      </c>
      <c r="T518" s="20">
        <f t="shared" ca="1" si="306"/>
        <v>0.84542571045022452</v>
      </c>
      <c r="U518" s="20">
        <f t="shared" ca="1" si="306"/>
        <v>0.87499685539716854</v>
      </c>
      <c r="V518" s="20">
        <f t="shared" ca="1" si="306"/>
        <v>0.90101483077512068</v>
      </c>
      <c r="W518" s="20">
        <f t="shared" ca="1" si="306"/>
        <v>0.92678489200126446</v>
      </c>
      <c r="X518" s="20">
        <f t="shared" ca="1" si="306"/>
        <v>0.95538415760039275</v>
      </c>
      <c r="Y518" s="20">
        <f t="shared" ca="1" si="306"/>
        <v>0.9888911176477917</v>
      </c>
      <c r="Z518" s="20">
        <f t="shared" ca="1" si="306"/>
        <v>1.0248805675749617</v>
      </c>
    </row>
    <row r="519" spans="1:26" x14ac:dyDescent="0.25">
      <c r="A519" s="12" t="s">
        <v>1426</v>
      </c>
      <c r="Q519" s="20">
        <f t="shared" ref="Q519:Z519" si="307">Q$463-P$463</f>
        <v>-0.17211321626617426</v>
      </c>
      <c r="R519" s="20">
        <f t="shared" si="307"/>
        <v>-0.17596649722735647</v>
      </c>
      <c r="S519" s="20">
        <f t="shared" si="307"/>
        <v>-0.17725092421441779</v>
      </c>
      <c r="T519" s="20">
        <f t="shared" si="307"/>
        <v>-0.17767906654343824</v>
      </c>
      <c r="U519" s="20">
        <f t="shared" si="307"/>
        <v>-0.17168507393715338</v>
      </c>
      <c r="V519" s="20">
        <f t="shared" si="307"/>
        <v>-0.16954436229205205</v>
      </c>
      <c r="W519" s="20">
        <f t="shared" si="307"/>
        <v>-0.1669755083179294</v>
      </c>
      <c r="X519" s="20">
        <f t="shared" si="307"/>
        <v>-0.16397851201478764</v>
      </c>
      <c r="Y519" s="20">
        <f t="shared" si="307"/>
        <v>-0.1596970887245841</v>
      </c>
      <c r="Z519" s="20">
        <f t="shared" si="307"/>
        <v>-0.15584380776340101</v>
      </c>
    </row>
    <row r="520" spans="1:26" x14ac:dyDescent="0.25">
      <c r="A520" s="11" t="s">
        <v>938</v>
      </c>
      <c r="Q520" s="96">
        <f t="shared" ref="Q520:Z520" ca="1" si="308">SUM(Q$513:Q$516)-SUM(Q$517:Q$519)</f>
        <v>1.6418374799059468</v>
      </c>
      <c r="R520" s="96">
        <f t="shared" ca="1" si="308"/>
        <v>1.6546333616298166</v>
      </c>
      <c r="S520" s="96">
        <f t="shared" ca="1" si="308"/>
        <v>1.7001789450301157</v>
      </c>
      <c r="T520" s="96">
        <f t="shared" ca="1" si="308"/>
        <v>1.7622345593619149</v>
      </c>
      <c r="U520" s="96">
        <f t="shared" ca="1" si="308"/>
        <v>1.8271020009169685</v>
      </c>
      <c r="V520" s="96">
        <f t="shared" ca="1" si="308"/>
        <v>1.8865484934630263</v>
      </c>
      <c r="W520" s="96">
        <f t="shared" ca="1" si="308"/>
        <v>1.9409897825147095</v>
      </c>
      <c r="X520" s="96">
        <f t="shared" ca="1" si="308"/>
        <v>1.9988459844706532</v>
      </c>
      <c r="Y520" s="96">
        <f t="shared" ca="1" si="308"/>
        <v>2.0613616113659798</v>
      </c>
      <c r="Z520" s="96">
        <f t="shared" ca="1" si="308"/>
        <v>2.1245228938494547</v>
      </c>
    </row>
    <row r="521" spans="1:26" x14ac:dyDescent="0.25">
      <c r="A521" s="11" t="s">
        <v>1204</v>
      </c>
      <c r="Q521" s="96">
        <f t="shared" ref="Q521:Z521" ca="1" si="309">SUM(Q$506,Q$507,Q$512,Q$520)</f>
        <v>19.765537599311926</v>
      </c>
      <c r="R521" s="96">
        <f t="shared" ca="1" si="309"/>
        <v>21.571940189913654</v>
      </c>
      <c r="S521" s="96">
        <f t="shared" ca="1" si="309"/>
        <v>23.555404038241655</v>
      </c>
      <c r="T521" s="96">
        <f t="shared" ca="1" si="309"/>
        <v>25.6497509947976</v>
      </c>
      <c r="U521" s="96">
        <f t="shared" ca="1" si="309"/>
        <v>27.786599841135128</v>
      </c>
      <c r="V521" s="96">
        <f t="shared" ca="1" si="309"/>
        <v>30.1109657628935</v>
      </c>
      <c r="W521" s="96">
        <f t="shared" ca="1" si="309"/>
        <v>32.54079635893725</v>
      </c>
      <c r="X521" s="96">
        <f t="shared" ca="1" si="309"/>
        <v>35.0882346775184</v>
      </c>
      <c r="Y521" s="96">
        <f t="shared" ca="1" si="309"/>
        <v>37.809767926105827</v>
      </c>
      <c r="Z521" s="96">
        <f t="shared" ca="1" si="309"/>
        <v>40.680072160399284</v>
      </c>
    </row>
    <row r="522" spans="1:26" x14ac:dyDescent="0.25">
      <c r="A522" s="60" t="s">
        <v>1427</v>
      </c>
      <c r="Q522" s="97" t="str">
        <f t="shared" ref="Q522:Z522" ca="1" si="310">IF(ROUND(Q$49-Q$521,3)=0,"OK","ERROR")</f>
        <v>OK</v>
      </c>
      <c r="R522" s="97" t="str">
        <f t="shared" ca="1" si="310"/>
        <v>OK</v>
      </c>
      <c r="S522" s="97" t="str">
        <f t="shared" ca="1" si="310"/>
        <v>OK</v>
      </c>
      <c r="T522" s="97" t="str">
        <f t="shared" ca="1" si="310"/>
        <v>OK</v>
      </c>
      <c r="U522" s="97" t="str">
        <f t="shared" ca="1" si="310"/>
        <v>OK</v>
      </c>
      <c r="V522" s="97" t="str">
        <f t="shared" ca="1" si="310"/>
        <v>OK</v>
      </c>
      <c r="W522" s="97" t="str">
        <f t="shared" ca="1" si="310"/>
        <v>OK</v>
      </c>
      <c r="X522" s="97" t="str">
        <f t="shared" ca="1" si="310"/>
        <v>OK</v>
      </c>
      <c r="Y522" s="97" t="str">
        <f t="shared" ca="1" si="310"/>
        <v>OK</v>
      </c>
      <c r="Z522" s="97" t="str">
        <f t="shared" ca="1" si="310"/>
        <v>OK</v>
      </c>
    </row>
    <row r="524" spans="1:26" x14ac:dyDescent="0.25">
      <c r="A524" s="11" t="s">
        <v>1428</v>
      </c>
    </row>
    <row r="525" spans="1:26" x14ac:dyDescent="0.25">
      <c r="A525" s="12" t="s">
        <v>1429</v>
      </c>
      <c r="B525" s="14" t="str">
        <f>$B$38</f>
        <v>From Fiscal Forecasts</v>
      </c>
      <c r="D525" s="50">
        <f>Exogenous!$B$81*'Fiscal Forecasts'!D$58</f>
        <v>3.3978480000000002</v>
      </c>
      <c r="E525" s="50">
        <f>Exogenous!$B$81*'Fiscal Forecasts'!E$58</f>
        <v>3.6997259999999996</v>
      </c>
      <c r="F525" s="50">
        <f>Exogenous!$B$81*'Fiscal Forecasts'!F$58</f>
        <v>4.2378239999999998</v>
      </c>
      <c r="G525" s="50">
        <f>Exogenous!$B$81*'Fiscal Forecasts'!G$58</f>
        <v>5.1672659999999997</v>
      </c>
      <c r="H525" s="50">
        <f>Exogenous!$B$81*'Fiscal Forecasts'!H$58</f>
        <v>5.2989540000000002</v>
      </c>
      <c r="I525" s="50">
        <f>Exogenous!$B$81*'Fiscal Forecasts'!I$58</f>
        <v>5.5798139999999998</v>
      </c>
      <c r="J525" s="50">
        <f>Exogenous!$B$81*'Fiscal Forecasts'!J$58</f>
        <v>5.6378459999999997</v>
      </c>
      <c r="K525" s="50">
        <f>Exogenous!$B$81*'Fiscal Forecasts'!K$58</f>
        <v>6.1225620000000003</v>
      </c>
      <c r="L525" s="48">
        <f>Exogenous!$B$81*('Fiscal Forecasts'!L$58+Allocation!C$11)</f>
        <v>6.3194355599999996</v>
      </c>
      <c r="M525" s="48">
        <f>Exogenous!$B$81*('Fiscal Forecasts'!M$58+Allocation!D$11)</f>
        <v>6.4906857599999999</v>
      </c>
      <c r="N525" s="48">
        <f>Exogenous!$B$81*('Fiscal Forecasts'!N$58+Allocation!E$11)</f>
        <v>6.6639615000000001</v>
      </c>
      <c r="O525" s="48">
        <f>Exogenous!$B$81*('Fiscal Forecasts'!O$58+Allocation!F$11)</f>
        <v>6.8695770599999992</v>
      </c>
      <c r="P525" s="48">
        <f>Exogenous!$B$81*('Fiscal Forecasts'!P$58+Allocation!G$11)</f>
        <v>7.0595221199999996</v>
      </c>
      <c r="Q525" s="20">
        <f ca="1">P$525*(1+SUMPRODUCT(Exogenous!$B$84:$B$101,'Population Treasury'!AB$239:AB$256)/('Population Treasury'!AB$275/'Population Treasury'!AA$275)+SUMPRODUCT(Exogenous!$C$84:$C$101,'Population Treasury'!AB$257:AB$274)/('Population Treasury'!AB$277/'Population Treasury'!AA$277))*(1+Q$25)*(1+Q$29)*(1+OFFSET(Assumptions!$B$62,0,$C$1))</f>
        <v>7.4289136356005177</v>
      </c>
      <c r="R525" s="20">
        <f ca="1">Q$525*(1+SUMPRODUCT(Exogenous!$B$84:$B$101,'Population Treasury'!AC$239:AC$256)/('Population Treasury'!AC$275/'Population Treasury'!AB$275)+SUMPRODUCT(Exogenous!$C$84:$C$101,'Population Treasury'!AC$257:AC$274)/('Population Treasury'!AC$277/'Population Treasury'!AB$277))*(1+R$25)*(1+R$29)*(1+OFFSET(Assumptions!$B$62,0,$C$1))</f>
        <v>7.8089864545948906</v>
      </c>
      <c r="S525" s="20">
        <f ca="1">R$525*(1+SUMPRODUCT(Exogenous!$B$84:$B$101,'Population Treasury'!AD$239:AD$256)/('Population Treasury'!AD$275/'Population Treasury'!AC$275)+SUMPRODUCT(Exogenous!$C$84:$C$101,'Population Treasury'!AD$257:AD$274)/('Population Treasury'!AD$277/'Population Treasury'!AC$277))*(1+S$25)*(1+S$29)*(1+OFFSET(Assumptions!$B$62,0,$C$1))</f>
        <v>8.2004967158157598</v>
      </c>
      <c r="T525" s="20">
        <f ca="1">S$525*(1+SUMPRODUCT(Exogenous!$B$84:$B$101,'Population Treasury'!AE$239:AE$256)/('Population Treasury'!AE$275/'Population Treasury'!AD$275)+SUMPRODUCT(Exogenous!$C$84:$C$101,'Population Treasury'!AE$257:AE$274)/('Population Treasury'!AE$277/'Population Treasury'!AD$277))*(1+T$25)*(1+T$29)*(1+OFFSET(Assumptions!$B$62,0,$C$1))</f>
        <v>8.6077692084863369</v>
      </c>
      <c r="U525" s="20">
        <f ca="1">T$525*(1+SUMPRODUCT(Exogenous!$B$84:$B$101,'Population Treasury'!AF$239:AF$256)/('Population Treasury'!AF$275/'Population Treasury'!AE$275)+SUMPRODUCT(Exogenous!$C$84:$C$101,'Population Treasury'!AF$257:AF$274)/('Population Treasury'!AF$277/'Population Treasury'!AE$277))*(1+U$25)*(1+U$29)*(1+OFFSET(Assumptions!$B$62,0,$C$1))</f>
        <v>9.0327962198194633</v>
      </c>
      <c r="V525" s="20">
        <f ca="1">U$525*(1+SUMPRODUCT(Exogenous!$B$84:$B$101,'Population Treasury'!AG$239:AG$256)/('Population Treasury'!AG$275/'Population Treasury'!AF$275)+SUMPRODUCT(Exogenous!$C$84:$C$101,'Population Treasury'!AG$257:AG$274)/('Population Treasury'!AG$277/'Population Treasury'!AF$277))*(1+V$25)*(1+V$29)*(1+OFFSET(Assumptions!$B$62,0,$C$1))</f>
        <v>9.4765936735039134</v>
      </c>
      <c r="W525" s="20">
        <f ca="1">V$525*(1+SUMPRODUCT(Exogenous!$B$84:$B$101,'Population Treasury'!AH$239:AH$256)/('Population Treasury'!AH$275/'Population Treasury'!AG$275)+SUMPRODUCT(Exogenous!$C$84:$C$101,'Population Treasury'!AH$257:AH$274)/('Population Treasury'!AH$277/'Population Treasury'!AG$277))*(1+W$25)*(1+W$29)*(1+OFFSET(Assumptions!$B$62,0,$C$1))</f>
        <v>9.9379445038904652</v>
      </c>
      <c r="X525" s="20">
        <f ca="1">W$525*(1+SUMPRODUCT(Exogenous!$B$84:$B$101,'Population Treasury'!AI$239:AI$256)/('Population Treasury'!AI$275/'Population Treasury'!AH$275)+SUMPRODUCT(Exogenous!$C$84:$C$101,'Population Treasury'!AI$257:AI$274)/('Population Treasury'!AI$277/'Population Treasury'!AH$277))*(1+X$25)*(1+X$29)*(1+OFFSET(Assumptions!$B$62,0,$C$1))</f>
        <v>10.418112207876447</v>
      </c>
      <c r="Y525" s="20">
        <f ca="1">X$525*(1+SUMPRODUCT(Exogenous!$B$84:$B$101,'Population Treasury'!AJ$239:AJ$256)/('Population Treasury'!AJ$275/'Population Treasury'!AI$275)+SUMPRODUCT(Exogenous!$C$84:$C$101,'Population Treasury'!AJ$257:AJ$274)/('Population Treasury'!AJ$277/'Population Treasury'!AI$277))*(1+Y$25)*(1+Y$29)*(1+OFFSET(Assumptions!$B$62,0,$C$1))</f>
        <v>10.920632978553819</v>
      </c>
      <c r="Z525" s="20">
        <f ca="1">Y$525*(1+SUMPRODUCT(Exogenous!$B$84:$B$101,'Population Treasury'!AK$239:AK$256)/('Population Treasury'!AK$275/'Population Treasury'!AJ$275)+SUMPRODUCT(Exogenous!$C$84:$C$101,'Population Treasury'!AK$257:AK$274)/('Population Treasury'!AK$277/'Population Treasury'!AJ$277))*(1+Z$25)*(1+Z$29)*(1+OFFSET(Assumptions!$B$62,0,$C$1))</f>
        <v>11.444226989175426</v>
      </c>
    </row>
    <row r="526" spans="1:26" x14ac:dyDescent="0.25">
      <c r="A526" s="12" t="s">
        <v>1430</v>
      </c>
      <c r="B526" s="14" t="str">
        <f>$B$38</f>
        <v>From Fiscal Forecasts</v>
      </c>
      <c r="D526" s="50">
        <f>Exogenous!$E$81*'Fiscal Forecasts'!D$58</f>
        <v>10.540635999999999</v>
      </c>
      <c r="E526" s="50">
        <f>Exogenous!$E$81*'Fiscal Forecasts'!E$58</f>
        <v>11.477106999999998</v>
      </c>
      <c r="F526" s="50">
        <f>Exogenous!$E$81*'Fiscal Forecasts'!F$58</f>
        <v>13.146367999999999</v>
      </c>
      <c r="G526" s="50">
        <f>Exogenous!$E$81*'Fiscal Forecasts'!G$58</f>
        <v>16.029636999999997</v>
      </c>
      <c r="H526" s="50">
        <f>Exogenous!$E$81*'Fiscal Forecasts'!H$58</f>
        <v>16.438153</v>
      </c>
      <c r="I526" s="50">
        <f>Exogenous!$E$81*'Fiscal Forecasts'!I$58</f>
        <v>17.309422999999999</v>
      </c>
      <c r="J526" s="50">
        <f>Exogenous!$E$81*'Fiscal Forecasts'!J$58</f>
        <v>17.489446999999998</v>
      </c>
      <c r="K526" s="50">
        <f>Exogenous!$E$81*'Fiscal Forecasts'!K$58</f>
        <v>18.993109</v>
      </c>
      <c r="L526" s="48">
        <f>Exogenous!$E$81*('Fiscal Forecasts'!L$58+Allocation!C$11)</f>
        <v>19.603840419999997</v>
      </c>
      <c r="M526" s="48">
        <f>Exogenous!$E$81*('Fiscal Forecasts'!M$58+Allocation!D$11)</f>
        <v>20.135084320000001</v>
      </c>
      <c r="N526" s="48">
        <f>Exogenous!$E$81*('Fiscal Forecasts'!N$58+Allocation!E$11)</f>
        <v>20.672611749999998</v>
      </c>
      <c r="O526" s="48">
        <f>Exogenous!$E$81*('Fiscal Forecasts'!O$58+Allocation!F$11)</f>
        <v>21.310462169999997</v>
      </c>
      <c r="P526" s="48">
        <f>Exogenous!$E$81*('Fiscal Forecasts'!P$58+Allocation!G$11)</f>
        <v>21.899700339999999</v>
      </c>
      <c r="Q526" s="20">
        <f ca="1">P$526*(1+SUMPRODUCT(Exogenous!$E$84:$E$101,'Population Treasury'!AB$239:AB$256)/('Population Treasury'!AB$275/'Population Treasury'!AA$275)+SUMPRODUCT(Exogenous!$F$84:$F$101,'Population Treasury'!AB$257:AB$274)/('Population Treasury'!AB$277/'Population Treasury'!AA$277))*(1+Q$25)*(1+Q$29)*(1+OFFSET(Assumptions!$B$62,0,$C$1))</f>
        <v>23.052601947296143</v>
      </c>
      <c r="R526" s="20">
        <f ca="1">Q$526*(1+SUMPRODUCT(Exogenous!$E$84:$E$101,'Population Treasury'!AC$239:AC$256)/('Population Treasury'!AC$275/'Population Treasury'!AB$275)+SUMPRODUCT(Exogenous!$F$84:$F$101,'Population Treasury'!AC$257:AC$274)/('Population Treasury'!AC$277/'Population Treasury'!AB$277))*(1+R$25)*(1+R$29)*(1+OFFSET(Assumptions!$B$62,0,$C$1))</f>
        <v>24.234511086806748</v>
      </c>
      <c r="S526" s="20">
        <f ca="1">R$526*(1+SUMPRODUCT(Exogenous!$E$84:$E$101,'Population Treasury'!AD$239:AD$256)/('Population Treasury'!AD$275/'Population Treasury'!AC$275)+SUMPRODUCT(Exogenous!$F$84:$F$101,'Population Treasury'!AD$257:AD$274)/('Population Treasury'!AD$277/'Population Treasury'!AC$277))*(1+S$25)*(1+S$29)*(1+OFFSET(Assumptions!$B$62,0,$C$1))</f>
        <v>25.451344799096869</v>
      </c>
      <c r="T526" s="20">
        <f ca="1">S$526*(1+SUMPRODUCT(Exogenous!$E$84:$E$101,'Population Treasury'!AE$239:AE$256)/('Population Treasury'!AE$275/'Population Treasury'!AD$275)+SUMPRODUCT(Exogenous!$F$84:$F$101,'Population Treasury'!AE$257:AE$274)/('Population Treasury'!AE$277/'Population Treasury'!AD$277))*(1+T$25)*(1+T$29)*(1+OFFSET(Assumptions!$B$62,0,$C$1))</f>
        <v>26.712076249096864</v>
      </c>
      <c r="U526" s="20">
        <f ca="1">T$526*(1+SUMPRODUCT(Exogenous!$E$84:$E$101,'Population Treasury'!AF$239:AF$256)/('Population Treasury'!AF$275/'Population Treasury'!AE$275)+SUMPRODUCT(Exogenous!$F$84:$F$101,'Population Treasury'!AF$257:AF$274)/('Population Treasury'!AF$277/'Population Treasury'!AE$277))*(1+U$25)*(1+U$29)*(1+OFFSET(Assumptions!$B$62,0,$C$1))</f>
        <v>28.029342885296561</v>
      </c>
      <c r="V526" s="20">
        <f ca="1">U$526*(1+SUMPRODUCT(Exogenous!$E$84:$E$101,'Population Treasury'!AG$239:AG$256)/('Population Treasury'!AG$275/'Population Treasury'!AF$275)+SUMPRODUCT(Exogenous!$F$84:$F$101,'Population Treasury'!AG$257:AG$274)/('Population Treasury'!AG$277/'Population Treasury'!AF$277))*(1+V$25)*(1+V$29)*(1+OFFSET(Assumptions!$B$62,0,$C$1))</f>
        <v>29.410650097994946</v>
      </c>
      <c r="W526" s="20">
        <f ca="1">V$526*(1+SUMPRODUCT(Exogenous!$E$84:$E$101,'Population Treasury'!AH$239:AH$256)/('Population Treasury'!AH$275/'Population Treasury'!AG$275)+SUMPRODUCT(Exogenous!$F$84:$F$101,'Population Treasury'!AH$257:AH$274)/('Population Treasury'!AH$277/'Population Treasury'!AG$277))*(1+W$25)*(1+W$29)*(1+OFFSET(Assumptions!$B$62,0,$C$1))</f>
        <v>30.84858233451013</v>
      </c>
      <c r="X526" s="20">
        <f ca="1">W$526*(1+SUMPRODUCT(Exogenous!$E$84:$E$101,'Population Treasury'!AI$239:AI$256)/('Population Treasury'!AI$275/'Population Treasury'!AH$275)+SUMPRODUCT(Exogenous!$F$84:$F$101,'Population Treasury'!AI$257:AI$274)/('Population Treasury'!AI$277/'Population Treasury'!AH$277))*(1+X$25)*(1+X$29)*(1+OFFSET(Assumptions!$B$62,0,$C$1))</f>
        <v>32.348987844377653</v>
      </c>
      <c r="Y526" s="20">
        <f ca="1">X$526*(1+SUMPRODUCT(Exogenous!$E$84:$E$101,'Population Treasury'!AJ$239:AJ$256)/('Population Treasury'!AJ$275/'Population Treasury'!AI$275)+SUMPRODUCT(Exogenous!$F$84:$F$101,'Population Treasury'!AJ$257:AJ$274)/('Population Treasury'!AJ$277/'Population Treasury'!AI$277))*(1+Y$25)*(1+Y$29)*(1+OFFSET(Assumptions!$B$62,0,$C$1))</f>
        <v>33.915625471157881</v>
      </c>
      <c r="Z526" s="20">
        <f ca="1">Y$526*(1+SUMPRODUCT(Exogenous!$E$84:$E$101,'Population Treasury'!AK$239:AK$256)/('Population Treasury'!AK$275/'Population Treasury'!AJ$275)+SUMPRODUCT(Exogenous!$F$84:$F$101,'Population Treasury'!AK$257:AK$274)/('Population Treasury'!AK$277/'Population Treasury'!AJ$277))*(1+Z$25)*(1+Z$29)*(1+OFFSET(Assumptions!$B$62,0,$C$1))</f>
        <v>35.551773266129644</v>
      </c>
    </row>
    <row r="527" spans="1:26" x14ac:dyDescent="0.25">
      <c r="A527" s="12" t="s">
        <v>1431</v>
      </c>
      <c r="B527" s="14" t="str">
        <f>$B$38</f>
        <v>From Fiscal Forecasts</v>
      </c>
      <c r="D527" s="50">
        <f>Exogenous!$H$81*'Fiscal Forecasts'!D$58</f>
        <v>1.6806559999999999</v>
      </c>
      <c r="E527" s="50">
        <f>Exogenous!$H$81*'Fiscal Forecasts'!E$58</f>
        <v>1.8299719999999997</v>
      </c>
      <c r="F527" s="50">
        <f>Exogenous!$H$81*'Fiscal Forecasts'!F$58</f>
        <v>2.0961279999999998</v>
      </c>
      <c r="G527" s="50">
        <f>Exogenous!$H$81*'Fiscal Forecasts'!G$58</f>
        <v>2.5558519999999998</v>
      </c>
      <c r="H527" s="50">
        <f>Exogenous!$H$81*'Fiscal Forecasts'!H$58</f>
        <v>2.6209880000000001</v>
      </c>
      <c r="I527" s="50">
        <f>Exogenous!$H$81*'Fiscal Forecasts'!I$58</f>
        <v>2.7599079999999998</v>
      </c>
      <c r="J527" s="50">
        <f>Exogenous!$H$81*'Fiscal Forecasts'!J$58</f>
        <v>2.7886120000000001</v>
      </c>
      <c r="K527" s="50">
        <f>Exogenous!$H$81*'Fiscal Forecasts'!K$58</f>
        <v>3.0283640000000003</v>
      </c>
      <c r="L527" s="48">
        <f>Exogenous!$H$81*('Fiscal Forecasts'!L$58+Allocation!C$11)</f>
        <v>3.1257423199999996</v>
      </c>
      <c r="M527" s="48">
        <f>Exogenous!$H$81*('Fiscal Forecasts'!M$58+Allocation!D$11)</f>
        <v>3.2104467200000002</v>
      </c>
      <c r="N527" s="48">
        <f>Exogenous!$H$81*('Fiscal Forecasts'!N$58+Allocation!E$11)</f>
        <v>3.2961529999999999</v>
      </c>
      <c r="O527" s="48">
        <f>Exogenous!$H$81*('Fiscal Forecasts'!O$58+Allocation!F$11)</f>
        <v>3.3978553199999997</v>
      </c>
      <c r="P527" s="48">
        <f>Exogenous!$H$81*('Fiscal Forecasts'!P$58+Allocation!G$11)</f>
        <v>3.4918066399999996</v>
      </c>
      <c r="Q527" s="20">
        <f ca="1">P$527*(1+SUMPRODUCT(Exogenous!$H$84:$H$101,'Population Treasury'!AB$239:AB$256)/('Population Treasury'!AB$275/'Population Treasury'!AA$275)+SUMPRODUCT(Exogenous!$I$84:$I$101,'Population Treasury'!AB$257:AB$274)/('Population Treasury'!AB$277/'Population Treasury'!AA$277))*(1+Q$25)*(1+Q$29)*(1+OFFSET(Assumptions!$B$62,0,$C$1))</f>
        <v>3.6537129003716093</v>
      </c>
      <c r="R527" s="20">
        <f ca="1">Q$527*(1+SUMPRODUCT(Exogenous!$H$84:$H$101,'Population Treasury'!AC$239:AC$256)/('Population Treasury'!AC$275/'Population Treasury'!AB$275)+SUMPRODUCT(Exogenous!$I$84:$I$101,'Population Treasury'!AC$257:AC$274)/('Population Treasury'!AC$277/'Population Treasury'!AB$277))*(1+R$25)*(1+R$29)*(1+OFFSET(Assumptions!$B$62,0,$C$1))</f>
        <v>3.8193038881661181</v>
      </c>
      <c r="S527" s="20">
        <f ca="1">R$527*(1+SUMPRODUCT(Exogenous!$H$84:$H$101,'Population Treasury'!AD$239:AD$256)/('Population Treasury'!AD$275/'Population Treasury'!AC$275)+SUMPRODUCT(Exogenous!$I$84:$I$101,'Population Treasury'!AD$257:AD$274)/('Population Treasury'!AD$277/'Population Treasury'!AC$277))*(1+S$25)*(1+S$29)*(1+OFFSET(Assumptions!$B$62,0,$C$1))</f>
        <v>3.9901051321366552</v>
      </c>
      <c r="T527" s="20">
        <f ca="1">S$527*(1+SUMPRODUCT(Exogenous!$H$84:$H$101,'Population Treasury'!AE$239:AE$256)/('Population Treasury'!AE$275/'Population Treasury'!AD$275)+SUMPRODUCT(Exogenous!$I$84:$I$101,'Population Treasury'!AE$257:AE$274)/('Population Treasury'!AE$277/'Population Treasury'!AD$277))*(1+T$25)*(1+T$29)*(1+OFFSET(Assumptions!$B$62,0,$C$1))</f>
        <v>4.1671390190779007</v>
      </c>
      <c r="U527" s="20">
        <f ca="1">T$527*(1+SUMPRODUCT(Exogenous!$H$84:$H$101,'Population Treasury'!AF$239:AF$256)/('Population Treasury'!AF$275/'Population Treasury'!AE$275)+SUMPRODUCT(Exogenous!$I$84:$I$101,'Population Treasury'!AF$257:AF$274)/('Population Treasury'!AF$277/'Population Treasury'!AE$277))*(1+U$25)*(1+U$29)*(1+OFFSET(Assumptions!$B$62,0,$C$1))</f>
        <v>4.3519758878716051</v>
      </c>
      <c r="V527" s="20">
        <f ca="1">U$527*(1+SUMPRODUCT(Exogenous!$H$84:$H$101,'Population Treasury'!AG$239:AG$256)/('Population Treasury'!AG$275/'Population Treasury'!AF$275)+SUMPRODUCT(Exogenous!$I$84:$I$101,'Population Treasury'!AG$257:AG$274)/('Population Treasury'!AG$277/'Population Treasury'!AF$277))*(1+V$25)*(1+V$29)*(1+OFFSET(Assumptions!$B$62,0,$C$1))</f>
        <v>4.545102903131367</v>
      </c>
      <c r="W527" s="20">
        <f ca="1">V$527*(1+SUMPRODUCT(Exogenous!$H$84:$H$101,'Population Treasury'!AH$239:AH$256)/('Population Treasury'!AH$275/'Population Treasury'!AG$275)+SUMPRODUCT(Exogenous!$I$84:$I$101,'Population Treasury'!AH$257:AH$274)/('Population Treasury'!AH$277/'Population Treasury'!AG$277))*(1+W$25)*(1+W$29)*(1+OFFSET(Assumptions!$B$62,0,$C$1))</f>
        <v>4.7428816365340367</v>
      </c>
      <c r="X527" s="20">
        <f ca="1">W$527*(1+SUMPRODUCT(Exogenous!$H$84:$H$101,'Population Treasury'!AI$239:AI$256)/('Population Treasury'!AI$275/'Population Treasury'!AH$275)+SUMPRODUCT(Exogenous!$I$84:$I$101,'Population Treasury'!AI$257:AI$274)/('Population Treasury'!AI$277/'Population Treasury'!AH$277))*(1+X$25)*(1+X$29)*(1+OFFSET(Assumptions!$B$62,0,$C$1))</f>
        <v>4.9484375652464072</v>
      </c>
      <c r="Y527" s="20">
        <f ca="1">X$527*(1+SUMPRODUCT(Exogenous!$H$84:$H$101,'Population Treasury'!AJ$239:AJ$256)/('Population Treasury'!AJ$275/'Population Treasury'!AI$275)+SUMPRODUCT(Exogenous!$I$84:$I$101,'Population Treasury'!AJ$257:AJ$274)/('Population Treasury'!AJ$277/'Population Treasury'!AI$277))*(1+Y$25)*(1+Y$29)*(1+OFFSET(Assumptions!$B$62,0,$C$1))</f>
        <v>5.1636257897273579</v>
      </c>
      <c r="Z527" s="20">
        <f ca="1">Y$527*(1+SUMPRODUCT(Exogenous!$H$84:$H$101,'Population Treasury'!AK$239:AK$256)/('Population Treasury'!AK$275/'Population Treasury'!AJ$275)+SUMPRODUCT(Exogenous!$I$84:$I$101,'Population Treasury'!AK$257:AK$274)/('Population Treasury'!AK$277/'Population Treasury'!AJ$277))*(1+Z$25)*(1+Z$29)*(1+OFFSET(Assumptions!$B$62,0,$C$1))</f>
        <v>5.3870590363441053</v>
      </c>
    </row>
    <row r="528" spans="1:26" x14ac:dyDescent="0.25">
      <c r="A528" s="12" t="s">
        <v>1432</v>
      </c>
      <c r="B528" s="14" t="str">
        <f>$B$38</f>
        <v>From Fiscal Forecasts</v>
      </c>
      <c r="D528" s="50">
        <f>Exogenous!$K$81*'Fiscal Forecasts'!D$58</f>
        <v>1.3701000000000001</v>
      </c>
      <c r="E528" s="50">
        <f>Exogenous!$K$81*'Fiscal Forecasts'!E$58</f>
        <v>1.4918249999999997</v>
      </c>
      <c r="F528" s="50">
        <f>Exogenous!$K$81*'Fiscal Forecasts'!F$58</f>
        <v>1.7087999999999999</v>
      </c>
      <c r="G528" s="50">
        <f>Exogenous!$K$81*'Fiscal Forecasts'!G$58</f>
        <v>2.0835749999999997</v>
      </c>
      <c r="H528" s="50">
        <f>Exogenous!$K$81*'Fiscal Forecasts'!H$58</f>
        <v>2.1366749999999999</v>
      </c>
      <c r="I528" s="50">
        <f>Exogenous!$K$81*'Fiscal Forecasts'!I$58</f>
        <v>2.2499249999999997</v>
      </c>
      <c r="J528" s="50">
        <f>Exogenous!$K$81*'Fiscal Forecasts'!J$58</f>
        <v>2.2733249999999998</v>
      </c>
      <c r="K528" s="50">
        <f>Exogenous!$K$81*'Fiscal Forecasts'!K$58</f>
        <v>2.4687749999999999</v>
      </c>
      <c r="L528" s="48">
        <f>Exogenous!$K$81*('Fiscal Forecasts'!L$58+Allocation!C$11)</f>
        <v>2.5481594999999997</v>
      </c>
      <c r="M528" s="48">
        <f>Exogenous!$K$81*('Fiscal Forecasts'!M$58+Allocation!D$11)</f>
        <v>2.6172119999999999</v>
      </c>
      <c r="N528" s="48">
        <f>Exogenous!$K$81*('Fiscal Forecasts'!N$58+Allocation!E$11)</f>
        <v>2.6870812499999999</v>
      </c>
      <c r="O528" s="48">
        <f>Exogenous!$K$81*('Fiscal Forecasts'!O$58+Allocation!F$11)</f>
        <v>2.7699907499999994</v>
      </c>
      <c r="P528" s="48">
        <f>Exogenous!$K$81*('Fiscal Forecasts'!P$58+Allocation!G$11)</f>
        <v>2.8465814999999997</v>
      </c>
      <c r="Q528" s="20">
        <f ca="1">P$528*(1+SUMPRODUCT(Exogenous!$K$84:$K$101,'Population Treasury'!AB$239:AB$256)/('Population Treasury'!AB$276/'Population Treasury'!AA$276)+SUMPRODUCT(Exogenous!$L$84:$L$101,'Population Treasury'!AB$257:AB$274)/('Population Treasury'!AB$278/'Population Treasury'!AA$278))*(1+Q$25)*(1+Q$29)*(1+OFFSET(Assumptions!$B$62,0,$C$1))</f>
        <v>3.0874855282296045</v>
      </c>
      <c r="R528" s="20">
        <f ca="1">Q$528*(1+SUMPRODUCT(Exogenous!$K$84:$K$101,'Population Treasury'!AC$239:AC$256)/('Population Treasury'!AC$276/'Population Treasury'!AB$276)+SUMPRODUCT(Exogenous!$L$84:$L$101,'Population Treasury'!AC$257:AC$274)/('Population Treasury'!AC$278/'Population Treasury'!AB$278))*(1+R$25)*(1+R$29)*(1+OFFSET(Assumptions!$B$62,0,$C$1))</f>
        <v>3.3319428592428166</v>
      </c>
      <c r="S528" s="20">
        <f ca="1">R$528*(1+SUMPRODUCT(Exogenous!$K$84:$K$101,'Population Treasury'!AD$239:AD$256)/('Population Treasury'!AD$276/'Population Treasury'!AC$276)+SUMPRODUCT(Exogenous!$L$84:$L$101,'Population Treasury'!AD$257:AD$274)/('Population Treasury'!AD$278/'Population Treasury'!AC$278))*(1+S$25)*(1+S$29)*(1+OFFSET(Assumptions!$B$62,0,$C$1))</f>
        <v>3.5790959442523009</v>
      </c>
      <c r="T528" s="20">
        <f ca="1">S$528*(1+SUMPRODUCT(Exogenous!$K$84:$K$101,'Population Treasury'!AE$239:AE$256)/('Population Treasury'!AE$276/'Population Treasury'!AD$276)+SUMPRODUCT(Exogenous!$L$84:$L$101,'Population Treasury'!AE$257:AE$274)/('Population Treasury'!AE$278/'Population Treasury'!AD$278))*(1+T$25)*(1+T$29)*(1+OFFSET(Assumptions!$B$62,0,$C$1))</f>
        <v>3.8385640344022876</v>
      </c>
      <c r="U528" s="20">
        <f ca="1">T$528*(1+SUMPRODUCT(Exogenous!$K$84:$K$101,'Population Treasury'!AF$239:AF$256)/('Population Treasury'!AF$276/'Population Treasury'!AE$276)+SUMPRODUCT(Exogenous!$L$84:$L$101,'Population Treasury'!AF$257:AF$274)/('Population Treasury'!AF$278/'Population Treasury'!AE$278))*(1+U$25)*(1+U$29)*(1+OFFSET(Assumptions!$B$62,0,$C$1))</f>
        <v>4.1054307609820002</v>
      </c>
      <c r="V528" s="20">
        <f ca="1">U$528*(1+SUMPRODUCT(Exogenous!$K$84:$K$101,'Population Treasury'!AG$239:AG$256)/('Population Treasury'!AG$276/'Population Treasury'!AF$276)+SUMPRODUCT(Exogenous!$L$84:$L$101,'Population Treasury'!AG$257:AG$274)/('Population Treasury'!AG$278/'Population Treasury'!AF$278))*(1+V$25)*(1+V$29)*(1+OFFSET(Assumptions!$B$62,0,$C$1))</f>
        <v>4.3871140108467168</v>
      </c>
      <c r="W528" s="20">
        <f ca="1">V$528*(1+SUMPRODUCT(Exogenous!$K$84:$K$101,'Population Treasury'!AH$239:AH$256)/('Population Treasury'!AH$276/'Population Treasury'!AG$276)+SUMPRODUCT(Exogenous!$L$84:$L$101,'Population Treasury'!AH$257:AH$274)/('Population Treasury'!AH$278/'Population Treasury'!AG$278))*(1+W$25)*(1+W$29)*(1+OFFSET(Assumptions!$B$62,0,$C$1))</f>
        <v>4.6806104282027867</v>
      </c>
      <c r="X528" s="20">
        <f ca="1">W$528*(1+SUMPRODUCT(Exogenous!$K$84:$K$101,'Population Treasury'!AI$239:AI$256)/('Population Treasury'!AI$276/'Population Treasury'!AH$276)+SUMPRODUCT(Exogenous!$L$84:$L$101,'Population Treasury'!AI$257:AI$274)/('Population Treasury'!AI$278/'Population Treasury'!AH$278))*(1+X$25)*(1+X$29)*(1+OFFSET(Assumptions!$B$62,0,$C$1))</f>
        <v>4.9923185868644184</v>
      </c>
      <c r="Y528" s="20">
        <f ca="1">X$528*(1+SUMPRODUCT(Exogenous!$K$84:$K$101,'Population Treasury'!AJ$239:AJ$256)/('Population Treasury'!AJ$276/'Population Treasury'!AI$276)+SUMPRODUCT(Exogenous!$L$84:$L$101,'Population Treasury'!AJ$257:AJ$274)/('Population Treasury'!AJ$278/'Population Treasury'!AI$278))*(1+Y$25)*(1+Y$29)*(1+OFFSET(Assumptions!$B$62,0,$C$1))</f>
        <v>5.3166139956171197</v>
      </c>
      <c r="Z528" s="20">
        <f ca="1">Y$528*(1+SUMPRODUCT(Exogenous!$K$84:$K$101,'Population Treasury'!AK$239:AK$256)/('Population Treasury'!AK$276/'Population Treasury'!AJ$276)+SUMPRODUCT(Exogenous!$L$84:$L$101,'Population Treasury'!AK$257:AK$274)/('Population Treasury'!AK$278/'Population Treasury'!AJ$278))*(1+Z$25)*(1+Z$29)*(1+OFFSET(Assumptions!$B$62,0,$C$1))</f>
        <v>5.6609245870496947</v>
      </c>
    </row>
    <row r="529" spans="1:26" x14ac:dyDescent="0.25">
      <c r="A529" s="12" t="s">
        <v>1433</v>
      </c>
      <c r="B529" s="14" t="str">
        <f>$B$38</f>
        <v>From Fiscal Forecasts</v>
      </c>
      <c r="D529" s="50">
        <f>Exogenous!$N$81*'Fiscal Forecasts'!D$58</f>
        <v>1.2787600000000001</v>
      </c>
      <c r="E529" s="50">
        <f>Exogenous!$N$81*'Fiscal Forecasts'!E$58</f>
        <v>1.3923700000000001</v>
      </c>
      <c r="F529" s="50">
        <f>Exogenous!$N$81*'Fiscal Forecasts'!F$58</f>
        <v>1.5948800000000001</v>
      </c>
      <c r="G529" s="50">
        <f>Exogenous!$N$81*'Fiscal Forecasts'!G$58</f>
        <v>1.9446700000000001</v>
      </c>
      <c r="H529" s="50">
        <f>Exogenous!$N$81*'Fiscal Forecasts'!H$58</f>
        <v>1.9942300000000002</v>
      </c>
      <c r="I529" s="50">
        <f>Exogenous!$N$81*'Fiscal Forecasts'!I$58</f>
        <v>2.0999300000000001</v>
      </c>
      <c r="J529" s="50">
        <f>Exogenous!$N$81*'Fiscal Forecasts'!J$58</f>
        <v>2.1217700000000002</v>
      </c>
      <c r="K529" s="50">
        <f>Exogenous!$N$81*'Fiscal Forecasts'!K$58</f>
        <v>2.3041900000000002</v>
      </c>
      <c r="L529" s="48">
        <f>Exogenous!$N$81*('Fiscal Forecasts'!L$58+Allocation!C$11)</f>
        <v>2.3782822000000001</v>
      </c>
      <c r="M529" s="48">
        <f>Exogenous!$N$81*('Fiscal Forecasts'!M$58+Allocation!D$11)</f>
        <v>2.4427312000000003</v>
      </c>
      <c r="N529" s="48">
        <f>Exogenous!$N$81*('Fiscal Forecasts'!N$58+Allocation!E$11)</f>
        <v>2.5079425000000004</v>
      </c>
      <c r="O529" s="48">
        <f>Exogenous!$N$81*('Fiscal Forecasts'!O$58+Allocation!F$11)</f>
        <v>2.5853247000000001</v>
      </c>
      <c r="P529" s="48">
        <f>Exogenous!$N$81*('Fiscal Forecasts'!P$58+Allocation!G$11)</f>
        <v>2.6568094000000002</v>
      </c>
      <c r="Q529" s="20">
        <f ca="1">P$529*(1+SUMPRODUCT(Exogenous!$N$84:$N$101,'Population Treasury'!AB$239:AB$256)/('Population Treasury'!AB$276/'Population Treasury'!AA$276)+SUMPRODUCT(Exogenous!$O$84:$O$101,'Population Treasury'!AB$257:AB$274)/('Population Treasury'!AB$278/'Population Treasury'!AA$278))*(1+Q$25)*(1+Q$29)*(1+OFFSET(Assumptions!$B$62,0,$C$1))</f>
        <v>2.860532667525741</v>
      </c>
      <c r="R529" s="20">
        <f ca="1">Q$529*(1+SUMPRODUCT(Exogenous!$N$84:$N$101,'Population Treasury'!AC$239:AC$256)/('Population Treasury'!AC$276/'Population Treasury'!AB$276)+SUMPRODUCT(Exogenous!$O$84:$O$101,'Population Treasury'!AC$257:AC$274)/('Population Treasury'!AC$278/'Population Treasury'!AB$278))*(1+R$25)*(1+R$29)*(1+OFFSET(Assumptions!$B$62,0,$C$1))</f>
        <v>3.0681927900839883</v>
      </c>
      <c r="S529" s="20">
        <f ca="1">R$529*(1+SUMPRODUCT(Exogenous!$N$84:$N$101,'Population Treasury'!AD$239:AD$256)/('Population Treasury'!AD$276/'Population Treasury'!AC$276)+SUMPRODUCT(Exogenous!$O$84:$O$101,'Population Treasury'!AD$257:AD$274)/('Population Treasury'!AD$278/'Population Treasury'!AC$278))*(1+S$25)*(1+S$29)*(1+OFFSET(Assumptions!$B$62,0,$C$1))</f>
        <v>3.2799278302759483</v>
      </c>
      <c r="T529" s="20">
        <f ca="1">S$529*(1+SUMPRODUCT(Exogenous!$N$84:$N$101,'Population Treasury'!AE$239:AE$256)/('Population Treasury'!AE$276/'Population Treasury'!AD$276)+SUMPRODUCT(Exogenous!$O$84:$O$101,'Population Treasury'!AE$257:AE$274)/('Population Treasury'!AE$278/'Population Treasury'!AD$278))*(1+T$25)*(1+T$29)*(1+OFFSET(Assumptions!$B$62,0,$C$1))</f>
        <v>3.5003944589464093</v>
      </c>
      <c r="U529" s="20">
        <f ca="1">T$529*(1+SUMPRODUCT(Exogenous!$N$84:$N$101,'Population Treasury'!AF$239:AF$256)/('Population Treasury'!AF$276/'Population Treasury'!AE$276)+SUMPRODUCT(Exogenous!$O$84:$O$101,'Population Treasury'!AF$257:AF$274)/('Population Treasury'!AF$278/'Population Treasury'!AE$278))*(1+U$25)*(1+U$29)*(1+OFFSET(Assumptions!$B$62,0,$C$1))</f>
        <v>3.7290545008005065</v>
      </c>
      <c r="V529" s="20">
        <f ca="1">U$529*(1+SUMPRODUCT(Exogenous!$N$84:$N$101,'Population Treasury'!AG$239:AG$256)/('Population Treasury'!AG$276/'Population Treasury'!AF$276)+SUMPRODUCT(Exogenous!$O$84:$O$101,'Population Treasury'!AG$257:AG$274)/('Population Treasury'!AG$278/'Population Treasury'!AF$278))*(1+V$25)*(1+V$29)*(1+OFFSET(Assumptions!$B$62,0,$C$1))</f>
        <v>3.9690540100741778</v>
      </c>
      <c r="W529" s="20">
        <f ca="1">V$529*(1+SUMPRODUCT(Exogenous!$N$84:$N$101,'Population Treasury'!AH$239:AH$256)/('Population Treasury'!AH$276/'Population Treasury'!AG$276)+SUMPRODUCT(Exogenous!$O$84:$O$101,'Population Treasury'!AH$257:AH$274)/('Population Treasury'!AH$278/'Population Treasury'!AG$278))*(1+W$25)*(1+W$29)*(1+OFFSET(Assumptions!$B$62,0,$C$1))</f>
        <v>4.2183855861107116</v>
      </c>
      <c r="X529" s="20">
        <f ca="1">W$529*(1+SUMPRODUCT(Exogenous!$N$84:$N$101,'Population Treasury'!AI$239:AI$256)/('Population Treasury'!AI$276/'Population Treasury'!AH$276)+SUMPRODUCT(Exogenous!$O$84:$O$101,'Population Treasury'!AI$257:AI$274)/('Population Treasury'!AI$278/'Population Treasury'!AH$278))*(1+X$25)*(1+X$29)*(1+OFFSET(Assumptions!$B$62,0,$C$1))</f>
        <v>4.4808322631300177</v>
      </c>
      <c r="Y529" s="20">
        <f ca="1">X$529*(1+SUMPRODUCT(Exogenous!$N$84:$N$101,'Population Treasury'!AJ$239:AJ$256)/('Population Treasury'!AJ$276/'Population Treasury'!AI$276)+SUMPRODUCT(Exogenous!$O$84:$O$101,'Population Treasury'!AJ$257:AJ$274)/('Population Treasury'!AJ$278/'Population Treasury'!AI$278))*(1+Y$25)*(1+Y$29)*(1+OFFSET(Assumptions!$B$62,0,$C$1))</f>
        <v>4.7521146106172338</v>
      </c>
      <c r="Z529" s="20">
        <f ca="1">Y$529*(1+SUMPRODUCT(Exogenous!$N$84:$N$101,'Population Treasury'!AK$239:AK$256)/('Population Treasury'!AK$276/'Population Treasury'!AJ$276)+SUMPRODUCT(Exogenous!$O$84:$O$101,'Population Treasury'!AK$257:AK$274)/('Population Treasury'!AK$278/'Population Treasury'!AJ$278))*(1+Z$25)*(1+Z$29)*(1+OFFSET(Assumptions!$B$62,0,$C$1))</f>
        <v>5.0381418012433974</v>
      </c>
    </row>
    <row r="530" spans="1:26" x14ac:dyDescent="0.25">
      <c r="A530" s="11" t="s">
        <v>1275</v>
      </c>
      <c r="D530" s="94">
        <f t="shared" ref="D530:Z530" si="311">SUM(D$525:D$529)</f>
        <v>18.268000000000001</v>
      </c>
      <c r="E530" s="94">
        <f t="shared" si="311"/>
        <v>19.890999999999998</v>
      </c>
      <c r="F530" s="94">
        <f t="shared" si="311"/>
        <v>22.783999999999999</v>
      </c>
      <c r="G530" s="94">
        <f t="shared" si="311"/>
        <v>27.780999999999999</v>
      </c>
      <c r="H530" s="94">
        <f t="shared" si="311"/>
        <v>28.489000000000004</v>
      </c>
      <c r="I530" s="94">
        <f t="shared" si="311"/>
        <v>29.998999999999999</v>
      </c>
      <c r="J530" s="94">
        <f t="shared" si="311"/>
        <v>30.311</v>
      </c>
      <c r="K530" s="94">
        <f t="shared" si="311"/>
        <v>32.917000000000002</v>
      </c>
      <c r="L530" s="95">
        <f t="shared" si="311"/>
        <v>33.975459999999998</v>
      </c>
      <c r="M530" s="95">
        <f t="shared" si="311"/>
        <v>34.896160000000002</v>
      </c>
      <c r="N530" s="95">
        <f t="shared" si="311"/>
        <v>35.827749999999995</v>
      </c>
      <c r="O530" s="95">
        <f t="shared" si="311"/>
        <v>36.933209999999995</v>
      </c>
      <c r="P530" s="95">
        <f t="shared" si="311"/>
        <v>37.954419999999999</v>
      </c>
      <c r="Q530" s="96">
        <f t="shared" ca="1" si="311"/>
        <v>40.083246679023617</v>
      </c>
      <c r="R530" s="96">
        <f t="shared" ca="1" si="311"/>
        <v>42.262937078894559</v>
      </c>
      <c r="S530" s="96">
        <f t="shared" ca="1" si="311"/>
        <v>44.500970421577534</v>
      </c>
      <c r="T530" s="96">
        <f t="shared" ca="1" si="311"/>
        <v>46.825942970009798</v>
      </c>
      <c r="U530" s="96">
        <f t="shared" ca="1" si="311"/>
        <v>49.248600254770139</v>
      </c>
      <c r="V530" s="96">
        <f t="shared" ca="1" si="311"/>
        <v>51.788514695551115</v>
      </c>
      <c r="W530" s="96">
        <f t="shared" ca="1" si="311"/>
        <v>54.428404489248138</v>
      </c>
      <c r="X530" s="96">
        <f t="shared" ca="1" si="311"/>
        <v>57.188688467494948</v>
      </c>
      <c r="Y530" s="96">
        <f t="shared" ca="1" si="311"/>
        <v>60.068612845673407</v>
      </c>
      <c r="Z530" s="96">
        <f t="shared" ca="1" si="311"/>
        <v>63.082125679942266</v>
      </c>
    </row>
    <row r="532" spans="1:26" x14ac:dyDescent="0.25">
      <c r="A532" s="11" t="s">
        <v>1277</v>
      </c>
    </row>
    <row r="533" spans="1:26" x14ac:dyDescent="0.25">
      <c r="A533" s="12" t="s">
        <v>728</v>
      </c>
      <c r="B533" s="14" t="str">
        <f>$B$38</f>
        <v>From Fiscal Forecasts</v>
      </c>
      <c r="D533" s="50">
        <f>'Fiscal Forecasts'!D$408</f>
        <v>1.8959999999999999</v>
      </c>
      <c r="E533" s="50">
        <f>'Fiscal Forecasts'!E$408</f>
        <v>2.0070000000000001</v>
      </c>
      <c r="F533" s="50">
        <f>'Fiscal Forecasts'!F$408</f>
        <v>2.1320000000000001</v>
      </c>
      <c r="G533" s="50">
        <f>'Fiscal Forecasts'!G$408</f>
        <v>2.2469999999999999</v>
      </c>
      <c r="H533" s="50">
        <f>'Fiscal Forecasts'!H$408</f>
        <v>2.355</v>
      </c>
      <c r="I533" s="50">
        <f>'Fiscal Forecasts'!I$408</f>
        <v>2.71</v>
      </c>
      <c r="J533" s="50">
        <f>'Fiscal Forecasts'!J$408</f>
        <v>3.0739999999999998</v>
      </c>
      <c r="K533" s="50">
        <f>'Fiscal Forecasts'!K$408</f>
        <v>3.0179999999999998</v>
      </c>
      <c r="L533" s="48">
        <f>'Fiscal Forecasts'!L$408+Allocation!C$24</f>
        <v>3.05780165</v>
      </c>
      <c r="M533" s="48">
        <f>'Fiscal Forecasts'!M$408+Allocation!D$24</f>
        <v>3.2386334000000003</v>
      </c>
      <c r="N533" s="48">
        <f>'Fiscal Forecasts'!N$408+Allocation!E$24</f>
        <v>3.3726093750000001</v>
      </c>
      <c r="O533" s="48">
        <f>'Fiscal Forecasts'!O$408+Allocation!F$24</f>
        <v>3.5015535249999998</v>
      </c>
      <c r="P533" s="48">
        <f>'Fiscal Forecasts'!P$408+Allocation!G$24</f>
        <v>3.6058670499999996</v>
      </c>
      <c r="Q533" s="20">
        <f ca="1">P$533*(1+SUMPRODUCT(Exogenous!$B$67:$B$72,'Population Treasury'!AB$280:AB$285)+SUMPRODUCT(Exogenous!$C$67:$C$72,'Population Treasury'!AB$304:AB$309))*(1+Q$25)*(1+Q$29)*(1+OFFSET(Assumptions!$B$63,0,$C$1))</f>
        <v>3.7381593928494494</v>
      </c>
      <c r="R533" s="20">
        <f ca="1">Q$533*(1+SUMPRODUCT(Exogenous!$B$67:$B$72,'Population Treasury'!AC$280:AC$285)+SUMPRODUCT(Exogenous!$C$67:$C$72,'Population Treasury'!AC$304:AC$309))*(1+R$25)*(1+R$29)*(1+OFFSET(Assumptions!$B$63,0,$C$1))</f>
        <v>3.8735749199424725</v>
      </c>
      <c r="S533" s="20">
        <f ca="1">R$533*(1+SUMPRODUCT(Exogenous!$B$67:$B$72,'Population Treasury'!AD$280:AD$285)+SUMPRODUCT(Exogenous!$C$67:$C$72,'Population Treasury'!AD$304:AD$309))*(1+S$25)*(1+S$29)*(1+OFFSET(Assumptions!$B$63,0,$C$1))</f>
        <v>4.0135175292436447</v>
      </c>
      <c r="T533" s="20">
        <f ca="1">S$533*(1+SUMPRODUCT(Exogenous!$B$67:$B$72,'Population Treasury'!AE$280:AE$285)+SUMPRODUCT(Exogenous!$C$67:$C$72,'Population Treasury'!AE$304:AE$309))*(1+T$25)*(1+T$29)*(1+OFFSET(Assumptions!$B$63,0,$C$1))</f>
        <v>4.1606999679535024</v>
      </c>
      <c r="U533" s="20">
        <f ca="1">T$533*(1+SUMPRODUCT(Exogenous!$B$67:$B$72,'Population Treasury'!AF$280:AF$285)+SUMPRODUCT(Exogenous!$C$67:$C$72,'Population Treasury'!AF$304:AF$309))*(1+U$25)*(1+U$29)*(1+OFFSET(Assumptions!$B$63,0,$C$1))</f>
        <v>4.3172500258791429</v>
      </c>
      <c r="V533" s="20">
        <f ca="1">U$533*(1+SUMPRODUCT(Exogenous!$B$67:$B$72,'Population Treasury'!AG$280:AG$285)+SUMPRODUCT(Exogenous!$C$67:$C$72,'Population Treasury'!AG$304:AG$309))*(1+V$25)*(1+V$29)*(1+OFFSET(Assumptions!$B$63,0,$C$1))</f>
        <v>4.484471206476095</v>
      </c>
      <c r="W533" s="20">
        <f ca="1">V$533*(1+SUMPRODUCT(Exogenous!$B$67:$B$72,'Population Treasury'!AH$280:AH$285)+SUMPRODUCT(Exogenous!$C$67:$C$72,'Population Treasury'!AH$304:AH$309))*(1+W$25)*(1+W$29)*(1+OFFSET(Assumptions!$B$63,0,$C$1))</f>
        <v>4.6628813449209119</v>
      </c>
      <c r="X533" s="20">
        <f ca="1">W$533*(1+SUMPRODUCT(Exogenous!$B$67:$B$72,'Population Treasury'!AI$280:AI$285)+SUMPRODUCT(Exogenous!$C$67:$C$72,'Population Treasury'!AI$304:AI$309))*(1+X$25)*(1+X$29)*(1+OFFSET(Assumptions!$B$63,0,$C$1))</f>
        <v>4.8527621000834378</v>
      </c>
      <c r="Y533" s="20">
        <f ca="1">X$533*(1+SUMPRODUCT(Exogenous!$B$67:$B$72,'Population Treasury'!AJ$280:AJ$285)+SUMPRODUCT(Exogenous!$C$67:$C$72,'Population Treasury'!AJ$304:AJ$309))*(1+Y$25)*(1+Y$29)*(1+OFFSET(Assumptions!$B$63,0,$C$1))</f>
        <v>5.0545512941973714</v>
      </c>
      <c r="Z533" s="20">
        <f ca="1">Y$533*(1+SUMPRODUCT(Exogenous!$B$67:$B$72,'Population Treasury'!AK$280:AK$285)+SUMPRODUCT(Exogenous!$C$67:$C$72,'Population Treasury'!AK$304:AK$309))*(1+Z$25)*(1+Z$29)*(1+OFFSET(Assumptions!$B$63,0,$C$1))</f>
        <v>5.2672900103709868</v>
      </c>
    </row>
    <row r="534" spans="1:26" x14ac:dyDescent="0.25">
      <c r="A534" s="12" t="s">
        <v>1434</v>
      </c>
      <c r="B534" s="14" t="str">
        <f t="shared" ref="B534:B539" si="312">$B$38</f>
        <v>From Fiscal Forecasts</v>
      </c>
      <c r="D534" s="50">
        <f>'Fiscal Forecasts'!D$409</f>
        <v>3.835</v>
      </c>
      <c r="E534" s="50">
        <f>'Fiscal Forecasts'!E$409</f>
        <v>4.0129999999999999</v>
      </c>
      <c r="F534" s="50">
        <f>'Fiscal Forecasts'!F$409</f>
        <v>4.6470000000000002</v>
      </c>
      <c r="G534" s="50">
        <f>'Fiscal Forecasts'!G$409</f>
        <v>4.7329999999999997</v>
      </c>
      <c r="H534" s="50">
        <f>'Fiscal Forecasts'!H$409</f>
        <v>4.7789999999999999</v>
      </c>
      <c r="I534" s="50">
        <f>'Fiscal Forecasts'!I$409</f>
        <v>5.39</v>
      </c>
      <c r="J534" s="50">
        <f>'Fiscal Forecasts'!J$409</f>
        <v>5.5259999999999998</v>
      </c>
      <c r="K534" s="50">
        <f>'Fiscal Forecasts'!K$409</f>
        <v>5.6630000000000003</v>
      </c>
      <c r="L534" s="48">
        <f>'Fiscal Forecasts'!L$409+Allocation!C$25</f>
        <v>6.1281812000000002</v>
      </c>
      <c r="M534" s="48">
        <f>'Fiscal Forecasts'!M$409+Allocation!D$25</f>
        <v>6.4117951999999994</v>
      </c>
      <c r="N534" s="48">
        <f>'Fiscal Forecasts'!N$409+Allocation!E$25</f>
        <v>6.4693750000000003</v>
      </c>
      <c r="O534" s="48">
        <f>'Fiscal Forecasts'!O$409+Allocation!F$25</f>
        <v>6.6502961999999997</v>
      </c>
      <c r="P534" s="48">
        <f>'Fiscal Forecasts'!P$409+Allocation!G$25</f>
        <v>6.8068724000000005</v>
      </c>
      <c r="Q534" s="20">
        <f ca="1">P$534*(1+SUMPRODUCT(Exogenous!$G$67:$G$75,'Population Treasury'!AB$285:AB$293)+SUMPRODUCT(Exogenous!$H$67:$H$75,'Population Treasury'!AB$309:AB$317))*(1+Q$25)*(1+Q$29)*(1+OFFSET(Assumptions!$B$63,0,$C$1))</f>
        <v>7.0213923532428204</v>
      </c>
      <c r="R534" s="20">
        <f ca="1">Q$534*(1+SUMPRODUCT(Exogenous!$G$67:$G$75,'Population Treasury'!AC$285:AC$293)+SUMPRODUCT(Exogenous!$H$67:$H$75,'Population Treasury'!AC$309:AC$317))*(1+R$25)*(1+R$29)*(1+OFFSET(Assumptions!$B$63,0,$C$1))</f>
        <v>7.2434910204359726</v>
      </c>
      <c r="S534" s="20">
        <f ca="1">R$534*(1+SUMPRODUCT(Exogenous!$G$67:$G$75,'Population Treasury'!AD$285:AD$293)+SUMPRODUCT(Exogenous!$H$67:$H$75,'Population Treasury'!AD$309:AD$317))*(1+S$25)*(1+S$29)*(1+OFFSET(Assumptions!$B$63,0,$C$1))</f>
        <v>7.4698970476595266</v>
      </c>
      <c r="T534" s="20">
        <f ca="1">S$534*(1+SUMPRODUCT(Exogenous!$G$67:$G$75,'Population Treasury'!AE$285:AE$293)+SUMPRODUCT(Exogenous!$H$67:$H$75,'Population Treasury'!AE$309:AE$317))*(1+T$25)*(1+T$29)*(1+OFFSET(Assumptions!$B$63,0,$C$1))</f>
        <v>7.7000963704380743</v>
      </c>
      <c r="U534" s="20">
        <f ca="1">T$534*(1+SUMPRODUCT(Exogenous!$G$67:$G$75,'Population Treasury'!AF$285:AF$293)+SUMPRODUCT(Exogenous!$H$67:$H$75,'Population Treasury'!AF$309:AF$317))*(1+U$25)*(1+U$29)*(1+OFFSET(Assumptions!$B$63,0,$C$1))</f>
        <v>7.968115934886363</v>
      </c>
      <c r="V534" s="20">
        <f ca="1">U$534*(1+SUMPRODUCT(Exogenous!$G$67:$G$75,'Population Treasury'!AG$285:AG$293)+SUMPRODUCT(Exogenous!$H$67:$H$75,'Population Treasury'!AG$309:AG$317))*(1+V$25)*(1+V$29)*(1+OFFSET(Assumptions!$B$63,0,$C$1))</f>
        <v>8.2717781950830123</v>
      </c>
      <c r="W534" s="20">
        <f ca="1">V$534*(1+SUMPRODUCT(Exogenous!$G$67:$G$75,'Population Treasury'!AH$285:AH$293)+SUMPRODUCT(Exogenous!$H$67:$H$75,'Population Treasury'!AH$309:AH$317))*(1+W$25)*(1+W$29)*(1+OFFSET(Assumptions!$B$63,0,$C$1))</f>
        <v>8.5801378433312792</v>
      </c>
      <c r="X534" s="20">
        <f ca="1">W$534*(1+SUMPRODUCT(Exogenous!$G$67:$G$75,'Population Treasury'!AI$285:AI$293)+SUMPRODUCT(Exogenous!$H$67:$H$75,'Population Treasury'!AI$309:AI$317))*(1+X$25)*(1+X$29)*(1+OFFSET(Assumptions!$B$63,0,$C$1))</f>
        <v>8.8936625059541523</v>
      </c>
      <c r="Y534" s="20">
        <f ca="1">X$534*(1+SUMPRODUCT(Exogenous!$G$67:$G$75,'Population Treasury'!AJ$285:AJ$293)+SUMPRODUCT(Exogenous!$H$67:$H$75,'Population Treasury'!AJ$309:AJ$317))*(1+Y$25)*(1+Y$29)*(1+OFFSET(Assumptions!$B$63,0,$C$1))</f>
        <v>9.221137254313188</v>
      </c>
      <c r="Z534" s="20">
        <f ca="1">Y$534*(1+SUMPRODUCT(Exogenous!$G$67:$G$75,'Population Treasury'!AK$285:AK$293)+SUMPRODUCT(Exogenous!$H$67:$H$75,'Population Treasury'!AK$309:AK$317))*(1+Z$25)*(1+Z$29)*(1+OFFSET(Assumptions!$B$63,0,$C$1))</f>
        <v>9.5655850701206955</v>
      </c>
    </row>
    <row r="535" spans="1:26" x14ac:dyDescent="0.25">
      <c r="A535" s="12" t="s">
        <v>1435</v>
      </c>
      <c r="B535" s="14" t="str">
        <f t="shared" si="312"/>
        <v>From Fiscal Forecasts</v>
      </c>
      <c r="D535" s="50">
        <f>'Fiscal Forecasts'!D$410</f>
        <v>2.988</v>
      </c>
      <c r="E535" s="50">
        <f>'Fiscal Forecasts'!E$410</f>
        <v>3.0950000000000002</v>
      </c>
      <c r="F535" s="50">
        <f>'Fiscal Forecasts'!F$410</f>
        <v>3.5830000000000002</v>
      </c>
      <c r="G535" s="50">
        <f>'Fiscal Forecasts'!G$410</f>
        <v>3.7450000000000001</v>
      </c>
      <c r="H535" s="50">
        <f>'Fiscal Forecasts'!H$410</f>
        <v>3.8370000000000002</v>
      </c>
      <c r="I535" s="50">
        <f>'Fiscal Forecasts'!I$410</f>
        <v>4.351</v>
      </c>
      <c r="J535" s="50">
        <f>'Fiscal Forecasts'!J$410</f>
        <v>4.4240000000000004</v>
      </c>
      <c r="K535" s="50">
        <f>'Fiscal Forecasts'!K$410</f>
        <v>4.5599999999999996</v>
      </c>
      <c r="L535" s="48">
        <f>'Fiscal Forecasts'!L$410+Allocation!C$26</f>
        <v>4.9147138000000004</v>
      </c>
      <c r="M535" s="48">
        <f>'Fiscal Forecasts'!M$410+Allocation!D$26</f>
        <v>5.1386248000000005</v>
      </c>
      <c r="N535" s="48">
        <f>'Fiscal Forecasts'!N$410+Allocation!E$26</f>
        <v>5.1814375000000004</v>
      </c>
      <c r="O535" s="48">
        <f>'Fiscal Forecasts'!O$410+Allocation!F$26</f>
        <v>5.3241613000000001</v>
      </c>
      <c r="P535" s="48">
        <f>'Fiscal Forecasts'!P$410+Allocation!G$26</f>
        <v>5.4460426000000002</v>
      </c>
      <c r="Q535" s="20">
        <f ca="1">P$535*(1+SUMPRODUCT(Exogenous!$L$67:$L$73,'Population Treasury'!AB$293:AB$299)+SUMPRODUCT(Exogenous!$M$67:$M$73,'Population Treasury'!AB$317:AB$323))*(1+Q$25)*(1+Q$29)*(1+OFFSET(Assumptions!$B$63,0,$C$1))</f>
        <v>5.6304125364865794</v>
      </c>
      <c r="R535" s="20">
        <f ca="1">Q$535*(1+SUMPRODUCT(Exogenous!$L$67:$L$73,'Population Treasury'!AC$293:AC$299)+SUMPRODUCT(Exogenous!$M$67:$M$73,'Population Treasury'!AC$317:AC$323))*(1+R$25)*(1+R$29)*(1+OFFSET(Assumptions!$B$63,0,$C$1))</f>
        <v>5.8114915747315221</v>
      </c>
      <c r="S535" s="20">
        <f ca="1">R$535*(1+SUMPRODUCT(Exogenous!$L$67:$L$73,'Population Treasury'!AD$293:AD$299)+SUMPRODUCT(Exogenous!$M$67:$M$73,'Population Treasury'!AD$317:AD$323))*(1+S$25)*(1+S$29)*(1+OFFSET(Assumptions!$B$63,0,$C$1))</f>
        <v>6.0024096194187493</v>
      </c>
      <c r="T535" s="20">
        <f ca="1">S$535*(1+SUMPRODUCT(Exogenous!$L$67:$L$73,'Population Treasury'!AE$293:AE$299)+SUMPRODUCT(Exogenous!$M$67:$M$73,'Population Treasury'!AE$317:AE$323))*(1+T$25)*(1+T$29)*(1+OFFSET(Assumptions!$B$63,0,$C$1))</f>
        <v>6.2003281633263878</v>
      </c>
      <c r="U535" s="20">
        <f ca="1">T$535*(1+SUMPRODUCT(Exogenous!$L$67:$L$73,'Population Treasury'!AF$293:AF$299)+SUMPRODUCT(Exogenous!$M$67:$M$73,'Population Treasury'!AF$317:AF$323))*(1+U$25)*(1+U$29)*(1+OFFSET(Assumptions!$B$63,0,$C$1))</f>
        <v>6.373706012087184</v>
      </c>
      <c r="V535" s="20">
        <f ca="1">U$535*(1+SUMPRODUCT(Exogenous!$L$67:$L$73,'Population Treasury'!AG$293:AG$299)+SUMPRODUCT(Exogenous!$M$67:$M$73,'Population Treasury'!AG$317:AG$323))*(1+V$25)*(1+V$29)*(1+OFFSET(Assumptions!$B$63,0,$C$1))</f>
        <v>6.5114889765022825</v>
      </c>
      <c r="W535" s="20">
        <f ca="1">V$535*(1+SUMPRODUCT(Exogenous!$L$67:$L$73,'Population Treasury'!AH$293:AH$299)+SUMPRODUCT(Exogenous!$M$67:$M$73,'Population Treasury'!AH$317:AH$323))*(1+W$25)*(1+W$29)*(1+OFFSET(Assumptions!$B$63,0,$C$1))</f>
        <v>6.6685362998528506</v>
      </c>
      <c r="X535" s="20">
        <f ca="1">W$535*(1+SUMPRODUCT(Exogenous!$L$67:$L$73,'Population Treasury'!AI$293:AI$299)+SUMPRODUCT(Exogenous!$M$67:$M$73,'Population Treasury'!AI$317:AI$323))*(1+X$25)*(1+X$29)*(1+OFFSET(Assumptions!$B$63,0,$C$1))</f>
        <v>6.8454207260889373</v>
      </c>
      <c r="Y535" s="20">
        <f ca="1">X$535*(1+SUMPRODUCT(Exogenous!$L$67:$L$73,'Population Treasury'!AJ$293:AJ$299)+SUMPRODUCT(Exogenous!$M$67:$M$73,'Population Treasury'!AJ$317:AJ$323))*(1+Y$25)*(1+Y$29)*(1+OFFSET(Assumptions!$B$63,0,$C$1))</f>
        <v>7.0508573342863441</v>
      </c>
      <c r="Z535" s="20">
        <f ca="1">Y$535*(1+SUMPRODUCT(Exogenous!$L$67:$L$73,'Population Treasury'!AK$293:AK$299)+SUMPRODUCT(Exogenous!$M$67:$M$73,'Population Treasury'!AK$317:AK$323))*(1+Z$25)*(1+Z$29)*(1+OFFSET(Assumptions!$B$63,0,$C$1))</f>
        <v>7.3195185114415509</v>
      </c>
    </row>
    <row r="536" spans="1:26" x14ac:dyDescent="0.25">
      <c r="A536" s="12" t="s">
        <v>1436</v>
      </c>
      <c r="B536" s="14" t="str">
        <f t="shared" si="312"/>
        <v>From Fiscal Forecasts</v>
      </c>
      <c r="D536" s="50">
        <f>'Fiscal Forecasts'!D$411</f>
        <v>2.9660000000000002</v>
      </c>
      <c r="E536" s="50">
        <f>'Fiscal Forecasts'!E$411</f>
        <v>4.548</v>
      </c>
      <c r="F536" s="50">
        <f>'Fiscal Forecasts'!F$411</f>
        <v>2.7170000000000001</v>
      </c>
      <c r="G536" s="50">
        <f>'Fiscal Forecasts'!G$411</f>
        <v>3.96</v>
      </c>
      <c r="H536" s="50">
        <f>'Fiscal Forecasts'!H$411</f>
        <v>3.8639999999999999</v>
      </c>
      <c r="I536" s="50">
        <f>'Fiscal Forecasts'!I$411</f>
        <v>3.8849999999999998</v>
      </c>
      <c r="J536" s="50">
        <f>'Fiscal Forecasts'!J$411</f>
        <v>3.9209999999999998</v>
      </c>
      <c r="K536" s="50">
        <f>'Fiscal Forecasts'!K$411</f>
        <v>3.8889999999999998</v>
      </c>
      <c r="L536" s="48">
        <f>'Fiscal Forecasts'!L$411+Allocation!C$27</f>
        <v>3.8792917</v>
      </c>
      <c r="M536" s="48">
        <f>'Fiscal Forecasts'!M$411+Allocation!D$27</f>
        <v>3.9521532000000001</v>
      </c>
      <c r="N536" s="48">
        <f>'Fiscal Forecasts'!N$411+Allocation!E$27</f>
        <v>3.9805937500000002</v>
      </c>
      <c r="O536" s="48">
        <f>'Fiscal Forecasts'!O$411+Allocation!F$27</f>
        <v>4.1443504500000001</v>
      </c>
      <c r="P536" s="48">
        <f>'Fiscal Forecasts'!P$411+Allocation!G$27</f>
        <v>4.2821809000000002</v>
      </c>
      <c r="Q536" s="20">
        <f ca="1">P$536*(1+Exogenous!$Q$67*'Population Treasury'!AB$297+SUMPRODUCT(Exogenous!$Q$68:$Q$71,'Population Treasury'!AB$300:AB$303)+Exogenous!$R$67*'Population Treasury'!AB$321+SUMPRODUCT(Exogenous!$R$68:$R$71,'Population Treasury'!AB$324:AB$327))*(1+Q$25)*(1+Q$29)*(1+OFFSET(Assumptions!$B$63,0,$C$1))</f>
        <v>4.4712945393024457</v>
      </c>
      <c r="R536" s="20">
        <f ca="1">Q$536*(1+Exogenous!$Q$67*'Population Treasury'!AC$297+SUMPRODUCT(Exogenous!$Q$68:$Q$71,'Population Treasury'!AC$300:AC$303)+Exogenous!$R$67*'Population Treasury'!AC$321+SUMPRODUCT(Exogenous!$R$68:$R$71,'Population Treasury'!AC$324:AC$327))*(1+R$25)*(1+R$29)*(1+OFFSET(Assumptions!$B$63,0,$C$1))</f>
        <v>4.6554585671214923</v>
      </c>
      <c r="S536" s="20">
        <f ca="1">R$536*(1+Exogenous!$Q$67*'Population Treasury'!AD$297+SUMPRODUCT(Exogenous!$Q$68:$Q$71,'Population Treasury'!AD$300:AD$303)+Exogenous!$R$67*'Population Treasury'!AD$321+SUMPRODUCT(Exogenous!$R$68:$R$71,'Population Treasury'!AD$324:AD$327))*(1+S$25)*(1+S$29)*(1+OFFSET(Assumptions!$B$63,0,$C$1))</f>
        <v>4.8443374941630992</v>
      </c>
      <c r="T536" s="20">
        <f ca="1">S$536*(1+Exogenous!$Q$67*'Population Treasury'!AE$297+SUMPRODUCT(Exogenous!$Q$68:$Q$71,'Population Treasury'!AE$300:AE$303)+Exogenous!$R$67*'Population Treasury'!AE$321+SUMPRODUCT(Exogenous!$R$68:$R$71,'Population Treasury'!AE$324:AE$327))*(1+T$25)*(1+T$29)*(1+OFFSET(Assumptions!$B$63,0,$C$1))</f>
        <v>5.0327257906779934</v>
      </c>
      <c r="U536" s="20">
        <f ca="1">T$536*(1+Exogenous!$Q$67*'Population Treasury'!AF$297+SUMPRODUCT(Exogenous!$Q$68:$Q$71,'Population Treasury'!AF$300:AF$303)+Exogenous!$R$67*'Population Treasury'!AF$321+SUMPRODUCT(Exogenous!$R$68:$R$71,'Population Treasury'!AF$324:AF$327))*(1+U$25)*(1+U$29)*(1+OFFSET(Assumptions!$B$63,0,$C$1))</f>
        <v>5.2254430833794805</v>
      </c>
      <c r="V536" s="20">
        <f ca="1">U$536*(1+Exogenous!$Q$67*'Population Treasury'!AG$297+SUMPRODUCT(Exogenous!$Q$68:$Q$71,'Population Treasury'!AG$300:AG$303)+Exogenous!$R$67*'Population Treasury'!AG$321+SUMPRODUCT(Exogenous!$R$68:$R$71,'Population Treasury'!AG$324:AG$327))*(1+V$25)*(1+V$29)*(1+OFFSET(Assumptions!$B$63,0,$C$1))</f>
        <v>5.4228220255260826</v>
      </c>
      <c r="W536" s="20">
        <f ca="1">V$536*(1+Exogenous!$Q$67*'Population Treasury'!AH$297+SUMPRODUCT(Exogenous!$Q$68:$Q$71,'Population Treasury'!AH$300:AH$303)+Exogenous!$R$67*'Population Treasury'!AH$321+SUMPRODUCT(Exogenous!$R$68:$R$71,'Population Treasury'!AH$324:AH$327))*(1+W$25)*(1+W$29)*(1+OFFSET(Assumptions!$B$63,0,$C$1))</f>
        <v>5.6243492347034856</v>
      </c>
      <c r="X536" s="20">
        <f ca="1">W$536*(1+Exogenous!$Q$67*'Population Treasury'!AI$297+SUMPRODUCT(Exogenous!$Q$68:$Q$71,'Population Treasury'!AI$300:AI$303)+Exogenous!$R$67*'Population Treasury'!AI$321+SUMPRODUCT(Exogenous!$R$68:$R$71,'Population Treasury'!AI$324:AI$327))*(1+X$25)*(1+X$29)*(1+OFFSET(Assumptions!$B$63,0,$C$1))</f>
        <v>5.8410173890930386</v>
      </c>
      <c r="Y536" s="20">
        <f ca="1">X$536*(1+Exogenous!$Q$67*'Population Treasury'!AJ$297+SUMPRODUCT(Exogenous!$Q$68:$Q$71,'Population Treasury'!AJ$300:AJ$303)+Exogenous!$R$67*'Population Treasury'!AJ$321+SUMPRODUCT(Exogenous!$R$68:$R$71,'Population Treasury'!AJ$324:AJ$327))*(1+Y$25)*(1+Y$29)*(1+OFFSET(Assumptions!$B$63,0,$C$1))</f>
        <v>6.0531752151494453</v>
      </c>
      <c r="Z536" s="20">
        <f ca="1">Y$536*(1+Exogenous!$Q$67*'Population Treasury'!AK$297+SUMPRODUCT(Exogenous!$Q$68:$Q$71,'Population Treasury'!AK$300:AK$303)+Exogenous!$R$67*'Population Treasury'!AK$321+SUMPRODUCT(Exogenous!$R$68:$R$71,'Population Treasury'!AK$324:AK$327))*(1+Z$25)*(1+Z$29)*(1+OFFSET(Assumptions!$B$63,0,$C$1))</f>
        <v>6.2502142583243172</v>
      </c>
    </row>
    <row r="537" spans="1:26" x14ac:dyDescent="0.25">
      <c r="A537" s="12" t="s">
        <v>693</v>
      </c>
      <c r="B537" s="14" t="str">
        <f t="shared" si="312"/>
        <v>From Fiscal Forecasts</v>
      </c>
      <c r="D537" s="50">
        <f>'Fiscal Forecasts'!D$412</f>
        <v>0.58299999999999996</v>
      </c>
      <c r="E537" s="50">
        <f>'Fiscal Forecasts'!E$412</f>
        <v>0.56699999999999995</v>
      </c>
      <c r="F537" s="50">
        <f>'Fiscal Forecasts'!F$412</f>
        <v>0.59</v>
      </c>
      <c r="G537" s="50">
        <f>'Fiscal Forecasts'!G$412</f>
        <v>0.55600000000000005</v>
      </c>
      <c r="H537" s="50">
        <f>'Fiscal Forecasts'!H$412</f>
        <v>0.52500000000000002</v>
      </c>
      <c r="I537" s="50">
        <f>'Fiscal Forecasts'!I$412</f>
        <v>0.52600000000000002</v>
      </c>
      <c r="J537" s="50">
        <f>'Fiscal Forecasts'!J$412</f>
        <v>0.57399999999999995</v>
      </c>
      <c r="K537" s="50">
        <f>'Fiscal Forecasts'!K$412</f>
        <v>0.64100000000000001</v>
      </c>
      <c r="L537" s="48">
        <f>'Fiscal Forecasts'!L$412</f>
        <v>0.70399999999999996</v>
      </c>
      <c r="M537" s="48">
        <f>'Fiscal Forecasts'!M$412</f>
        <v>0.71499999999999997</v>
      </c>
      <c r="N537" s="48">
        <f>'Fiscal Forecasts'!N$412</f>
        <v>0.69899999999999995</v>
      </c>
      <c r="O537" s="48">
        <f>'Fiscal Forecasts'!O$412</f>
        <v>0.68899999999999995</v>
      </c>
      <c r="P537" s="48">
        <f>'Fiscal Forecasts'!P$412</f>
        <v>0.68899999999999995</v>
      </c>
      <c r="Q537" s="20">
        <f t="shared" ref="Q537:Z537" ca="1" si="313">Q$190</f>
        <v>0.7042704052526918</v>
      </c>
      <c r="R537" s="20">
        <f t="shared" ca="1" si="313"/>
        <v>0.7200817868108712</v>
      </c>
      <c r="S537" s="20">
        <f t="shared" ca="1" si="313"/>
        <v>0.7364441451154754</v>
      </c>
      <c r="T537" s="20">
        <f t="shared" ca="1" si="313"/>
        <v>0.75426820881386147</v>
      </c>
      <c r="U537" s="20">
        <f t="shared" ca="1" si="313"/>
        <v>0.77251950077583986</v>
      </c>
      <c r="V537" s="20">
        <f t="shared" ca="1" si="313"/>
        <v>0.79212822197401689</v>
      </c>
      <c r="W537" s="20">
        <f t="shared" ca="1" si="313"/>
        <v>0.81256650909083683</v>
      </c>
      <c r="X537" s="20">
        <f t="shared" ca="1" si="313"/>
        <v>0.834167094857449</v>
      </c>
      <c r="Y537" s="20">
        <f t="shared" ca="1" si="313"/>
        <v>0.85705810709086938</v>
      </c>
      <c r="Z537" s="20">
        <f t="shared" ca="1" si="313"/>
        <v>0.87732856685740601</v>
      </c>
    </row>
    <row r="538" spans="1:26" x14ac:dyDescent="0.25">
      <c r="A538" s="12" t="s">
        <v>1278</v>
      </c>
      <c r="B538" s="14" t="str">
        <f t="shared" si="312"/>
        <v>From Fiscal Forecasts</v>
      </c>
      <c r="D538" s="50">
        <f>'Fiscal Forecasts'!D$413</f>
        <v>0.56299999999999994</v>
      </c>
      <c r="E538" s="50">
        <f>'Fiscal Forecasts'!E$413</f>
        <v>0.50600000000000001</v>
      </c>
      <c r="F538" s="50">
        <f>'Fiscal Forecasts'!F$413</f>
        <v>0.21199999999999999</v>
      </c>
      <c r="G538" s="50">
        <f>'Fiscal Forecasts'!G$413</f>
        <v>0.28799999999999998</v>
      </c>
      <c r="H538" s="50">
        <f>'Fiscal Forecasts'!H$413</f>
        <v>0.27400000000000002</v>
      </c>
      <c r="I538" s="50">
        <f>'Fiscal Forecasts'!I$413</f>
        <v>0.60299999999999998</v>
      </c>
      <c r="J538" s="50">
        <f>'Fiscal Forecasts'!J$413</f>
        <v>0.67600000000000005</v>
      </c>
      <c r="K538" s="50">
        <f>'Fiscal Forecasts'!K$413</f>
        <v>0.76300000000000001</v>
      </c>
      <c r="L538" s="48">
        <f>'Fiscal Forecasts'!L$413</f>
        <v>0.72399999999999998</v>
      </c>
      <c r="M538" s="48">
        <f>'Fiscal Forecasts'!M$413</f>
        <v>0.78600000000000003</v>
      </c>
      <c r="N538" s="48">
        <f>'Fiscal Forecasts'!N$413</f>
        <v>0.82099999999999995</v>
      </c>
      <c r="O538" s="48">
        <f>'Fiscal Forecasts'!O$413</f>
        <v>0.85299999999999998</v>
      </c>
      <c r="P538" s="48">
        <f>'Fiscal Forecasts'!P$413</f>
        <v>0.88300000000000001</v>
      </c>
      <c r="Q538" s="20">
        <f t="shared" ref="Q538:Z538" si="314">Q$402</f>
        <v>0.91100000000000003</v>
      </c>
      <c r="R538" s="20">
        <f t="shared" si="314"/>
        <v>0.93799999999999994</v>
      </c>
      <c r="S538" s="20">
        <f t="shared" si="314"/>
        <v>0.96199999999999997</v>
      </c>
      <c r="T538" s="20">
        <f t="shared" si="314"/>
        <v>0.98499999999999999</v>
      </c>
      <c r="U538" s="20">
        <f t="shared" si="314"/>
        <v>1.006</v>
      </c>
      <c r="V538" s="20">
        <f t="shared" si="314"/>
        <v>1.0249999999999999</v>
      </c>
      <c r="W538" s="20">
        <f t="shared" si="314"/>
        <v>1.046</v>
      </c>
      <c r="X538" s="20">
        <f t="shared" si="314"/>
        <v>1.0669999999999999</v>
      </c>
      <c r="Y538" s="20">
        <f t="shared" si="314"/>
        <v>1.0880000000000001</v>
      </c>
      <c r="Z538" s="20">
        <f t="shared" si="314"/>
        <v>1.109</v>
      </c>
    </row>
    <row r="539" spans="1:26" x14ac:dyDescent="0.25">
      <c r="A539" s="12" t="s">
        <v>1437</v>
      </c>
      <c r="B539" s="14" t="str">
        <f t="shared" si="312"/>
        <v>From Fiscal Forecasts</v>
      </c>
      <c r="C539" s="100" cm="1">
        <f t="array" aca="1" ref="C539" ca="1">SUMPRODUCT(OFFSET($P$539,0,0,1,-OFFSET(Assumptions!$B$60,0,$C$1))/OFFSET($P$13,0,0,1,-OFFSET(Assumptions!$B$60,0,$C$1)))/OFFSET(Assumptions!$B$60,0,$C$1)</f>
        <v>5.6224178894803091E-3</v>
      </c>
      <c r="D539" s="50">
        <f>'Fiscal Forecasts'!D$414</f>
        <v>1.462</v>
      </c>
      <c r="E539" s="50">
        <f>'Fiscal Forecasts'!E$414</f>
        <v>1.5860000000000001</v>
      </c>
      <c r="F539" s="50">
        <f>'Fiscal Forecasts'!F$414</f>
        <v>2.1579999999999999</v>
      </c>
      <c r="G539" s="50">
        <f>'Fiscal Forecasts'!G$414</f>
        <v>2.4940000000000002</v>
      </c>
      <c r="H539" s="50">
        <f>'Fiscal Forecasts'!H$414</f>
        <v>2.7690000000000001</v>
      </c>
      <c r="I539" s="50">
        <f>'Fiscal Forecasts'!I$414</f>
        <v>2.758</v>
      </c>
      <c r="J539" s="50">
        <f>'Fiscal Forecasts'!J$414</f>
        <v>2.7</v>
      </c>
      <c r="K539" s="50">
        <f>'Fiscal Forecasts'!K$414</f>
        <v>2.6720000000000002</v>
      </c>
      <c r="L539" s="48">
        <f>'Fiscal Forecasts'!L$414+Allocation!C$28</f>
        <v>2.43680165</v>
      </c>
      <c r="M539" s="48">
        <f>'Fiscal Forecasts'!M$414+Allocation!D$28</f>
        <v>2.3796334000000003</v>
      </c>
      <c r="N539" s="48">
        <f>'Fiscal Forecasts'!N$414+Allocation!E$28</f>
        <v>2.5396093749999999</v>
      </c>
      <c r="O539" s="48">
        <f>'Fiscal Forecasts'!O$414+Allocation!F$28</f>
        <v>2.608553525</v>
      </c>
      <c r="P539" s="48">
        <f>'Fiscal Forecasts'!P$414+Allocation!G$28</f>
        <v>2.71986705</v>
      </c>
      <c r="Q539" s="20">
        <f ca="1">(P$539/P$13+MIN(ABS($C$539-P$539/P$13),OFFSET(Assumptions!$B$61,0,$C$1))*SIGN($C$539-P$539/P$13))*Q$13</f>
        <v>3.142119562295921</v>
      </c>
      <c r="R539" s="20">
        <f ca="1">(Q$539/Q$13+MIN(ABS($C$539-Q$539/Q$13),OFFSET(Assumptions!$B$61,0,$C$1))*SIGN($C$539-Q$539/Q$13))*R$13</f>
        <v>3.5622276719812782</v>
      </c>
      <c r="S539" s="20">
        <f ca="1">(R$539/R$13+MIN(ABS($C$539-R$539/R$13),OFFSET(Assumptions!$B$61,0,$C$1))*SIGN($C$539-R$539/R$13))*S$13</f>
        <v>3.7115168651137136</v>
      </c>
      <c r="T539" s="20">
        <f ca="1">(S$539/S$13+MIN(ABS($C$539-S$539/S$13),OFFSET(Assumptions!$B$61,0,$C$1))*SIGN($C$539-S$539/S$13))*T$13</f>
        <v>3.8643098785499337</v>
      </c>
      <c r="U539" s="20">
        <f ca="1">(T$539/T$13+MIN(ABS($C$539-T$539/T$13),OFFSET(Assumptions!$B$61,0,$C$1))*SIGN($C$539-T$539/T$13))*U$13</f>
        <v>4.0224308971246572</v>
      </c>
      <c r="V539" s="20">
        <f ca="1">(U$539/U$13+MIN(ABS($C$539-U$539/U$13),OFFSET(Assumptions!$B$61,0,$C$1))*SIGN($C$539-U$539/U$13))*V$13</f>
        <v>4.1859361546893705</v>
      </c>
      <c r="W539" s="20">
        <f ca="1">(V$539/V$13+MIN(ABS($C$539-V$539/V$13),OFFSET(Assumptions!$B$61,0,$C$1))*SIGN($C$539-V$539/V$13))*W$13</f>
        <v>4.3540007699228811</v>
      </c>
      <c r="X539" s="20">
        <f ca="1">(W$539/W$13+MIN(ABS($C$539-W$539/W$13),OFFSET(Assumptions!$B$61,0,$C$1))*SIGN($C$539-W$539/W$13))*X$13</f>
        <v>4.5269049494846891</v>
      </c>
      <c r="Y539" s="20">
        <f ca="1">(X$539/X$13+MIN(ABS($C$539-X$539/X$13),OFFSET(Assumptions!$B$61,0,$C$1))*SIGN($C$539-X$539/X$13))*Y$13</f>
        <v>4.7055528737733363</v>
      </c>
      <c r="Z539" s="20">
        <f ca="1">(Y$539/Y$13+MIN(ABS($C$539-Y$539/Y$13),OFFSET(Assumptions!$B$61,0,$C$1))*SIGN($C$539-Y$539/Y$13))*Z$13</f>
        <v>4.8899906187516047</v>
      </c>
    </row>
    <row r="540" spans="1:26" x14ac:dyDescent="0.25">
      <c r="A540" s="11" t="s">
        <v>1128</v>
      </c>
      <c r="D540" s="94">
        <f>SUM(D$533:D$539)</f>
        <v>14.292999999999999</v>
      </c>
      <c r="E540" s="94">
        <f t="shared" ref="E540:Z540" si="315">SUM(E$533:E$539)</f>
        <v>16.321999999999999</v>
      </c>
      <c r="F540" s="94">
        <f t="shared" si="315"/>
        <v>16.039000000000001</v>
      </c>
      <c r="G540" s="94">
        <f t="shared" si="315"/>
        <v>18.023</v>
      </c>
      <c r="H540" s="94">
        <f t="shared" si="315"/>
        <v>18.402999999999999</v>
      </c>
      <c r="I540" s="94">
        <f t="shared" si="315"/>
        <v>20.222999999999999</v>
      </c>
      <c r="J540" s="94">
        <f t="shared" si="315"/>
        <v>20.895</v>
      </c>
      <c r="K540" s="94">
        <f t="shared" si="315"/>
        <v>21.206000000000003</v>
      </c>
      <c r="L540" s="95">
        <f t="shared" si="315"/>
        <v>21.84479</v>
      </c>
      <c r="M540" s="95">
        <f t="shared" si="315"/>
        <v>22.621840000000002</v>
      </c>
      <c r="N540" s="95">
        <f t="shared" si="315"/>
        <v>23.063625000000005</v>
      </c>
      <c r="O540" s="95">
        <f t="shared" si="315"/>
        <v>23.770915000000002</v>
      </c>
      <c r="P540" s="95">
        <f t="shared" si="315"/>
        <v>24.432830000000003</v>
      </c>
      <c r="Q540" s="96">
        <f t="shared" ca="1" si="315"/>
        <v>25.618648789429912</v>
      </c>
      <c r="R540" s="96">
        <f t="shared" ca="1" si="315"/>
        <v>26.804325541023612</v>
      </c>
      <c r="S540" s="96">
        <f t="shared" ca="1" si="315"/>
        <v>27.74012270071421</v>
      </c>
      <c r="T540" s="96">
        <f t="shared" ca="1" si="315"/>
        <v>28.697428379759749</v>
      </c>
      <c r="U540" s="96">
        <f t="shared" ca="1" si="315"/>
        <v>29.685465454132668</v>
      </c>
      <c r="V540" s="96">
        <f t="shared" ca="1" si="315"/>
        <v>30.693624780250857</v>
      </c>
      <c r="W540" s="96">
        <f t="shared" ca="1" si="315"/>
        <v>31.74847200182224</v>
      </c>
      <c r="X540" s="96">
        <f t="shared" ca="1" si="315"/>
        <v>32.860934765561701</v>
      </c>
      <c r="Y540" s="96">
        <f t="shared" ca="1" si="315"/>
        <v>34.030332078810552</v>
      </c>
      <c r="Z540" s="96">
        <f t="shared" ca="1" si="315"/>
        <v>35.278927035866559</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Drop Down 1">
              <controlPr defaultSize="0" autoLine="0" autoPict="0">
                <anchor moveWithCells="1">
                  <from>
                    <xdr:col>0</xdr:col>
                    <xdr:colOff>47625</xdr:colOff>
                    <xdr:row>6</xdr:row>
                    <xdr:rowOff>0</xdr:rowOff>
                  </from>
                  <to>
                    <xdr:col>0</xdr:col>
                    <xdr:colOff>5629275</xdr:colOff>
                    <xdr:row>7</xdr:row>
                    <xdr:rowOff>9525</xdr:rowOff>
                  </to>
                </anchor>
              </controlPr>
            </control>
          </mc:Choice>
        </mc:AlternateContent>
        <mc:AlternateContent xmlns:mc="http://schemas.openxmlformats.org/markup-compatibility/2006">
          <mc:Choice Requires="x14">
            <control shapeId="36866" r:id="rId5" name="Drop Down 2">
              <controlPr defaultSize="0" autoLine="0" autoPict="0">
                <anchor moveWithCells="1">
                  <from>
                    <xdr:col>0</xdr:col>
                    <xdr:colOff>47625</xdr:colOff>
                    <xdr:row>6</xdr:row>
                    <xdr:rowOff>0</xdr:rowOff>
                  </from>
                  <to>
                    <xdr:col>1</xdr:col>
                    <xdr:colOff>19050</xdr:colOff>
                    <xdr:row>7</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2A0AB-1A6F-418F-9F26-BEA591B942FC}">
  <dimension ref="A1:Z540"/>
  <sheetViews>
    <sheetView zoomScaleNormal="100" workbookViewId="0">
      <pane xSplit="2" ySplit="8" topLeftCell="F126" activePane="bottomRight" state="frozen"/>
      <selection pane="topRight" activeCell="C1" sqref="C1"/>
      <selection pane="bottomLeft" activeCell="A9" sqref="A9"/>
      <selection pane="bottomRight"/>
    </sheetView>
  </sheetViews>
  <sheetFormatPr defaultRowHeight="15" x14ac:dyDescent="0.25"/>
  <cols>
    <col min="1" max="1" width="85.7109375" customWidth="1"/>
    <col min="2" max="2" width="25.7109375" customWidth="1"/>
    <col min="3" max="3" width="7.7109375" customWidth="1"/>
    <col min="4" max="26" width="10.7109375" customWidth="1"/>
  </cols>
  <sheetData>
    <row r="1" spans="1:26" x14ac:dyDescent="0.25">
      <c r="A1" s="11" t="s">
        <v>1133</v>
      </c>
      <c r="B1" s="15" t="s">
        <v>800</v>
      </c>
      <c r="C1" s="15">
        <f>MATCH($B$1,Assumptions!$C$7:$K$7,0)</f>
        <v>3</v>
      </c>
      <c r="D1" s="14" t="s">
        <v>1134</v>
      </c>
      <c r="E1" s="12"/>
      <c r="F1" s="12"/>
      <c r="G1" s="12"/>
      <c r="H1" s="12"/>
      <c r="I1" s="12"/>
      <c r="J1" s="12"/>
      <c r="K1" s="12"/>
      <c r="L1" s="12"/>
      <c r="M1" s="12"/>
      <c r="N1" s="12"/>
      <c r="O1" s="12"/>
      <c r="P1" s="12"/>
    </row>
    <row r="2" spans="1:26" x14ac:dyDescent="0.25">
      <c r="A2" s="14" t="s">
        <v>709</v>
      </c>
      <c r="B2" s="15"/>
      <c r="C2" s="15"/>
      <c r="D2" s="14"/>
      <c r="E2" s="12"/>
      <c r="F2" s="12"/>
      <c r="G2" s="12"/>
      <c r="H2" s="12"/>
      <c r="I2" s="12"/>
      <c r="J2" s="12"/>
      <c r="K2" s="83" t="s">
        <v>1458</v>
      </c>
      <c r="L2" s="12"/>
      <c r="M2" s="12"/>
      <c r="N2" s="12"/>
      <c r="O2" s="12"/>
      <c r="P2" s="12"/>
      <c r="Q2" s="12"/>
      <c r="R2" s="12"/>
      <c r="S2" s="12"/>
      <c r="T2" s="12"/>
      <c r="U2" s="12"/>
    </row>
    <row r="3" spans="1:26" x14ac:dyDescent="0.25">
      <c r="A3" s="14"/>
      <c r="B3" s="14"/>
      <c r="C3" s="15"/>
      <c r="D3" s="83" t="s">
        <v>1135</v>
      </c>
      <c r="E3" s="83" t="s">
        <v>1135</v>
      </c>
      <c r="F3" s="83" t="s">
        <v>1135</v>
      </c>
      <c r="G3" s="83" t="s">
        <v>1135</v>
      </c>
      <c r="H3" s="83" t="s">
        <v>1135</v>
      </c>
      <c r="I3" s="83" t="s">
        <v>1135</v>
      </c>
      <c r="J3" s="83" t="s">
        <v>1135</v>
      </c>
      <c r="K3" s="83" t="s">
        <v>1135</v>
      </c>
      <c r="L3" s="64" t="s">
        <v>1455</v>
      </c>
      <c r="M3" s="12"/>
      <c r="N3" s="12"/>
      <c r="O3" s="12"/>
      <c r="P3" s="12"/>
      <c r="Q3" s="11" t="s">
        <v>1454</v>
      </c>
    </row>
    <row r="4" spans="1:26" x14ac:dyDescent="0.25">
      <c r="A4" s="12"/>
      <c r="B4" s="12"/>
      <c r="C4" s="15"/>
      <c r="D4" s="83" t="s">
        <v>1136</v>
      </c>
      <c r="E4" s="83" t="s">
        <v>1136</v>
      </c>
      <c r="F4" s="83" t="s">
        <v>1136</v>
      </c>
      <c r="G4" s="83" t="s">
        <v>1136</v>
      </c>
      <c r="H4" s="83" t="s">
        <v>1136</v>
      </c>
      <c r="I4" s="83" t="s">
        <v>1136</v>
      </c>
      <c r="J4" s="83" t="s">
        <v>1136</v>
      </c>
      <c r="K4" s="83" t="s">
        <v>1136</v>
      </c>
      <c r="L4" s="84" t="s">
        <v>1137</v>
      </c>
      <c r="M4" s="12"/>
      <c r="N4" s="12"/>
      <c r="O4" s="12"/>
      <c r="P4" s="12"/>
      <c r="Q4" s="12" t="s">
        <v>1138</v>
      </c>
    </row>
    <row r="5" spans="1:26" x14ac:dyDescent="0.25">
      <c r="A5" s="11" t="s">
        <v>739</v>
      </c>
      <c r="B5" s="11"/>
      <c r="C5" s="15"/>
      <c r="D5" s="85" t="s">
        <v>355</v>
      </c>
      <c r="E5" s="85" t="s">
        <v>356</v>
      </c>
      <c r="F5" s="85" t="s">
        <v>357</v>
      </c>
      <c r="G5" s="85" t="s">
        <v>358</v>
      </c>
      <c r="H5" s="85" t="s">
        <v>359</v>
      </c>
      <c r="I5" s="85" t="s">
        <v>360</v>
      </c>
      <c r="J5" s="85" t="s">
        <v>1139</v>
      </c>
      <c r="K5" s="85" t="s">
        <v>362</v>
      </c>
      <c r="L5" s="65" t="s">
        <v>363</v>
      </c>
      <c r="M5" s="65" t="s">
        <v>364</v>
      </c>
      <c r="N5" s="65" t="s">
        <v>365</v>
      </c>
      <c r="O5" s="65" t="s">
        <v>366</v>
      </c>
      <c r="P5" s="65" t="s">
        <v>367</v>
      </c>
      <c r="Q5" s="15" t="s">
        <v>368</v>
      </c>
      <c r="R5" s="15" t="s">
        <v>369</v>
      </c>
      <c r="S5" s="15" t="s">
        <v>370</v>
      </c>
      <c r="T5" s="15" t="s">
        <v>371</v>
      </c>
      <c r="U5" s="15" t="s">
        <v>372</v>
      </c>
      <c r="V5" s="15" t="s">
        <v>373</v>
      </c>
      <c r="W5" s="15" t="s">
        <v>374</v>
      </c>
      <c r="X5" s="15" t="s">
        <v>375</v>
      </c>
      <c r="Y5" s="15" t="s">
        <v>376</v>
      </c>
      <c r="Z5" s="15" t="s">
        <v>1451</v>
      </c>
    </row>
    <row r="6" spans="1:26" x14ac:dyDescent="0.25">
      <c r="A6" s="12"/>
      <c r="B6" s="12"/>
      <c r="C6" s="15"/>
      <c r="D6" s="83">
        <v>2019</v>
      </c>
      <c r="E6" s="83">
        <v>2020</v>
      </c>
      <c r="F6" s="83">
        <v>2021</v>
      </c>
      <c r="G6" s="83">
        <v>2022</v>
      </c>
      <c r="H6" s="83">
        <v>2023</v>
      </c>
      <c r="I6" s="83">
        <v>2024</v>
      </c>
      <c r="J6" s="83">
        <v>2025</v>
      </c>
      <c r="K6" s="83">
        <v>2026</v>
      </c>
      <c r="L6" s="64">
        <v>2027</v>
      </c>
      <c r="M6" s="64">
        <v>2028</v>
      </c>
      <c r="N6" s="64">
        <v>2029</v>
      </c>
      <c r="O6" s="64">
        <v>2030</v>
      </c>
      <c r="P6" s="64">
        <v>2031</v>
      </c>
      <c r="Q6" s="11">
        <v>2032</v>
      </c>
      <c r="R6" s="11">
        <v>2033</v>
      </c>
      <c r="S6" s="11">
        <v>2034</v>
      </c>
      <c r="T6" s="11">
        <v>2035</v>
      </c>
      <c r="U6" s="11">
        <v>2036</v>
      </c>
      <c r="V6" s="11">
        <v>2037</v>
      </c>
      <c r="W6" s="11">
        <v>2038</v>
      </c>
      <c r="X6" s="11">
        <v>2039</v>
      </c>
      <c r="Y6" s="11">
        <v>2040</v>
      </c>
      <c r="Z6" s="11">
        <v>2041</v>
      </c>
    </row>
    <row r="7" spans="1:26" x14ac:dyDescent="0.25">
      <c r="A7" s="12"/>
      <c r="B7" s="12"/>
      <c r="C7" s="15"/>
      <c r="D7" s="51">
        <f ca="1">OFFSET(D$1,Display!$C$1-1,0)</f>
        <v>57.736000000000004</v>
      </c>
      <c r="E7" s="51">
        <f ca="1">OFFSET(E$1,Display!$C$1-1,0)</f>
        <v>83.375</v>
      </c>
      <c r="F7" s="51">
        <f ca="1">OFFSET(F$1,Display!$C$1-1,0)</f>
        <v>102.08000000000001</v>
      </c>
      <c r="G7" s="51">
        <f ca="1">OFFSET(G$1,Display!$C$1-1,0)</f>
        <v>128.87299999999996</v>
      </c>
      <c r="H7" s="51">
        <f ca="1">OFFSET(H$1,Display!$C$1-1,0)</f>
        <v>155.27300000000002</v>
      </c>
      <c r="I7" s="51">
        <f ca="1">OFFSET(I$1,Display!$C$1-1,0)</f>
        <v>175.46399999999997</v>
      </c>
      <c r="J7" s="51">
        <f ca="1">OFFSET(J$1,Display!$C$1-1,0)</f>
        <v>182.17099999999996</v>
      </c>
      <c r="K7" s="51">
        <f ca="1">OFFSET(K$1,Display!$C$1-1,0)</f>
        <v>186.70299999999995</v>
      </c>
      <c r="L7" s="47">
        <f ca="1">OFFSET(L$1,Display!$C$1-1,0)</f>
        <v>209.63100000000003</v>
      </c>
      <c r="M7" s="47">
        <f ca="1">OFFSET(M$1,Display!$C$1-1,0)</f>
        <v>222.95499999999998</v>
      </c>
      <c r="N7" s="47">
        <f ca="1">OFFSET(N$1,Display!$C$1-1,0)</f>
        <v>230.53400000000005</v>
      </c>
      <c r="O7" s="47">
        <f ca="1">OFFSET(O$1,Display!$C$1-1,0)</f>
        <v>232.76300000000001</v>
      </c>
      <c r="P7" s="47">
        <f ca="1">OFFSET(P$1,Display!$C$1-1,0)</f>
        <v>229.76900000000003</v>
      </c>
      <c r="Q7" s="21">
        <f ca="1">OFFSET(Q$1,Display!$C$1-1,0)</f>
        <v>227.29361294137999</v>
      </c>
      <c r="R7" s="21">
        <f ca="1">OFFSET(R$1,Display!$C$1-1,0)</f>
        <v>226.38075616544796</v>
      </c>
      <c r="S7" s="21">
        <f ca="1">OFFSET(S$1,Display!$C$1-1,0)</f>
        <v>226.01560505425363</v>
      </c>
      <c r="T7" s="21">
        <f ca="1">OFFSET(T$1,Display!$C$1-1,0)</f>
        <v>225.71016310696081</v>
      </c>
      <c r="U7" s="21">
        <f ca="1">OFFSET(U$1,Display!$C$1-1,0)</f>
        <v>225.63941913697715</v>
      </c>
      <c r="V7" s="21">
        <f ca="1">OFFSET(V$1,Display!$C$1-1,0)</f>
        <v>225.76992956014038</v>
      </c>
      <c r="W7" s="21">
        <f ca="1">OFFSET(W$1,Display!$C$1-1,0)</f>
        <v>226.1755088315283</v>
      </c>
      <c r="X7" s="21">
        <f ca="1">OFFSET(X$1,Display!$C$1-1,0)</f>
        <v>226.9691427368893</v>
      </c>
      <c r="Y7" s="21">
        <f ca="1">OFFSET(Y$1,Display!$C$1-1,0)</f>
        <v>228.24813835943405</v>
      </c>
      <c r="Z7" s="21">
        <f ca="1">OFFSET(Z$1,Display!$C$1-1,0)</f>
        <v>230.14849746211053</v>
      </c>
    </row>
    <row r="8" spans="1:26" x14ac:dyDescent="0.25">
      <c r="A8" s="62" t="s">
        <v>1140</v>
      </c>
      <c r="B8" s="12"/>
      <c r="C8" s="15"/>
      <c r="D8" s="86">
        <f t="shared" ref="D8:Z8" ca="1" si="0">D$7/D$13</f>
        <v>0.18614068232669406</v>
      </c>
      <c r="E8" s="86">
        <f t="shared" ca="1" si="0"/>
        <v>0.26228863546991743</v>
      </c>
      <c r="F8" s="86">
        <f t="shared" ca="1" si="0"/>
        <v>0.2969695030240968</v>
      </c>
      <c r="G8" s="86">
        <f t="shared" ca="1" si="0"/>
        <v>0.35278288767711269</v>
      </c>
      <c r="H8" s="86">
        <f t="shared" ca="1" si="0"/>
        <v>0.38641753789566163</v>
      </c>
      <c r="I8" s="86">
        <f t="shared" ca="1" si="0"/>
        <v>0.41691972114109738</v>
      </c>
      <c r="J8" s="86">
        <f t="shared" ca="1" si="0"/>
        <v>0.41871556596509524</v>
      </c>
      <c r="K8" s="86">
        <f t="shared" ca="1" si="0"/>
        <v>0.40954238158119854</v>
      </c>
      <c r="L8" s="87">
        <f t="shared" ca="1" si="0"/>
        <v>0.43662300388028802</v>
      </c>
      <c r="M8" s="87">
        <f t="shared" ca="1" si="0"/>
        <v>0.43931933139048002</v>
      </c>
      <c r="N8" s="87">
        <f t="shared" ca="1" si="0"/>
        <v>0.43305212577510543</v>
      </c>
      <c r="O8" s="87">
        <f t="shared" ca="1" si="0"/>
        <v>0.41762372364990824</v>
      </c>
      <c r="P8" s="87">
        <f t="shared" ca="1" si="0"/>
        <v>0.39454940088399243</v>
      </c>
      <c r="Q8" s="88">
        <f t="shared" ca="1" si="0"/>
        <v>0.37401746049158718</v>
      </c>
      <c r="R8" s="88">
        <f t="shared" ca="1" si="0"/>
        <v>0.35730653133430146</v>
      </c>
      <c r="S8" s="88">
        <f t="shared" ca="1" si="0"/>
        <v>0.34238135709503731</v>
      </c>
      <c r="T8" s="88">
        <f t="shared" ca="1" si="0"/>
        <v>0.32839935170165385</v>
      </c>
      <c r="U8" s="88">
        <f t="shared" ca="1" si="0"/>
        <v>0.31539115007160068</v>
      </c>
      <c r="V8" s="88">
        <f t="shared" ca="1" si="0"/>
        <v>0.30324707400126122</v>
      </c>
      <c r="W8" s="88">
        <f t="shared" ca="1" si="0"/>
        <v>0.29206545754451491</v>
      </c>
      <c r="X8" s="88">
        <f t="shared" ca="1" si="0"/>
        <v>0.28189577265790838</v>
      </c>
      <c r="Y8" s="88">
        <f t="shared" ca="1" si="0"/>
        <v>0.27272170790073136</v>
      </c>
      <c r="Z8" s="88">
        <f t="shared" ca="1" si="0"/>
        <v>0.26462035006896073</v>
      </c>
    </row>
    <row r="9" spans="1:26" ht="16.5" x14ac:dyDescent="0.25">
      <c r="A9" s="63" t="s">
        <v>1141</v>
      </c>
      <c r="B9" s="11"/>
      <c r="C9" s="15"/>
      <c r="K9" s="91"/>
      <c r="N9" s="21"/>
      <c r="O9" s="21"/>
      <c r="P9" s="21"/>
    </row>
    <row r="10" spans="1:26" x14ac:dyDescent="0.25">
      <c r="A10" s="57" t="s">
        <v>1142</v>
      </c>
      <c r="B10" s="11"/>
      <c r="C10" s="15"/>
      <c r="K10" s="91"/>
    </row>
    <row r="11" spans="1:26" x14ac:dyDescent="0.25">
      <c r="A11" s="11" t="s">
        <v>1143</v>
      </c>
      <c r="B11" s="11"/>
      <c r="C11" s="15"/>
      <c r="D11" s="50">
        <f>'Economic Forecasts'!Q$6</f>
        <v>254.292</v>
      </c>
      <c r="E11" s="50">
        <f>'Economic Forecasts'!R$6</f>
        <v>252.36600000000001</v>
      </c>
      <c r="F11" s="50">
        <f>'Economic Forecasts'!S$6</f>
        <v>268.197</v>
      </c>
      <c r="G11" s="50">
        <f>'Economic Forecasts'!T$6</f>
        <v>269.44099999999997</v>
      </c>
      <c r="H11" s="50">
        <f>'Economic Forecasts'!U$6</f>
        <v>280.19900000000001</v>
      </c>
      <c r="I11" s="50">
        <f>'Economic Forecasts'!V$6</f>
        <v>283.19900000000001</v>
      </c>
      <c r="J11" s="50">
        <f>'Economic Forecasts'!W$6</f>
        <v>280.02600000000001</v>
      </c>
      <c r="K11" s="50">
        <f>'Economic Forecasts'!X$6</f>
        <v>284.452</v>
      </c>
      <c r="L11" s="48">
        <f>'Economic Forecasts'!Y$6</f>
        <v>290.95600000000002</v>
      </c>
      <c r="M11" s="48">
        <f>'Economic Forecasts'!Z$6</f>
        <v>299.44799999999998</v>
      </c>
      <c r="N11" s="48">
        <f>'Economic Forecasts'!AA$6</f>
        <v>307.44</v>
      </c>
      <c r="O11" s="48">
        <f>'Economic Forecasts'!AB$6</f>
        <v>315.48</v>
      </c>
      <c r="P11" s="48">
        <f>'Economic Forecasts'!AC$6</f>
        <v>323.28500000000003</v>
      </c>
      <c r="Q11" s="20">
        <f t="shared" ref="Q11:Z11" ca="1" si="1">P$11*Q$16*(1-Q$23)*Q$24/(P$16*(1-P$23)*P$24)*(1+Q$25)</f>
        <v>330.74302308733979</v>
      </c>
      <c r="R11" s="20">
        <f t="shared" ca="1" si="1"/>
        <v>338.05994488997879</v>
      </c>
      <c r="S11" s="20">
        <f t="shared" ca="1" si="1"/>
        <v>345.32125444641918</v>
      </c>
      <c r="T11" s="20">
        <f t="shared" ca="1" si="1"/>
        <v>352.4874386696892</v>
      </c>
      <c r="U11" s="20">
        <f t="shared" ca="1" si="1"/>
        <v>359.71630191712956</v>
      </c>
      <c r="V11" s="20">
        <f t="shared" ca="1" si="1"/>
        <v>366.99821871357733</v>
      </c>
      <c r="W11" s="20">
        <f t="shared" ca="1" si="1"/>
        <v>374.24817053805771</v>
      </c>
      <c r="X11" s="20">
        <f t="shared" ca="1" si="1"/>
        <v>381.4805398595646</v>
      </c>
      <c r="Y11" s="20">
        <f t="shared" ca="1" si="1"/>
        <v>388.75993310147635</v>
      </c>
      <c r="Z11" s="20">
        <f t="shared" ca="1" si="1"/>
        <v>396.07615304809468</v>
      </c>
    </row>
    <row r="12" spans="1:26" x14ac:dyDescent="0.25">
      <c r="A12" s="14" t="s">
        <v>741</v>
      </c>
      <c r="B12" s="11"/>
      <c r="C12" s="15"/>
      <c r="D12" s="50"/>
      <c r="E12" s="89">
        <f t="shared" ref="E12:Z12" si="2">E$11/D$11-1</f>
        <v>-7.5739700816384037E-3</v>
      </c>
      <c r="F12" s="89">
        <f t="shared" si="2"/>
        <v>6.2730320249161808E-2</v>
      </c>
      <c r="G12" s="89">
        <f t="shared" si="2"/>
        <v>4.6383814882342556E-3</v>
      </c>
      <c r="H12" s="89">
        <f t="shared" si="2"/>
        <v>3.9927108346539786E-2</v>
      </c>
      <c r="I12" s="89">
        <f t="shared" si="2"/>
        <v>1.0706676326468045E-2</v>
      </c>
      <c r="J12" s="89">
        <f t="shared" si="2"/>
        <v>-1.1204135607823518E-2</v>
      </c>
      <c r="K12" s="89">
        <f t="shared" si="2"/>
        <v>1.5805675187303914E-2</v>
      </c>
      <c r="L12" s="66">
        <f t="shared" si="2"/>
        <v>2.2865017647968777E-2</v>
      </c>
      <c r="M12" s="66">
        <f t="shared" si="2"/>
        <v>2.9186543669833087E-2</v>
      </c>
      <c r="N12" s="66">
        <f t="shared" si="2"/>
        <v>2.6689107958643987E-2</v>
      </c>
      <c r="O12" s="66">
        <f t="shared" si="2"/>
        <v>2.615144418423121E-2</v>
      </c>
      <c r="P12" s="66">
        <f t="shared" si="2"/>
        <v>2.474007861037153E-2</v>
      </c>
      <c r="Q12" s="17">
        <f t="shared" ca="1" si="2"/>
        <v>2.3069499318990161E-2</v>
      </c>
      <c r="R12" s="17">
        <f t="shared" ca="1" si="2"/>
        <v>2.2122679215841767E-2</v>
      </c>
      <c r="S12" s="17">
        <f t="shared" ca="1" si="2"/>
        <v>2.1479354967071096E-2</v>
      </c>
      <c r="T12" s="17">
        <f t="shared" ca="1" si="2"/>
        <v>2.0752224576382039E-2</v>
      </c>
      <c r="U12" s="17">
        <f t="shared" ca="1" si="2"/>
        <v>2.0508144275218854E-2</v>
      </c>
      <c r="V12" s="17">
        <f t="shared" ca="1" si="2"/>
        <v>2.0243499551280797E-2</v>
      </c>
      <c r="W12" s="17">
        <f t="shared" ca="1" si="2"/>
        <v>1.9754733006316361E-2</v>
      </c>
      <c r="X12" s="17">
        <f t="shared" ca="1" si="2"/>
        <v>1.9325062594451436E-2</v>
      </c>
      <c r="Y12" s="17">
        <f t="shared" ca="1" si="2"/>
        <v>1.9081951715260503E-2</v>
      </c>
      <c r="Z12" s="17">
        <f t="shared" ca="1" si="2"/>
        <v>1.8819377522396596E-2</v>
      </c>
    </row>
    <row r="13" spans="1:26" x14ac:dyDescent="0.25">
      <c r="A13" s="11" t="s">
        <v>1144</v>
      </c>
      <c r="B13" s="11"/>
      <c r="C13" s="15"/>
      <c r="D13" s="51">
        <f>'Economic Forecasts'!Q$7</f>
        <v>310.17399999999998</v>
      </c>
      <c r="E13" s="51">
        <f>'Economic Forecasts'!R$7</f>
        <v>317.875</v>
      </c>
      <c r="F13" s="51">
        <f>'Economic Forecasts'!S$7</f>
        <v>343.73899999999998</v>
      </c>
      <c r="G13" s="51">
        <f>'Economic Forecasts'!T$7</f>
        <v>365.30399999999997</v>
      </c>
      <c r="H13" s="51">
        <f>'Economic Forecasts'!U$7</f>
        <v>401.827</v>
      </c>
      <c r="I13" s="51">
        <f>'Economic Forecasts'!V$7</f>
        <v>420.858</v>
      </c>
      <c r="J13" s="51">
        <f>'Economic Forecasts'!W$7</f>
        <v>435.07100000000003</v>
      </c>
      <c r="K13" s="51">
        <f>'Economic Forecasts'!X$7</f>
        <v>455.88200000000001</v>
      </c>
      <c r="L13" s="47">
        <f>'Economic Forecasts'!Y$7</f>
        <v>480.11900000000003</v>
      </c>
      <c r="M13" s="47">
        <f>'Economic Forecasts'!Z$7</f>
        <v>507.50099999999998</v>
      </c>
      <c r="N13" s="47">
        <f>'Economic Forecasts'!AA$7</f>
        <v>532.34699999999998</v>
      </c>
      <c r="O13" s="47">
        <f>'Economic Forecasts'!AB$7</f>
        <v>557.351</v>
      </c>
      <c r="P13" s="47">
        <f>'Economic Forecasts'!AC$7</f>
        <v>582.35799999999995</v>
      </c>
      <c r="Q13" s="21">
        <f t="shared" ref="Q13:Z13" ca="1" si="3">P$13*Q$11/P$11*(1+Q$29)</f>
        <v>607.70856163409655</v>
      </c>
      <c r="R13" s="21">
        <f t="shared" ca="1" si="3"/>
        <v>633.57575726384539</v>
      </c>
      <c r="S13" s="21">
        <f t="shared" ca="1" si="3"/>
        <v>660.12824696969938</v>
      </c>
      <c r="T13" s="21">
        <f t="shared" ca="1" si="3"/>
        <v>687.30392413202844</v>
      </c>
      <c r="U13" s="21">
        <f t="shared" ca="1" si="3"/>
        <v>715.42723721243317</v>
      </c>
      <c r="V13" s="21">
        <f t="shared" ca="1" si="3"/>
        <v>744.50818793127542</v>
      </c>
      <c r="W13" s="21">
        <f t="shared" ca="1" si="3"/>
        <v>774.40006337297166</v>
      </c>
      <c r="X13" s="21">
        <f t="shared" ca="1" si="3"/>
        <v>805.1527009322175</v>
      </c>
      <c r="Y13" s="21">
        <f t="shared" ca="1" si="3"/>
        <v>836.92691761271408</v>
      </c>
      <c r="Z13" s="21">
        <f t="shared" ca="1" si="3"/>
        <v>869.73090845860202</v>
      </c>
    </row>
    <row r="14" spans="1:26" x14ac:dyDescent="0.25">
      <c r="A14" s="14" t="str">
        <f>$A$12</f>
        <v>Annual percentage growth</v>
      </c>
      <c r="B14" s="11"/>
      <c r="C14" s="15"/>
      <c r="D14" s="89"/>
      <c r="E14" s="89">
        <f t="shared" ref="E14:Z14" si="4">E$13/D$13-1</f>
        <v>2.48279997678722E-2</v>
      </c>
      <c r="F14" s="89">
        <f t="shared" si="4"/>
        <v>8.13653165552497E-2</v>
      </c>
      <c r="G14" s="89">
        <f t="shared" si="4"/>
        <v>6.2736553024242303E-2</v>
      </c>
      <c r="H14" s="89">
        <f t="shared" si="4"/>
        <v>9.9979742899064972E-2</v>
      </c>
      <c r="I14" s="89">
        <f t="shared" si="4"/>
        <v>4.73611778203058E-2</v>
      </c>
      <c r="J14" s="89">
        <f t="shared" si="4"/>
        <v>3.3771485869343199E-2</v>
      </c>
      <c r="K14" s="89">
        <f t="shared" si="4"/>
        <v>4.7833571991697799E-2</v>
      </c>
      <c r="L14" s="66">
        <f t="shared" si="4"/>
        <v>5.3165073418121489E-2</v>
      </c>
      <c r="M14" s="66">
        <f t="shared" si="4"/>
        <v>5.7031694225806451E-2</v>
      </c>
      <c r="N14" s="66">
        <f t="shared" si="4"/>
        <v>4.8957538999923056E-2</v>
      </c>
      <c r="O14" s="66">
        <f t="shared" si="4"/>
        <v>4.6969363967487299E-2</v>
      </c>
      <c r="P14" s="66">
        <f t="shared" si="4"/>
        <v>4.486759690033737E-2</v>
      </c>
      <c r="Q14" s="17">
        <f t="shared" ca="1" si="4"/>
        <v>4.3530889305369858E-2</v>
      </c>
      <c r="R14" s="17">
        <f t="shared" ca="1" si="4"/>
        <v>4.2565132800158834E-2</v>
      </c>
      <c r="S14" s="17">
        <f t="shared" ca="1" si="4"/>
        <v>4.1908942066412491E-2</v>
      </c>
      <c r="T14" s="17">
        <f t="shared" ca="1" si="4"/>
        <v>4.1167269067909462E-2</v>
      </c>
      <c r="U14" s="17">
        <f t="shared" ca="1" si="4"/>
        <v>4.0918307160723089E-2</v>
      </c>
      <c r="V14" s="17">
        <f t="shared" ca="1" si="4"/>
        <v>4.0648369542306328E-2</v>
      </c>
      <c r="W14" s="17">
        <f t="shared" ca="1" si="4"/>
        <v>4.0149827666442706E-2</v>
      </c>
      <c r="X14" s="17">
        <f t="shared" ca="1" si="4"/>
        <v>3.9711563846340336E-2</v>
      </c>
      <c r="Y14" s="17">
        <f t="shared" ca="1" si="4"/>
        <v>3.9463590749565736E-2</v>
      </c>
      <c r="Z14" s="17">
        <f t="shared" ca="1" si="4"/>
        <v>3.9195765072844724E-2</v>
      </c>
    </row>
    <row r="15" spans="1:26" x14ac:dyDescent="0.25">
      <c r="A15" s="57" t="s">
        <v>1145</v>
      </c>
      <c r="B15" s="11"/>
      <c r="C15" s="15"/>
      <c r="D15" s="50"/>
      <c r="K15" s="91"/>
    </row>
    <row r="16" spans="1:26" x14ac:dyDescent="0.25">
      <c r="A16" s="11" t="s">
        <v>1146</v>
      </c>
      <c r="B16" s="11"/>
      <c r="C16" s="15"/>
      <c r="D16" s="50">
        <f>'Economic Forecasts'!Q$8</f>
        <v>2.7928000000000002</v>
      </c>
      <c r="E16" s="50">
        <f>'Economic Forecasts'!R$8</f>
        <v>2.831</v>
      </c>
      <c r="F16" s="50">
        <f>'Economic Forecasts'!S$8</f>
        <v>2.8598000000000003</v>
      </c>
      <c r="G16" s="50">
        <f>'Economic Forecasts'!T$8</f>
        <v>2.8898000000000001</v>
      </c>
      <c r="H16" s="50">
        <f>'Economic Forecasts'!U$8</f>
        <v>2.9653</v>
      </c>
      <c r="I16" s="50">
        <f>'Economic Forecasts'!V$8</f>
        <v>3.0393000000000003</v>
      </c>
      <c r="J16" s="50">
        <f>'Economic Forecasts'!W$8</f>
        <v>3.0343</v>
      </c>
      <c r="K16" s="50">
        <f>'Economic Forecasts'!X$8</f>
        <v>3.0533000000000001</v>
      </c>
      <c r="L16" s="48">
        <f>'Economic Forecasts'!Y$8</f>
        <v>3.1035999999999997</v>
      </c>
      <c r="M16" s="48">
        <f>'Economic Forecasts'!Z$8</f>
        <v>3.1566999999999998</v>
      </c>
      <c r="N16" s="48">
        <f>'Economic Forecasts'!AA$8</f>
        <v>3.2050000000000001</v>
      </c>
      <c r="O16" s="48">
        <f>'Economic Forecasts'!AB$8</f>
        <v>3.2505999999999999</v>
      </c>
      <c r="P16" s="48">
        <f>'Economic Forecasts'!AC$8</f>
        <v>3.2938000000000001</v>
      </c>
      <c r="Q16" s="20">
        <f>P$16*'Labour Force Treasury'!J$4/'Labour Force Treasury'!I$4</f>
        <v>3.3335325529278124</v>
      </c>
      <c r="R16" s="20">
        <f>Q$16*'Labour Force Treasury'!K$4/'Labour Force Treasury'!J$4</f>
        <v>3.3721792638940307</v>
      </c>
      <c r="S16" s="20">
        <f>R$16*'Labour Force Treasury'!L$4/'Labour Force Treasury'!K$4</f>
        <v>3.4096753280890426</v>
      </c>
      <c r="T16" s="20">
        <f>S$16*'Labour Force Treasury'!M$4/'Labour Force Treasury'!L$4</f>
        <v>3.4459739368614799</v>
      </c>
      <c r="U16" s="20">
        <f>T$16*'Labour Force Treasury'!N$4/'Labour Force Treasury'!M$4</f>
        <v>3.4818262054725535</v>
      </c>
      <c r="V16" s="20">
        <f>U$16*'Labour Force Treasury'!O$4/'Labour Force Treasury'!N$4</f>
        <v>3.5171391610897769</v>
      </c>
      <c r="W16" s="20">
        <f>V$16*'Labour Force Treasury'!P$4/'Labour Force Treasury'!O$4</f>
        <v>3.5511082239239253</v>
      </c>
      <c r="X16" s="20">
        <f>W$16*'Labour Force Treasury'!Q$4/'Labour Force Treasury'!P$4</f>
        <v>3.5838946659712145</v>
      </c>
      <c r="Y16" s="20">
        <f>X$16*'Labour Force Treasury'!R$4/'Labour Force Treasury'!Q$4</f>
        <v>3.6161211593463936</v>
      </c>
      <c r="Z16" s="20">
        <f>Y$16*'Labour Force Treasury'!S$4/'Labour Force Treasury'!R$4</f>
        <v>3.6476973352582767</v>
      </c>
    </row>
    <row r="17" spans="1:26" x14ac:dyDescent="0.25">
      <c r="A17" s="14" t="str">
        <f>$A$12</f>
        <v>Annual percentage growth</v>
      </c>
      <c r="B17" s="11"/>
      <c r="C17" s="15"/>
      <c r="D17" s="90"/>
      <c r="E17" s="89">
        <f t="shared" ref="E17:Z17" si="5">E$16/D$16-1</f>
        <v>1.3678029217988996E-2</v>
      </c>
      <c r="F17" s="89">
        <f t="shared" si="5"/>
        <v>1.0173083716001452E-2</v>
      </c>
      <c r="G17" s="89">
        <f t="shared" si="5"/>
        <v>1.0490244073012134E-2</v>
      </c>
      <c r="H17" s="89">
        <f t="shared" si="5"/>
        <v>2.6126375527718126E-2</v>
      </c>
      <c r="I17" s="89">
        <f t="shared" si="5"/>
        <v>2.495531649411542E-2</v>
      </c>
      <c r="J17" s="89">
        <f t="shared" si="5"/>
        <v>-1.6451156516303911E-3</v>
      </c>
      <c r="K17" s="89">
        <f t="shared" si="5"/>
        <v>6.2617407639324885E-3</v>
      </c>
      <c r="L17" s="66">
        <f t="shared" si="5"/>
        <v>1.6473978973569503E-2</v>
      </c>
      <c r="M17" s="66">
        <f t="shared" si="5"/>
        <v>1.7109163552004203E-2</v>
      </c>
      <c r="N17" s="66">
        <f t="shared" si="5"/>
        <v>1.5300788798428888E-2</v>
      </c>
      <c r="O17" s="66">
        <f t="shared" si="5"/>
        <v>1.4227769110764399E-2</v>
      </c>
      <c r="P17" s="66">
        <f t="shared" si="5"/>
        <v>1.3289854180766669E-2</v>
      </c>
      <c r="Q17" s="17">
        <f t="shared" si="5"/>
        <v>1.2062831054651779E-2</v>
      </c>
      <c r="R17" s="17">
        <f t="shared" si="5"/>
        <v>1.1593320404888585E-2</v>
      </c>
      <c r="S17" s="17">
        <f t="shared" si="5"/>
        <v>1.111923811301585E-2</v>
      </c>
      <c r="T17" s="17">
        <f t="shared" si="5"/>
        <v>1.0645766907308785E-2</v>
      </c>
      <c r="U17" s="17">
        <f t="shared" si="5"/>
        <v>1.0404103242790841E-2</v>
      </c>
      <c r="V17" s="17">
        <f t="shared" si="5"/>
        <v>1.0142078763644369E-2</v>
      </c>
      <c r="W17" s="17">
        <f t="shared" si="5"/>
        <v>9.6581514914022559E-3</v>
      </c>
      <c r="X17" s="17">
        <f t="shared" si="5"/>
        <v>9.2327352420311648E-3</v>
      </c>
      <c r="Y17" s="17">
        <f t="shared" si="5"/>
        <v>8.9920314012481573E-3</v>
      </c>
      <c r="Z17" s="17">
        <f t="shared" si="5"/>
        <v>8.7320569528677172E-3</v>
      </c>
    </row>
    <row r="18" spans="1:26" x14ac:dyDescent="0.25">
      <c r="A18" s="11" t="s">
        <v>1147</v>
      </c>
      <c r="B18" s="11"/>
      <c r="C18" s="15"/>
      <c r="D18" s="50">
        <f>'Economic Forecasts'!Q$9</f>
        <v>3.9419</v>
      </c>
      <c r="E18" s="50">
        <f>'Economic Forecasts'!R$9</f>
        <v>4.0198</v>
      </c>
      <c r="F18" s="50">
        <f>'Economic Forecasts'!S$9</f>
        <v>4.0667</v>
      </c>
      <c r="G18" s="50">
        <f>'Economic Forecasts'!T$9</f>
        <v>4.0703000000000005</v>
      </c>
      <c r="H18" s="50">
        <f>'Economic Forecasts'!U$9</f>
        <v>4.1178999999999997</v>
      </c>
      <c r="I18" s="50">
        <f>'Economic Forecasts'!V$9</f>
        <v>4.2371999999999996</v>
      </c>
      <c r="J18" s="50">
        <f>'Economic Forecasts'!W$9</f>
        <v>4.2868999999999993</v>
      </c>
      <c r="K18" s="50">
        <f>'Economic Forecasts'!X$9</f>
        <v>4.3319999999999999</v>
      </c>
      <c r="L18" s="48">
        <f>'Economic Forecasts'!Y$9</f>
        <v>4.3866999999999994</v>
      </c>
      <c r="M18" s="48">
        <f>'Economic Forecasts'!Z$9</f>
        <v>4.4423000000000004</v>
      </c>
      <c r="N18" s="48">
        <f>'Economic Forecasts'!AA$9</f>
        <v>4.5003000000000002</v>
      </c>
      <c r="O18" s="48">
        <f>'Economic Forecasts'!AB$9</f>
        <v>4.5590000000000002</v>
      </c>
      <c r="P18" s="48">
        <f>'Economic Forecasts'!AC$9</f>
        <v>4.6177999999999999</v>
      </c>
      <c r="Q18" s="20">
        <f>P$18*'Population Treasury'!AB$6/'Population Treasury'!AA$6</f>
        <v>4.6771358808609396</v>
      </c>
      <c r="R18" s="20">
        <f>Q$18*'Population Treasury'!AC$6/'Population Treasury'!AB$6</f>
        <v>4.7345664681015647</v>
      </c>
      <c r="S18" s="20">
        <f>R$18*'Population Treasury'!AD$6/'Population Treasury'!AC$6</f>
        <v>4.7911242127851628</v>
      </c>
      <c r="T18" s="20">
        <f>S$18*'Population Treasury'!AE$6/'Population Treasury'!AD$6</f>
        <v>4.8453742127851633</v>
      </c>
      <c r="U18" s="20">
        <f>T$18*'Population Treasury'!AF$6/'Population Treasury'!AE$6</f>
        <v>4.8998342127851631</v>
      </c>
      <c r="V18" s="20">
        <f>U$18*'Population Treasury'!AG$6/'Population Treasury'!AF$6</f>
        <v>4.9531442127851628</v>
      </c>
      <c r="W18" s="20">
        <f>V$18*'Population Treasury'!AH$6/'Population Treasury'!AG$6</f>
        <v>5.0015842127851631</v>
      </c>
      <c r="X18" s="20">
        <f>W$18*'Population Treasury'!AI$6/'Population Treasury'!AH$6</f>
        <v>5.0492242127851625</v>
      </c>
      <c r="Y18" s="20">
        <f>X$18*'Population Treasury'!AJ$6/'Population Treasury'!AI$6</f>
        <v>5.0974042127851638</v>
      </c>
      <c r="Z18" s="20">
        <f>Y$18*'Population Treasury'!AK$6/'Population Treasury'!AJ$6</f>
        <v>5.1449142127851628</v>
      </c>
    </row>
    <row r="19" spans="1:26" x14ac:dyDescent="0.25">
      <c r="A19" s="14" t="str">
        <f>$A$12</f>
        <v>Annual percentage growth</v>
      </c>
      <c r="B19" s="11"/>
      <c r="C19" s="15"/>
      <c r="D19" s="89"/>
      <c r="E19" s="89">
        <f t="shared" ref="E19:Z19" si="6">E$18/D$18-1</f>
        <v>1.9762043684517616E-2</v>
      </c>
      <c r="F19" s="89">
        <f t="shared" si="6"/>
        <v>1.1667247126722735E-2</v>
      </c>
      <c r="G19" s="89">
        <f t="shared" si="6"/>
        <v>8.852386455850958E-4</v>
      </c>
      <c r="H19" s="89">
        <f t="shared" si="6"/>
        <v>1.1694469695108234E-2</v>
      </c>
      <c r="I19" s="89">
        <f t="shared" si="6"/>
        <v>2.8971077490954178E-2</v>
      </c>
      <c r="J19" s="89">
        <f t="shared" si="6"/>
        <v>1.1729443972434472E-2</v>
      </c>
      <c r="K19" s="89">
        <f t="shared" si="6"/>
        <v>1.0520422683057751E-2</v>
      </c>
      <c r="L19" s="66">
        <f t="shared" si="6"/>
        <v>1.2626962142197495E-2</v>
      </c>
      <c r="M19" s="66">
        <f t="shared" si="6"/>
        <v>1.2674675724348772E-2</v>
      </c>
      <c r="N19" s="66">
        <f t="shared" si="6"/>
        <v>1.3056299664588211E-2</v>
      </c>
      <c r="O19" s="66">
        <f t="shared" si="6"/>
        <v>1.3043574872786179E-2</v>
      </c>
      <c r="P19" s="66">
        <f t="shared" si="6"/>
        <v>1.2897565255538535E-2</v>
      </c>
      <c r="Q19" s="17">
        <f t="shared" si="6"/>
        <v>1.2849383009428728E-2</v>
      </c>
      <c r="R19" s="17">
        <f t="shared" si="6"/>
        <v>1.2279007645604967E-2</v>
      </c>
      <c r="S19" s="17">
        <f t="shared" si="6"/>
        <v>1.1945707186634236E-2</v>
      </c>
      <c r="T19" s="17">
        <f t="shared" si="6"/>
        <v>1.132302098435134E-2</v>
      </c>
      <c r="U19" s="17">
        <f t="shared" si="6"/>
        <v>1.1239585965579169E-2</v>
      </c>
      <c r="V19" s="17">
        <f t="shared" si="6"/>
        <v>1.0879959950664819E-2</v>
      </c>
      <c r="W19" s="17">
        <f t="shared" si="6"/>
        <v>9.7796466081010447E-3</v>
      </c>
      <c r="X19" s="17">
        <f t="shared" si="6"/>
        <v>9.5249820803218199E-3</v>
      </c>
      <c r="Y19" s="17">
        <f t="shared" si="6"/>
        <v>9.5420599223945413E-3</v>
      </c>
      <c r="Z19" s="17">
        <f t="shared" si="6"/>
        <v>9.3204301673459611E-3</v>
      </c>
    </row>
    <row r="20" spans="1:26" x14ac:dyDescent="0.25">
      <c r="A20" s="11" t="s">
        <v>1148</v>
      </c>
      <c r="B20" s="11"/>
      <c r="C20" s="15"/>
      <c r="D20" s="89">
        <f t="shared" ref="D20:Z20" si="7">D$16/D$18</f>
        <v>0.70849082929551743</v>
      </c>
      <c r="E20" s="89">
        <f t="shared" si="7"/>
        <v>0.70426389372605602</v>
      </c>
      <c r="F20" s="89">
        <f t="shared" si="7"/>
        <v>0.70322374406767163</v>
      </c>
      <c r="G20" s="89">
        <f t="shared" si="7"/>
        <v>0.70997223791858088</v>
      </c>
      <c r="H20" s="89">
        <f t="shared" si="7"/>
        <v>0.72010005099686736</v>
      </c>
      <c r="I20" s="89">
        <f t="shared" si="7"/>
        <v>0.71728971962616839</v>
      </c>
      <c r="J20" s="89">
        <f t="shared" si="7"/>
        <v>0.70780750658984359</v>
      </c>
      <c r="K20" s="89">
        <f t="shared" si="7"/>
        <v>0.7048245614035088</v>
      </c>
      <c r="L20" s="66">
        <f t="shared" si="7"/>
        <v>0.70750222262748763</v>
      </c>
      <c r="M20" s="66">
        <f t="shared" si="7"/>
        <v>0.71060036467595611</v>
      </c>
      <c r="N20" s="66">
        <f t="shared" si="7"/>
        <v>0.7121747439059618</v>
      </c>
      <c r="O20" s="66">
        <f t="shared" si="7"/>
        <v>0.71300723842948011</v>
      </c>
      <c r="P20" s="66">
        <f t="shared" si="7"/>
        <v>0.71328338169691197</v>
      </c>
      <c r="Q20" s="17">
        <f t="shared" si="7"/>
        <v>0.71272946474973808</v>
      </c>
      <c r="R20" s="17">
        <f t="shared" si="7"/>
        <v>0.71224668332646413</v>
      </c>
      <c r="S20" s="17">
        <f t="shared" si="7"/>
        <v>0.71166498230003927</v>
      </c>
      <c r="T20" s="17">
        <f t="shared" si="7"/>
        <v>0.71118840063349908</v>
      </c>
      <c r="U20" s="17">
        <f t="shared" si="7"/>
        <v>0.71060081918433204</v>
      </c>
      <c r="V20" s="17">
        <f t="shared" si="7"/>
        <v>0.71008212359560652</v>
      </c>
      <c r="W20" s="17">
        <f t="shared" si="7"/>
        <v>0.7099966876187952</v>
      </c>
      <c r="X20" s="17">
        <f t="shared" si="7"/>
        <v>0.70979115106364643</v>
      </c>
      <c r="Y20" s="17">
        <f t="shared" si="7"/>
        <v>0.70940443574722634</v>
      </c>
      <c r="Z20" s="17">
        <f t="shared" si="7"/>
        <v>0.70899089555151618</v>
      </c>
    </row>
    <row r="21" spans="1:26" x14ac:dyDescent="0.25">
      <c r="A21" s="11" t="s">
        <v>779</v>
      </c>
      <c r="B21" s="11"/>
      <c r="C21" s="15"/>
      <c r="D21" s="50">
        <f>'Economic Forecasts'!Q$10</f>
        <v>4.9462000000000002</v>
      </c>
      <c r="E21" s="50">
        <f>'Economic Forecasts'!R$10</f>
        <v>5.0406000000000004</v>
      </c>
      <c r="F21" s="50">
        <f>'Economic Forecasts'!S$10</f>
        <v>5.0821000000000005</v>
      </c>
      <c r="G21" s="50">
        <f>'Economic Forecasts'!T$10</f>
        <v>5.0838000000000001</v>
      </c>
      <c r="H21" s="50">
        <f>'Economic Forecasts'!U$10</f>
        <v>5.1452</v>
      </c>
      <c r="I21" s="50">
        <f>'Economic Forecasts'!V$10</f>
        <v>5.2688000000000006</v>
      </c>
      <c r="J21" s="50">
        <f>'Economic Forecasts'!W$10</f>
        <v>5.3117999999999999</v>
      </c>
      <c r="K21" s="50">
        <f>'Economic Forecasts'!X$10</f>
        <v>5.3451000000000004</v>
      </c>
      <c r="L21" s="48">
        <f>'Economic Forecasts'!Y$10</f>
        <v>5.3923000000000005</v>
      </c>
      <c r="M21" s="48">
        <f>'Economic Forecasts'!Z$10</f>
        <v>5.4530000000000003</v>
      </c>
      <c r="N21" s="48">
        <f>'Economic Forecasts'!AA$10</f>
        <v>5.5176999999999996</v>
      </c>
      <c r="O21" s="48">
        <f>'Economic Forecasts'!AB$10</f>
        <v>5.5833999999999993</v>
      </c>
      <c r="P21" s="48">
        <f>'Economic Forecasts'!AC$10</f>
        <v>5.6493000000000002</v>
      </c>
      <c r="Q21" s="20">
        <f>P$21*'Population Treasury'!AB$4/'Population Treasury'!AA$4</f>
        <v>5.7052600060217733</v>
      </c>
      <c r="R21" s="20">
        <f>Q$21*'Population Treasury'!AC$4/'Population Treasury'!AB$4</f>
        <v>5.7601500100362912</v>
      </c>
      <c r="S21" s="20">
        <f>R$21*'Population Treasury'!AD$4/'Population Treasury'!AC$4</f>
        <v>5.8138600117090098</v>
      </c>
      <c r="T21" s="20">
        <f>S$21*'Population Treasury'!AE$4/'Population Treasury'!AD$4</f>
        <v>5.8664900117090104</v>
      </c>
      <c r="U21" s="20">
        <f>T$21*'Population Treasury'!AF$4/'Population Treasury'!AE$4</f>
        <v>5.9189500117090104</v>
      </c>
      <c r="V21" s="20">
        <f>U$21*'Population Treasury'!AG$4/'Population Treasury'!AF$4</f>
        <v>5.9709800117090097</v>
      </c>
      <c r="W21" s="20">
        <f>V$21*'Population Treasury'!AH$4/'Population Treasury'!AG$4</f>
        <v>6.0227600117090105</v>
      </c>
      <c r="X21" s="20">
        <f>W$21*'Population Treasury'!AI$4/'Population Treasury'!AH$4</f>
        <v>6.0742300117090098</v>
      </c>
      <c r="Y21" s="20">
        <f>X$21*'Population Treasury'!AJ$4/'Population Treasury'!AI$4</f>
        <v>6.1255100117090082</v>
      </c>
      <c r="Z21" s="20">
        <f>Y$21*'Population Treasury'!AK$4/'Population Treasury'!AJ$4</f>
        <v>6.1764800117090095</v>
      </c>
    </row>
    <row r="22" spans="1:26" x14ac:dyDescent="0.25">
      <c r="A22" s="14" t="str">
        <f>$A$12</f>
        <v>Annual percentage growth</v>
      </c>
      <c r="B22" s="57"/>
      <c r="C22" s="15"/>
      <c r="D22" s="91"/>
      <c r="E22" s="89">
        <f t="shared" ref="E22:Z22" si="8">E$21/D$21-1</f>
        <v>1.9085358456997437E-2</v>
      </c>
      <c r="F22" s="89">
        <f t="shared" si="8"/>
        <v>8.2331468475975722E-3</v>
      </c>
      <c r="G22" s="89">
        <f t="shared" si="8"/>
        <v>3.3450738867779606E-4</v>
      </c>
      <c r="H22" s="89">
        <f t="shared" si="8"/>
        <v>1.2077579763169366E-2</v>
      </c>
      <c r="I22" s="89">
        <f t="shared" si="8"/>
        <v>2.4022389800202326E-2</v>
      </c>
      <c r="J22" s="89">
        <f t="shared" si="8"/>
        <v>8.1612511387791908E-3</v>
      </c>
      <c r="K22" s="89">
        <f t="shared" si="8"/>
        <v>6.2690613351408242E-3</v>
      </c>
      <c r="L22" s="66">
        <f t="shared" si="8"/>
        <v>8.8305176703897814E-3</v>
      </c>
      <c r="M22" s="66">
        <f t="shared" si="8"/>
        <v>1.1256792092428025E-2</v>
      </c>
      <c r="N22" s="66">
        <f t="shared" si="8"/>
        <v>1.1865028424720148E-2</v>
      </c>
      <c r="O22" s="66">
        <f t="shared" si="8"/>
        <v>1.1907135219384912E-2</v>
      </c>
      <c r="P22" s="66">
        <f t="shared" si="8"/>
        <v>1.1802844145144764E-2</v>
      </c>
      <c r="Q22" s="17">
        <f t="shared" si="8"/>
        <v>9.9056530936174614E-3</v>
      </c>
      <c r="R22" s="17">
        <f t="shared" si="8"/>
        <v>9.6209469781540768E-3</v>
      </c>
      <c r="S22" s="17">
        <f t="shared" si="8"/>
        <v>9.3244102287504127E-3</v>
      </c>
      <c r="T22" s="17">
        <f t="shared" si="8"/>
        <v>9.0525055460579651E-3</v>
      </c>
      <c r="U22" s="17">
        <f t="shared" si="8"/>
        <v>8.9423147223117727E-3</v>
      </c>
      <c r="V22" s="17">
        <f t="shared" si="8"/>
        <v>8.7904104439253672E-3</v>
      </c>
      <c r="W22" s="17">
        <f t="shared" si="8"/>
        <v>8.6719432820845377E-3</v>
      </c>
      <c r="X22" s="17">
        <f t="shared" si="8"/>
        <v>8.5459158093523779E-3</v>
      </c>
      <c r="Y22" s="17">
        <f t="shared" si="8"/>
        <v>8.4422222900923938E-3</v>
      </c>
      <c r="Z22" s="17">
        <f t="shared" si="8"/>
        <v>8.3209397915555705E-3</v>
      </c>
    </row>
    <row r="23" spans="1:26" x14ac:dyDescent="0.25">
      <c r="A23" s="11" t="s">
        <v>780</v>
      </c>
      <c r="B23" s="11"/>
      <c r="C23" s="15"/>
      <c r="D23" s="89">
        <f>'Economic Forecasts'!Q$11</f>
        <v>4.1500000000000002E-2</v>
      </c>
      <c r="E23" s="89">
        <f>'Economic Forecasts'!R$11</f>
        <v>4.1299999999999996E-2</v>
      </c>
      <c r="F23" s="89">
        <f>'Economic Forecasts'!S$11</f>
        <v>4.6799999999999994E-2</v>
      </c>
      <c r="G23" s="89">
        <f>'Economic Forecasts'!T$11</f>
        <v>3.2799999999999996E-2</v>
      </c>
      <c r="H23" s="89">
        <f>'Economic Forecasts'!U$11</f>
        <v>3.4799999999999998E-2</v>
      </c>
      <c r="I23" s="89">
        <f>'Economic Forecasts'!V$11</f>
        <v>4.2500000000000003E-2</v>
      </c>
      <c r="J23" s="89">
        <f>'Economic Forecasts'!W$11</f>
        <v>5.0999999999999997E-2</v>
      </c>
      <c r="K23" s="89">
        <f>'Economic Forecasts'!X$11</f>
        <v>5.4299999999999994E-2</v>
      </c>
      <c r="L23" s="66">
        <f>'Economic Forecasts'!Y$11</f>
        <v>5.4199999999999998E-2</v>
      </c>
      <c r="M23" s="66">
        <f>'Economic Forecasts'!Z$11</f>
        <v>4.87E-2</v>
      </c>
      <c r="N23" s="66">
        <f>'Economic Forecasts'!AA$11</f>
        <v>4.5599999999999995E-2</v>
      </c>
      <c r="O23" s="66">
        <f>'Economic Forecasts'!AB$11</f>
        <v>4.3499999999999997E-2</v>
      </c>
      <c r="P23" s="66">
        <f>'Economic Forecasts'!AC$11</f>
        <v>4.3200000000000002E-2</v>
      </c>
      <c r="Q23" s="17">
        <f ca="1">P$23+IF(Q$6&lt;OFFSET(Assumptions!$B$8,0,$C$1)+OFFSET(Assumptions!$B$18,0,$C$1),(OFFSET(Assumptions!$B$12,0,$C$1)-P$23)/(OFFSET(Assumptions!$B$8,0,$C$1)+OFFSET(Assumptions!$B$18,0,$C$1)-Q$6),0)</f>
        <v>4.2966666666666667E-2</v>
      </c>
      <c r="R23" s="17">
        <f ca="1">Q$23+IF(R$6&lt;OFFSET(Assumptions!$B$8,0,$C$1)+OFFSET(Assumptions!$B$18,0,$C$1),(OFFSET(Assumptions!$B$12,0,$C$1)-Q$23)/(OFFSET(Assumptions!$B$8,0,$C$1)+OFFSET(Assumptions!$B$18,0,$C$1)-R$6),0)</f>
        <v>4.2733333333333332E-2</v>
      </c>
      <c r="S23" s="17">
        <f ca="1">R$23+IF(S$6&lt;OFFSET(Assumptions!$B$8,0,$C$1)+OFFSET(Assumptions!$B$18,0,$C$1),(OFFSET(Assumptions!$B$12,0,$C$1)-R$23)/(OFFSET(Assumptions!$B$8,0,$C$1)+OFFSET(Assumptions!$B$18,0,$C$1)-S$6),0)</f>
        <v>4.2500000000000003E-2</v>
      </c>
      <c r="T23" s="17">
        <f ca="1">S$23+IF(T$6&lt;OFFSET(Assumptions!$B$8,0,$C$1)+OFFSET(Assumptions!$B$18,0,$C$1),(OFFSET(Assumptions!$B$12,0,$C$1)-S$23)/(OFFSET(Assumptions!$B$8,0,$C$1)+OFFSET(Assumptions!$B$18,0,$C$1)-T$6),0)</f>
        <v>4.2500000000000003E-2</v>
      </c>
      <c r="U23" s="17">
        <f ca="1">T$23+IF(U$6&lt;OFFSET(Assumptions!$B$8,0,$C$1)+OFFSET(Assumptions!$B$18,0,$C$1),(OFFSET(Assumptions!$B$12,0,$C$1)-T$23)/(OFFSET(Assumptions!$B$8,0,$C$1)+OFFSET(Assumptions!$B$18,0,$C$1)-U$6),0)</f>
        <v>4.2500000000000003E-2</v>
      </c>
      <c r="V23" s="17">
        <f ca="1">U$23+IF(V$6&lt;OFFSET(Assumptions!$B$8,0,$C$1)+OFFSET(Assumptions!$B$18,0,$C$1),(OFFSET(Assumptions!$B$12,0,$C$1)-U$23)/(OFFSET(Assumptions!$B$8,0,$C$1)+OFFSET(Assumptions!$B$18,0,$C$1)-V$6),0)</f>
        <v>4.2500000000000003E-2</v>
      </c>
      <c r="W23" s="17">
        <f ca="1">V$23+IF(W$6&lt;OFFSET(Assumptions!$B$8,0,$C$1)+OFFSET(Assumptions!$B$18,0,$C$1),(OFFSET(Assumptions!$B$12,0,$C$1)-V$23)/(OFFSET(Assumptions!$B$8,0,$C$1)+OFFSET(Assumptions!$B$18,0,$C$1)-W$6),0)</f>
        <v>4.2500000000000003E-2</v>
      </c>
      <c r="X23" s="17">
        <f ca="1">W$23+IF(X$6&lt;OFFSET(Assumptions!$B$8,0,$C$1)+OFFSET(Assumptions!$B$18,0,$C$1),(OFFSET(Assumptions!$B$12,0,$C$1)-W$23)/(OFFSET(Assumptions!$B$8,0,$C$1)+OFFSET(Assumptions!$B$18,0,$C$1)-X$6),0)</f>
        <v>4.2500000000000003E-2</v>
      </c>
      <c r="Y23" s="17">
        <f ca="1">X$23+IF(Y$6&lt;OFFSET(Assumptions!$B$8,0,$C$1)+OFFSET(Assumptions!$B$18,0,$C$1),(OFFSET(Assumptions!$B$12,0,$C$1)-X$23)/(OFFSET(Assumptions!$B$8,0,$C$1)+OFFSET(Assumptions!$B$18,0,$C$1)-Y$6),0)</f>
        <v>4.2500000000000003E-2</v>
      </c>
      <c r="Z23" s="17">
        <f ca="1">Y$23+IF(Z$6&lt;OFFSET(Assumptions!$B$8,0,$C$1)+OFFSET(Assumptions!$B$18,0,$C$1),(OFFSET(Assumptions!$B$12,0,$C$1)-Y$23)/(OFFSET(Assumptions!$B$8,0,$C$1)+OFFSET(Assumptions!$B$18,0,$C$1)-Z$6),0)</f>
        <v>4.2500000000000003E-2</v>
      </c>
    </row>
    <row r="24" spans="1:26" x14ac:dyDescent="0.25">
      <c r="A24" s="11" t="s">
        <v>781</v>
      </c>
      <c r="B24" s="11"/>
      <c r="C24" s="15"/>
      <c r="D24" s="92">
        <f>'Economic Forecasts'!Q$12</f>
        <v>34.11</v>
      </c>
      <c r="E24" s="92">
        <f>'Economic Forecasts'!R$12</f>
        <v>33.18</v>
      </c>
      <c r="F24" s="92">
        <f>'Economic Forecasts'!S$12</f>
        <v>34.119999999999997</v>
      </c>
      <c r="G24" s="92">
        <f>'Economic Forecasts'!T$12</f>
        <v>32.94</v>
      </c>
      <c r="H24" s="92">
        <f>'Economic Forecasts'!U$12</f>
        <v>33.72</v>
      </c>
      <c r="I24" s="92">
        <f>'Economic Forecasts'!V$12</f>
        <v>33.549999999999997</v>
      </c>
      <c r="J24" s="92">
        <f>'Economic Forecasts'!W$12</f>
        <v>33.03</v>
      </c>
      <c r="K24" s="92">
        <f>'Economic Forecasts'!X$12</f>
        <v>33.299999999999997</v>
      </c>
      <c r="L24" s="68">
        <f>'Economic Forecasts'!Y$12</f>
        <v>33.28</v>
      </c>
      <c r="M24" s="68">
        <f>'Economic Forecasts'!Z$12</f>
        <v>33.26</v>
      </c>
      <c r="N24" s="68">
        <f>'Economic Forecasts'!AA$12</f>
        <v>33.25</v>
      </c>
      <c r="O24" s="68">
        <f>'Economic Forecasts'!AB$12</f>
        <v>33.229999999999997</v>
      </c>
      <c r="P24" s="68">
        <f>'Economic Forecasts'!AC$12</f>
        <v>33.22</v>
      </c>
      <c r="Q24" s="67">
        <f ca="1">P$24+IF(Q$6&lt;OFFSET(Assumptions!$B$8,0,$C$1)+OFFSET(Assumptions!$B$19,0,$C$1),(OFFSET(Assumptions!$B$13,0,$C$1)-P$24)/(OFFSET(Assumptions!$B$8,0,$C$1)+OFFSET(Assumptions!$B$19,0,$C$1)-Q$6),0)</f>
        <v>33.21</v>
      </c>
      <c r="R24" s="67">
        <f ca="1">Q$24+IF(R$6&lt;OFFSET(Assumptions!$B$8,0,$C$1)+OFFSET(Assumptions!$B$19,0,$C$1),(OFFSET(Assumptions!$B$13,0,$C$1)-Q$24)/(OFFSET(Assumptions!$B$8,0,$C$1)+OFFSET(Assumptions!$B$19,0,$C$1)-R$6),0)</f>
        <v>33.200000000000003</v>
      </c>
      <c r="S24" s="67">
        <f ca="1">R$24+IF(S$6&lt;OFFSET(Assumptions!$B$8,0,$C$1)+OFFSET(Assumptions!$B$19,0,$C$1),(OFFSET(Assumptions!$B$13,0,$C$1)-R$24)/(OFFSET(Assumptions!$B$8,0,$C$1)+OFFSET(Assumptions!$B$19,0,$C$1)-S$6),0)</f>
        <v>33.200000000000003</v>
      </c>
      <c r="T24" s="67">
        <f ca="1">S$24+IF(T$6&lt;OFFSET(Assumptions!$B$8,0,$C$1)+OFFSET(Assumptions!$B$19,0,$C$1),(OFFSET(Assumptions!$B$13,0,$C$1)-S$24)/(OFFSET(Assumptions!$B$8,0,$C$1)+OFFSET(Assumptions!$B$19,0,$C$1)-T$6),0)</f>
        <v>33.200000000000003</v>
      </c>
      <c r="U24" s="67">
        <f ca="1">T$24+IF(U$6&lt;OFFSET(Assumptions!$B$8,0,$C$1)+OFFSET(Assumptions!$B$19,0,$C$1),(OFFSET(Assumptions!$B$13,0,$C$1)-T$24)/(OFFSET(Assumptions!$B$8,0,$C$1)+OFFSET(Assumptions!$B$19,0,$C$1)-U$6),0)</f>
        <v>33.200000000000003</v>
      </c>
      <c r="V24" s="67">
        <f ca="1">U$24+IF(V$6&lt;OFFSET(Assumptions!$B$8,0,$C$1)+OFFSET(Assumptions!$B$19,0,$C$1),(OFFSET(Assumptions!$B$13,0,$C$1)-U$24)/(OFFSET(Assumptions!$B$8,0,$C$1)+OFFSET(Assumptions!$B$19,0,$C$1)-V$6),0)</f>
        <v>33.200000000000003</v>
      </c>
      <c r="W24" s="67">
        <f ca="1">V$24+IF(W$6&lt;OFFSET(Assumptions!$B$8,0,$C$1)+OFFSET(Assumptions!$B$19,0,$C$1),(OFFSET(Assumptions!$B$13,0,$C$1)-V$24)/(OFFSET(Assumptions!$B$8,0,$C$1)+OFFSET(Assumptions!$B$19,0,$C$1)-W$6),0)</f>
        <v>33.200000000000003</v>
      </c>
      <c r="X24" s="67">
        <f ca="1">W$24+IF(X$6&lt;OFFSET(Assumptions!$B$8,0,$C$1)+OFFSET(Assumptions!$B$19,0,$C$1),(OFFSET(Assumptions!$B$13,0,$C$1)-W$24)/(OFFSET(Assumptions!$B$8,0,$C$1)+OFFSET(Assumptions!$B$19,0,$C$1)-X$6),0)</f>
        <v>33.200000000000003</v>
      </c>
      <c r="Y24" s="67">
        <f ca="1">X$24+IF(Y$6&lt;OFFSET(Assumptions!$B$8,0,$C$1)+OFFSET(Assumptions!$B$19,0,$C$1),(OFFSET(Assumptions!$B$13,0,$C$1)-X$24)/(OFFSET(Assumptions!$B$8,0,$C$1)+OFFSET(Assumptions!$B$19,0,$C$1)-Y$6),0)</f>
        <v>33.200000000000003</v>
      </c>
      <c r="Z24" s="67">
        <f ca="1">Y$24+IF(Z$6&lt;OFFSET(Assumptions!$B$8,0,$C$1)+OFFSET(Assumptions!$B$19,0,$C$1),(OFFSET(Assumptions!$B$13,0,$C$1)-Y$24)/(OFFSET(Assumptions!$B$8,0,$C$1)+OFFSET(Assumptions!$B$19,0,$C$1)-Z$6),0)</f>
        <v>33.200000000000003</v>
      </c>
    </row>
    <row r="25" spans="1:26" x14ac:dyDescent="0.25">
      <c r="A25" s="11" t="s">
        <v>782</v>
      </c>
      <c r="B25" s="11"/>
      <c r="C25" s="15"/>
      <c r="D25" s="89">
        <f>'Economic Forecasts'!Q$13</f>
        <v>6.7000000000000002E-3</v>
      </c>
      <c r="E25" s="89">
        <f>'Economic Forecasts'!R$13</f>
        <v>6.4000000000000003E-3</v>
      </c>
      <c r="F25" s="89">
        <f>'Economic Forecasts'!S$13</f>
        <v>2.93E-2</v>
      </c>
      <c r="G25" s="89">
        <f>'Economic Forecasts'!T$13</f>
        <v>1.49E-2</v>
      </c>
      <c r="H25" s="89">
        <f>'Economic Forecasts'!U$13</f>
        <v>-8.6E-3</v>
      </c>
      <c r="I25" s="89">
        <f>'Economic Forecasts'!V$13</f>
        <v>-2.9999999999999997E-4</v>
      </c>
      <c r="J25" s="89">
        <f>'Economic Forecasts'!W$13</f>
        <v>1.46E-2</v>
      </c>
      <c r="K25" s="89">
        <f>'Economic Forecasts'!X$13</f>
        <v>4.7000000000000002E-3</v>
      </c>
      <c r="L25" s="66">
        <f>'Economic Forecasts'!Y$13</f>
        <v>7.1000000000000004E-3</v>
      </c>
      <c r="M25" s="66">
        <f>'Economic Forecasts'!Z$13</f>
        <v>6.4999999999999997E-3</v>
      </c>
      <c r="N25" s="66">
        <f>'Economic Forecasts'!AA$13</f>
        <v>8.3000000000000001E-3</v>
      </c>
      <c r="O25" s="66">
        <f>'Economic Forecasts'!AB$13</f>
        <v>9.9000000000000008E-3</v>
      </c>
      <c r="P25" s="66">
        <f>'Economic Forecasts'!AC$13</f>
        <v>1.14E-2</v>
      </c>
      <c r="Q25" s="17">
        <f ca="1">P$25+IF(Q$6&lt;OFFSET(Assumptions!$B$8,0,$C$1)+OFFSET(Assumptions!$B$20,0,$C$1),(OFFSET(Assumptions!$B$14,0,$C$1)-P$25)/(OFFSET(Assumptions!$B$8,0,$C$1)+OFFSET(Assumptions!$B$20,0,$C$1)-Q$6),0)</f>
        <v>1.0933333333333333E-2</v>
      </c>
      <c r="R25" s="17">
        <f ca="1">Q$25+IF(R$6&lt;OFFSET(Assumptions!$B$8,0,$C$1)+OFFSET(Assumptions!$B$20,0,$C$1),(OFFSET(Assumptions!$B$14,0,$C$1)-Q$25)/(OFFSET(Assumptions!$B$8,0,$C$1)+OFFSET(Assumptions!$B$20,0,$C$1)-R$6),0)</f>
        <v>1.0466666666666666E-2</v>
      </c>
      <c r="S25" s="17">
        <f ca="1">R$25+IF(S$6&lt;OFFSET(Assumptions!$B$8,0,$C$1)+OFFSET(Assumptions!$B$20,0,$C$1),(OFFSET(Assumptions!$B$14,0,$C$1)-R$25)/(OFFSET(Assumptions!$B$8,0,$C$1)+OFFSET(Assumptions!$B$20,0,$C$1)-S$6),0)</f>
        <v>0.01</v>
      </c>
      <c r="T25" s="17">
        <f ca="1">S$25+IF(T$6&lt;OFFSET(Assumptions!$B$8,0,$C$1)+OFFSET(Assumptions!$B$20,0,$C$1),(OFFSET(Assumptions!$B$14,0,$C$1)-S$25)/(OFFSET(Assumptions!$B$8,0,$C$1)+OFFSET(Assumptions!$B$20,0,$C$1)-T$6),0)</f>
        <v>0.01</v>
      </c>
      <c r="U25" s="17">
        <f ca="1">T$25+IF(U$6&lt;OFFSET(Assumptions!$B$8,0,$C$1)+OFFSET(Assumptions!$B$20,0,$C$1),(OFFSET(Assumptions!$B$14,0,$C$1)-T$25)/(OFFSET(Assumptions!$B$8,0,$C$1)+OFFSET(Assumptions!$B$20,0,$C$1)-U$6),0)</f>
        <v>0.01</v>
      </c>
      <c r="V25" s="17">
        <f ca="1">U$25+IF(V$6&lt;OFFSET(Assumptions!$B$8,0,$C$1)+OFFSET(Assumptions!$B$20,0,$C$1),(OFFSET(Assumptions!$B$14,0,$C$1)-U$25)/(OFFSET(Assumptions!$B$8,0,$C$1)+OFFSET(Assumptions!$B$20,0,$C$1)-V$6),0)</f>
        <v>0.01</v>
      </c>
      <c r="W25" s="17">
        <f ca="1">V$25+IF(W$6&lt;OFFSET(Assumptions!$B$8,0,$C$1)+OFFSET(Assumptions!$B$20,0,$C$1),(OFFSET(Assumptions!$B$14,0,$C$1)-V$25)/(OFFSET(Assumptions!$B$8,0,$C$1)+OFFSET(Assumptions!$B$20,0,$C$1)-W$6),0)</f>
        <v>0.01</v>
      </c>
      <c r="X25" s="17">
        <f ca="1">W$25+IF(X$6&lt;OFFSET(Assumptions!$B$8,0,$C$1)+OFFSET(Assumptions!$B$20,0,$C$1),(OFFSET(Assumptions!$B$14,0,$C$1)-W$25)/(OFFSET(Assumptions!$B$8,0,$C$1)+OFFSET(Assumptions!$B$20,0,$C$1)-X$6),0)</f>
        <v>0.01</v>
      </c>
      <c r="Y25" s="17">
        <f ca="1">X$25+IF(Y$6&lt;OFFSET(Assumptions!$B$8,0,$C$1)+OFFSET(Assumptions!$B$20,0,$C$1),(OFFSET(Assumptions!$B$14,0,$C$1)-X$25)/(OFFSET(Assumptions!$B$8,0,$C$1)+OFFSET(Assumptions!$B$20,0,$C$1)-Y$6),0)</f>
        <v>0.01</v>
      </c>
      <c r="Z25" s="17">
        <f ca="1">Y$25+IF(Z$6&lt;OFFSET(Assumptions!$B$8,0,$C$1)+OFFSET(Assumptions!$B$20,0,$C$1),(OFFSET(Assumptions!$B$14,0,$C$1)-Y$25)/(OFFSET(Assumptions!$B$8,0,$C$1)+OFFSET(Assumptions!$B$20,0,$C$1)-Z$6),0)</f>
        <v>0.01</v>
      </c>
    </row>
    <row r="26" spans="1:26" x14ac:dyDescent="0.25">
      <c r="A26" s="11" t="s">
        <v>784</v>
      </c>
      <c r="B26" s="57"/>
      <c r="C26" s="15"/>
      <c r="D26" s="89">
        <f>'Economic Forecasts'!Q$15</f>
        <v>3.3700000000000001E-2</v>
      </c>
      <c r="E26" s="89">
        <f>'Economic Forecasts'!R$15</f>
        <v>3.3300000000000003E-2</v>
      </c>
      <c r="F26" s="89">
        <f>'Economic Forecasts'!S$15</f>
        <v>4.1200000000000001E-2</v>
      </c>
      <c r="G26" s="89">
        <f>'Economic Forecasts'!T$15</f>
        <v>4.5999999999999999E-2</v>
      </c>
      <c r="H26" s="89">
        <f>'Economic Forecasts'!U$15</f>
        <v>7.2900000000000006E-2</v>
      </c>
      <c r="I26" s="89">
        <f>'Economic Forecasts'!V$15</f>
        <v>5.96E-2</v>
      </c>
      <c r="J26" s="89">
        <f>'Economic Forecasts'!W$15</f>
        <v>4.2799999999999998E-2</v>
      </c>
      <c r="K26" s="89">
        <f>'Economic Forecasts'!X$15</f>
        <v>3.2800000000000003E-2</v>
      </c>
      <c r="L26" s="66">
        <f>'Economic Forecasts'!Y$15</f>
        <v>3.1600000000000003E-2</v>
      </c>
      <c r="M26" s="66">
        <f>'Economic Forecasts'!Z$15</f>
        <v>3.09E-2</v>
      </c>
      <c r="N26" s="66">
        <f>'Economic Forecasts'!AA$15</f>
        <v>3.2800000000000003E-2</v>
      </c>
      <c r="O26" s="66">
        <f>'Economic Forecasts'!AB$15</f>
        <v>3.4200000000000001E-2</v>
      </c>
      <c r="P26" s="66">
        <f>'Economic Forecasts'!AC$15</f>
        <v>3.5099999999999999E-2</v>
      </c>
      <c r="Q26" s="17">
        <f t="shared" ref="Q26:Z26" ca="1" si="9">(1+Q$25)*(1+Q$29)-1</f>
        <v>3.1151999999999846E-2</v>
      </c>
      <c r="R26" s="17">
        <f t="shared" ca="1" si="9"/>
        <v>3.0675999999999926E-2</v>
      </c>
      <c r="S26" s="17">
        <f t="shared" ca="1" si="9"/>
        <v>3.0200000000000005E-2</v>
      </c>
      <c r="T26" s="17">
        <f t="shared" ca="1" si="9"/>
        <v>3.0200000000000005E-2</v>
      </c>
      <c r="U26" s="17">
        <f t="shared" ca="1" si="9"/>
        <v>3.0200000000000005E-2</v>
      </c>
      <c r="V26" s="17">
        <f t="shared" ca="1" si="9"/>
        <v>3.0200000000000005E-2</v>
      </c>
      <c r="W26" s="17">
        <f t="shared" ca="1" si="9"/>
        <v>3.0200000000000005E-2</v>
      </c>
      <c r="X26" s="17">
        <f t="shared" ca="1" si="9"/>
        <v>3.0200000000000005E-2</v>
      </c>
      <c r="Y26" s="17">
        <f t="shared" ca="1" si="9"/>
        <v>3.0200000000000005E-2</v>
      </c>
      <c r="Z26" s="17">
        <f t="shared" ca="1" si="9"/>
        <v>3.0200000000000005E-2</v>
      </c>
    </row>
    <row r="27" spans="1:26" x14ac:dyDescent="0.25">
      <c r="A27" s="57" t="s">
        <v>1149</v>
      </c>
      <c r="B27" s="11"/>
      <c r="C27" s="15"/>
      <c r="K27" s="91"/>
    </row>
    <row r="28" spans="1:26" x14ac:dyDescent="0.25">
      <c r="A28" s="11" t="s">
        <v>1150</v>
      </c>
      <c r="B28" s="11"/>
      <c r="C28" s="15"/>
      <c r="D28" s="27">
        <f>'Economic Forecasts'!Q$14</f>
        <v>1032</v>
      </c>
      <c r="E28" s="27">
        <f>'Economic Forecasts'!R$14</f>
        <v>1047</v>
      </c>
      <c r="F28" s="27">
        <f>'Economic Forecasts'!S$14</f>
        <v>1082</v>
      </c>
      <c r="G28" s="27">
        <f>'Economic Forecasts'!T$14</f>
        <v>1161</v>
      </c>
      <c r="H28" s="27">
        <f>'Economic Forecasts'!U$14</f>
        <v>1231</v>
      </c>
      <c r="I28" s="27">
        <f>'Economic Forecasts'!V$14</f>
        <v>1272</v>
      </c>
      <c r="J28" s="27">
        <f>'Economic Forecasts'!W$14</f>
        <v>1306</v>
      </c>
      <c r="K28" s="27">
        <f>'Economic Forecasts'!X$14</f>
        <v>1359</v>
      </c>
      <c r="L28" s="28">
        <f>'Economic Forecasts'!Y$14</f>
        <v>1384.2</v>
      </c>
      <c r="M28" s="28">
        <f>'Economic Forecasts'!Z$14</f>
        <v>1411.8</v>
      </c>
      <c r="N28" s="28">
        <f>'Economic Forecasts'!AA$14</f>
        <v>1441.3</v>
      </c>
      <c r="O28" s="28">
        <f>'Economic Forecasts'!AB$14</f>
        <v>1471.1</v>
      </c>
      <c r="P28" s="28">
        <f>'Economic Forecasts'!AC$14</f>
        <v>1500.7</v>
      </c>
      <c r="Q28" s="18">
        <f t="shared" ref="Q28:Z28" ca="1" si="10">P$28*(1+Q$29)</f>
        <v>1530.7140000000002</v>
      </c>
      <c r="R28" s="18">
        <f t="shared" ca="1" si="10"/>
        <v>1561.3282800000002</v>
      </c>
      <c r="S28" s="18">
        <f t="shared" ca="1" si="10"/>
        <v>1592.5548456000001</v>
      </c>
      <c r="T28" s="18">
        <f t="shared" ca="1" si="10"/>
        <v>1624.4059425120001</v>
      </c>
      <c r="U28" s="18">
        <f t="shared" ca="1" si="10"/>
        <v>1656.8940613622401</v>
      </c>
      <c r="V28" s="18">
        <f t="shared" ca="1" si="10"/>
        <v>1690.031942589485</v>
      </c>
      <c r="W28" s="18">
        <f t="shared" ca="1" si="10"/>
        <v>1723.8325814412747</v>
      </c>
      <c r="X28" s="18">
        <f t="shared" ca="1" si="10"/>
        <v>1758.3092330701002</v>
      </c>
      <c r="Y28" s="18">
        <f t="shared" ca="1" si="10"/>
        <v>1793.4754177315021</v>
      </c>
      <c r="Z28" s="18">
        <f t="shared" ca="1" si="10"/>
        <v>1829.3449260861323</v>
      </c>
    </row>
    <row r="29" spans="1:26" x14ac:dyDescent="0.25">
      <c r="A29" s="14" t="str">
        <f>$A$12</f>
        <v>Annual percentage growth</v>
      </c>
      <c r="B29" s="11"/>
      <c r="C29" s="15"/>
      <c r="D29" s="93"/>
      <c r="E29" s="89">
        <f t="shared" ref="E29:P29" si="11">E$28/D$28-1</f>
        <v>1.4534883720930258E-2</v>
      </c>
      <c r="F29" s="89">
        <f t="shared" si="11"/>
        <v>3.3428844317096473E-2</v>
      </c>
      <c r="G29" s="89">
        <f t="shared" si="11"/>
        <v>7.3012939001848354E-2</v>
      </c>
      <c r="H29" s="89">
        <f t="shared" si="11"/>
        <v>6.0292850990525393E-2</v>
      </c>
      <c r="I29" s="89">
        <f t="shared" si="11"/>
        <v>3.3306255077172997E-2</v>
      </c>
      <c r="J29" s="89">
        <f t="shared" si="11"/>
        <v>2.6729559748427612E-2</v>
      </c>
      <c r="K29" s="89">
        <f t="shared" si="11"/>
        <v>4.058192955589579E-2</v>
      </c>
      <c r="L29" s="66">
        <f t="shared" si="11"/>
        <v>1.8543046357615944E-2</v>
      </c>
      <c r="M29" s="66">
        <f t="shared" si="11"/>
        <v>1.9939315127871726E-2</v>
      </c>
      <c r="N29" s="66">
        <f t="shared" si="11"/>
        <v>2.0895310950559631E-2</v>
      </c>
      <c r="O29" s="66">
        <f t="shared" si="11"/>
        <v>2.0675778810795853E-2</v>
      </c>
      <c r="P29" s="66">
        <f t="shared" si="11"/>
        <v>2.0120997892733472E-2</v>
      </c>
      <c r="Q29" s="17">
        <f ca="1">P$29+IF(Q$6&lt;OFFSET(Assumptions!$B$8,0,$C$1)+OFFSET(Assumptions!$B$21,0,$C$1),(OFFSET(Assumptions!$B$15,0,$C$1)-P$29)/(OFFSET(Assumptions!$B$8,0,$C$1)+OFFSET(Assumptions!$B$21,0,$C$1)-Q$6),0)</f>
        <v>0.02</v>
      </c>
      <c r="R29" s="17">
        <f ca="1">Q$29+IF(R$6&lt;OFFSET(Assumptions!$B$8,0,$C$1)+OFFSET(Assumptions!$B$21,0,$C$1),(OFFSET(Assumptions!$B$15,0,$C$1)-Q$29)/(OFFSET(Assumptions!$B$8,0,$C$1)+OFFSET(Assumptions!$B$21,0,$C$1)-R$6),0)</f>
        <v>0.02</v>
      </c>
      <c r="S29" s="17">
        <f ca="1">R$29+IF(S$6&lt;OFFSET(Assumptions!$B$8,0,$C$1)+OFFSET(Assumptions!$B$21,0,$C$1),(OFFSET(Assumptions!$B$15,0,$C$1)-R$29)/(OFFSET(Assumptions!$B$8,0,$C$1)+OFFSET(Assumptions!$B$21,0,$C$1)-S$6),0)</f>
        <v>0.02</v>
      </c>
      <c r="T29" s="17">
        <f ca="1">S$29+IF(T$6&lt;OFFSET(Assumptions!$B$8,0,$C$1)+OFFSET(Assumptions!$B$21,0,$C$1),(OFFSET(Assumptions!$B$15,0,$C$1)-S$29)/(OFFSET(Assumptions!$B$8,0,$C$1)+OFFSET(Assumptions!$B$21,0,$C$1)-T$6),0)</f>
        <v>0.02</v>
      </c>
      <c r="U29" s="17">
        <f ca="1">T$29+IF(U$6&lt;OFFSET(Assumptions!$B$8,0,$C$1)+OFFSET(Assumptions!$B$21,0,$C$1),(OFFSET(Assumptions!$B$15,0,$C$1)-T$29)/(OFFSET(Assumptions!$B$8,0,$C$1)+OFFSET(Assumptions!$B$21,0,$C$1)-U$6),0)</f>
        <v>0.02</v>
      </c>
      <c r="V29" s="17">
        <f ca="1">U$29+IF(V$6&lt;OFFSET(Assumptions!$B$8,0,$C$1)+OFFSET(Assumptions!$B$21,0,$C$1),(OFFSET(Assumptions!$B$15,0,$C$1)-U$29)/(OFFSET(Assumptions!$B$8,0,$C$1)+OFFSET(Assumptions!$B$21,0,$C$1)-V$6),0)</f>
        <v>0.02</v>
      </c>
      <c r="W29" s="17">
        <f ca="1">V$29+IF(W$6&lt;OFFSET(Assumptions!$B$8,0,$C$1)+OFFSET(Assumptions!$B$21,0,$C$1),(OFFSET(Assumptions!$B$15,0,$C$1)-V$29)/(OFFSET(Assumptions!$B$8,0,$C$1)+OFFSET(Assumptions!$B$21,0,$C$1)-W$6),0)</f>
        <v>0.02</v>
      </c>
      <c r="X29" s="17">
        <f ca="1">W$29+IF(X$6&lt;OFFSET(Assumptions!$B$8,0,$C$1)+OFFSET(Assumptions!$B$21,0,$C$1),(OFFSET(Assumptions!$B$15,0,$C$1)-W$29)/(OFFSET(Assumptions!$B$8,0,$C$1)+OFFSET(Assumptions!$B$21,0,$C$1)-X$6),0)</f>
        <v>0.02</v>
      </c>
      <c r="Y29" s="17">
        <f ca="1">X$29+IF(Y$6&lt;OFFSET(Assumptions!$B$8,0,$C$1)+OFFSET(Assumptions!$B$21,0,$C$1),(OFFSET(Assumptions!$B$15,0,$C$1)-X$29)/(OFFSET(Assumptions!$B$8,0,$C$1)+OFFSET(Assumptions!$B$21,0,$C$1)-Y$6),0)</f>
        <v>0.02</v>
      </c>
      <c r="Z29" s="17">
        <f ca="1">Y$29+IF(Z$6&lt;OFFSET(Assumptions!$B$8,0,$C$1)+OFFSET(Assumptions!$B$21,0,$C$1),(OFFSET(Assumptions!$B$15,0,$C$1)-Y$29)/(OFFSET(Assumptions!$B$8,0,$C$1)+OFFSET(Assumptions!$B$21,0,$C$1)-Z$6),0)</f>
        <v>0.02</v>
      </c>
    </row>
    <row r="30" spans="1:26" x14ac:dyDescent="0.25">
      <c r="A30" s="11" t="s">
        <v>785</v>
      </c>
      <c r="B30" s="11"/>
      <c r="C30" s="15"/>
      <c r="D30" s="89">
        <f>'Economic Forecasts'!Q$16</f>
        <v>2.3099999999999999E-2</v>
      </c>
      <c r="E30" s="89">
        <f>'Economic Forecasts'!R$16</f>
        <v>1.1899999999999999E-2</v>
      </c>
      <c r="F30" s="89">
        <f>'Economic Forecasts'!S$16</f>
        <v>1.1599999999999999E-2</v>
      </c>
      <c r="G30" s="89">
        <f>'Economic Forecasts'!T$16</f>
        <v>2.6499999999999999E-2</v>
      </c>
      <c r="H30" s="89">
        <f>'Economic Forecasts'!U$16</f>
        <v>4.1500000000000002E-2</v>
      </c>
      <c r="I30" s="89">
        <f>'Economic Forecasts'!V$16</f>
        <v>4.8499999999999995E-2</v>
      </c>
      <c r="J30" s="89">
        <f>'Economic Forecasts'!W$16</f>
        <v>4.4999999999999998E-2</v>
      </c>
      <c r="K30" s="89">
        <f>'Economic Forecasts'!X$16</f>
        <v>4.4600000000000001E-2</v>
      </c>
      <c r="L30" s="66">
        <f>'Economic Forecasts'!Y$16</f>
        <v>4.7E-2</v>
      </c>
      <c r="M30" s="66">
        <f>'Economic Forecasts'!Z$16</f>
        <v>4.7E-2</v>
      </c>
      <c r="N30" s="66">
        <f>'Economic Forecasts'!AA$16</f>
        <v>4.7E-2</v>
      </c>
      <c r="O30" s="66">
        <f>'Economic Forecasts'!AB$16</f>
        <v>4.7E-2</v>
      </c>
      <c r="P30" s="66">
        <f>'Economic Forecasts'!AC$16</f>
        <v>4.7E-2</v>
      </c>
      <c r="Q30" s="17">
        <f ca="1">P$30+IF(Q$6&lt;OFFSET(Assumptions!$B$8,0,$C$1)+OFFSET(Assumptions!$B$22,0,$C$1),(OFFSET(Assumptions!$B$16,0,$C$1)-P$30)/(OFFSET(Assumptions!$B$8,0,$C$1)+OFFSET(Assumptions!$B$22,0,$C$1)-Q$6),0)</f>
        <v>4.7E-2</v>
      </c>
      <c r="R30" s="17">
        <f ca="1">Q$30+IF(R$6&lt;OFFSET(Assumptions!$B$8,0,$C$1)+OFFSET(Assumptions!$B$22,0,$C$1),(OFFSET(Assumptions!$B$16,0,$C$1)-Q$30)/(OFFSET(Assumptions!$B$8,0,$C$1)+OFFSET(Assumptions!$B$22,0,$C$1)-R$6),0)</f>
        <v>4.7E-2</v>
      </c>
      <c r="S30" s="17">
        <f ca="1">R$30+IF(S$6&lt;OFFSET(Assumptions!$B$8,0,$C$1)+OFFSET(Assumptions!$B$22,0,$C$1),(OFFSET(Assumptions!$B$16,0,$C$1)-R$30)/(OFFSET(Assumptions!$B$8,0,$C$1)+OFFSET(Assumptions!$B$22,0,$C$1)-S$6),0)</f>
        <v>4.7E-2</v>
      </c>
      <c r="T30" s="17">
        <f ca="1">S$30+IF(T$6&lt;OFFSET(Assumptions!$B$8,0,$C$1)+OFFSET(Assumptions!$B$22,0,$C$1),(OFFSET(Assumptions!$B$16,0,$C$1)-S$30)/(OFFSET(Assumptions!$B$8,0,$C$1)+OFFSET(Assumptions!$B$22,0,$C$1)-T$6),0)</f>
        <v>4.7E-2</v>
      </c>
      <c r="U30" s="17">
        <f ca="1">T$30+IF(U$6&lt;OFFSET(Assumptions!$B$8,0,$C$1)+OFFSET(Assumptions!$B$22,0,$C$1),(OFFSET(Assumptions!$B$16,0,$C$1)-T$30)/(OFFSET(Assumptions!$B$8,0,$C$1)+OFFSET(Assumptions!$B$22,0,$C$1)-U$6),0)</f>
        <v>4.7E-2</v>
      </c>
      <c r="V30" s="17">
        <f ca="1">U$30+IF(V$6&lt;OFFSET(Assumptions!$B$8,0,$C$1)+OFFSET(Assumptions!$B$22,0,$C$1),(OFFSET(Assumptions!$B$16,0,$C$1)-U$30)/(OFFSET(Assumptions!$B$8,0,$C$1)+OFFSET(Assumptions!$B$22,0,$C$1)-V$6),0)</f>
        <v>4.7E-2</v>
      </c>
      <c r="W30" s="17">
        <f ca="1">V$30+IF(W$6&lt;OFFSET(Assumptions!$B$8,0,$C$1)+OFFSET(Assumptions!$B$22,0,$C$1),(OFFSET(Assumptions!$B$16,0,$C$1)-V$30)/(OFFSET(Assumptions!$B$8,0,$C$1)+OFFSET(Assumptions!$B$22,0,$C$1)-W$6),0)</f>
        <v>4.7E-2</v>
      </c>
      <c r="X30" s="17">
        <f ca="1">W$30+IF(X$6&lt;OFFSET(Assumptions!$B$8,0,$C$1)+OFFSET(Assumptions!$B$22,0,$C$1),(OFFSET(Assumptions!$B$16,0,$C$1)-W$30)/(OFFSET(Assumptions!$B$8,0,$C$1)+OFFSET(Assumptions!$B$22,0,$C$1)-X$6),0)</f>
        <v>4.7E-2</v>
      </c>
      <c r="Y30" s="17">
        <f ca="1">X$30+IF(Y$6&lt;OFFSET(Assumptions!$B$8,0,$C$1)+OFFSET(Assumptions!$B$22,0,$C$1),(OFFSET(Assumptions!$B$16,0,$C$1)-X$30)/(OFFSET(Assumptions!$B$8,0,$C$1)+OFFSET(Assumptions!$B$22,0,$C$1)-Y$6),0)</f>
        <v>4.7E-2</v>
      </c>
      <c r="Z30" s="17">
        <f ca="1">Y$30+IF(Z$6&lt;OFFSET(Assumptions!$B$8,0,$C$1)+OFFSET(Assumptions!$B$22,0,$C$1),(OFFSET(Assumptions!$B$16,0,$C$1)-Y$30)/(OFFSET(Assumptions!$B$8,0,$C$1)+OFFSET(Assumptions!$B$22,0,$C$1)-Z$6),0)</f>
        <v>4.7E-2</v>
      </c>
    </row>
    <row r="31" spans="1:26" x14ac:dyDescent="0.25">
      <c r="A31" s="11"/>
      <c r="B31" s="11"/>
      <c r="C31" s="15"/>
      <c r="D31" s="89"/>
      <c r="E31" s="89"/>
      <c r="F31" s="89"/>
      <c r="G31" s="89"/>
      <c r="H31" s="89"/>
      <c r="I31" s="89"/>
      <c r="J31" s="89"/>
      <c r="K31" s="89"/>
      <c r="L31" s="66"/>
      <c r="M31" s="66"/>
      <c r="N31" s="17"/>
      <c r="O31" s="17"/>
      <c r="P31" s="17"/>
      <c r="Q31" s="17"/>
      <c r="R31" s="17"/>
      <c r="S31" s="17"/>
      <c r="T31" s="17"/>
      <c r="U31" s="17"/>
      <c r="V31" s="17"/>
      <c r="W31" s="17"/>
      <c r="X31" s="17"/>
      <c r="Y31" s="17"/>
      <c r="Z31" s="17"/>
    </row>
    <row r="32" spans="1:26" ht="16.5" x14ac:dyDescent="0.25">
      <c r="A32" s="63" t="s">
        <v>1151</v>
      </c>
      <c r="B32" s="11"/>
      <c r="C32" s="15"/>
      <c r="D32" s="89"/>
      <c r="E32" s="89"/>
      <c r="F32" s="89"/>
      <c r="G32" s="89"/>
      <c r="H32" s="89"/>
      <c r="I32" s="89"/>
      <c r="J32" s="89"/>
      <c r="K32" s="89"/>
      <c r="L32" s="66"/>
      <c r="M32" s="66"/>
      <c r="N32" s="17"/>
      <c r="O32" s="17"/>
      <c r="P32" s="17"/>
      <c r="Q32" s="17"/>
      <c r="R32" s="17"/>
      <c r="S32" s="17"/>
      <c r="T32" s="17"/>
      <c r="U32" s="17"/>
      <c r="V32" s="17"/>
      <c r="W32" s="17"/>
      <c r="X32" s="17"/>
      <c r="Y32" s="17"/>
      <c r="Z32" s="17"/>
    </row>
    <row r="33" spans="1:26" x14ac:dyDescent="0.25">
      <c r="A33" s="57" t="s">
        <v>1152</v>
      </c>
      <c r="B33" s="11"/>
      <c r="C33" s="15"/>
      <c r="D33" s="89"/>
      <c r="E33" s="89"/>
      <c r="F33" s="89"/>
      <c r="G33" s="89"/>
      <c r="H33" s="89"/>
      <c r="I33" s="89"/>
      <c r="J33" s="89"/>
      <c r="K33" s="89"/>
      <c r="L33" s="66"/>
      <c r="M33" s="66"/>
      <c r="N33" s="17"/>
      <c r="O33" s="17"/>
      <c r="P33" s="17"/>
      <c r="Q33" s="17"/>
      <c r="R33" s="17"/>
      <c r="S33" s="17"/>
      <c r="T33" s="17"/>
      <c r="U33" s="17"/>
      <c r="V33" s="17"/>
      <c r="W33" s="17"/>
      <c r="X33" s="17"/>
      <c r="Y33" s="17"/>
      <c r="Z33" s="17"/>
    </row>
    <row r="34" spans="1:26" x14ac:dyDescent="0.25">
      <c r="A34" s="11" t="s">
        <v>1153</v>
      </c>
      <c r="B34" s="11"/>
      <c r="C34" s="15"/>
      <c r="D34" s="51">
        <f t="shared" ref="D34:Z34" ca="1" si="12">SUM(D$140,D$150,D$155,D$165,D$173,D$179)</f>
        <v>119.142</v>
      </c>
      <c r="E34" s="51">
        <f t="shared" ca="1" si="12"/>
        <v>116.003</v>
      </c>
      <c r="F34" s="51">
        <f t="shared" ca="1" si="12"/>
        <v>129.33500000000001</v>
      </c>
      <c r="G34" s="51">
        <f t="shared" ca="1" si="12"/>
        <v>141.62700000000001</v>
      </c>
      <c r="H34" s="51">
        <f t="shared" ca="1" si="12"/>
        <v>153.011</v>
      </c>
      <c r="I34" s="51">
        <f t="shared" ca="1" si="12"/>
        <v>167.34699999999998</v>
      </c>
      <c r="J34" s="51">
        <f t="shared" ca="1" si="12"/>
        <v>169.81099999999998</v>
      </c>
      <c r="K34" s="51">
        <f t="shared" ca="1" si="12"/>
        <v>172.334</v>
      </c>
      <c r="L34" s="47">
        <f t="shared" ca="1" si="12"/>
        <v>185.85700000000003</v>
      </c>
      <c r="M34" s="47">
        <f t="shared" ca="1" si="12"/>
        <v>195.21899999999999</v>
      </c>
      <c r="N34" s="47">
        <f t="shared" ca="1" si="12"/>
        <v>205.63200000000003</v>
      </c>
      <c r="O34" s="47">
        <f t="shared" ca="1" si="12"/>
        <v>216.68100000000001</v>
      </c>
      <c r="P34" s="47">
        <f t="shared" ca="1" si="12"/>
        <v>226.12200000000001</v>
      </c>
      <c r="Q34" s="21">
        <f t="shared" ca="1" si="12"/>
        <v>235.4463991577525</v>
      </c>
      <c r="R34" s="21">
        <f t="shared" ca="1" si="12"/>
        <v>244.74843760533881</v>
      </c>
      <c r="S34" s="21">
        <f t="shared" ca="1" si="12"/>
        <v>254.47520584078205</v>
      </c>
      <c r="T34" s="21">
        <f t="shared" ca="1" si="12"/>
        <v>264.80119566754439</v>
      </c>
      <c r="U34" s="21">
        <f t="shared" ca="1" si="12"/>
        <v>275.56837207368267</v>
      </c>
      <c r="V34" s="21">
        <f t="shared" ca="1" si="12"/>
        <v>286.45725588281186</v>
      </c>
      <c r="W34" s="21">
        <f t="shared" ca="1" si="12"/>
        <v>297.64206322196281</v>
      </c>
      <c r="X34" s="21">
        <f t="shared" ca="1" si="12"/>
        <v>309.12937859444685</v>
      </c>
      <c r="Y34" s="21">
        <f t="shared" ca="1" si="12"/>
        <v>321.00325354924536</v>
      </c>
      <c r="Z34" s="21">
        <f t="shared" ca="1" si="12"/>
        <v>333.25228364674138</v>
      </c>
    </row>
    <row r="35" spans="1:26" x14ac:dyDescent="0.25">
      <c r="A35" s="11" t="s">
        <v>1154</v>
      </c>
      <c r="B35" s="11"/>
      <c r="C35" s="15"/>
      <c r="D35" s="51">
        <f t="shared" ref="D35:Z35" si="13">SUM(D$194,D$212,D$218,D$227,D$234,D$241,D$246,D$249)</f>
        <v>111.376</v>
      </c>
      <c r="E35" s="51">
        <f t="shared" si="13"/>
        <v>138.91599999999997</v>
      </c>
      <c r="F35" s="51">
        <f t="shared" si="13"/>
        <v>133.72200000000004</v>
      </c>
      <c r="G35" s="51">
        <f t="shared" si="13"/>
        <v>150.95599999999999</v>
      </c>
      <c r="H35" s="51">
        <f t="shared" si="13"/>
        <v>161.822</v>
      </c>
      <c r="I35" s="51">
        <f t="shared" si="13"/>
        <v>180.06100000000001</v>
      </c>
      <c r="J35" s="51">
        <f t="shared" si="13"/>
        <v>183.50200000000001</v>
      </c>
      <c r="K35" s="51">
        <f t="shared" si="13"/>
        <v>182.691</v>
      </c>
      <c r="L35" s="47">
        <f t="shared" ca="1" si="13"/>
        <v>194.47299999999998</v>
      </c>
      <c r="M35" s="47">
        <f t="shared" ca="1" si="13"/>
        <v>197.73099999999999</v>
      </c>
      <c r="N35" s="47">
        <f t="shared" ca="1" si="13"/>
        <v>203.18200000000002</v>
      </c>
      <c r="O35" s="47">
        <f t="shared" ca="1" si="13"/>
        <v>209.95</v>
      </c>
      <c r="P35" s="47">
        <f t="shared" ca="1" si="13"/>
        <v>216.69900000000001</v>
      </c>
      <c r="Q35" s="21">
        <f t="shared" ca="1" si="13"/>
        <v>227.83562776026815</v>
      </c>
      <c r="R35" s="21">
        <f t="shared" ca="1" si="13"/>
        <v>238.48749258033826</v>
      </c>
      <c r="S35" s="21">
        <f t="shared" ca="1" si="13"/>
        <v>248.5319903080136</v>
      </c>
      <c r="T35" s="21">
        <f t="shared" ca="1" si="13"/>
        <v>258.71089675919853</v>
      </c>
      <c r="U35" s="21">
        <f t="shared" ca="1" si="13"/>
        <v>269.30592071507067</v>
      </c>
      <c r="V35" s="21">
        <f t="shared" ca="1" si="13"/>
        <v>280.27196421297924</v>
      </c>
      <c r="W35" s="21">
        <f t="shared" ca="1" si="13"/>
        <v>291.57111400598268</v>
      </c>
      <c r="X35" s="21">
        <f t="shared" ca="1" si="13"/>
        <v>303.21693836783379</v>
      </c>
      <c r="Y35" s="21">
        <f t="shared" ca="1" si="13"/>
        <v>315.17624225530966</v>
      </c>
      <c r="Z35" s="21">
        <f t="shared" ca="1" si="13"/>
        <v>327.58275474718391</v>
      </c>
    </row>
    <row r="36" spans="1:26" x14ac:dyDescent="0.25">
      <c r="A36" s="12" t="s">
        <v>1155</v>
      </c>
      <c r="B36" s="11"/>
      <c r="C36" s="15"/>
      <c r="D36" s="50">
        <f t="shared" ref="D36:Z36" si="14">D$337</f>
        <v>-7.1309999999999993</v>
      </c>
      <c r="E36" s="50">
        <f t="shared" si="14"/>
        <v>-8.7219999999999995</v>
      </c>
      <c r="F36" s="50">
        <f t="shared" si="14"/>
        <v>21.023</v>
      </c>
      <c r="G36" s="50">
        <f t="shared" si="14"/>
        <v>-6.7219999999999995</v>
      </c>
      <c r="H36" s="50">
        <f t="shared" si="14"/>
        <v>14.658000000000001</v>
      </c>
      <c r="I36" s="50">
        <f t="shared" si="14"/>
        <v>4.6669999999999998</v>
      </c>
      <c r="J36" s="50">
        <f t="shared" si="14"/>
        <v>8.870000000000001</v>
      </c>
      <c r="K36" s="50">
        <f t="shared" si="14"/>
        <v>11.251999999999999</v>
      </c>
      <c r="L36" s="48">
        <f t="shared" si="14"/>
        <v>5.5949999999999998</v>
      </c>
      <c r="M36" s="48">
        <f t="shared" si="14"/>
        <v>6.1859999999999999</v>
      </c>
      <c r="N36" s="48">
        <f t="shared" si="14"/>
        <v>6.67</v>
      </c>
      <c r="O36" s="48">
        <f t="shared" si="14"/>
        <v>7.1619999999999999</v>
      </c>
      <c r="P36" s="48">
        <f t="shared" si="14"/>
        <v>7.8049999999999997</v>
      </c>
      <c r="Q36" s="20">
        <f t="shared" ca="1" si="14"/>
        <v>8.1893578666957438</v>
      </c>
      <c r="R36" s="20">
        <f t="shared" ca="1" si="14"/>
        <v>8.6778170884748373</v>
      </c>
      <c r="S36" s="20">
        <f t="shared" ca="1" si="14"/>
        <v>9.1935424145827049</v>
      </c>
      <c r="T36" s="20">
        <f t="shared" ca="1" si="14"/>
        <v>9.7397335211931519</v>
      </c>
      <c r="U36" s="20">
        <f t="shared" ca="1" si="14"/>
        <v>10.315927609072595</v>
      </c>
      <c r="V36" s="20">
        <f t="shared" ca="1" si="14"/>
        <v>10.915288094060537</v>
      </c>
      <c r="W36" s="20">
        <f t="shared" ca="1" si="14"/>
        <v>11.541113549028129</v>
      </c>
      <c r="X36" s="20">
        <f t="shared" ca="1" si="14"/>
        <v>12.198297499928369</v>
      </c>
      <c r="Y36" s="20">
        <f t="shared" ca="1" si="14"/>
        <v>12.89401253208573</v>
      </c>
      <c r="Z36" s="20">
        <f t="shared" ca="1" si="14"/>
        <v>13.634820401576503</v>
      </c>
    </row>
    <row r="37" spans="1:26" x14ac:dyDescent="0.25">
      <c r="A37" s="12" t="s">
        <v>881</v>
      </c>
      <c r="B37" s="14"/>
      <c r="C37" s="15"/>
      <c r="D37" s="50">
        <f t="shared" ref="D37:Z37" si="15">D$341</f>
        <v>0.20599999999999999</v>
      </c>
      <c r="E37" s="50">
        <f t="shared" si="15"/>
        <v>1.1930000000000001</v>
      </c>
      <c r="F37" s="50">
        <f t="shared" si="15"/>
        <v>-0.36</v>
      </c>
      <c r="G37" s="50">
        <f t="shared" si="15"/>
        <v>-0.126</v>
      </c>
      <c r="H37" s="50">
        <f t="shared" si="15"/>
        <v>2.9000000000000001E-2</v>
      </c>
      <c r="I37" s="50">
        <f t="shared" si="15"/>
        <v>0.12</v>
      </c>
      <c r="J37" s="50">
        <f t="shared" si="15"/>
        <v>0.214</v>
      </c>
      <c r="K37" s="50">
        <f t="shared" si="15"/>
        <v>0.27400000000000002</v>
      </c>
      <c r="L37" s="48">
        <f t="shared" si="15"/>
        <v>0.26500000000000001</v>
      </c>
      <c r="M37" s="48">
        <f t="shared" si="15"/>
        <v>0.252</v>
      </c>
      <c r="N37" s="48">
        <f t="shared" si="15"/>
        <v>0.22</v>
      </c>
      <c r="O37" s="48">
        <f t="shared" si="15"/>
        <v>0.127</v>
      </c>
      <c r="P37" s="48">
        <f t="shared" si="15"/>
        <v>7.0000000000000007E-2</v>
      </c>
      <c r="Q37" s="20">
        <f t="shared" ca="1" si="15"/>
        <v>7.3047162251375891E-2</v>
      </c>
      <c r="R37" s="20">
        <f t="shared" ca="1" si="15"/>
        <v>7.6156424413280466E-2</v>
      </c>
      <c r="S37" s="20">
        <f t="shared" ca="1" si="15"/>
        <v>7.9348059592001752E-2</v>
      </c>
      <c r="T37" s="20">
        <f t="shared" ca="1" si="15"/>
        <v>8.2614602511242197E-2</v>
      </c>
      <c r="U37" s="20">
        <f t="shared" ca="1" si="15"/>
        <v>8.5995052192758242E-2</v>
      </c>
      <c r="V37" s="20">
        <f t="shared" ca="1" si="15"/>
        <v>8.9490610853099395E-2</v>
      </c>
      <c r="W37" s="20">
        <f t="shared" ca="1" si="15"/>
        <v>9.308364345661603E-2</v>
      </c>
      <c r="X37" s="20">
        <f t="shared" ca="1" si="15"/>
        <v>9.6780140506793413E-2</v>
      </c>
      <c r="Y37" s="20">
        <f t="shared" ca="1" si="15"/>
        <v>0.10059943236443897</v>
      </c>
      <c r="Z37" s="20">
        <f t="shared" ca="1" si="15"/>
        <v>0.10454250408185706</v>
      </c>
    </row>
    <row r="38" spans="1:26" x14ac:dyDescent="0.25">
      <c r="A38" s="12" t="s">
        <v>1156</v>
      </c>
      <c r="B38" s="14" t="s">
        <v>1157</v>
      </c>
      <c r="C38" s="15"/>
      <c r="D38" s="50">
        <f>'Fiscal Forecasts'!D$28</f>
        <v>0.45200000000000001</v>
      </c>
      <c r="E38" s="50">
        <f>'Fiscal Forecasts'!E$28</f>
        <v>-0.40200000000000002</v>
      </c>
      <c r="F38" s="50">
        <f>'Fiscal Forecasts'!F$28</f>
        <v>0.11700000000000001</v>
      </c>
      <c r="G38" s="50">
        <f>'Fiscal Forecasts'!G$28</f>
        <v>0.755</v>
      </c>
      <c r="H38" s="50">
        <f>'Fiscal Forecasts'!H$28</f>
        <v>0.55500000000000005</v>
      </c>
      <c r="I38" s="50">
        <f>'Fiscal Forecasts'!I$28</f>
        <v>0.438</v>
      </c>
      <c r="J38" s="50">
        <f>'Fiscal Forecasts'!J$28</f>
        <v>-0.20699999999999999</v>
      </c>
      <c r="K38" s="50">
        <f>'Fiscal Forecasts'!K$28</f>
        <v>3.3000000000000002E-2</v>
      </c>
      <c r="L38" s="48">
        <f>'Fiscal Forecasts'!L$28</f>
        <v>0.20699999999999999</v>
      </c>
      <c r="M38" s="48">
        <f>'Fiscal Forecasts'!M$28</f>
        <v>0.44900000000000001</v>
      </c>
      <c r="N38" s="48">
        <f>'Fiscal Forecasts'!N$28</f>
        <v>0.438</v>
      </c>
      <c r="O38" s="48">
        <f>'Fiscal Forecasts'!O$28</f>
        <v>0.47699999999999998</v>
      </c>
      <c r="P38" s="48">
        <f>'Fiscal Forecasts'!P$28</f>
        <v>0.60499999999999998</v>
      </c>
      <c r="Q38" s="20">
        <f t="shared" ref="Q38:Z38" si="16">P$38*P$59/O$59</f>
        <v>0.6051259367194004</v>
      </c>
      <c r="R38" s="20">
        <f t="shared" ca="1" si="16"/>
        <v>0.60128038076518764</v>
      </c>
      <c r="S38" s="20">
        <f t="shared" ca="1" si="16"/>
        <v>0.5982221269440261</v>
      </c>
      <c r="T38" s="20">
        <f t="shared" ca="1" si="16"/>
        <v>0.5962599319973827</v>
      </c>
      <c r="U38" s="20">
        <f t="shared" ca="1" si="16"/>
        <v>0.59605801996716623</v>
      </c>
      <c r="V38" s="20">
        <f t="shared" ca="1" si="16"/>
        <v>0.59757125817594037</v>
      </c>
      <c r="W38" s="20">
        <f t="shared" ca="1" si="16"/>
        <v>0.5991871669535519</v>
      </c>
      <c r="X38" s="20">
        <f t="shared" ca="1" si="16"/>
        <v>0.60072007493924862</v>
      </c>
      <c r="Y38" s="20">
        <f t="shared" ca="1" si="16"/>
        <v>0.60206254716912111</v>
      </c>
      <c r="Z38" s="20">
        <f t="shared" ca="1" si="16"/>
        <v>0.60345180187650971</v>
      </c>
    </row>
    <row r="39" spans="1:26" x14ac:dyDescent="0.25">
      <c r="A39" s="11" t="s">
        <v>755</v>
      </c>
      <c r="B39" s="11"/>
      <c r="C39" s="15"/>
      <c r="D39" s="94">
        <f t="shared" ref="D39:Z39" ca="1" si="17">SUM(D$34,D$36,D$37)-SUM(D$35,D$38)</f>
        <v>0.38899999999999579</v>
      </c>
      <c r="E39" s="94">
        <f t="shared" ca="1" si="17"/>
        <v>-30.039999999999978</v>
      </c>
      <c r="F39" s="94">
        <f t="shared" ca="1" si="17"/>
        <v>16.158999999999963</v>
      </c>
      <c r="G39" s="94">
        <f t="shared" ca="1" si="17"/>
        <v>-16.931999999999988</v>
      </c>
      <c r="H39" s="94">
        <f t="shared" ca="1" si="17"/>
        <v>5.3209999999999695</v>
      </c>
      <c r="I39" s="94">
        <f t="shared" ca="1" si="17"/>
        <v>-8.3650000000000091</v>
      </c>
      <c r="J39" s="94">
        <f t="shared" ca="1" si="17"/>
        <v>-4.4000000000000341</v>
      </c>
      <c r="K39" s="94">
        <f t="shared" ca="1" si="17"/>
        <v>1.1360000000000241</v>
      </c>
      <c r="L39" s="95">
        <f t="shared" ca="1" si="17"/>
        <v>-2.9629999999999654</v>
      </c>
      <c r="M39" s="95">
        <f t="shared" ca="1" si="17"/>
        <v>3.4770000000000039</v>
      </c>
      <c r="N39" s="95">
        <f t="shared" ca="1" si="17"/>
        <v>8.9020000000000152</v>
      </c>
      <c r="O39" s="95">
        <f t="shared" ca="1" si="17"/>
        <v>13.543000000000035</v>
      </c>
      <c r="P39" s="95">
        <f t="shared" ca="1" si="17"/>
        <v>16.693000000000012</v>
      </c>
      <c r="Q39" s="96">
        <f t="shared" ca="1" si="17"/>
        <v>15.268050489712095</v>
      </c>
      <c r="R39" s="96">
        <f t="shared" ca="1" si="17"/>
        <v>14.413638157123472</v>
      </c>
      <c r="S39" s="96">
        <f t="shared" ca="1" si="17"/>
        <v>14.617883879999113</v>
      </c>
      <c r="T39" s="96">
        <f t="shared" ca="1" si="17"/>
        <v>15.31638710005285</v>
      </c>
      <c r="U39" s="96">
        <f t="shared" ca="1" si="17"/>
        <v>16.068315999910169</v>
      </c>
      <c r="V39" s="96">
        <f t="shared" ca="1" si="17"/>
        <v>16.592499116570309</v>
      </c>
      <c r="W39" s="96">
        <f t="shared" ca="1" si="17"/>
        <v>17.105959241511357</v>
      </c>
      <c r="X39" s="96">
        <f t="shared" ca="1" si="17"/>
        <v>17.606797792108921</v>
      </c>
      <c r="Y39" s="96">
        <f t="shared" ca="1" si="17"/>
        <v>18.219560711216786</v>
      </c>
      <c r="Z39" s="96">
        <f t="shared" ca="1" si="17"/>
        <v>18.805440003339299</v>
      </c>
    </row>
    <row r="40" spans="1:26" x14ac:dyDescent="0.25">
      <c r="A40" s="12" t="s">
        <v>886</v>
      </c>
      <c r="B40" s="14" t="str">
        <f>$B$38</f>
        <v>From Fiscal Forecasts</v>
      </c>
      <c r="C40" s="15"/>
      <c r="D40" s="50">
        <f>'Fiscal Forecasts'!D$32</f>
        <v>0.115</v>
      </c>
      <c r="E40" s="50">
        <f>'Fiscal Forecasts'!E$32</f>
        <v>-0.54600000000000004</v>
      </c>
      <c r="F40" s="50">
        <f>'Fiscal Forecasts'!F$32</f>
        <v>-5.6000000000000001E-2</v>
      </c>
      <c r="G40" s="50">
        <f>'Fiscal Forecasts'!G$32</f>
        <v>0.39300000000000002</v>
      </c>
      <c r="H40" s="50">
        <f>'Fiscal Forecasts'!H$32</f>
        <v>-0.08</v>
      </c>
      <c r="I40" s="50">
        <f>'Fiscal Forecasts'!I$32</f>
        <v>0.29799999999999999</v>
      </c>
      <c r="J40" s="50">
        <f>'Fiscal Forecasts'!J$32</f>
        <v>-0.48899999999999999</v>
      </c>
      <c r="K40" s="50">
        <f>'Fiscal Forecasts'!K$32</f>
        <v>-0.34899999999999998</v>
      </c>
      <c r="L40" s="48">
        <f>'Fiscal Forecasts'!L$32</f>
        <v>9.2999999999999999E-2</v>
      </c>
      <c r="M40" s="48">
        <f>'Fiscal Forecasts'!M$32</f>
        <v>2.3E-2</v>
      </c>
      <c r="N40" s="48">
        <f>'Fiscal Forecasts'!N$32</f>
        <v>0.05</v>
      </c>
      <c r="O40" s="48">
        <f>'Fiscal Forecasts'!O$32</f>
        <v>5.6000000000000001E-2</v>
      </c>
      <c r="P40" s="48">
        <f>'Fiscal Forecasts'!P$32</f>
        <v>6.0999999999999999E-2</v>
      </c>
      <c r="Q40" s="20">
        <f t="shared" ref="Q40:Z40" si="18">P$40*Q$38/P$38</f>
        <v>6.1012697751873436E-2</v>
      </c>
      <c r="R40" s="20">
        <f t="shared" ca="1" si="18"/>
        <v>6.0624964011035454E-2</v>
      </c>
      <c r="S40" s="20">
        <f t="shared" ca="1" si="18"/>
        <v>6.0316611146422471E-2</v>
      </c>
      <c r="T40" s="20">
        <f t="shared" ca="1" si="18"/>
        <v>6.0118770003041895E-2</v>
      </c>
      <c r="U40" s="20">
        <f t="shared" ca="1" si="18"/>
        <v>6.0098411930573789E-2</v>
      </c>
      <c r="V40" s="20">
        <f t="shared" ca="1" si="18"/>
        <v>6.0250986361541102E-2</v>
      </c>
      <c r="W40" s="20">
        <f t="shared" ca="1" si="18"/>
        <v>6.0413912701101934E-2</v>
      </c>
      <c r="X40" s="20">
        <f t="shared" ca="1" si="18"/>
        <v>6.0568470365775486E-2</v>
      </c>
      <c r="Y40" s="20">
        <f t="shared" ca="1" si="18"/>
        <v>6.0703827069944448E-2</v>
      </c>
      <c r="Z40" s="20">
        <f t="shared" ca="1" si="18"/>
        <v>6.0843900685069584E-2</v>
      </c>
    </row>
    <row r="41" spans="1:26" x14ac:dyDescent="0.25">
      <c r="A41" s="11" t="s">
        <v>1158</v>
      </c>
      <c r="B41" s="11"/>
      <c r="C41" s="15"/>
      <c r="D41" s="94">
        <f t="shared" ref="D41:Z41" ca="1" si="19">D$34-D$35-(D$38-D$40)</f>
        <v>7.4289999999999914</v>
      </c>
      <c r="E41" s="94">
        <f t="shared" ca="1" si="19"/>
        <v>-23.056999999999967</v>
      </c>
      <c r="F41" s="94">
        <f t="shared" ca="1" si="19"/>
        <v>-4.5600000000000289</v>
      </c>
      <c r="G41" s="94">
        <f t="shared" ca="1" si="19"/>
        <v>-9.6909999999999794</v>
      </c>
      <c r="H41" s="94">
        <f t="shared" ca="1" si="19"/>
        <v>-9.4460000000000068</v>
      </c>
      <c r="I41" s="94">
        <f t="shared" ca="1" si="19"/>
        <v>-12.854000000000028</v>
      </c>
      <c r="J41" s="94">
        <f t="shared" ca="1" si="19"/>
        <v>-13.973000000000031</v>
      </c>
      <c r="K41" s="94">
        <f t="shared" ca="1" si="19"/>
        <v>-10.738999999999999</v>
      </c>
      <c r="L41" s="95">
        <f t="shared" ca="1" si="19"/>
        <v>-8.7299999999999578</v>
      </c>
      <c r="M41" s="95">
        <f t="shared" ca="1" si="19"/>
        <v>-2.9380000000000006</v>
      </c>
      <c r="N41" s="95">
        <f t="shared" ca="1" si="19"/>
        <v>2.0620000000000172</v>
      </c>
      <c r="O41" s="95">
        <f t="shared" ca="1" si="19"/>
        <v>6.3100000000000227</v>
      </c>
      <c r="P41" s="95">
        <f t="shared" ca="1" si="19"/>
        <v>8.8790000000000013</v>
      </c>
      <c r="Q41" s="96">
        <f t="shared" ca="1" si="19"/>
        <v>7.0666581585168151</v>
      </c>
      <c r="R41" s="96">
        <f t="shared" ca="1" si="19"/>
        <v>5.7202896082464001</v>
      </c>
      <c r="S41" s="96">
        <f t="shared" ca="1" si="19"/>
        <v>5.4053100169708443</v>
      </c>
      <c r="T41" s="96">
        <f t="shared" ca="1" si="19"/>
        <v>5.5541577463515175</v>
      </c>
      <c r="U41" s="96">
        <f t="shared" ca="1" si="19"/>
        <v>5.7264917505754047</v>
      </c>
      <c r="V41" s="96">
        <f t="shared" ca="1" si="19"/>
        <v>5.6479713980182229</v>
      </c>
      <c r="W41" s="96">
        <f t="shared" ca="1" si="19"/>
        <v>5.5321759617276856</v>
      </c>
      <c r="X41" s="96">
        <f t="shared" ca="1" si="19"/>
        <v>5.3722886220395845</v>
      </c>
      <c r="Y41" s="96">
        <f t="shared" ca="1" si="19"/>
        <v>5.2856525738365212</v>
      </c>
      <c r="Z41" s="96">
        <f t="shared" ca="1" si="19"/>
        <v>5.1269209983660229</v>
      </c>
    </row>
    <row r="42" spans="1:26" x14ac:dyDescent="0.25">
      <c r="A42" s="60" t="s">
        <v>1159</v>
      </c>
      <c r="B42" s="14" t="s">
        <v>1160</v>
      </c>
      <c r="C42" s="15"/>
      <c r="D42" s="97" t="str">
        <f ca="1">IF(ROUND('Fiscal Forecasts'!D$33-D$41,3)=0,"OK","ERROR")</f>
        <v>OK</v>
      </c>
      <c r="E42" s="97" t="str">
        <f ca="1">IF(ROUND('Fiscal Forecasts'!E$33-E$41,3)=0,"OK","ERROR")</f>
        <v>OK</v>
      </c>
      <c r="F42" s="97" t="str">
        <f ca="1">IF(ROUND('Fiscal Forecasts'!F$33-F$41,3)=0,"OK","ERROR")</f>
        <v>OK</v>
      </c>
      <c r="G42" s="97" t="str">
        <f ca="1">IF(ROUND('Fiscal Forecasts'!G$33-G$41,3)=0,"OK","ERROR")</f>
        <v>OK</v>
      </c>
      <c r="H42" s="97" t="str">
        <f ca="1">IF(ROUND('Fiscal Forecasts'!H$33-H$41,3)=0,"OK","ERROR")</f>
        <v>OK</v>
      </c>
      <c r="I42" s="97" t="str">
        <f ca="1">IF(ROUND('Fiscal Forecasts'!I$33-I$41,3)=0,"OK","ERROR")</f>
        <v>OK</v>
      </c>
      <c r="J42" s="97" t="str">
        <f ca="1">IF(ROUND('Fiscal Forecasts'!J$33-J$41,3)=0,"OK","ERROR")</f>
        <v>OK</v>
      </c>
      <c r="K42" s="97" t="str">
        <f ca="1">IF(ROUND('Fiscal Forecasts'!K$33-K$41,3)=0,"OK","ERROR")</f>
        <v>OK</v>
      </c>
      <c r="L42" s="97" t="str">
        <f ca="1">IF(ROUND('Fiscal Forecasts'!L$33-L$41,3)=0,"OK","ERROR")</f>
        <v>OK</v>
      </c>
      <c r="M42" s="97" t="str">
        <f ca="1">IF(ROUND('Fiscal Forecasts'!M$33-M$41,3)=0,"OK","ERROR")</f>
        <v>OK</v>
      </c>
      <c r="N42" s="97" t="str">
        <f ca="1">IF(ROUND('Fiscal Forecasts'!N$33-N$41,3)=0,"OK","ERROR")</f>
        <v>OK</v>
      </c>
      <c r="O42" s="97" t="str">
        <f ca="1">IF(ROUND('Fiscal Forecasts'!O$33-O$41,3)=0,"OK","ERROR")</f>
        <v>OK</v>
      </c>
      <c r="P42" s="97" t="str">
        <f ca="1">IF(ROUND('Fiscal Forecasts'!P$33-P$41,3)=0,"OK","ERROR")</f>
        <v>OK</v>
      </c>
      <c r="Q42" s="17"/>
      <c r="R42" s="17"/>
      <c r="S42" s="17"/>
      <c r="T42" s="17"/>
      <c r="U42" s="17"/>
      <c r="V42" s="17"/>
      <c r="W42" s="17"/>
      <c r="X42" s="17"/>
      <c r="Y42" s="17"/>
      <c r="Z42" s="17"/>
    </row>
    <row r="43" spans="1:26" x14ac:dyDescent="0.25">
      <c r="A43" s="12" t="s">
        <v>889</v>
      </c>
      <c r="B43" s="14" t="str">
        <f>$B$38</f>
        <v>From Fiscal Forecasts</v>
      </c>
      <c r="C43" s="15"/>
      <c r="D43" s="50">
        <f>'Fiscal Forecasts'!D$35</f>
        <v>5.827</v>
      </c>
      <c r="E43" s="50">
        <f>'Fiscal Forecasts'!E$35</f>
        <v>5.73</v>
      </c>
      <c r="F43" s="50">
        <f>'Fiscal Forecasts'!F$35</f>
        <v>6.1950000000000003</v>
      </c>
      <c r="G43" s="50">
        <f>'Fiscal Forecasts'!G$35</f>
        <v>6.625</v>
      </c>
      <c r="H43" s="50">
        <f>'Fiscal Forecasts'!H$35</f>
        <v>7.39</v>
      </c>
      <c r="I43" s="50">
        <f>'Fiscal Forecasts'!I$35</f>
        <v>7.9290000000000003</v>
      </c>
      <c r="J43" s="50">
        <f>'Fiscal Forecasts'!J$35</f>
        <v>8.548</v>
      </c>
      <c r="K43" s="50">
        <f>'Fiscal Forecasts'!K$35</f>
        <v>8.9429999999999996</v>
      </c>
      <c r="L43" s="48">
        <f>'Fiscal Forecasts'!L$35</f>
        <v>9.5489999999999995</v>
      </c>
      <c r="M43" s="48">
        <f>'Fiscal Forecasts'!M$35</f>
        <v>10.170999999999999</v>
      </c>
      <c r="N43" s="48">
        <f>'Fiscal Forecasts'!N$35</f>
        <v>10.502000000000001</v>
      </c>
      <c r="O43" s="48">
        <f>'Fiscal Forecasts'!O$35</f>
        <v>11.176</v>
      </c>
      <c r="P43" s="48">
        <f>'Fiscal Forecasts'!P$35</f>
        <v>11.611000000000001</v>
      </c>
      <c r="Q43" s="20">
        <f>Q$148+(P$43-P$148)*(1+Exogenous!AB$31)</f>
        <v>12.429790158081012</v>
      </c>
      <c r="R43" s="20">
        <f>R$148+(Q$43-Q$148)*(1+Exogenous!AC$31)</f>
        <v>13.300830576338702</v>
      </c>
      <c r="S43" s="20">
        <f>S$148+(R$43-R$148)*(1+Exogenous!AD$31)</f>
        <v>14.211158217037488</v>
      </c>
      <c r="T43" s="20">
        <f>T$148+(S$43-S$148)*(1+Exogenous!AE$31)</f>
        <v>15.195726727748877</v>
      </c>
      <c r="U43" s="20">
        <f>U$148+(T$43-T$148)*(1+Exogenous!AF$31)</f>
        <v>16.183131105132009</v>
      </c>
      <c r="V43" s="20">
        <f>V$148+(U$43-U$148)*(1+Exogenous!AG$31)</f>
        <v>16.974959533771454</v>
      </c>
      <c r="W43" s="20">
        <f>W$148+(V$43-V$148)*(1+Exogenous!AH$31)</f>
        <v>17.803401698346804</v>
      </c>
      <c r="X43" s="20">
        <f>X$148+(W$43-W$148)*(1+Exogenous!AI$31)</f>
        <v>18.645891159817143</v>
      </c>
      <c r="Y43" s="20">
        <f>Y$148+(X$43-X$148)*(1+Exogenous!AJ$31)</f>
        <v>19.530079533294185</v>
      </c>
      <c r="Z43" s="20">
        <f>Z$148+(Y$43-Y$148)*(1+Exogenous!AK$31)</f>
        <v>20.444610791103781</v>
      </c>
    </row>
    <row r="44" spans="1:26" x14ac:dyDescent="0.25">
      <c r="A44" s="12" t="s">
        <v>890</v>
      </c>
      <c r="B44" s="14" t="str">
        <f>$B$38</f>
        <v>From Fiscal Forecasts</v>
      </c>
      <c r="C44" s="15"/>
      <c r="D44" s="50">
        <f>'Fiscal Forecasts'!D$36</f>
        <v>6.9020000000000001</v>
      </c>
      <c r="E44" s="50">
        <f>'Fiscal Forecasts'!E$36</f>
        <v>7.8849999999999998</v>
      </c>
      <c r="F44" s="50">
        <f>'Fiscal Forecasts'!F$36</f>
        <v>8.1959999999999997</v>
      </c>
      <c r="G44" s="50">
        <f>'Fiscal Forecasts'!G$36</f>
        <v>7.6520000000000001</v>
      </c>
      <c r="H44" s="50">
        <f>'Fiscal Forecasts'!H$36</f>
        <v>9.6370000000000005</v>
      </c>
      <c r="I44" s="50">
        <f>'Fiscal Forecasts'!I$36</f>
        <v>12.01</v>
      </c>
      <c r="J44" s="50">
        <f>'Fiscal Forecasts'!J$36</f>
        <v>13.215</v>
      </c>
      <c r="K44" s="50">
        <f>'Fiscal Forecasts'!K$36</f>
        <v>11.041</v>
      </c>
      <c r="L44" s="48">
        <f>'Fiscal Forecasts'!L$36</f>
        <v>11.529</v>
      </c>
      <c r="M44" s="48">
        <f>'Fiscal Forecasts'!M$36</f>
        <v>12.275</v>
      </c>
      <c r="N44" s="48">
        <f>'Fiscal Forecasts'!N$36</f>
        <v>12.456</v>
      </c>
      <c r="O44" s="48">
        <f>'Fiscal Forecasts'!O$36</f>
        <v>12.923</v>
      </c>
      <c r="P44" s="48">
        <f>'Fiscal Forecasts'!P$36</f>
        <v>14.425000000000001</v>
      </c>
      <c r="Q44" s="20">
        <f t="shared" ref="Q44:Z44" ca="1" si="20">Q$242+(P$44-P$242)*(1+Q$19)*(1+Q$29)</f>
        <v>15.132542110116781</v>
      </c>
      <c r="R44" s="20">
        <f t="shared" ca="1" si="20"/>
        <v>15.886093201540325</v>
      </c>
      <c r="S44" s="20">
        <f t="shared" ca="1" si="20"/>
        <v>16.639967033436427</v>
      </c>
      <c r="T44" s="20">
        <f t="shared" ca="1" si="20"/>
        <v>17.371953061124131</v>
      </c>
      <c r="U44" s="20">
        <f t="shared" ca="1" si="20"/>
        <v>18.14517403221479</v>
      </c>
      <c r="V44" s="20">
        <f t="shared" ca="1" si="20"/>
        <v>18.928661563922116</v>
      </c>
      <c r="W44" s="20">
        <f t="shared" ca="1" si="20"/>
        <v>19.736878867253129</v>
      </c>
      <c r="X44" s="20">
        <f t="shared" ca="1" si="20"/>
        <v>20.577209601100702</v>
      </c>
      <c r="Y44" s="20">
        <f t="shared" ca="1" si="20"/>
        <v>21.418673055638067</v>
      </c>
      <c r="Z44" s="20">
        <f t="shared" ca="1" si="20"/>
        <v>22.305541646289182</v>
      </c>
    </row>
    <row r="45" spans="1:26" x14ac:dyDescent="0.25">
      <c r="A45" s="11" t="s">
        <v>891</v>
      </c>
      <c r="B45" s="14"/>
      <c r="C45" s="15"/>
      <c r="D45" s="94">
        <f t="shared" ref="D45:Z45" ca="1" si="21">D$41-(D$43-D$44)</f>
        <v>8.5039999999999907</v>
      </c>
      <c r="E45" s="94">
        <f t="shared" ca="1" si="21"/>
        <v>-20.901999999999965</v>
      </c>
      <c r="F45" s="94">
        <f t="shared" ca="1" si="21"/>
        <v>-2.5590000000000295</v>
      </c>
      <c r="G45" s="94">
        <f t="shared" ca="1" si="21"/>
        <v>-8.6639999999999802</v>
      </c>
      <c r="H45" s="94">
        <f t="shared" ca="1" si="21"/>
        <v>-7.1990000000000061</v>
      </c>
      <c r="I45" s="94">
        <f t="shared" ca="1" si="21"/>
        <v>-8.7730000000000281</v>
      </c>
      <c r="J45" s="94">
        <f t="shared" ca="1" si="21"/>
        <v>-9.3060000000000311</v>
      </c>
      <c r="K45" s="94">
        <f t="shared" ca="1" si="21"/>
        <v>-8.6409999999999982</v>
      </c>
      <c r="L45" s="95">
        <f t="shared" ca="1" si="21"/>
        <v>-6.7499999999999574</v>
      </c>
      <c r="M45" s="95">
        <f t="shared" ca="1" si="21"/>
        <v>-0.83399999999999963</v>
      </c>
      <c r="N45" s="95">
        <f t="shared" ca="1" si="21"/>
        <v>4.016000000000016</v>
      </c>
      <c r="O45" s="95">
        <f t="shared" ca="1" si="21"/>
        <v>8.0570000000000235</v>
      </c>
      <c r="P45" s="95">
        <f t="shared" ca="1" si="21"/>
        <v>11.693000000000001</v>
      </c>
      <c r="Q45" s="96">
        <f t="shared" ca="1" si="21"/>
        <v>9.7694101105525846</v>
      </c>
      <c r="R45" s="96">
        <f t="shared" ca="1" si="21"/>
        <v>8.3055522334480223</v>
      </c>
      <c r="S45" s="96">
        <f t="shared" ca="1" si="21"/>
        <v>7.834118833369784</v>
      </c>
      <c r="T45" s="96">
        <f t="shared" ca="1" si="21"/>
        <v>7.7303840797267718</v>
      </c>
      <c r="U45" s="96">
        <f t="shared" ca="1" si="21"/>
        <v>7.6885346776581853</v>
      </c>
      <c r="V45" s="96">
        <f t="shared" ca="1" si="21"/>
        <v>7.6016734281688851</v>
      </c>
      <c r="W45" s="96">
        <f t="shared" ca="1" si="21"/>
        <v>7.4656531306340108</v>
      </c>
      <c r="X45" s="96">
        <f t="shared" ca="1" si="21"/>
        <v>7.3036070633231427</v>
      </c>
      <c r="Y45" s="96">
        <f t="shared" ca="1" si="21"/>
        <v>7.1742460961804033</v>
      </c>
      <c r="Z45" s="96">
        <f t="shared" ca="1" si="21"/>
        <v>6.9878518535514242</v>
      </c>
    </row>
    <row r="46" spans="1:26" x14ac:dyDescent="0.25">
      <c r="A46" s="60" t="s">
        <v>1161</v>
      </c>
      <c r="B46" s="11"/>
      <c r="C46" s="15"/>
      <c r="D46" s="97" t="str">
        <f t="shared" ref="D46:Z46" si="22">IF(ROUND(D$35-SUM(D$200,D$234,D$246,D$249,D$253,D$259,D$268,D$276,D$280,D$287,D$294,D$298,D$302,D$306,D$310,D$316,D$320),3)=0,"OK","ERROR")</f>
        <v>OK</v>
      </c>
      <c r="E46" s="97" t="str">
        <f t="shared" si="22"/>
        <v>OK</v>
      </c>
      <c r="F46" s="97" t="str">
        <f t="shared" si="22"/>
        <v>OK</v>
      </c>
      <c r="G46" s="97" t="str">
        <f t="shared" si="22"/>
        <v>OK</v>
      </c>
      <c r="H46" s="97" t="str">
        <f t="shared" si="22"/>
        <v>OK</v>
      </c>
      <c r="I46" s="97" t="str">
        <f t="shared" si="22"/>
        <v>OK</v>
      </c>
      <c r="J46" s="97" t="str">
        <f t="shared" si="22"/>
        <v>OK</v>
      </c>
      <c r="K46" s="97" t="str">
        <f t="shared" si="22"/>
        <v>OK</v>
      </c>
      <c r="L46" s="97" t="str">
        <f t="shared" ca="1" si="22"/>
        <v>OK</v>
      </c>
      <c r="M46" s="97" t="str">
        <f t="shared" ca="1" si="22"/>
        <v>OK</v>
      </c>
      <c r="N46" s="97" t="str">
        <f t="shared" ca="1" si="22"/>
        <v>OK</v>
      </c>
      <c r="O46" s="97" t="str">
        <f t="shared" ca="1" si="22"/>
        <v>OK</v>
      </c>
      <c r="P46" s="97" t="str">
        <f t="shared" ca="1" si="22"/>
        <v>OK</v>
      </c>
      <c r="Q46" s="97" t="str">
        <f t="shared" ca="1" si="22"/>
        <v>OK</v>
      </c>
      <c r="R46" s="97" t="str">
        <f t="shared" ca="1" si="22"/>
        <v>OK</v>
      </c>
      <c r="S46" s="97" t="str">
        <f t="shared" ca="1" si="22"/>
        <v>OK</v>
      </c>
      <c r="T46" s="97" t="str">
        <f t="shared" ca="1" si="22"/>
        <v>OK</v>
      </c>
      <c r="U46" s="97" t="str">
        <f t="shared" ca="1" si="22"/>
        <v>OK</v>
      </c>
      <c r="V46" s="97" t="str">
        <f t="shared" ca="1" si="22"/>
        <v>OK</v>
      </c>
      <c r="W46" s="97" t="str">
        <f t="shared" ca="1" si="22"/>
        <v>OK</v>
      </c>
      <c r="X46" s="97" t="str">
        <f t="shared" ca="1" si="22"/>
        <v>OK</v>
      </c>
      <c r="Y46" s="97" t="str">
        <f t="shared" ca="1" si="22"/>
        <v>OK</v>
      </c>
      <c r="Z46" s="97" t="str">
        <f t="shared" ca="1" si="22"/>
        <v>OK</v>
      </c>
    </row>
    <row r="47" spans="1:26" x14ac:dyDescent="0.25">
      <c r="A47" s="11" t="s">
        <v>1162</v>
      </c>
      <c r="B47" s="11"/>
      <c r="C47" s="15"/>
      <c r="D47" s="51">
        <f t="shared" ref="D47:Z47" ca="1" si="23">SUM(D$142,D$147,D$154,D$161,D$170,D$178)</f>
        <v>93.474000000000004</v>
      </c>
      <c r="E47" s="51">
        <f t="shared" ca="1" si="23"/>
        <v>91.923000000000002</v>
      </c>
      <c r="F47" s="51">
        <f t="shared" ca="1" si="23"/>
        <v>104.968</v>
      </c>
      <c r="G47" s="51">
        <f t="shared" ca="1" si="23"/>
        <v>117.515</v>
      </c>
      <c r="H47" s="51">
        <f t="shared" ca="1" si="23"/>
        <v>123.398</v>
      </c>
      <c r="I47" s="51">
        <f t="shared" ca="1" si="23"/>
        <v>133.22</v>
      </c>
      <c r="J47" s="51">
        <f t="shared" ca="1" si="23"/>
        <v>134.41100000000003</v>
      </c>
      <c r="K47" s="51">
        <f t="shared" ca="1" si="23"/>
        <v>138.64900000000003</v>
      </c>
      <c r="L47" s="47">
        <f t="shared" ca="1" si="23"/>
        <v>150.47</v>
      </c>
      <c r="M47" s="47">
        <f t="shared" ca="1" si="23"/>
        <v>158.43299999999999</v>
      </c>
      <c r="N47" s="47">
        <f t="shared" ca="1" si="23"/>
        <v>167.75700000000003</v>
      </c>
      <c r="O47" s="47">
        <f t="shared" ca="1" si="23"/>
        <v>176.803</v>
      </c>
      <c r="P47" s="47">
        <f t="shared" ca="1" si="23"/>
        <v>185.00899999999999</v>
      </c>
      <c r="Q47" s="21">
        <f t="shared" ca="1" si="23"/>
        <v>192.38988432300397</v>
      </c>
      <c r="R47" s="21">
        <f t="shared" ca="1" si="23"/>
        <v>199.74055400068707</v>
      </c>
      <c r="S47" s="21">
        <f t="shared" ca="1" si="23"/>
        <v>207.46099471815756</v>
      </c>
      <c r="T47" s="21">
        <f t="shared" ca="1" si="23"/>
        <v>215.69499355858161</v>
      </c>
      <c r="U47" s="21">
        <f t="shared" ca="1" si="23"/>
        <v>224.33953929085504</v>
      </c>
      <c r="V47" s="21">
        <f t="shared" ca="1" si="23"/>
        <v>233.27232292469745</v>
      </c>
      <c r="W47" s="21">
        <f t="shared" ca="1" si="23"/>
        <v>242.44267328967234</v>
      </c>
      <c r="X47" s="21">
        <f t="shared" ca="1" si="23"/>
        <v>251.87855920929184</v>
      </c>
      <c r="Y47" s="21">
        <f t="shared" ca="1" si="23"/>
        <v>261.63033386193848</v>
      </c>
      <c r="Z47" s="21">
        <f t="shared" ca="1" si="23"/>
        <v>271.69866823678757</v>
      </c>
    </row>
    <row r="48" spans="1:26" x14ac:dyDescent="0.25">
      <c r="A48" s="11" t="s">
        <v>1163</v>
      </c>
      <c r="B48" s="11"/>
      <c r="C48" s="15"/>
      <c r="D48" s="51">
        <f t="shared" ref="D48:Z48" si="24">SUM(D$195,D$208,D$215,D$223,D$230,D$238,D$246,D$249)</f>
        <v>86.959000000000003</v>
      </c>
      <c r="E48" s="51">
        <f t="shared" si="24"/>
        <v>108.83199999999999</v>
      </c>
      <c r="F48" s="51">
        <f t="shared" si="24"/>
        <v>107.76400000000001</v>
      </c>
      <c r="G48" s="51">
        <f t="shared" si="24"/>
        <v>125.64100000000001</v>
      </c>
      <c r="H48" s="51">
        <f t="shared" si="24"/>
        <v>127.57400000000001</v>
      </c>
      <c r="I48" s="51">
        <f t="shared" si="24"/>
        <v>138.99800000000002</v>
      </c>
      <c r="J48" s="51">
        <f t="shared" si="24"/>
        <v>141.67499999999998</v>
      </c>
      <c r="K48" s="51">
        <f t="shared" si="24"/>
        <v>146.21899999999999</v>
      </c>
      <c r="L48" s="47">
        <f ca="1">SUM(L$195,L$208,L$215,L$223,L$230,L$238,L$246,L$249)</f>
        <v>154.60899999999998</v>
      </c>
      <c r="M48" s="47">
        <f ca="1">SUM(M$195,M$208,M$215,M$223,M$230,M$238,M$246,M$249)</f>
        <v>158.30799999999999</v>
      </c>
      <c r="N48" s="47">
        <f ca="1">SUM(N$195,N$208,N$215,N$223,N$230,N$238,N$246,N$249)</f>
        <v>163.238</v>
      </c>
      <c r="O48" s="47">
        <f ca="1">SUM(O$195,O$208,O$215,O$223,O$230,O$238,O$246,O$249)</f>
        <v>168.642</v>
      </c>
      <c r="P48" s="47">
        <f ca="1">SUM(P$195,P$208,P$215,P$223,P$230,P$238,P$246,P$249)</f>
        <v>173.66799999999998</v>
      </c>
      <c r="Q48" s="21">
        <f t="shared" ca="1" si="24"/>
        <v>182.88385717309467</v>
      </c>
      <c r="R48" s="21">
        <f t="shared" ca="1" si="24"/>
        <v>191.69920174667405</v>
      </c>
      <c r="S48" s="21">
        <f t="shared" ca="1" si="24"/>
        <v>199.90679204546697</v>
      </c>
      <c r="T48" s="21">
        <f t="shared" ca="1" si="24"/>
        <v>208.28835353121863</v>
      </c>
      <c r="U48" s="21">
        <f t="shared" ca="1" si="24"/>
        <v>217.03533740248707</v>
      </c>
      <c r="V48" s="21">
        <f t="shared" ca="1" si="24"/>
        <v>225.98507496961724</v>
      </c>
      <c r="W48" s="21">
        <f t="shared" ca="1" si="24"/>
        <v>235.16877104942719</v>
      </c>
      <c r="X48" s="21">
        <f t="shared" ca="1" si="24"/>
        <v>244.63793853753501</v>
      </c>
      <c r="Y48" s="21">
        <f t="shared" ca="1" si="24"/>
        <v>254.39572697420462</v>
      </c>
      <c r="Z48" s="21">
        <f t="shared" ca="1" si="24"/>
        <v>264.51073695647779</v>
      </c>
    </row>
    <row r="49" spans="1:26" x14ac:dyDescent="0.25">
      <c r="A49" s="11" t="s">
        <v>752</v>
      </c>
      <c r="B49" s="11"/>
      <c r="C49" s="15"/>
      <c r="D49" s="51">
        <f t="shared" ref="D49:Z49" ca="1" si="25">SUM(D$47,-D$48,D$333,D$340)</f>
        <v>9.7070000000000007</v>
      </c>
      <c r="E49" s="51">
        <f t="shared" ca="1" si="25"/>
        <v>-20.882999999999992</v>
      </c>
      <c r="F49" s="51">
        <f t="shared" ca="1" si="25"/>
        <v>4.7039999999999935</v>
      </c>
      <c r="G49" s="51">
        <f t="shared" ca="1" si="25"/>
        <v>-19.532000000000004</v>
      </c>
      <c r="H49" s="51">
        <f t="shared" ca="1" si="25"/>
        <v>8.2929999999999833</v>
      </c>
      <c r="I49" s="51">
        <f t="shared" ca="1" si="25"/>
        <v>2.1059999999999803</v>
      </c>
      <c r="J49" s="51">
        <f t="shared" ca="1" si="25"/>
        <v>0.42300000000004712</v>
      </c>
      <c r="K49" s="51">
        <f t="shared" ca="1" si="25"/>
        <v>4.4070000000000356</v>
      </c>
      <c r="L49" s="47">
        <f t="shared" ca="1" si="25"/>
        <v>1.038000000000018</v>
      </c>
      <c r="M49" s="47">
        <f t="shared" ca="1" si="25"/>
        <v>5.6689999999999996</v>
      </c>
      <c r="N49" s="47">
        <f t="shared" ca="1" si="25"/>
        <v>10.416000000000034</v>
      </c>
      <c r="O49" s="47">
        <f t="shared" ca="1" si="25"/>
        <v>14.500000000000002</v>
      </c>
      <c r="P49" s="47">
        <f t="shared" ca="1" si="25"/>
        <v>18.150000000000009</v>
      </c>
      <c r="Q49" s="21">
        <f t="shared" ca="1" si="25"/>
        <v>16.663232401185315</v>
      </c>
      <c r="R49" s="21">
        <f t="shared" ca="1" si="25"/>
        <v>15.643226052456324</v>
      </c>
      <c r="S49" s="21">
        <f t="shared" ca="1" si="25"/>
        <v>15.61923207237705</v>
      </c>
      <c r="T49" s="21">
        <f t="shared" ca="1" si="25"/>
        <v>15.954129150044498</v>
      </c>
      <c r="U49" s="21">
        <f t="shared" ca="1" si="25"/>
        <v>16.353484540618144</v>
      </c>
      <c r="V49" s="21">
        <f t="shared" ca="1" si="25"/>
        <v>16.858087587443421</v>
      </c>
      <c r="W49" s="21">
        <f t="shared" ca="1" si="25"/>
        <v>17.390215842568125</v>
      </c>
      <c r="X49" s="21">
        <f t="shared" ca="1" si="25"/>
        <v>17.931711658848673</v>
      </c>
      <c r="Y49" s="21">
        <f t="shared" ca="1" si="25"/>
        <v>18.536205754363774</v>
      </c>
      <c r="Z49" s="21">
        <f t="shared" ca="1" si="25"/>
        <v>19.142902280034956</v>
      </c>
    </row>
    <row r="50" spans="1:26" x14ac:dyDescent="0.25">
      <c r="A50" s="11" t="s">
        <v>857</v>
      </c>
      <c r="B50" s="11"/>
      <c r="C50" s="15"/>
      <c r="D50" s="51">
        <f t="shared" ref="D50:Z50" ca="1" si="26">(D$47-D$161)-(D$48-D$230)</f>
        <v>9.144999999999996</v>
      </c>
      <c r="E50" s="51">
        <f t="shared" ca="1" si="26"/>
        <v>-14.530999999999992</v>
      </c>
      <c r="F50" s="51">
        <f t="shared" ca="1" si="26"/>
        <v>-1.5939999999999941</v>
      </c>
      <c r="G50" s="51">
        <f t="shared" ca="1" si="26"/>
        <v>-6.1000000000000085</v>
      </c>
      <c r="H50" s="51">
        <f t="shared" ca="1" si="26"/>
        <v>-0.4690000000000083</v>
      </c>
      <c r="I50" s="51">
        <f t="shared" ca="1" si="26"/>
        <v>-1.2760000000000105</v>
      </c>
      <c r="J50" s="51">
        <f t="shared" ca="1" si="26"/>
        <v>-2.5909999999999513</v>
      </c>
      <c r="K50" s="51">
        <f t="shared" ca="1" si="26"/>
        <v>-2.0319999999999823</v>
      </c>
      <c r="L50" s="47">
        <f t="shared" ca="1" si="26"/>
        <v>2.1230000000000189</v>
      </c>
      <c r="M50" s="47">
        <f t="shared" ca="1" si="26"/>
        <v>7.0650000000000261</v>
      </c>
      <c r="N50" s="47">
        <f t="shared" ca="1" si="26"/>
        <v>12.291000000000025</v>
      </c>
      <c r="O50" s="47">
        <f t="shared" ca="1" si="26"/>
        <v>16.460000000000008</v>
      </c>
      <c r="P50" s="47">
        <f t="shared" ca="1" si="26"/>
        <v>19.782000000000011</v>
      </c>
      <c r="Q50" s="21">
        <f t="shared" ca="1" si="26"/>
        <v>17.757114476518922</v>
      </c>
      <c r="R50" s="21">
        <f t="shared" ca="1" si="26"/>
        <v>16.266425684231365</v>
      </c>
      <c r="S50" s="21">
        <f t="shared" ca="1" si="26"/>
        <v>15.809225501239411</v>
      </c>
      <c r="T50" s="21">
        <f t="shared" ca="1" si="26"/>
        <v>15.710046294130478</v>
      </c>
      <c r="U50" s="21">
        <f t="shared" ca="1" si="26"/>
        <v>15.667100481921096</v>
      </c>
      <c r="V50" s="21">
        <f t="shared" ca="1" si="26"/>
        <v>15.63125298452124</v>
      </c>
      <c r="W50" s="21">
        <f t="shared" ca="1" si="26"/>
        <v>15.610578605875872</v>
      </c>
      <c r="X50" s="21">
        <f t="shared" ca="1" si="26"/>
        <v>15.583085149796972</v>
      </c>
      <c r="Y50" s="21">
        <f t="shared" ca="1" si="26"/>
        <v>15.601748353094848</v>
      </c>
      <c r="Z50" s="21">
        <f t="shared" ca="1" si="26"/>
        <v>15.604806089733557</v>
      </c>
    </row>
    <row r="51" spans="1:26" x14ac:dyDescent="0.25">
      <c r="A51" s="11" t="s">
        <v>749</v>
      </c>
      <c r="B51" s="11"/>
      <c r="C51" s="15"/>
      <c r="D51" s="51">
        <f t="shared" ref="D51:Z51" si="27">D$489</f>
        <v>-0.7100000000000124</v>
      </c>
      <c r="E51" s="51">
        <f t="shared" si="27"/>
        <v>-23.692000000000007</v>
      </c>
      <c r="F51" s="51">
        <f t="shared" si="27"/>
        <v>-13.766999999999978</v>
      </c>
      <c r="G51" s="51">
        <f t="shared" si="27"/>
        <v>-27.042999999999999</v>
      </c>
      <c r="H51" s="51">
        <f t="shared" si="27"/>
        <v>-25.648000000000007</v>
      </c>
      <c r="I51" s="51">
        <f t="shared" si="27"/>
        <v>-19.302000000000007</v>
      </c>
      <c r="J51" s="51">
        <f t="shared" si="27"/>
        <v>-5.9959999999999782</v>
      </c>
      <c r="K51" s="51">
        <f t="shared" si="27"/>
        <v>-4.8919999999999959</v>
      </c>
      <c r="L51" s="47">
        <f t="shared" ca="1" si="27"/>
        <v>-21.985000000000007</v>
      </c>
      <c r="M51" s="47">
        <f t="shared" ca="1" si="27"/>
        <v>-13.534999999999954</v>
      </c>
      <c r="N51" s="47">
        <f t="shared" ca="1" si="27"/>
        <v>-7.2850000000000037</v>
      </c>
      <c r="O51" s="47">
        <f t="shared" ca="1" si="27"/>
        <v>-1.7820000000000231</v>
      </c>
      <c r="P51" s="47">
        <f t="shared" ca="1" si="27"/>
        <v>3.2980000000000373</v>
      </c>
      <c r="Q51" s="21">
        <f t="shared" ca="1" si="27"/>
        <v>2.2713070586200139</v>
      </c>
      <c r="R51" s="21">
        <f t="shared" ca="1" si="27"/>
        <v>0.70469517593202724</v>
      </c>
      <c r="S51" s="21">
        <f t="shared" ca="1" si="27"/>
        <v>0.15282627919433267</v>
      </c>
      <c r="T51" s="21">
        <f t="shared" ca="1" si="27"/>
        <v>8.8870618652730826E-2</v>
      </c>
      <c r="U51" s="21">
        <f t="shared" ca="1" si="27"/>
        <v>-0.15015878522904913</v>
      </c>
      <c r="V51" s="21">
        <f t="shared" ca="1" si="27"/>
        <v>-0.35583123348028778</v>
      </c>
      <c r="W51" s="21">
        <f t="shared" ca="1" si="27"/>
        <v>-0.63540649791128523</v>
      </c>
      <c r="X51" s="21">
        <f t="shared" ca="1" si="27"/>
        <v>-1.0280576764148428</v>
      </c>
      <c r="Y51" s="21">
        <f t="shared" ca="1" si="27"/>
        <v>-1.5181078690197456</v>
      </c>
      <c r="Z51" s="21">
        <f t="shared" ca="1" si="27"/>
        <v>-2.1442535940809186</v>
      </c>
    </row>
    <row r="52" spans="1:26" x14ac:dyDescent="0.25">
      <c r="A52" s="60" t="s">
        <v>1164</v>
      </c>
      <c r="B52" s="14" t="str">
        <f>$B$42</f>
        <v>Outturn &amp; Forecast only</v>
      </c>
      <c r="C52" s="15"/>
      <c r="D52" s="97" t="str">
        <f ca="1">IF(ROUND('Fiscal Forecasts'!D$178-D$49,3)=0,"OK","ERROR")</f>
        <v>OK</v>
      </c>
      <c r="E52" s="97" t="str">
        <f ca="1">IF(ROUND('Fiscal Forecasts'!E$178-E$49,3)=0,"OK","ERROR")</f>
        <v>OK</v>
      </c>
      <c r="F52" s="97" t="str">
        <f ca="1">IF(ROUND('Fiscal Forecasts'!F$178-F$49,3)=0,"OK","ERROR")</f>
        <v>OK</v>
      </c>
      <c r="G52" s="97" t="str">
        <f ca="1">IF(ROUND('Fiscal Forecasts'!G$178-G$49,3)=0,"OK","ERROR")</f>
        <v>OK</v>
      </c>
      <c r="H52" s="97" t="str">
        <f ca="1">IF(ROUND('Fiscal Forecasts'!H$178-H$49,3)=0,"OK","ERROR")</f>
        <v>OK</v>
      </c>
      <c r="I52" s="97" t="str">
        <f ca="1">IF(ROUND('Fiscal Forecasts'!I$178-I$49,3)=0,"OK","ERROR")</f>
        <v>OK</v>
      </c>
      <c r="J52" s="97" t="str">
        <f ca="1">IF(ROUND('Fiscal Forecasts'!J$178-J$49,3)=0,"OK","ERROR")</f>
        <v>OK</v>
      </c>
      <c r="K52" s="97" t="str">
        <f ca="1">IF(ROUND('Fiscal Forecasts'!K$178-K$49,3)=0,"OK","ERROR")</f>
        <v>OK</v>
      </c>
      <c r="L52" s="97" t="str">
        <f ca="1">IF(ROUND('Fiscal Forecasts'!L$178-L$49,3)=0,"OK","ERROR")</f>
        <v>OK</v>
      </c>
      <c r="M52" s="97" t="str">
        <f ca="1">IF(ROUND('Fiscal Forecasts'!M$178-M$49,3)=0,"OK","ERROR")</f>
        <v>OK</v>
      </c>
      <c r="N52" s="97" t="str">
        <f ca="1">IF(ROUND('Fiscal Forecasts'!N$178-N$49,3)=0,"OK","ERROR")</f>
        <v>OK</v>
      </c>
      <c r="O52" s="97" t="str">
        <f ca="1">IF(ROUND('Fiscal Forecasts'!O$178-O$49,3)=0,"OK","ERROR")</f>
        <v>OK</v>
      </c>
      <c r="P52" s="97" t="str">
        <f ca="1">IF(ROUND('Fiscal Forecasts'!P$178-P$49,3)=0,"OK","ERROR")</f>
        <v>OK</v>
      </c>
      <c r="Q52" s="17"/>
      <c r="R52" s="17"/>
      <c r="S52" s="17"/>
      <c r="T52" s="17"/>
      <c r="U52" s="17"/>
      <c r="V52" s="17"/>
      <c r="W52" s="17"/>
      <c r="X52" s="17"/>
      <c r="Y52" s="17"/>
      <c r="Z52" s="17"/>
    </row>
    <row r="53" spans="1:26" x14ac:dyDescent="0.25">
      <c r="A53" s="60" t="s">
        <v>1165</v>
      </c>
      <c r="B53" s="11"/>
      <c r="C53" s="15"/>
      <c r="D53" s="97" t="str">
        <f>IF(ROUND(D$48-SUM(D$197,D$230,D$246,D$249,D$252,D$256,D$265,D$275,D$279,D$283,D$293,D$297,D$301,D$305,D$309,D$315,D$319),3)=0,"OK","ERROR")</f>
        <v>OK</v>
      </c>
      <c r="E53" s="97" t="str">
        <f t="shared" ref="E53:Z53" si="28">IF(ROUND(E$48-SUM(E$197,E$230,E$246,E$249,E$252,E$256,E$265,E$275,E$279,E$283,E$293,E$297,E$301,E$305,E$309,E$315,E$319),3)=0,"OK","ERROR")</f>
        <v>OK</v>
      </c>
      <c r="F53" s="97" t="str">
        <f t="shared" si="28"/>
        <v>OK</v>
      </c>
      <c r="G53" s="97" t="str">
        <f t="shared" si="28"/>
        <v>OK</v>
      </c>
      <c r="H53" s="97" t="str">
        <f t="shared" si="28"/>
        <v>OK</v>
      </c>
      <c r="I53" s="97" t="str">
        <f t="shared" si="28"/>
        <v>OK</v>
      </c>
      <c r="J53" s="97" t="str">
        <f t="shared" si="28"/>
        <v>OK</v>
      </c>
      <c r="K53" s="97" t="str">
        <f t="shared" si="28"/>
        <v>OK</v>
      </c>
      <c r="L53" s="97" t="str">
        <f t="shared" ca="1" si="28"/>
        <v>OK</v>
      </c>
      <c r="M53" s="97" t="str">
        <f t="shared" ca="1" si="28"/>
        <v>OK</v>
      </c>
      <c r="N53" s="97" t="str">
        <f t="shared" ca="1" si="28"/>
        <v>OK</v>
      </c>
      <c r="O53" s="97" t="str">
        <f t="shared" ca="1" si="28"/>
        <v>OK</v>
      </c>
      <c r="P53" s="97" t="str">
        <f t="shared" ca="1" si="28"/>
        <v>OK</v>
      </c>
      <c r="Q53" s="97" t="str">
        <f t="shared" ca="1" si="28"/>
        <v>OK</v>
      </c>
      <c r="R53" s="97" t="str">
        <f t="shared" ca="1" si="28"/>
        <v>OK</v>
      </c>
      <c r="S53" s="97" t="str">
        <f t="shared" ca="1" si="28"/>
        <v>OK</v>
      </c>
      <c r="T53" s="97" t="str">
        <f t="shared" ca="1" si="28"/>
        <v>OK</v>
      </c>
      <c r="U53" s="97" t="str">
        <f t="shared" ca="1" si="28"/>
        <v>OK</v>
      </c>
      <c r="V53" s="97" t="str">
        <f t="shared" ca="1" si="28"/>
        <v>OK</v>
      </c>
      <c r="W53" s="97" t="str">
        <f t="shared" ca="1" si="28"/>
        <v>OK</v>
      </c>
      <c r="X53" s="97" t="str">
        <f t="shared" ca="1" si="28"/>
        <v>OK</v>
      </c>
      <c r="Y53" s="97" t="str">
        <f t="shared" ca="1" si="28"/>
        <v>OK</v>
      </c>
      <c r="Z53" s="97" t="str">
        <f t="shared" ca="1" si="28"/>
        <v>OK</v>
      </c>
    </row>
    <row r="54" spans="1:26" x14ac:dyDescent="0.25">
      <c r="A54" s="11"/>
      <c r="B54" s="11"/>
      <c r="C54" s="15"/>
      <c r="D54" s="15"/>
      <c r="E54" s="15"/>
      <c r="F54" s="15"/>
      <c r="G54" s="15"/>
      <c r="H54" s="15"/>
      <c r="I54" s="15"/>
      <c r="J54" s="15"/>
      <c r="K54" s="15"/>
      <c r="L54" s="15"/>
      <c r="M54" s="15"/>
      <c r="N54" s="15"/>
      <c r="O54" s="15"/>
      <c r="P54" s="15"/>
      <c r="Q54" s="51"/>
      <c r="R54" s="51"/>
      <c r="S54" s="51"/>
      <c r="T54" s="51"/>
      <c r="U54" s="51"/>
      <c r="V54" s="51"/>
      <c r="W54" s="51"/>
      <c r="X54" s="51"/>
      <c r="Y54" s="51"/>
      <c r="Z54" s="51"/>
    </row>
    <row r="55" spans="1:26" x14ac:dyDescent="0.25">
      <c r="A55" s="57" t="s">
        <v>1166</v>
      </c>
      <c r="B55" s="11"/>
      <c r="C55" s="15"/>
      <c r="D55" s="98"/>
      <c r="E55" s="98"/>
      <c r="F55" s="98"/>
      <c r="G55" s="98"/>
      <c r="H55" s="98"/>
      <c r="I55" s="98"/>
      <c r="J55" s="98"/>
      <c r="K55" s="98"/>
      <c r="L55" s="98"/>
      <c r="M55" s="98"/>
      <c r="N55" s="98"/>
      <c r="O55" s="98"/>
      <c r="P55" s="98"/>
      <c r="Q55" s="17"/>
      <c r="R55" s="17"/>
      <c r="S55" s="17"/>
      <c r="T55" s="17"/>
      <c r="U55" s="17"/>
      <c r="V55" s="17"/>
      <c r="W55" s="17"/>
      <c r="X55" s="17"/>
      <c r="Y55" s="17"/>
      <c r="Z55" s="17"/>
    </row>
    <row r="56" spans="1:26" x14ac:dyDescent="0.25">
      <c r="A56" s="11" t="s">
        <v>1167</v>
      </c>
      <c r="B56" s="11"/>
      <c r="C56" s="15"/>
      <c r="D56" s="51">
        <f t="shared" ref="D56:Z56" ca="1" si="29">SUM(D$347,D$354,D$363,D$372,D$388,D$397,D$410,D$414,D$420,D$424,D$429,D$432,D$435)</f>
        <v>364.65199999999999</v>
      </c>
      <c r="E56" s="51">
        <f t="shared" ca="1" si="29"/>
        <v>393.4</v>
      </c>
      <c r="F56" s="51">
        <f t="shared" ca="1" si="29"/>
        <v>438.59599999999995</v>
      </c>
      <c r="G56" s="51">
        <f t="shared" ca="1" si="29"/>
        <v>501.84400000000005</v>
      </c>
      <c r="H56" s="51">
        <f t="shared" ca="1" si="29"/>
        <v>536.66599999999994</v>
      </c>
      <c r="I56" s="51">
        <f t="shared" ca="1" si="29"/>
        <v>570.86799999999994</v>
      </c>
      <c r="J56" s="51">
        <f t="shared" ca="1" si="29"/>
        <v>597.97599999999989</v>
      </c>
      <c r="K56" s="51">
        <f t="shared" ca="1" si="29"/>
        <v>619.56499999999994</v>
      </c>
      <c r="L56" s="47">
        <f t="shared" ca="1" si="29"/>
        <v>635.06700000000001</v>
      </c>
      <c r="M56" s="47">
        <f t="shared" ca="1" si="29"/>
        <v>662.04300000000001</v>
      </c>
      <c r="N56" s="47">
        <f t="shared" ca="1" si="29"/>
        <v>687.68299999999988</v>
      </c>
      <c r="O56" s="47">
        <f t="shared" ca="1" si="29"/>
        <v>712.327</v>
      </c>
      <c r="P56" s="47">
        <f t="shared" ca="1" si="29"/>
        <v>734.56700000000001</v>
      </c>
      <c r="Q56" s="21">
        <f t="shared" ca="1" si="29"/>
        <v>761.31012312727046</v>
      </c>
      <c r="R56" s="21">
        <f t="shared" ca="1" si="29"/>
        <v>788.50389892244561</v>
      </c>
      <c r="S56" s="21">
        <f t="shared" ca="1" si="29"/>
        <v>816.7262479591908</v>
      </c>
      <c r="T56" s="21">
        <f t="shared" ca="1" si="29"/>
        <v>845.88237478030169</v>
      </c>
      <c r="U56" s="21">
        <f t="shared" ca="1" si="29"/>
        <v>876.26358083282798</v>
      </c>
      <c r="V56" s="21">
        <f t="shared" ca="1" si="29"/>
        <v>907.79442342184484</v>
      </c>
      <c r="W56" s="21">
        <f t="shared" ca="1" si="29"/>
        <v>940.52374272000895</v>
      </c>
      <c r="X56" s="21">
        <f t="shared" ca="1" si="29"/>
        <v>974.58636851916629</v>
      </c>
      <c r="Y56" s="21">
        <f t="shared" ca="1" si="29"/>
        <v>1010.2136902225035</v>
      </c>
      <c r="Z56" s="21">
        <f t="shared" ca="1" si="29"/>
        <v>1047.5431433745275</v>
      </c>
    </row>
    <row r="57" spans="1:26" x14ac:dyDescent="0.25">
      <c r="A57" s="11" t="s">
        <v>1168</v>
      </c>
      <c r="B57" s="11"/>
      <c r="C57" s="15"/>
      <c r="D57" s="51">
        <f t="shared" ref="D57:Z57" si="30">SUM(D$70,D$439,D$446,D$450,D$454,D$460,D$465,D$471)</f>
        <v>221.31299999999999</v>
      </c>
      <c r="E57" s="51">
        <f t="shared" si="30"/>
        <v>277.45699999999999</v>
      </c>
      <c r="F57" s="51">
        <f t="shared" si="30"/>
        <v>281.40300000000002</v>
      </c>
      <c r="G57" s="51">
        <f t="shared" si="30"/>
        <v>327.52500000000003</v>
      </c>
      <c r="H57" s="51">
        <f t="shared" si="30"/>
        <v>345.19400000000002</v>
      </c>
      <c r="I57" s="51">
        <f t="shared" si="30"/>
        <v>379.81899999999996</v>
      </c>
      <c r="J57" s="51">
        <f t="shared" si="30"/>
        <v>408.84799999999996</v>
      </c>
      <c r="K57" s="51">
        <f t="shared" si="30"/>
        <v>431.851</v>
      </c>
      <c r="L57" s="47">
        <f t="shared" si="30"/>
        <v>438.512</v>
      </c>
      <c r="M57" s="47">
        <f t="shared" si="30"/>
        <v>461.971</v>
      </c>
      <c r="N57" s="47">
        <f t="shared" si="30"/>
        <v>478.56200000000001</v>
      </c>
      <c r="O57" s="47">
        <f t="shared" si="30"/>
        <v>489.92400000000004</v>
      </c>
      <c r="P57" s="47">
        <f t="shared" si="30"/>
        <v>495.339</v>
      </c>
      <c r="Q57" s="21">
        <f t="shared" ca="1" si="30"/>
        <v>506.20894670083896</v>
      </c>
      <c r="R57" s="21">
        <f t="shared" ca="1" si="30"/>
        <v>518.38780395812546</v>
      </c>
      <c r="S57" s="21">
        <f t="shared" ca="1" si="30"/>
        <v>531.39404698792748</v>
      </c>
      <c r="T57" s="21">
        <f t="shared" ca="1" si="30"/>
        <v>544.63752677698824</v>
      </c>
      <c r="U57" s="21">
        <f t="shared" ca="1" si="30"/>
        <v>558.35435880963712</v>
      </c>
      <c r="V57" s="21">
        <f t="shared" ca="1" si="30"/>
        <v>572.69513102390772</v>
      </c>
      <c r="W57" s="21">
        <f t="shared" ca="1" si="30"/>
        <v>587.71930391360684</v>
      </c>
      <c r="X57" s="21">
        <f t="shared" ca="1" si="30"/>
        <v>603.57441184571576</v>
      </c>
      <c r="Y57" s="21">
        <f t="shared" ca="1" si="30"/>
        <v>620.38011029066729</v>
      </c>
      <c r="Z57" s="21">
        <f t="shared" ca="1" si="30"/>
        <v>638.30067163747549</v>
      </c>
    </row>
    <row r="58" spans="1:26" x14ac:dyDescent="0.25">
      <c r="A58" s="11" t="s">
        <v>759</v>
      </c>
      <c r="B58" s="11"/>
      <c r="C58" s="15"/>
      <c r="D58" s="94">
        <f t="shared" ref="D58:Z58" ca="1" si="31">D$56-D$57</f>
        <v>143.339</v>
      </c>
      <c r="E58" s="94">
        <f t="shared" ca="1" si="31"/>
        <v>115.94299999999998</v>
      </c>
      <c r="F58" s="94">
        <f t="shared" ca="1" si="31"/>
        <v>157.19299999999993</v>
      </c>
      <c r="G58" s="94">
        <f t="shared" ca="1" si="31"/>
        <v>174.31900000000002</v>
      </c>
      <c r="H58" s="94">
        <f t="shared" ca="1" si="31"/>
        <v>191.47199999999992</v>
      </c>
      <c r="I58" s="94">
        <f t="shared" ca="1" si="31"/>
        <v>191.04899999999998</v>
      </c>
      <c r="J58" s="94">
        <f t="shared" ca="1" si="31"/>
        <v>189.12799999999993</v>
      </c>
      <c r="K58" s="94">
        <f t="shared" ca="1" si="31"/>
        <v>187.71399999999994</v>
      </c>
      <c r="L58" s="95">
        <f t="shared" ca="1" si="31"/>
        <v>196.55500000000001</v>
      </c>
      <c r="M58" s="95">
        <f t="shared" ca="1" si="31"/>
        <v>200.072</v>
      </c>
      <c r="N58" s="95">
        <f t="shared" ca="1" si="31"/>
        <v>209.12099999999987</v>
      </c>
      <c r="O58" s="95">
        <f t="shared" ca="1" si="31"/>
        <v>222.40299999999996</v>
      </c>
      <c r="P58" s="95">
        <f t="shared" ca="1" si="31"/>
        <v>239.22800000000001</v>
      </c>
      <c r="Q58" s="96">
        <f t="shared" ca="1" si="31"/>
        <v>255.10117642643149</v>
      </c>
      <c r="R58" s="96">
        <f t="shared" ca="1" si="31"/>
        <v>270.11609496432015</v>
      </c>
      <c r="S58" s="96">
        <f t="shared" ca="1" si="31"/>
        <v>285.33220097126332</v>
      </c>
      <c r="T58" s="96">
        <f t="shared" ca="1" si="31"/>
        <v>301.24484800331345</v>
      </c>
      <c r="U58" s="96">
        <f t="shared" ca="1" si="31"/>
        <v>317.90922202319086</v>
      </c>
      <c r="V58" s="96">
        <f t="shared" ca="1" si="31"/>
        <v>335.09929239793712</v>
      </c>
      <c r="W58" s="96">
        <f t="shared" ca="1" si="31"/>
        <v>352.80443880640212</v>
      </c>
      <c r="X58" s="96">
        <f t="shared" ca="1" si="31"/>
        <v>371.01195667345053</v>
      </c>
      <c r="Y58" s="96">
        <f t="shared" ca="1" si="31"/>
        <v>389.8335799318362</v>
      </c>
      <c r="Z58" s="96">
        <f t="shared" ca="1" si="31"/>
        <v>409.24247173705203</v>
      </c>
    </row>
    <row r="59" spans="1:26" x14ac:dyDescent="0.25">
      <c r="A59" s="12" t="s">
        <v>1169</v>
      </c>
      <c r="B59" s="14" t="str">
        <f>$B$38</f>
        <v>From Fiscal Forecasts</v>
      </c>
      <c r="C59" s="15"/>
      <c r="D59" s="50">
        <f>'Fiscal Forecasts'!D$145</f>
        <v>6.39</v>
      </c>
      <c r="E59" s="50">
        <f>'Fiscal Forecasts'!E$145</f>
        <v>5.6230000000000002</v>
      </c>
      <c r="F59" s="50">
        <f>'Fiscal Forecasts'!F$145</f>
        <v>5.7240000000000002</v>
      </c>
      <c r="G59" s="50">
        <f>'Fiscal Forecasts'!G$145</f>
        <v>7.2830000000000004</v>
      </c>
      <c r="H59" s="50">
        <f>'Fiscal Forecasts'!H$145</f>
        <v>7.9580000000000002</v>
      </c>
      <c r="I59" s="50">
        <f>'Fiscal Forecasts'!I$145</f>
        <v>9.2309999999999999</v>
      </c>
      <c r="J59" s="50">
        <f>'Fiscal Forecasts'!J$145</f>
        <v>9.8680000000000003</v>
      </c>
      <c r="K59" s="50">
        <f>'Fiscal Forecasts'!K$145</f>
        <v>10.510999999999999</v>
      </c>
      <c r="L59" s="48">
        <f>'Fiscal Forecasts'!L$145</f>
        <v>10.034000000000001</v>
      </c>
      <c r="M59" s="48">
        <f>'Fiscal Forecasts'!M$145</f>
        <v>9.9979999999999993</v>
      </c>
      <c r="N59" s="48">
        <f>'Fiscal Forecasts'!N$145</f>
        <v>9.9629999999999992</v>
      </c>
      <c r="O59" s="48">
        <f>'Fiscal Forecasts'!O$145</f>
        <v>9.6080000000000005</v>
      </c>
      <c r="P59" s="48">
        <f>'Fiscal Forecasts'!P$145</f>
        <v>9.61</v>
      </c>
      <c r="Q59" s="20">
        <f t="shared" ref="Q59:Z59" ca="1" si="32">P$59*(Q$58-Q$65)/(P$58-P$65)</f>
        <v>9.5489287576726003</v>
      </c>
      <c r="R59" s="20">
        <f t="shared" ca="1" si="32"/>
        <v>9.5003606540135586</v>
      </c>
      <c r="S59" s="20">
        <f t="shared" ca="1" si="32"/>
        <v>9.4691990522824003</v>
      </c>
      <c r="T59" s="20">
        <f t="shared" ca="1" si="32"/>
        <v>9.4659924889992269</v>
      </c>
      <c r="U59" s="20">
        <f t="shared" ca="1" si="32"/>
        <v>9.4900242124866683</v>
      </c>
      <c r="V59" s="20">
        <f t="shared" ca="1" si="32"/>
        <v>9.5156864464292976</v>
      </c>
      <c r="W59" s="20">
        <f t="shared" ca="1" si="32"/>
        <v>9.5400305454814873</v>
      </c>
      <c r="X59" s="20">
        <f t="shared" ca="1" si="32"/>
        <v>9.56135033586928</v>
      </c>
      <c r="Y59" s="20">
        <f t="shared" ca="1" si="32"/>
        <v>9.5834130783958731</v>
      </c>
      <c r="Z59" s="20">
        <f t="shared" ca="1" si="32"/>
        <v>9.6039740402364977</v>
      </c>
    </row>
    <row r="60" spans="1:26" x14ac:dyDescent="0.25">
      <c r="A60" s="11" t="s">
        <v>760</v>
      </c>
      <c r="B60" s="14"/>
      <c r="C60" s="15"/>
      <c r="D60" s="94">
        <f t="shared" ref="D60:Z60" ca="1" si="33">D$58-D$59</f>
        <v>136.94900000000001</v>
      </c>
      <c r="E60" s="94">
        <f t="shared" ca="1" si="33"/>
        <v>110.31999999999998</v>
      </c>
      <c r="F60" s="94">
        <f t="shared" ca="1" si="33"/>
        <v>151.46899999999994</v>
      </c>
      <c r="G60" s="94">
        <f t="shared" ca="1" si="33"/>
        <v>167.03600000000003</v>
      </c>
      <c r="H60" s="94">
        <f t="shared" ca="1" si="33"/>
        <v>183.51399999999992</v>
      </c>
      <c r="I60" s="94">
        <f t="shared" ca="1" si="33"/>
        <v>181.81799999999998</v>
      </c>
      <c r="J60" s="94">
        <f t="shared" ca="1" si="33"/>
        <v>179.25999999999993</v>
      </c>
      <c r="K60" s="94">
        <f t="shared" ca="1" si="33"/>
        <v>177.20299999999995</v>
      </c>
      <c r="L60" s="95">
        <f t="shared" ca="1" si="33"/>
        <v>186.52100000000002</v>
      </c>
      <c r="M60" s="95">
        <f t="shared" ca="1" si="33"/>
        <v>190.07400000000001</v>
      </c>
      <c r="N60" s="95">
        <f t="shared" ca="1" si="33"/>
        <v>199.15799999999987</v>
      </c>
      <c r="O60" s="95">
        <f t="shared" ca="1" si="33"/>
        <v>212.79499999999996</v>
      </c>
      <c r="P60" s="95">
        <f t="shared" ca="1" si="33"/>
        <v>229.61799999999999</v>
      </c>
      <c r="Q60" s="96">
        <f t="shared" ca="1" si="33"/>
        <v>245.55224766875889</v>
      </c>
      <c r="R60" s="96">
        <f t="shared" ca="1" si="33"/>
        <v>260.61573431030661</v>
      </c>
      <c r="S60" s="96">
        <f t="shared" ca="1" si="33"/>
        <v>275.8630019189809</v>
      </c>
      <c r="T60" s="96">
        <f t="shared" ca="1" si="33"/>
        <v>291.77885551431422</v>
      </c>
      <c r="U60" s="96">
        <f t="shared" ca="1" si="33"/>
        <v>308.41919781070419</v>
      </c>
      <c r="V60" s="96">
        <f t="shared" ca="1" si="33"/>
        <v>325.58360595150782</v>
      </c>
      <c r="W60" s="96">
        <f t="shared" ca="1" si="33"/>
        <v>343.26440826092062</v>
      </c>
      <c r="X60" s="96">
        <f t="shared" ca="1" si="33"/>
        <v>361.45060633758123</v>
      </c>
      <c r="Y60" s="96">
        <f t="shared" ca="1" si="33"/>
        <v>380.25016685344031</v>
      </c>
      <c r="Z60" s="96">
        <f t="shared" ca="1" si="33"/>
        <v>399.63849769681553</v>
      </c>
    </row>
    <row r="61" spans="1:26" x14ac:dyDescent="0.25">
      <c r="A61" s="60" t="s">
        <v>1170</v>
      </c>
      <c r="B61" s="14" t="str">
        <f>$B$42</f>
        <v>Outturn &amp; Forecast only</v>
      </c>
      <c r="C61" s="15"/>
      <c r="D61" s="97" t="str">
        <f ca="1">IF(ROUND('Fiscal Forecasts'!D$143-D$58,3)=0,"OK","ERROR")</f>
        <v>OK</v>
      </c>
      <c r="E61" s="97" t="str">
        <f ca="1">IF(ROUND('Fiscal Forecasts'!E$143-E$58,3)=0,"OK","ERROR")</f>
        <v>OK</v>
      </c>
      <c r="F61" s="97" t="str">
        <f ca="1">IF(ROUND('Fiscal Forecasts'!F$143-F$58,3)=0,"OK","ERROR")</f>
        <v>OK</v>
      </c>
      <c r="G61" s="97" t="str">
        <f ca="1">IF(ROUND('Fiscal Forecasts'!G$143-G$58,3)=0,"OK","ERROR")</f>
        <v>OK</v>
      </c>
      <c r="H61" s="97" t="str">
        <f ca="1">IF(ROUND('Fiscal Forecasts'!H$143-H$58,3)=0,"OK","ERROR")</f>
        <v>OK</v>
      </c>
      <c r="I61" s="97" t="str">
        <f ca="1">IF(ROUND('Fiscal Forecasts'!I$143-I$58,3)=0,"OK","ERROR")</f>
        <v>OK</v>
      </c>
      <c r="J61" s="97" t="str">
        <f ca="1">IF(ROUND('Fiscal Forecasts'!J$143-J$58,3)=0,"OK","ERROR")</f>
        <v>OK</v>
      </c>
      <c r="K61" s="97" t="str">
        <f ca="1">IF(ROUND('Fiscal Forecasts'!K$143-K$58,3)=0,"OK","ERROR")</f>
        <v>OK</v>
      </c>
      <c r="L61" s="97" t="str">
        <f ca="1">IF(ROUND('Fiscal Forecasts'!L$143-L$58,3)=0,"OK","ERROR")</f>
        <v>OK</v>
      </c>
      <c r="M61" s="97" t="str">
        <f ca="1">IF(ROUND('Fiscal Forecasts'!M$143-M$58,3)=0,"OK","ERROR")</f>
        <v>OK</v>
      </c>
      <c r="N61" s="97" t="str">
        <f ca="1">IF(ROUND('Fiscal Forecasts'!N$143-N$58,3)=0,"OK","ERROR")</f>
        <v>OK</v>
      </c>
      <c r="O61" s="97" t="str">
        <f ca="1">IF(ROUND('Fiscal Forecasts'!O$143-O$58,3)=0,"OK","ERROR")</f>
        <v>OK</v>
      </c>
      <c r="P61" s="97" t="str">
        <f ca="1">IF(ROUND('Fiscal Forecasts'!P$143-P$58,3)=0,"OK","ERROR")</f>
        <v>OK</v>
      </c>
      <c r="Q61" s="17"/>
      <c r="R61" s="17"/>
      <c r="S61" s="17"/>
      <c r="T61" s="17"/>
      <c r="U61" s="17"/>
      <c r="V61" s="17"/>
      <c r="W61" s="17"/>
      <c r="X61" s="17"/>
      <c r="Y61" s="17"/>
      <c r="Z61" s="17"/>
    </row>
    <row r="62" spans="1:26" x14ac:dyDescent="0.25">
      <c r="A62" s="60" t="s">
        <v>1171</v>
      </c>
      <c r="B62" s="14" t="s">
        <v>1172</v>
      </c>
      <c r="C62" s="15"/>
      <c r="D62" s="89"/>
      <c r="E62" s="89"/>
      <c r="F62" s="89"/>
      <c r="G62" s="89"/>
      <c r="H62" s="89"/>
      <c r="I62" s="89"/>
      <c r="J62" s="89"/>
      <c r="K62" s="89"/>
      <c r="L62" s="66"/>
      <c r="M62" s="66"/>
      <c r="N62" s="66"/>
      <c r="O62" s="66"/>
      <c r="P62" s="66"/>
      <c r="Q62" s="97" t="str">
        <f t="shared" ref="Q62:Z62" ca="1" si="34">IF(ROUND(Q$39+Q$38-(Q$58-P$58),3)=0,"OK","ERROR")</f>
        <v>OK</v>
      </c>
      <c r="R62" s="97" t="str">
        <f t="shared" ca="1" si="34"/>
        <v>OK</v>
      </c>
      <c r="S62" s="97" t="str">
        <f t="shared" ca="1" si="34"/>
        <v>OK</v>
      </c>
      <c r="T62" s="97" t="str">
        <f t="shared" ca="1" si="34"/>
        <v>OK</v>
      </c>
      <c r="U62" s="97" t="str">
        <f t="shared" ca="1" si="34"/>
        <v>OK</v>
      </c>
      <c r="V62" s="97" t="str">
        <f t="shared" ca="1" si="34"/>
        <v>OK</v>
      </c>
      <c r="W62" s="97" t="str">
        <f t="shared" ca="1" si="34"/>
        <v>OK</v>
      </c>
      <c r="X62" s="97" t="str">
        <f t="shared" ca="1" si="34"/>
        <v>OK</v>
      </c>
      <c r="Y62" s="97" t="str">
        <f t="shared" ca="1" si="34"/>
        <v>OK</v>
      </c>
      <c r="Z62" s="97" t="str">
        <f t="shared" ca="1" si="34"/>
        <v>OK</v>
      </c>
    </row>
    <row r="63" spans="1:26" x14ac:dyDescent="0.25">
      <c r="A63" s="11" t="s">
        <v>989</v>
      </c>
      <c r="B63" s="11"/>
      <c r="C63" s="15"/>
      <c r="D63" s="51">
        <f t="shared" ref="D63:Z63" ca="1" si="35">SUM(D$346,D$353,D$359,D$368,D$388,D$394,D$409,D$413,D$417,D$423,D$427,D$432,D$435)</f>
        <v>201.42400000000004</v>
      </c>
      <c r="E63" s="51">
        <f t="shared" ca="1" si="35"/>
        <v>219.821</v>
      </c>
      <c r="F63" s="51">
        <f t="shared" ca="1" si="35"/>
        <v>239.35500000000002</v>
      </c>
      <c r="G63" s="51">
        <f t="shared" ca="1" si="35"/>
        <v>269.32</v>
      </c>
      <c r="H63" s="51">
        <f t="shared" ca="1" si="35"/>
        <v>294.69400000000002</v>
      </c>
      <c r="I63" s="51">
        <f t="shared" ca="1" si="35"/>
        <v>326.74099999999999</v>
      </c>
      <c r="J63" s="51">
        <f t="shared" ca="1" si="35"/>
        <v>348.37799999999999</v>
      </c>
      <c r="K63" s="51">
        <f t="shared" ca="1" si="35"/>
        <v>366.68399999999997</v>
      </c>
      <c r="L63" s="47">
        <f t="shared" ca="1" si="35"/>
        <v>381.43200000000002</v>
      </c>
      <c r="M63" s="47">
        <f t="shared" ca="1" si="35"/>
        <v>403.84899999999999</v>
      </c>
      <c r="N63" s="47">
        <f t="shared" ca="1" si="35"/>
        <v>423.62900000000002</v>
      </c>
      <c r="O63" s="47">
        <f t="shared" ca="1" si="35"/>
        <v>441.06700000000006</v>
      </c>
      <c r="P63" s="47">
        <f t="shared" ca="1" si="35"/>
        <v>454.86400000000009</v>
      </c>
      <c r="Q63" s="21">
        <f t="shared" ca="1" si="35"/>
        <v>473.44129850805336</v>
      </c>
      <c r="R63" s="21">
        <f t="shared" ca="1" si="35"/>
        <v>492.15677717220757</v>
      </c>
      <c r="S63" s="21">
        <f t="shared" ca="1" si="35"/>
        <v>511.54676957442666</v>
      </c>
      <c r="T63" s="21">
        <f t="shared" ca="1" si="35"/>
        <v>531.47920157120211</v>
      </c>
      <c r="U63" s="21">
        <f t="shared" ca="1" si="35"/>
        <v>552.20338972129753</v>
      </c>
      <c r="V63" s="21">
        <f t="shared" ca="1" si="35"/>
        <v>573.78701824599364</v>
      </c>
      <c r="W63" s="21">
        <f t="shared" ca="1" si="35"/>
        <v>596.31888982426733</v>
      </c>
      <c r="X63" s="21">
        <f t="shared" ca="1" si="35"/>
        <v>619.93375136957775</v>
      </c>
      <c r="Y63" s="21">
        <f t="shared" ca="1" si="35"/>
        <v>644.8206584314571</v>
      </c>
      <c r="Z63" s="21">
        <f t="shared" ca="1" si="35"/>
        <v>671.12516895141039</v>
      </c>
    </row>
    <row r="64" spans="1:26" x14ac:dyDescent="0.25">
      <c r="A64" s="11" t="s">
        <v>991</v>
      </c>
      <c r="B64" s="11"/>
      <c r="C64" s="15"/>
      <c r="D64" s="51">
        <f t="shared" ref="D64:Z64" si="36">SUM(D$71,D$439,D$445,D$449,D$453,D$457,D$463,D$470)</f>
        <v>132.88</v>
      </c>
      <c r="E64" s="51">
        <f t="shared" si="36"/>
        <v>172.70499999999998</v>
      </c>
      <c r="F64" s="51">
        <f t="shared" si="36"/>
        <v>178.81700000000001</v>
      </c>
      <c r="G64" s="51">
        <f t="shared" si="36"/>
        <v>224.036</v>
      </c>
      <c r="H64" s="51">
        <f t="shared" si="36"/>
        <v>235.35300000000001</v>
      </c>
      <c r="I64" s="51">
        <f t="shared" si="36"/>
        <v>261.70100000000002</v>
      </c>
      <c r="J64" s="51">
        <f t="shared" si="36"/>
        <v>285.43900000000002</v>
      </c>
      <c r="K64" s="51">
        <f t="shared" si="36"/>
        <v>302.02299999999997</v>
      </c>
      <c r="L64" s="47">
        <f t="shared" si="36"/>
        <v>315.57599999999996</v>
      </c>
      <c r="M64" s="47">
        <f t="shared" si="36"/>
        <v>332.22199999999998</v>
      </c>
      <c r="N64" s="47">
        <f t="shared" si="36"/>
        <v>341.49499999999995</v>
      </c>
      <c r="O64" s="47">
        <f t="shared" si="36"/>
        <v>344.36099999999999</v>
      </c>
      <c r="P64" s="47">
        <f t="shared" si="36"/>
        <v>339.95700000000005</v>
      </c>
      <c r="Q64" s="21">
        <f t="shared" ca="1" si="36"/>
        <v>341.871066106868</v>
      </c>
      <c r="R64" s="21">
        <f t="shared" ca="1" si="36"/>
        <v>344.94331871856582</v>
      </c>
      <c r="S64" s="21">
        <f t="shared" ca="1" si="36"/>
        <v>348.71407904840788</v>
      </c>
      <c r="T64" s="21">
        <f t="shared" ca="1" si="36"/>
        <v>352.69238189513868</v>
      </c>
      <c r="U64" s="21">
        <f t="shared" ca="1" si="36"/>
        <v>357.06308550461603</v>
      </c>
      <c r="V64" s="21">
        <f t="shared" ca="1" si="36"/>
        <v>361.78862644186887</v>
      </c>
      <c r="W64" s="21">
        <f t="shared" ca="1" si="36"/>
        <v>366.93028217757427</v>
      </c>
      <c r="X64" s="21">
        <f t="shared" ca="1" si="36"/>
        <v>372.61343206403615</v>
      </c>
      <c r="Y64" s="21">
        <f t="shared" ca="1" si="36"/>
        <v>378.96413337155155</v>
      </c>
      <c r="Z64" s="21">
        <f t="shared" ca="1" si="36"/>
        <v>386.12574161146989</v>
      </c>
    </row>
    <row r="65" spans="1:26" x14ac:dyDescent="0.25">
      <c r="A65" s="11" t="s">
        <v>761</v>
      </c>
      <c r="B65" s="11"/>
      <c r="C65" s="15"/>
      <c r="D65" s="94">
        <f t="shared" ref="D65:Z65" ca="1" si="37">D$63-D$64</f>
        <v>68.54400000000004</v>
      </c>
      <c r="E65" s="94">
        <f t="shared" ca="1" si="37"/>
        <v>47.116000000000014</v>
      </c>
      <c r="F65" s="94">
        <f t="shared" ca="1" si="37"/>
        <v>60.538000000000011</v>
      </c>
      <c r="G65" s="94">
        <f t="shared" ca="1" si="37"/>
        <v>45.283999999999992</v>
      </c>
      <c r="H65" s="94">
        <f t="shared" ca="1" si="37"/>
        <v>59.341000000000008</v>
      </c>
      <c r="I65" s="94">
        <f t="shared" ca="1" si="37"/>
        <v>65.039999999999964</v>
      </c>
      <c r="J65" s="94">
        <f t="shared" ca="1" si="37"/>
        <v>62.938999999999965</v>
      </c>
      <c r="K65" s="94">
        <f t="shared" ca="1" si="37"/>
        <v>64.661000000000001</v>
      </c>
      <c r="L65" s="95">
        <f t="shared" ca="1" si="37"/>
        <v>65.856000000000051</v>
      </c>
      <c r="M65" s="95">
        <f t="shared" ca="1" si="37"/>
        <v>71.62700000000001</v>
      </c>
      <c r="N65" s="95">
        <f t="shared" ca="1" si="37"/>
        <v>82.134000000000071</v>
      </c>
      <c r="O65" s="95">
        <f t="shared" ca="1" si="37"/>
        <v>96.706000000000074</v>
      </c>
      <c r="P65" s="95">
        <f t="shared" ca="1" si="37"/>
        <v>114.90700000000004</v>
      </c>
      <c r="Q65" s="96">
        <f t="shared" ca="1" si="37"/>
        <v>131.57023240118536</v>
      </c>
      <c r="R65" s="96">
        <f t="shared" ca="1" si="37"/>
        <v>147.21345845364175</v>
      </c>
      <c r="S65" s="96">
        <f t="shared" ca="1" si="37"/>
        <v>162.83269052601878</v>
      </c>
      <c r="T65" s="96">
        <f t="shared" ca="1" si="37"/>
        <v>178.78681967606343</v>
      </c>
      <c r="U65" s="96">
        <f t="shared" ca="1" si="37"/>
        <v>195.1403042166815</v>
      </c>
      <c r="V65" s="96">
        <f t="shared" ca="1" si="37"/>
        <v>211.99839180412476</v>
      </c>
      <c r="W65" s="96">
        <f t="shared" ca="1" si="37"/>
        <v>229.38860764669306</v>
      </c>
      <c r="X65" s="96">
        <f t="shared" ca="1" si="37"/>
        <v>247.3203193055416</v>
      </c>
      <c r="Y65" s="96">
        <f t="shared" ca="1" si="37"/>
        <v>265.85652505990555</v>
      </c>
      <c r="Z65" s="96">
        <f t="shared" ca="1" si="37"/>
        <v>284.9994273399405</v>
      </c>
    </row>
    <row r="66" spans="1:26" x14ac:dyDescent="0.25">
      <c r="A66" s="60" t="s">
        <v>1173</v>
      </c>
      <c r="B66" s="14" t="str">
        <f>$B$42</f>
        <v>Outturn &amp; Forecast only</v>
      </c>
      <c r="C66" s="15"/>
      <c r="D66" s="97" t="str">
        <f ca="1">IF(ROUND('Fiscal Forecasts'!D$200-D$65,3)=0,"OK","ERROR")</f>
        <v>OK</v>
      </c>
      <c r="E66" s="97" t="str">
        <f ca="1">IF(ROUND('Fiscal Forecasts'!E$200-E$65,3)=0,"OK","ERROR")</f>
        <v>OK</v>
      </c>
      <c r="F66" s="97" t="str">
        <f ca="1">IF(ROUND('Fiscal Forecasts'!F$200-F$65,3)=0,"OK","ERROR")</f>
        <v>OK</v>
      </c>
      <c r="G66" s="97" t="str">
        <f ca="1">IF(ROUND('Fiscal Forecasts'!G$200-G$65,3)=0,"OK","ERROR")</f>
        <v>OK</v>
      </c>
      <c r="H66" s="97" t="str">
        <f ca="1">IF(ROUND('Fiscal Forecasts'!H$200-H$65,3)=0,"OK","ERROR")</f>
        <v>OK</v>
      </c>
      <c r="I66" s="97" t="str">
        <f ca="1">IF(ROUND('Fiscal Forecasts'!I$200-I$65,3)=0,"OK","ERROR")</f>
        <v>OK</v>
      </c>
      <c r="J66" s="97" t="str">
        <f ca="1">IF(ROUND('Fiscal Forecasts'!J$200-J$65,3)=0,"OK","ERROR")</f>
        <v>OK</v>
      </c>
      <c r="K66" s="97" t="str">
        <f ca="1">IF(ROUND('Fiscal Forecasts'!K$200-K$65,3)=0,"OK","ERROR")</f>
        <v>OK</v>
      </c>
      <c r="L66" s="97" t="str">
        <f ca="1">IF(ROUND('Fiscal Forecasts'!L$200-L$65,3)=0,"OK","ERROR")</f>
        <v>OK</v>
      </c>
      <c r="M66" s="97" t="str">
        <f ca="1">IF(ROUND('Fiscal Forecasts'!M$200-M$65,3)=0,"OK","ERROR")</f>
        <v>OK</v>
      </c>
      <c r="N66" s="97" t="str">
        <f ca="1">IF(ROUND('Fiscal Forecasts'!N$200-N$65,3)=0,"OK","ERROR")</f>
        <v>OK</v>
      </c>
      <c r="O66" s="97" t="str">
        <f ca="1">IF(ROUND('Fiscal Forecasts'!O$200-O$65,3)=0,"OK","ERROR")</f>
        <v>OK</v>
      </c>
      <c r="P66" s="97" t="str">
        <f ca="1">IF(ROUND('Fiscal Forecasts'!P$200-P$65,3)=0,"OK","ERROR")</f>
        <v>OK</v>
      </c>
      <c r="Q66" s="17"/>
      <c r="R66" s="17"/>
      <c r="S66" s="17"/>
      <c r="T66" s="17"/>
      <c r="U66" s="17"/>
      <c r="V66" s="17"/>
      <c r="W66" s="17"/>
      <c r="X66" s="17"/>
      <c r="Y66" s="17"/>
      <c r="Z66" s="17"/>
    </row>
    <row r="67" spans="1:26" x14ac:dyDescent="0.25">
      <c r="A67" s="60" t="s">
        <v>1174</v>
      </c>
      <c r="B67" s="14" t="str">
        <f>$B$62</f>
        <v>Projected Years only</v>
      </c>
      <c r="C67" s="15"/>
      <c r="D67" s="89"/>
      <c r="E67" s="89"/>
      <c r="F67" s="89"/>
      <c r="G67" s="89"/>
      <c r="H67" s="89"/>
      <c r="I67" s="89"/>
      <c r="J67" s="89"/>
      <c r="K67" s="89"/>
      <c r="L67" s="66"/>
      <c r="M67" s="66"/>
      <c r="N67" s="66"/>
      <c r="O67" s="66"/>
      <c r="P67" s="66"/>
      <c r="Q67" s="97" t="str">
        <f t="shared" ref="Q67:Z67" ca="1" si="38">IF(ROUND(Q$49-(Q$65-P$65),3)=0,"OK","ERROR")</f>
        <v>OK</v>
      </c>
      <c r="R67" s="97" t="str">
        <f t="shared" ca="1" si="38"/>
        <v>OK</v>
      </c>
      <c r="S67" s="97" t="str">
        <f t="shared" ca="1" si="38"/>
        <v>OK</v>
      </c>
      <c r="T67" s="97" t="str">
        <f t="shared" ca="1" si="38"/>
        <v>OK</v>
      </c>
      <c r="U67" s="97" t="str">
        <f t="shared" ca="1" si="38"/>
        <v>OK</v>
      </c>
      <c r="V67" s="97" t="str">
        <f t="shared" ca="1" si="38"/>
        <v>OK</v>
      </c>
      <c r="W67" s="97" t="str">
        <f t="shared" ca="1" si="38"/>
        <v>OK</v>
      </c>
      <c r="X67" s="97" t="str">
        <f t="shared" ca="1" si="38"/>
        <v>OK</v>
      </c>
      <c r="Y67" s="97" t="str">
        <f t="shared" ca="1" si="38"/>
        <v>OK</v>
      </c>
      <c r="Z67" s="97" t="str">
        <f t="shared" ca="1" si="38"/>
        <v>OK</v>
      </c>
    </row>
    <row r="68" spans="1:26" x14ac:dyDescent="0.25">
      <c r="A68" s="11"/>
      <c r="B68" s="11"/>
      <c r="C68" s="15"/>
      <c r="D68" s="89"/>
      <c r="E68" s="89"/>
      <c r="F68" s="89"/>
      <c r="G68" s="89"/>
      <c r="H68" s="89"/>
      <c r="I68" s="89"/>
      <c r="J68" s="89"/>
      <c r="K68" s="89"/>
      <c r="L68" s="66"/>
      <c r="M68" s="66"/>
      <c r="N68" s="66"/>
      <c r="O68" s="66"/>
      <c r="P68" s="66"/>
      <c r="Q68" s="17"/>
      <c r="R68" s="17"/>
      <c r="S68" s="17"/>
      <c r="T68" s="17"/>
      <c r="U68" s="17"/>
      <c r="V68" s="17"/>
      <c r="W68" s="17"/>
      <c r="X68" s="17"/>
      <c r="Y68" s="17"/>
      <c r="Z68" s="17"/>
    </row>
    <row r="69" spans="1:26" x14ac:dyDescent="0.25">
      <c r="A69" s="57" t="s">
        <v>1175</v>
      </c>
      <c r="B69" s="11"/>
      <c r="C69" s="15"/>
      <c r="D69" s="89"/>
      <c r="E69" s="89"/>
      <c r="F69" s="89"/>
      <c r="G69" s="89"/>
      <c r="H69" s="89"/>
      <c r="I69" s="89"/>
      <c r="J69" s="89"/>
      <c r="K69" s="89"/>
      <c r="L69" s="89"/>
      <c r="M69" s="89"/>
      <c r="N69" s="89"/>
      <c r="O69" s="89"/>
      <c r="P69" s="89"/>
      <c r="Q69" s="15"/>
      <c r="R69" s="15"/>
      <c r="S69" s="15"/>
      <c r="T69" s="15"/>
      <c r="U69" s="15"/>
      <c r="V69" s="15"/>
      <c r="W69" s="15"/>
      <c r="X69" s="15"/>
      <c r="Y69" s="15"/>
      <c r="Z69" s="15"/>
    </row>
    <row r="70" spans="1:26" x14ac:dyDescent="0.25">
      <c r="A70" s="11" t="s">
        <v>1176</v>
      </c>
      <c r="B70" s="14" t="str">
        <f t="shared" ref="B70:B77" si="39">$B$38</f>
        <v>From Fiscal Forecasts</v>
      </c>
      <c r="C70" s="15"/>
      <c r="D70" s="51">
        <f>'Fiscal Forecasts'!D$137</f>
        <v>110.248</v>
      </c>
      <c r="E70" s="51">
        <f>'Fiscal Forecasts'!E$137</f>
        <v>152.71700000000001</v>
      </c>
      <c r="F70" s="51">
        <f>'Fiscal Forecasts'!F$137</f>
        <v>162.56</v>
      </c>
      <c r="G70" s="51">
        <f>'Fiscal Forecasts'!G$137</f>
        <v>203.965</v>
      </c>
      <c r="H70" s="51">
        <f>'Fiscal Forecasts'!H$137</f>
        <v>226.755</v>
      </c>
      <c r="I70" s="51">
        <f>'Fiscal Forecasts'!I$137</f>
        <v>250.94300000000001</v>
      </c>
      <c r="J70" s="51">
        <f>'Fiscal Forecasts'!J$137</f>
        <v>272.08499999999998</v>
      </c>
      <c r="K70" s="51">
        <f>'Fiscal Forecasts'!K$137</f>
        <v>293.99900000000002</v>
      </c>
      <c r="L70" s="47">
        <f>'Fiscal Forecasts'!L$137</f>
        <v>314.43099999999998</v>
      </c>
      <c r="M70" s="47">
        <f>'Fiscal Forecasts'!M$137</f>
        <v>335.178</v>
      </c>
      <c r="N70" s="47">
        <f>'Fiscal Forecasts'!N$137</f>
        <v>350.851</v>
      </c>
      <c r="O70" s="47">
        <f>'Fiscal Forecasts'!O$137</f>
        <v>360.36200000000002</v>
      </c>
      <c r="P70" s="47">
        <f>'Fiscal Forecasts'!P$137</f>
        <v>363.75400000000002</v>
      </c>
      <c r="Q70" s="21">
        <f t="shared" ref="Q70:Z70" ca="1" si="40">SUM(P$70,Q$108)</f>
        <v>369.32048562735855</v>
      </c>
      <c r="R70" s="21">
        <f t="shared" ca="1" si="40"/>
        <v>376.57746025530696</v>
      </c>
      <c r="S70" s="21">
        <f t="shared" ca="1" si="40"/>
        <v>384.49285436066157</v>
      </c>
      <c r="T70" s="21">
        <f t="shared" ca="1" si="40"/>
        <v>392.3743872450172</v>
      </c>
      <c r="U70" s="21">
        <f t="shared" ca="1" si="40"/>
        <v>400.49599826981955</v>
      </c>
      <c r="V70" s="21">
        <f t="shared" ca="1" si="40"/>
        <v>408.99199531068291</v>
      </c>
      <c r="W70" s="21">
        <f t="shared" ca="1" si="40"/>
        <v>417.91082997140899</v>
      </c>
      <c r="X70" s="21">
        <f t="shared" ca="1" si="40"/>
        <v>427.42682241908</v>
      </c>
      <c r="Y70" s="21">
        <f t="shared" ca="1" si="40"/>
        <v>437.60923379712682</v>
      </c>
      <c r="Z70" s="21">
        <f t="shared" ca="1" si="40"/>
        <v>448.67428030486172</v>
      </c>
    </row>
    <row r="71" spans="1:26" x14ac:dyDescent="0.25">
      <c r="A71" s="12" t="s">
        <v>967</v>
      </c>
      <c r="B71" s="14" t="str">
        <f t="shared" si="39"/>
        <v>From Fiscal Forecasts</v>
      </c>
      <c r="C71" s="15"/>
      <c r="D71" s="51">
        <f>'Fiscal Forecasts'!D$147</f>
        <v>91.51</v>
      </c>
      <c r="E71" s="51">
        <f>'Fiscal Forecasts'!E$147</f>
        <v>126.34099999999999</v>
      </c>
      <c r="F71" s="51">
        <f>'Fiscal Forecasts'!F$147</f>
        <v>132.54300000000001</v>
      </c>
      <c r="G71" s="51">
        <f>'Fiscal Forecasts'!G$147</f>
        <v>168.98599999999999</v>
      </c>
      <c r="H71" s="51">
        <f>'Fiscal Forecasts'!H$147</f>
        <v>191.029</v>
      </c>
      <c r="I71" s="51">
        <f>'Fiscal Forecasts'!I$147</f>
        <v>216.34899999999999</v>
      </c>
      <c r="J71" s="51">
        <f>'Fiscal Forecasts'!J$147</f>
        <v>238.96700000000001</v>
      </c>
      <c r="K71" s="51">
        <f>'Fiscal Forecasts'!K$147</f>
        <v>256.83699999999999</v>
      </c>
      <c r="L71" s="47">
        <f>'Fiscal Forecasts'!L$147</f>
        <v>272.78500000000003</v>
      </c>
      <c r="M71" s="47">
        <f>'Fiscal Forecasts'!M$147</f>
        <v>288.827</v>
      </c>
      <c r="N71" s="47">
        <f>'Fiscal Forecasts'!N$147</f>
        <v>299.25400000000002</v>
      </c>
      <c r="O71" s="47">
        <f>'Fiscal Forecasts'!O$147</f>
        <v>302.637</v>
      </c>
      <c r="P71" s="47">
        <f>'Fiscal Forecasts'!P$147</f>
        <v>298.476</v>
      </c>
      <c r="Q71" s="21">
        <f t="shared" ref="Q71:Z71" ca="1" si="41">SUM(P$71,Q$503)</f>
        <v>298.97000736222935</v>
      </c>
      <c r="R71" s="21">
        <f t="shared" ca="1" si="41"/>
        <v>301.1945813023263</v>
      </c>
      <c r="S71" s="21">
        <f t="shared" ca="1" si="41"/>
        <v>304.05408857706038</v>
      </c>
      <c r="T71" s="21">
        <f t="shared" ca="1" si="41"/>
        <v>307.05472959556448</v>
      </c>
      <c r="U71" s="21">
        <f t="shared" ca="1" si="41"/>
        <v>310.40600793557536</v>
      </c>
      <c r="V71" s="21">
        <f t="shared" ca="1" si="41"/>
        <v>314.07764264657857</v>
      </c>
      <c r="W71" s="21">
        <f t="shared" ca="1" si="41"/>
        <v>318.13060452567885</v>
      </c>
      <c r="X71" s="21">
        <f t="shared" ca="1" si="41"/>
        <v>322.68688660417473</v>
      </c>
      <c r="Y71" s="21">
        <f t="shared" ca="1" si="41"/>
        <v>327.86622247713916</v>
      </c>
      <c r="Z71" s="21">
        <f t="shared" ca="1" si="41"/>
        <v>333.80977912350539</v>
      </c>
    </row>
    <row r="72" spans="1:26" x14ac:dyDescent="0.25">
      <c r="A72" s="12" t="s">
        <v>968</v>
      </c>
      <c r="B72" s="14" t="str">
        <f t="shared" si="39"/>
        <v>From Fiscal Forecasts</v>
      </c>
      <c r="C72" s="15"/>
      <c r="D72" s="50">
        <f>'Fiscal Forecasts'!D$148</f>
        <v>0.251</v>
      </c>
      <c r="E72" s="50">
        <f>'Fiscal Forecasts'!E$148</f>
        <v>5.5E-2</v>
      </c>
      <c r="F72" s="50">
        <f>'Fiscal Forecasts'!F$148</f>
        <v>2.1000000000000001E-2</v>
      </c>
      <c r="G72" s="50">
        <f>'Fiscal Forecasts'!G$148</f>
        <v>0.20799999999999999</v>
      </c>
      <c r="H72" s="50">
        <f>'Fiscal Forecasts'!H$148</f>
        <v>0.96199999999999997</v>
      </c>
      <c r="I72" s="50">
        <f>'Fiscal Forecasts'!I$148</f>
        <v>0.84699999999999998</v>
      </c>
      <c r="J72" s="50">
        <f>'Fiscal Forecasts'!J$148</f>
        <v>0.46700000000000003</v>
      </c>
      <c r="K72" s="50">
        <f>'Fiscal Forecasts'!K$148</f>
        <v>0.50700000000000001</v>
      </c>
      <c r="L72" s="48">
        <f>'Fiscal Forecasts'!L$148</f>
        <v>0.42099999999999999</v>
      </c>
      <c r="M72" s="48">
        <f>'Fiscal Forecasts'!M$148</f>
        <v>1.792</v>
      </c>
      <c r="N72" s="48">
        <f>'Fiscal Forecasts'!N$148</f>
        <v>1.0980000000000001</v>
      </c>
      <c r="O72" s="48">
        <f>'Fiscal Forecasts'!O$148</f>
        <v>0.76200000000000001</v>
      </c>
      <c r="P72" s="48">
        <f>'Fiscal Forecasts'!P$148</f>
        <v>0.60799999999999998</v>
      </c>
      <c r="Q72" s="20">
        <f t="shared" ref="Q72:Z72" ca="1" si="42">P$72*(1+Q$29)</f>
        <v>0.62016000000000004</v>
      </c>
      <c r="R72" s="20">
        <f t="shared" ca="1" si="42"/>
        <v>0.6325632000000001</v>
      </c>
      <c r="S72" s="20">
        <f t="shared" ca="1" si="42"/>
        <v>0.64521446400000015</v>
      </c>
      <c r="T72" s="20">
        <f t="shared" ca="1" si="42"/>
        <v>0.65811875328000013</v>
      </c>
      <c r="U72" s="20">
        <f t="shared" ca="1" si="42"/>
        <v>0.67128112834560016</v>
      </c>
      <c r="V72" s="20">
        <f t="shared" ca="1" si="42"/>
        <v>0.68470675091251221</v>
      </c>
      <c r="W72" s="20">
        <f t="shared" ca="1" si="42"/>
        <v>0.69840088593076244</v>
      </c>
      <c r="X72" s="20">
        <f t="shared" ca="1" si="42"/>
        <v>0.71236890364937766</v>
      </c>
      <c r="Y72" s="20">
        <f t="shared" ca="1" si="42"/>
        <v>0.72661628172236525</v>
      </c>
      <c r="Z72" s="20">
        <f t="shared" ca="1" si="42"/>
        <v>0.74114860735681254</v>
      </c>
    </row>
    <row r="73" spans="1:26" x14ac:dyDescent="0.25">
      <c r="A73" s="12" t="s">
        <v>1177</v>
      </c>
      <c r="B73" s="14" t="str">
        <f t="shared" si="39"/>
        <v>From Fiscal Forecasts</v>
      </c>
      <c r="C73" s="15"/>
      <c r="D73" s="50">
        <f>'Fiscal Forecasts'!D$149</f>
        <v>0.90300000000000002</v>
      </c>
      <c r="E73" s="50">
        <f>'Fiscal Forecasts'!E$149</f>
        <v>2.6749999999999998</v>
      </c>
      <c r="F73" s="50">
        <f>'Fiscal Forecasts'!F$149</f>
        <v>2.2170000000000001</v>
      </c>
      <c r="G73" s="50">
        <f>'Fiscal Forecasts'!G$149</f>
        <v>9.99</v>
      </c>
      <c r="H73" s="50">
        <f>'Fiscal Forecasts'!H$149</f>
        <v>3.093</v>
      </c>
      <c r="I73" s="50">
        <f>'Fiscal Forecasts'!I$149</f>
        <v>2.754</v>
      </c>
      <c r="J73" s="50">
        <f>'Fiscal Forecasts'!J$149</f>
        <v>2.7149999999999999</v>
      </c>
      <c r="K73" s="50">
        <f>'Fiscal Forecasts'!K$149</f>
        <v>4.415</v>
      </c>
      <c r="L73" s="48">
        <f>'Fiscal Forecasts'!L$149</f>
        <v>4.3499999999999996</v>
      </c>
      <c r="M73" s="48">
        <f>'Fiscal Forecasts'!M$149</f>
        <v>5.7210000000000001</v>
      </c>
      <c r="N73" s="48">
        <f>'Fiscal Forecasts'!N$149</f>
        <v>5.0469999999999997</v>
      </c>
      <c r="O73" s="48">
        <f>'Fiscal Forecasts'!O$149</f>
        <v>4.7359999999999998</v>
      </c>
      <c r="P73" s="48">
        <f>'Fiscal Forecasts'!P$149</f>
        <v>4.5789999999999997</v>
      </c>
      <c r="Q73" s="20">
        <f ca="1">OFFSET(Assumptions!$B$54,0,$C$1)*Q$385</f>
        <v>4.7568455514746164</v>
      </c>
      <c r="R73" s="20">
        <f ca="1">OFFSET(Assumptions!$B$54,0,$C$1)*R$385</f>
        <v>5.0458367829519233</v>
      </c>
      <c r="S73" s="20">
        <f ca="1">OFFSET(Assumptions!$B$54,0,$C$1)*S$385</f>
        <v>5.3465925868654764</v>
      </c>
      <c r="T73" s="20">
        <f ca="1">OFFSET(Assumptions!$B$54,0,$C$1)*T$385</f>
        <v>5.6601489194473302</v>
      </c>
      <c r="U73" s="20">
        <f ca="1">OFFSET(Assumptions!$B$54,0,$C$1)*U$385</f>
        <v>5.9852929840667644</v>
      </c>
      <c r="V73" s="20">
        <f ca="1">OFFSET(Assumptions!$B$54,0,$C$1)*V$385</f>
        <v>6.3240860466159106</v>
      </c>
      <c r="W73" s="20">
        <f ca="1">OFFSET(Assumptions!$B$54,0,$C$1)*W$385</f>
        <v>6.6798401572095205</v>
      </c>
      <c r="X73" s="20">
        <f ca="1">OFFSET(Assumptions!$B$54,0,$C$1)*X$385</f>
        <v>7.056074575576182</v>
      </c>
      <c r="Y73" s="20">
        <f ca="1">OFFSET(Assumptions!$B$54,0,$C$1)*Y$385</f>
        <v>7.4575069938944782</v>
      </c>
      <c r="Z73" s="20">
        <f ca="1">OFFSET(Assumptions!$B$54,0,$C$1)*Z$385</f>
        <v>7.8884002076615136</v>
      </c>
    </row>
    <row r="74" spans="1:26" x14ac:dyDescent="0.25">
      <c r="A74" s="12" t="s">
        <v>1178</v>
      </c>
      <c r="B74" s="14" t="str">
        <f t="shared" si="39"/>
        <v>From Fiscal Forecasts</v>
      </c>
      <c r="C74" s="15"/>
      <c r="D74" s="50">
        <f>'Fiscal Forecasts'!D$150</f>
        <v>92.590999999999994</v>
      </c>
      <c r="E74" s="50">
        <f>'Fiscal Forecasts'!E$150</f>
        <v>101.77800000000001</v>
      </c>
      <c r="F74" s="50">
        <f>'Fiscal Forecasts'!F$150</f>
        <v>108.423</v>
      </c>
      <c r="G74" s="50">
        <f>'Fiscal Forecasts'!G$150</f>
        <v>121.13800000000001</v>
      </c>
      <c r="H74" s="50">
        <f>'Fiscal Forecasts'!H$150</f>
        <v>135.595</v>
      </c>
      <c r="I74" s="50">
        <f>'Fiscal Forecasts'!I$150</f>
        <v>154.9</v>
      </c>
      <c r="J74" s="50">
        <f>'Fiscal Forecasts'!J$150</f>
        <v>173.536</v>
      </c>
      <c r="K74" s="50">
        <f>'Fiscal Forecasts'!K$150</f>
        <v>187.077</v>
      </c>
      <c r="L74" s="48">
        <f>'Fiscal Forecasts'!L$150</f>
        <v>192.446</v>
      </c>
      <c r="M74" s="48">
        <f>'Fiscal Forecasts'!M$150</f>
        <v>204.63399999999999</v>
      </c>
      <c r="N74" s="48">
        <f>'Fiscal Forecasts'!N$150</f>
        <v>215.44399999999999</v>
      </c>
      <c r="O74" s="48">
        <f>'Fiscal Forecasts'!O$150</f>
        <v>225.17400000000001</v>
      </c>
      <c r="P74" s="48">
        <f>'Fiscal Forecasts'!P$150</f>
        <v>231.40600000000001</v>
      </c>
      <c r="Q74" s="20">
        <f t="shared" ref="Q74:Z74" ca="1" si="43">SUM(Q$346,Q$359,Q$368,Q$388,Q$394)</f>
        <v>242.74716228350877</v>
      </c>
      <c r="R74" s="20">
        <f t="shared" ca="1" si="43"/>
        <v>254.59340411443225</v>
      </c>
      <c r="S74" s="20">
        <f t="shared" ca="1" si="43"/>
        <v>266.86661622051332</v>
      </c>
      <c r="T74" s="20">
        <f t="shared" ca="1" si="43"/>
        <v>279.58555031778002</v>
      </c>
      <c r="U74" s="20">
        <f t="shared" ca="1" si="43"/>
        <v>292.75058109283373</v>
      </c>
      <c r="V74" s="20">
        <f t="shared" ca="1" si="43"/>
        <v>306.42947780044068</v>
      </c>
      <c r="W74" s="20">
        <f t="shared" ca="1" si="43"/>
        <v>320.70143799011407</v>
      </c>
      <c r="X74" s="20">
        <f t="shared" ca="1" si="43"/>
        <v>335.68138407285397</v>
      </c>
      <c r="Y74" s="20">
        <f t="shared" ca="1" si="43"/>
        <v>351.53260955133226</v>
      </c>
      <c r="Z74" s="20">
        <f t="shared" ca="1" si="43"/>
        <v>368.38126568000575</v>
      </c>
    </row>
    <row r="75" spans="1:26" x14ac:dyDescent="0.25">
      <c r="A75" s="12" t="s">
        <v>1179</v>
      </c>
      <c r="B75" s="14" t="str">
        <f t="shared" si="39"/>
        <v>From Fiscal Forecasts</v>
      </c>
      <c r="C75" s="15"/>
      <c r="D75" s="50">
        <f>'Fiscal Forecasts'!D$151</f>
        <v>0.66900000000000004</v>
      </c>
      <c r="E75" s="50">
        <f>'Fiscal Forecasts'!E$151</f>
        <v>1.9E-2</v>
      </c>
      <c r="F75" s="50">
        <f>'Fiscal Forecasts'!F$151</f>
        <v>5.6000000000000001E-2</v>
      </c>
      <c r="G75" s="50">
        <f>'Fiscal Forecasts'!G$151</f>
        <v>0.55100000000000005</v>
      </c>
      <c r="H75" s="50">
        <f>'Fiscal Forecasts'!H$151</f>
        <v>2.5649999999999999</v>
      </c>
      <c r="I75" s="50">
        <f>'Fiscal Forecasts'!I$151</f>
        <v>3.278</v>
      </c>
      <c r="J75" s="50">
        <f>'Fiscal Forecasts'!J$151</f>
        <v>2.2450000000000001</v>
      </c>
      <c r="K75" s="50">
        <f>'Fiscal Forecasts'!K$151</f>
        <v>5.1029999999999998</v>
      </c>
      <c r="L75" s="48">
        <f>'Fiscal Forecasts'!L$151</f>
        <v>2.6880000000000002</v>
      </c>
      <c r="M75" s="48">
        <f>'Fiscal Forecasts'!M$151</f>
        <v>2.7130000000000001</v>
      </c>
      <c r="N75" s="48">
        <f>'Fiscal Forecasts'!N$151</f>
        <v>2.738</v>
      </c>
      <c r="O75" s="48">
        <f>'Fiscal Forecasts'!O$151</f>
        <v>2.7669999999999999</v>
      </c>
      <c r="P75" s="48">
        <f>'Fiscal Forecasts'!P$151</f>
        <v>2.7970000000000002</v>
      </c>
      <c r="Q75" s="20">
        <f t="shared" ref="Q75:Z75" ca="1" si="44">P$75*(1+Q$29)</f>
        <v>2.8529400000000003</v>
      </c>
      <c r="R75" s="20">
        <f t="shared" ca="1" si="44"/>
        <v>2.9099988000000003</v>
      </c>
      <c r="S75" s="20">
        <f t="shared" ca="1" si="44"/>
        <v>2.9681987760000004</v>
      </c>
      <c r="T75" s="20">
        <f t="shared" ca="1" si="44"/>
        <v>3.0275627515200005</v>
      </c>
      <c r="U75" s="20">
        <f t="shared" ca="1" si="44"/>
        <v>3.0881140065504007</v>
      </c>
      <c r="V75" s="20">
        <f t="shared" ca="1" si="44"/>
        <v>3.1498762866814087</v>
      </c>
      <c r="W75" s="20">
        <f t="shared" ca="1" si="44"/>
        <v>3.2128738124150371</v>
      </c>
      <c r="X75" s="20">
        <f t="shared" ca="1" si="44"/>
        <v>3.2771312886633379</v>
      </c>
      <c r="Y75" s="20">
        <f t="shared" ca="1" si="44"/>
        <v>3.3426739144366047</v>
      </c>
      <c r="Z75" s="20">
        <f t="shared" ca="1" si="44"/>
        <v>3.4095273927253369</v>
      </c>
    </row>
    <row r="76" spans="1:26" x14ac:dyDescent="0.25">
      <c r="A76" s="12" t="s">
        <v>972</v>
      </c>
      <c r="B76" s="14" t="str">
        <f t="shared" si="39"/>
        <v>From Fiscal Forecasts</v>
      </c>
      <c r="C76" s="15"/>
      <c r="D76" s="50">
        <f>'Fiscal Forecasts'!D$152</f>
        <v>46.292999999999999</v>
      </c>
      <c r="E76" s="50">
        <f>'Fiscal Forecasts'!E$152</f>
        <v>46.895000000000003</v>
      </c>
      <c r="F76" s="50">
        <f>'Fiscal Forecasts'!F$152</f>
        <v>61.483999999999995</v>
      </c>
      <c r="G76" s="50">
        <f>'Fiscal Forecasts'!G$152</f>
        <v>65.254999999999995</v>
      </c>
      <c r="H76" s="50">
        <f>'Fiscal Forecasts'!H$152</f>
        <v>67.994000000000014</v>
      </c>
      <c r="I76" s="50">
        <f>'Fiscal Forecasts'!I$152</f>
        <v>78.811999999999998</v>
      </c>
      <c r="J76" s="50">
        <f>'Fiscal Forecasts'!J$152</f>
        <v>86.921999999999997</v>
      </c>
      <c r="K76" s="50">
        <f>'Fiscal Forecasts'!K$152</f>
        <v>98.022999999999996</v>
      </c>
      <c r="L76" s="48">
        <f>'Fiscal Forecasts'!L$152</f>
        <v>105.09699999999999</v>
      </c>
      <c r="M76" s="48">
        <f>'Fiscal Forecasts'!M$152</f>
        <v>112.59399999999999</v>
      </c>
      <c r="N76" s="48">
        <f>'Fiscal Forecasts'!N$152</f>
        <v>118.619</v>
      </c>
      <c r="O76" s="48">
        <f>'Fiscal Forecasts'!O$152</f>
        <v>125.54</v>
      </c>
      <c r="P76" s="48">
        <f>'Fiscal Forecasts'!P$152</f>
        <v>133.102</v>
      </c>
      <c r="Q76" s="20">
        <f t="shared" ref="Q76:Z76" ca="1" si="45">SUM(Q$344,Q$357,Q$366,Q$388,Q$391,Q$75-Q$72)</f>
        <v>141.17895341413401</v>
      </c>
      <c r="R76" s="20">
        <f t="shared" ca="1" si="45"/>
        <v>149.69868256050586</v>
      </c>
      <c r="S76" s="20">
        <f t="shared" ca="1" si="45"/>
        <v>158.56431742057208</v>
      </c>
      <c r="T76" s="20">
        <f t="shared" ca="1" si="45"/>
        <v>167.80625672734377</v>
      </c>
      <c r="U76" s="20">
        <f t="shared" ca="1" si="45"/>
        <v>177.38895173659665</v>
      </c>
      <c r="V76" s="20">
        <f t="shared" ca="1" si="45"/>
        <v>187.37287054807871</v>
      </c>
      <c r="W76" s="20">
        <f t="shared" ca="1" si="45"/>
        <v>197.85516263638252</v>
      </c>
      <c r="X76" s="20">
        <f t="shared" ca="1" si="45"/>
        <v>208.93905456801838</v>
      </c>
      <c r="Y76" s="20">
        <f t="shared" ca="1" si="45"/>
        <v>220.76291901013278</v>
      </c>
      <c r="Z76" s="20">
        <f t="shared" ca="1" si="45"/>
        <v>233.4517885405358</v>
      </c>
    </row>
    <row r="77" spans="1:26" x14ac:dyDescent="0.25">
      <c r="A77" s="12" t="s">
        <v>973</v>
      </c>
      <c r="B77" s="14" t="str">
        <f t="shared" si="39"/>
        <v>From Fiscal Forecasts</v>
      </c>
      <c r="C77" s="15"/>
      <c r="D77" s="50">
        <f>'Fiscal Forecasts'!D$153</f>
        <v>13.845000000000001</v>
      </c>
      <c r="E77" s="50">
        <f>'Fiscal Forecasts'!E$153</f>
        <v>14.555999999999999</v>
      </c>
      <c r="F77" s="50">
        <f>'Fiscal Forecasts'!F$153</f>
        <v>18.728000000000002</v>
      </c>
      <c r="G77" s="50">
        <f>'Fiscal Forecasts'!G$153</f>
        <v>26.103000000000002</v>
      </c>
      <c r="H77" s="50">
        <f>'Fiscal Forecasts'!H$153</f>
        <v>36.540999999999997</v>
      </c>
      <c r="I77" s="50">
        <f>'Fiscal Forecasts'!I$153</f>
        <v>40.387999999999998</v>
      </c>
      <c r="J77" s="50">
        <f>'Fiscal Forecasts'!J$153</f>
        <v>34.311</v>
      </c>
      <c r="K77" s="50">
        <f>'Fiscal Forecasts'!K$153</f>
        <v>27.931000000000001</v>
      </c>
      <c r="L77" s="48">
        <f>'Fiscal Forecasts'!L$153</f>
        <v>30.812000000000001</v>
      </c>
      <c r="M77" s="48">
        <f>'Fiscal Forecasts'!M$153</f>
        <v>32.81</v>
      </c>
      <c r="N77" s="48">
        <f>'Fiscal Forecasts'!N$153</f>
        <v>34.792000000000002</v>
      </c>
      <c r="O77" s="48">
        <f>'Fiscal Forecasts'!O$153</f>
        <v>36.500999999999998</v>
      </c>
      <c r="P77" s="48">
        <f>'Fiscal Forecasts'!P$153</f>
        <v>36.365000000000002</v>
      </c>
      <c r="Q77" s="20">
        <f t="shared" ref="Q77:Z77" ca="1" si="46">SUM(Q$392:Q$393)</f>
        <v>36.881439999999998</v>
      </c>
      <c r="R77" s="20">
        <f t="shared" ca="1" si="46"/>
        <v>37.404168800000001</v>
      </c>
      <c r="S77" s="20">
        <f t="shared" ca="1" si="46"/>
        <v>37.933392176000005</v>
      </c>
      <c r="T77" s="20">
        <f t="shared" ca="1" si="46"/>
        <v>38.464320019520002</v>
      </c>
      <c r="U77" s="20">
        <f t="shared" ca="1" si="46"/>
        <v>38.997166419910407</v>
      </c>
      <c r="V77" s="20">
        <f t="shared" ca="1" si="46"/>
        <v>39.538149748308612</v>
      </c>
      <c r="W77" s="20">
        <f t="shared" ca="1" si="46"/>
        <v>40.085492743274791</v>
      </c>
      <c r="X77" s="20">
        <f t="shared" ca="1" si="46"/>
        <v>40.645422598140286</v>
      </c>
      <c r="Y77" s="20">
        <f t="shared" ca="1" si="46"/>
        <v>41.225171050103093</v>
      </c>
      <c r="Z77" s="20">
        <f t="shared" ca="1" si="46"/>
        <v>41.824974471105158</v>
      </c>
    </row>
    <row r="78" spans="1:26" x14ac:dyDescent="0.25">
      <c r="A78" s="11" t="s">
        <v>1180</v>
      </c>
      <c r="B78" s="11"/>
      <c r="C78" s="15"/>
      <c r="D78" s="94">
        <f t="shared" ref="D78:Z78" si="47">SUM(D$71,D$72,D$76,D$77)-SUM(D$73,D$74,D$75)</f>
        <v>57.736000000000004</v>
      </c>
      <c r="E78" s="94">
        <f t="shared" si="47"/>
        <v>83.375</v>
      </c>
      <c r="F78" s="94">
        <f t="shared" si="47"/>
        <v>102.08000000000001</v>
      </c>
      <c r="G78" s="94">
        <f t="shared" si="47"/>
        <v>128.87299999999996</v>
      </c>
      <c r="H78" s="94">
        <f t="shared" si="47"/>
        <v>155.27300000000002</v>
      </c>
      <c r="I78" s="94">
        <f t="shared" si="47"/>
        <v>175.46399999999997</v>
      </c>
      <c r="J78" s="94">
        <f t="shared" si="47"/>
        <v>182.17099999999996</v>
      </c>
      <c r="K78" s="94">
        <f t="shared" si="47"/>
        <v>186.70299999999995</v>
      </c>
      <c r="L78" s="95">
        <f t="shared" si="47"/>
        <v>209.63100000000003</v>
      </c>
      <c r="M78" s="95">
        <f t="shared" si="47"/>
        <v>222.95499999999998</v>
      </c>
      <c r="N78" s="95">
        <f t="shared" si="47"/>
        <v>230.53400000000005</v>
      </c>
      <c r="O78" s="95">
        <f t="shared" si="47"/>
        <v>232.76300000000001</v>
      </c>
      <c r="P78" s="95">
        <f t="shared" si="47"/>
        <v>229.76900000000003</v>
      </c>
      <c r="Q78" s="99">
        <f t="shared" ca="1" si="47"/>
        <v>227.29361294137999</v>
      </c>
      <c r="R78" s="99">
        <f t="shared" ca="1" si="47"/>
        <v>226.38075616544796</v>
      </c>
      <c r="S78" s="99">
        <f t="shared" ca="1" si="47"/>
        <v>226.01560505425363</v>
      </c>
      <c r="T78" s="99">
        <f t="shared" ca="1" si="47"/>
        <v>225.71016310696081</v>
      </c>
      <c r="U78" s="99">
        <f t="shared" ca="1" si="47"/>
        <v>225.63941913697715</v>
      </c>
      <c r="V78" s="99">
        <f t="shared" ca="1" si="47"/>
        <v>225.76992956014038</v>
      </c>
      <c r="W78" s="99">
        <f t="shared" ca="1" si="47"/>
        <v>226.1755088315283</v>
      </c>
      <c r="X78" s="99">
        <f t="shared" ca="1" si="47"/>
        <v>226.9691427368893</v>
      </c>
      <c r="Y78" s="99">
        <f t="shared" ca="1" si="47"/>
        <v>228.24813835943405</v>
      </c>
      <c r="Z78" s="99">
        <f t="shared" ca="1" si="47"/>
        <v>230.14849746211053</v>
      </c>
    </row>
    <row r="79" spans="1:26" x14ac:dyDescent="0.25">
      <c r="A79" s="12" t="s">
        <v>975</v>
      </c>
      <c r="B79" s="14" t="str">
        <f>$B$38</f>
        <v>From Fiscal Forecasts</v>
      </c>
      <c r="C79" s="15"/>
      <c r="D79" s="50">
        <f>'Fiscal Forecasts'!D$155</f>
        <v>6.931</v>
      </c>
      <c r="E79" s="50">
        <f>'Fiscal Forecasts'!E$155</f>
        <v>11.111000000000001</v>
      </c>
      <c r="F79" s="50">
        <f>'Fiscal Forecasts'!F$155</f>
        <v>11.836</v>
      </c>
      <c r="G79" s="50">
        <f>'Fiscal Forecasts'!G$155</f>
        <v>14.345000000000001</v>
      </c>
      <c r="H79" s="50">
        <f>'Fiscal Forecasts'!H$155</f>
        <v>48.11</v>
      </c>
      <c r="I79" s="50">
        <f>'Fiscal Forecasts'!I$155</f>
        <v>56.47</v>
      </c>
      <c r="J79" s="50">
        <f>'Fiscal Forecasts'!J$155</f>
        <v>61.85</v>
      </c>
      <c r="K79" s="50">
        <f>'Fiscal Forecasts'!K$155</f>
        <v>66.849000000000004</v>
      </c>
      <c r="L79" s="48">
        <f>'Fiscal Forecasts'!L$155</f>
        <v>72.600999999999999</v>
      </c>
      <c r="M79" s="48">
        <f>'Fiscal Forecasts'!M$155</f>
        <v>78.403000000000006</v>
      </c>
      <c r="N79" s="48">
        <f>'Fiscal Forecasts'!N$155</f>
        <v>84.54</v>
      </c>
      <c r="O79" s="48">
        <f>'Fiscal Forecasts'!O$155</f>
        <v>91.457999999999998</v>
      </c>
      <c r="P79" s="48">
        <f>'Fiscal Forecasts'!P$155</f>
        <v>97.852999999999994</v>
      </c>
      <c r="Q79" s="20">
        <f t="shared" ref="Q79:Z79" ca="1" si="48">P$79+Q$80-P$80</f>
        <v>100.62866009477827</v>
      </c>
      <c r="R79" s="20">
        <f t="shared" ca="1" si="48"/>
        <v>103.46088699805713</v>
      </c>
      <c r="S79" s="20">
        <f t="shared" ca="1" si="48"/>
        <v>106.36814748235437</v>
      </c>
      <c r="T79" s="20">
        <f t="shared" ca="1" si="48"/>
        <v>109.3436414274905</v>
      </c>
      <c r="U79" s="20">
        <f t="shared" ca="1" si="48"/>
        <v>112.42289304238348</v>
      </c>
      <c r="V79" s="20">
        <f t="shared" ca="1" si="48"/>
        <v>115.60699742608826</v>
      </c>
      <c r="W79" s="20">
        <f t="shared" ca="1" si="48"/>
        <v>118.87989082463154</v>
      </c>
      <c r="X79" s="20">
        <f t="shared" ca="1" si="48"/>
        <v>122.24702998763811</v>
      </c>
      <c r="Y79" s="20">
        <f t="shared" ca="1" si="48"/>
        <v>125.72602294076746</v>
      </c>
      <c r="Z79" s="20">
        <f t="shared" ca="1" si="48"/>
        <v>129.3177669681636</v>
      </c>
    </row>
    <row r="80" spans="1:26" x14ac:dyDescent="0.25">
      <c r="A80" s="12" t="s">
        <v>1181</v>
      </c>
      <c r="B80" s="14" t="str">
        <f>$B$38</f>
        <v>From Fiscal Forecasts</v>
      </c>
      <c r="C80" s="15"/>
      <c r="D80" s="50">
        <f>'Fiscal Forecasts'!D$156</f>
        <v>0</v>
      </c>
      <c r="E80" s="50">
        <f>'Fiscal Forecasts'!E$156</f>
        <v>0</v>
      </c>
      <c r="F80" s="50">
        <f>'Fiscal Forecasts'!F$156</f>
        <v>0</v>
      </c>
      <c r="G80" s="50">
        <f>'Fiscal Forecasts'!G$156</f>
        <v>0</v>
      </c>
      <c r="H80" s="50">
        <f>'Fiscal Forecasts'!H$156</f>
        <v>30.574000000000002</v>
      </c>
      <c r="I80" s="50">
        <f>'Fiscal Forecasts'!I$156</f>
        <v>33.290999999999997</v>
      </c>
      <c r="J80" s="50">
        <f>'Fiscal Forecasts'!J$156</f>
        <v>36.783999999999999</v>
      </c>
      <c r="K80" s="50">
        <f>'Fiscal Forecasts'!K$156</f>
        <v>40.920999999999999</v>
      </c>
      <c r="L80" s="48">
        <f>'Fiscal Forecasts'!L$156</f>
        <v>44.921999999999997</v>
      </c>
      <c r="M80" s="48">
        <f>'Fiscal Forecasts'!M$156</f>
        <v>49.701000000000001</v>
      </c>
      <c r="N80" s="48">
        <f>'Fiscal Forecasts'!N$156</f>
        <v>55.195999999999998</v>
      </c>
      <c r="O80" s="48">
        <f>'Fiscal Forecasts'!O$156</f>
        <v>61.332999999999998</v>
      </c>
      <c r="P80" s="48">
        <f>'Fiscal Forecasts'!P$156</f>
        <v>67.436000000000007</v>
      </c>
      <c r="Q80" s="20">
        <f t="shared" ref="Q80:Z80" ca="1" si="49">P$80+Q$395-P$395</f>
        <v>70.211660094778296</v>
      </c>
      <c r="R80" s="20">
        <f t="shared" ca="1" si="49"/>
        <v>73.043886998057161</v>
      </c>
      <c r="S80" s="20">
        <f t="shared" ca="1" si="49"/>
        <v>75.951147482354401</v>
      </c>
      <c r="T80" s="20">
        <f t="shared" ca="1" si="49"/>
        <v>78.926641427490537</v>
      </c>
      <c r="U80" s="20">
        <f t="shared" ca="1" si="49"/>
        <v>82.005893042383505</v>
      </c>
      <c r="V80" s="20">
        <f t="shared" ca="1" si="49"/>
        <v>85.189997426088283</v>
      </c>
      <c r="W80" s="20">
        <f t="shared" ca="1" si="49"/>
        <v>88.462890824631586</v>
      </c>
      <c r="X80" s="20">
        <f t="shared" ca="1" si="49"/>
        <v>91.830029987638156</v>
      </c>
      <c r="Y80" s="20">
        <f t="shared" ca="1" si="49"/>
        <v>95.30902294076752</v>
      </c>
      <c r="Z80" s="20">
        <f t="shared" ca="1" si="49"/>
        <v>98.900766968163651</v>
      </c>
    </row>
    <row r="81" spans="1:26" x14ac:dyDescent="0.25">
      <c r="A81" s="11" t="s">
        <v>856</v>
      </c>
      <c r="B81" s="11"/>
      <c r="C81" s="15"/>
      <c r="D81" s="94">
        <f t="shared" ref="D81:Z81" si="50">SUM(D$78,D$79)-SUM(D$77,D$80)</f>
        <v>50.822000000000003</v>
      </c>
      <c r="E81" s="94">
        <f t="shared" si="50"/>
        <v>79.930000000000007</v>
      </c>
      <c r="F81" s="94">
        <f t="shared" si="50"/>
        <v>95.188000000000017</v>
      </c>
      <c r="G81" s="94">
        <f t="shared" si="50"/>
        <v>117.11499999999995</v>
      </c>
      <c r="H81" s="94">
        <f t="shared" si="50"/>
        <v>136.26800000000003</v>
      </c>
      <c r="I81" s="94">
        <f t="shared" si="50"/>
        <v>158.25499999999997</v>
      </c>
      <c r="J81" s="94">
        <f t="shared" si="50"/>
        <v>172.92599999999996</v>
      </c>
      <c r="K81" s="94">
        <f t="shared" si="50"/>
        <v>184.69999999999996</v>
      </c>
      <c r="L81" s="95">
        <f t="shared" si="50"/>
        <v>206.49800000000005</v>
      </c>
      <c r="M81" s="95">
        <f t="shared" si="50"/>
        <v>218.84700000000001</v>
      </c>
      <c r="N81" s="95">
        <f t="shared" si="50"/>
        <v>225.08600000000007</v>
      </c>
      <c r="O81" s="95">
        <f t="shared" si="50"/>
        <v>226.387</v>
      </c>
      <c r="P81" s="95">
        <f t="shared" si="50"/>
        <v>223.821</v>
      </c>
      <c r="Q81" s="99">
        <f t="shared" ca="1" si="50"/>
        <v>220.82917294137994</v>
      </c>
      <c r="R81" s="99">
        <f t="shared" ca="1" si="50"/>
        <v>219.3935873654479</v>
      </c>
      <c r="S81" s="99">
        <f t="shared" ca="1" si="50"/>
        <v>218.49921287825356</v>
      </c>
      <c r="T81" s="99">
        <f t="shared" ca="1" si="50"/>
        <v>217.66284308744073</v>
      </c>
      <c r="U81" s="99">
        <f t="shared" ca="1" si="50"/>
        <v>217.0592527170667</v>
      </c>
      <c r="V81" s="99">
        <f t="shared" ca="1" si="50"/>
        <v>216.64877981183173</v>
      </c>
      <c r="W81" s="99">
        <f t="shared" ca="1" si="50"/>
        <v>216.50701608825349</v>
      </c>
      <c r="X81" s="99">
        <f t="shared" ca="1" si="50"/>
        <v>216.74072013874894</v>
      </c>
      <c r="Y81" s="99">
        <f t="shared" ca="1" si="50"/>
        <v>217.43996730933088</v>
      </c>
      <c r="Z81" s="99">
        <f t="shared" ca="1" si="50"/>
        <v>218.74052299100532</v>
      </c>
    </row>
    <row r="82" spans="1:26" x14ac:dyDescent="0.25">
      <c r="A82" s="11" t="s">
        <v>746</v>
      </c>
      <c r="B82" s="11"/>
      <c r="C82" s="15"/>
      <c r="D82" s="94">
        <f t="shared" ref="D82:Z82" si="51">SUM(D$81,D$73)-D$76</f>
        <v>5.4320000000000022</v>
      </c>
      <c r="E82" s="94">
        <f t="shared" si="51"/>
        <v>35.71</v>
      </c>
      <c r="F82" s="94">
        <f t="shared" si="51"/>
        <v>35.921000000000021</v>
      </c>
      <c r="G82" s="94">
        <f t="shared" si="51"/>
        <v>61.849999999999952</v>
      </c>
      <c r="H82" s="94">
        <f t="shared" si="51"/>
        <v>71.367000000000004</v>
      </c>
      <c r="I82" s="94">
        <f t="shared" si="51"/>
        <v>82.19699999999996</v>
      </c>
      <c r="J82" s="94">
        <f t="shared" si="51"/>
        <v>88.718999999999966</v>
      </c>
      <c r="K82" s="94">
        <f t="shared" si="51"/>
        <v>91.091999999999956</v>
      </c>
      <c r="L82" s="95">
        <f t="shared" si="51"/>
        <v>105.75100000000005</v>
      </c>
      <c r="M82" s="95">
        <f t="shared" si="51"/>
        <v>111.97400000000002</v>
      </c>
      <c r="N82" s="95">
        <f t="shared" si="51"/>
        <v>111.51400000000007</v>
      </c>
      <c r="O82" s="95">
        <f t="shared" si="51"/>
        <v>105.58299999999998</v>
      </c>
      <c r="P82" s="95">
        <f t="shared" si="51"/>
        <v>95.298000000000002</v>
      </c>
      <c r="Q82" s="99">
        <f t="shared" ca="1" si="51"/>
        <v>84.407065078720535</v>
      </c>
      <c r="R82" s="99">
        <f t="shared" ca="1" si="51"/>
        <v>74.740741587893979</v>
      </c>
      <c r="S82" s="99">
        <f t="shared" ca="1" si="51"/>
        <v>65.281488044546961</v>
      </c>
      <c r="T82" s="99">
        <f t="shared" ca="1" si="51"/>
        <v>55.516735279544292</v>
      </c>
      <c r="U82" s="99">
        <f t="shared" ca="1" si="51"/>
        <v>45.65559396453682</v>
      </c>
      <c r="V82" s="99">
        <f t="shared" ca="1" si="51"/>
        <v>35.599995310368939</v>
      </c>
      <c r="W82" s="99">
        <f t="shared" ca="1" si="51"/>
        <v>25.331693609080503</v>
      </c>
      <c r="X82" s="99">
        <f t="shared" ca="1" si="51"/>
        <v>14.857740146306753</v>
      </c>
      <c r="Y82" s="99">
        <f t="shared" ca="1" si="51"/>
        <v>4.1345552930925749</v>
      </c>
      <c r="Z82" s="99">
        <f t="shared" ca="1" si="51"/>
        <v>-6.822865341868976</v>
      </c>
    </row>
    <row r="83" spans="1:26" x14ac:dyDescent="0.25">
      <c r="A83" s="60" t="s">
        <v>1182</v>
      </c>
      <c r="B83" s="14" t="str">
        <f>$B$42</f>
        <v>Outturn &amp; Forecast only</v>
      </c>
      <c r="C83" s="15"/>
      <c r="D83" s="97" t="str">
        <f>IF(ROUND('Fiscal Forecasts'!D$158-D$82,3)=0,"OK","ERROR")</f>
        <v>OK</v>
      </c>
      <c r="E83" s="97" t="str">
        <f>IF(ROUND('Fiscal Forecasts'!E$158-E$82,3)=0,"OK","ERROR")</f>
        <v>OK</v>
      </c>
      <c r="F83" s="97" t="str">
        <f>IF(ROUND('Fiscal Forecasts'!F$158-F$82,3)=0,"OK","ERROR")</f>
        <v>OK</v>
      </c>
      <c r="G83" s="97" t="str">
        <f>IF(ROUND('Fiscal Forecasts'!G$158-G$82,3)=0,"OK","ERROR")</f>
        <v>OK</v>
      </c>
      <c r="H83" s="97" t="str">
        <f>IF(ROUND('Fiscal Forecasts'!H$158-H$82,3)=0,"OK","ERROR")</f>
        <v>OK</v>
      </c>
      <c r="I83" s="97" t="str">
        <f>IF(ROUND('Fiscal Forecasts'!I$158-I$82,3)=0,"OK","ERROR")</f>
        <v>OK</v>
      </c>
      <c r="J83" s="97" t="str">
        <f>IF(ROUND('Fiscal Forecasts'!J$158-J$82,3)=0,"OK","ERROR")</f>
        <v>OK</v>
      </c>
      <c r="K83" s="97" t="str">
        <f>IF(ROUND('Fiscal Forecasts'!K$158-K$82,3)=0,"OK","ERROR")</f>
        <v>OK</v>
      </c>
      <c r="L83" s="97" t="str">
        <f>IF(ROUND('Fiscal Forecasts'!L$158-L$82,3)=0,"OK","ERROR")</f>
        <v>OK</v>
      </c>
      <c r="M83" s="97" t="str">
        <f>IF(ROUND('Fiscal Forecasts'!M$158-M$82,3)=0,"OK","ERROR")</f>
        <v>OK</v>
      </c>
      <c r="N83" s="97" t="str">
        <f>IF(ROUND('Fiscal Forecasts'!N$158-N$82,3)=0,"OK","ERROR")</f>
        <v>OK</v>
      </c>
      <c r="O83" s="97" t="str">
        <f>IF(ROUND('Fiscal Forecasts'!O$158-O$82,3)=0,"OK","ERROR")</f>
        <v>OK</v>
      </c>
      <c r="P83" s="97" t="str">
        <f>IF(ROUND('Fiscal Forecasts'!P$158-P$82,3)=0,"OK","ERROR")</f>
        <v>OK</v>
      </c>
      <c r="Q83" s="17"/>
      <c r="R83" s="17"/>
      <c r="S83" s="17"/>
      <c r="T83" s="17"/>
      <c r="U83" s="17"/>
      <c r="V83" s="17"/>
      <c r="W83" s="17"/>
      <c r="X83" s="17"/>
      <c r="Y83" s="17"/>
      <c r="Z83" s="17"/>
    </row>
    <row r="84" spans="1:26" x14ac:dyDescent="0.25">
      <c r="A84" s="12" t="s">
        <v>1183</v>
      </c>
      <c r="B84" s="14" t="str">
        <f>$B$38</f>
        <v>From Fiscal Forecasts</v>
      </c>
      <c r="C84" s="15"/>
      <c r="D84" s="50">
        <f>'Fiscal Forecasts'!D$160</f>
        <v>6.4809999999999999</v>
      </c>
      <c r="E84" s="50">
        <f>'Fiscal Forecasts'!E$160</f>
        <v>21.887999999999998</v>
      </c>
      <c r="F84" s="50">
        <f>'Fiscal Forecasts'!F$160</f>
        <v>30.420999999999999</v>
      </c>
      <c r="G84" s="50">
        <f>'Fiscal Forecasts'!G$160</f>
        <v>45.088000000000001</v>
      </c>
      <c r="H84" s="50">
        <f>'Fiscal Forecasts'!H$160</f>
        <v>53.109000000000002</v>
      </c>
      <c r="I84" s="50">
        <f>'Fiscal Forecasts'!I$160</f>
        <v>38.475999999999999</v>
      </c>
      <c r="J84" s="50">
        <f>'Fiscal Forecasts'!J$160</f>
        <v>33.030999999999999</v>
      </c>
      <c r="K84" s="50">
        <f>'Fiscal Forecasts'!K$160</f>
        <v>25.481000000000002</v>
      </c>
      <c r="L84" s="48">
        <f>'Fiscal Forecasts'!L$160</f>
        <v>25.431000000000001</v>
      </c>
      <c r="M84" s="48">
        <f>'Fiscal Forecasts'!M$160</f>
        <v>25.486000000000001</v>
      </c>
      <c r="N84" s="48">
        <f>'Fiscal Forecasts'!N$160</f>
        <v>25.486000000000001</v>
      </c>
      <c r="O84" s="48">
        <f>'Fiscal Forecasts'!O$160</f>
        <v>25.486000000000001</v>
      </c>
      <c r="P84" s="48">
        <f>'Fiscal Forecasts'!P$160</f>
        <v>25.486000000000001</v>
      </c>
      <c r="Q84" s="20">
        <f t="shared" ref="Q84:Z84" ca="1" si="52">P$84*(1+Q$29)</f>
        <v>25.995720000000002</v>
      </c>
      <c r="R84" s="20">
        <f t="shared" ca="1" si="52"/>
        <v>26.515634400000003</v>
      </c>
      <c r="S84" s="20">
        <f t="shared" ca="1" si="52"/>
        <v>27.045947088000005</v>
      </c>
      <c r="T84" s="20">
        <f t="shared" ca="1" si="52"/>
        <v>27.586866029760007</v>
      </c>
      <c r="U84" s="20">
        <f t="shared" ca="1" si="52"/>
        <v>28.138603350355208</v>
      </c>
      <c r="V84" s="20">
        <f t="shared" ca="1" si="52"/>
        <v>28.701375417362314</v>
      </c>
      <c r="W84" s="20">
        <f t="shared" ca="1" si="52"/>
        <v>29.27540292570956</v>
      </c>
      <c r="X84" s="20">
        <f t="shared" ca="1" si="52"/>
        <v>29.860910984223754</v>
      </c>
      <c r="Y84" s="20">
        <f t="shared" ca="1" si="52"/>
        <v>30.458129203908229</v>
      </c>
      <c r="Z84" s="20">
        <f t="shared" ca="1" si="52"/>
        <v>31.067291787986395</v>
      </c>
    </row>
    <row r="85" spans="1:26" x14ac:dyDescent="0.25">
      <c r="A85" s="60" t="s">
        <v>756</v>
      </c>
      <c r="B85" s="11"/>
      <c r="C85" s="15"/>
      <c r="D85" s="94">
        <f t="shared" ref="D85:Z85" si="53">SUM(D$71,D$72)-SUM(D$73,D$84)</f>
        <v>84.37700000000001</v>
      </c>
      <c r="E85" s="94">
        <f t="shared" si="53"/>
        <v>101.833</v>
      </c>
      <c r="F85" s="94">
        <f t="shared" si="53"/>
        <v>99.925999999999988</v>
      </c>
      <c r="G85" s="94">
        <f t="shared" si="53"/>
        <v>114.11599999999999</v>
      </c>
      <c r="H85" s="94">
        <f t="shared" si="53"/>
        <v>135.78899999999999</v>
      </c>
      <c r="I85" s="94">
        <f t="shared" si="53"/>
        <v>175.96600000000001</v>
      </c>
      <c r="J85" s="94">
        <f t="shared" si="53"/>
        <v>203.68800000000005</v>
      </c>
      <c r="K85" s="94">
        <f t="shared" si="53"/>
        <v>227.44799999999998</v>
      </c>
      <c r="L85" s="95">
        <f t="shared" si="53"/>
        <v>243.42500000000001</v>
      </c>
      <c r="M85" s="95">
        <f t="shared" si="53"/>
        <v>259.41199999999998</v>
      </c>
      <c r="N85" s="95">
        <f t="shared" si="53"/>
        <v>269.81900000000002</v>
      </c>
      <c r="O85" s="95">
        <f t="shared" si="53"/>
        <v>273.17700000000002</v>
      </c>
      <c r="P85" s="95">
        <f t="shared" si="53"/>
        <v>269.01900000000001</v>
      </c>
      <c r="Q85" s="99">
        <f t="shared" ca="1" si="53"/>
        <v>268.83760181075473</v>
      </c>
      <c r="R85" s="99">
        <f t="shared" ca="1" si="53"/>
        <v>270.26567331937434</v>
      </c>
      <c r="S85" s="99">
        <f t="shared" ca="1" si="53"/>
        <v>272.3067633661949</v>
      </c>
      <c r="T85" s="99">
        <f t="shared" ca="1" si="53"/>
        <v>274.46583339963718</v>
      </c>
      <c r="U85" s="99">
        <f t="shared" ca="1" si="53"/>
        <v>276.953392729499</v>
      </c>
      <c r="V85" s="99">
        <f t="shared" ca="1" si="53"/>
        <v>279.73688793351289</v>
      </c>
      <c r="W85" s="99">
        <f t="shared" ca="1" si="53"/>
        <v>282.87376232869053</v>
      </c>
      <c r="X85" s="99">
        <f t="shared" ca="1" si="53"/>
        <v>286.48226994802422</v>
      </c>
      <c r="Y85" s="99">
        <f t="shared" ca="1" si="53"/>
        <v>290.67720256105883</v>
      </c>
      <c r="Z85" s="99">
        <f t="shared" ca="1" si="53"/>
        <v>295.59523573521432</v>
      </c>
    </row>
    <row r="86" spans="1:26" x14ac:dyDescent="0.25">
      <c r="A86" s="11"/>
      <c r="B86" s="11"/>
      <c r="C86" s="15"/>
      <c r="D86" s="89"/>
      <c r="E86" s="89"/>
      <c r="F86" s="89"/>
      <c r="G86" s="89"/>
      <c r="H86" s="89"/>
      <c r="I86" s="89"/>
      <c r="J86" s="89"/>
      <c r="K86" s="89"/>
      <c r="L86" s="66"/>
      <c r="M86" s="66"/>
      <c r="N86" s="66"/>
      <c r="O86" s="66"/>
      <c r="P86" s="66"/>
      <c r="Q86" s="17"/>
      <c r="R86" s="17"/>
      <c r="S86" s="17"/>
      <c r="T86" s="17"/>
      <c r="U86" s="17"/>
      <c r="V86" s="17"/>
      <c r="W86" s="17"/>
      <c r="X86" s="17"/>
      <c r="Y86" s="17"/>
      <c r="Z86" s="17"/>
    </row>
    <row r="87" spans="1:26" x14ac:dyDescent="0.25">
      <c r="A87" s="57" t="s">
        <v>1184</v>
      </c>
      <c r="B87" s="11"/>
      <c r="C87" s="15"/>
      <c r="D87" s="89"/>
      <c r="E87" s="89"/>
      <c r="F87" s="89"/>
      <c r="G87" s="89"/>
      <c r="H87" s="89"/>
      <c r="I87" s="89"/>
      <c r="J87" s="89"/>
      <c r="K87" s="89"/>
      <c r="L87" s="66"/>
      <c r="M87" s="66"/>
      <c r="N87" s="66"/>
      <c r="O87" s="66"/>
      <c r="P87" s="66"/>
      <c r="Q87" s="17"/>
      <c r="R87" s="17"/>
      <c r="S87" s="17"/>
      <c r="T87" s="17"/>
      <c r="U87" s="17"/>
      <c r="V87" s="17"/>
      <c r="W87" s="17"/>
      <c r="X87" s="17"/>
      <c r="Y87" s="17"/>
      <c r="Z87" s="17"/>
    </row>
    <row r="88" spans="1:26" x14ac:dyDescent="0.25">
      <c r="A88" s="12" t="s">
        <v>898</v>
      </c>
      <c r="B88" s="14" t="str">
        <f>$B$38</f>
        <v>From Fiscal Forecasts</v>
      </c>
      <c r="C88" s="15"/>
      <c r="D88" s="50">
        <f>'Fiscal Forecasts'!D$74</f>
        <v>83.016999999999996</v>
      </c>
      <c r="E88" s="50">
        <f>'Fiscal Forecasts'!E$74</f>
        <v>83.156000000000006</v>
      </c>
      <c r="F88" s="50">
        <f>'Fiscal Forecasts'!F$74</f>
        <v>95.382000000000005</v>
      </c>
      <c r="G88" s="50">
        <f>'Fiscal Forecasts'!G$74</f>
        <v>102.712</v>
      </c>
      <c r="H88" s="50">
        <f>'Fiscal Forecasts'!H$74</f>
        <v>110.78700000000001</v>
      </c>
      <c r="I88" s="50">
        <f>'Fiscal Forecasts'!I$74</f>
        <v>116.042</v>
      </c>
      <c r="J88" s="50">
        <f>'Fiscal Forecasts'!J$74</f>
        <v>121.18300000000001</v>
      </c>
      <c r="K88" s="50">
        <f>'Fiscal Forecasts'!K$74</f>
        <v>125.98</v>
      </c>
      <c r="L88" s="48">
        <f>'Fiscal Forecasts'!L$74</f>
        <v>131.61600000000001</v>
      </c>
      <c r="M88" s="48">
        <f>'Fiscal Forecasts'!M$74</f>
        <v>141.738</v>
      </c>
      <c r="N88" s="48">
        <f>'Fiscal Forecasts'!N$74</f>
        <v>150.571</v>
      </c>
      <c r="O88" s="48">
        <f>'Fiscal Forecasts'!O$74</f>
        <v>158.84200000000001</v>
      </c>
      <c r="P88" s="48">
        <f>'Fiscal Forecasts'!P$74</f>
        <v>166.84700000000001</v>
      </c>
      <c r="Q88" s="20">
        <f t="shared" ref="Q88:Z88" ca="1" si="54">(Q$474-Q$376+Q$141)</f>
        <v>173.12924827330647</v>
      </c>
      <c r="R88" s="20">
        <f t="shared" ca="1" si="54"/>
        <v>179.87658384902355</v>
      </c>
      <c r="S88" s="20">
        <f t="shared" ca="1" si="54"/>
        <v>186.93968271308654</v>
      </c>
      <c r="T88" s="20">
        <f t="shared" ca="1" si="54"/>
        <v>194.48022028808353</v>
      </c>
      <c r="U88" s="20">
        <f t="shared" ca="1" si="54"/>
        <v>202.40086439859792</v>
      </c>
      <c r="V88" s="20">
        <f t="shared" ca="1" si="54"/>
        <v>210.60135909016944</v>
      </c>
      <c r="W88" s="20">
        <f t="shared" ca="1" si="54"/>
        <v>219.03236087758137</v>
      </c>
      <c r="X88" s="20">
        <f t="shared" ca="1" si="54"/>
        <v>227.70423383533904</v>
      </c>
      <c r="Y88" s="20">
        <f t="shared" ca="1" si="54"/>
        <v>236.65984219626057</v>
      </c>
      <c r="Z88" s="20">
        <f t="shared" ca="1" si="54"/>
        <v>245.90537005603386</v>
      </c>
    </row>
    <row r="89" spans="1:26" x14ac:dyDescent="0.25">
      <c r="A89" s="12" t="s">
        <v>899</v>
      </c>
      <c r="B89" s="14" t="str">
        <f>$B$38</f>
        <v>From Fiscal Forecasts</v>
      </c>
      <c r="C89" s="15"/>
      <c r="D89" s="50">
        <f>'Fiscal Forecasts'!D$75</f>
        <v>5.1870000000000003</v>
      </c>
      <c r="E89" s="50">
        <f>'Fiscal Forecasts'!E$75</f>
        <v>5.2939999999999996</v>
      </c>
      <c r="F89" s="50">
        <f>'Fiscal Forecasts'!F$75</f>
        <v>6.4240000000000004</v>
      </c>
      <c r="G89" s="50">
        <f>'Fiscal Forecasts'!G$75</f>
        <v>7.8029999999999999</v>
      </c>
      <c r="H89" s="50">
        <f>'Fiscal Forecasts'!H$75</f>
        <v>7.6310000000000002</v>
      </c>
      <c r="I89" s="50">
        <f>'Fiscal Forecasts'!I$75</f>
        <v>7.484</v>
      </c>
      <c r="J89" s="50">
        <f>'Fiscal Forecasts'!J$75</f>
        <v>7.8780000000000001</v>
      </c>
      <c r="K89" s="50">
        <f>'Fiscal Forecasts'!K$75</f>
        <v>8.1029999999999998</v>
      </c>
      <c r="L89" s="48">
        <f>'Fiscal Forecasts'!L$75</f>
        <v>8.9359999999999999</v>
      </c>
      <c r="M89" s="48">
        <f>'Fiscal Forecasts'!M$75</f>
        <v>9.6539999999999999</v>
      </c>
      <c r="N89" s="48">
        <f>'Fiscal Forecasts'!N$75</f>
        <v>9.6620000000000008</v>
      </c>
      <c r="O89" s="48">
        <f>'Fiscal Forecasts'!O$75</f>
        <v>10.074999999999999</v>
      </c>
      <c r="P89" s="48">
        <f>'Fiscal Forecasts'!P$75</f>
        <v>10.387</v>
      </c>
      <c r="Q89" s="20">
        <f t="shared" ref="Q89:Z89" ca="1" si="55">SUM(Q$146,Q$148,Q$149,Q$151)</f>
        <v>11.553297982949124</v>
      </c>
      <c r="R89" s="20">
        <f t="shared" ca="1" si="55"/>
        <v>12.239646305928749</v>
      </c>
      <c r="S89" s="20">
        <f t="shared" ca="1" si="55"/>
        <v>12.945963547810056</v>
      </c>
      <c r="T89" s="20">
        <f t="shared" ca="1" si="55"/>
        <v>13.705976175203949</v>
      </c>
      <c r="U89" s="20">
        <f t="shared" ca="1" si="55"/>
        <v>14.450717265864155</v>
      </c>
      <c r="V89" s="20">
        <f t="shared" ca="1" si="55"/>
        <v>14.981290288306871</v>
      </c>
      <c r="W89" s="20">
        <f t="shared" ca="1" si="55"/>
        <v>15.526545436507883</v>
      </c>
      <c r="X89" s="20">
        <f t="shared" ca="1" si="55"/>
        <v>16.065095306135394</v>
      </c>
      <c r="Y89" s="20">
        <f t="shared" ca="1" si="55"/>
        <v>16.624191877468292</v>
      </c>
      <c r="Z89" s="20">
        <f t="shared" ca="1" si="55"/>
        <v>17.190423328909425</v>
      </c>
    </row>
    <row r="90" spans="1:26" x14ac:dyDescent="0.25">
      <c r="A90" s="12" t="s">
        <v>866</v>
      </c>
      <c r="B90" s="14" t="str">
        <f>$B$38</f>
        <v>From Fiscal Forecasts</v>
      </c>
      <c r="C90" s="15"/>
      <c r="D90" s="50">
        <f>'Fiscal Forecasts'!D$76</f>
        <v>19.763999999999999</v>
      </c>
      <c r="E90" s="50">
        <f>'Fiscal Forecasts'!E$76</f>
        <v>18.289000000000001</v>
      </c>
      <c r="F90" s="50">
        <f>'Fiscal Forecasts'!F$76</f>
        <v>17.731999999999999</v>
      </c>
      <c r="G90" s="50">
        <f>'Fiscal Forecasts'!G$76</f>
        <v>17.834</v>
      </c>
      <c r="H90" s="50">
        <f>'Fiscal Forecasts'!H$76</f>
        <v>22.283999999999999</v>
      </c>
      <c r="I90" s="50">
        <f>'Fiscal Forecasts'!I$76</f>
        <v>24.359000000000002</v>
      </c>
      <c r="J90" s="50">
        <f>'Fiscal Forecasts'!J$76</f>
        <v>26.960999999999999</v>
      </c>
      <c r="K90" s="50">
        <f>'Fiscal Forecasts'!K$76</f>
        <v>25.895</v>
      </c>
      <c r="L90" s="48">
        <f>'Fiscal Forecasts'!L$76</f>
        <v>26.574000000000002</v>
      </c>
      <c r="M90" s="48">
        <f>'Fiscal Forecasts'!M$76</f>
        <v>27.469000000000001</v>
      </c>
      <c r="N90" s="48">
        <f>'Fiscal Forecasts'!N$76</f>
        <v>28.12</v>
      </c>
      <c r="O90" s="48">
        <f>'Fiscal Forecasts'!O$76</f>
        <v>29.117000000000001</v>
      </c>
      <c r="P90" s="48">
        <f>'Fiscal Forecasts'!P$76</f>
        <v>29.824999999999999</v>
      </c>
      <c r="Q90" s="20">
        <f t="shared" ref="Q90:Z90" ca="1" si="56">Q$155</f>
        <v>31.082278581469399</v>
      </c>
      <c r="R90" s="20">
        <f t="shared" ca="1" si="56"/>
        <v>32.373817990717384</v>
      </c>
      <c r="S90" s="20">
        <f t="shared" ca="1" si="56"/>
        <v>33.699088373795036</v>
      </c>
      <c r="T90" s="20">
        <f t="shared" ca="1" si="56"/>
        <v>35.054248490549547</v>
      </c>
      <c r="U90" s="20">
        <f t="shared" ca="1" si="56"/>
        <v>36.456020529544169</v>
      </c>
      <c r="V90" s="20">
        <f t="shared" ca="1" si="56"/>
        <v>37.903940016000107</v>
      </c>
      <c r="W90" s="20">
        <f t="shared" ca="1" si="56"/>
        <v>39.388475508708048</v>
      </c>
      <c r="X90" s="20">
        <f t="shared" ca="1" si="56"/>
        <v>40.914908229707805</v>
      </c>
      <c r="Y90" s="20">
        <f t="shared" ca="1" si="56"/>
        <v>42.491722468210163</v>
      </c>
      <c r="Z90" s="20">
        <f t="shared" ca="1" si="56"/>
        <v>44.118425353902772</v>
      </c>
    </row>
    <row r="91" spans="1:26" x14ac:dyDescent="0.25">
      <c r="A91" s="12" t="s">
        <v>900</v>
      </c>
      <c r="B91" s="14" t="str">
        <f>$B$38</f>
        <v>From Fiscal Forecasts</v>
      </c>
      <c r="C91" s="15"/>
      <c r="D91" s="50">
        <f>'Fiscal Forecasts'!D$77</f>
        <v>2.528</v>
      </c>
      <c r="E91" s="50">
        <f>'Fiscal Forecasts'!E$77</f>
        <v>2.3069999999999999</v>
      </c>
      <c r="F91" s="50">
        <f>'Fiscal Forecasts'!F$77</f>
        <v>1.67</v>
      </c>
      <c r="G91" s="50">
        <f>'Fiscal Forecasts'!G$77</f>
        <v>1.9610000000000001</v>
      </c>
      <c r="H91" s="50">
        <f>'Fiscal Forecasts'!H$77</f>
        <v>3.6110000000000002</v>
      </c>
      <c r="I91" s="50">
        <f>'Fiscal Forecasts'!I$77</f>
        <v>5.2830000000000004</v>
      </c>
      <c r="J91" s="50">
        <f>'Fiscal Forecasts'!J$77</f>
        <v>6.7910000000000004</v>
      </c>
      <c r="K91" s="50">
        <f>'Fiscal Forecasts'!K$77</f>
        <v>5.9459999999999997</v>
      </c>
      <c r="L91" s="48">
        <f>'Fiscal Forecasts'!L$77</f>
        <v>4.7480000000000002</v>
      </c>
      <c r="M91" s="48">
        <f>'Fiscal Forecasts'!M$77</f>
        <v>4.3109999999999999</v>
      </c>
      <c r="N91" s="48">
        <f>'Fiscal Forecasts'!N$77</f>
        <v>5.5739999999999998</v>
      </c>
      <c r="O91" s="48">
        <f>'Fiscal Forecasts'!O$77</f>
        <v>6.4790000000000001</v>
      </c>
      <c r="P91" s="48">
        <f>'Fiscal Forecasts'!P$77</f>
        <v>6.8319999999999999</v>
      </c>
      <c r="Q91" s="20">
        <f t="shared" ref="Q91:Z91" ca="1" si="57">SUM(Q$158,Q$160,Q$162:Q$164,Q$332)</f>
        <v>9.0313078971293805</v>
      </c>
      <c r="R91" s="20">
        <f t="shared" ca="1" si="57"/>
        <v>9.3217973383930968</v>
      </c>
      <c r="S91" s="20">
        <f t="shared" ca="1" si="57"/>
        <v>9.6237360051553971</v>
      </c>
      <c r="T91" s="20">
        <f t="shared" ca="1" si="57"/>
        <v>9.9372262172041985</v>
      </c>
      <c r="U91" s="20">
        <f t="shared" ca="1" si="57"/>
        <v>10.261797117490062</v>
      </c>
      <c r="V91" s="20">
        <f t="shared" ca="1" si="57"/>
        <v>10.597302664144683</v>
      </c>
      <c r="W91" s="20">
        <f t="shared" ca="1" si="57"/>
        <v>10.944545930260386</v>
      </c>
      <c r="X91" s="20">
        <f t="shared" ca="1" si="57"/>
        <v>11.304537707368532</v>
      </c>
      <c r="Y91" s="20">
        <f t="shared" ca="1" si="57"/>
        <v>11.678424891753615</v>
      </c>
      <c r="Z91" s="20">
        <f t="shared" ca="1" si="57"/>
        <v>12.067456655131869</v>
      </c>
    </row>
    <row r="92" spans="1:26" x14ac:dyDescent="0.25">
      <c r="A92" s="12" t="s">
        <v>901</v>
      </c>
      <c r="B92" s="14" t="str">
        <f>$B$38</f>
        <v>From Fiscal Forecasts</v>
      </c>
      <c r="C92" s="15"/>
      <c r="D92" s="50">
        <f>'Fiscal Forecasts'!D$78</f>
        <v>4.5629999999999997</v>
      </c>
      <c r="E92" s="50">
        <f>'Fiscal Forecasts'!E$78</f>
        <v>4.5439999999999996</v>
      </c>
      <c r="F92" s="50">
        <f>'Fiscal Forecasts'!F$78</f>
        <v>4.8140000000000001</v>
      </c>
      <c r="G92" s="50">
        <f>'Fiscal Forecasts'!G$78</f>
        <v>4.8019999999999996</v>
      </c>
      <c r="H92" s="50">
        <f>'Fiscal Forecasts'!H$78</f>
        <v>4.9219999999999997</v>
      </c>
      <c r="I92" s="50">
        <f>'Fiscal Forecasts'!I$78</f>
        <v>6.5350000000000001</v>
      </c>
      <c r="J92" s="50">
        <f>'Fiscal Forecasts'!J$78</f>
        <v>6.3719999999999999</v>
      </c>
      <c r="K92" s="50">
        <f>'Fiscal Forecasts'!K$78</f>
        <v>6.8550000000000004</v>
      </c>
      <c r="L92" s="48">
        <f>'Fiscal Forecasts'!L$78</f>
        <v>6.1289999999999996</v>
      </c>
      <c r="M92" s="48">
        <f>'Fiscal Forecasts'!M$78</f>
        <v>6.391</v>
      </c>
      <c r="N92" s="48">
        <f>'Fiscal Forecasts'!N$78</f>
        <v>6.7439999999999998</v>
      </c>
      <c r="O92" s="48">
        <f>'Fiscal Forecasts'!O$78</f>
        <v>6.9459999999999997</v>
      </c>
      <c r="P92" s="48">
        <f>'Fiscal Forecasts'!P$78</f>
        <v>7.1710000000000003</v>
      </c>
      <c r="Q92" s="20">
        <f t="shared" ref="Q92:Z92" ca="1" si="58">SUM(Q$173,Q$179)</f>
        <v>6.2386657328832156</v>
      </c>
      <c r="R92" s="20">
        <f t="shared" ca="1" si="58"/>
        <v>6.4296172485272338</v>
      </c>
      <c r="S92" s="20">
        <f t="shared" ca="1" si="58"/>
        <v>6.6254937147702204</v>
      </c>
      <c r="T92" s="20">
        <f t="shared" ca="1" si="58"/>
        <v>6.8258953983238175</v>
      </c>
      <c r="U92" s="20">
        <f t="shared" ca="1" si="58"/>
        <v>7.0320132210654762</v>
      </c>
      <c r="V92" s="20">
        <f t="shared" ca="1" si="58"/>
        <v>7.2434477304002591</v>
      </c>
      <c r="W92" s="20">
        <f t="shared" ca="1" si="58"/>
        <v>7.4592953303120204</v>
      </c>
      <c r="X92" s="20">
        <f t="shared" ca="1" si="58"/>
        <v>7.6822973328835165</v>
      </c>
      <c r="Y92" s="20">
        <f t="shared" ca="1" si="58"/>
        <v>7.914256210504341</v>
      </c>
      <c r="Z92" s="20">
        <f t="shared" ca="1" si="58"/>
        <v>8.1559397082187939</v>
      </c>
    </row>
    <row r="93" spans="1:26" x14ac:dyDescent="0.25">
      <c r="A93" s="11" t="s">
        <v>902</v>
      </c>
      <c r="B93" s="11"/>
      <c r="C93" s="15"/>
      <c r="D93" s="94">
        <f t="shared" ref="D93:Z93" si="59">SUM(D$88:D$92)</f>
        <v>115.059</v>
      </c>
      <c r="E93" s="94">
        <f t="shared" si="59"/>
        <v>113.59</v>
      </c>
      <c r="F93" s="94">
        <f t="shared" si="59"/>
        <v>126.02200000000002</v>
      </c>
      <c r="G93" s="94">
        <f t="shared" si="59"/>
        <v>135.11199999999999</v>
      </c>
      <c r="H93" s="94">
        <f t="shared" si="59"/>
        <v>149.23499999999999</v>
      </c>
      <c r="I93" s="94">
        <f t="shared" si="59"/>
        <v>159.70299999999997</v>
      </c>
      <c r="J93" s="94">
        <f t="shared" si="59"/>
        <v>169.185</v>
      </c>
      <c r="K93" s="94">
        <f t="shared" si="59"/>
        <v>172.779</v>
      </c>
      <c r="L93" s="95">
        <f t="shared" si="59"/>
        <v>178.00300000000001</v>
      </c>
      <c r="M93" s="95">
        <f t="shared" si="59"/>
        <v>189.56299999999999</v>
      </c>
      <c r="N93" s="95">
        <f t="shared" si="59"/>
        <v>200.67100000000002</v>
      </c>
      <c r="O93" s="95">
        <f t="shared" si="59"/>
        <v>211.459</v>
      </c>
      <c r="P93" s="95">
        <f t="shared" si="59"/>
        <v>221.06199999999998</v>
      </c>
      <c r="Q93" s="99">
        <f t="shared" ca="1" si="59"/>
        <v>231.0347984677376</v>
      </c>
      <c r="R93" s="99">
        <f t="shared" ca="1" si="59"/>
        <v>240.24146273258998</v>
      </c>
      <c r="S93" s="99">
        <f t="shared" ca="1" si="59"/>
        <v>249.83396435461725</v>
      </c>
      <c r="T93" s="99">
        <f t="shared" ca="1" si="59"/>
        <v>260.00356656936503</v>
      </c>
      <c r="U93" s="99">
        <f t="shared" ca="1" si="59"/>
        <v>270.60141253256177</v>
      </c>
      <c r="V93" s="99">
        <f t="shared" ca="1" si="59"/>
        <v>281.32733978902138</v>
      </c>
      <c r="W93" s="99">
        <f t="shared" ca="1" si="59"/>
        <v>292.35122308336975</v>
      </c>
      <c r="X93" s="99">
        <f t="shared" ca="1" si="59"/>
        <v>303.6710724114343</v>
      </c>
      <c r="Y93" s="99">
        <f t="shared" ca="1" si="59"/>
        <v>315.36843764419694</v>
      </c>
      <c r="Z93" s="99">
        <f t="shared" ca="1" si="59"/>
        <v>327.43761510219673</v>
      </c>
    </row>
    <row r="94" spans="1:26" x14ac:dyDescent="0.25">
      <c r="A94" s="12" t="s">
        <v>870</v>
      </c>
      <c r="B94" s="14" t="str">
        <f>$B$38</f>
        <v>From Fiscal Forecasts</v>
      </c>
      <c r="C94" s="15"/>
      <c r="D94" s="50">
        <f>'Fiscal Forecasts'!D$80</f>
        <v>27.981999999999999</v>
      </c>
      <c r="E94" s="50">
        <f>'Fiscal Forecasts'!E$80</f>
        <v>42.945</v>
      </c>
      <c r="F94" s="50">
        <f>'Fiscal Forecasts'!F$80</f>
        <v>35.515000000000001</v>
      </c>
      <c r="G94" s="50">
        <f>'Fiscal Forecasts'!G$80</f>
        <v>44.273000000000003</v>
      </c>
      <c r="H94" s="50">
        <f>'Fiscal Forecasts'!H$80</f>
        <v>39.17</v>
      </c>
      <c r="I94" s="50">
        <f>'Fiscal Forecasts'!I$80</f>
        <v>42.335000000000001</v>
      </c>
      <c r="J94" s="50">
        <f>'Fiscal Forecasts'!J$80</f>
        <v>45.927999999999997</v>
      </c>
      <c r="K94" s="50">
        <f>'Fiscal Forecasts'!K$80</f>
        <v>47.884</v>
      </c>
      <c r="L94" s="48">
        <f>'Fiscal Forecasts'!L$80</f>
        <v>50.165999999999997</v>
      </c>
      <c r="M94" s="48">
        <f>'Fiscal Forecasts'!M$80</f>
        <v>51.54</v>
      </c>
      <c r="N94" s="48">
        <f>'Fiscal Forecasts'!N$80</f>
        <v>52.911999999999999</v>
      </c>
      <c r="O94" s="48">
        <f>'Fiscal Forecasts'!O$80</f>
        <v>54.81</v>
      </c>
      <c r="P94" s="48">
        <f>'Fiscal Forecasts'!P$80</f>
        <v>57.018000000000001</v>
      </c>
      <c r="Q94" s="20">
        <f t="shared" ref="Q94:Z94" ca="1" si="60">Q$194</f>
        <v>59.10456213375442</v>
      </c>
      <c r="R94" s="20">
        <f t="shared" ca="1" si="60"/>
        <v>61.74023700058391</v>
      </c>
      <c r="S94" s="20">
        <f t="shared" ca="1" si="60"/>
        <v>64.469799952134792</v>
      </c>
      <c r="T94" s="20">
        <f t="shared" ca="1" si="60"/>
        <v>67.280230577711919</v>
      </c>
      <c r="U94" s="20">
        <f t="shared" ca="1" si="60"/>
        <v>70.249267855938541</v>
      </c>
      <c r="V94" s="20">
        <f t="shared" ca="1" si="60"/>
        <v>73.285258596479949</v>
      </c>
      <c r="W94" s="20">
        <f t="shared" ca="1" si="60"/>
        <v>76.330855742633858</v>
      </c>
      <c r="X94" s="20">
        <f t="shared" ca="1" si="60"/>
        <v>79.398091511624841</v>
      </c>
      <c r="Y94" s="20">
        <f t="shared" ca="1" si="60"/>
        <v>82.473442912902243</v>
      </c>
      <c r="Z94" s="20">
        <f t="shared" ca="1" si="60"/>
        <v>85.578471046868486</v>
      </c>
    </row>
    <row r="95" spans="1:26" x14ac:dyDescent="0.25">
      <c r="A95" s="12" t="s">
        <v>903</v>
      </c>
      <c r="B95" s="14" t="str">
        <f>$B$38</f>
        <v>From Fiscal Forecasts</v>
      </c>
      <c r="C95" s="15"/>
      <c r="D95" s="50">
        <f>'Fiscal Forecasts'!D$81</f>
        <v>72.078999999999994</v>
      </c>
      <c r="E95" s="50">
        <f>'Fiscal Forecasts'!E$81</f>
        <v>77.191999999999993</v>
      </c>
      <c r="F95" s="50">
        <f>'Fiscal Forecasts'!F$81</f>
        <v>84.256</v>
      </c>
      <c r="G95" s="50">
        <f>'Fiscal Forecasts'!G$81</f>
        <v>92.965000000000003</v>
      </c>
      <c r="H95" s="50">
        <f>'Fiscal Forecasts'!H$81</f>
        <v>99.414000000000001</v>
      </c>
      <c r="I95" s="50">
        <f>'Fiscal Forecasts'!I$81</f>
        <v>111.095</v>
      </c>
      <c r="J95" s="50">
        <f>'Fiscal Forecasts'!J$81</f>
        <v>113.733</v>
      </c>
      <c r="K95" s="50">
        <f>'Fiscal Forecasts'!K$81</f>
        <v>114.075</v>
      </c>
      <c r="L95" s="48">
        <f ca="1">'Fiscal Forecasts'!L$81+IF(OFFSET(Assumptions!$B$57,0,$C$1)="Yes",SUM(Allocation!C$10:C$20),0)</f>
        <v>121.869</v>
      </c>
      <c r="M95" s="48">
        <f ca="1">'Fiscal Forecasts'!M$81+IF(OFFSET(Assumptions!$B$57,0,$C$1)="Yes",SUM(Allocation!D$10:D$20),0)</f>
        <v>119.31299999999999</v>
      </c>
      <c r="N95" s="48">
        <f ca="1">'Fiscal Forecasts'!N$81+IF(OFFSET(Assumptions!$B$57,0,$C$1)="Yes",SUM(Allocation!E$10:E$20),0)</f>
        <v>121.249</v>
      </c>
      <c r="O95" s="48">
        <f ca="1">'Fiscal Forecasts'!O$81+IF(OFFSET(Assumptions!$B$57,0,$C$1)="Yes",SUM(Allocation!F$10:F$20),0)</f>
        <v>123.932</v>
      </c>
      <c r="P95" s="48">
        <f ca="1">'Fiscal Forecasts'!P$81+IF(OFFSET(Assumptions!$B$57,0,$C$1)="Yes",SUM(Allocation!G$10:G$20),0)</f>
        <v>127.298</v>
      </c>
      <c r="Q95" s="20">
        <f t="shared" ref="Q95:Z95" ca="1" si="61">SUM(Q$212,Q$227,Q$241)-SUM(Q$115,Q$263,Q$273,Q$313,Q$460-P$460,Q$465-P$465)</f>
        <v>134.10805022798812</v>
      </c>
      <c r="R95" s="20">
        <f t="shared" ca="1" si="61"/>
        <v>141.3062848698396</v>
      </c>
      <c r="S95" s="20">
        <f t="shared" ca="1" si="61"/>
        <v>147.82699682856037</v>
      </c>
      <c r="T95" s="20">
        <f t="shared" ca="1" si="61"/>
        <v>154.27585665154675</v>
      </c>
      <c r="U95" s="20">
        <f t="shared" ca="1" si="61"/>
        <v>160.97535399471701</v>
      </c>
      <c r="V95" s="20">
        <f t="shared" ca="1" si="61"/>
        <v>168.05412723112974</v>
      </c>
      <c r="W95" s="20">
        <f t="shared" ca="1" si="61"/>
        <v>175.41916442738307</v>
      </c>
      <c r="X95" s="20">
        <f t="shared" ca="1" si="61"/>
        <v>183.10958544901646</v>
      </c>
      <c r="Y95" s="20">
        <f t="shared" ca="1" si="61"/>
        <v>191.02441111468846</v>
      </c>
      <c r="Z95" s="20">
        <f t="shared" ca="1" si="61"/>
        <v>199.368798157318</v>
      </c>
    </row>
    <row r="96" spans="1:26" x14ac:dyDescent="0.25">
      <c r="A96" s="12" t="s">
        <v>904</v>
      </c>
      <c r="B96" s="14" t="str">
        <f>$B$38</f>
        <v>From Fiscal Forecasts</v>
      </c>
      <c r="C96" s="15"/>
      <c r="D96" s="50">
        <f>'Fiscal Forecasts'!D$82</f>
        <v>4.0250000000000004</v>
      </c>
      <c r="E96" s="50">
        <f>'Fiscal Forecasts'!E$82</f>
        <v>3.8490000000000002</v>
      </c>
      <c r="F96" s="50">
        <f>'Fiscal Forecasts'!F$82</f>
        <v>3.1469999999999998</v>
      </c>
      <c r="G96" s="50">
        <f>'Fiscal Forecasts'!G$82</f>
        <v>3.2509999999999999</v>
      </c>
      <c r="H96" s="50">
        <f>'Fiscal Forecasts'!H$82</f>
        <v>6.1260000000000003</v>
      </c>
      <c r="I96" s="50">
        <f>'Fiscal Forecasts'!I$82</f>
        <v>8.5790000000000006</v>
      </c>
      <c r="J96" s="50">
        <f>'Fiscal Forecasts'!J$82</f>
        <v>8.8249999999999993</v>
      </c>
      <c r="K96" s="50">
        <f>'Fiscal Forecasts'!K$82</f>
        <v>8.2880000000000003</v>
      </c>
      <c r="L96" s="48">
        <f>'Fiscal Forecasts'!L$82</f>
        <v>9.7680000000000007</v>
      </c>
      <c r="M96" s="48">
        <f>'Fiscal Forecasts'!M$82</f>
        <v>11.063000000000001</v>
      </c>
      <c r="N96" s="48">
        <f>'Fiscal Forecasts'!N$82</f>
        <v>12.731</v>
      </c>
      <c r="O96" s="48">
        <f>'Fiscal Forecasts'!O$82</f>
        <v>13.933</v>
      </c>
      <c r="P96" s="48">
        <f>'Fiscal Forecasts'!P$82</f>
        <v>14.291</v>
      </c>
      <c r="Q96" s="20">
        <f t="shared" ref="Q96:Z96" ca="1" si="62">(2*P$70-SUM(Q$93,Q$106,Q$107)+SUM(Q$94,Q$95,Q$97,Q$109,Q$347-P$347))/(2/Q$235-1)</f>
        <v>16.813221608849709</v>
      </c>
      <c r="R96" s="20">
        <f t="shared" ca="1" si="62"/>
        <v>17.215601574372695</v>
      </c>
      <c r="S96" s="20">
        <f t="shared" ca="1" si="62"/>
        <v>17.676243333198972</v>
      </c>
      <c r="T96" s="20">
        <f t="shared" ca="1" si="62"/>
        <v>18.155907189335565</v>
      </c>
      <c r="U96" s="20">
        <f t="shared" ca="1" si="62"/>
        <v>18.645049110387525</v>
      </c>
      <c r="V96" s="20">
        <f t="shared" ca="1" si="62"/>
        <v>19.035594875529448</v>
      </c>
      <c r="W96" s="20">
        <f t="shared" ca="1" si="62"/>
        <v>19.444877565604092</v>
      </c>
      <c r="X96" s="20">
        <f t="shared" ca="1" si="62"/>
        <v>19.878128393883966</v>
      </c>
      <c r="Y96" s="20">
        <f t="shared" ca="1" si="62"/>
        <v>20.341069251003191</v>
      </c>
      <c r="Z96" s="20">
        <f t="shared" ca="1" si="62"/>
        <v>20.840413867074734</v>
      </c>
    </row>
    <row r="97" spans="1:26" x14ac:dyDescent="0.25">
      <c r="A97" s="12" t="s">
        <v>1185</v>
      </c>
      <c r="B97" s="11"/>
      <c r="C97" s="15"/>
      <c r="D97" s="50">
        <f t="shared" ref="D97:Z97" si="63">SUM(D$246,D$249)</f>
        <v>0</v>
      </c>
      <c r="E97" s="50">
        <f t="shared" si="63"/>
        <v>0</v>
      </c>
      <c r="F97" s="50">
        <f t="shared" si="63"/>
        <v>0</v>
      </c>
      <c r="G97" s="50">
        <f t="shared" si="63"/>
        <v>0</v>
      </c>
      <c r="H97" s="50">
        <f t="shared" si="63"/>
        <v>0</v>
      </c>
      <c r="I97" s="50">
        <f t="shared" si="63"/>
        <v>0</v>
      </c>
      <c r="J97" s="50">
        <f t="shared" si="63"/>
        <v>0</v>
      </c>
      <c r="K97" s="50">
        <f t="shared" si="63"/>
        <v>0</v>
      </c>
      <c r="L97" s="48">
        <f t="shared" ca="1" si="63"/>
        <v>0</v>
      </c>
      <c r="M97" s="48">
        <f t="shared" ca="1" si="63"/>
        <v>0</v>
      </c>
      <c r="N97" s="48">
        <f t="shared" ca="1" si="63"/>
        <v>0</v>
      </c>
      <c r="O97" s="48">
        <f t="shared" ca="1" si="63"/>
        <v>0</v>
      </c>
      <c r="P97" s="48">
        <f t="shared" ca="1" si="63"/>
        <v>0</v>
      </c>
      <c r="Q97" s="20">
        <f t="shared" ca="1" si="63"/>
        <v>0</v>
      </c>
      <c r="R97" s="20">
        <f t="shared" ca="1" si="63"/>
        <v>0</v>
      </c>
      <c r="S97" s="20">
        <f t="shared" ca="1" si="63"/>
        <v>0</v>
      </c>
      <c r="T97" s="20">
        <f t="shared" ca="1" si="63"/>
        <v>0</v>
      </c>
      <c r="U97" s="20">
        <f t="shared" ca="1" si="63"/>
        <v>0</v>
      </c>
      <c r="V97" s="20">
        <f t="shared" ca="1" si="63"/>
        <v>0</v>
      </c>
      <c r="W97" s="20">
        <f t="shared" ca="1" si="63"/>
        <v>0</v>
      </c>
      <c r="X97" s="20">
        <f t="shared" ca="1" si="63"/>
        <v>0</v>
      </c>
      <c r="Y97" s="20">
        <f t="shared" ca="1" si="63"/>
        <v>0</v>
      </c>
      <c r="Z97" s="20">
        <f t="shared" ca="1" si="63"/>
        <v>0</v>
      </c>
    </row>
    <row r="98" spans="1:26" x14ac:dyDescent="0.25">
      <c r="A98" s="11" t="s">
        <v>1186</v>
      </c>
      <c r="B98" s="11"/>
      <c r="C98" s="15"/>
      <c r="D98" s="94">
        <f t="shared" ref="D98:Z98" si="64">SUM(D$94:D$97)</f>
        <v>104.086</v>
      </c>
      <c r="E98" s="94">
        <f t="shared" si="64"/>
        <v>123.986</v>
      </c>
      <c r="F98" s="94">
        <f t="shared" si="64"/>
        <v>122.91800000000001</v>
      </c>
      <c r="G98" s="94">
        <f t="shared" si="64"/>
        <v>140.489</v>
      </c>
      <c r="H98" s="94">
        <f t="shared" si="64"/>
        <v>144.71</v>
      </c>
      <c r="I98" s="94">
        <f t="shared" si="64"/>
        <v>162.00900000000001</v>
      </c>
      <c r="J98" s="94">
        <f t="shared" si="64"/>
        <v>168.48599999999999</v>
      </c>
      <c r="K98" s="94">
        <f t="shared" si="64"/>
        <v>170.24700000000001</v>
      </c>
      <c r="L98" s="95">
        <f t="shared" ca="1" si="64"/>
        <v>181.803</v>
      </c>
      <c r="M98" s="95">
        <f t="shared" ca="1" si="64"/>
        <v>181.91599999999997</v>
      </c>
      <c r="N98" s="95">
        <f t="shared" ca="1" si="64"/>
        <v>186.892</v>
      </c>
      <c r="O98" s="95">
        <f t="shared" ca="1" si="64"/>
        <v>192.67500000000001</v>
      </c>
      <c r="P98" s="95">
        <f t="shared" ca="1" si="64"/>
        <v>198.607</v>
      </c>
      <c r="Q98" s="99">
        <f t="shared" ca="1" si="64"/>
        <v>210.02583397059226</v>
      </c>
      <c r="R98" s="99">
        <f t="shared" ca="1" si="64"/>
        <v>220.2621234447962</v>
      </c>
      <c r="S98" s="99">
        <f t="shared" ca="1" si="64"/>
        <v>229.97304011389414</v>
      </c>
      <c r="T98" s="99">
        <f t="shared" ca="1" si="64"/>
        <v>239.7119944185942</v>
      </c>
      <c r="U98" s="99">
        <f t="shared" ca="1" si="64"/>
        <v>249.86967096104308</v>
      </c>
      <c r="V98" s="99">
        <f t="shared" ca="1" si="64"/>
        <v>260.37498070313916</v>
      </c>
      <c r="W98" s="99">
        <f t="shared" ca="1" si="64"/>
        <v>271.194897735621</v>
      </c>
      <c r="X98" s="99">
        <f t="shared" ca="1" si="64"/>
        <v>282.3858053545253</v>
      </c>
      <c r="Y98" s="99">
        <f t="shared" ca="1" si="64"/>
        <v>293.83892327859394</v>
      </c>
      <c r="Z98" s="99">
        <f t="shared" ca="1" si="64"/>
        <v>305.7876830712612</v>
      </c>
    </row>
    <row r="99" spans="1:26" x14ac:dyDescent="0.25">
      <c r="A99" s="11" t="s">
        <v>1187</v>
      </c>
      <c r="B99" s="11"/>
      <c r="C99" s="15"/>
      <c r="D99" s="94">
        <f t="shared" ref="D99:Z99" si="65">D$93-D$98</f>
        <v>10.972999999999999</v>
      </c>
      <c r="E99" s="94">
        <f t="shared" si="65"/>
        <v>-10.396000000000001</v>
      </c>
      <c r="F99" s="94">
        <f t="shared" si="65"/>
        <v>3.1040000000000134</v>
      </c>
      <c r="G99" s="94">
        <f t="shared" si="65"/>
        <v>-5.3770000000000095</v>
      </c>
      <c r="H99" s="94">
        <f t="shared" si="65"/>
        <v>4.5249999999999773</v>
      </c>
      <c r="I99" s="94">
        <f t="shared" si="65"/>
        <v>-2.30600000000004</v>
      </c>
      <c r="J99" s="94">
        <f t="shared" si="65"/>
        <v>0.69900000000001228</v>
      </c>
      <c r="K99" s="94">
        <f t="shared" si="65"/>
        <v>2.5319999999999823</v>
      </c>
      <c r="L99" s="95">
        <f t="shared" ca="1" si="65"/>
        <v>-3.7999999999999829</v>
      </c>
      <c r="M99" s="95">
        <f t="shared" ca="1" si="65"/>
        <v>7.6470000000000198</v>
      </c>
      <c r="N99" s="95">
        <f t="shared" ca="1" si="65"/>
        <v>13.779000000000025</v>
      </c>
      <c r="O99" s="95">
        <f t="shared" ca="1" si="65"/>
        <v>18.783999999999992</v>
      </c>
      <c r="P99" s="95">
        <f t="shared" ca="1" si="65"/>
        <v>22.454999999999984</v>
      </c>
      <c r="Q99" s="99">
        <f t="shared" ca="1" si="65"/>
        <v>21.008964497145342</v>
      </c>
      <c r="R99" s="99">
        <f t="shared" ca="1" si="65"/>
        <v>19.979339287793778</v>
      </c>
      <c r="S99" s="99">
        <f t="shared" ca="1" si="65"/>
        <v>19.860924240723108</v>
      </c>
      <c r="T99" s="99">
        <f t="shared" ca="1" si="65"/>
        <v>20.291572150770833</v>
      </c>
      <c r="U99" s="99">
        <f t="shared" ca="1" si="65"/>
        <v>20.731741571518683</v>
      </c>
      <c r="V99" s="99">
        <f t="shared" ca="1" si="65"/>
        <v>20.952359085882222</v>
      </c>
      <c r="W99" s="99">
        <f t="shared" ca="1" si="65"/>
        <v>21.156325347748748</v>
      </c>
      <c r="X99" s="99">
        <f t="shared" ca="1" si="65"/>
        <v>21.285267056908992</v>
      </c>
      <c r="Y99" s="99">
        <f t="shared" ca="1" si="65"/>
        <v>21.529514365603006</v>
      </c>
      <c r="Z99" s="99">
        <f t="shared" ca="1" si="65"/>
        <v>21.649932030935531</v>
      </c>
    </row>
    <row r="100" spans="1:26" x14ac:dyDescent="0.25">
      <c r="A100" s="12" t="s">
        <v>1188</v>
      </c>
      <c r="B100" s="14" t="str">
        <f>$B$38</f>
        <v>From Fiscal Forecasts</v>
      </c>
      <c r="C100" s="15"/>
      <c r="D100" s="50">
        <f>-'Fiscal Forecasts'!D$85</f>
        <v>8.4640000000000004</v>
      </c>
      <c r="E100" s="50">
        <f>-'Fiscal Forecasts'!E$85</f>
        <v>9.0709999999999997</v>
      </c>
      <c r="F100" s="50">
        <f>-'Fiscal Forecasts'!F$85</f>
        <v>9.3930000000000007</v>
      </c>
      <c r="G100" s="50">
        <f>-'Fiscal Forecasts'!G$85</f>
        <v>10.571999999999999</v>
      </c>
      <c r="H100" s="50">
        <f>-'Fiscal Forecasts'!H$85</f>
        <v>14.271000000000001</v>
      </c>
      <c r="I100" s="50">
        <f>-'Fiscal Forecasts'!I$85</f>
        <v>16.948</v>
      </c>
      <c r="J100" s="50">
        <f>-'Fiscal Forecasts'!J$85</f>
        <v>14.054</v>
      </c>
      <c r="K100" s="50">
        <f>-'Fiscal Forecasts'!K$85</f>
        <v>14.308999999999999</v>
      </c>
      <c r="L100" s="48">
        <f>-'Fiscal Forecasts'!L$85</f>
        <v>16.707000000000001</v>
      </c>
      <c r="M100" s="48">
        <f>-'Fiscal Forecasts'!M$85</f>
        <v>17.111999999999998</v>
      </c>
      <c r="N100" s="48">
        <f>-'Fiscal Forecasts'!N$85</f>
        <v>15.180999999999999</v>
      </c>
      <c r="O100" s="48">
        <f>-'Fiscal Forecasts'!O$85</f>
        <v>13.492000000000001</v>
      </c>
      <c r="P100" s="48">
        <f>-'Fiscal Forecasts'!P$85</f>
        <v>13.242000000000001</v>
      </c>
      <c r="Q100" s="20">
        <f t="shared" ref="Q100:Z100" ca="1" si="66">SUM(Q$420-P$420,Q$218)</f>
        <v>12.80170735316336</v>
      </c>
      <c r="R100" s="20">
        <f t="shared" ca="1" si="66"/>
        <v>12.960241809991984</v>
      </c>
      <c r="S100" s="20">
        <f t="shared" ca="1" si="66"/>
        <v>13.121946955957245</v>
      </c>
      <c r="T100" s="20">
        <f t="shared" ca="1" si="66"/>
        <v>13.286886204841647</v>
      </c>
      <c r="U100" s="20">
        <f t="shared" ca="1" si="66"/>
        <v>13.455124238704002</v>
      </c>
      <c r="V100" s="20">
        <f t="shared" ca="1" si="66"/>
        <v>13.62672703324338</v>
      </c>
      <c r="W100" s="20">
        <f t="shared" ca="1" si="66"/>
        <v>13.801761883673636</v>
      </c>
      <c r="X100" s="20">
        <f t="shared" ca="1" si="66"/>
        <v>13.980297431112486</v>
      </c>
      <c r="Y100" s="20">
        <f t="shared" ca="1" si="66"/>
        <v>14.162403689500188</v>
      </c>
      <c r="Z100" s="20">
        <f t="shared" ca="1" si="66"/>
        <v>14.348152073055465</v>
      </c>
    </row>
    <row r="101" spans="1:26" x14ac:dyDescent="0.25">
      <c r="A101" s="12" t="s">
        <v>1189</v>
      </c>
      <c r="B101" s="14" t="str">
        <f>$B$38</f>
        <v>From Fiscal Forecasts</v>
      </c>
      <c r="C101" s="15"/>
      <c r="D101" s="50">
        <f>-'Fiscal Forecasts'!D$86</f>
        <v>-3.8039999999999998</v>
      </c>
      <c r="E101" s="50">
        <f>-'Fiscal Forecasts'!E$86</f>
        <v>14.148999999999999</v>
      </c>
      <c r="F101" s="50">
        <f>-'Fiscal Forecasts'!F$86</f>
        <v>-4.1890000000000001</v>
      </c>
      <c r="G101" s="50">
        <f>-'Fiscal Forecasts'!G$86</f>
        <v>4.9859999999999998</v>
      </c>
      <c r="H101" s="50">
        <f>-'Fiscal Forecasts'!H$86</f>
        <v>4.9059999999999997</v>
      </c>
      <c r="I101" s="50">
        <f>-'Fiscal Forecasts'!I$86</f>
        <v>10.231999999999999</v>
      </c>
      <c r="J101" s="50">
        <f>-'Fiscal Forecasts'!J$86</f>
        <v>9.7810000000000006</v>
      </c>
      <c r="K101" s="50">
        <f>-'Fiscal Forecasts'!K$86</f>
        <v>3.504</v>
      </c>
      <c r="L101" s="48">
        <f>-'Fiscal Forecasts'!L$86</f>
        <v>-3.746</v>
      </c>
      <c r="M101" s="48">
        <f>-'Fiscal Forecasts'!M$86</f>
        <v>1.909</v>
      </c>
      <c r="N101" s="48">
        <f>-'Fiscal Forecasts'!N$86</f>
        <v>2.5790000000000002</v>
      </c>
      <c r="O101" s="48">
        <f>-'Fiscal Forecasts'!O$86</f>
        <v>2.3109999999999999</v>
      </c>
      <c r="P101" s="48">
        <f>-'Fiscal Forecasts'!P$86</f>
        <v>0.222</v>
      </c>
      <c r="Q101" s="20">
        <f t="shared" ref="Q101:Z101" ca="1" si="67">SUM(Q$363-P$363,Q$372-P$372,Q$388-P$388)-SUM(Q$331,Q$334:Q$336)</f>
        <v>1.9837876892064781</v>
      </c>
      <c r="R101" s="20">
        <f t="shared" ca="1" si="67"/>
        <v>2.6988843835896503</v>
      </c>
      <c r="S101" s="20">
        <f t="shared" ca="1" si="67"/>
        <v>2.7449456672463821</v>
      </c>
      <c r="T101" s="20">
        <f t="shared" ca="1" si="67"/>
        <v>2.8265504614891821</v>
      </c>
      <c r="U101" s="20">
        <f t="shared" ca="1" si="67"/>
        <v>2.8717934592542171</v>
      </c>
      <c r="V101" s="20">
        <f t="shared" ca="1" si="67"/>
        <v>2.8030716584328381</v>
      </c>
      <c r="W101" s="20">
        <f t="shared" ca="1" si="67"/>
        <v>2.7603825830188526</v>
      </c>
      <c r="X101" s="20">
        <f t="shared" ca="1" si="67"/>
        <v>2.7752212758059098</v>
      </c>
      <c r="Y101" s="20">
        <f t="shared" ca="1" si="67"/>
        <v>2.9090510953257844</v>
      </c>
      <c r="Z101" s="20">
        <f t="shared" ca="1" si="67"/>
        <v>3.0999013669731141</v>
      </c>
    </row>
    <row r="102" spans="1:26" x14ac:dyDescent="0.25">
      <c r="A102" s="12" t="s">
        <v>1190</v>
      </c>
      <c r="B102" s="14" t="str">
        <f>$B$38</f>
        <v>From Fiscal Forecasts</v>
      </c>
      <c r="C102" s="15"/>
      <c r="D102" s="50">
        <f>-'Fiscal Forecasts'!D$87</f>
        <v>0.79100000000000004</v>
      </c>
      <c r="E102" s="50">
        <f>-'Fiscal Forecasts'!E$87</f>
        <v>0.85499999999999998</v>
      </c>
      <c r="F102" s="50">
        <f>-'Fiscal Forecasts'!F$87</f>
        <v>0.89800000000000002</v>
      </c>
      <c r="G102" s="50">
        <f>-'Fiscal Forecasts'!G$87</f>
        <v>0.71</v>
      </c>
      <c r="H102" s="50">
        <f>-'Fiscal Forecasts'!H$87</f>
        <v>0.86799999999999999</v>
      </c>
      <c r="I102" s="50">
        <f>-'Fiscal Forecasts'!I$87</f>
        <v>0.86</v>
      </c>
      <c r="J102" s="50">
        <f>-'Fiscal Forecasts'!J$87</f>
        <v>0.65500000000000003</v>
      </c>
      <c r="K102" s="50">
        <f>-'Fiscal Forecasts'!K$87</f>
        <v>0.64300000000000002</v>
      </c>
      <c r="L102" s="48">
        <f>-'Fiscal Forecasts'!L$87</f>
        <v>0.75900000000000001</v>
      </c>
      <c r="M102" s="48">
        <f>-'Fiscal Forecasts'!M$87</f>
        <v>0.73799999999999999</v>
      </c>
      <c r="N102" s="48">
        <f>-'Fiscal Forecasts'!N$87</f>
        <v>0.70799999999999996</v>
      </c>
      <c r="O102" s="48">
        <f>-'Fiscal Forecasts'!O$87</f>
        <v>0.70399999999999996</v>
      </c>
      <c r="P102" s="48">
        <f>-'Fiscal Forecasts'!P$87</f>
        <v>0.68500000000000005</v>
      </c>
      <c r="Q102" s="20">
        <f t="shared" ref="Q102:Z102" ca="1" si="68">SUM(Q$429-P$429,Q$115)</f>
        <v>0.99164146093765448</v>
      </c>
      <c r="R102" s="20">
        <f t="shared" ca="1" si="68"/>
        <v>1.0172626022435238</v>
      </c>
      <c r="S102" s="20">
        <f t="shared" ca="1" si="68"/>
        <v>1.0441580471889353</v>
      </c>
      <c r="T102" s="20">
        <f t="shared" ca="1" si="68"/>
        <v>1.0713842593911125</v>
      </c>
      <c r="U102" s="20">
        <f t="shared" ca="1" si="68"/>
        <v>1.1007231483534818</v>
      </c>
      <c r="V102" s="20">
        <f t="shared" ca="1" si="68"/>
        <v>1.1309755012288574</v>
      </c>
      <c r="W102" s="20">
        <f t="shared" ca="1" si="68"/>
        <v>1.1614050399844456</v>
      </c>
      <c r="X102" s="20">
        <f t="shared" ca="1" si="68"/>
        <v>1.1928126038600233</v>
      </c>
      <c r="Y102" s="20">
        <f t="shared" ca="1" si="68"/>
        <v>1.2257716083638355</v>
      </c>
      <c r="Z102" s="20">
        <f t="shared" ca="1" si="68"/>
        <v>1.2597030479597848</v>
      </c>
    </row>
    <row r="103" spans="1:26" x14ac:dyDescent="0.25">
      <c r="A103" s="12" t="s">
        <v>1191</v>
      </c>
      <c r="B103" s="14" t="str">
        <f>$B$38</f>
        <v>From Fiscal Forecasts</v>
      </c>
      <c r="C103" s="15"/>
      <c r="D103" s="50">
        <f>-'Fiscal Forecasts'!D$88</f>
        <v>1.9019999999999999</v>
      </c>
      <c r="E103" s="50">
        <f>-'Fiscal Forecasts'!E$88</f>
        <v>1.29</v>
      </c>
      <c r="F103" s="50">
        <f>-'Fiscal Forecasts'!F$88</f>
        <v>5.6630000000000003</v>
      </c>
      <c r="G103" s="50">
        <f>-'Fiscal Forecasts'!G$88</f>
        <v>12.958</v>
      </c>
      <c r="H103" s="50">
        <f>-'Fiscal Forecasts'!H$88</f>
        <v>8.2149999999999999</v>
      </c>
      <c r="I103" s="50">
        <f>-'Fiscal Forecasts'!I$88</f>
        <v>-0.151</v>
      </c>
      <c r="J103" s="50">
        <f>-'Fiscal Forecasts'!J$88</f>
        <v>-5.8879999999999999</v>
      </c>
      <c r="K103" s="50">
        <f>-'Fiscal Forecasts'!K$88</f>
        <v>-3.6070000000000002</v>
      </c>
      <c r="L103" s="48">
        <f>-'Fiscal Forecasts'!L$88</f>
        <v>3.653</v>
      </c>
      <c r="M103" s="48">
        <f>-'Fiscal Forecasts'!M$88</f>
        <v>5.1550000000000002</v>
      </c>
      <c r="N103" s="48">
        <f>-'Fiscal Forecasts'!N$88</f>
        <v>5.5149999999999997</v>
      </c>
      <c r="O103" s="48">
        <f>-'Fiscal Forecasts'!O$88</f>
        <v>5.9749999999999996</v>
      </c>
      <c r="P103" s="48">
        <f>-'Fiscal Forecasts'!P$88</f>
        <v>6.2590000000000003</v>
      </c>
      <c r="Q103" s="20">
        <f t="shared" ref="Q103:Z103" ca="1" si="69">SUM(Q$397-P$397,Q$402,-Q$404)</f>
        <v>4.3256040525072459</v>
      </c>
      <c r="R103" s="20">
        <f t="shared" ca="1" si="69"/>
        <v>3.796813452335003</v>
      </c>
      <c r="S103" s="20">
        <f t="shared" ca="1" si="69"/>
        <v>3.8836397704301993</v>
      </c>
      <c r="T103" s="20">
        <f t="shared" ca="1" si="69"/>
        <v>3.9629372065793005</v>
      </c>
      <c r="U103" s="20">
        <f t="shared" ca="1" si="69"/>
        <v>4.0750999071931329</v>
      </c>
      <c r="V103" s="20">
        <f t="shared" ca="1" si="69"/>
        <v>4.1958768417042132</v>
      </c>
      <c r="W103" s="20">
        <f t="shared" ca="1" si="69"/>
        <v>4.3078513858196112</v>
      </c>
      <c r="X103" s="20">
        <f t="shared" ca="1" si="69"/>
        <v>4.4369983310530081</v>
      </c>
      <c r="Y103" s="20">
        <f t="shared" ca="1" si="69"/>
        <v>4.6000964057544325</v>
      </c>
      <c r="Z103" s="20">
        <f t="shared" ca="1" si="69"/>
        <v>4.7734375495032326</v>
      </c>
    </row>
    <row r="104" spans="1:26" x14ac:dyDescent="0.25">
      <c r="A104" s="12" t="s">
        <v>1192</v>
      </c>
      <c r="B104" s="14" t="str">
        <f>$B$38</f>
        <v>From Fiscal Forecasts</v>
      </c>
      <c r="C104" s="15"/>
      <c r="D104" s="50">
        <f>-'Fiscal Forecasts'!D$89</f>
        <v>-0.13600000000000001</v>
      </c>
      <c r="E104" s="50">
        <f>-'Fiscal Forecasts'!E$89</f>
        <v>0.28599999999999998</v>
      </c>
      <c r="F104" s="50">
        <f>-'Fiscal Forecasts'!F$89</f>
        <v>0.39200000000000002</v>
      </c>
      <c r="G104" s="50">
        <f>-'Fiscal Forecasts'!G$89</f>
        <v>0.44800000000000001</v>
      </c>
      <c r="H104" s="50">
        <f>-'Fiscal Forecasts'!H$89</f>
        <v>0.20200000000000001</v>
      </c>
      <c r="I104" s="50">
        <f>-'Fiscal Forecasts'!I$89</f>
        <v>0.39700000000000002</v>
      </c>
      <c r="J104" s="50">
        <f>-'Fiscal Forecasts'!J$89</f>
        <v>0.40400000000000003</v>
      </c>
      <c r="K104" s="50">
        <f>-'Fiscal Forecasts'!K$89</f>
        <v>0.44700000000000001</v>
      </c>
      <c r="L104" s="48">
        <f>-'Fiscal Forecasts'!L$89</f>
        <v>0.30599999999999999</v>
      </c>
      <c r="M104" s="48">
        <f>-'Fiscal Forecasts'!M$89</f>
        <v>0.14399999999999999</v>
      </c>
      <c r="N104" s="48">
        <f>-'Fiscal Forecasts'!N$89</f>
        <v>4.5999999999999999E-2</v>
      </c>
      <c r="O104" s="48">
        <f>-'Fiscal Forecasts'!O$89</f>
        <v>4.5999999999999999E-2</v>
      </c>
      <c r="P104" s="48">
        <f>-'Fiscal Forecasts'!P$89</f>
        <v>4.4999999999999998E-2</v>
      </c>
      <c r="Q104" s="20">
        <f t="shared" ref="Q104:Z104" ca="1" si="70">SUM(Q$424-P$424,-Q$341)</f>
        <v>0.32345283774862377</v>
      </c>
      <c r="R104" s="20">
        <f t="shared" ca="1" si="70"/>
        <v>0.32827357558672093</v>
      </c>
      <c r="S104" s="20">
        <f t="shared" ca="1" si="70"/>
        <v>0.33317054040800032</v>
      </c>
      <c r="T104" s="20">
        <f t="shared" ca="1" si="70"/>
        <v>0.33815436948875899</v>
      </c>
      <c r="U104" s="20">
        <f t="shared" ca="1" si="70"/>
        <v>0.34318929924724173</v>
      </c>
      <c r="V104" s="20">
        <f t="shared" ca="1" si="70"/>
        <v>0.34827742761570046</v>
      </c>
      <c r="W104" s="20">
        <f t="shared" ca="1" si="70"/>
        <v>0.35343975578156162</v>
      </c>
      <c r="X104" s="20">
        <f t="shared" ca="1" si="70"/>
        <v>0.35867372671614572</v>
      </c>
      <c r="Y104" s="20">
        <f t="shared" ca="1" si="70"/>
        <v>0.36396351220295858</v>
      </c>
      <c r="Z104" s="20">
        <f t="shared" ca="1" si="70"/>
        <v>0.36931169937688901</v>
      </c>
    </row>
    <row r="105" spans="1:26" x14ac:dyDescent="0.25">
      <c r="A105" s="12" t="s">
        <v>1193</v>
      </c>
      <c r="B105" s="11"/>
      <c r="C105" s="15"/>
      <c r="D105" s="50">
        <f t="shared" ref="D105:Z105" si="71">SUM(D$432-C$432,D$435-C$435)</f>
        <v>0</v>
      </c>
      <c r="E105" s="50">
        <f t="shared" si="71"/>
        <v>0</v>
      </c>
      <c r="F105" s="50">
        <f t="shared" si="71"/>
        <v>0</v>
      </c>
      <c r="G105" s="50">
        <f t="shared" si="71"/>
        <v>0</v>
      </c>
      <c r="H105" s="50">
        <f t="shared" si="71"/>
        <v>0</v>
      </c>
      <c r="I105" s="50">
        <f t="shared" si="71"/>
        <v>0</v>
      </c>
      <c r="J105" s="50">
        <f t="shared" si="71"/>
        <v>0</v>
      </c>
      <c r="K105" s="50">
        <f t="shared" si="71"/>
        <v>0</v>
      </c>
      <c r="L105" s="48">
        <f t="shared" si="71"/>
        <v>-6.0000000000000053E-3</v>
      </c>
      <c r="M105" s="48">
        <f t="shared" si="71"/>
        <v>2.3870000000000005</v>
      </c>
      <c r="N105" s="48">
        <f t="shared" si="71"/>
        <v>3.628000000000001</v>
      </c>
      <c r="O105" s="48">
        <f t="shared" si="71"/>
        <v>4.3800000000000008</v>
      </c>
      <c r="P105" s="48">
        <f t="shared" si="71"/>
        <v>5.168000000000001</v>
      </c>
      <c r="Q105" s="20">
        <f t="shared" ca="1" si="71"/>
        <v>5.0820000000000007</v>
      </c>
      <c r="R105" s="20">
        <f t="shared" ca="1" si="71"/>
        <v>5.3194999999999979</v>
      </c>
      <c r="S105" s="20">
        <f t="shared" ca="1" si="71"/>
        <v>5.4988749999999982</v>
      </c>
      <c r="T105" s="20">
        <f t="shared" ca="1" si="71"/>
        <v>5.5052187499999974</v>
      </c>
      <c r="U105" s="20">
        <f t="shared" ca="1" si="71"/>
        <v>5.780479687499998</v>
      </c>
      <c r="V105" s="20">
        <f t="shared" ca="1" si="71"/>
        <v>6.0695036718750046</v>
      </c>
      <c r="W105" s="20">
        <f t="shared" ca="1" si="71"/>
        <v>6.3729788554687516</v>
      </c>
      <c r="X105" s="20">
        <f t="shared" ca="1" si="71"/>
        <v>6.6916277982421875</v>
      </c>
      <c r="Y105" s="20">
        <f t="shared" ca="1" si="71"/>
        <v>7.0262091881542972</v>
      </c>
      <c r="Z105" s="20">
        <f t="shared" ca="1" si="71"/>
        <v>7.3775196475620106</v>
      </c>
    </row>
    <row r="106" spans="1:26" x14ac:dyDescent="0.25">
      <c r="A106" s="11" t="s">
        <v>1194</v>
      </c>
      <c r="B106" s="11"/>
      <c r="C106" s="15"/>
      <c r="D106" s="94">
        <f t="shared" ref="D106:Z106" si="72">-SUM(D$100:D$105)</f>
        <v>-7.2170000000000005</v>
      </c>
      <c r="E106" s="94">
        <f t="shared" si="72"/>
        <v>-25.651</v>
      </c>
      <c r="F106" s="94">
        <f t="shared" si="72"/>
        <v>-12.157</v>
      </c>
      <c r="G106" s="94">
        <f t="shared" si="72"/>
        <v>-29.673999999999999</v>
      </c>
      <c r="H106" s="94">
        <f t="shared" si="72"/>
        <v>-28.462</v>
      </c>
      <c r="I106" s="94">
        <f t="shared" si="72"/>
        <v>-28.285999999999998</v>
      </c>
      <c r="J106" s="94">
        <f t="shared" si="72"/>
        <v>-19.006000000000004</v>
      </c>
      <c r="K106" s="94">
        <f t="shared" si="72"/>
        <v>-15.295999999999999</v>
      </c>
      <c r="L106" s="95">
        <f t="shared" si="72"/>
        <v>-17.673000000000002</v>
      </c>
      <c r="M106" s="95">
        <f t="shared" si="72"/>
        <v>-27.444999999999997</v>
      </c>
      <c r="N106" s="95">
        <f t="shared" si="72"/>
        <v>-27.656999999999996</v>
      </c>
      <c r="O106" s="95">
        <f t="shared" si="72"/>
        <v>-26.908000000000001</v>
      </c>
      <c r="P106" s="95">
        <f t="shared" si="72"/>
        <v>-25.621000000000002</v>
      </c>
      <c r="Q106" s="99">
        <f t="shared" ca="1" si="72"/>
        <v>-25.50819339356336</v>
      </c>
      <c r="R106" s="99">
        <f t="shared" ca="1" si="72"/>
        <v>-26.120975823746878</v>
      </c>
      <c r="S106" s="99">
        <f t="shared" ca="1" si="72"/>
        <v>-26.626735981230762</v>
      </c>
      <c r="T106" s="99">
        <f t="shared" ca="1" si="72"/>
        <v>-26.991131251789998</v>
      </c>
      <c r="U106" s="99">
        <f t="shared" ca="1" si="72"/>
        <v>-27.626409740252072</v>
      </c>
      <c r="V106" s="99">
        <f t="shared" ca="1" si="72"/>
        <v>-28.174432134099991</v>
      </c>
      <c r="W106" s="99">
        <f t="shared" ca="1" si="72"/>
        <v>-28.757819503746855</v>
      </c>
      <c r="X106" s="99">
        <f t="shared" ca="1" si="72"/>
        <v>-29.435631166789758</v>
      </c>
      <c r="Y106" s="99">
        <f t="shared" ca="1" si="72"/>
        <v>-30.287495499301496</v>
      </c>
      <c r="Z106" s="99">
        <f t="shared" ca="1" si="72"/>
        <v>-31.228025384430499</v>
      </c>
    </row>
    <row r="107" spans="1:26" x14ac:dyDescent="0.25">
      <c r="A107" s="12" t="s">
        <v>914</v>
      </c>
      <c r="B107" s="14" t="str">
        <f>$B$38</f>
        <v>From Fiscal Forecasts</v>
      </c>
      <c r="C107" s="15"/>
      <c r="D107" s="50">
        <f>'Fiscal Forecasts'!D$92</f>
        <v>0.437</v>
      </c>
      <c r="E107" s="50">
        <f>'Fiscal Forecasts'!E$92</f>
        <v>1.2090000000000001</v>
      </c>
      <c r="F107" s="50">
        <f>'Fiscal Forecasts'!F$92</f>
        <v>0.23400000000000001</v>
      </c>
      <c r="G107" s="50">
        <f>'Fiscal Forecasts'!G$92</f>
        <v>0.80500000000000005</v>
      </c>
      <c r="H107" s="50">
        <f>'Fiscal Forecasts'!H$92</f>
        <v>-5.8999999999999997E-2</v>
      </c>
      <c r="I107" s="50">
        <f>'Fiscal Forecasts'!I$92</f>
        <v>-2.4E-2</v>
      </c>
      <c r="J107" s="50">
        <f>'Fiscal Forecasts'!J$92</f>
        <v>0.17499999999999999</v>
      </c>
      <c r="K107" s="50">
        <f>'Fiscal Forecasts'!K$92</f>
        <v>1.1100000000000001</v>
      </c>
      <c r="L107" s="48">
        <f>'Fiscal Forecasts'!L$92</f>
        <v>-0.45600000000000002</v>
      </c>
      <c r="M107" s="48">
        <f>'Fiscal Forecasts'!M$92</f>
        <v>9.8000000000000004E-2</v>
      </c>
      <c r="N107" s="48">
        <f>'Fiscal Forecasts'!N$92</f>
        <v>9.9000000000000005E-2</v>
      </c>
      <c r="O107" s="48">
        <f>'Fiscal Forecasts'!O$92</f>
        <v>0.1</v>
      </c>
      <c r="P107" s="48">
        <f>'Fiscal Forecasts'!P$92</f>
        <v>0.10100000000000001</v>
      </c>
      <c r="Q107" s="20">
        <f t="shared" ref="Q107:Z107" ca="1" si="73">Q$439-P$439</f>
        <v>0.20407999999999937</v>
      </c>
      <c r="R107" s="20">
        <f t="shared" ca="1" si="73"/>
        <v>0.20816160000000039</v>
      </c>
      <c r="S107" s="20">
        <f t="shared" ca="1" si="73"/>
        <v>0.21232483200000019</v>
      </c>
      <c r="T107" s="20">
        <f t="shared" ca="1" si="73"/>
        <v>0.21657132864000062</v>
      </c>
      <c r="U107" s="20">
        <f t="shared" ca="1" si="73"/>
        <v>0.22090275521279956</v>
      </c>
      <c r="V107" s="20">
        <f t="shared" ca="1" si="73"/>
        <v>0.22532081031705609</v>
      </c>
      <c r="W107" s="20">
        <f t="shared" ca="1" si="73"/>
        <v>0.2298272265233976</v>
      </c>
      <c r="X107" s="20">
        <f t="shared" ca="1" si="73"/>
        <v>0.23442377105386569</v>
      </c>
      <c r="Y107" s="20">
        <f t="shared" ca="1" si="73"/>
        <v>0.23911224647494222</v>
      </c>
      <c r="Z107" s="20">
        <f t="shared" ca="1" si="73"/>
        <v>0.24389449140444164</v>
      </c>
    </row>
    <row r="108" spans="1:26" x14ac:dyDescent="0.25">
      <c r="A108" s="12" t="s">
        <v>1195</v>
      </c>
      <c r="B108" s="14" t="str">
        <f>$B$38</f>
        <v>From Fiscal Forecasts</v>
      </c>
      <c r="C108" s="15"/>
      <c r="D108" s="50">
        <f>SUM('Fiscal Forecasts'!D$93:D$96)</f>
        <v>-2.5789999999999997</v>
      </c>
      <c r="E108" s="50">
        <f>SUM('Fiscal Forecasts'!E$93:E$96)</f>
        <v>36.155999999999999</v>
      </c>
      <c r="F108" s="50">
        <f>SUM('Fiscal Forecasts'!F$93:F$96)</f>
        <v>7.3529999999999998</v>
      </c>
      <c r="G108" s="50">
        <f>SUM('Fiscal Forecasts'!G$93:G$96)</f>
        <v>33.409000000000006</v>
      </c>
      <c r="H108" s="50">
        <f>SUM('Fiscal Forecasts'!H$93:H$96)</f>
        <v>24.929000000000002</v>
      </c>
      <c r="I108" s="50">
        <f>SUM('Fiscal Forecasts'!I$93:I$96)</f>
        <v>28.588000000000001</v>
      </c>
      <c r="J108" s="50">
        <f>SUM('Fiscal Forecasts'!J$93:J$96)</f>
        <v>25.934000000000001</v>
      </c>
      <c r="K108" s="50">
        <f>SUM('Fiscal Forecasts'!K$93:K$96)</f>
        <v>16.634</v>
      </c>
      <c r="L108" s="48">
        <f>SUM('Fiscal Forecasts'!L$93:L$96)</f>
        <v>22.564000000000004</v>
      </c>
      <c r="M108" s="48">
        <f>SUM('Fiscal Forecasts'!M$93:M$96)</f>
        <v>19.970999999999997</v>
      </c>
      <c r="N108" s="48">
        <f>SUM('Fiscal Forecasts'!N$93:N$96)</f>
        <v>14.593</v>
      </c>
      <c r="O108" s="48">
        <f>SUM('Fiscal Forecasts'!O$93:O$96)</f>
        <v>8.2569999999999997</v>
      </c>
      <c r="P108" s="48">
        <f>SUM('Fiscal Forecasts'!P$93:P$96)</f>
        <v>3.2669999999999995</v>
      </c>
      <c r="Q108" s="20">
        <f t="shared" ref="Q108:Z108" ca="1" si="74">Q$347-P$347-SUM(Q$99,Q$106,Q$107)</f>
        <v>5.566485627358519</v>
      </c>
      <c r="R108" s="20">
        <f t="shared" ca="1" si="74"/>
        <v>7.2569746279484342</v>
      </c>
      <c r="S108" s="20">
        <f t="shared" ca="1" si="74"/>
        <v>7.9153941053545864</v>
      </c>
      <c r="T108" s="20">
        <f t="shared" ca="1" si="74"/>
        <v>7.8815328843556252</v>
      </c>
      <c r="U108" s="20">
        <f t="shared" ca="1" si="74"/>
        <v>8.1216110248023394</v>
      </c>
      <c r="V108" s="20">
        <f t="shared" ca="1" si="74"/>
        <v>8.4959970408633563</v>
      </c>
      <c r="W108" s="20">
        <f t="shared" ca="1" si="74"/>
        <v>8.918834660726052</v>
      </c>
      <c r="X108" s="20">
        <f t="shared" ca="1" si="74"/>
        <v>9.5159924476709961</v>
      </c>
      <c r="Y108" s="20">
        <f t="shared" ca="1" si="74"/>
        <v>10.182411378046837</v>
      </c>
      <c r="Z108" s="20">
        <f t="shared" ca="1" si="74"/>
        <v>11.065046507734893</v>
      </c>
    </row>
    <row r="109" spans="1:26" x14ac:dyDescent="0.25">
      <c r="A109" s="12" t="s">
        <v>1196</v>
      </c>
      <c r="B109" s="14" t="str">
        <f>$B$38</f>
        <v>From Fiscal Forecasts</v>
      </c>
      <c r="C109" s="15"/>
      <c r="D109" s="50">
        <f>-'Fiscal Forecasts'!D$97</f>
        <v>0.504</v>
      </c>
      <c r="E109" s="50">
        <f>-'Fiscal Forecasts'!E$97</f>
        <v>0.47899999999999998</v>
      </c>
      <c r="F109" s="50">
        <f>-'Fiscal Forecasts'!F$97</f>
        <v>0.373</v>
      </c>
      <c r="G109" s="50">
        <f>-'Fiscal Forecasts'!G$97</f>
        <v>0.30399999999999999</v>
      </c>
      <c r="H109" s="50">
        <f>-'Fiscal Forecasts'!H$97</f>
        <v>0.372</v>
      </c>
      <c r="I109" s="50">
        <f>-'Fiscal Forecasts'!I$97</f>
        <v>0.505</v>
      </c>
      <c r="J109" s="50">
        <f>-'Fiscal Forecasts'!J$97</f>
        <v>0.40899999999999997</v>
      </c>
      <c r="K109" s="50">
        <f>-'Fiscal Forecasts'!K$97</f>
        <v>0.40600000000000003</v>
      </c>
      <c r="L109" s="48">
        <f>-'Fiscal Forecasts'!L$97</f>
        <v>0.46100000000000002</v>
      </c>
      <c r="M109" s="48">
        <f>-'Fiscal Forecasts'!M$97</f>
        <v>0.49099999999999999</v>
      </c>
      <c r="N109" s="48">
        <f>-'Fiscal Forecasts'!N$97</f>
        <v>0.54100000000000004</v>
      </c>
      <c r="O109" s="48">
        <f>-'Fiscal Forecasts'!O$97</f>
        <v>0.60199999999999998</v>
      </c>
      <c r="P109" s="48">
        <f>-'Fiscal Forecasts'!P$97</f>
        <v>0.63300000000000001</v>
      </c>
      <c r="Q109" s="20">
        <f t="shared" ref="Q109:Z109" si="75">Q$38-Q$40</f>
        <v>0.54411323896752695</v>
      </c>
      <c r="R109" s="20">
        <f t="shared" ca="1" si="75"/>
        <v>0.54065541675415218</v>
      </c>
      <c r="S109" s="20">
        <f t="shared" ca="1" si="75"/>
        <v>0.5379055157976036</v>
      </c>
      <c r="T109" s="20">
        <f t="shared" ca="1" si="75"/>
        <v>0.53614116199434081</v>
      </c>
      <c r="U109" s="20">
        <f t="shared" ca="1" si="75"/>
        <v>0.53595960803659248</v>
      </c>
      <c r="V109" s="20">
        <f t="shared" ca="1" si="75"/>
        <v>0.53732027181439923</v>
      </c>
      <c r="W109" s="20">
        <f t="shared" ca="1" si="75"/>
        <v>0.53877325425244993</v>
      </c>
      <c r="X109" s="20">
        <f t="shared" ca="1" si="75"/>
        <v>0.54015160457347311</v>
      </c>
      <c r="Y109" s="20">
        <f t="shared" ca="1" si="75"/>
        <v>0.54135872009917663</v>
      </c>
      <c r="Z109" s="20">
        <f t="shared" ca="1" si="75"/>
        <v>0.54260790119144009</v>
      </c>
    </row>
    <row r="110" spans="1:26" x14ac:dyDescent="0.25">
      <c r="A110" s="11" t="s">
        <v>1197</v>
      </c>
      <c r="B110" s="11"/>
      <c r="C110" s="15"/>
      <c r="D110" s="94">
        <f t="shared" ref="D110:Z110" si="76">(D$107+D$108-D$109)</f>
        <v>-2.6459999999999999</v>
      </c>
      <c r="E110" s="94">
        <f t="shared" si="76"/>
        <v>36.886000000000003</v>
      </c>
      <c r="F110" s="94">
        <f t="shared" si="76"/>
        <v>7.2139999999999995</v>
      </c>
      <c r="G110" s="94">
        <f t="shared" si="76"/>
        <v>33.910000000000004</v>
      </c>
      <c r="H110" s="94">
        <f t="shared" si="76"/>
        <v>24.498000000000001</v>
      </c>
      <c r="I110" s="94">
        <f t="shared" si="76"/>
        <v>28.059000000000001</v>
      </c>
      <c r="J110" s="94">
        <f t="shared" si="76"/>
        <v>25.700000000000003</v>
      </c>
      <c r="K110" s="94">
        <f t="shared" si="76"/>
        <v>17.338000000000001</v>
      </c>
      <c r="L110" s="95">
        <f t="shared" si="76"/>
        <v>21.647000000000006</v>
      </c>
      <c r="M110" s="95">
        <f t="shared" si="76"/>
        <v>19.577999999999996</v>
      </c>
      <c r="N110" s="95">
        <f t="shared" si="76"/>
        <v>14.151</v>
      </c>
      <c r="O110" s="95">
        <f t="shared" si="76"/>
        <v>7.754999999999999</v>
      </c>
      <c r="P110" s="95">
        <f t="shared" si="76"/>
        <v>2.7349999999999994</v>
      </c>
      <c r="Q110" s="99">
        <f t="shared" ca="1" si="76"/>
        <v>5.2264523883909915</v>
      </c>
      <c r="R110" s="99">
        <f t="shared" ca="1" si="76"/>
        <v>6.9244808111942824</v>
      </c>
      <c r="S110" s="99">
        <f t="shared" ca="1" si="76"/>
        <v>7.5898134215569826</v>
      </c>
      <c r="T110" s="99">
        <f t="shared" ca="1" si="76"/>
        <v>7.5619630510012854</v>
      </c>
      <c r="U110" s="99">
        <f t="shared" ca="1" si="76"/>
        <v>7.8065541719785463</v>
      </c>
      <c r="V110" s="99">
        <f t="shared" ca="1" si="76"/>
        <v>8.1839975793660127</v>
      </c>
      <c r="W110" s="99">
        <f t="shared" ca="1" si="76"/>
        <v>8.6098886329970004</v>
      </c>
      <c r="X110" s="99">
        <f t="shared" ca="1" si="76"/>
        <v>9.210264614151388</v>
      </c>
      <c r="Y110" s="99">
        <f t="shared" ca="1" si="76"/>
        <v>9.8801649044226014</v>
      </c>
      <c r="Z110" s="99">
        <f t="shared" ca="1" si="76"/>
        <v>10.766333097947895</v>
      </c>
    </row>
    <row r="111" spans="1:26" x14ac:dyDescent="0.25">
      <c r="A111" s="11" t="s">
        <v>921</v>
      </c>
      <c r="B111" s="11"/>
      <c r="C111" s="15"/>
      <c r="D111" s="94">
        <f t="shared" ref="D111:Z111" si="77">SUM(D$99,D$106,D$110)</f>
        <v>1.1099999999999985</v>
      </c>
      <c r="E111" s="94">
        <f t="shared" si="77"/>
        <v>0.83900000000000574</v>
      </c>
      <c r="F111" s="94">
        <f t="shared" si="77"/>
        <v>-1.8389999999999871</v>
      </c>
      <c r="G111" s="94">
        <f t="shared" si="77"/>
        <v>-1.1410000000000053</v>
      </c>
      <c r="H111" s="94">
        <f t="shared" si="77"/>
        <v>0.56099999999997863</v>
      </c>
      <c r="I111" s="94">
        <f t="shared" si="77"/>
        <v>-2.5330000000000368</v>
      </c>
      <c r="J111" s="94">
        <f t="shared" si="77"/>
        <v>7.3930000000000113</v>
      </c>
      <c r="K111" s="94">
        <f t="shared" si="77"/>
        <v>4.5739999999999839</v>
      </c>
      <c r="L111" s="95">
        <f t="shared" ca="1" si="77"/>
        <v>0.1740000000000208</v>
      </c>
      <c r="M111" s="95">
        <f t="shared" ca="1" si="77"/>
        <v>-0.2199999999999811</v>
      </c>
      <c r="N111" s="95">
        <f t="shared" ca="1" si="77"/>
        <v>0.27300000000002811</v>
      </c>
      <c r="O111" s="95">
        <f t="shared" ca="1" si="77"/>
        <v>-0.36900000000001043</v>
      </c>
      <c r="P111" s="95">
        <f t="shared" ca="1" si="77"/>
        <v>-0.4310000000000187</v>
      </c>
      <c r="Q111" s="99">
        <f t="shared" ca="1" si="77"/>
        <v>0.72722349197297387</v>
      </c>
      <c r="R111" s="99">
        <f t="shared" ca="1" si="77"/>
        <v>0.78284427524118172</v>
      </c>
      <c r="S111" s="99">
        <f t="shared" ca="1" si="77"/>
        <v>0.82400168104932803</v>
      </c>
      <c r="T111" s="99">
        <f t="shared" ca="1" si="77"/>
        <v>0.86240394998212011</v>
      </c>
      <c r="U111" s="99">
        <f t="shared" ca="1" si="77"/>
        <v>0.91188600324515701</v>
      </c>
      <c r="V111" s="99">
        <f t="shared" ca="1" si="77"/>
        <v>0.96192453114824339</v>
      </c>
      <c r="W111" s="99">
        <f t="shared" ca="1" si="77"/>
        <v>1.0083944769988928</v>
      </c>
      <c r="X111" s="99">
        <f t="shared" ca="1" si="77"/>
        <v>1.0599005042706224</v>
      </c>
      <c r="Y111" s="99">
        <f t="shared" ca="1" si="77"/>
        <v>1.1221837707241118</v>
      </c>
      <c r="Z111" s="99">
        <f t="shared" ca="1" si="77"/>
        <v>1.1882397444529271</v>
      </c>
    </row>
    <row r="112" spans="1:26" x14ac:dyDescent="0.25">
      <c r="A112" s="57" t="s">
        <v>1198</v>
      </c>
      <c r="B112" s="11"/>
      <c r="C112" s="15"/>
      <c r="D112" s="89"/>
      <c r="E112" s="89"/>
      <c r="F112" s="89"/>
      <c r="G112" s="89"/>
      <c r="H112" s="89"/>
      <c r="I112" s="89"/>
      <c r="J112" s="89"/>
      <c r="K112" s="89"/>
      <c r="L112" s="66"/>
      <c r="M112" s="66"/>
      <c r="N112" s="66"/>
      <c r="O112" s="66"/>
      <c r="P112" s="66"/>
      <c r="Q112" s="17"/>
      <c r="R112" s="17"/>
      <c r="S112" s="17"/>
      <c r="T112" s="17"/>
      <c r="U112" s="17"/>
      <c r="V112" s="17"/>
      <c r="W112" s="17"/>
      <c r="X112" s="17"/>
      <c r="Y112" s="17"/>
      <c r="Z112" s="17"/>
    </row>
    <row r="113" spans="1:26" x14ac:dyDescent="0.25">
      <c r="A113" s="11" t="s">
        <v>1199</v>
      </c>
      <c r="B113" s="11"/>
      <c r="C113" s="15"/>
      <c r="D113" s="51">
        <f t="shared" ref="D113:Z113" si="78">SUM(D$337,D$341,-D$38)</f>
        <v>-7.3769999999999989</v>
      </c>
      <c r="E113" s="51">
        <f t="shared" si="78"/>
        <v>-7.1269999999999998</v>
      </c>
      <c r="F113" s="51">
        <f t="shared" si="78"/>
        <v>20.545999999999999</v>
      </c>
      <c r="G113" s="51">
        <f t="shared" si="78"/>
        <v>-7.6029999999999998</v>
      </c>
      <c r="H113" s="51">
        <f t="shared" si="78"/>
        <v>14.132000000000001</v>
      </c>
      <c r="I113" s="51">
        <f t="shared" si="78"/>
        <v>4.3490000000000002</v>
      </c>
      <c r="J113" s="51">
        <f t="shared" si="78"/>
        <v>9.2910000000000021</v>
      </c>
      <c r="K113" s="51">
        <f t="shared" si="78"/>
        <v>11.493</v>
      </c>
      <c r="L113" s="47">
        <f t="shared" si="78"/>
        <v>5.6529999999999996</v>
      </c>
      <c r="M113" s="47">
        <f t="shared" si="78"/>
        <v>5.9889999999999999</v>
      </c>
      <c r="N113" s="47">
        <f t="shared" si="78"/>
        <v>6.452</v>
      </c>
      <c r="O113" s="47">
        <f t="shared" si="78"/>
        <v>6.8119999999999994</v>
      </c>
      <c r="P113" s="47">
        <f t="shared" si="78"/>
        <v>7.27</v>
      </c>
      <c r="Q113" s="21">
        <f t="shared" ca="1" si="78"/>
        <v>7.6572790922277196</v>
      </c>
      <c r="R113" s="21">
        <f t="shared" ca="1" si="78"/>
        <v>8.1526931321229306</v>
      </c>
      <c r="S113" s="21">
        <f t="shared" ca="1" si="78"/>
        <v>8.6746683472306803</v>
      </c>
      <c r="T113" s="21">
        <f t="shared" ca="1" si="78"/>
        <v>9.2260881917070119</v>
      </c>
      <c r="U113" s="21">
        <f t="shared" ca="1" si="78"/>
        <v>9.8058646412981876</v>
      </c>
      <c r="V113" s="21">
        <f t="shared" ca="1" si="78"/>
        <v>10.407207446737697</v>
      </c>
      <c r="W113" s="21">
        <f t="shared" ca="1" si="78"/>
        <v>11.035010025531193</v>
      </c>
      <c r="X113" s="21">
        <f t="shared" ca="1" si="78"/>
        <v>11.694357565495913</v>
      </c>
      <c r="Y113" s="21">
        <f t="shared" ca="1" si="78"/>
        <v>12.392549417281048</v>
      </c>
      <c r="Z113" s="21">
        <f t="shared" ca="1" si="78"/>
        <v>13.135911103781851</v>
      </c>
    </row>
    <row r="114" spans="1:26" x14ac:dyDescent="0.25">
      <c r="A114" s="12" t="s">
        <v>872</v>
      </c>
      <c r="B114" s="14"/>
      <c r="C114" s="15"/>
      <c r="D114" s="50">
        <f t="shared" ref="D114:Z114" si="79">D$218</f>
        <v>4.5540000000000003</v>
      </c>
      <c r="E114" s="50">
        <f t="shared" si="79"/>
        <v>5.2940000000000005</v>
      </c>
      <c r="F114" s="50">
        <f t="shared" si="79"/>
        <v>5.5660000000000007</v>
      </c>
      <c r="G114" s="50">
        <f t="shared" si="79"/>
        <v>6.1520000000000001</v>
      </c>
      <c r="H114" s="50">
        <f t="shared" si="79"/>
        <v>6.6009999999999991</v>
      </c>
      <c r="I114" s="50">
        <f t="shared" si="79"/>
        <v>7.6210000000000004</v>
      </c>
      <c r="J114" s="50">
        <f t="shared" si="79"/>
        <v>8.2940000000000005</v>
      </c>
      <c r="K114" s="50">
        <f t="shared" si="79"/>
        <v>8.6809999999999992</v>
      </c>
      <c r="L114" s="48">
        <f t="shared" si="79"/>
        <v>8.9619999999999997</v>
      </c>
      <c r="M114" s="48">
        <f t="shared" si="79"/>
        <v>9.2749999999999986</v>
      </c>
      <c r="N114" s="48">
        <f t="shared" si="79"/>
        <v>9.4580000000000002</v>
      </c>
      <c r="O114" s="48">
        <f t="shared" si="79"/>
        <v>9.8339999999999996</v>
      </c>
      <c r="P114" s="48">
        <f t="shared" si="79"/>
        <v>9.9480000000000004</v>
      </c>
      <c r="Q114" s="20">
        <f t="shared" ca="1" si="79"/>
        <v>9.7296873531633512</v>
      </c>
      <c r="R114" s="20">
        <f t="shared" ca="1" si="79"/>
        <v>9.8267814099919946</v>
      </c>
      <c r="S114" s="20">
        <f t="shared" ca="1" si="79"/>
        <v>9.92581734795721</v>
      </c>
      <c r="T114" s="20">
        <f t="shared" ca="1" si="79"/>
        <v>10.026834004681728</v>
      </c>
      <c r="U114" s="20">
        <f t="shared" ca="1" si="79"/>
        <v>10.129870994540738</v>
      </c>
      <c r="V114" s="20">
        <f t="shared" ca="1" si="79"/>
        <v>10.234968724196928</v>
      </c>
      <c r="W114" s="20">
        <f t="shared" ca="1" si="79"/>
        <v>10.342168408446243</v>
      </c>
      <c r="X114" s="20">
        <f t="shared" ca="1" si="79"/>
        <v>10.451512086380543</v>
      </c>
      <c r="Y114" s="20">
        <f t="shared" ca="1" si="79"/>
        <v>10.563042637873529</v>
      </c>
      <c r="Z114" s="20">
        <f t="shared" ca="1" si="79"/>
        <v>10.676803800396376</v>
      </c>
    </row>
    <row r="115" spans="1:26" x14ac:dyDescent="0.25">
      <c r="A115" s="12" t="s">
        <v>926</v>
      </c>
      <c r="B115" s="14" t="str">
        <f t="shared" ref="B115:B120" si="80">$B$38</f>
        <v>From Fiscal Forecasts</v>
      </c>
      <c r="C115" s="15"/>
      <c r="D115" s="50">
        <f>-'Fiscal Forecasts'!D$104</f>
        <v>-1.5799999999999996</v>
      </c>
      <c r="E115" s="50">
        <f>-'Fiscal Forecasts'!E$104</f>
        <v>2.726</v>
      </c>
      <c r="F115" s="50">
        <f>-'Fiscal Forecasts'!F$104</f>
        <v>1.0489999999999999</v>
      </c>
      <c r="G115" s="50">
        <f>-'Fiscal Forecasts'!G$104</f>
        <v>-0.26900000000000002</v>
      </c>
      <c r="H115" s="50">
        <f>-'Fiscal Forecasts'!H$104</f>
        <v>0.73399999999999999</v>
      </c>
      <c r="I115" s="50">
        <f>-'Fiscal Forecasts'!I$104</f>
        <v>1.1950000000000001</v>
      </c>
      <c r="J115" s="50">
        <f>-'Fiscal Forecasts'!J$104</f>
        <v>0.97499999999999998</v>
      </c>
      <c r="K115" s="50">
        <f>-'Fiscal Forecasts'!K$104</f>
        <v>1.589</v>
      </c>
      <c r="L115" s="48">
        <f>-'Fiscal Forecasts'!L$104</f>
        <v>0.871</v>
      </c>
      <c r="M115" s="48">
        <f>-'Fiscal Forecasts'!M$104</f>
        <v>0.89200000000000002</v>
      </c>
      <c r="N115" s="48">
        <f>-'Fiscal Forecasts'!N$104</f>
        <v>0.91400000000000003</v>
      </c>
      <c r="O115" s="48">
        <f>-'Fiscal Forecasts'!O$104</f>
        <v>0.878</v>
      </c>
      <c r="P115" s="48">
        <f>-'Fiscal Forecasts'!P$104</f>
        <v>0.85699999999999998</v>
      </c>
      <c r="Q115" s="20">
        <f t="shared" ref="Q115:Z115" ca="1" si="81">SUM(Q$219,Q$220)</f>
        <v>0.87106089756178018</v>
      </c>
      <c r="R115" s="20">
        <f t="shared" ca="1" si="81"/>
        <v>0.89422465669387186</v>
      </c>
      <c r="S115" s="20">
        <f t="shared" ca="1" si="81"/>
        <v>0.91786048368810702</v>
      </c>
      <c r="T115" s="20">
        <f t="shared" ca="1" si="81"/>
        <v>0.9421224895868836</v>
      </c>
      <c r="U115" s="20">
        <f t="shared" ca="1" si="81"/>
        <v>0.96695392524206092</v>
      </c>
      <c r="V115" s="20">
        <f t="shared" ca="1" si="81"/>
        <v>0.99265125138392873</v>
      </c>
      <c r="W115" s="20">
        <f t="shared" ca="1" si="81"/>
        <v>1.0192236069595728</v>
      </c>
      <c r="X115" s="20">
        <f t="shared" ca="1" si="81"/>
        <v>1.0465369348744327</v>
      </c>
      <c r="Y115" s="20">
        <f t="shared" ca="1" si="81"/>
        <v>1.0746367734255748</v>
      </c>
      <c r="Z115" s="20">
        <f t="shared" ca="1" si="81"/>
        <v>1.1036700671419546</v>
      </c>
    </row>
    <row r="116" spans="1:26" x14ac:dyDescent="0.25">
      <c r="A116" s="12" t="s">
        <v>927</v>
      </c>
      <c r="B116" s="14" t="str">
        <f t="shared" si="80"/>
        <v>From Fiscal Forecasts</v>
      </c>
      <c r="C116" s="15"/>
      <c r="D116" s="50">
        <f>-'Fiscal Forecasts'!D$105</f>
        <v>0.76300000000000001</v>
      </c>
      <c r="E116" s="50">
        <f>-'Fiscal Forecasts'!E$105</f>
        <v>1.2789999999999999</v>
      </c>
      <c r="F116" s="50">
        <f>-'Fiscal Forecasts'!F$105</f>
        <v>1.0389999999999999</v>
      </c>
      <c r="G116" s="50">
        <f>-'Fiscal Forecasts'!G$105</f>
        <v>0.85799999999999998</v>
      </c>
      <c r="H116" s="50">
        <f>-'Fiscal Forecasts'!H$105</f>
        <v>0.73799999999999999</v>
      </c>
      <c r="I116" s="50">
        <f>-'Fiscal Forecasts'!I$105</f>
        <v>0.71899999999999997</v>
      </c>
      <c r="J116" s="50">
        <f>-'Fiscal Forecasts'!J$105</f>
        <v>0.66100000000000003</v>
      </c>
      <c r="K116" s="50">
        <f>-'Fiscal Forecasts'!K$105</f>
        <v>0.82699999999999996</v>
      </c>
      <c r="L116" s="48">
        <f>-'Fiscal Forecasts'!L$105</f>
        <v>0.78500000000000003</v>
      </c>
      <c r="M116" s="48">
        <f>-'Fiscal Forecasts'!M$105</f>
        <v>0.84799999999999998</v>
      </c>
      <c r="N116" s="48">
        <f>-'Fiscal Forecasts'!N$105</f>
        <v>0.92200000000000004</v>
      </c>
      <c r="O116" s="48">
        <f>-'Fiscal Forecasts'!O$105</f>
        <v>0.89200000000000002</v>
      </c>
      <c r="P116" s="48">
        <f>-'Fiscal Forecasts'!P$105</f>
        <v>0.92200000000000004</v>
      </c>
      <c r="Q116" s="20">
        <f t="shared" ref="Q116:Z116" si="82">Q$402</f>
        <v>0.91100000000000003</v>
      </c>
      <c r="R116" s="20">
        <f t="shared" si="82"/>
        <v>0.93799999999999994</v>
      </c>
      <c r="S116" s="20">
        <f t="shared" si="82"/>
        <v>0.96199999999999997</v>
      </c>
      <c r="T116" s="20">
        <f t="shared" si="82"/>
        <v>0.98499999999999999</v>
      </c>
      <c r="U116" s="20">
        <f t="shared" si="82"/>
        <v>1.006</v>
      </c>
      <c r="V116" s="20">
        <f t="shared" si="82"/>
        <v>1.0249999999999999</v>
      </c>
      <c r="W116" s="20">
        <f t="shared" si="82"/>
        <v>1.046</v>
      </c>
      <c r="X116" s="20">
        <f t="shared" si="82"/>
        <v>1.0669999999999999</v>
      </c>
      <c r="Y116" s="20">
        <f t="shared" si="82"/>
        <v>1.0880000000000001</v>
      </c>
      <c r="Z116" s="20">
        <f t="shared" si="82"/>
        <v>1.109</v>
      </c>
    </row>
    <row r="117" spans="1:26" x14ac:dyDescent="0.25">
      <c r="A117" s="12" t="s">
        <v>1200</v>
      </c>
      <c r="B117" s="14" t="str">
        <f t="shared" si="80"/>
        <v>From Fiscal Forecasts</v>
      </c>
      <c r="C117" s="15"/>
      <c r="D117" s="50">
        <f>-'Fiscal Forecasts'!D$106</f>
        <v>4.1000000000000002E-2</v>
      </c>
      <c r="E117" s="50">
        <f>-'Fiscal Forecasts'!E$106</f>
        <v>5.2999999999999999E-2</v>
      </c>
      <c r="F117" s="50">
        <f>-'Fiscal Forecasts'!F$106</f>
        <v>1E-3</v>
      </c>
      <c r="G117" s="50">
        <f>-'Fiscal Forecasts'!G$106</f>
        <v>3.7999999999999999E-2</v>
      </c>
      <c r="H117" s="50">
        <f>-'Fiscal Forecasts'!H$106</f>
        <v>9.7000000000000003E-2</v>
      </c>
      <c r="I117" s="50">
        <f>-'Fiscal Forecasts'!I$106</f>
        <v>0.123</v>
      </c>
      <c r="J117" s="50">
        <f>-'Fiscal Forecasts'!J$106</f>
        <v>6.4000000000000001E-2</v>
      </c>
      <c r="K117" s="50">
        <f>-'Fiscal Forecasts'!K$106</f>
        <v>7.6999999999999999E-2</v>
      </c>
      <c r="L117" s="48">
        <f>-'Fiscal Forecasts'!L$106</f>
        <v>-3.3000000000000002E-2</v>
      </c>
      <c r="M117" s="48">
        <f>-'Fiscal Forecasts'!M$106</f>
        <v>3.4000000000000002E-2</v>
      </c>
      <c r="N117" s="48">
        <f>-'Fiscal Forecasts'!N$106</f>
        <v>4.2999999999999997E-2</v>
      </c>
      <c r="O117" s="48">
        <f>-'Fiscal Forecasts'!O$106</f>
        <v>4.5999999999999999E-2</v>
      </c>
      <c r="P117" s="48">
        <f>-'Fiscal Forecasts'!P$106</f>
        <v>5.1999999999999998E-2</v>
      </c>
      <c r="Q117" s="20">
        <f ca="1">IF(Q$6=OFFSET(Assumptions!$B$8,0,$C$1),OFFSET(Assumptions!$B$9,0,$C$1),P$117)</f>
        <v>0</v>
      </c>
      <c r="R117" s="20">
        <f ca="1">IF(R$6=OFFSET(Assumptions!$B$8,0,$C$1),OFFSET(Assumptions!$B$9,0,$C$1),Q$117)</f>
        <v>0</v>
      </c>
      <c r="S117" s="20">
        <f ca="1">IF(S$6=OFFSET(Assumptions!$B$8,0,$C$1),OFFSET(Assumptions!$B$9,0,$C$1),R$117)</f>
        <v>0</v>
      </c>
      <c r="T117" s="20">
        <f ca="1">IF(T$6=OFFSET(Assumptions!$B$8,0,$C$1),OFFSET(Assumptions!$B$9,0,$C$1),S$117)</f>
        <v>0</v>
      </c>
      <c r="U117" s="20">
        <f ca="1">IF(U$6=OFFSET(Assumptions!$B$8,0,$C$1),OFFSET(Assumptions!$B$9,0,$C$1),T$117)</f>
        <v>0</v>
      </c>
      <c r="V117" s="20">
        <f ca="1">IF(V$6=OFFSET(Assumptions!$B$8,0,$C$1),OFFSET(Assumptions!$B$9,0,$C$1),U$117)</f>
        <v>0</v>
      </c>
      <c r="W117" s="20">
        <f ca="1">IF(W$6=OFFSET(Assumptions!$B$8,0,$C$1),OFFSET(Assumptions!$B$9,0,$C$1),V$117)</f>
        <v>0</v>
      </c>
      <c r="X117" s="20">
        <f ca="1">IF(X$6=OFFSET(Assumptions!$B$8,0,$C$1),OFFSET(Assumptions!$B$9,0,$C$1),W$117)</f>
        <v>0</v>
      </c>
      <c r="Y117" s="20">
        <f ca="1">IF(Y$6=OFFSET(Assumptions!$B$8,0,$C$1),OFFSET(Assumptions!$B$9,0,$C$1),X$117)</f>
        <v>0</v>
      </c>
      <c r="Z117" s="20">
        <f ca="1">IF(Z$6=OFFSET(Assumptions!$B$8,0,$C$1),OFFSET(Assumptions!$B$9,0,$C$1),Y$117)</f>
        <v>0</v>
      </c>
    </row>
    <row r="118" spans="1:26" x14ac:dyDescent="0.25">
      <c r="A118" s="12" t="s">
        <v>929</v>
      </c>
      <c r="B118" s="14" t="str">
        <f t="shared" si="80"/>
        <v>From Fiscal Forecasts</v>
      </c>
      <c r="C118" s="15"/>
      <c r="D118" s="50">
        <f>-'Fiscal Forecasts'!D$107</f>
        <v>1.768</v>
      </c>
      <c r="E118" s="50">
        <f>-'Fiscal Forecasts'!E$107</f>
        <v>2.351</v>
      </c>
      <c r="F118" s="50">
        <f>-'Fiscal Forecasts'!F$107</f>
        <v>1.8680000000000001</v>
      </c>
      <c r="G118" s="50">
        <f>-'Fiscal Forecasts'!G$107</f>
        <v>1.696</v>
      </c>
      <c r="H118" s="50">
        <f>-'Fiscal Forecasts'!H$107</f>
        <v>3.5249999999999999</v>
      </c>
      <c r="I118" s="50">
        <f>-'Fiscal Forecasts'!I$107</f>
        <v>3.8380000000000001</v>
      </c>
      <c r="J118" s="50">
        <f>-'Fiscal Forecasts'!J$107</f>
        <v>4.3390000000000004</v>
      </c>
      <c r="K118" s="50">
        <f>-'Fiscal Forecasts'!K$107</f>
        <v>1.9279999999999999</v>
      </c>
      <c r="L118" s="48">
        <f>-'Fiscal Forecasts'!L$107</f>
        <v>1.6359999999999999</v>
      </c>
      <c r="M118" s="48">
        <f>-'Fiscal Forecasts'!M$107</f>
        <v>1.998</v>
      </c>
      <c r="N118" s="48">
        <f>-'Fiscal Forecasts'!N$107</f>
        <v>2.1019999999999999</v>
      </c>
      <c r="O118" s="48">
        <f>-'Fiscal Forecasts'!O$107</f>
        <v>2.2869999999999999</v>
      </c>
      <c r="P118" s="48">
        <f>-'Fiscal Forecasts'!P$107</f>
        <v>2.4569999999999999</v>
      </c>
      <c r="Q118" s="20">
        <f t="shared" ref="Q118:Z118" ca="1" si="83">Q$460-P$460</f>
        <v>3.530282328841821</v>
      </c>
      <c r="R118" s="20">
        <f t="shared" ca="1" si="83"/>
        <v>3.7140215577371549</v>
      </c>
      <c r="S118" s="20">
        <f t="shared" ca="1" si="83"/>
        <v>3.8122098213394651</v>
      </c>
      <c r="T118" s="20">
        <f t="shared" ca="1" si="83"/>
        <v>4.0095513075182794</v>
      </c>
      <c r="U118" s="20">
        <f t="shared" ca="1" si="83"/>
        <v>4.1935672940409034</v>
      </c>
      <c r="V118" s="20">
        <f t="shared" ca="1" si="83"/>
        <v>4.400995933931739</v>
      </c>
      <c r="W118" s="20">
        <f t="shared" ca="1" si="83"/>
        <v>4.618973898877428</v>
      </c>
      <c r="X118" s="20">
        <f t="shared" ca="1" si="83"/>
        <v>4.8066237935115765</v>
      </c>
      <c r="Y118" s="20">
        <f t="shared" ca="1" si="83"/>
        <v>5.0381852717342639</v>
      </c>
      <c r="Z118" s="20">
        <f t="shared" ca="1" si="83"/>
        <v>5.2154521576891852</v>
      </c>
    </row>
    <row r="119" spans="1:26" x14ac:dyDescent="0.25">
      <c r="A119" s="12" t="s">
        <v>1475</v>
      </c>
      <c r="B119" s="14" t="str">
        <f t="shared" si="80"/>
        <v>From Fiscal Forecasts</v>
      </c>
      <c r="C119" s="15"/>
      <c r="D119" s="50">
        <f>-'Fiscal Forecasts'!D$108</f>
        <v>0</v>
      </c>
      <c r="E119" s="50">
        <f>-'Fiscal Forecasts'!E$108</f>
        <v>0</v>
      </c>
      <c r="F119" s="50">
        <f>-'Fiscal Forecasts'!F$108</f>
        <v>0</v>
      </c>
      <c r="G119" s="50">
        <f>-'Fiscal Forecasts'!G$108</f>
        <v>0</v>
      </c>
      <c r="H119" s="50">
        <f>-'Fiscal Forecasts'!H$108</f>
        <v>-0.39500000000000002</v>
      </c>
      <c r="I119" s="50">
        <f>-'Fiscal Forecasts'!I$108</f>
        <v>-0.61399999999999999</v>
      </c>
      <c r="J119" s="50">
        <f>-'Fiscal Forecasts'!J$108</f>
        <v>-0.755</v>
      </c>
      <c r="K119" s="50">
        <f>-'Fiscal Forecasts'!K$108</f>
        <v>-0.41899999999999998</v>
      </c>
      <c r="L119" s="48">
        <f>-'Fiscal Forecasts'!L$108</f>
        <v>-0.63200000000000001</v>
      </c>
      <c r="M119" s="48">
        <f>-'Fiscal Forecasts'!M$108</f>
        <v>-0.57299999999999995</v>
      </c>
      <c r="N119" s="48">
        <f>-'Fiscal Forecasts'!N$108</f>
        <v>-0.46200000000000002</v>
      </c>
      <c r="O119" s="48">
        <f>-'Fiscal Forecasts'!O$108</f>
        <v>-0.35299999999999998</v>
      </c>
      <c r="P119" s="48">
        <f>-'Fiscal Forecasts'!P$108</f>
        <v>-0.21199999999999999</v>
      </c>
      <c r="Q119" s="20">
        <f t="shared" ref="Q119:Z119" ca="1" si="84">Q$454-P$454</f>
        <v>-4.7080000000000233E-2</v>
      </c>
      <c r="R119" s="20">
        <f t="shared" ca="1" si="84"/>
        <v>-1.7581599999999753E-2</v>
      </c>
      <c r="S119" s="20">
        <f t="shared" ca="1" si="84"/>
        <v>1.2506767999999724E-2</v>
      </c>
      <c r="T119" s="20">
        <f t="shared" ca="1" si="84"/>
        <v>3.6999999999999922E-2</v>
      </c>
      <c r="U119" s="20">
        <f t="shared" ca="1" si="84"/>
        <v>3.6999999999999922E-2</v>
      </c>
      <c r="V119" s="20">
        <f t="shared" ca="1" si="84"/>
        <v>3.6999999999999922E-2</v>
      </c>
      <c r="W119" s="20">
        <f t="shared" ca="1" si="84"/>
        <v>3.6999999999999922E-2</v>
      </c>
      <c r="X119" s="20">
        <f t="shared" ca="1" si="84"/>
        <v>3.6999999999999922E-2</v>
      </c>
      <c r="Y119" s="20">
        <f t="shared" ca="1" si="84"/>
        <v>3.6999999999999922E-2</v>
      </c>
      <c r="Z119" s="20">
        <f t="shared" ca="1" si="84"/>
        <v>3.6999999999999922E-2</v>
      </c>
    </row>
    <row r="120" spans="1:26" x14ac:dyDescent="0.25">
      <c r="A120" s="12" t="s">
        <v>930</v>
      </c>
      <c r="B120" s="14" t="str">
        <f t="shared" si="80"/>
        <v>From Fiscal Forecasts</v>
      </c>
      <c r="C120" s="15"/>
      <c r="D120" s="50">
        <f>-'Fiscal Forecasts'!D$109</f>
        <v>-0.57099999999999995</v>
      </c>
      <c r="E120" s="50">
        <f>-'Fiscal Forecasts'!E$109</f>
        <v>0.80400000000000005</v>
      </c>
      <c r="F120" s="50">
        <f>-'Fiscal Forecasts'!F$109</f>
        <v>-0.73299999999999998</v>
      </c>
      <c r="G120" s="50">
        <f>-'Fiscal Forecasts'!G$109</f>
        <v>-0.79</v>
      </c>
      <c r="H120" s="50">
        <f>-'Fiscal Forecasts'!H$109</f>
        <v>-6.0999999999999999E-2</v>
      </c>
      <c r="I120" s="50">
        <f>-'Fiscal Forecasts'!I$109</f>
        <v>-6.0999999999999999E-2</v>
      </c>
      <c r="J120" s="50">
        <f>-'Fiscal Forecasts'!J$109</f>
        <v>4.9000000000000002E-2</v>
      </c>
      <c r="K120" s="50">
        <f>-'Fiscal Forecasts'!K$109</f>
        <v>0.32300000000000001</v>
      </c>
      <c r="L120" s="48">
        <f>-'Fiscal Forecasts'!L$109</f>
        <v>4.5999999999999999E-2</v>
      </c>
      <c r="M120" s="48">
        <f>-'Fiscal Forecasts'!M$109</f>
        <v>4.8000000000000001E-2</v>
      </c>
      <c r="N120" s="48">
        <f>-'Fiscal Forecasts'!N$109</f>
        <v>4.7E-2</v>
      </c>
      <c r="O120" s="48">
        <f>-'Fiscal Forecasts'!O$109</f>
        <v>4.5999999999999999E-2</v>
      </c>
      <c r="P120" s="48">
        <f>-'Fiscal Forecasts'!P$109</f>
        <v>4.4999999999999998E-2</v>
      </c>
      <c r="Q120" s="20">
        <f t="shared" ref="Q120:Z120" ca="1" si="85">Q$465-P$465</f>
        <v>-0.17411321626617449</v>
      </c>
      <c r="R120" s="20">
        <f t="shared" ca="1" si="85"/>
        <v>-0.17596649722735647</v>
      </c>
      <c r="S120" s="20">
        <f t="shared" ca="1" si="85"/>
        <v>-0.17725092421441779</v>
      </c>
      <c r="T120" s="20">
        <f t="shared" ca="1" si="85"/>
        <v>-0.17767906654343824</v>
      </c>
      <c r="U120" s="20">
        <f t="shared" ca="1" si="85"/>
        <v>-0.17168507393715338</v>
      </c>
      <c r="V120" s="20">
        <f t="shared" ca="1" si="85"/>
        <v>-0.16954436229205205</v>
      </c>
      <c r="W120" s="20">
        <f t="shared" ca="1" si="85"/>
        <v>-0.1669755083179294</v>
      </c>
      <c r="X120" s="20">
        <f t="shared" ca="1" si="85"/>
        <v>-0.16397851201478764</v>
      </c>
      <c r="Y120" s="20">
        <f t="shared" ca="1" si="85"/>
        <v>-0.1596970887245841</v>
      </c>
      <c r="Z120" s="20">
        <f t="shared" ca="1" si="85"/>
        <v>-0.15584380776340101</v>
      </c>
    </row>
    <row r="121" spans="1:26" x14ac:dyDescent="0.25">
      <c r="A121" s="11" t="s">
        <v>1201</v>
      </c>
      <c r="B121" s="11"/>
      <c r="C121" s="15"/>
      <c r="D121" s="94">
        <f t="shared" ref="D121:Z121" si="86">-SUM(D$114:D$120)</f>
        <v>-4.9750000000000005</v>
      </c>
      <c r="E121" s="94">
        <f t="shared" si="86"/>
        <v>-12.507</v>
      </c>
      <c r="F121" s="94">
        <f t="shared" si="86"/>
        <v>-8.7899999999999991</v>
      </c>
      <c r="G121" s="94">
        <f t="shared" si="86"/>
        <v>-7.6849999999999996</v>
      </c>
      <c r="H121" s="94">
        <f t="shared" si="86"/>
        <v>-11.238999999999999</v>
      </c>
      <c r="I121" s="94">
        <f t="shared" si="86"/>
        <v>-12.820999999999998</v>
      </c>
      <c r="J121" s="94">
        <f t="shared" si="86"/>
        <v>-13.626999999999999</v>
      </c>
      <c r="K121" s="94">
        <f t="shared" si="86"/>
        <v>-13.006</v>
      </c>
      <c r="L121" s="95">
        <f t="shared" si="86"/>
        <v>-11.635</v>
      </c>
      <c r="M121" s="95">
        <f t="shared" si="86"/>
        <v>-12.521999999999998</v>
      </c>
      <c r="N121" s="95">
        <f t="shared" si="86"/>
        <v>-13.024000000000001</v>
      </c>
      <c r="O121" s="95">
        <f t="shared" si="86"/>
        <v>-13.629999999999997</v>
      </c>
      <c r="P121" s="95">
        <f t="shared" si="86"/>
        <v>-14.069000000000001</v>
      </c>
      <c r="Q121" s="99">
        <f t="shared" ca="1" si="86"/>
        <v>-14.820837363300775</v>
      </c>
      <c r="R121" s="99">
        <f t="shared" ca="1" si="86"/>
        <v>-15.179479527195666</v>
      </c>
      <c r="S121" s="99">
        <f t="shared" ca="1" si="86"/>
        <v>-15.453143496770364</v>
      </c>
      <c r="T121" s="99">
        <f t="shared" ca="1" si="86"/>
        <v>-15.822828735243453</v>
      </c>
      <c r="U121" s="99">
        <f t="shared" ca="1" si="86"/>
        <v>-16.161707139886545</v>
      </c>
      <c r="V121" s="99">
        <f t="shared" ca="1" si="86"/>
        <v>-16.521071547220544</v>
      </c>
      <c r="W121" s="99">
        <f t="shared" ca="1" si="86"/>
        <v>-16.896390405965313</v>
      </c>
      <c r="X121" s="99">
        <f t="shared" ca="1" si="86"/>
        <v>-17.244694302751764</v>
      </c>
      <c r="Y121" s="99">
        <f t="shared" ca="1" si="86"/>
        <v>-17.641167594308783</v>
      </c>
      <c r="Z121" s="99">
        <f t="shared" ca="1" si="86"/>
        <v>-17.986082217464116</v>
      </c>
    </row>
    <row r="122" spans="1:26" x14ac:dyDescent="0.25">
      <c r="A122" s="12" t="s">
        <v>932</v>
      </c>
      <c r="B122" s="14" t="str">
        <f t="shared" ref="B122:B127" si="87">$B$38</f>
        <v>From Fiscal Forecasts</v>
      </c>
      <c r="C122" s="15"/>
      <c r="D122" s="50">
        <f>'Fiscal Forecasts'!D$111</f>
        <v>4.1879999999999997</v>
      </c>
      <c r="E122" s="50">
        <f>'Fiscal Forecasts'!E$111</f>
        <v>0.63100000000000001</v>
      </c>
      <c r="F122" s="50">
        <f>'Fiscal Forecasts'!F$111</f>
        <v>1.4810000000000001</v>
      </c>
      <c r="G122" s="50">
        <f>'Fiscal Forecasts'!G$111</f>
        <v>5.0270000000000001</v>
      </c>
      <c r="H122" s="50">
        <f>'Fiscal Forecasts'!H$111</f>
        <v>1.155</v>
      </c>
      <c r="I122" s="50">
        <f>'Fiscal Forecasts'!I$111</f>
        <v>3.3050000000000002</v>
      </c>
      <c r="J122" s="50">
        <f>'Fiscal Forecasts'!J$111</f>
        <v>-1.62</v>
      </c>
      <c r="K122" s="50">
        <f>'Fiscal Forecasts'!K$111</f>
        <v>-0.81599999999999995</v>
      </c>
      <c r="L122" s="48">
        <f>'Fiscal Forecasts'!L$111</f>
        <v>4.8789999999999996</v>
      </c>
      <c r="M122" s="48">
        <f>'Fiscal Forecasts'!M$111</f>
        <v>1.446</v>
      </c>
      <c r="N122" s="48">
        <f>'Fiscal Forecasts'!N$111</f>
        <v>1.375</v>
      </c>
      <c r="O122" s="48">
        <f>'Fiscal Forecasts'!O$111</f>
        <v>1.5720000000000001</v>
      </c>
      <c r="P122" s="48">
        <f>'Fiscal Forecasts'!P$111</f>
        <v>0.52500000000000002</v>
      </c>
      <c r="Q122" s="20">
        <f t="shared" ref="Q122:Z122" ca="1" si="88">Q$354-P$354</f>
        <v>2.3396562245446049</v>
      </c>
      <c r="R122" s="20">
        <f t="shared" ca="1" si="88"/>
        <v>1.7389672332306674</v>
      </c>
      <c r="S122" s="20">
        <f t="shared" ca="1" si="88"/>
        <v>1.8109203041381008</v>
      </c>
      <c r="T122" s="20">
        <f t="shared" ca="1" si="88"/>
        <v>1.9051544576687078</v>
      </c>
      <c r="U122" s="20">
        <f t="shared" ca="1" si="88"/>
        <v>1.97949050186498</v>
      </c>
      <c r="V122" s="20">
        <f t="shared" ca="1" si="88"/>
        <v>2.0400572158238575</v>
      </c>
      <c r="W122" s="20">
        <f t="shared" ca="1" si="88"/>
        <v>2.0958581851533538</v>
      </c>
      <c r="X122" s="20">
        <f t="shared" ca="1" si="88"/>
        <v>2.1563918293906852</v>
      </c>
      <c r="Y122" s="20">
        <f t="shared" ca="1" si="88"/>
        <v>2.2268386436103</v>
      </c>
      <c r="Z122" s="20">
        <f t="shared" ca="1" si="88"/>
        <v>2.3000483170485424</v>
      </c>
    </row>
    <row r="123" spans="1:26" x14ac:dyDescent="0.25">
      <c r="A123" s="12" t="s">
        <v>933</v>
      </c>
      <c r="B123" s="14" t="str">
        <f t="shared" si="87"/>
        <v>From Fiscal Forecasts</v>
      </c>
      <c r="C123" s="15"/>
      <c r="D123" s="50">
        <f>'Fiscal Forecasts'!D$112</f>
        <v>3.6999999999999998E-2</v>
      </c>
      <c r="E123" s="50">
        <f>'Fiscal Forecasts'!E$112</f>
        <v>2.1000000000000001E-2</v>
      </c>
      <c r="F123" s="50">
        <f>'Fiscal Forecasts'!F$112</f>
        <v>1.1259999999999999</v>
      </c>
      <c r="G123" s="50">
        <f>'Fiscal Forecasts'!G$112</f>
        <v>0.19700000000000001</v>
      </c>
      <c r="H123" s="50">
        <f>'Fiscal Forecasts'!H$112</f>
        <v>0.183</v>
      </c>
      <c r="I123" s="50">
        <f>'Fiscal Forecasts'!I$112</f>
        <v>0.21099999999999999</v>
      </c>
      <c r="J123" s="50">
        <f>'Fiscal Forecasts'!J$112</f>
        <v>-0.98499999999999999</v>
      </c>
      <c r="K123" s="50">
        <f>'Fiscal Forecasts'!K$112</f>
        <v>-1.9179999999999999</v>
      </c>
      <c r="L123" s="48">
        <f>'Fiscal Forecasts'!L$112</f>
        <v>-0.16200000000000001</v>
      </c>
      <c r="M123" s="48">
        <f>'Fiscal Forecasts'!M$112</f>
        <v>0.75700000000000001</v>
      </c>
      <c r="N123" s="48">
        <f>'Fiscal Forecasts'!N$112</f>
        <v>0.33500000000000002</v>
      </c>
      <c r="O123" s="48">
        <f>'Fiscal Forecasts'!O$112</f>
        <v>0.24199999999999999</v>
      </c>
      <c r="P123" s="48">
        <f>'Fiscal Forecasts'!P$112</f>
        <v>0.22800000000000001</v>
      </c>
      <c r="Q123" s="20">
        <f t="shared" ref="Q123:Z123" ca="1" si="89">Q$404-Q$332</f>
        <v>0.70568000000000031</v>
      </c>
      <c r="R123" s="20">
        <f t="shared" ca="1" si="89"/>
        <v>0.74441360000000034</v>
      </c>
      <c r="S123" s="20">
        <f t="shared" ca="1" si="89"/>
        <v>0.78120187200000035</v>
      </c>
      <c r="T123" s="20">
        <f t="shared" ca="1" si="89"/>
        <v>0.81504590944000044</v>
      </c>
      <c r="U123" s="20">
        <f t="shared" ca="1" si="89"/>
        <v>0.84694682762880036</v>
      </c>
      <c r="V123" s="20">
        <f t="shared" ca="1" si="89"/>
        <v>0.87990576418137634</v>
      </c>
      <c r="W123" s="20">
        <f t="shared" ca="1" si="89"/>
        <v>0.91292387946500386</v>
      </c>
      <c r="X123" s="20">
        <f t="shared" ca="1" si="89"/>
        <v>0.94800235705430402</v>
      </c>
      <c r="Y123" s="20">
        <f t="shared" ca="1" si="89"/>
        <v>0.98414240419539001</v>
      </c>
      <c r="Z123" s="20">
        <f t="shared" ca="1" si="89"/>
        <v>1.020345252279298</v>
      </c>
    </row>
    <row r="124" spans="1:26" x14ac:dyDescent="0.25">
      <c r="A124" s="12" t="s">
        <v>934</v>
      </c>
      <c r="B124" s="14" t="str">
        <f t="shared" si="87"/>
        <v>From Fiscal Forecasts</v>
      </c>
      <c r="C124" s="15"/>
      <c r="D124" s="50">
        <f>'Fiscal Forecasts'!D$113</f>
        <v>0.17499999999999999</v>
      </c>
      <c r="E124" s="50">
        <f>'Fiscal Forecasts'!E$113</f>
        <v>0.254</v>
      </c>
      <c r="F124" s="50">
        <f>'Fiscal Forecasts'!F$113</f>
        <v>0.42099999999999999</v>
      </c>
      <c r="G124" s="50">
        <f>'Fiscal Forecasts'!G$113</f>
        <v>0.874</v>
      </c>
      <c r="H124" s="50">
        <f>'Fiscal Forecasts'!H$113</f>
        <v>-2.7E-2</v>
      </c>
      <c r="I124" s="50">
        <f>'Fiscal Forecasts'!I$113</f>
        <v>-0.18</v>
      </c>
      <c r="J124" s="50">
        <f>'Fiscal Forecasts'!J$113</f>
        <v>0.23899999999999999</v>
      </c>
      <c r="K124" s="50">
        <f>'Fiscal Forecasts'!K$113</f>
        <v>0.16500000000000001</v>
      </c>
      <c r="L124" s="48">
        <f>'Fiscal Forecasts'!L$113</f>
        <v>-0.154</v>
      </c>
      <c r="M124" s="48">
        <f>'Fiscal Forecasts'!M$113</f>
        <v>-8.1000000000000003E-2</v>
      </c>
      <c r="N124" s="48">
        <f>'Fiscal Forecasts'!N$113</f>
        <v>0.02</v>
      </c>
      <c r="O124" s="48">
        <f>'Fiscal Forecasts'!O$113</f>
        <v>2.9000000000000001E-2</v>
      </c>
      <c r="P124" s="48">
        <f>'Fiscal Forecasts'!P$113</f>
        <v>-1.2E-2</v>
      </c>
      <c r="Q124" s="20">
        <f t="shared" ref="Q124:Z124" ca="1" si="90">Q$410-P$410</f>
        <v>6.133999999999995E-2</v>
      </c>
      <c r="R124" s="20">
        <f t="shared" ca="1" si="90"/>
        <v>6.2566800000000367E-2</v>
      </c>
      <c r="S124" s="20">
        <f t="shared" ca="1" si="90"/>
        <v>6.3818136000000081E-2</v>
      </c>
      <c r="T124" s="20">
        <f t="shared" ca="1" si="90"/>
        <v>6.5094498720000171E-2</v>
      </c>
      <c r="U124" s="20">
        <f t="shared" ca="1" si="90"/>
        <v>6.6396388694399899E-2</v>
      </c>
      <c r="V124" s="20">
        <f t="shared" ca="1" si="90"/>
        <v>6.7724316468288137E-2</v>
      </c>
      <c r="W124" s="20">
        <f t="shared" ca="1" si="90"/>
        <v>6.9078802797653882E-2</v>
      </c>
      <c r="X124" s="20">
        <f t="shared" ca="1" si="90"/>
        <v>7.0460378853606898E-2</v>
      </c>
      <c r="Y124" s="20">
        <f t="shared" ca="1" si="90"/>
        <v>7.1869586430679089E-2</v>
      </c>
      <c r="Z124" s="20">
        <f t="shared" ca="1" si="90"/>
        <v>7.3306978159292768E-2</v>
      </c>
    </row>
    <row r="125" spans="1:26" x14ac:dyDescent="0.25">
      <c r="A125" s="12" t="s">
        <v>935</v>
      </c>
      <c r="B125" s="14" t="str">
        <f t="shared" si="87"/>
        <v>From Fiscal Forecasts</v>
      </c>
      <c r="C125" s="15"/>
      <c r="D125" s="50">
        <f>'Fiscal Forecasts'!D$114</f>
        <v>3.5999999999999997E-2</v>
      </c>
      <c r="E125" s="50">
        <f>'Fiscal Forecasts'!E$114</f>
        <v>0.108</v>
      </c>
      <c r="F125" s="50">
        <f>'Fiscal Forecasts'!F$114</f>
        <v>6.3E-2</v>
      </c>
      <c r="G125" s="50">
        <f>'Fiscal Forecasts'!G$114</f>
        <v>0.30299999999999999</v>
      </c>
      <c r="H125" s="50">
        <f>'Fiscal Forecasts'!H$114</f>
        <v>0.113</v>
      </c>
      <c r="I125" s="50">
        <f>'Fiscal Forecasts'!I$114</f>
        <v>0.30499999999999999</v>
      </c>
      <c r="J125" s="50">
        <f>'Fiscal Forecasts'!J$114</f>
        <v>0.32800000000000001</v>
      </c>
      <c r="K125" s="50">
        <f>'Fiscal Forecasts'!K$114</f>
        <v>0.183</v>
      </c>
      <c r="L125" s="48">
        <f>'Fiscal Forecasts'!L$114</f>
        <v>0.14699999999999999</v>
      </c>
      <c r="M125" s="48">
        <f>'Fiscal Forecasts'!M$114</f>
        <v>-3.3000000000000002E-2</v>
      </c>
      <c r="N125" s="48">
        <f>'Fiscal Forecasts'!N$114</f>
        <v>0.01</v>
      </c>
      <c r="O125" s="48">
        <f>'Fiscal Forecasts'!O$114</f>
        <v>2E-3</v>
      </c>
      <c r="P125" s="48">
        <f>'Fiscal Forecasts'!P$114</f>
        <v>-6.0000000000000001E-3</v>
      </c>
      <c r="Q125" s="20">
        <f t="shared" ref="Q125:Z125" ca="1" si="91">Q$414-P$414</f>
        <v>0.1062599999999998</v>
      </c>
      <c r="R125" s="20">
        <f t="shared" ca="1" si="91"/>
        <v>0.10838519999999985</v>
      </c>
      <c r="S125" s="20">
        <f t="shared" ca="1" si="91"/>
        <v>0.1105529040000004</v>
      </c>
      <c r="T125" s="20">
        <f t="shared" ca="1" si="91"/>
        <v>0.11276396207999984</v>
      </c>
      <c r="U125" s="20">
        <f t="shared" ca="1" si="91"/>
        <v>0.11501924132160024</v>
      </c>
      <c r="V125" s="20">
        <f t="shared" ca="1" si="91"/>
        <v>0.11731962614803226</v>
      </c>
      <c r="W125" s="20">
        <f t="shared" ca="1" si="91"/>
        <v>0.11966601867099236</v>
      </c>
      <c r="X125" s="20">
        <f t="shared" ca="1" si="91"/>
        <v>0.12205933904441224</v>
      </c>
      <c r="Y125" s="20">
        <f t="shared" ca="1" si="91"/>
        <v>0.12450052582530091</v>
      </c>
      <c r="Z125" s="20">
        <f t="shared" ca="1" si="91"/>
        <v>0.12699053634180668</v>
      </c>
    </row>
    <row r="126" spans="1:26" x14ac:dyDescent="0.25">
      <c r="A126" s="12" t="s">
        <v>1202</v>
      </c>
      <c r="B126" s="14" t="str">
        <f t="shared" si="87"/>
        <v>From Fiscal Forecasts</v>
      </c>
      <c r="C126" s="15"/>
      <c r="D126" s="50">
        <f>-'Fiscal Forecasts'!D$115</f>
        <v>9.7000000000000003E-2</v>
      </c>
      <c r="E126" s="50">
        <f>-'Fiscal Forecasts'!E$115</f>
        <v>6.8000000000000005E-2</v>
      </c>
      <c r="F126" s="50">
        <f>-'Fiscal Forecasts'!F$115</f>
        <v>-0.04</v>
      </c>
      <c r="G126" s="50">
        <f>-'Fiscal Forecasts'!G$115</f>
        <v>0.81899999999999995</v>
      </c>
      <c r="H126" s="50">
        <f>-'Fiscal Forecasts'!H$115</f>
        <v>0.24399999999999999</v>
      </c>
      <c r="I126" s="50">
        <f>-'Fiscal Forecasts'!I$115</f>
        <v>-0.158</v>
      </c>
      <c r="J126" s="50">
        <f>-'Fiscal Forecasts'!J$115</f>
        <v>7.3999999999999996E-2</v>
      </c>
      <c r="K126" s="50">
        <f>-'Fiscal Forecasts'!K$115</f>
        <v>0.27900000000000003</v>
      </c>
      <c r="L126" s="48">
        <f>-'Fiscal Forecasts'!L$115</f>
        <v>-0.10299999999999999</v>
      </c>
      <c r="M126" s="48">
        <f>-'Fiscal Forecasts'!M$115</f>
        <v>-3.9E-2</v>
      </c>
      <c r="N126" s="48">
        <f>-'Fiscal Forecasts'!N$115</f>
        <v>2.9000000000000001E-2</v>
      </c>
      <c r="O126" s="48">
        <f>-'Fiscal Forecasts'!O$115</f>
        <v>5.8000000000000003E-2</v>
      </c>
      <c r="P126" s="48">
        <f>-'Fiscal Forecasts'!P$115</f>
        <v>9.6000000000000002E-2</v>
      </c>
      <c r="Q126" s="20">
        <f t="shared" ref="Q126:Z126" ca="1" si="92">Q$450-P$450</f>
        <v>0.16759999999999975</v>
      </c>
      <c r="R126" s="20">
        <f t="shared" ca="1" si="92"/>
        <v>0.17095200000000066</v>
      </c>
      <c r="S126" s="20">
        <f t="shared" ca="1" si="92"/>
        <v>0.17437104000000048</v>
      </c>
      <c r="T126" s="20">
        <f t="shared" ca="1" si="92"/>
        <v>0.17785846079999956</v>
      </c>
      <c r="U126" s="20">
        <f t="shared" ca="1" si="92"/>
        <v>0.1814156300159997</v>
      </c>
      <c r="V126" s="20">
        <f t="shared" ca="1" si="92"/>
        <v>0.1850439426163204</v>
      </c>
      <c r="W126" s="20">
        <f t="shared" ca="1" si="92"/>
        <v>0.1887448214686458</v>
      </c>
      <c r="X126" s="20">
        <f t="shared" ca="1" si="92"/>
        <v>0.19251971789801914</v>
      </c>
      <c r="Y126" s="20">
        <f t="shared" ca="1" si="92"/>
        <v>0.19637011225598044</v>
      </c>
      <c r="Z126" s="20">
        <f t="shared" ca="1" si="92"/>
        <v>0.20029751450109945</v>
      </c>
    </row>
    <row r="127" spans="1:26" x14ac:dyDescent="0.25">
      <c r="A127" s="12" t="s">
        <v>1203</v>
      </c>
      <c r="B127" s="14" t="str">
        <f t="shared" si="87"/>
        <v>From Fiscal Forecasts</v>
      </c>
      <c r="C127" s="15"/>
      <c r="D127" s="50">
        <f>-'Fiscal Forecasts'!D$116</f>
        <v>2.5710000000000002</v>
      </c>
      <c r="E127" s="50">
        <f>-'Fiscal Forecasts'!E$116</f>
        <v>0.95599999999999996</v>
      </c>
      <c r="F127" s="50">
        <f>-'Fiscal Forecasts'!F$116</f>
        <v>1.8320000000000001</v>
      </c>
      <c r="G127" s="50">
        <f>-'Fiscal Forecasts'!G$116</f>
        <v>1.849</v>
      </c>
      <c r="H127" s="50">
        <f>-'Fiscal Forecasts'!H$116</f>
        <v>3.2770000000000001</v>
      </c>
      <c r="I127" s="50">
        <f>-'Fiscal Forecasts'!I$116</f>
        <v>1.3859999999999999</v>
      </c>
      <c r="J127" s="50">
        <f>-'Fiscal Forecasts'!J$116</f>
        <v>-1.349</v>
      </c>
      <c r="K127" s="50">
        <f>-'Fiscal Forecasts'!K$116</f>
        <v>-2.782</v>
      </c>
      <c r="L127" s="48">
        <f>-'Fiscal Forecasts'!L$116</f>
        <v>-2.0059999999999998</v>
      </c>
      <c r="M127" s="48">
        <f>-'Fiscal Forecasts'!M$116</f>
        <v>-0.23499999999999999</v>
      </c>
      <c r="N127" s="48">
        <f>-'Fiscal Forecasts'!N$116</f>
        <v>1.6E-2</v>
      </c>
      <c r="O127" s="48">
        <f>-'Fiscal Forecasts'!O$116</f>
        <v>0.21</v>
      </c>
      <c r="P127" s="48">
        <f>-'Fiscal Forecasts'!P$116</f>
        <v>-0.39800000000000002</v>
      </c>
      <c r="Q127" s="20">
        <f t="shared" ref="Q127:Z127" ca="1" si="93">SUM(Q$446-P$446,Q$471-P$471)</f>
        <v>1.6226919609048274</v>
      </c>
      <c r="R127" s="20">
        <f t="shared" ca="1" si="93"/>
        <v>1.0222955688282021</v>
      </c>
      <c r="S127" s="20">
        <f t="shared" ca="1" si="93"/>
        <v>1.0566873873224019</v>
      </c>
      <c r="T127" s="20">
        <f t="shared" ca="1" si="93"/>
        <v>1.0986448742902262</v>
      </c>
      <c r="U127" s="20">
        <f t="shared" ca="1" si="93"/>
        <v>1.1340204025139684</v>
      </c>
      <c r="V127" s="20">
        <f t="shared" ca="1" si="93"/>
        <v>1.1659588488342543</v>
      </c>
      <c r="W127" s="20">
        <f t="shared" ca="1" si="93"/>
        <v>1.1977677904215831</v>
      </c>
      <c r="X127" s="20">
        <f t="shared" ca="1" si="93"/>
        <v>1.2325267139891167</v>
      </c>
      <c r="Y127" s="20">
        <f t="shared" ca="1" si="93"/>
        <v>1.2723165251642925</v>
      </c>
      <c r="Z127" s="20">
        <f t="shared" ca="1" si="93"/>
        <v>1.3147144832417936</v>
      </c>
    </row>
    <row r="128" spans="1:26" x14ac:dyDescent="0.25">
      <c r="A128" s="11" t="s">
        <v>938</v>
      </c>
      <c r="B128" s="11"/>
      <c r="C128" s="15"/>
      <c r="D128" s="94">
        <f t="shared" ref="D128:Z128" si="94">SUM(D$122:D$125)-SUM(D$126:D$127)</f>
        <v>1.7679999999999989</v>
      </c>
      <c r="E128" s="94">
        <f t="shared" si="94"/>
        <v>-1.0000000000000009E-2</v>
      </c>
      <c r="F128" s="94">
        <f t="shared" si="94"/>
        <v>1.2990000000000002</v>
      </c>
      <c r="G128" s="94">
        <f t="shared" si="94"/>
        <v>3.7329999999999997</v>
      </c>
      <c r="H128" s="94">
        <f t="shared" si="94"/>
        <v>-2.0969999999999995</v>
      </c>
      <c r="I128" s="94">
        <f t="shared" si="94"/>
        <v>2.4130000000000003</v>
      </c>
      <c r="J128" s="94">
        <f t="shared" si="94"/>
        <v>-0.76300000000000034</v>
      </c>
      <c r="K128" s="94">
        <f t="shared" si="94"/>
        <v>0.11699999999999999</v>
      </c>
      <c r="L128" s="95">
        <f t="shared" si="94"/>
        <v>6.819</v>
      </c>
      <c r="M128" s="95">
        <f t="shared" si="94"/>
        <v>2.363</v>
      </c>
      <c r="N128" s="95">
        <f t="shared" si="94"/>
        <v>1.6950000000000001</v>
      </c>
      <c r="O128" s="95">
        <f t="shared" si="94"/>
        <v>1.577</v>
      </c>
      <c r="P128" s="95">
        <f t="shared" si="94"/>
        <v>1.0369999999999999</v>
      </c>
      <c r="Q128" s="99">
        <f t="shared" ca="1" si="94"/>
        <v>1.4226442636397776</v>
      </c>
      <c r="R128" s="99">
        <f t="shared" ca="1" si="94"/>
        <v>1.4610852644024654</v>
      </c>
      <c r="S128" s="99">
        <f t="shared" ca="1" si="94"/>
        <v>1.5354347888156994</v>
      </c>
      <c r="T128" s="99">
        <f t="shared" ca="1" si="94"/>
        <v>1.6215554928184823</v>
      </c>
      <c r="U128" s="99">
        <f t="shared" ca="1" si="94"/>
        <v>1.6924169269798122</v>
      </c>
      <c r="V128" s="99">
        <f t="shared" ca="1" si="94"/>
        <v>1.7540041311709795</v>
      </c>
      <c r="W128" s="99">
        <f t="shared" ca="1" si="94"/>
        <v>1.8110142741967752</v>
      </c>
      <c r="X128" s="99">
        <f t="shared" ca="1" si="94"/>
        <v>1.8718674724558726</v>
      </c>
      <c r="Y128" s="99">
        <f t="shared" ca="1" si="94"/>
        <v>1.938664522641397</v>
      </c>
      <c r="Z128" s="99">
        <f t="shared" ca="1" si="94"/>
        <v>2.0056790860860465</v>
      </c>
    </row>
    <row r="129" spans="1:26" x14ac:dyDescent="0.25">
      <c r="A129" s="11" t="s">
        <v>1204</v>
      </c>
      <c r="B129" s="11"/>
      <c r="C129" s="15"/>
      <c r="D129" s="94">
        <f t="shared" ref="D129:Z129" si="95">SUM(D$99,D$113,D$121,D$128)</f>
        <v>0.38899999999999846</v>
      </c>
      <c r="E129" s="94">
        <f t="shared" si="95"/>
        <v>-30.040000000000003</v>
      </c>
      <c r="F129" s="94">
        <f t="shared" si="95"/>
        <v>16.159000000000013</v>
      </c>
      <c r="G129" s="94">
        <f t="shared" si="95"/>
        <v>-16.932000000000009</v>
      </c>
      <c r="H129" s="94">
        <f t="shared" si="95"/>
        <v>5.3209999999999802</v>
      </c>
      <c r="I129" s="94">
        <f t="shared" si="95"/>
        <v>-8.3650000000000375</v>
      </c>
      <c r="J129" s="94">
        <f t="shared" si="95"/>
        <v>-4.3999999999999844</v>
      </c>
      <c r="K129" s="94">
        <f t="shared" si="95"/>
        <v>1.1359999999999824</v>
      </c>
      <c r="L129" s="95">
        <f t="shared" ca="1" si="95"/>
        <v>-2.9629999999999823</v>
      </c>
      <c r="M129" s="95">
        <f t="shared" ca="1" si="95"/>
        <v>3.4770000000000221</v>
      </c>
      <c r="N129" s="95">
        <f t="shared" ca="1" si="95"/>
        <v>8.9020000000000223</v>
      </c>
      <c r="O129" s="95">
        <f t="shared" ca="1" si="95"/>
        <v>13.542999999999992</v>
      </c>
      <c r="P129" s="95">
        <f t="shared" ca="1" si="95"/>
        <v>16.692999999999984</v>
      </c>
      <c r="Q129" s="99">
        <f t="shared" ca="1" si="95"/>
        <v>15.268050489712063</v>
      </c>
      <c r="R129" s="99">
        <f t="shared" ca="1" si="95"/>
        <v>14.413638157123508</v>
      </c>
      <c r="S129" s="99">
        <f t="shared" ca="1" si="95"/>
        <v>14.617883879999122</v>
      </c>
      <c r="T129" s="99">
        <f t="shared" ca="1" si="95"/>
        <v>15.316387100052875</v>
      </c>
      <c r="U129" s="99">
        <f t="shared" ca="1" si="95"/>
        <v>16.068315999910137</v>
      </c>
      <c r="V129" s="99">
        <f t="shared" ca="1" si="95"/>
        <v>16.592499116570355</v>
      </c>
      <c r="W129" s="99">
        <f t="shared" ca="1" si="95"/>
        <v>17.105959241511403</v>
      </c>
      <c r="X129" s="99">
        <f t="shared" ca="1" si="95"/>
        <v>17.606797792109013</v>
      </c>
      <c r="Y129" s="99">
        <f t="shared" ca="1" si="95"/>
        <v>18.219560711216666</v>
      </c>
      <c r="Z129" s="99">
        <f t="shared" ca="1" si="95"/>
        <v>18.805440003339314</v>
      </c>
    </row>
    <row r="130" spans="1:26" x14ac:dyDescent="0.25">
      <c r="A130" s="60" t="s">
        <v>1205</v>
      </c>
      <c r="B130" s="11"/>
      <c r="C130" s="15"/>
      <c r="D130" s="97" t="str">
        <f t="shared" ref="D130:Z130" ca="1" si="96">IF(ROUND(D$39-D$129,3)=0,"OK","ERROR")</f>
        <v>OK</v>
      </c>
      <c r="E130" s="97" t="str">
        <f t="shared" ca="1" si="96"/>
        <v>OK</v>
      </c>
      <c r="F130" s="97" t="str">
        <f t="shared" ca="1" si="96"/>
        <v>OK</v>
      </c>
      <c r="G130" s="97" t="str">
        <f t="shared" ca="1" si="96"/>
        <v>OK</v>
      </c>
      <c r="H130" s="97" t="str">
        <f t="shared" ca="1" si="96"/>
        <v>OK</v>
      </c>
      <c r="I130" s="97" t="str">
        <f t="shared" ca="1" si="96"/>
        <v>OK</v>
      </c>
      <c r="J130" s="97" t="str">
        <f t="shared" ca="1" si="96"/>
        <v>OK</v>
      </c>
      <c r="K130" s="97" t="str">
        <f t="shared" ca="1" si="96"/>
        <v>OK</v>
      </c>
      <c r="L130" s="97" t="str">
        <f t="shared" ca="1" si="96"/>
        <v>OK</v>
      </c>
      <c r="M130" s="97" t="str">
        <f t="shared" ca="1" si="96"/>
        <v>OK</v>
      </c>
      <c r="N130" s="97" t="str">
        <f t="shared" ca="1" si="96"/>
        <v>OK</v>
      </c>
      <c r="O130" s="97" t="str">
        <f t="shared" ca="1" si="96"/>
        <v>OK</v>
      </c>
      <c r="P130" s="97" t="str">
        <f t="shared" ca="1" si="96"/>
        <v>OK</v>
      </c>
      <c r="Q130" s="97" t="str">
        <f t="shared" ca="1" si="96"/>
        <v>OK</v>
      </c>
      <c r="R130" s="97" t="str">
        <f t="shared" ca="1" si="96"/>
        <v>OK</v>
      </c>
      <c r="S130" s="97" t="str">
        <f t="shared" ca="1" si="96"/>
        <v>OK</v>
      </c>
      <c r="T130" s="97" t="str">
        <f t="shared" ca="1" si="96"/>
        <v>OK</v>
      </c>
      <c r="U130" s="97" t="str">
        <f t="shared" ca="1" si="96"/>
        <v>OK</v>
      </c>
      <c r="V130" s="97" t="str">
        <f t="shared" ca="1" si="96"/>
        <v>OK</v>
      </c>
      <c r="W130" s="97" t="str">
        <f t="shared" ca="1" si="96"/>
        <v>OK</v>
      </c>
      <c r="X130" s="97" t="str">
        <f t="shared" ca="1" si="96"/>
        <v>OK</v>
      </c>
      <c r="Y130" s="97" t="str">
        <f t="shared" ca="1" si="96"/>
        <v>OK</v>
      </c>
      <c r="Z130" s="97" t="str">
        <f t="shared" ca="1" si="96"/>
        <v>OK</v>
      </c>
    </row>
    <row r="131" spans="1:26" x14ac:dyDescent="0.25">
      <c r="A131" s="11"/>
      <c r="B131" s="11"/>
      <c r="C131" s="15"/>
      <c r="D131" s="89"/>
      <c r="E131" s="89"/>
      <c r="F131" s="89"/>
      <c r="G131" s="89"/>
      <c r="H131" s="89"/>
      <c r="I131" s="89"/>
      <c r="J131" s="89"/>
      <c r="K131" s="89"/>
      <c r="L131" s="66"/>
      <c r="M131" s="66"/>
      <c r="N131" s="66"/>
      <c r="O131" s="66"/>
      <c r="P131" s="66"/>
      <c r="Q131" s="17"/>
      <c r="R131" s="17"/>
      <c r="S131" s="17"/>
      <c r="T131" s="17"/>
      <c r="U131" s="17"/>
      <c r="V131" s="17"/>
      <c r="W131" s="17"/>
      <c r="X131" s="17"/>
      <c r="Y131" s="17"/>
      <c r="Z131" s="17"/>
    </row>
    <row r="132" spans="1:26" x14ac:dyDescent="0.25">
      <c r="A132" s="57" t="s">
        <v>1206</v>
      </c>
      <c r="B132" s="11"/>
      <c r="C132" s="15"/>
      <c r="D132" s="91"/>
      <c r="E132" s="91"/>
      <c r="F132" s="91"/>
      <c r="G132" s="91"/>
      <c r="H132" s="91"/>
      <c r="I132" s="91"/>
      <c r="J132" s="91"/>
      <c r="K132" s="91"/>
    </row>
    <row r="133" spans="1:26" x14ac:dyDescent="0.25">
      <c r="A133" s="11" t="s">
        <v>1010</v>
      </c>
      <c r="B133" s="11"/>
      <c r="C133" s="15"/>
      <c r="D133" s="91"/>
      <c r="E133" s="91"/>
      <c r="F133" s="91"/>
      <c r="G133" s="91"/>
      <c r="H133" s="91"/>
      <c r="I133" s="91"/>
      <c r="J133" s="91"/>
      <c r="K133" s="91"/>
    </row>
    <row r="134" spans="1:26" x14ac:dyDescent="0.25">
      <c r="A134" s="12" t="s">
        <v>1207</v>
      </c>
      <c r="B134" s="14" t="str">
        <f t="shared" ref="B134:B139" si="97">$B$38</f>
        <v>From Fiscal Forecasts</v>
      </c>
      <c r="C134" s="15"/>
      <c r="D134" s="50">
        <f>'Fiscal Forecasts'!D$220</f>
        <v>32.878999999999998</v>
      </c>
      <c r="E134" s="50">
        <f>'Fiscal Forecasts'!E$220</f>
        <v>34.963000000000001</v>
      </c>
      <c r="F134" s="50">
        <f>'Fiscal Forecasts'!F$220</f>
        <v>38.164000000000001</v>
      </c>
      <c r="G134" s="50">
        <f>'Fiscal Forecasts'!G$220</f>
        <v>42.448</v>
      </c>
      <c r="H134" s="50">
        <f>'Fiscal Forecasts'!H$220</f>
        <v>47.386000000000003</v>
      </c>
      <c r="I134" s="50">
        <f>'Fiscal Forecasts'!I$220</f>
        <v>52.283000000000001</v>
      </c>
      <c r="J134" s="50">
        <f>'Fiscal Forecasts'!J$220</f>
        <v>52.46</v>
      </c>
      <c r="K134" s="50">
        <f>'Fiscal Forecasts'!K$220</f>
        <v>54.756</v>
      </c>
      <c r="L134" s="48">
        <f>'Fiscal Forecasts'!L$220</f>
        <v>58.030999999999999</v>
      </c>
      <c r="M134" s="48">
        <f>'Fiscal Forecasts'!M$220</f>
        <v>61.448</v>
      </c>
      <c r="N134" s="48">
        <f>'Fiscal Forecasts'!N$220</f>
        <v>65.171999999999997</v>
      </c>
      <c r="O134" s="48">
        <f>'Fiscal Forecasts'!O$220</f>
        <v>69.072999999999993</v>
      </c>
      <c r="P134" s="48">
        <f>'Fiscal Forecasts'!P$220</f>
        <v>73.194000000000003</v>
      </c>
      <c r="Q134" s="20">
        <f ca="1">P$134*(1+Q$17)*(1+IF(Q$6&lt;OFFSET(Assumptions!$B$8,0,$C$1)+OFFSET(Assumptions!$B$27,0,$C$1),OFFSET(Assumptions!$B$28,0,$C$1),1)*Q$26)</f>
        <v>76.384571281638955</v>
      </c>
      <c r="R134" s="20">
        <f ca="1">Q$134*(1+R$17)*(1+IF(R$6&lt;OFFSET(Assumptions!$B$8,0,$C$1)+OFFSET(Assumptions!$B$27,0,$C$1),OFFSET(Assumptions!$B$28,0,$C$1),1)*R$26)</f>
        <v>79.64046035574512</v>
      </c>
      <c r="S134" s="20">
        <f ca="1">R$134*(1+S$17)*(1+IF(S$6&lt;OFFSET(Assumptions!$B$8,0,$C$1)+OFFSET(Assumptions!$B$27,0,$C$1),OFFSET(Assumptions!$B$28,0,$C$1),1)*S$26)</f>
        <v>82.957886846126542</v>
      </c>
      <c r="T134" s="20">
        <f ca="1">S$134*(1+T$17)*(1+IF(T$6&lt;OFFSET(Assumptions!$B$8,0,$C$1)+OFFSET(Assumptions!$B$27,0,$C$1),OFFSET(Assumptions!$B$28,0,$C$1),1)*T$26)</f>
        <v>86.373036495226216</v>
      </c>
      <c r="U134" s="20">
        <f ca="1">T$134*(1+U$17)*(1+IF(U$6&lt;OFFSET(Assumptions!$B$8,0,$C$1)+OFFSET(Assumptions!$B$27,0,$C$1),OFFSET(Assumptions!$B$28,0,$C$1),1)*U$26)</f>
        <v>89.907274932942229</v>
      </c>
      <c r="V134" s="20">
        <f ca="1">U$134*(1+V$17)*(1+IF(V$6&lt;OFFSET(Assumptions!$B$8,0,$C$1)+OFFSET(Assumptions!$B$27,0,$C$1),OFFSET(Assumptions!$B$28,0,$C$1),1)*V$26)</f>
        <v>93.561859068958213</v>
      </c>
      <c r="W134" s="20">
        <f ca="1">V$134*(1+W$17)*(1+IF(W$6&lt;OFFSET(Assumptions!$B$8,0,$C$1)+OFFSET(Assumptions!$B$27,0,$C$1),OFFSET(Assumptions!$B$28,0,$C$1),1)*W$26)</f>
        <v>97.31835158672888</v>
      </c>
      <c r="X134" s="20">
        <f ca="1">W$134*(1+X$17)*(1+IF(X$6&lt;OFFSET(Assumptions!$B$8,0,$C$1)+OFFSET(Assumptions!$B$27,0,$C$1),OFFSET(Assumptions!$B$28,0,$C$1),1)*X$26)</f>
        <v>101.18301551918587</v>
      </c>
      <c r="Y134" s="20">
        <f ca="1">X$134*(1+Y$17)*(1+IF(Y$6&lt;OFFSET(Assumptions!$B$8,0,$C$1)+OFFSET(Assumptions!$B$27,0,$C$1),OFFSET(Assumptions!$B$28,0,$C$1),1)*Y$26)</f>
        <v>105.176060634442</v>
      </c>
      <c r="Z134" s="20">
        <f ca="1">Y$134*(1+Z$17)*(1+IF(Z$6&lt;OFFSET(Assumptions!$B$8,0,$C$1)+OFFSET(Assumptions!$B$27,0,$C$1),OFFSET(Assumptions!$B$28,0,$C$1),1)*Z$26)</f>
        <v>109.29851679835681</v>
      </c>
    </row>
    <row r="135" spans="1:26" x14ac:dyDescent="0.25">
      <c r="A135" s="12" t="s">
        <v>1208</v>
      </c>
      <c r="B135" s="14" t="str">
        <f t="shared" si="97"/>
        <v>From Fiscal Forecasts</v>
      </c>
      <c r="C135" s="15"/>
      <c r="D135" s="50">
        <f>'Fiscal Forecasts'!D$221</f>
        <v>8.3160000000000007</v>
      </c>
      <c r="E135" s="50">
        <f>'Fiscal Forecasts'!E$221</f>
        <v>8.1910000000000007</v>
      </c>
      <c r="F135" s="50">
        <f>'Fiscal Forecasts'!F$221</f>
        <v>10.183999999999999</v>
      </c>
      <c r="G135" s="50">
        <f>'Fiscal Forecasts'!G$221</f>
        <v>12.015000000000001</v>
      </c>
      <c r="H135" s="50">
        <f>'Fiscal Forecasts'!H$221</f>
        <v>11.71</v>
      </c>
      <c r="I135" s="50">
        <f>'Fiscal Forecasts'!I$221</f>
        <v>14.042999999999999</v>
      </c>
      <c r="J135" s="50">
        <f>'Fiscal Forecasts'!J$221</f>
        <v>13.896000000000001</v>
      </c>
      <c r="K135" s="50">
        <f>'Fiscal Forecasts'!K$221</f>
        <v>13.583</v>
      </c>
      <c r="L135" s="48">
        <f>'Fiscal Forecasts'!L$221</f>
        <v>14.44</v>
      </c>
      <c r="M135" s="48">
        <f>'Fiscal Forecasts'!M$221</f>
        <v>15.914</v>
      </c>
      <c r="N135" s="48">
        <f>'Fiscal Forecasts'!N$221</f>
        <v>16.79</v>
      </c>
      <c r="O135" s="48">
        <f>'Fiscal Forecasts'!O$221</f>
        <v>17.603000000000002</v>
      </c>
      <c r="P135" s="48">
        <f>'Fiscal Forecasts'!P$221</f>
        <v>18.367000000000001</v>
      </c>
      <c r="Q135" s="20">
        <f ca="1">P$135*(1+Q$17)*(1+IF(Q$6&lt;OFFSET(Assumptions!$B$8,0,$C$1)+OFFSET(Assumptions!$B$27,0,$C$1),OFFSET(Assumptions!$B$28,0,$C$1),1)*Q$26)</f>
        <v>19.167628777356924</v>
      </c>
      <c r="R135" s="20">
        <f ca="1">Q$135*(1+R$17)*(1+IF(R$6&lt;OFFSET(Assumptions!$B$8,0,$C$1)+OFFSET(Assumptions!$B$27,0,$C$1),OFFSET(Assumptions!$B$28,0,$C$1),1)*R$26)</f>
        <v>19.98464813173171</v>
      </c>
      <c r="S135" s="20">
        <f ca="1">R$135*(1+S$17)*(1+IF(S$6&lt;OFFSET(Assumptions!$B$8,0,$C$1)+OFFSET(Assumptions!$B$27,0,$C$1),OFFSET(Assumptions!$B$28,0,$C$1),1)*S$26)</f>
        <v>20.817109431139254</v>
      </c>
      <c r="T135" s="20">
        <f ca="1">S$135*(1+T$17)*(1+IF(T$6&lt;OFFSET(Assumptions!$B$8,0,$C$1)+OFFSET(Assumptions!$B$27,0,$C$1),OFFSET(Assumptions!$B$28,0,$C$1),1)*T$26)</f>
        <v>21.67409297630708</v>
      </c>
      <c r="U135" s="20">
        <f ca="1">T$135*(1+U$17)*(1+IF(U$6&lt;OFFSET(Assumptions!$B$8,0,$C$1)+OFFSET(Assumptions!$B$27,0,$C$1),OFFSET(Assumptions!$B$28,0,$C$1),1)*U$26)</f>
        <v>22.560960170141684</v>
      </c>
      <c r="V135" s="20">
        <f ca="1">U$135*(1+V$17)*(1+IF(V$6&lt;OFFSET(Assumptions!$B$8,0,$C$1)+OFFSET(Assumptions!$B$27,0,$C$1),OFFSET(Assumptions!$B$28,0,$C$1),1)*V$26)</f>
        <v>23.478026416366859</v>
      </c>
      <c r="W135" s="20">
        <f ca="1">V$135*(1+W$17)*(1+IF(W$6&lt;OFFSET(Assumptions!$B$8,0,$C$1)+OFFSET(Assumptions!$B$27,0,$C$1),OFFSET(Assumptions!$B$28,0,$C$1),1)*W$26)</f>
        <v>24.420665130932175</v>
      </c>
      <c r="X135" s="20">
        <f ca="1">W$135*(1+X$17)*(1+IF(X$6&lt;OFFSET(Assumptions!$B$8,0,$C$1)+OFFSET(Assumptions!$B$27,0,$C$1),OFFSET(Assumptions!$B$28,0,$C$1),1)*X$26)</f>
        <v>25.390447933449291</v>
      </c>
      <c r="Y135" s="20">
        <f ca="1">X$135*(1+Y$17)*(1+IF(Y$6&lt;OFFSET(Assumptions!$B$8,0,$C$1)+OFFSET(Assumptions!$B$27,0,$C$1),OFFSET(Assumptions!$B$28,0,$C$1),1)*Y$26)</f>
        <v>26.392446179643091</v>
      </c>
      <c r="Z135" s="20">
        <f ca="1">Y$135*(1+Z$17)*(1+IF(Z$6&lt;OFFSET(Assumptions!$B$8,0,$C$1)+OFFSET(Assumptions!$B$27,0,$C$1),OFFSET(Assumptions!$B$28,0,$C$1),1)*Z$26)</f>
        <v>27.426918299798071</v>
      </c>
    </row>
    <row r="136" spans="1:26" x14ac:dyDescent="0.25">
      <c r="A136" s="12" t="s">
        <v>1209</v>
      </c>
      <c r="B136" s="14" t="str">
        <f t="shared" si="97"/>
        <v>From Fiscal Forecasts</v>
      </c>
      <c r="C136" s="100" cm="1">
        <f t="array" aca="1" ref="C136" ca="1">SUMPRODUCT(OFFSET($P$136,0,0,1,-OFFSET(Assumptions!$B$31,0,$C$1))/OFFSET($P$13,0,0,1,-OFFSET(Assumptions!$B$31,0,$C$1)))/OFFSET(Assumptions!$B$31,0,$C$1)</f>
        <v>4.4102369887619182E-2</v>
      </c>
      <c r="D136" s="50">
        <f>'Fiscal Forecasts'!D$222</f>
        <v>15.199</v>
      </c>
      <c r="E136" s="50">
        <f>'Fiscal Forecasts'!E$222</f>
        <v>12.103999999999999</v>
      </c>
      <c r="F136" s="50">
        <f>'Fiscal Forecasts'!F$222</f>
        <v>15.768000000000001</v>
      </c>
      <c r="G136" s="50">
        <f>'Fiscal Forecasts'!G$222</f>
        <v>19.896000000000001</v>
      </c>
      <c r="H136" s="50">
        <f>'Fiscal Forecasts'!H$222</f>
        <v>17.978000000000002</v>
      </c>
      <c r="I136" s="50">
        <f>'Fiscal Forecasts'!I$222</f>
        <v>16.908999999999999</v>
      </c>
      <c r="J136" s="50">
        <f>'Fiscal Forecasts'!J$222</f>
        <v>17.495999999999999</v>
      </c>
      <c r="K136" s="50">
        <f>'Fiscal Forecasts'!K$222</f>
        <v>17.736999999999998</v>
      </c>
      <c r="L136" s="48">
        <f>'Fiscal Forecasts'!L$222</f>
        <v>22.251000000000001</v>
      </c>
      <c r="M136" s="48">
        <f>'Fiscal Forecasts'!M$222</f>
        <v>22.193000000000001</v>
      </c>
      <c r="N136" s="48">
        <f>'Fiscal Forecasts'!N$222</f>
        <v>23.693000000000001</v>
      </c>
      <c r="O136" s="48">
        <f>'Fiscal Forecasts'!O$222</f>
        <v>24.581</v>
      </c>
      <c r="P136" s="48">
        <f>'Fiscal Forecasts'!P$222</f>
        <v>25.527999999999999</v>
      </c>
      <c r="Q136" s="20">
        <f ca="1">(P$136/P$13+MIN(ABS($C$136-P$136/P$13),OFFSET(Assumptions!$B$32,0,$C$1))*SIGN($C$136-P$136/P$13))*Q$13</f>
        <v>26.801387769059946</v>
      </c>
      <c r="R136" s="20">
        <f ca="1">(Q$136/Q$13+MIN(ABS($C$136-Q$136/Q$13),OFFSET(Assumptions!$B$32,0,$C$1))*SIGN($C$136-Q$136/Q$13))*R$13</f>
        <v>27.942192398678536</v>
      </c>
      <c r="S136" s="20">
        <f ca="1">(R$136/R$13+MIN(ABS($C$136-R$136/R$13),OFFSET(Assumptions!$B$32,0,$C$1))*SIGN($C$136-R$136/R$13))*S$13</f>
        <v>29.113220121123309</v>
      </c>
      <c r="T136" s="20">
        <f ca="1">(S$136/S$13+MIN(ABS($C$136-S$136/S$13),OFFSET(Assumptions!$B$32,0,$C$1))*SIGN($C$136-S$136/S$13))*T$13</f>
        <v>30.311731887282871</v>
      </c>
      <c r="U136" s="20">
        <f ca="1">(T$136/T$13+MIN(ABS($C$136-T$136/T$13),OFFSET(Assumptions!$B$32,0,$C$1))*SIGN($C$136-T$136/T$13))*U$13</f>
        <v>31.552036643220198</v>
      </c>
      <c r="V136" s="20">
        <f ca="1">(U$136/U$13+MIN(ABS($C$136-U$136/U$13),OFFSET(Assumptions!$B$32,0,$C$1))*SIGN($C$136-U$136/U$13))*V$13</f>
        <v>32.834575488506204</v>
      </c>
      <c r="W136" s="20">
        <f ca="1">(V$136/V$13+MIN(ABS($C$136-V$136/V$13),OFFSET(Assumptions!$B$32,0,$C$1))*SIGN($C$136-V$136/V$13))*W$13</f>
        <v>34.152878035870529</v>
      </c>
      <c r="X136" s="20">
        <f ca="1">(W$136/W$13+MIN(ABS($C$136-W$136/W$13),OFFSET(Assumptions!$B$32,0,$C$1))*SIGN($C$136-W$136/W$13))*X$13</f>
        <v>35.509142232528284</v>
      </c>
      <c r="Y136" s="20">
        <f ca="1">(X$136/X$13+MIN(ABS($C$136-X$136/X$13),OFFSET(Assumptions!$B$32,0,$C$1))*SIGN($C$136-X$136/X$13))*Y$13</f>
        <v>36.910460489460903</v>
      </c>
      <c r="Z136" s="20">
        <f ca="1">(Y$136/Y$13+MIN(ABS($C$136-Y$136/Y$13),OFFSET(Assumptions!$B$32,0,$C$1))*SIGN($C$136-Y$136/Y$13))*Z$13</f>
        <v>38.357194227536326</v>
      </c>
    </row>
    <row r="137" spans="1:26" x14ac:dyDescent="0.25">
      <c r="A137" s="12" t="s">
        <v>1210</v>
      </c>
      <c r="B137" s="14" t="str">
        <f t="shared" si="97"/>
        <v>From Fiscal Forecasts</v>
      </c>
      <c r="C137" s="100" cm="1">
        <f t="array" aca="1" ref="C137" ca="1">SUMPRODUCT(OFFSET($P$137,0,0,1,-OFFSET(Assumptions!$B$31,0,$C$1))/OFFSET($P$13,0,0,1,-OFFSET(Assumptions!$B$31,0,$C$1)))/OFFSET(Assumptions!$B$31,0,$C$1)</f>
        <v>7.0306868088069713E-2</v>
      </c>
      <c r="D137" s="50">
        <f>'Fiscal Forecasts'!D$223</f>
        <v>21.861999999999998</v>
      </c>
      <c r="E137" s="50">
        <f>'Fiscal Forecasts'!E$223</f>
        <v>21.748999999999999</v>
      </c>
      <c r="F137" s="50">
        <f>'Fiscal Forecasts'!F$223</f>
        <v>25.562000000000001</v>
      </c>
      <c r="G137" s="50">
        <f>'Fiscal Forecasts'!G$223</f>
        <v>26.123999999999999</v>
      </c>
      <c r="H137" s="50">
        <f>'Fiscal Forecasts'!H$223</f>
        <v>28.13</v>
      </c>
      <c r="I137" s="50">
        <f>'Fiscal Forecasts'!I$223</f>
        <v>29.277999999999999</v>
      </c>
      <c r="J137" s="50">
        <f>'Fiscal Forecasts'!J$223</f>
        <v>29.55</v>
      </c>
      <c r="K137" s="50">
        <f>'Fiscal Forecasts'!K$223</f>
        <v>31.206</v>
      </c>
      <c r="L137" s="48">
        <f>'Fiscal Forecasts'!L$223</f>
        <v>33.792999999999999</v>
      </c>
      <c r="M137" s="48">
        <f>'Fiscal Forecasts'!M$223</f>
        <v>36.033999999999999</v>
      </c>
      <c r="N137" s="48">
        <f>'Fiscal Forecasts'!N$223</f>
        <v>37.880000000000003</v>
      </c>
      <c r="O137" s="48">
        <f>'Fiscal Forecasts'!O$223</f>
        <v>39.923000000000002</v>
      </c>
      <c r="P137" s="48">
        <f>'Fiscal Forecasts'!P$223</f>
        <v>41.601999999999997</v>
      </c>
      <c r="Q137" s="20">
        <f ca="1">(P$137/P$13+MIN(ABS($C$137-P$137/P$13),OFFSET(Assumptions!$B$32,0,$C$1))*SIGN($C$137-P$137/P$13))*Q$13</f>
        <v>43.109117776064949</v>
      </c>
      <c r="R137" s="20">
        <f ca="1">(Q$137/Q$13+MIN(ABS($C$137-Q$137/Q$13),OFFSET(Assumptions!$B$32,0,$C$1))*SIGN($C$137-Q$137/Q$13))*R$13</f>
        <v>44.627275220468917</v>
      </c>
      <c r="S137" s="20">
        <f ca="1">(R$137/R$13+MIN(ABS($C$137-R$137/R$13),OFFSET(Assumptions!$B$32,0,$C$1))*SIGN($C$137-R$137/R$13))*S$13</f>
        <v>46.411549580907362</v>
      </c>
      <c r="T137" s="20">
        <f ca="1">(S$137/S$13+MIN(ABS($C$137-S$137/S$13),OFFSET(Assumptions!$B$32,0,$C$1))*SIGN($C$137-S$137/S$13))*T$13</f>
        <v>48.322186330363195</v>
      </c>
      <c r="U137" s="20">
        <f ca="1">(T$137/T$13+MIN(ABS($C$137-T$137/T$13),OFFSET(Assumptions!$B$32,0,$C$1))*SIGN($C$137-T$137/T$13))*U$13</f>
        <v>50.299448393306697</v>
      </c>
      <c r="V137" s="20">
        <f ca="1">(U$137/U$13+MIN(ABS($C$137-U$137/U$13),OFFSET(Assumptions!$B$32,0,$C$1))*SIGN($C$137-U$137/U$13))*V$13</f>
        <v>52.344038959371993</v>
      </c>
      <c r="W137" s="20">
        <f ca="1">(V$137/V$13+MIN(ABS($C$137-V$137/V$13),OFFSET(Assumptions!$B$32,0,$C$1))*SIGN($C$137-V$137/V$13))*W$13</f>
        <v>54.445643102956346</v>
      </c>
      <c r="X137" s="20">
        <f ca="1">(W$137/W$13+MIN(ABS($C$137-W$137/W$13),OFFSET(Assumptions!$B$32,0,$C$1))*SIGN($C$137-W$137/W$13))*X$13</f>
        <v>56.607764735194458</v>
      </c>
      <c r="Y137" s="20">
        <f ca="1">(X$137/X$13+MIN(ABS($C$137-X$137/X$13),OFFSET(Assumptions!$B$32,0,$C$1))*SIGN($C$137-X$137/X$13))*Y$13</f>
        <v>58.841710395951878</v>
      </c>
      <c r="Z137" s="20">
        <f ca="1">(Y$137/Y$13+MIN(ABS($C$137-Y$137/Y$13),OFFSET(Assumptions!$B$32,0,$C$1))*SIGN($C$137-Y$137/Y$13))*Z$13</f>
        <v>61.148056253115968</v>
      </c>
    </row>
    <row r="138" spans="1:26" x14ac:dyDescent="0.25">
      <c r="A138" s="12" t="s">
        <v>1211</v>
      </c>
      <c r="B138" s="14" t="str">
        <f t="shared" si="97"/>
        <v>From Fiscal Forecasts</v>
      </c>
      <c r="C138" s="100" cm="1">
        <f t="array" aca="1" ref="C138" ca="1">SUMPRODUCT(OFFSET($P$138,0,0,1,-OFFSET(Assumptions!$B$31,0,$C$1))/OFFSET($P$13,0,0,1,-OFFSET(Assumptions!$B$31,0,$C$1)))/OFFSET(Assumptions!$B$31,0,$C$1)</f>
        <v>1.0076668266754657E-2</v>
      </c>
      <c r="D138" s="50">
        <f>'Fiscal Forecasts'!D$224</f>
        <v>3.8820000000000001</v>
      </c>
      <c r="E138" s="50">
        <f>'Fiscal Forecasts'!E$224</f>
        <v>3.819</v>
      </c>
      <c r="F138" s="50">
        <f>'Fiscal Forecasts'!F$224</f>
        <v>4.306</v>
      </c>
      <c r="G138" s="50">
        <f>'Fiscal Forecasts'!G$224</f>
        <v>3.823</v>
      </c>
      <c r="H138" s="50">
        <f>'Fiscal Forecasts'!H$224</f>
        <v>2.976</v>
      </c>
      <c r="I138" s="50">
        <f>'Fiscal Forecasts'!I$224</f>
        <v>4.0730000000000004</v>
      </c>
      <c r="J138" s="50">
        <f>'Fiscal Forecasts'!J$224</f>
        <v>4.3179999999999996</v>
      </c>
      <c r="K138" s="50">
        <f>'Fiscal Forecasts'!K$224</f>
        <v>4.5419999999999998</v>
      </c>
      <c r="L138" s="48">
        <f>'Fiscal Forecasts'!L$224</f>
        <v>4.6970000000000001</v>
      </c>
      <c r="M138" s="48">
        <f>'Fiscal Forecasts'!M$224</f>
        <v>4.9770000000000003</v>
      </c>
      <c r="N138" s="48">
        <f>'Fiscal Forecasts'!N$224</f>
        <v>5.6440000000000001</v>
      </c>
      <c r="O138" s="48">
        <f>'Fiscal Forecasts'!O$224</f>
        <v>6.359</v>
      </c>
      <c r="P138" s="48">
        <f>'Fiscal Forecasts'!P$224</f>
        <v>6.83</v>
      </c>
      <c r="Q138" s="20">
        <f ca="1">(P$138/P$13+MIN(ABS($C$138-P$138/P$13),OFFSET(Assumptions!$B$32,0,$C$1))*SIGN($C$138-P$138/P$13))*Q$13</f>
        <v>6.8234616931386274</v>
      </c>
      <c r="R138" s="20">
        <f ca="1">(Q$138/Q$13+MIN(ABS($C$138-Q$138/Q$13),OFFSET(Assumptions!$B$32,0,$C$1))*SIGN($C$138-Q$138/Q$13))*R$13</f>
        <v>6.7971153676319469</v>
      </c>
      <c r="S138" s="20">
        <f ca="1">(R$138/R$13+MIN(ABS($C$138-R$138/R$13),OFFSET(Assumptions!$B$32,0,$C$1))*SIGN($C$138-R$138/R$13))*S$13</f>
        <v>6.751911158307907</v>
      </c>
      <c r="T138" s="20">
        <f ca="1">(S$138/S$13+MIN(ABS($C$138-S$138/S$13),OFFSET(Assumptions!$B$32,0,$C$1))*SIGN($C$138-S$138/S$13))*T$13</f>
        <v>6.9257336419171613</v>
      </c>
      <c r="U138" s="20">
        <f ca="1">(T$138/T$13+MIN(ABS($C$138-T$138/T$13),OFFSET(Assumptions!$B$32,0,$C$1))*SIGN($C$138-T$138/T$13))*U$13</f>
        <v>7.2091229383904816</v>
      </c>
      <c r="V138" s="20">
        <f ca="1">(U$138/U$13+MIN(ABS($C$138-U$138/U$13),OFFSET(Assumptions!$B$32,0,$C$1))*SIGN($C$138-U$138/U$13))*V$13</f>
        <v>7.5021620316660957</v>
      </c>
      <c r="W138" s="20">
        <f ca="1">(V$138/V$13+MIN(ABS($C$138-V$138/V$13),OFFSET(Assumptions!$B$32,0,$C$1))*SIGN($C$138-V$138/V$13))*W$13</f>
        <v>7.8033725443632189</v>
      </c>
      <c r="X138" s="20">
        <f ca="1">(W$138/W$13+MIN(ABS($C$138-W$138/W$13),OFFSET(Assumptions!$B$32,0,$C$1))*SIGN($C$138-W$138/W$13))*X$13</f>
        <v>8.1132566713754795</v>
      </c>
      <c r="Y138" s="20">
        <f ca="1">(X$138/X$13+MIN(ABS($C$138-X$138/X$13),OFFSET(Assumptions!$B$32,0,$C$1))*SIGN($C$138-X$138/X$13))*Y$13</f>
        <v>8.4334349123008252</v>
      </c>
      <c r="Z138" s="20">
        <f ca="1">(Y$138/Y$13+MIN(ABS($C$138-Y$138/Y$13),OFFSET(Assumptions!$B$32,0,$C$1))*SIGN($C$138-Y$138/Y$13))*Z$13</f>
        <v>8.763989845880495</v>
      </c>
    </row>
    <row r="139" spans="1:26" x14ac:dyDescent="0.25">
      <c r="A139" s="12" t="s">
        <v>1013</v>
      </c>
      <c r="B139" s="14" t="str">
        <f t="shared" si="97"/>
        <v>From Fiscal Forecasts</v>
      </c>
      <c r="C139" s="100"/>
      <c r="D139" s="50">
        <f>'Fiscal Forecasts'!D$225</f>
        <v>3.585</v>
      </c>
      <c r="E139" s="50">
        <f>'Fiscal Forecasts'!E$225</f>
        <v>3.6949999999999998</v>
      </c>
      <c r="F139" s="50">
        <f>'Fiscal Forecasts'!F$225</f>
        <v>3.3780000000000001</v>
      </c>
      <c r="G139" s="50">
        <f>'Fiscal Forecasts'!G$225</f>
        <v>3.5670000000000002</v>
      </c>
      <c r="H139" s="50">
        <f>'Fiscal Forecasts'!H$225</f>
        <v>3.532</v>
      </c>
      <c r="I139" s="50">
        <f>'Fiscal Forecasts'!I$225</f>
        <v>3.3140000000000001</v>
      </c>
      <c r="J139" s="50">
        <f>'Fiscal Forecasts'!J$225</f>
        <v>3.3380000000000001</v>
      </c>
      <c r="K139" s="50">
        <f>'Fiscal Forecasts'!K$225</f>
        <v>3.1749999999999998</v>
      </c>
      <c r="L139" s="48">
        <f>'Fiscal Forecasts'!L$225</f>
        <v>3.1040000000000001</v>
      </c>
      <c r="M139" s="48">
        <f>'Fiscal Forecasts'!M$225</f>
        <v>3.04</v>
      </c>
      <c r="N139" s="48">
        <f>'Fiscal Forecasts'!N$225</f>
        <v>2.9870000000000001</v>
      </c>
      <c r="O139" s="48">
        <f>'Fiscal Forecasts'!O$225</f>
        <v>2.9580000000000002</v>
      </c>
      <c r="P139" s="48">
        <f>'Fiscal Forecasts'!P$225</f>
        <v>2.93</v>
      </c>
      <c r="Q139" s="20">
        <f t="shared" ref="Q139:Z139" ca="1" si="98">P$139*(1+Q$19)*(1+Q$29)</f>
        <v>3.0270016660619792</v>
      </c>
      <c r="R139" s="20">
        <f t="shared" ca="1" si="98"/>
        <v>3.1254536475160695</v>
      </c>
      <c r="S139" s="20">
        <f t="shared" ca="1" si="98"/>
        <v>3.2260451896469884</v>
      </c>
      <c r="T139" s="20">
        <f t="shared" ca="1" si="98"/>
        <v>3.3278252423663437</v>
      </c>
      <c r="U139" s="20">
        <f t="shared" ca="1" si="98"/>
        <v>3.4325331926614715</v>
      </c>
      <c r="V139" s="20">
        <f t="shared" ca="1" si="98"/>
        <v>3.5392765966534951</v>
      </c>
      <c r="W139" s="20">
        <f t="shared" ca="1" si="98"/>
        <v>3.6453672604374305</v>
      </c>
      <c r="X139" s="20">
        <f t="shared" ca="1" si="98"/>
        <v>3.7536911046346746</v>
      </c>
      <c r="Y139" s="20">
        <f t="shared" ca="1" si="98"/>
        <v>3.8652992310869632</v>
      </c>
      <c r="Z139" s="20">
        <f t="shared" ca="1" si="98"/>
        <v>3.9793519922991294</v>
      </c>
    </row>
    <row r="140" spans="1:26" x14ac:dyDescent="0.25">
      <c r="A140" s="11" t="s">
        <v>1212</v>
      </c>
      <c r="B140" s="14"/>
      <c r="C140" s="15"/>
      <c r="D140" s="94">
        <f t="shared" ref="D140:Z140" si="99">SUM(D$134:D$139)</f>
        <v>85.722999999999999</v>
      </c>
      <c r="E140" s="94">
        <f t="shared" si="99"/>
        <v>84.521000000000001</v>
      </c>
      <c r="F140" s="94">
        <f t="shared" si="99"/>
        <v>97.361999999999995</v>
      </c>
      <c r="G140" s="94">
        <f t="shared" si="99"/>
        <v>107.87299999999999</v>
      </c>
      <c r="H140" s="94">
        <f t="shared" si="99"/>
        <v>111.712</v>
      </c>
      <c r="I140" s="94">
        <f t="shared" si="99"/>
        <v>119.89999999999998</v>
      </c>
      <c r="J140" s="94">
        <f t="shared" si="99"/>
        <v>121.05799999999998</v>
      </c>
      <c r="K140" s="94">
        <f t="shared" si="99"/>
        <v>124.999</v>
      </c>
      <c r="L140" s="95">
        <f t="shared" si="99"/>
        <v>136.31600000000003</v>
      </c>
      <c r="M140" s="95">
        <f t="shared" si="99"/>
        <v>143.60599999999999</v>
      </c>
      <c r="N140" s="95">
        <f t="shared" si="99"/>
        <v>152.166</v>
      </c>
      <c r="O140" s="95">
        <f t="shared" si="99"/>
        <v>160.49700000000001</v>
      </c>
      <c r="P140" s="95">
        <f t="shared" si="99"/>
        <v>168.45100000000002</v>
      </c>
      <c r="Q140" s="96">
        <f t="shared" ca="1" si="99"/>
        <v>175.31316896332137</v>
      </c>
      <c r="R140" s="96">
        <f t="shared" ca="1" si="99"/>
        <v>182.11714512177235</v>
      </c>
      <c r="S140" s="96">
        <f t="shared" ca="1" si="99"/>
        <v>189.27772232725135</v>
      </c>
      <c r="T140" s="96">
        <f t="shared" ca="1" si="99"/>
        <v>196.93460657346287</v>
      </c>
      <c r="U140" s="96">
        <f t="shared" ca="1" si="99"/>
        <v>204.96137627066278</v>
      </c>
      <c r="V140" s="96">
        <f t="shared" ca="1" si="99"/>
        <v>213.25993856152289</v>
      </c>
      <c r="W140" s="96">
        <f t="shared" ca="1" si="99"/>
        <v>221.78627766128858</v>
      </c>
      <c r="X140" s="96">
        <f t="shared" ca="1" si="99"/>
        <v>230.55731819636804</v>
      </c>
      <c r="Y140" s="96">
        <f t="shared" ca="1" si="99"/>
        <v>239.61941184288565</v>
      </c>
      <c r="Z140" s="96">
        <f t="shared" ca="1" si="99"/>
        <v>248.97402741698681</v>
      </c>
    </row>
    <row r="141" spans="1:26" x14ac:dyDescent="0.25">
      <c r="A141" s="12" t="s">
        <v>1213</v>
      </c>
      <c r="B141" s="14" t="str">
        <f>$B$38</f>
        <v>From Fiscal Forecasts</v>
      </c>
      <c r="C141" s="15"/>
      <c r="D141" s="50">
        <f>D$140-'Fiscal Forecasts'!D$163</f>
        <v>-0.74500000000000455</v>
      </c>
      <c r="E141" s="50">
        <f>E$140-'Fiscal Forecasts'!E$163</f>
        <v>-0.58100000000000307</v>
      </c>
      <c r="F141" s="50">
        <f>F$140-'Fiscal Forecasts'!F$163</f>
        <v>-0.62100000000000932</v>
      </c>
      <c r="G141" s="50">
        <f>G$140-'Fiscal Forecasts'!G$163</f>
        <v>-0.58500000000000796</v>
      </c>
      <c r="H141" s="50">
        <f>H$140-'Fiscal Forecasts'!H$163</f>
        <v>-0.6460000000000008</v>
      </c>
      <c r="I141" s="50">
        <f>I$140-'Fiscal Forecasts'!I$163</f>
        <v>-0.66600000000002524</v>
      </c>
      <c r="J141" s="50">
        <f>J$140-'Fiscal Forecasts'!J$163</f>
        <v>-0.64000000000001478</v>
      </c>
      <c r="K141" s="50">
        <f>K$140-'Fiscal Forecasts'!K$163</f>
        <v>-0.88500000000000512</v>
      </c>
      <c r="L141" s="48">
        <f>L$140-'Fiscal Forecasts'!L$163</f>
        <v>-0.86899999999997135</v>
      </c>
      <c r="M141" s="48">
        <f>M$140-'Fiscal Forecasts'!M$163</f>
        <v>-0.88700000000000045</v>
      </c>
      <c r="N141" s="48">
        <f>N$140-'Fiscal Forecasts'!N$163</f>
        <v>-0.99000000000000909</v>
      </c>
      <c r="O141" s="48">
        <f>O$140-'Fiscal Forecasts'!O$163</f>
        <v>-1.1229999999999905</v>
      </c>
      <c r="P141" s="48">
        <f>P$140-'Fiscal Forecasts'!P$163</f>
        <v>-1.2209999999999752</v>
      </c>
      <c r="Q141" s="20">
        <f ca="1">IF(Q$6=OFFSET(Assumptions!$B$8,0,$C$1),AVERAGE(N$141/N$140,O$141/O$140,P$141/P$140),P$141/P$140)*Q$140</f>
        <v>-1.2126684664091874</v>
      </c>
      <c r="R141" s="20">
        <f ca="1">IF(R$6=OFFSET(Assumptions!$B$8,0,$C$1),AVERAGE(O$141/O$140,P$141/P$140,Q$141/Q$140),Q$141/Q$140)*R$140</f>
        <v>-1.2597326281167409</v>
      </c>
      <c r="S141" s="20">
        <f ca="1">IF(S$6=OFFSET(Assumptions!$B$8,0,$C$1),AVERAGE(P$141/P$140,Q$141/Q$140,R$141/R$140),R$141/R$140)*S$140</f>
        <v>-1.3092634547495623</v>
      </c>
      <c r="T141" s="20">
        <f ca="1">IF(T$6=OFFSET(Assumptions!$B$8,0,$C$1),AVERAGE(Q$141/Q$140,R$141/R$140,S$141/S$140),S$141/S$140)*T$140</f>
        <v>-1.3622273144027333</v>
      </c>
      <c r="U141" s="20">
        <f ca="1">IF(U$6=OFFSET(Assumptions!$B$8,0,$C$1),AVERAGE(R$141/R$140,S$141/S$140,T$141/T$140),T$141/T$140)*U$140</f>
        <v>-1.4177497292702645</v>
      </c>
      <c r="V141" s="20">
        <f ca="1">IF(V$6=OFFSET(Assumptions!$B$8,0,$C$1),AVERAGE(S$141/S$140,T$141/T$140,U$141/U$140),U$141/U$140)*V$140</f>
        <v>-1.4751521757959096</v>
      </c>
      <c r="W141" s="20">
        <f ca="1">IF(W$6=OFFSET(Assumptions!$B$8,0,$C$1),AVERAGE(T$141/T$140,U$141/U$140,V$141/V$140),V$141/V$140)*W$140</f>
        <v>-1.5341301899481767</v>
      </c>
      <c r="X141" s="20">
        <f ca="1">IF(X$6=OFFSET(Assumptions!$B$8,0,$C$1),AVERAGE(U$141/U$140,V$141/V$140,W$141/W$140),W$141/W$140)*X$140</f>
        <v>-1.5948008420012061</v>
      </c>
      <c r="Y141" s="20">
        <f ca="1">IF(Y$6=OFFSET(Assumptions!$B$8,0,$C$1),AVERAGE(V$141/V$140,W$141/W$140,X$141/X$140),X$141/X$140)*Y$140</f>
        <v>-1.6574847537105319</v>
      </c>
      <c r="Z141" s="20">
        <f ca="1">IF(Z$6=OFFSET(Assumptions!$B$8,0,$C$1),AVERAGE(W$141/W$140,X$141/X$140,Y$141/Y$140),Y$141/Y$140)*Z$140</f>
        <v>-1.7221920851059624</v>
      </c>
    </row>
    <row r="142" spans="1:26" x14ac:dyDescent="0.25">
      <c r="A142" s="11" t="s">
        <v>1214</v>
      </c>
      <c r="B142" s="11"/>
      <c r="C142" s="15"/>
      <c r="D142" s="94">
        <f t="shared" ref="D142:Z142" si="100">D$140-D$141</f>
        <v>86.468000000000004</v>
      </c>
      <c r="E142" s="94">
        <f t="shared" si="100"/>
        <v>85.102000000000004</v>
      </c>
      <c r="F142" s="94">
        <f t="shared" si="100"/>
        <v>97.983000000000004</v>
      </c>
      <c r="G142" s="94">
        <f t="shared" si="100"/>
        <v>108.458</v>
      </c>
      <c r="H142" s="94">
        <f t="shared" si="100"/>
        <v>112.358</v>
      </c>
      <c r="I142" s="94">
        <f t="shared" si="100"/>
        <v>120.566</v>
      </c>
      <c r="J142" s="94">
        <f t="shared" si="100"/>
        <v>121.69799999999999</v>
      </c>
      <c r="K142" s="94">
        <f t="shared" si="100"/>
        <v>125.884</v>
      </c>
      <c r="L142" s="95">
        <f t="shared" si="100"/>
        <v>137.185</v>
      </c>
      <c r="M142" s="95">
        <f t="shared" si="100"/>
        <v>144.49299999999999</v>
      </c>
      <c r="N142" s="95">
        <f t="shared" si="100"/>
        <v>153.15600000000001</v>
      </c>
      <c r="O142" s="95">
        <f t="shared" si="100"/>
        <v>161.62</v>
      </c>
      <c r="P142" s="95">
        <f t="shared" si="100"/>
        <v>169.672</v>
      </c>
      <c r="Q142" s="96">
        <f t="shared" ca="1" si="100"/>
        <v>176.52583742973056</v>
      </c>
      <c r="R142" s="96">
        <f t="shared" ca="1" si="100"/>
        <v>183.3768777498891</v>
      </c>
      <c r="S142" s="96">
        <f t="shared" ca="1" si="100"/>
        <v>190.58698578200091</v>
      </c>
      <c r="T142" s="96">
        <f t="shared" ca="1" si="100"/>
        <v>198.2968338878656</v>
      </c>
      <c r="U142" s="96">
        <f t="shared" ca="1" si="100"/>
        <v>206.37912599993305</v>
      </c>
      <c r="V142" s="96">
        <f t="shared" ca="1" si="100"/>
        <v>214.73509073731879</v>
      </c>
      <c r="W142" s="96">
        <f t="shared" ca="1" si="100"/>
        <v>223.32040785123675</v>
      </c>
      <c r="X142" s="96">
        <f t="shared" ca="1" si="100"/>
        <v>232.15211903836925</v>
      </c>
      <c r="Y142" s="96">
        <f t="shared" ca="1" si="100"/>
        <v>241.27689659659617</v>
      </c>
      <c r="Z142" s="96">
        <f t="shared" ca="1" si="100"/>
        <v>250.69621950209279</v>
      </c>
    </row>
    <row r="143" spans="1:26" x14ac:dyDescent="0.25">
      <c r="A143" s="11"/>
      <c r="B143" s="11"/>
      <c r="C143" s="15"/>
      <c r="D143" s="51"/>
      <c r="E143" s="51"/>
      <c r="F143" s="51"/>
      <c r="G143" s="51"/>
      <c r="H143" s="51"/>
      <c r="I143" s="51"/>
      <c r="J143" s="51"/>
      <c r="K143" s="51"/>
      <c r="L143" s="47"/>
      <c r="M143" s="47"/>
      <c r="N143" s="47"/>
      <c r="O143" s="47"/>
      <c r="P143" s="47"/>
      <c r="Q143" s="21"/>
      <c r="R143" s="21"/>
      <c r="S143" s="21"/>
      <c r="T143" s="21"/>
      <c r="U143" s="21"/>
      <c r="V143" s="21"/>
      <c r="W143" s="21"/>
      <c r="X143" s="21"/>
      <c r="Y143" s="21"/>
      <c r="Z143" s="21"/>
    </row>
    <row r="144" spans="1:26" x14ac:dyDescent="0.25">
      <c r="A144" s="11" t="s">
        <v>1015</v>
      </c>
      <c r="B144" s="11"/>
      <c r="C144" s="15"/>
      <c r="D144" s="51"/>
      <c r="E144" s="51"/>
      <c r="F144" s="51"/>
      <c r="G144" s="51"/>
      <c r="H144" s="51"/>
      <c r="I144" s="51"/>
      <c r="J144" s="51"/>
      <c r="K144" s="51"/>
      <c r="L144" s="47"/>
      <c r="M144" s="47"/>
      <c r="N144" s="47"/>
      <c r="O144" s="47"/>
      <c r="P144" s="47"/>
      <c r="Q144" s="21"/>
      <c r="R144" s="21"/>
      <c r="S144" s="21"/>
      <c r="T144" s="21"/>
      <c r="U144" s="21"/>
      <c r="V144" s="21"/>
      <c r="W144" s="21"/>
      <c r="X144" s="21"/>
      <c r="Y144" s="21"/>
      <c r="Z144" s="21"/>
    </row>
    <row r="145" spans="1:26" x14ac:dyDescent="0.25">
      <c r="A145" s="12" t="s">
        <v>1215</v>
      </c>
      <c r="B145" s="14" t="str">
        <f>$B$38</f>
        <v>From Fiscal Forecasts</v>
      </c>
      <c r="C145" s="15"/>
      <c r="D145" s="50">
        <f>'Fiscal Forecasts'!D$229</f>
        <v>0.84599999999999997</v>
      </c>
      <c r="E145" s="50">
        <f>'Fiscal Forecasts'!E$229</f>
        <v>1.0429999999999999</v>
      </c>
      <c r="F145" s="50">
        <f>'Fiscal Forecasts'!F$229</f>
        <v>1.6339999999999999</v>
      </c>
      <c r="G145" s="50">
        <f>'Fiscal Forecasts'!G$229</f>
        <v>3.0059999999999998</v>
      </c>
      <c r="H145" s="50">
        <f>'Fiscal Forecasts'!H$229</f>
        <v>1.5820000000000001</v>
      </c>
      <c r="I145" s="50">
        <f>'Fiscal Forecasts'!I$229</f>
        <v>1.69</v>
      </c>
      <c r="J145" s="50">
        <f>'Fiscal Forecasts'!J$229</f>
        <v>1.774</v>
      </c>
      <c r="K145" s="50">
        <f>'Fiscal Forecasts'!K$229</f>
        <v>1.706</v>
      </c>
      <c r="L145" s="48">
        <f>'Fiscal Forecasts'!L$229</f>
        <v>1.786</v>
      </c>
      <c r="M145" s="48">
        <f>'Fiscal Forecasts'!M$229</f>
        <v>1.754</v>
      </c>
      <c r="N145" s="48">
        <f>'Fiscal Forecasts'!N$229</f>
        <v>1.73</v>
      </c>
      <c r="O145" s="48">
        <f>'Fiscal Forecasts'!O$229</f>
        <v>1.6439999999999999</v>
      </c>
      <c r="P145" s="48">
        <f>'Fiscal Forecasts'!P$229</f>
        <v>1.5589999999999999</v>
      </c>
      <c r="Q145" s="20">
        <f t="shared" ref="Q145:Z145" ca="1" si="101">MAX(P$145,Q$313)</f>
        <v>1.5589999999999999</v>
      </c>
      <c r="R145" s="20">
        <f t="shared" ca="1" si="101"/>
        <v>1.5589999999999999</v>
      </c>
      <c r="S145" s="20">
        <f t="shared" ca="1" si="101"/>
        <v>1.5589999999999999</v>
      </c>
      <c r="T145" s="20">
        <f t="shared" ca="1" si="101"/>
        <v>1.5651969033599999</v>
      </c>
      <c r="U145" s="20">
        <f t="shared" ca="1" si="101"/>
        <v>1.5965008414271999</v>
      </c>
      <c r="V145" s="20">
        <f t="shared" ca="1" si="101"/>
        <v>1.6284308582557441</v>
      </c>
      <c r="W145" s="20">
        <f t="shared" ca="1" si="101"/>
        <v>1.660999475420859</v>
      </c>
      <c r="X145" s="20">
        <f t="shared" ca="1" si="101"/>
        <v>1.6942194649292763</v>
      </c>
      <c r="Y145" s="20">
        <f t="shared" ca="1" si="101"/>
        <v>1.7281038542278619</v>
      </c>
      <c r="Z145" s="20">
        <f t="shared" ca="1" si="101"/>
        <v>1.7626659313124191</v>
      </c>
    </row>
    <row r="146" spans="1:26" x14ac:dyDescent="0.25">
      <c r="A146" s="12" t="s">
        <v>1216</v>
      </c>
      <c r="B146" s="14" t="str">
        <f>$B$38</f>
        <v>From Fiscal Forecasts</v>
      </c>
      <c r="C146" s="15"/>
      <c r="D146" s="50">
        <f>'Fiscal Forecasts'!D$164-D$145</f>
        <v>1.1310000000000002</v>
      </c>
      <c r="E146" s="50">
        <f>'Fiscal Forecasts'!E$164-E$145</f>
        <v>1.0770000000000002</v>
      </c>
      <c r="F146" s="50">
        <f>'Fiscal Forecasts'!F$164-F$145</f>
        <v>1.1110000000000002</v>
      </c>
      <c r="G146" s="50">
        <f>'Fiscal Forecasts'!G$164-G$145</f>
        <v>1.3210000000000002</v>
      </c>
      <c r="H146" s="50">
        <f>'Fiscal Forecasts'!H$164-H$145</f>
        <v>1.7099999999999997</v>
      </c>
      <c r="I146" s="50">
        <f>'Fiscal Forecasts'!I$164-I$145</f>
        <v>1.899</v>
      </c>
      <c r="J146" s="50">
        <f>'Fiscal Forecasts'!J$164-J$145</f>
        <v>1.9260000000000002</v>
      </c>
      <c r="K146" s="50">
        <f>'Fiscal Forecasts'!K$164-K$145</f>
        <v>2.1179999999999999</v>
      </c>
      <c r="L146" s="48">
        <f>'Fiscal Forecasts'!L$164-L$145</f>
        <v>2.3050000000000002</v>
      </c>
      <c r="M146" s="48">
        <f>'Fiscal Forecasts'!M$164-M$145</f>
        <v>2.4090000000000003</v>
      </c>
      <c r="N146" s="48">
        <f>'Fiscal Forecasts'!N$164-N$145</f>
        <v>2.4540000000000002</v>
      </c>
      <c r="O146" s="48">
        <f>'Fiscal Forecasts'!O$164-O$145</f>
        <v>2.4719999999999995</v>
      </c>
      <c r="P146" s="48">
        <f>'Fiscal Forecasts'!P$164-P$145</f>
        <v>2.4649999999999999</v>
      </c>
      <c r="Q146" s="20">
        <f t="shared" ref="Q146:Z146" ca="1" si="102">P$146*(1+Q$19)*(1+Q$29)</f>
        <v>2.5466072037006064</v>
      </c>
      <c r="R146" s="20">
        <f t="shared" ca="1" si="102"/>
        <v>2.6294345532857029</v>
      </c>
      <c r="S146" s="20">
        <f t="shared" ca="1" si="102"/>
        <v>2.7140619086961859</v>
      </c>
      <c r="T146" s="20">
        <f t="shared" ca="1" si="102"/>
        <v>2.7996891544140055</v>
      </c>
      <c r="U146" s="20">
        <f t="shared" ca="1" si="102"/>
        <v>2.88777963136878</v>
      </c>
      <c r="V146" s="20">
        <f t="shared" ca="1" si="102"/>
        <v>2.9775825292665066</v>
      </c>
      <c r="W146" s="20">
        <f t="shared" ca="1" si="102"/>
        <v>3.0668362788321724</v>
      </c>
      <c r="X146" s="20">
        <f t="shared" ca="1" si="102"/>
        <v>3.1579687962199565</v>
      </c>
      <c r="Y146" s="20">
        <f t="shared" ca="1" si="102"/>
        <v>3.2518643701806704</v>
      </c>
      <c r="Z146" s="20">
        <f t="shared" ca="1" si="102"/>
        <v>3.3478166078557523</v>
      </c>
    </row>
    <row r="147" spans="1:26" x14ac:dyDescent="0.25">
      <c r="A147" s="11" t="s">
        <v>1217</v>
      </c>
      <c r="B147" s="11"/>
      <c r="C147" s="15"/>
      <c r="D147" s="94">
        <f t="shared" ref="D147:Z147" si="103">SUM(D$145:D$146)</f>
        <v>1.9770000000000003</v>
      </c>
      <c r="E147" s="94">
        <f t="shared" si="103"/>
        <v>2.12</v>
      </c>
      <c r="F147" s="94">
        <f t="shared" si="103"/>
        <v>2.7450000000000001</v>
      </c>
      <c r="G147" s="94">
        <f t="shared" si="103"/>
        <v>4.327</v>
      </c>
      <c r="H147" s="94">
        <f t="shared" si="103"/>
        <v>3.2919999999999998</v>
      </c>
      <c r="I147" s="94">
        <f t="shared" si="103"/>
        <v>3.589</v>
      </c>
      <c r="J147" s="94">
        <f t="shared" si="103"/>
        <v>3.7</v>
      </c>
      <c r="K147" s="94">
        <f t="shared" si="103"/>
        <v>3.8239999999999998</v>
      </c>
      <c r="L147" s="95">
        <f t="shared" si="103"/>
        <v>4.0910000000000002</v>
      </c>
      <c r="M147" s="95">
        <f t="shared" si="103"/>
        <v>4.1630000000000003</v>
      </c>
      <c r="N147" s="95">
        <f t="shared" si="103"/>
        <v>4.1840000000000002</v>
      </c>
      <c r="O147" s="95">
        <f t="shared" si="103"/>
        <v>4.1159999999999997</v>
      </c>
      <c r="P147" s="95">
        <f t="shared" si="103"/>
        <v>4.024</v>
      </c>
      <c r="Q147" s="96">
        <f t="shared" ca="1" si="103"/>
        <v>4.1056072037006066</v>
      </c>
      <c r="R147" s="96">
        <f t="shared" ca="1" si="103"/>
        <v>4.1884345532857026</v>
      </c>
      <c r="S147" s="96">
        <f t="shared" ca="1" si="103"/>
        <v>4.2730619086961861</v>
      </c>
      <c r="T147" s="96">
        <f t="shared" ca="1" si="103"/>
        <v>4.3648860577740054</v>
      </c>
      <c r="U147" s="96">
        <f t="shared" ca="1" si="103"/>
        <v>4.4842804727959802</v>
      </c>
      <c r="V147" s="96">
        <f t="shared" ca="1" si="103"/>
        <v>4.6060133875222506</v>
      </c>
      <c r="W147" s="96">
        <f t="shared" ca="1" si="103"/>
        <v>4.7278357542530314</v>
      </c>
      <c r="X147" s="96">
        <f t="shared" ca="1" si="103"/>
        <v>4.8521882611492329</v>
      </c>
      <c r="Y147" s="96">
        <f t="shared" ca="1" si="103"/>
        <v>4.9799682244085322</v>
      </c>
      <c r="Z147" s="96">
        <f t="shared" ca="1" si="103"/>
        <v>5.1104825391681716</v>
      </c>
    </row>
    <row r="148" spans="1:26" x14ac:dyDescent="0.25">
      <c r="A148" s="12" t="s">
        <v>1016</v>
      </c>
      <c r="B148" s="14" t="str">
        <f>$B$38</f>
        <v>From Fiscal Forecasts</v>
      </c>
      <c r="C148" s="15"/>
      <c r="D148" s="50">
        <f>'Fiscal Forecasts'!D$228</f>
        <v>3.0139999999999998</v>
      </c>
      <c r="E148" s="50">
        <f>'Fiscal Forecasts'!E$228</f>
        <v>3.032</v>
      </c>
      <c r="F148" s="50">
        <f>'Fiscal Forecasts'!F$228</f>
        <v>3.27</v>
      </c>
      <c r="G148" s="50">
        <f>'Fiscal Forecasts'!G$228</f>
        <v>3.4609999999999999</v>
      </c>
      <c r="H148" s="50">
        <f>'Fiscal Forecasts'!H$228</f>
        <v>3.855</v>
      </c>
      <c r="I148" s="50">
        <f>'Fiscal Forecasts'!I$228</f>
        <v>4.1449999999999996</v>
      </c>
      <c r="J148" s="50">
        <f>'Fiscal Forecasts'!J$228</f>
        <v>4.2439999999999998</v>
      </c>
      <c r="K148" s="50">
        <f>'Fiscal Forecasts'!K$228</f>
        <v>4.5010000000000003</v>
      </c>
      <c r="L148" s="48">
        <f>'Fiscal Forecasts'!L$228</f>
        <v>4.97</v>
      </c>
      <c r="M148" s="48">
        <f>'Fiscal Forecasts'!M$228</f>
        <v>5.3630000000000004</v>
      </c>
      <c r="N148" s="48">
        <f>'Fiscal Forecasts'!N$228</f>
        <v>5.4489999999999998</v>
      </c>
      <c r="O148" s="48">
        <f>'Fiscal Forecasts'!O$228</f>
        <v>5.8540000000000001</v>
      </c>
      <c r="P148" s="48">
        <f>'Fiscal Forecasts'!P$228</f>
        <v>5.9859999999999998</v>
      </c>
      <c r="Q148" s="20">
        <f>P$148*(Exogenous!AB$25-Exogenous!AB$26)/(Exogenous!AA$25-Exogenous!AA$26)</f>
        <v>6.5094507792485157</v>
      </c>
      <c r="R148" s="20">
        <f>Q$148*(Exogenous!AC$25-Exogenous!AC$26)/(Exogenous!AB$25-Exogenous!AB$26)</f>
        <v>7.0637669526430447</v>
      </c>
      <c r="S148" s="20">
        <f>R$148*(Exogenous!AD$25-Exogenous!AD$26)/(Exogenous!AC$25-Exogenous!AC$26)</f>
        <v>7.6352679431138677</v>
      </c>
      <c r="T148" s="20">
        <f>S$148*(Exogenous!AE$25-Exogenous!AE$26)/(Exogenous!AD$25-Exogenous!AD$26)</f>
        <v>8.2584606508699405</v>
      </c>
      <c r="U148" s="20">
        <f>T$148*(Exogenous!AF$25-Exogenous!AF$26)/(Exogenous!AE$25-Exogenous!AE$26)</f>
        <v>8.8628947371769744</v>
      </c>
      <c r="V148" s="20">
        <f>U$148*(Exogenous!AG$25-Exogenous!AG$26)/(Exogenous!AF$25-Exogenous!AF$26)</f>
        <v>9.2504040037755946</v>
      </c>
      <c r="W148" s="20">
        <f>V$148*(Exogenous!AH$25-Exogenous!AH$26)/(Exogenous!AG$25-Exogenous!AG$26)</f>
        <v>9.6520793273056462</v>
      </c>
      <c r="X148" s="20">
        <f>W$148*(Exogenous!AI$25-Exogenous!AI$26)/(Exogenous!AH$25-Exogenous!AH$26)</f>
        <v>10.044084082937973</v>
      </c>
      <c r="Y148" s="20">
        <f>X$148*(Exogenous!AJ$25-Exogenous!AJ$26)/(Exogenous!AI$25-Exogenous!AI$26)</f>
        <v>10.452764231770606</v>
      </c>
      <c r="Z148" s="20">
        <f>Y$148*(Exogenous!AK$25-Exogenous!AK$26)/(Exogenous!AJ$25-Exogenous!AJ$26)</f>
        <v>10.865392180026317</v>
      </c>
    </row>
    <row r="149" spans="1:26" x14ac:dyDescent="0.25">
      <c r="A149" s="12" t="s">
        <v>1218</v>
      </c>
      <c r="B149" s="14" t="str">
        <f>$B$38</f>
        <v>From Fiscal Forecasts</v>
      </c>
      <c r="C149" s="15"/>
      <c r="D149" s="50">
        <f>'Fiscal Forecasts'!D$10-SUM(D$147:D$148)</f>
        <v>1.0369999999999999</v>
      </c>
      <c r="E149" s="50">
        <f>'Fiscal Forecasts'!E$10-SUM(E$147:E$148)</f>
        <v>1.117</v>
      </c>
      <c r="F149" s="50">
        <f>'Fiscal Forecasts'!F$10-SUM(F$147:F$148)</f>
        <v>1.0229999999999997</v>
      </c>
      <c r="G149" s="50">
        <f>'Fiscal Forecasts'!G$10-SUM(G$147:G$148)</f>
        <v>1.1059999999999999</v>
      </c>
      <c r="H149" s="50">
        <f>'Fiscal Forecasts'!H$10-SUM(H$147:H$148)</f>
        <v>1.2599999999999998</v>
      </c>
      <c r="I149" s="50">
        <f>'Fiscal Forecasts'!I$10-SUM(I$147:I$148)</f>
        <v>1.6920000000000002</v>
      </c>
      <c r="J149" s="50">
        <f>'Fiscal Forecasts'!J$10-SUM(J$147:J$148)</f>
        <v>1.8240000000000007</v>
      </c>
      <c r="K149" s="50">
        <f>'Fiscal Forecasts'!K$10-SUM(K$147:K$148)</f>
        <v>1.9770000000000003</v>
      </c>
      <c r="L149" s="48">
        <f>'Fiscal Forecasts'!L$10-SUM(L$147:L$148)</f>
        <v>1.8499999999999996</v>
      </c>
      <c r="M149" s="48">
        <f>'Fiscal Forecasts'!M$10-SUM(M$147:M$148)</f>
        <v>1.9960000000000004</v>
      </c>
      <c r="N149" s="48">
        <f>'Fiscal Forecasts'!N$10-SUM(N$147:N$148)</f>
        <v>2.0900000000000016</v>
      </c>
      <c r="O149" s="48">
        <f>'Fiscal Forecasts'!O$10-SUM(O$147:O$148)</f>
        <v>2.2330000000000005</v>
      </c>
      <c r="P149" s="48">
        <f>'Fiscal Forecasts'!P$10-SUM(P$147:P$148)</f>
        <v>2.4120000000000008</v>
      </c>
      <c r="Q149" s="20">
        <f t="shared" ref="Q149:Z149" ca="1" si="104">P$149*(1+Q$29)</f>
        <v>2.4602400000000006</v>
      </c>
      <c r="R149" s="20">
        <f t="shared" ca="1" si="104"/>
        <v>2.5094448000000007</v>
      </c>
      <c r="S149" s="20">
        <f t="shared" ca="1" si="104"/>
        <v>2.5596336960000006</v>
      </c>
      <c r="T149" s="20">
        <f t="shared" ca="1" si="104"/>
        <v>2.6108263699200007</v>
      </c>
      <c r="U149" s="20">
        <f t="shared" ca="1" si="104"/>
        <v>2.6630428973184008</v>
      </c>
      <c r="V149" s="20">
        <f t="shared" ca="1" si="104"/>
        <v>2.7163037552647689</v>
      </c>
      <c r="W149" s="20">
        <f t="shared" ca="1" si="104"/>
        <v>2.7706298303700643</v>
      </c>
      <c r="X149" s="20">
        <f t="shared" ca="1" si="104"/>
        <v>2.8260424269774655</v>
      </c>
      <c r="Y149" s="20">
        <f t="shared" ca="1" si="104"/>
        <v>2.8825632755170147</v>
      </c>
      <c r="Z149" s="20">
        <f t="shared" ca="1" si="104"/>
        <v>2.940214541027355</v>
      </c>
    </row>
    <row r="150" spans="1:26" x14ac:dyDescent="0.25">
      <c r="A150" s="11" t="s">
        <v>1219</v>
      </c>
      <c r="B150" s="11"/>
      <c r="C150" s="15"/>
      <c r="D150" s="94">
        <f t="shared" ref="D150:Z150" si="105">SUM(D$147:D$149)</f>
        <v>6.0279999999999996</v>
      </c>
      <c r="E150" s="94">
        <f t="shared" si="105"/>
        <v>6.2690000000000001</v>
      </c>
      <c r="F150" s="94">
        <f t="shared" si="105"/>
        <v>7.0380000000000003</v>
      </c>
      <c r="G150" s="94">
        <f t="shared" si="105"/>
        <v>8.8940000000000001</v>
      </c>
      <c r="H150" s="94">
        <f t="shared" si="105"/>
        <v>8.407</v>
      </c>
      <c r="I150" s="94">
        <f t="shared" si="105"/>
        <v>9.4260000000000002</v>
      </c>
      <c r="J150" s="94">
        <f t="shared" si="105"/>
        <v>9.7680000000000007</v>
      </c>
      <c r="K150" s="94">
        <f t="shared" si="105"/>
        <v>10.302</v>
      </c>
      <c r="L150" s="95">
        <f t="shared" si="105"/>
        <v>10.911</v>
      </c>
      <c r="M150" s="95">
        <f t="shared" si="105"/>
        <v>11.522</v>
      </c>
      <c r="N150" s="95">
        <f t="shared" si="105"/>
        <v>11.723000000000001</v>
      </c>
      <c r="O150" s="95">
        <f t="shared" si="105"/>
        <v>12.202999999999999</v>
      </c>
      <c r="P150" s="95">
        <f t="shared" si="105"/>
        <v>12.422000000000001</v>
      </c>
      <c r="Q150" s="96">
        <f t="shared" ca="1" si="105"/>
        <v>13.075297982949122</v>
      </c>
      <c r="R150" s="96">
        <f t="shared" ca="1" si="105"/>
        <v>13.761646305928748</v>
      </c>
      <c r="S150" s="96">
        <f t="shared" ca="1" si="105"/>
        <v>14.467963547810054</v>
      </c>
      <c r="T150" s="96">
        <f t="shared" ca="1" si="105"/>
        <v>15.234173078563948</v>
      </c>
      <c r="U150" s="96">
        <f t="shared" ca="1" si="105"/>
        <v>16.010218107291355</v>
      </c>
      <c r="V150" s="96">
        <f t="shared" ca="1" si="105"/>
        <v>16.572721146562614</v>
      </c>
      <c r="W150" s="96">
        <f t="shared" ca="1" si="105"/>
        <v>17.150544911928744</v>
      </c>
      <c r="X150" s="96">
        <f t="shared" ca="1" si="105"/>
        <v>17.722314771064671</v>
      </c>
      <c r="Y150" s="96">
        <f t="shared" ca="1" si="105"/>
        <v>18.315295731696153</v>
      </c>
      <c r="Z150" s="96">
        <f t="shared" ca="1" si="105"/>
        <v>18.916089260221845</v>
      </c>
    </row>
    <row r="151" spans="1:26" x14ac:dyDescent="0.25">
      <c r="A151" s="12" t="s">
        <v>1220</v>
      </c>
      <c r="B151" s="14" t="str">
        <f>$B$38</f>
        <v>From Fiscal Forecasts</v>
      </c>
      <c r="C151" s="15"/>
      <c r="D151" s="50">
        <f>'Fiscal Forecasts'!D$374</f>
        <v>0</v>
      </c>
      <c r="E151" s="50">
        <f>'Fiscal Forecasts'!E$374</f>
        <v>0</v>
      </c>
      <c r="F151" s="50">
        <f>'Fiscal Forecasts'!F$374</f>
        <v>0.33600000000000002</v>
      </c>
      <c r="G151" s="50">
        <f>'Fiscal Forecasts'!G$374</f>
        <v>2.0960000000000001</v>
      </c>
      <c r="H151" s="50">
        <f>'Fiscal Forecasts'!H$374</f>
        <v>0.83199999999999996</v>
      </c>
      <c r="I151" s="50">
        <f>'Fiscal Forecasts'!I$374</f>
        <v>0.21</v>
      </c>
      <c r="J151" s="50">
        <f>'Fiscal Forecasts'!J$374</f>
        <v>0.26700000000000002</v>
      </c>
      <c r="K151" s="50">
        <f>'Fiscal Forecasts'!K$374</f>
        <v>4.0000000000000001E-3</v>
      </c>
      <c r="L151" s="48">
        <f>'Fiscal Forecasts'!L$374</f>
        <v>0.12</v>
      </c>
      <c r="M151" s="48">
        <f>'Fiscal Forecasts'!M$374</f>
        <v>0.2</v>
      </c>
      <c r="N151" s="48">
        <f>'Fiscal Forecasts'!N$374</f>
        <v>0.14899999999999999</v>
      </c>
      <c r="O151" s="48">
        <f>'Fiscal Forecasts'!O$374</f>
        <v>0.104</v>
      </c>
      <c r="P151" s="48">
        <f>'Fiscal Forecasts'!P$374</f>
        <v>3.6999999999999998E-2</v>
      </c>
      <c r="Q151" s="20">
        <f t="shared" ref="Q151:Z151" si="106">P$151</f>
        <v>3.6999999999999998E-2</v>
      </c>
      <c r="R151" s="20">
        <f t="shared" si="106"/>
        <v>3.6999999999999998E-2</v>
      </c>
      <c r="S151" s="20">
        <f t="shared" si="106"/>
        <v>3.6999999999999998E-2</v>
      </c>
      <c r="T151" s="20">
        <f t="shared" si="106"/>
        <v>3.6999999999999998E-2</v>
      </c>
      <c r="U151" s="20">
        <f t="shared" si="106"/>
        <v>3.6999999999999998E-2</v>
      </c>
      <c r="V151" s="20">
        <f t="shared" si="106"/>
        <v>3.6999999999999998E-2</v>
      </c>
      <c r="W151" s="20">
        <f t="shared" si="106"/>
        <v>3.6999999999999998E-2</v>
      </c>
      <c r="X151" s="20">
        <f t="shared" si="106"/>
        <v>3.6999999999999998E-2</v>
      </c>
      <c r="Y151" s="20">
        <f t="shared" si="106"/>
        <v>3.6999999999999998E-2</v>
      </c>
      <c r="Z151" s="20">
        <f t="shared" si="106"/>
        <v>3.6999999999999998E-2</v>
      </c>
    </row>
    <row r="152" spans="1:26" x14ac:dyDescent="0.25">
      <c r="A152" s="11"/>
      <c r="B152" s="11"/>
      <c r="C152" s="15"/>
      <c r="D152" s="51"/>
      <c r="E152" s="51"/>
      <c r="F152" s="51"/>
      <c r="G152" s="51"/>
      <c r="H152" s="51"/>
      <c r="I152" s="51"/>
      <c r="J152" s="51"/>
      <c r="K152" s="51"/>
      <c r="L152" s="47"/>
      <c r="M152" s="47"/>
      <c r="N152" s="47"/>
      <c r="O152" s="47"/>
      <c r="P152" s="47"/>
      <c r="Q152" s="21"/>
      <c r="R152" s="21"/>
      <c r="S152" s="21"/>
      <c r="T152" s="21"/>
      <c r="U152" s="21"/>
      <c r="V152" s="21"/>
      <c r="W152" s="21"/>
      <c r="X152" s="21"/>
      <c r="Y152" s="21"/>
      <c r="Z152" s="21"/>
    </row>
    <row r="153" spans="1:26" x14ac:dyDescent="0.25">
      <c r="A153" s="11" t="s">
        <v>866</v>
      </c>
      <c r="B153" s="11"/>
      <c r="C153" s="15"/>
      <c r="D153" s="51"/>
      <c r="E153" s="51"/>
      <c r="F153" s="51"/>
      <c r="G153" s="51"/>
      <c r="H153" s="51"/>
      <c r="I153" s="51"/>
      <c r="J153" s="51"/>
      <c r="K153" s="51"/>
      <c r="L153" s="47"/>
      <c r="M153" s="47"/>
      <c r="N153" s="47"/>
      <c r="O153" s="47"/>
      <c r="P153" s="47"/>
      <c r="Q153" s="21"/>
      <c r="R153" s="21"/>
      <c r="S153" s="21"/>
      <c r="T153" s="21"/>
      <c r="U153" s="21"/>
      <c r="V153" s="21"/>
      <c r="W153" s="21"/>
      <c r="X153" s="21"/>
      <c r="Y153" s="21"/>
      <c r="Z153" s="21"/>
    </row>
    <row r="154" spans="1:26" x14ac:dyDescent="0.25">
      <c r="A154" s="11" t="s">
        <v>1221</v>
      </c>
      <c r="B154" s="14" t="str">
        <f>$B$38</f>
        <v>From Fiscal Forecasts</v>
      </c>
      <c r="C154" s="15"/>
      <c r="D154" s="51">
        <f>'Fiscal Forecasts'!D165</f>
        <v>1.583</v>
      </c>
      <c r="E154" s="51">
        <f>'Fiscal Forecasts'!E165</f>
        <v>1.5529999999999999</v>
      </c>
      <c r="F154" s="51">
        <f>'Fiscal Forecasts'!F165</f>
        <v>1.5429999999999999</v>
      </c>
      <c r="G154" s="51">
        <f>'Fiscal Forecasts'!G165</f>
        <v>1.3859999999999999</v>
      </c>
      <c r="H154" s="51">
        <f>'Fiscal Forecasts'!H165</f>
        <v>1.631</v>
      </c>
      <c r="I154" s="51">
        <f>'Fiscal Forecasts'!I165</f>
        <v>1.798</v>
      </c>
      <c r="J154" s="51">
        <f>'Fiscal Forecasts'!J165</f>
        <v>2.004</v>
      </c>
      <c r="K154" s="51">
        <f>'Fiscal Forecasts'!K165</f>
        <v>2.3359999999999999</v>
      </c>
      <c r="L154" s="47">
        <f>'Fiscal Forecasts'!L165</f>
        <v>2.9159999999999999</v>
      </c>
      <c r="M154" s="47">
        <f>'Fiscal Forecasts'!M165</f>
        <v>2.9790000000000001</v>
      </c>
      <c r="N154" s="47">
        <f>'Fiscal Forecasts'!N165</f>
        <v>3.0310000000000001</v>
      </c>
      <c r="O154" s="47">
        <f>'Fiscal Forecasts'!O165</f>
        <v>3.02</v>
      </c>
      <c r="P154" s="47">
        <f>'Fiscal Forecasts'!P165</f>
        <v>3.0350000000000001</v>
      </c>
      <c r="Q154" s="21">
        <f t="shared" ref="Q154:Z154" ca="1" si="107">P$154*(1+Q$19)*(1+Q$29)</f>
        <v>3.1354778349822885</v>
      </c>
      <c r="R154" s="21">
        <f t="shared" ca="1" si="107"/>
        <v>3.2374579591164738</v>
      </c>
      <c r="S154" s="21">
        <f t="shared" ca="1" si="107"/>
        <v>3.34165431760362</v>
      </c>
      <c r="T154" s="21">
        <f t="shared" ca="1" si="107"/>
        <v>3.4470817783555803</v>
      </c>
      <c r="U154" s="21">
        <f t="shared" ca="1" si="107"/>
        <v>3.5555420613404651</v>
      </c>
      <c r="V154" s="21">
        <f t="shared" ca="1" si="107"/>
        <v>3.6661107409021687</v>
      </c>
      <c r="W154" s="21">
        <f t="shared" ca="1" si="107"/>
        <v>3.7760032885418422</v>
      </c>
      <c r="X154" s="21">
        <f t="shared" ca="1" si="107"/>
        <v>3.8882090452444484</v>
      </c>
      <c r="Y154" s="21">
        <f t="shared" ca="1" si="107"/>
        <v>4.0038167803238665</v>
      </c>
      <c r="Z154" s="21">
        <f t="shared" ca="1" si="107"/>
        <v>4.1219567565282773</v>
      </c>
    </row>
    <row r="155" spans="1:26" x14ac:dyDescent="0.25">
      <c r="A155" s="11" t="s">
        <v>1222</v>
      </c>
      <c r="B155" s="14" t="str">
        <f>$B$38</f>
        <v>From Fiscal Forecasts</v>
      </c>
      <c r="C155" s="15"/>
      <c r="D155" s="51">
        <f>'Fiscal Forecasts'!D11</f>
        <v>19.795999999999999</v>
      </c>
      <c r="E155" s="51">
        <f>'Fiscal Forecasts'!E11</f>
        <v>18.437000000000001</v>
      </c>
      <c r="F155" s="51">
        <f>'Fiscal Forecasts'!F11</f>
        <v>18.5</v>
      </c>
      <c r="G155" s="51">
        <f>'Fiscal Forecasts'!G11</f>
        <v>17.442</v>
      </c>
      <c r="H155" s="51">
        <f>'Fiscal Forecasts'!H11</f>
        <v>21.954000000000001</v>
      </c>
      <c r="I155" s="51">
        <f>'Fiscal Forecasts'!I11</f>
        <v>25.135000000000002</v>
      </c>
      <c r="J155" s="51">
        <f>'Fiscal Forecasts'!J11</f>
        <v>26.085000000000001</v>
      </c>
      <c r="K155" s="51">
        <f>'Fiscal Forecasts'!K11</f>
        <v>25.22</v>
      </c>
      <c r="L155" s="47">
        <f>'Fiscal Forecasts'!L11</f>
        <v>26.960999999999999</v>
      </c>
      <c r="M155" s="47">
        <f>'Fiscal Forecasts'!M11</f>
        <v>27.52</v>
      </c>
      <c r="N155" s="47">
        <f>'Fiscal Forecasts'!N11</f>
        <v>28.155999999999999</v>
      </c>
      <c r="O155" s="47">
        <f>'Fiscal Forecasts'!O11</f>
        <v>29.151</v>
      </c>
      <c r="P155" s="47">
        <f>'Fiscal Forecasts'!P11</f>
        <v>29.815999999999999</v>
      </c>
      <c r="Q155" s="21">
        <f t="shared" ref="Q155:Z155" ca="1" si="108">Q$154+(P$155-P$154)*(1+Q$14)</f>
        <v>31.082278581469399</v>
      </c>
      <c r="R155" s="21">
        <f t="shared" ca="1" si="108"/>
        <v>32.373817990717384</v>
      </c>
      <c r="S155" s="21">
        <f t="shared" ca="1" si="108"/>
        <v>33.699088373795036</v>
      </c>
      <c r="T155" s="21">
        <f t="shared" ca="1" si="108"/>
        <v>35.054248490549547</v>
      </c>
      <c r="U155" s="21">
        <f t="shared" ca="1" si="108"/>
        <v>36.456020529544169</v>
      </c>
      <c r="V155" s="21">
        <f t="shared" ca="1" si="108"/>
        <v>37.903940016000107</v>
      </c>
      <c r="W155" s="21">
        <f t="shared" ca="1" si="108"/>
        <v>39.388475508708048</v>
      </c>
      <c r="X155" s="21">
        <f t="shared" ca="1" si="108"/>
        <v>40.914908229707805</v>
      </c>
      <c r="Y155" s="21">
        <f t="shared" ca="1" si="108"/>
        <v>42.491722468210163</v>
      </c>
      <c r="Z155" s="21">
        <f t="shared" ca="1" si="108"/>
        <v>44.118425353902772</v>
      </c>
    </row>
    <row r="156" spans="1:26" x14ac:dyDescent="0.25">
      <c r="A156" s="11"/>
      <c r="B156" s="11"/>
      <c r="C156" s="15"/>
      <c r="D156" s="51"/>
      <c r="E156" s="51"/>
      <c r="F156" s="51"/>
      <c r="G156" s="51"/>
      <c r="H156" s="51"/>
      <c r="I156" s="51"/>
      <c r="J156" s="51"/>
      <c r="K156" s="51"/>
      <c r="L156" s="47"/>
      <c r="M156" s="47"/>
      <c r="N156" s="47"/>
      <c r="O156" s="47"/>
      <c r="P156" s="47"/>
      <c r="Q156" s="21"/>
      <c r="R156" s="21"/>
      <c r="S156" s="21"/>
      <c r="T156" s="21"/>
      <c r="U156" s="21"/>
      <c r="V156" s="21"/>
      <c r="W156" s="21"/>
      <c r="X156" s="21"/>
      <c r="Y156" s="21"/>
      <c r="Z156" s="21"/>
    </row>
    <row r="157" spans="1:26" x14ac:dyDescent="0.25">
      <c r="A157" s="11" t="s">
        <v>867</v>
      </c>
      <c r="B157" s="11"/>
      <c r="C157" s="15"/>
      <c r="D157" s="51"/>
      <c r="E157" s="51"/>
      <c r="F157" s="51"/>
      <c r="G157" s="51"/>
      <c r="H157" s="51"/>
      <c r="I157" s="51"/>
      <c r="J157" s="51"/>
      <c r="K157" s="51"/>
      <c r="L157" s="47"/>
      <c r="M157" s="47"/>
      <c r="N157" s="47"/>
      <c r="O157" s="47"/>
      <c r="P157" s="47"/>
      <c r="Q157" s="21"/>
      <c r="R157" s="21"/>
      <c r="S157" s="21"/>
      <c r="T157" s="21"/>
      <c r="U157" s="21"/>
      <c r="V157" s="21"/>
      <c r="W157" s="21"/>
      <c r="X157" s="21"/>
      <c r="Y157" s="21"/>
      <c r="Z157" s="21"/>
    </row>
    <row r="158" spans="1:26" x14ac:dyDescent="0.25">
      <c r="A158" s="12" t="s">
        <v>1223</v>
      </c>
      <c r="B158" s="11"/>
      <c r="C158" s="15"/>
      <c r="D158" s="50">
        <f ca="1">OFFSET(Assumptions!$B$48,0,$C$1)*D$375</f>
        <v>0.41243999999999997</v>
      </c>
      <c r="E158" s="50">
        <f ca="1">OFFSET(Assumptions!$B$48,0,$C$1)*E$375</f>
        <v>0.33726</v>
      </c>
      <c r="F158" s="50">
        <f ca="1">OFFSET(Assumptions!$B$48,0,$C$1)*F$375</f>
        <v>0.31163999999999997</v>
      </c>
      <c r="G158" s="50">
        <f ca="1">OFFSET(Assumptions!$B$48,0,$C$1)*G$375</f>
        <v>0.45233999999999996</v>
      </c>
      <c r="H158" s="50">
        <f ca="1">OFFSET(Assumptions!$B$48,0,$C$1)*H$375</f>
        <v>0.5544</v>
      </c>
      <c r="I158" s="50">
        <f ca="1">OFFSET(Assumptions!$B$48,0,$C$1)*I$375</f>
        <v>0.69677999999999995</v>
      </c>
      <c r="J158" s="50">
        <f ca="1">OFFSET(Assumptions!$B$48,0,$C$1)*J$375</f>
        <v>0.74927999999999995</v>
      </c>
      <c r="K158" s="50">
        <f ca="1">OFFSET(Assumptions!$B$48,0,$C$1)*K$375</f>
        <v>0.75348000000000004</v>
      </c>
      <c r="L158" s="48">
        <f ca="1">OFFSET(Assumptions!$B$48,0,$C$1)*L$375</f>
        <v>0.74885999999999997</v>
      </c>
      <c r="M158" s="48">
        <f ca="1">OFFSET(Assumptions!$B$48,0,$C$1)*M$375</f>
        <v>0.77532000000000001</v>
      </c>
      <c r="N158" s="48">
        <f ca="1">OFFSET(Assumptions!$B$48,0,$C$1)*N$375</f>
        <v>0.81227999999999989</v>
      </c>
      <c r="O158" s="48">
        <f ca="1">OFFSET(Assumptions!$B$48,0,$C$1)*O$375</f>
        <v>0.84965999999999997</v>
      </c>
      <c r="P158" s="48">
        <f ca="1">OFFSET(Assumptions!$B$48,0,$C$1)*P$375</f>
        <v>0.88913999999999993</v>
      </c>
      <c r="Q158" s="20">
        <f ca="1">OFFSET(Assumptions!$B$48,0,$C$1)*Q$375</f>
        <v>0.95870978269583018</v>
      </c>
      <c r="R158" s="20">
        <f ca="1">OFFSET(Assumptions!$B$48,0,$C$1)*R$375</f>
        <v>1.0175422012160071</v>
      </c>
      <c r="S158" s="20">
        <f ca="1">OFFSET(Assumptions!$B$48,0,$C$1)*S$375</f>
        <v>1.0788136908672246</v>
      </c>
      <c r="T158" s="20">
        <f ca="1">OFFSET(Assumptions!$B$48,0,$C$1)*T$375</f>
        <v>1.1426320853691245</v>
      </c>
      <c r="U158" s="20">
        <f ca="1">OFFSET(Assumptions!$B$48,0,$C$1)*U$375</f>
        <v>1.2090007055569587</v>
      </c>
      <c r="V158" s="20">
        <f ca="1">OFFSET(Assumptions!$B$48,0,$C$1)*V$375</f>
        <v>1.2779762319694714</v>
      </c>
      <c r="W158" s="20">
        <f ca="1">OFFSET(Assumptions!$B$48,0,$C$1)*W$375</f>
        <v>1.3501058732121565</v>
      </c>
      <c r="X158" s="20">
        <f ca="1">OFFSET(Assumptions!$B$48,0,$C$1)*X$375</f>
        <v>1.4260986796114399</v>
      </c>
      <c r="Y158" s="20">
        <f ca="1">OFFSET(Assumptions!$B$48,0,$C$1)*Y$375</f>
        <v>1.5068004336497027</v>
      </c>
      <c r="Z158" s="20">
        <f ca="1">OFFSET(Assumptions!$B$48,0,$C$1)*Z$375</f>
        <v>1.5931502850467707</v>
      </c>
    </row>
    <row r="159" spans="1:26" x14ac:dyDescent="0.25">
      <c r="A159" s="12" t="s">
        <v>1224</v>
      </c>
      <c r="B159" s="11"/>
      <c r="C159" s="15"/>
      <c r="D159" s="50">
        <f t="shared" ref="D159:Z159" si="109">D$404</f>
        <v>0.39400000000000002</v>
      </c>
      <c r="E159" s="50">
        <f t="shared" si="109"/>
        <v>0.33100000000000002</v>
      </c>
      <c r="F159" s="50">
        <f t="shared" si="109"/>
        <v>0.23499999999999999</v>
      </c>
      <c r="G159" s="50">
        <f t="shared" si="109"/>
        <v>0.28000000000000003</v>
      </c>
      <c r="H159" s="50">
        <f t="shared" si="109"/>
        <v>0.57699999999999996</v>
      </c>
      <c r="I159" s="50">
        <f t="shared" si="109"/>
        <v>0.63400000000000001</v>
      </c>
      <c r="J159" s="50">
        <f t="shared" si="109"/>
        <v>0.49199999999999999</v>
      </c>
      <c r="K159" s="50">
        <f t="shared" si="109"/>
        <v>0.311</v>
      </c>
      <c r="L159" s="48">
        <f t="shared" si="109"/>
        <v>0.36299999999999999</v>
      </c>
      <c r="M159" s="48">
        <f t="shared" si="109"/>
        <v>0.44600000000000001</v>
      </c>
      <c r="N159" s="48">
        <f t="shared" si="109"/>
        <v>0.47399999999999998</v>
      </c>
      <c r="O159" s="48">
        <f t="shared" si="109"/>
        <v>0.501</v>
      </c>
      <c r="P159" s="48">
        <f t="shared" si="109"/>
        <v>0.52600000000000002</v>
      </c>
      <c r="Q159" s="20">
        <f t="shared" si="109"/>
        <v>0.56899999999999995</v>
      </c>
      <c r="R159" s="20">
        <f t="shared" si="109"/>
        <v>0.60499999999999998</v>
      </c>
      <c r="S159" s="20">
        <f t="shared" si="109"/>
        <v>0.63900000000000001</v>
      </c>
      <c r="T159" s="20">
        <f t="shared" si="109"/>
        <v>0.67</v>
      </c>
      <c r="U159" s="20">
        <f t="shared" si="109"/>
        <v>0.69899999999999995</v>
      </c>
      <c r="V159" s="20">
        <f t="shared" si="109"/>
        <v>0.72899999999999998</v>
      </c>
      <c r="W159" s="20">
        <f t="shared" si="109"/>
        <v>0.75900000000000001</v>
      </c>
      <c r="X159" s="20">
        <f t="shared" si="109"/>
        <v>0.79100000000000004</v>
      </c>
      <c r="Y159" s="20">
        <f t="shared" si="109"/>
        <v>0.82399999999999995</v>
      </c>
      <c r="Z159" s="20">
        <f t="shared" si="109"/>
        <v>0.85699999999999998</v>
      </c>
    </row>
    <row r="160" spans="1:26" x14ac:dyDescent="0.25">
      <c r="A160" s="12" t="s">
        <v>1225</v>
      </c>
      <c r="B160" s="14" t="str">
        <f>$B$38</f>
        <v>From Fiscal Forecasts</v>
      </c>
      <c r="C160" s="15"/>
      <c r="D160" s="50">
        <f ca="1">'Fiscal Forecasts'!D$166-SUM(D$158:D$159)</f>
        <v>0.25356000000000001</v>
      </c>
      <c r="E160" s="50">
        <f ca="1">'Fiscal Forecasts'!E$166-SUM(E$158:E$159)</f>
        <v>0.1817399999999999</v>
      </c>
      <c r="F160" s="50">
        <f ca="1">'Fiscal Forecasts'!F$166-SUM(F$158:F$159)</f>
        <v>0.16935999999999996</v>
      </c>
      <c r="G160" s="50">
        <f ca="1">'Fiscal Forecasts'!G$166-SUM(G$158:G$159)</f>
        <v>0.12565999999999999</v>
      </c>
      <c r="H160" s="50">
        <f ca="1">'Fiscal Forecasts'!H$166-SUM(H$158:H$159)</f>
        <v>1.7306000000000001</v>
      </c>
      <c r="I160" s="50">
        <f ca="1">'Fiscal Forecasts'!I$166-SUM(I$158:I$159)</f>
        <v>3.11022</v>
      </c>
      <c r="J160" s="50">
        <f ca="1">'Fiscal Forecasts'!J$166-SUM(J$158:J$159)</f>
        <v>2.9477200000000003</v>
      </c>
      <c r="K160" s="50">
        <f ca="1">'Fiscal Forecasts'!K$166-SUM(K$158:K$159)</f>
        <v>2.45452</v>
      </c>
      <c r="L160" s="48">
        <f ca="1">'Fiscal Forecasts'!L$166-SUM(L$158:L$159)</f>
        <v>2.9171399999999998</v>
      </c>
      <c r="M160" s="48">
        <f ca="1">'Fiscal Forecasts'!M$166-SUM(M$158:M$159)</f>
        <v>3.2346800000000004</v>
      </c>
      <c r="N160" s="48">
        <f ca="1">'Fiscal Forecasts'!N$166-SUM(N$158:N$159)</f>
        <v>3.42272</v>
      </c>
      <c r="O160" s="48">
        <f ca="1">'Fiscal Forecasts'!O$166-SUM(O$158:O$159)</f>
        <v>3.8523400000000003</v>
      </c>
      <c r="P160" s="48">
        <f ca="1">'Fiscal Forecasts'!P$166-SUM(P$158:P$159)</f>
        <v>3.8328600000000002</v>
      </c>
      <c r="Q160" s="20">
        <f t="shared" ref="Q160:Z160" ca="1" si="110">P$160*(1+Q$29)*Q$30/P$30</f>
        <v>3.9095172000000002</v>
      </c>
      <c r="R160" s="20">
        <f t="shared" ca="1" si="110"/>
        <v>3.9877075440000005</v>
      </c>
      <c r="S160" s="20">
        <f t="shared" ca="1" si="110"/>
        <v>4.0674616948800004</v>
      </c>
      <c r="T160" s="20">
        <f t="shared" ca="1" si="110"/>
        <v>4.1488109287776007</v>
      </c>
      <c r="U160" s="20">
        <f t="shared" ca="1" si="110"/>
        <v>4.2317871473531525</v>
      </c>
      <c r="V160" s="20">
        <f t="shared" ca="1" si="110"/>
        <v>4.316422890300216</v>
      </c>
      <c r="W160" s="20">
        <f t="shared" ca="1" si="110"/>
        <v>4.4027513481062206</v>
      </c>
      <c r="X160" s="20">
        <f t="shared" ca="1" si="110"/>
        <v>4.4908063750683453</v>
      </c>
      <c r="Y160" s="20">
        <f t="shared" ca="1" si="110"/>
        <v>4.580622502569712</v>
      </c>
      <c r="Z160" s="20">
        <f t="shared" ca="1" si="110"/>
        <v>4.672234952621106</v>
      </c>
    </row>
    <row r="161" spans="1:26" x14ac:dyDescent="0.25">
      <c r="A161" s="11" t="s">
        <v>1226</v>
      </c>
      <c r="B161" s="11"/>
      <c r="C161" s="15"/>
      <c r="D161" s="94">
        <f t="shared" ref="D161:Z161" ca="1" si="111">SUM(D$158:D$160)</f>
        <v>1.06</v>
      </c>
      <c r="E161" s="94">
        <f t="shared" ca="1" si="111"/>
        <v>0.85</v>
      </c>
      <c r="F161" s="94">
        <f t="shared" ca="1" si="111"/>
        <v>0.71599999999999997</v>
      </c>
      <c r="G161" s="94">
        <f t="shared" ca="1" si="111"/>
        <v>0.85799999999999998</v>
      </c>
      <c r="H161" s="94">
        <f t="shared" ca="1" si="111"/>
        <v>2.8620000000000001</v>
      </c>
      <c r="I161" s="94">
        <f t="shared" ca="1" si="111"/>
        <v>4.4409999999999998</v>
      </c>
      <c r="J161" s="94">
        <f t="shared" ca="1" si="111"/>
        <v>4.1890000000000001</v>
      </c>
      <c r="K161" s="94">
        <f t="shared" ca="1" si="111"/>
        <v>3.5190000000000001</v>
      </c>
      <c r="L161" s="95">
        <f t="shared" ca="1" si="111"/>
        <v>4.0289999999999999</v>
      </c>
      <c r="M161" s="95">
        <f t="shared" ca="1" si="111"/>
        <v>4.4560000000000004</v>
      </c>
      <c r="N161" s="95">
        <f t="shared" ca="1" si="111"/>
        <v>4.7089999999999996</v>
      </c>
      <c r="O161" s="95">
        <f t="shared" ca="1" si="111"/>
        <v>5.2030000000000003</v>
      </c>
      <c r="P161" s="95">
        <f t="shared" ca="1" si="111"/>
        <v>5.2480000000000002</v>
      </c>
      <c r="Q161" s="96">
        <f t="shared" ca="1" si="111"/>
        <v>5.4372269826958304</v>
      </c>
      <c r="R161" s="96">
        <f t="shared" ca="1" si="111"/>
        <v>5.6102497452160076</v>
      </c>
      <c r="S161" s="96">
        <f t="shared" ca="1" si="111"/>
        <v>5.7852753857472248</v>
      </c>
      <c r="T161" s="96">
        <f t="shared" ca="1" si="111"/>
        <v>5.9614430141467256</v>
      </c>
      <c r="U161" s="96">
        <f t="shared" ca="1" si="111"/>
        <v>6.1397878529101106</v>
      </c>
      <c r="V161" s="96">
        <f t="shared" ca="1" si="111"/>
        <v>6.3233991222696879</v>
      </c>
      <c r="W161" s="96">
        <f t="shared" ca="1" si="111"/>
        <v>6.511857221318377</v>
      </c>
      <c r="X161" s="96">
        <f t="shared" ca="1" si="111"/>
        <v>6.7079050546797854</v>
      </c>
      <c r="Y161" s="96">
        <f t="shared" ca="1" si="111"/>
        <v>6.9114229362194148</v>
      </c>
      <c r="Z161" s="96">
        <f t="shared" ca="1" si="111"/>
        <v>7.1223852376678769</v>
      </c>
    </row>
    <row r="162" spans="1:26" x14ac:dyDescent="0.25">
      <c r="A162" s="12" t="s">
        <v>1020</v>
      </c>
      <c r="B162" s="14" t="str">
        <f>$B$38</f>
        <v>From Fiscal Forecasts</v>
      </c>
      <c r="C162" s="15"/>
      <c r="D162" s="50">
        <f>'Fiscal Forecasts'!D$233</f>
        <v>1.016</v>
      </c>
      <c r="E162" s="50">
        <f>'Fiscal Forecasts'!E$233</f>
        <v>0.94699999999999995</v>
      </c>
      <c r="F162" s="50">
        <f>'Fiscal Forecasts'!F$233</f>
        <v>0.78500000000000003</v>
      </c>
      <c r="G162" s="50">
        <f>'Fiscal Forecasts'!G$233</f>
        <v>0.82699999999999996</v>
      </c>
      <c r="H162" s="50">
        <f>'Fiscal Forecasts'!H$233</f>
        <v>2.097</v>
      </c>
      <c r="I162" s="50">
        <f>'Fiscal Forecasts'!I$233</f>
        <v>3.56</v>
      </c>
      <c r="J162" s="50">
        <f>'Fiscal Forecasts'!J$233</f>
        <v>4.0990000000000002</v>
      </c>
      <c r="K162" s="50">
        <f>'Fiscal Forecasts'!K$233</f>
        <v>3.9359999999999999</v>
      </c>
      <c r="L162" s="48">
        <f>'Fiscal Forecasts'!L$233</f>
        <v>4.0650000000000004</v>
      </c>
      <c r="M162" s="48">
        <f>'Fiscal Forecasts'!M$233</f>
        <v>4.51</v>
      </c>
      <c r="N162" s="48">
        <f>'Fiscal Forecasts'!N$233</f>
        <v>5.0789999999999997</v>
      </c>
      <c r="O162" s="48">
        <f>'Fiscal Forecasts'!O$233</f>
        <v>5.67</v>
      </c>
      <c r="P162" s="48">
        <f>'Fiscal Forecasts'!P$233</f>
        <v>6.1879999999999997</v>
      </c>
      <c r="Q162" s="20">
        <f ca="1">P$162*AVERAGE(1+Q$29,1+Exogenous!AB$31)</f>
        <v>6.4123297845524876</v>
      </c>
      <c r="R162" s="20">
        <f ca="1">Q$162*AVERAGE(1+R$29,1+Exogenous!AC$31)</f>
        <v>6.6479753701309878</v>
      </c>
      <c r="S162" s="20">
        <f ca="1">R$162*AVERAGE(1+S$29,1+Exogenous!AD$31)</f>
        <v>6.8950297789393744</v>
      </c>
      <c r="T162" s="20">
        <f ca="1">S$162*AVERAGE(1+T$29,1+Exogenous!AE$31)</f>
        <v>7.1534370794288984</v>
      </c>
      <c r="U162" s="20">
        <f ca="1">T$162*AVERAGE(1+U$29,1+Exogenous!AF$31)</f>
        <v>7.4224234327580669</v>
      </c>
      <c r="V162" s="20">
        <f ca="1">U$162*AVERAGE(1+V$29,1+Exogenous!AG$31)</f>
        <v>7.7016293009972374</v>
      </c>
      <c r="W162" s="20">
        <f ca="1">V$162*AVERAGE(1+W$29,1+Exogenous!AH$31)</f>
        <v>7.9913956994938786</v>
      </c>
      <c r="X162" s="20">
        <f ca="1">W$162*AVERAGE(1+X$29,1+Exogenous!AI$31)</f>
        <v>8.2921328172627824</v>
      </c>
      <c r="Y162" s="20">
        <f ca="1">X$162*AVERAGE(1+Y$29,1+Exogenous!AJ$31)</f>
        <v>8.6042488552918179</v>
      </c>
      <c r="Z162" s="20">
        <f ca="1">Y$162*AVERAGE(1+Z$29,1+Exogenous!AK$31)</f>
        <v>8.9281645934371223</v>
      </c>
    </row>
    <row r="163" spans="1:26" x14ac:dyDescent="0.25">
      <c r="A163" s="12" t="s">
        <v>1227</v>
      </c>
      <c r="B163" s="14" t="str">
        <f>$B$38</f>
        <v>From Fiscal Forecasts</v>
      </c>
      <c r="C163" s="15"/>
      <c r="D163" s="50">
        <f>'Fiscal Forecasts'!D$234</f>
        <v>1.014</v>
      </c>
      <c r="E163" s="50">
        <f>'Fiscal Forecasts'!E$234</f>
        <v>0.95299999999999996</v>
      </c>
      <c r="F163" s="50">
        <f>'Fiscal Forecasts'!F$234</f>
        <v>0.79100000000000004</v>
      </c>
      <c r="G163" s="50">
        <f>'Fiscal Forecasts'!G$234</f>
        <v>0.95699999999999996</v>
      </c>
      <c r="H163" s="50">
        <f>'Fiscal Forecasts'!H$234</f>
        <v>0.67500000000000004</v>
      </c>
      <c r="I163" s="50">
        <f>'Fiscal Forecasts'!I$234</f>
        <v>0.22800000000000001</v>
      </c>
      <c r="J163" s="50">
        <f>'Fiscal Forecasts'!J$234</f>
        <v>0.16200000000000001</v>
      </c>
      <c r="K163" s="50">
        <f>'Fiscal Forecasts'!K$234</f>
        <v>0.114</v>
      </c>
      <c r="L163" s="48">
        <f>'Fiscal Forecasts'!L$234</f>
        <v>7.8E-2</v>
      </c>
      <c r="M163" s="48">
        <f>'Fiscal Forecasts'!M$234</f>
        <v>8.4000000000000005E-2</v>
      </c>
      <c r="N163" s="48">
        <f>'Fiscal Forecasts'!N$234</f>
        <v>8.6999999999999994E-2</v>
      </c>
      <c r="O163" s="48">
        <f>'Fiscal Forecasts'!O$234</f>
        <v>9.4E-2</v>
      </c>
      <c r="P163" s="48">
        <f>'Fiscal Forecasts'!P$234</f>
        <v>0.106</v>
      </c>
      <c r="Q163" s="20">
        <f t="shared" ref="Q163:Z163" ca="1" si="112">P$163*(1+Q$29)</f>
        <v>0.10811999999999999</v>
      </c>
      <c r="R163" s="20">
        <f t="shared" ca="1" si="112"/>
        <v>0.11028239999999999</v>
      </c>
      <c r="S163" s="20">
        <f t="shared" ca="1" si="112"/>
        <v>0.11248804799999999</v>
      </c>
      <c r="T163" s="20">
        <f t="shared" ca="1" si="112"/>
        <v>0.11473780895999999</v>
      </c>
      <c r="U163" s="20">
        <f t="shared" ca="1" si="112"/>
        <v>0.11703256513919999</v>
      </c>
      <c r="V163" s="20">
        <f t="shared" ca="1" si="112"/>
        <v>0.119373216441984</v>
      </c>
      <c r="W163" s="20">
        <f t="shared" ca="1" si="112"/>
        <v>0.12176068077082368</v>
      </c>
      <c r="X163" s="20">
        <f t="shared" ca="1" si="112"/>
        <v>0.12419589438624015</v>
      </c>
      <c r="Y163" s="20">
        <f t="shared" ca="1" si="112"/>
        <v>0.12667981227396496</v>
      </c>
      <c r="Z163" s="20">
        <f t="shared" ca="1" si="112"/>
        <v>0.12921340851944427</v>
      </c>
    </row>
    <row r="164" spans="1:26" x14ac:dyDescent="0.25">
      <c r="A164" s="12" t="s">
        <v>1228</v>
      </c>
      <c r="B164" s="14" t="str">
        <f>$B$38</f>
        <v>From Fiscal Forecasts</v>
      </c>
      <c r="C164" s="15"/>
      <c r="D164" s="50">
        <f>'Fiscal Forecasts'!D$235</f>
        <v>-0.44400000000000001</v>
      </c>
      <c r="E164" s="50">
        <f>'Fiscal Forecasts'!E$235</f>
        <v>-0.45</v>
      </c>
      <c r="F164" s="50">
        <f>'Fiscal Forecasts'!F$235</f>
        <v>-0.34899999999999998</v>
      </c>
      <c r="G164" s="50">
        <f>'Fiscal Forecasts'!G$235</f>
        <v>-0.35</v>
      </c>
      <c r="H164" s="50">
        <f>'Fiscal Forecasts'!H$235</f>
        <v>-0.622</v>
      </c>
      <c r="I164" s="50">
        <f>'Fiscal Forecasts'!I$235</f>
        <v>-1.109</v>
      </c>
      <c r="J164" s="50">
        <f>'Fiscal Forecasts'!J$235</f>
        <v>-1.411</v>
      </c>
      <c r="K164" s="50">
        <f>'Fiscal Forecasts'!K$235</f>
        <v>-1.585</v>
      </c>
      <c r="L164" s="48">
        <f>'Fiscal Forecasts'!L$235</f>
        <v>-1.6859999999999999</v>
      </c>
      <c r="M164" s="48">
        <f>'Fiscal Forecasts'!M$235</f>
        <v>-1.847</v>
      </c>
      <c r="N164" s="48">
        <f>'Fiscal Forecasts'!N$235</f>
        <v>-1.958</v>
      </c>
      <c r="O164" s="48">
        <f>'Fiscal Forecasts'!O$235</f>
        <v>-2.0409999999999999</v>
      </c>
      <c r="P164" s="48">
        <f>'Fiscal Forecasts'!P$235</f>
        <v>-2.1429999999999998</v>
      </c>
      <c r="Q164" s="20">
        <f t="shared" ref="Q164:Z164" ca="1" si="113">P$164*Q$162/P$162</f>
        <v>-2.2206888701189365</v>
      </c>
      <c r="R164" s="20">
        <f t="shared" ca="1" si="113"/>
        <v>-2.3022965769538954</v>
      </c>
      <c r="S164" s="20">
        <f t="shared" ca="1" si="113"/>
        <v>-2.387855335531202</v>
      </c>
      <c r="T164" s="20">
        <f t="shared" ca="1" si="113"/>
        <v>-2.4773457758914232</v>
      </c>
      <c r="U164" s="20">
        <f t="shared" ca="1" si="113"/>
        <v>-2.5704999056885161</v>
      </c>
      <c r="V164" s="20">
        <f t="shared" ca="1" si="113"/>
        <v>-2.6671932113828505</v>
      </c>
      <c r="W164" s="20">
        <f t="shared" ca="1" si="113"/>
        <v>-2.7675437918576891</v>
      </c>
      <c r="X164" s="20">
        <f t="shared" ca="1" si="113"/>
        <v>-2.8716937019059698</v>
      </c>
      <c r="Y164" s="20">
        <f t="shared" ca="1" si="113"/>
        <v>-2.9797843078361934</v>
      </c>
      <c r="Z164" s="20">
        <f t="shared" ca="1" si="113"/>
        <v>-3.091961332213276</v>
      </c>
    </row>
    <row r="165" spans="1:26" x14ac:dyDescent="0.25">
      <c r="A165" s="11" t="s">
        <v>1229</v>
      </c>
      <c r="B165" s="11"/>
      <c r="C165" s="15"/>
      <c r="D165" s="94">
        <f t="shared" ref="D165:Z165" ca="1" si="114">SUM(D$161:D$164)</f>
        <v>2.6459999999999999</v>
      </c>
      <c r="E165" s="94">
        <f t="shared" ca="1" si="114"/>
        <v>2.2999999999999998</v>
      </c>
      <c r="F165" s="94">
        <f t="shared" ca="1" si="114"/>
        <v>1.9429999999999998</v>
      </c>
      <c r="G165" s="94">
        <f t="shared" ca="1" si="114"/>
        <v>2.2919999999999998</v>
      </c>
      <c r="H165" s="94">
        <f t="shared" ca="1" si="114"/>
        <v>5.0119999999999996</v>
      </c>
      <c r="I165" s="94">
        <f t="shared" ca="1" si="114"/>
        <v>7.1199999999999992</v>
      </c>
      <c r="J165" s="94">
        <f t="shared" ca="1" si="114"/>
        <v>7.0390000000000015</v>
      </c>
      <c r="K165" s="94">
        <f t="shared" ca="1" si="114"/>
        <v>5.984</v>
      </c>
      <c r="L165" s="95">
        <f t="shared" ca="1" si="114"/>
        <v>6.4860000000000007</v>
      </c>
      <c r="M165" s="95">
        <f t="shared" ca="1" si="114"/>
        <v>7.2030000000000012</v>
      </c>
      <c r="N165" s="95">
        <f t="shared" ca="1" si="114"/>
        <v>7.9169999999999998</v>
      </c>
      <c r="O165" s="95">
        <f t="shared" ca="1" si="114"/>
        <v>8.9260000000000002</v>
      </c>
      <c r="P165" s="95">
        <f t="shared" ca="1" si="114"/>
        <v>9.3990000000000009</v>
      </c>
      <c r="Q165" s="96">
        <f t="shared" ca="1" si="114"/>
        <v>9.7369878971293815</v>
      </c>
      <c r="R165" s="96">
        <f t="shared" ca="1" si="114"/>
        <v>10.066210938393098</v>
      </c>
      <c r="S165" s="96">
        <f t="shared" ca="1" si="114"/>
        <v>10.404937877155398</v>
      </c>
      <c r="T165" s="96">
        <f t="shared" ca="1" si="114"/>
        <v>10.752272126644201</v>
      </c>
      <c r="U165" s="96">
        <f t="shared" ca="1" si="114"/>
        <v>11.10874394511886</v>
      </c>
      <c r="V165" s="96">
        <f t="shared" ca="1" si="114"/>
        <v>11.477208428326058</v>
      </c>
      <c r="W165" s="96">
        <f t="shared" ca="1" si="114"/>
        <v>11.857469809725389</v>
      </c>
      <c r="X165" s="96">
        <f t="shared" ca="1" si="114"/>
        <v>12.252540064422837</v>
      </c>
      <c r="Y165" s="96">
        <f t="shared" ca="1" si="114"/>
        <v>12.662567295949003</v>
      </c>
      <c r="Z165" s="96">
        <f t="shared" ca="1" si="114"/>
        <v>13.087801907411166</v>
      </c>
    </row>
    <row r="166" spans="1:26" x14ac:dyDescent="0.25">
      <c r="A166" s="11"/>
      <c r="B166" s="11"/>
      <c r="C166" s="15"/>
      <c r="D166" s="91"/>
      <c r="E166" s="91"/>
      <c r="F166" s="91"/>
      <c r="G166" s="91"/>
      <c r="H166" s="91"/>
      <c r="I166" s="91"/>
      <c r="J166" s="91"/>
      <c r="K166" s="91"/>
    </row>
    <row r="167" spans="1:26" x14ac:dyDescent="0.25">
      <c r="A167" s="11" t="s">
        <v>1230</v>
      </c>
      <c r="B167" s="11"/>
      <c r="C167" s="15"/>
      <c r="D167" s="91"/>
      <c r="E167" s="91"/>
      <c r="F167" s="91"/>
      <c r="G167" s="91"/>
      <c r="H167" s="91"/>
      <c r="I167" s="91"/>
      <c r="J167" s="91"/>
      <c r="K167" s="91"/>
    </row>
    <row r="168" spans="1:26" x14ac:dyDescent="0.25">
      <c r="A168" s="12" t="s">
        <v>1231</v>
      </c>
      <c r="B168" s="11"/>
      <c r="C168" s="15"/>
      <c r="D168" s="50">
        <f ca="1">OFFSET(Assumptions!$B$49,0,$C$1)*D$375</f>
        <v>0.5597399999999999</v>
      </c>
      <c r="E168" s="50">
        <f ca="1">OFFSET(Assumptions!$B$49,0,$C$1)*E$375</f>
        <v>0.45771000000000001</v>
      </c>
      <c r="F168" s="50">
        <f ca="1">OFFSET(Assumptions!$B$49,0,$C$1)*F$375</f>
        <v>0.42293999999999998</v>
      </c>
      <c r="G168" s="50">
        <f ca="1">OFFSET(Assumptions!$B$49,0,$C$1)*G$375</f>
        <v>0.61388999999999994</v>
      </c>
      <c r="H168" s="50">
        <f ca="1">OFFSET(Assumptions!$B$49,0,$C$1)*H$375</f>
        <v>0.75239999999999996</v>
      </c>
      <c r="I168" s="50">
        <f ca="1">OFFSET(Assumptions!$B$49,0,$C$1)*I$375</f>
        <v>0.94562999999999997</v>
      </c>
      <c r="J168" s="50">
        <f ca="1">OFFSET(Assumptions!$B$49,0,$C$1)*J$375</f>
        <v>1.01688</v>
      </c>
      <c r="K168" s="50">
        <f ca="1">OFFSET(Assumptions!$B$49,0,$C$1)*K$375</f>
        <v>1.02258</v>
      </c>
      <c r="L168" s="48">
        <f ca="1">OFFSET(Assumptions!$B$49,0,$C$1)*L$375</f>
        <v>1.0163099999999998</v>
      </c>
      <c r="M168" s="48">
        <f ca="1">OFFSET(Assumptions!$B$49,0,$C$1)*M$375</f>
        <v>1.0522199999999999</v>
      </c>
      <c r="N168" s="48">
        <f ca="1">OFFSET(Assumptions!$B$49,0,$C$1)*N$375</f>
        <v>1.1023799999999999</v>
      </c>
      <c r="O168" s="48">
        <f ca="1">OFFSET(Assumptions!$B$49,0,$C$1)*O$375</f>
        <v>1.1531100000000001</v>
      </c>
      <c r="P168" s="48">
        <f ca="1">OFFSET(Assumptions!$B$49,0,$C$1)*P$375</f>
        <v>1.2066899999999998</v>
      </c>
      <c r="Q168" s="20">
        <f ca="1">OFFSET(Assumptions!$B$49,0,$C$1)*Q$375</f>
        <v>1.3011061336586267</v>
      </c>
      <c r="R168" s="20">
        <f ca="1">OFFSET(Assumptions!$B$49,0,$C$1)*R$375</f>
        <v>1.3809501302217237</v>
      </c>
      <c r="S168" s="20">
        <f ca="1">OFFSET(Assumptions!$B$49,0,$C$1)*S$375</f>
        <v>1.4641042947483762</v>
      </c>
      <c r="T168" s="20">
        <f ca="1">OFFSET(Assumptions!$B$49,0,$C$1)*T$375</f>
        <v>1.5507149730009546</v>
      </c>
      <c r="U168" s="20">
        <f ca="1">OFFSET(Assumptions!$B$49,0,$C$1)*U$375</f>
        <v>1.640786671827301</v>
      </c>
      <c r="V168" s="20">
        <f ca="1">OFFSET(Assumptions!$B$49,0,$C$1)*V$375</f>
        <v>1.7343963148157111</v>
      </c>
      <c r="W168" s="20">
        <f ca="1">OFFSET(Assumptions!$B$49,0,$C$1)*W$375</f>
        <v>1.832286542216498</v>
      </c>
      <c r="X168" s="20">
        <f ca="1">OFFSET(Assumptions!$B$49,0,$C$1)*X$375</f>
        <v>1.9354196366155254</v>
      </c>
      <c r="Y168" s="20">
        <f ca="1">OFFSET(Assumptions!$B$49,0,$C$1)*Y$375</f>
        <v>2.0449434456674536</v>
      </c>
      <c r="Z168" s="20">
        <f ca="1">OFFSET(Assumptions!$B$49,0,$C$1)*Z$375</f>
        <v>2.1621325297063314</v>
      </c>
    </row>
    <row r="169" spans="1:26" x14ac:dyDescent="0.25">
      <c r="A169" s="12" t="s">
        <v>1232</v>
      </c>
      <c r="B169" s="14" t="str">
        <f>$B$38</f>
        <v>From Fiscal Forecasts</v>
      </c>
      <c r="C169" s="15"/>
      <c r="D169" s="50">
        <f ca="1">'Fiscal Forecasts'!D$238-D$168</f>
        <v>0.90326000000000017</v>
      </c>
      <c r="E169" s="50">
        <f ca="1">'Fiscal Forecasts'!E$238-E$168</f>
        <v>0.87829000000000002</v>
      </c>
      <c r="F169" s="50">
        <f ca="1">'Fiscal Forecasts'!F$238-F$168</f>
        <v>0.6710600000000001</v>
      </c>
      <c r="G169" s="50">
        <f ca="1">'Fiscal Forecasts'!G$238-G$168</f>
        <v>0.77711000000000008</v>
      </c>
      <c r="H169" s="50">
        <f ca="1">'Fiscal Forecasts'!H$238-H$168</f>
        <v>1.3356000000000001</v>
      </c>
      <c r="I169" s="50">
        <f ca="1">'Fiscal Forecasts'!I$238-I$168</f>
        <v>0.76236999999999999</v>
      </c>
      <c r="J169" s="50">
        <f ca="1">'Fiscal Forecasts'!J$238-J$168</f>
        <v>0.68711999999999995</v>
      </c>
      <c r="K169" s="50">
        <f ca="1">'Fiscal Forecasts'!K$238-K$168</f>
        <v>0.75941999999999998</v>
      </c>
      <c r="L169" s="48">
        <f ca="1">'Fiscal Forecasts'!L$238-L$168</f>
        <v>0.67469000000000023</v>
      </c>
      <c r="M169" s="48">
        <f ca="1">'Fiscal Forecasts'!M$238-M$168</f>
        <v>0.74378000000000011</v>
      </c>
      <c r="N169" s="48">
        <f ca="1">'Fiscal Forecasts'!N$238-N$168</f>
        <v>0.86462000000000017</v>
      </c>
      <c r="O169" s="48">
        <f ca="1">'Fiscal Forecasts'!O$238-O$168</f>
        <v>0.99089000000000005</v>
      </c>
      <c r="P169" s="48">
        <f ca="1">'Fiscal Forecasts'!P$238-P$168</f>
        <v>1.1223100000000004</v>
      </c>
      <c r="Q169" s="20">
        <f t="shared" ref="Q169:Z169" ca="1" si="115">P$169*(1+Q$19)*(1+Q$29)</f>
        <v>1.1594656108662185</v>
      </c>
      <c r="R169" s="20">
        <f t="shared" ca="1" si="115"/>
        <v>1.197176751926198</v>
      </c>
      <c r="S169" s="20">
        <f t="shared" ca="1" si="115"/>
        <v>1.2357074323524615</v>
      </c>
      <c r="T169" s="20">
        <f t="shared" ca="1" si="115"/>
        <v>1.2746933610102975</v>
      </c>
      <c r="U169" s="20">
        <f t="shared" ca="1" si="115"/>
        <v>1.3148007943535485</v>
      </c>
      <c r="V169" s="20">
        <f t="shared" ca="1" si="115"/>
        <v>1.3556878898260019</v>
      </c>
      <c r="W169" s="20">
        <f t="shared" ca="1" si="115"/>
        <v>1.3963249590653699</v>
      </c>
      <c r="X169" s="20">
        <f t="shared" ca="1" si="115"/>
        <v>1.4378174278643492</v>
      </c>
      <c r="Y169" s="20">
        <f t="shared" ca="1" si="115"/>
        <v>1.4805679112768639</v>
      </c>
      <c r="Z169" s="20">
        <f t="shared" ca="1" si="115"/>
        <v>1.5242547899239718</v>
      </c>
    </row>
    <row r="170" spans="1:26" x14ac:dyDescent="0.25">
      <c r="A170" s="11" t="s">
        <v>1233</v>
      </c>
      <c r="B170" s="14"/>
      <c r="C170" s="15"/>
      <c r="D170" s="94">
        <f t="shared" ref="D170:Z170" ca="1" si="116">SUM(D$168:D$169)</f>
        <v>1.4630000000000001</v>
      </c>
      <c r="E170" s="94">
        <f t="shared" ca="1" si="116"/>
        <v>1.3360000000000001</v>
      </c>
      <c r="F170" s="94">
        <f t="shared" ca="1" si="116"/>
        <v>1.0940000000000001</v>
      </c>
      <c r="G170" s="94">
        <f t="shared" ca="1" si="116"/>
        <v>1.391</v>
      </c>
      <c r="H170" s="94">
        <f t="shared" ca="1" si="116"/>
        <v>2.0880000000000001</v>
      </c>
      <c r="I170" s="94">
        <f t="shared" ca="1" si="116"/>
        <v>1.708</v>
      </c>
      <c r="J170" s="94">
        <f t="shared" ca="1" si="116"/>
        <v>1.704</v>
      </c>
      <c r="K170" s="94">
        <f t="shared" ca="1" si="116"/>
        <v>1.782</v>
      </c>
      <c r="L170" s="95">
        <f t="shared" ca="1" si="116"/>
        <v>1.6910000000000001</v>
      </c>
      <c r="M170" s="95">
        <f t="shared" ca="1" si="116"/>
        <v>1.796</v>
      </c>
      <c r="N170" s="95">
        <f t="shared" ca="1" si="116"/>
        <v>1.9670000000000001</v>
      </c>
      <c r="O170" s="95">
        <f t="shared" ca="1" si="116"/>
        <v>2.1440000000000001</v>
      </c>
      <c r="P170" s="95">
        <f t="shared" ca="1" si="116"/>
        <v>2.3290000000000002</v>
      </c>
      <c r="Q170" s="96">
        <f t="shared" ca="1" si="116"/>
        <v>2.4605717445248452</v>
      </c>
      <c r="R170" s="96">
        <f t="shared" ca="1" si="116"/>
        <v>2.578126882147922</v>
      </c>
      <c r="S170" s="96">
        <f t="shared" ca="1" si="116"/>
        <v>2.6998117271008377</v>
      </c>
      <c r="T170" s="96">
        <f t="shared" ca="1" si="116"/>
        <v>2.8254083340112519</v>
      </c>
      <c r="U170" s="96">
        <f t="shared" ca="1" si="116"/>
        <v>2.9555874661808494</v>
      </c>
      <c r="V170" s="96">
        <f t="shared" ca="1" si="116"/>
        <v>3.090084204641713</v>
      </c>
      <c r="W170" s="96">
        <f t="shared" ca="1" si="116"/>
        <v>3.2286115012818679</v>
      </c>
      <c r="X170" s="96">
        <f t="shared" ca="1" si="116"/>
        <v>3.3732370644798744</v>
      </c>
      <c r="Y170" s="96">
        <f t="shared" ca="1" si="116"/>
        <v>3.5255113569443175</v>
      </c>
      <c r="Z170" s="96">
        <f t="shared" ca="1" si="116"/>
        <v>3.6863873196303034</v>
      </c>
    </row>
    <row r="171" spans="1:26" x14ac:dyDescent="0.25">
      <c r="A171" s="12" t="s">
        <v>1020</v>
      </c>
      <c r="B171" s="11"/>
      <c r="C171" s="15"/>
      <c r="D171" s="50">
        <f>'Fiscal Forecasts'!D$239</f>
        <v>0.42399999999999999</v>
      </c>
      <c r="E171" s="50">
        <f>'Fiscal Forecasts'!E$239</f>
        <v>0.39500000000000002</v>
      </c>
      <c r="F171" s="50">
        <f>'Fiscal Forecasts'!F$239</f>
        <v>0.44700000000000001</v>
      </c>
      <c r="G171" s="50">
        <f>'Fiscal Forecasts'!G$239</f>
        <v>0.52200000000000002</v>
      </c>
      <c r="H171" s="50">
        <f>'Fiscal Forecasts'!H$239</f>
        <v>0.60499999999999998</v>
      </c>
      <c r="I171" s="50">
        <f>'Fiscal Forecasts'!I$239</f>
        <v>0.63</v>
      </c>
      <c r="J171" s="50">
        <f>'Fiscal Forecasts'!J$239</f>
        <v>0.72499999999999998</v>
      </c>
      <c r="K171" s="50">
        <f>'Fiscal Forecasts'!K$239</f>
        <v>0.47799999999999998</v>
      </c>
      <c r="L171" s="48">
        <f>'Fiscal Forecasts'!L$239</f>
        <v>0.38900000000000001</v>
      </c>
      <c r="M171" s="48">
        <f>'Fiscal Forecasts'!M$239</f>
        <v>0.38900000000000001</v>
      </c>
      <c r="N171" s="48">
        <f>'Fiscal Forecasts'!N$239</f>
        <v>0.39300000000000002</v>
      </c>
      <c r="O171" s="48">
        <f>'Fiscal Forecasts'!O$239</f>
        <v>0.40100000000000002</v>
      </c>
      <c r="P171" s="48">
        <f>'Fiscal Forecasts'!P$239</f>
        <v>0.41199999999999998</v>
      </c>
      <c r="Q171" s="20">
        <f ca="1">P$171*AVERAGE(1+Q$29,1+Exogenous!AB$31)</f>
        <v>0.42693598436257674</v>
      </c>
      <c r="R171" s="20">
        <f ca="1">Q$171*AVERAGE(1+R$29,1+Exogenous!AC$31)</f>
        <v>0.44262538017032432</v>
      </c>
      <c r="S171" s="20">
        <f ca="1">R$171*AVERAGE(1+S$29,1+Exogenous!AD$31)</f>
        <v>0.45907438088607344</v>
      </c>
      <c r="T171" s="20">
        <f ca="1">S$171*AVERAGE(1+T$29,1+Exogenous!AE$31)</f>
        <v>0.4762792625605537</v>
      </c>
      <c r="U171" s="20">
        <f ca="1">T$171*AVERAGE(1+U$29,1+Exogenous!AF$31)</f>
        <v>0.49418850263353648</v>
      </c>
      <c r="V171" s="20">
        <f ca="1">U$171*AVERAGE(1+V$29,1+Exogenous!AG$31)</f>
        <v>0.51277816289768297</v>
      </c>
      <c r="W171" s="20">
        <f ca="1">V$171*AVERAGE(1+W$29,1+Exogenous!AH$31)</f>
        <v>0.53207094831795054</v>
      </c>
      <c r="X171" s="20">
        <f ca="1">W$171*AVERAGE(1+X$29,1+Exogenous!AI$31)</f>
        <v>0.5520941694751561</v>
      </c>
      <c r="Y171" s="20">
        <f ca="1">X$171*AVERAGE(1+Y$29,1+Exogenous!AJ$31)</f>
        <v>0.572875004586333</v>
      </c>
      <c r="Z171" s="20">
        <f ca="1">Y$171*AVERAGE(1+Z$29,1+Exogenous!AK$31)</f>
        <v>0.59444146937558073</v>
      </c>
    </row>
    <row r="172" spans="1:26" x14ac:dyDescent="0.25">
      <c r="A172" s="12" t="s">
        <v>1234</v>
      </c>
      <c r="B172" s="11"/>
      <c r="C172" s="15"/>
      <c r="D172" s="50">
        <f>'Fiscal Forecasts'!D$240</f>
        <v>-0.81699999999999995</v>
      </c>
      <c r="E172" s="50">
        <f>'Fiscal Forecasts'!E$240</f>
        <v>-0.82499999999999996</v>
      </c>
      <c r="F172" s="50">
        <f>'Fiscal Forecasts'!F$240</f>
        <v>-0.63800000000000001</v>
      </c>
      <c r="G172" s="50">
        <f>'Fiscal Forecasts'!G$240</f>
        <v>-0.66500000000000004</v>
      </c>
      <c r="H172" s="50">
        <f>'Fiscal Forecasts'!H$240</f>
        <v>-1.35</v>
      </c>
      <c r="I172" s="50">
        <f>'Fiscal Forecasts'!I$240</f>
        <v>-0.90800000000000003</v>
      </c>
      <c r="J172" s="50">
        <f>'Fiscal Forecasts'!J$240</f>
        <v>-0.79300000000000004</v>
      </c>
      <c r="K172" s="50">
        <f>'Fiscal Forecasts'!K$240</f>
        <v>-0.77600000000000002</v>
      </c>
      <c r="L172" s="48">
        <f>'Fiscal Forecasts'!L$240</f>
        <v>-0.73599999999999999</v>
      </c>
      <c r="M172" s="48">
        <f>'Fiscal Forecasts'!M$240</f>
        <v>-0.79100000000000004</v>
      </c>
      <c r="N172" s="48">
        <f>'Fiscal Forecasts'!N$240</f>
        <v>-0.88700000000000001</v>
      </c>
      <c r="O172" s="48">
        <f>'Fiscal Forecasts'!O$240</f>
        <v>-0.99199999999999999</v>
      </c>
      <c r="P172" s="48">
        <f>'Fiscal Forecasts'!P$240</f>
        <v>-1.0980000000000001</v>
      </c>
      <c r="Q172" s="20">
        <f t="shared" ref="Q172:Z172" ca="1" si="117">P$172*Q$171/P$171</f>
        <v>-1.1378051233740516</v>
      </c>
      <c r="R172" s="20">
        <f t="shared" ca="1" si="117"/>
        <v>-1.1796181248228546</v>
      </c>
      <c r="S172" s="20">
        <f t="shared" ca="1" si="117"/>
        <v>-1.2234555102255065</v>
      </c>
      <c r="T172" s="20">
        <f t="shared" ca="1" si="117"/>
        <v>-1.2693073550764271</v>
      </c>
      <c r="U172" s="20">
        <f t="shared" ca="1" si="117"/>
        <v>-1.3170363492515123</v>
      </c>
      <c r="V172" s="20">
        <f t="shared" ca="1" si="117"/>
        <v>-1.366578696266155</v>
      </c>
      <c r="W172" s="20">
        <f t="shared" ca="1" si="117"/>
        <v>-1.4179949059541497</v>
      </c>
      <c r="X172" s="20">
        <f t="shared" ca="1" si="117"/>
        <v>-1.4713577623391296</v>
      </c>
      <c r="Y172" s="20">
        <f t="shared" ca="1" si="117"/>
        <v>-1.5267396966888196</v>
      </c>
      <c r="Z172" s="20">
        <f t="shared" ca="1" si="117"/>
        <v>-1.5842153722679313</v>
      </c>
    </row>
    <row r="173" spans="1:26" x14ac:dyDescent="0.25">
      <c r="A173" s="11" t="s">
        <v>1235</v>
      </c>
      <c r="B173" s="11"/>
      <c r="C173" s="15"/>
      <c r="D173" s="94">
        <f t="shared" ref="D173:Z173" ca="1" si="118">SUM(D$170:D$172)</f>
        <v>1.07</v>
      </c>
      <c r="E173" s="94">
        <f t="shared" ca="1" si="118"/>
        <v>0.90600000000000014</v>
      </c>
      <c r="F173" s="94">
        <f t="shared" ca="1" si="118"/>
        <v>0.90300000000000014</v>
      </c>
      <c r="G173" s="94">
        <f t="shared" ca="1" si="118"/>
        <v>1.248</v>
      </c>
      <c r="H173" s="94">
        <f t="shared" ca="1" si="118"/>
        <v>1.343</v>
      </c>
      <c r="I173" s="94">
        <f t="shared" ca="1" si="118"/>
        <v>1.4300000000000002</v>
      </c>
      <c r="J173" s="94">
        <f t="shared" ca="1" si="118"/>
        <v>1.6359999999999997</v>
      </c>
      <c r="K173" s="94">
        <f t="shared" ca="1" si="118"/>
        <v>1.4839999999999998</v>
      </c>
      <c r="L173" s="95">
        <f t="shared" ca="1" si="118"/>
        <v>1.3440000000000001</v>
      </c>
      <c r="M173" s="95">
        <f t="shared" ca="1" si="118"/>
        <v>1.3940000000000001</v>
      </c>
      <c r="N173" s="95">
        <f t="shared" ca="1" si="118"/>
        <v>1.4730000000000003</v>
      </c>
      <c r="O173" s="95">
        <f t="shared" ca="1" si="118"/>
        <v>1.5529999999999999</v>
      </c>
      <c r="P173" s="95">
        <f t="shared" ca="1" si="118"/>
        <v>1.643</v>
      </c>
      <c r="Q173" s="96">
        <f t="shared" ca="1" si="118"/>
        <v>1.7497026055133702</v>
      </c>
      <c r="R173" s="96">
        <f t="shared" ca="1" si="118"/>
        <v>1.8411341374953916</v>
      </c>
      <c r="S173" s="96">
        <f t="shared" ca="1" si="118"/>
        <v>1.9354305977614048</v>
      </c>
      <c r="T173" s="96">
        <f t="shared" ca="1" si="118"/>
        <v>2.0323802414953782</v>
      </c>
      <c r="U173" s="96">
        <f t="shared" ca="1" si="118"/>
        <v>2.1327396195628738</v>
      </c>
      <c r="V173" s="96">
        <f t="shared" ca="1" si="118"/>
        <v>2.2362836712732408</v>
      </c>
      <c r="W173" s="96">
        <f t="shared" ca="1" si="118"/>
        <v>2.3426875436456687</v>
      </c>
      <c r="X173" s="96">
        <f t="shared" ca="1" si="118"/>
        <v>2.4539734716159005</v>
      </c>
      <c r="Y173" s="96">
        <f t="shared" ca="1" si="118"/>
        <v>2.5716466648418308</v>
      </c>
      <c r="Z173" s="96">
        <f t="shared" ca="1" si="118"/>
        <v>2.6966134167379527</v>
      </c>
    </row>
    <row r="174" spans="1:26" x14ac:dyDescent="0.25">
      <c r="B174" s="11"/>
      <c r="C174" s="15"/>
      <c r="D174" s="91"/>
      <c r="E174" s="91"/>
      <c r="F174" s="91"/>
      <c r="G174" s="91"/>
      <c r="H174" s="91"/>
      <c r="I174" s="91"/>
      <c r="J174" s="91"/>
      <c r="K174" s="91"/>
    </row>
    <row r="175" spans="1:26" x14ac:dyDescent="0.25">
      <c r="A175" s="11" t="s">
        <v>868</v>
      </c>
      <c r="B175" s="11"/>
      <c r="C175" s="15"/>
      <c r="D175" s="91"/>
      <c r="E175" s="91"/>
      <c r="F175" s="91"/>
      <c r="G175" s="91"/>
      <c r="H175" s="91"/>
      <c r="I175" s="91"/>
      <c r="J175" s="91"/>
      <c r="K175" s="91"/>
    </row>
    <row r="176" spans="1:26" x14ac:dyDescent="0.25">
      <c r="A176" s="12" t="s">
        <v>1236</v>
      </c>
      <c r="B176" s="11"/>
      <c r="C176" s="15"/>
      <c r="D176" s="50">
        <f t="shared" ref="D176:Z176" ca="1" si="119">D$375-SUM(D$158,D$168)</f>
        <v>9.8200000000001619E-3</v>
      </c>
      <c r="E176" s="50">
        <f t="shared" ca="1" si="119"/>
        <v>8.0300000000000926E-3</v>
      </c>
      <c r="F176" s="50">
        <f t="shared" ca="1" si="119"/>
        <v>7.4199999999999822E-3</v>
      </c>
      <c r="G176" s="50">
        <f t="shared" ca="1" si="119"/>
        <v>1.0769999999999946E-2</v>
      </c>
      <c r="H176" s="50">
        <f t="shared" ca="1" si="119"/>
        <v>1.3200000000000101E-2</v>
      </c>
      <c r="I176" s="50">
        <f t="shared" ca="1" si="119"/>
        <v>1.6590000000000105E-2</v>
      </c>
      <c r="J176" s="50">
        <f t="shared" ca="1" si="119"/>
        <v>1.7840000000000078E-2</v>
      </c>
      <c r="K176" s="50">
        <f t="shared" ca="1" si="119"/>
        <v>1.7939999999999845E-2</v>
      </c>
      <c r="L176" s="48">
        <f t="shared" ca="1" si="119"/>
        <v>1.7830000000000013E-2</v>
      </c>
      <c r="M176" s="48">
        <f t="shared" ca="1" si="119"/>
        <v>1.8460000000000143E-2</v>
      </c>
      <c r="N176" s="48">
        <f t="shared" ca="1" si="119"/>
        <v>1.9340000000000135E-2</v>
      </c>
      <c r="O176" s="48">
        <f t="shared" ca="1" si="119"/>
        <v>2.0230000000000192E-2</v>
      </c>
      <c r="P176" s="48">
        <f t="shared" ca="1" si="119"/>
        <v>2.1170000000000133E-2</v>
      </c>
      <c r="Q176" s="20">
        <f t="shared" ca="1" si="119"/>
        <v>2.2826423397519946E-2</v>
      </c>
      <c r="R176" s="20">
        <f t="shared" ca="1" si="119"/>
        <v>2.4227195267048085E-2</v>
      </c>
      <c r="S176" s="20">
        <f t="shared" ca="1" si="119"/>
        <v>2.568604025874377E-2</v>
      </c>
      <c r="T176" s="20">
        <f t="shared" ca="1" si="119"/>
        <v>2.7205525842122213E-2</v>
      </c>
      <c r="U176" s="20">
        <f t="shared" ca="1" si="119"/>
        <v>2.8785731084689292E-2</v>
      </c>
      <c r="V176" s="20">
        <f t="shared" ca="1" si="119"/>
        <v>3.0428005523083002E-2</v>
      </c>
      <c r="W176" s="20">
        <f t="shared" ca="1" si="119"/>
        <v>3.2145377933623376E-2</v>
      </c>
      <c r="X176" s="20">
        <f t="shared" ca="1" si="119"/>
        <v>3.395473046693942E-2</v>
      </c>
      <c r="Y176" s="20">
        <f t="shared" ca="1" si="119"/>
        <v>3.5876200801184144E-2</v>
      </c>
      <c r="Z176" s="20">
        <f t="shared" ca="1" si="119"/>
        <v>3.7932149643971069E-2</v>
      </c>
    </row>
    <row r="177" spans="1:26" x14ac:dyDescent="0.25">
      <c r="A177" s="12" t="s">
        <v>1237</v>
      </c>
      <c r="B177" s="14" t="str">
        <f>$B$38</f>
        <v>From Fiscal Forecasts</v>
      </c>
      <c r="C177" s="15"/>
      <c r="D177" s="50">
        <f ca="1">'Fiscal Forecasts'!D$167-SUM(D$170,D$176)</f>
        <v>0.91317999999999988</v>
      </c>
      <c r="E177" s="50">
        <f ca="1">'Fiscal Forecasts'!E$167-SUM(E$170,E$176)</f>
        <v>0.95396999999999998</v>
      </c>
      <c r="F177" s="50">
        <f ca="1">'Fiscal Forecasts'!F$167-SUM(F$170,F$176)</f>
        <v>0.87958000000000003</v>
      </c>
      <c r="G177" s="50">
        <f ca="1">'Fiscal Forecasts'!G$167-SUM(G$170,G$176)</f>
        <v>1.0842300000000002</v>
      </c>
      <c r="H177" s="50">
        <f ca="1">'Fiscal Forecasts'!H$167-SUM(H$170,H$176)</f>
        <v>1.1537999999999995</v>
      </c>
      <c r="I177" s="50">
        <f ca="1">'Fiscal Forecasts'!I$167-SUM(I$170,I$176)</f>
        <v>1.10141</v>
      </c>
      <c r="J177" s="50">
        <f ca="1">'Fiscal Forecasts'!J$167-SUM(J$170,J$176)</f>
        <v>1.0981599999999998</v>
      </c>
      <c r="K177" s="50">
        <f ca="1">'Fiscal Forecasts'!K$167-SUM(K$170,K$176)</f>
        <v>1.28606</v>
      </c>
      <c r="L177" s="48">
        <f ca="1">'Fiscal Forecasts'!L$167-SUM(L$170,L$176)</f>
        <v>0.54017000000000004</v>
      </c>
      <c r="M177" s="48">
        <f ca="1">'Fiscal Forecasts'!M$167-SUM(M$170,M$176)</f>
        <v>0.5275399999999999</v>
      </c>
      <c r="N177" s="48">
        <f ca="1">'Fiscal Forecasts'!N$167-SUM(N$170,N$176)</f>
        <v>0.69065999999999983</v>
      </c>
      <c r="O177" s="48">
        <f ca="1">'Fiscal Forecasts'!O$167-SUM(O$170,O$176)</f>
        <v>0.67976999999999954</v>
      </c>
      <c r="P177" s="48">
        <f ca="1">'Fiscal Forecasts'!P$167-SUM(P$170,P$176)</f>
        <v>0.67982999999999949</v>
      </c>
      <c r="Q177" s="20">
        <f t="shared" ref="Q177:Z177" ca="1" si="120">P$177*(1+Q$19)*(1+Q$29)</f>
        <v>0.70233670397232539</v>
      </c>
      <c r="R177" s="20">
        <f t="shared" ca="1" si="120"/>
        <v>0.72517991576479435</v>
      </c>
      <c r="S177" s="20">
        <f t="shared" ca="1" si="120"/>
        <v>0.74851955675007165</v>
      </c>
      <c r="T177" s="20">
        <f t="shared" ca="1" si="120"/>
        <v>0.77213496058631714</v>
      </c>
      <c r="U177" s="20">
        <f t="shared" ca="1" si="120"/>
        <v>0.7964297066099133</v>
      </c>
      <c r="V177" s="20">
        <f t="shared" ca="1" si="120"/>
        <v>0.82119672651977582</v>
      </c>
      <c r="W177" s="20">
        <f t="shared" ca="1" si="120"/>
        <v>0.84581229510688605</v>
      </c>
      <c r="X177" s="20">
        <f t="shared" ca="1" si="120"/>
        <v>0.87094601490231693</v>
      </c>
      <c r="Y177" s="20">
        <f t="shared" ca="1" si="120"/>
        <v>0.89684176664499926</v>
      </c>
      <c r="Z177" s="20">
        <f t="shared" ca="1" si="120"/>
        <v>0.92330473205621666</v>
      </c>
    </row>
    <row r="178" spans="1:26" x14ac:dyDescent="0.25">
      <c r="A178" s="11" t="s">
        <v>1238</v>
      </c>
      <c r="B178" s="11"/>
      <c r="C178" s="15"/>
      <c r="D178" s="94">
        <f t="shared" ref="D178:Z178" ca="1" si="121">SUM(D$176:D$177)</f>
        <v>0.92300000000000004</v>
      </c>
      <c r="E178" s="94">
        <f t="shared" ca="1" si="121"/>
        <v>0.96200000000000008</v>
      </c>
      <c r="F178" s="94">
        <f t="shared" ca="1" si="121"/>
        <v>0.88700000000000001</v>
      </c>
      <c r="G178" s="94">
        <f t="shared" ca="1" si="121"/>
        <v>1.0950000000000002</v>
      </c>
      <c r="H178" s="94">
        <f t="shared" ca="1" si="121"/>
        <v>1.1669999999999996</v>
      </c>
      <c r="I178" s="94">
        <f t="shared" ca="1" si="121"/>
        <v>1.1180000000000001</v>
      </c>
      <c r="J178" s="94">
        <f t="shared" ca="1" si="121"/>
        <v>1.1159999999999999</v>
      </c>
      <c r="K178" s="94">
        <f t="shared" ca="1" si="121"/>
        <v>1.3039999999999998</v>
      </c>
      <c r="L178" s="95">
        <f t="shared" ca="1" si="121"/>
        <v>0.55800000000000005</v>
      </c>
      <c r="M178" s="95">
        <f t="shared" ca="1" si="121"/>
        <v>0.54600000000000004</v>
      </c>
      <c r="N178" s="95">
        <f t="shared" ca="1" si="121"/>
        <v>0.71</v>
      </c>
      <c r="O178" s="95">
        <f t="shared" ca="1" si="121"/>
        <v>0.69999999999999973</v>
      </c>
      <c r="P178" s="95">
        <f t="shared" ca="1" si="121"/>
        <v>0.70099999999999962</v>
      </c>
      <c r="Q178" s="96">
        <f t="shared" ca="1" si="121"/>
        <v>0.72516312736984534</v>
      </c>
      <c r="R178" s="96">
        <f t="shared" ca="1" si="121"/>
        <v>0.74940711103184243</v>
      </c>
      <c r="S178" s="96">
        <f t="shared" ca="1" si="121"/>
        <v>0.77420559700881542</v>
      </c>
      <c r="T178" s="96">
        <f t="shared" ca="1" si="121"/>
        <v>0.79934048642843936</v>
      </c>
      <c r="U178" s="96">
        <f t="shared" ca="1" si="121"/>
        <v>0.82521543769460259</v>
      </c>
      <c r="V178" s="96">
        <f t="shared" ca="1" si="121"/>
        <v>0.85162473204285882</v>
      </c>
      <c r="W178" s="96">
        <f t="shared" ca="1" si="121"/>
        <v>0.87795767304050942</v>
      </c>
      <c r="X178" s="96">
        <f t="shared" ca="1" si="121"/>
        <v>0.90490074536925635</v>
      </c>
      <c r="Y178" s="96">
        <f t="shared" ca="1" si="121"/>
        <v>0.9327179674461834</v>
      </c>
      <c r="Z178" s="96">
        <f t="shared" ca="1" si="121"/>
        <v>0.96123688170018773</v>
      </c>
    </row>
    <row r="179" spans="1:26" x14ac:dyDescent="0.25">
      <c r="A179" s="11" t="s">
        <v>1239</v>
      </c>
      <c r="B179" s="14" t="str">
        <f>$B$38</f>
        <v>From Fiscal Forecasts</v>
      </c>
      <c r="C179" s="15"/>
      <c r="D179" s="51">
        <f ca="1">'Fiscal Forecasts'!D$13-D$173</f>
        <v>3.8789999999999996</v>
      </c>
      <c r="E179" s="51">
        <f ca="1">'Fiscal Forecasts'!E$13-E$173</f>
        <v>3.57</v>
      </c>
      <c r="F179" s="51">
        <f ca="1">'Fiscal Forecasts'!F$13-F$173</f>
        <v>3.589</v>
      </c>
      <c r="G179" s="51">
        <f ca="1">'Fiscal Forecasts'!G$13-G$173</f>
        <v>3.8780000000000001</v>
      </c>
      <c r="H179" s="51">
        <f ca="1">'Fiscal Forecasts'!H$13-H$173</f>
        <v>4.5830000000000002</v>
      </c>
      <c r="I179" s="51">
        <f ca="1">'Fiscal Forecasts'!I$13-I$173</f>
        <v>4.3360000000000003</v>
      </c>
      <c r="J179" s="51">
        <f ca="1">'Fiscal Forecasts'!J$13-J$173</f>
        <v>4.2249999999999996</v>
      </c>
      <c r="K179" s="51">
        <f ca="1">'Fiscal Forecasts'!K$13-K$173</f>
        <v>4.3449999999999998</v>
      </c>
      <c r="L179" s="47">
        <f ca="1">'Fiscal Forecasts'!L$13-L$173</f>
        <v>3.8389999999999995</v>
      </c>
      <c r="M179" s="47">
        <f ca="1">'Fiscal Forecasts'!M$13-M$173</f>
        <v>3.9740000000000002</v>
      </c>
      <c r="N179" s="47">
        <f ca="1">'Fiscal Forecasts'!N$13-N$173</f>
        <v>4.1969999999999992</v>
      </c>
      <c r="O179" s="47">
        <f ca="1">'Fiscal Forecasts'!O$13-O$173</f>
        <v>4.351</v>
      </c>
      <c r="P179" s="47">
        <f ca="1">'Fiscal Forecasts'!P$13-P$173</f>
        <v>4.391</v>
      </c>
      <c r="Q179" s="21">
        <f t="shared" ref="Q179:Z179" ca="1" si="122">Q$178+(P$179-P$178)*(1+Q$29)</f>
        <v>4.4889631273698454</v>
      </c>
      <c r="R179" s="21">
        <f t="shared" ca="1" si="122"/>
        <v>4.5884831110318425</v>
      </c>
      <c r="S179" s="21">
        <f t="shared" ca="1" si="122"/>
        <v>4.6900631170088154</v>
      </c>
      <c r="T179" s="21">
        <f t="shared" ca="1" si="122"/>
        <v>4.7935151568284393</v>
      </c>
      <c r="U179" s="21">
        <f t="shared" ca="1" si="122"/>
        <v>4.8992736015026024</v>
      </c>
      <c r="V179" s="21">
        <f t="shared" ca="1" si="122"/>
        <v>5.0071640591270183</v>
      </c>
      <c r="W179" s="21">
        <f t="shared" ca="1" si="122"/>
        <v>5.1166077866663517</v>
      </c>
      <c r="X179" s="21">
        <f t="shared" ca="1" si="122"/>
        <v>5.2283238612676159</v>
      </c>
      <c r="Y179" s="21">
        <f t="shared" ca="1" si="122"/>
        <v>5.3426095456625102</v>
      </c>
      <c r="Z179" s="21">
        <f t="shared" ca="1" si="122"/>
        <v>5.4593262914808411</v>
      </c>
    </row>
    <row r="180" spans="1:26" x14ac:dyDescent="0.25">
      <c r="A180" s="11"/>
      <c r="B180" s="11"/>
      <c r="C180" s="15"/>
      <c r="D180" s="91"/>
      <c r="E180" s="91"/>
      <c r="F180" s="91"/>
      <c r="G180" s="91"/>
      <c r="H180" s="91"/>
      <c r="I180" s="91"/>
      <c r="J180" s="91"/>
      <c r="K180" s="91"/>
    </row>
    <row r="181" spans="1:26" x14ac:dyDescent="0.25">
      <c r="A181" s="11" t="s">
        <v>870</v>
      </c>
      <c r="B181" s="11"/>
      <c r="C181" s="15"/>
    </row>
    <row r="182" spans="1:26" x14ac:dyDescent="0.25">
      <c r="A182" s="12" t="s">
        <v>1240</v>
      </c>
      <c r="B182" s="14" t="str">
        <f t="shared" ref="B182:B188" si="123">$B$38</f>
        <v>From Fiscal Forecasts</v>
      </c>
      <c r="C182" s="15"/>
      <c r="D182" s="50">
        <f>'Fiscal Forecasts'!D$243</f>
        <v>14.561999999999999</v>
      </c>
      <c r="E182" s="50">
        <f>'Fiscal Forecasts'!E$243</f>
        <v>15.521000000000001</v>
      </c>
      <c r="F182" s="50">
        <f>'Fiscal Forecasts'!F$243</f>
        <v>16.568999999999999</v>
      </c>
      <c r="G182" s="50">
        <f>'Fiscal Forecasts'!G$243</f>
        <v>17.763999999999999</v>
      </c>
      <c r="H182" s="50">
        <f>'Fiscal Forecasts'!H$243</f>
        <v>19.516999999999999</v>
      </c>
      <c r="I182" s="50">
        <f>'Fiscal Forecasts'!I$243</f>
        <v>21.574000000000002</v>
      </c>
      <c r="J182" s="50">
        <f>'Fiscal Forecasts'!J$243</f>
        <v>23.190999999999999</v>
      </c>
      <c r="K182" s="50">
        <f>'Fiscal Forecasts'!K$243</f>
        <v>24.721</v>
      </c>
      <c r="L182" s="48">
        <f>'Fiscal Forecasts'!L$243</f>
        <v>26.48</v>
      </c>
      <c r="M182" s="48">
        <f>'Fiscal Forecasts'!M$243</f>
        <v>28.321000000000002</v>
      </c>
      <c r="N182" s="48">
        <f>'Fiscal Forecasts'!N$243</f>
        <v>29.706</v>
      </c>
      <c r="O182" s="48">
        <f>'Fiscal Forecasts'!O$243</f>
        <v>31.236999999999998</v>
      </c>
      <c r="P182" s="48">
        <f>'Fiscal Forecasts'!P$243</f>
        <v>32.887999999999998</v>
      </c>
      <c r="Q182" s="20">
        <f ca="1">P$182*(1+'Population Treasury'!AB$237)*Q$204/P$204</f>
        <v>34.725908993862177</v>
      </c>
      <c r="R182" s="20">
        <f ca="1">Q$182*(1+'Population Treasury'!AC$237)*R$204/Q$204</f>
        <v>36.635202985101024</v>
      </c>
      <c r="S182" s="20">
        <f ca="1">R$182*(1+'Population Treasury'!AD$237)*S$204/R$204</f>
        <v>38.629858294940007</v>
      </c>
      <c r="T182" s="20">
        <f ca="1">S$182*(1+'Population Treasury'!AE$237)*T$204/S$204</f>
        <v>40.676909740310336</v>
      </c>
      <c r="U182" s="20">
        <f ca="1">T$182*(1+'Population Treasury'!AF$237)*U$204/T$204</f>
        <v>42.872020812705678</v>
      </c>
      <c r="V182" s="20">
        <f ca="1">U$182*(1+'Population Treasury'!AG$237)*V$204/U$204</f>
        <v>45.107449897766166</v>
      </c>
      <c r="W182" s="20">
        <f ca="1">V$182*(1+'Population Treasury'!AH$237)*W$204/V$204</f>
        <v>47.337696142069042</v>
      </c>
      <c r="X182" s="20">
        <f ca="1">W$182*(1+'Population Treasury'!AI$237)*X$204/W$204</f>
        <v>49.565382428266936</v>
      </c>
      <c r="Y182" s="20">
        <f ca="1">X$182*(1+'Population Treasury'!AJ$237)*Y$204/X$204</f>
        <v>51.768799535982517</v>
      </c>
      <c r="Z182" s="20">
        <f ca="1">Y$182*(1+'Population Treasury'!AK$237)*Z$204/Y$204</f>
        <v>53.973305982538974</v>
      </c>
    </row>
    <row r="183" spans="1:26" x14ac:dyDescent="0.25">
      <c r="A183" s="12" t="s">
        <v>1241</v>
      </c>
      <c r="B183" s="14" t="str">
        <f t="shared" si="123"/>
        <v>From Fiscal Forecasts</v>
      </c>
      <c r="C183" s="15"/>
      <c r="D183" s="50">
        <f>'Fiscal Forecasts'!D$244</f>
        <v>1.8540000000000001</v>
      </c>
      <c r="E183" s="50">
        <f>'Fiscal Forecasts'!E$244</f>
        <v>2.2850000000000001</v>
      </c>
      <c r="F183" s="50">
        <f>'Fiscal Forecasts'!F$244</f>
        <v>3.2240000000000002</v>
      </c>
      <c r="G183" s="50">
        <f>'Fiscal Forecasts'!G$244</f>
        <v>3.33</v>
      </c>
      <c r="H183" s="50">
        <f>'Fiscal Forecasts'!H$244</f>
        <v>3.4729999999999999</v>
      </c>
      <c r="I183" s="50">
        <f>'Fiscal Forecasts'!I$244</f>
        <v>4.0620000000000003</v>
      </c>
      <c r="J183" s="50">
        <f>'Fiscal Forecasts'!J$244</f>
        <v>4.641</v>
      </c>
      <c r="K183" s="50">
        <f>'Fiscal Forecasts'!K$244</f>
        <v>4.9260000000000002</v>
      </c>
      <c r="L183" s="48">
        <f>'Fiscal Forecasts'!L$244</f>
        <v>5.0309999999999997</v>
      </c>
      <c r="M183" s="48">
        <f>'Fiscal Forecasts'!M$244</f>
        <v>5.0110000000000001</v>
      </c>
      <c r="N183" s="48">
        <f>'Fiscal Forecasts'!N$244</f>
        <v>4.9039999999999999</v>
      </c>
      <c r="O183" s="48">
        <f>'Fiscal Forecasts'!O$244</f>
        <v>5.0010000000000003</v>
      </c>
      <c r="P183" s="48">
        <f>'Fiscal Forecasts'!P$244</f>
        <v>5.109</v>
      </c>
      <c r="Q183" s="20">
        <f ca="1">P$183*AVERAGE(1+SUMPRODUCT(Exogenous!$B$44:$B$54,'Population Treasury'!AB$215:AB$225)+SUMPRODUCT(Exogenous!$C$44:$C$54,'Population Treasury'!AB$226:AB$236),Q$16*Q$23/(P$16*P$23))*(1+Q$29)</f>
        <v>5.254733315137246</v>
      </c>
      <c r="R183" s="20">
        <f ca="1">Q$183*AVERAGE(1+SUMPRODUCT(Exogenous!$B$44:$B$54,'Population Treasury'!AC$215:AC$225)+SUMPRODUCT(Exogenous!$C$44:$C$54,'Population Treasury'!AC$226:AC$236),R$16*R$23/(Q$16*Q$23))*(1+R$29)</f>
        <v>5.4017980613666081</v>
      </c>
      <c r="S183" s="20">
        <f ca="1">R$183*AVERAGE(1+SUMPRODUCT(Exogenous!$B$44:$B$54,'Population Treasury'!AD$215:AD$225)+SUMPRODUCT(Exogenous!$C$44:$C$54,'Population Treasury'!AD$226:AD$236),S$16*S$23/(R$16*R$23))*(1+S$29)</f>
        <v>5.5492510963877857</v>
      </c>
      <c r="T183" s="20">
        <f ca="1">S$183*AVERAGE(1+SUMPRODUCT(Exogenous!$B$44:$B$54,'Population Treasury'!AE$215:AE$225)+SUMPRODUCT(Exogenous!$C$44:$C$54,'Population Treasury'!AE$226:AE$236),T$16*T$23/(S$16*S$23))*(1+T$29)</f>
        <v>5.7145345108437127</v>
      </c>
      <c r="U183" s="20">
        <f ca="1">T$183*AVERAGE(1+SUMPRODUCT(Exogenous!$B$44:$B$54,'Population Treasury'!AF$215:AF$225)+SUMPRODUCT(Exogenous!$C$44:$C$54,'Population Treasury'!AF$226:AF$236),U$16*U$23/(T$16*T$23))*(1+U$29)</f>
        <v>5.8807006094395549</v>
      </c>
      <c r="V183" s="20">
        <f ca="1">U$183*AVERAGE(1+SUMPRODUCT(Exogenous!$B$44:$B$54,'Population Treasury'!AG$215:AG$225)+SUMPRODUCT(Exogenous!$C$44:$C$54,'Population Treasury'!AG$226:AG$236),V$16*V$23/(U$16*U$23))*(1+V$29)</f>
        <v>6.052324910542298</v>
      </c>
      <c r="W183" s="20">
        <f ca="1">V$183*AVERAGE(1+SUMPRODUCT(Exogenous!$B$44:$B$54,'Population Treasury'!AH$215:AH$225)+SUMPRODUCT(Exogenous!$C$44:$C$54,'Population Treasury'!AH$226:AH$236),W$16*W$23/(V$16*V$23))*(1+W$29)</f>
        <v>6.2285551627600331</v>
      </c>
      <c r="X183" s="20">
        <f ca="1">W$183*AVERAGE(1+SUMPRODUCT(Exogenous!$B$44:$B$54,'Population Treasury'!AI$215:AI$225)+SUMPRODUCT(Exogenous!$C$44:$C$54,'Population Treasury'!AI$226:AI$236),X$16*X$23/(W$16*W$23))*(1+X$29)</f>
        <v>6.4078367846075315</v>
      </c>
      <c r="Y183" s="20">
        <f ca="1">X$183*AVERAGE(1+SUMPRODUCT(Exogenous!$B$44:$B$54,'Population Treasury'!AJ$215:AJ$225)+SUMPRODUCT(Exogenous!$C$44:$C$54,'Population Treasury'!AJ$226:AJ$236),Y$16*Y$23/(X$16*X$23))*(1+Y$29)</f>
        <v>6.5927907093504485</v>
      </c>
      <c r="Z183" s="20">
        <f ca="1">Y$183*AVERAGE(1+SUMPRODUCT(Exogenous!$B$44:$B$54,'Population Treasury'!AK$215:AK$225)+SUMPRODUCT(Exogenous!$C$44:$C$54,'Population Treasury'!AK$226:AK$236),Z$16*Z$23/(Y$16*Y$23))*(1+Z$29)</f>
        <v>6.7851611000174437</v>
      </c>
    </row>
    <row r="184" spans="1:26" x14ac:dyDescent="0.25">
      <c r="A184" s="12" t="s">
        <v>688</v>
      </c>
      <c r="B184" s="14" t="str">
        <f t="shared" si="123"/>
        <v>From Fiscal Forecasts</v>
      </c>
      <c r="C184" s="15"/>
      <c r="D184" s="50">
        <f>'Fiscal Forecasts'!D$245</f>
        <v>1.556</v>
      </c>
      <c r="E184" s="50">
        <f>'Fiscal Forecasts'!E$245</f>
        <v>1.65</v>
      </c>
      <c r="F184" s="50">
        <f>'Fiscal Forecasts'!F$245</f>
        <v>1.8260000000000001</v>
      </c>
      <c r="G184" s="50">
        <f>'Fiscal Forecasts'!G$245</f>
        <v>2.0470000000000002</v>
      </c>
      <c r="H184" s="50">
        <f>'Fiscal Forecasts'!H$245</f>
        <v>2.3109999999999999</v>
      </c>
      <c r="I184" s="50">
        <f>'Fiscal Forecasts'!I$245</f>
        <v>2.5299999999999998</v>
      </c>
      <c r="J184" s="50">
        <f>'Fiscal Forecasts'!J$245</f>
        <v>2.6680000000000001</v>
      </c>
      <c r="K184" s="50">
        <f>'Fiscal Forecasts'!K$245</f>
        <v>2.8260000000000001</v>
      </c>
      <c r="L184" s="48">
        <f>'Fiscal Forecasts'!L$245</f>
        <v>3.0059999999999998</v>
      </c>
      <c r="M184" s="48">
        <f>'Fiscal Forecasts'!M$245</f>
        <v>3.19</v>
      </c>
      <c r="N184" s="48">
        <f>'Fiscal Forecasts'!N$245</f>
        <v>3.286</v>
      </c>
      <c r="O184" s="48">
        <f>'Fiscal Forecasts'!O$245</f>
        <v>3.4340000000000002</v>
      </c>
      <c r="P184" s="48">
        <f>'Fiscal Forecasts'!P$245</f>
        <v>3.581</v>
      </c>
      <c r="Q184" s="20">
        <f ca="1">P$184*(1+SUMPRODUCT(Exogenous!$I$44:$I$54,'Population Treasury'!AB$215:AB$225)+SUMPRODUCT(Exogenous!$J$44:$J$54,'Population Treasury'!AB$226:AB$236))*(1+Q$29)</f>
        <v>3.6880822061662717</v>
      </c>
      <c r="R184" s="20">
        <f ca="1">Q$184*(1+SUMPRODUCT(Exogenous!$I$44:$I$54,'Population Treasury'!AC$215:AC$225)+SUMPRODUCT(Exogenous!$J$44:$J$54,'Population Treasury'!AC$226:AC$236))*(1+R$29)</f>
        <v>3.7955043780043982</v>
      </c>
      <c r="S184" s="20">
        <f ca="1">R$184*(1+SUMPRODUCT(Exogenous!$I$44:$I$54,'Population Treasury'!AD$215:AD$225)+SUMPRODUCT(Exogenous!$J$44:$J$54,'Population Treasury'!AD$226:AD$236))*(1+S$29)</f>
        <v>3.9024425842854971</v>
      </c>
      <c r="T184" s="20">
        <f ca="1">S$184*(1+SUMPRODUCT(Exogenous!$I$44:$I$54,'Population Treasury'!AE$215:AE$225)+SUMPRODUCT(Exogenous!$J$44:$J$54,'Population Treasury'!AE$226:AE$236))*(1+T$29)</f>
        <v>4.0135394958533741</v>
      </c>
      <c r="U184" s="20">
        <f ca="1">T$184*(1+SUMPRODUCT(Exogenous!$I$44:$I$54,'Population Treasury'!AF$215:AF$225)+SUMPRODUCT(Exogenous!$J$44:$J$54,'Population Treasury'!AF$226:AF$236))*(1+U$29)</f>
        <v>4.1212295536805259</v>
      </c>
      <c r="V184" s="20">
        <f ca="1">U$184*(1+SUMPRODUCT(Exogenous!$I$44:$I$54,'Population Treasury'!AG$215:AG$225)+SUMPRODUCT(Exogenous!$J$44:$J$54,'Population Treasury'!AG$226:AG$236))*(1+V$29)</f>
        <v>4.2373831515068696</v>
      </c>
      <c r="W184" s="20">
        <f ca="1">V$184*(1+SUMPRODUCT(Exogenous!$I$44:$I$54,'Population Treasury'!AH$215:AH$225)+SUMPRODUCT(Exogenous!$J$44:$J$54,'Population Treasury'!AH$226:AH$236))*(1+W$29)</f>
        <v>4.3638027445229941</v>
      </c>
      <c r="X184" s="20">
        <f ca="1">W$184*(1+SUMPRODUCT(Exogenous!$I$44:$I$54,'Population Treasury'!AI$215:AI$225)+SUMPRODUCT(Exogenous!$J$44:$J$54,'Population Treasury'!AI$226:AI$236))*(1+X$29)</f>
        <v>4.4999104075329077</v>
      </c>
      <c r="Y184" s="20">
        <f ca="1">X$184*(1+SUMPRODUCT(Exogenous!$I$44:$I$54,'Population Treasury'!AJ$215:AJ$225)+SUMPRODUCT(Exogenous!$J$44:$J$54,'Population Treasury'!AJ$226:AJ$236))*(1+Y$29)</f>
        <v>4.650060740500682</v>
      </c>
      <c r="Z184" s="20">
        <f ca="1">Y$184*(1+SUMPRODUCT(Exogenous!$I$44:$I$54,'Population Treasury'!AK$215:AK$225)+SUMPRODUCT(Exogenous!$J$44:$J$54,'Population Treasury'!AK$226:AK$236))*(1+Z$29)</f>
        <v>4.8127462427083705</v>
      </c>
    </row>
    <row r="185" spans="1:26" x14ac:dyDescent="0.25">
      <c r="A185" s="12" t="s">
        <v>689</v>
      </c>
      <c r="B185" s="14" t="str">
        <f t="shared" si="123"/>
        <v>From Fiscal Forecasts</v>
      </c>
      <c r="C185" s="15"/>
      <c r="D185" s="50">
        <f>'Fiscal Forecasts'!D$246</f>
        <v>1.115</v>
      </c>
      <c r="E185" s="50">
        <f>'Fiscal Forecasts'!E$246</f>
        <v>1.2310000000000001</v>
      </c>
      <c r="F185" s="50">
        <f>'Fiscal Forecasts'!F$246</f>
        <v>1.4550000000000001</v>
      </c>
      <c r="G185" s="50">
        <f>'Fiscal Forecasts'!G$246</f>
        <v>1.704</v>
      </c>
      <c r="H185" s="50">
        <f>'Fiscal Forecasts'!H$246</f>
        <v>1.917</v>
      </c>
      <c r="I185" s="50">
        <f>'Fiscal Forecasts'!I$246</f>
        <v>2.097</v>
      </c>
      <c r="J185" s="50">
        <f>'Fiscal Forecasts'!J$246</f>
        <v>2.2549999999999999</v>
      </c>
      <c r="K185" s="50">
        <f>'Fiscal Forecasts'!K$246</f>
        <v>2.3860000000000001</v>
      </c>
      <c r="L185" s="48">
        <f>'Fiscal Forecasts'!L$246</f>
        <v>2.4380000000000002</v>
      </c>
      <c r="M185" s="48">
        <f>'Fiscal Forecasts'!M$246</f>
        <v>2.3919999999999999</v>
      </c>
      <c r="N185" s="48">
        <f>'Fiscal Forecasts'!N$246</f>
        <v>2.234</v>
      </c>
      <c r="O185" s="48">
        <f>'Fiscal Forecasts'!O$246</f>
        <v>2.2400000000000002</v>
      </c>
      <c r="P185" s="48">
        <f>'Fiscal Forecasts'!P$246</f>
        <v>2.2839999999999998</v>
      </c>
      <c r="Q185" s="20">
        <f ca="1">P$185*(1+SUMPRODUCT(Exogenous!$P$44:$P$54,'Population Treasury'!AB$215:AB$225)+SUMPRODUCT(Exogenous!$Q$44:$Q$54,'Population Treasury'!AB$226:AB$236))*(1+Q$29)</f>
        <v>2.3489588309586225</v>
      </c>
      <c r="R185" s="20">
        <f ca="1">Q$185*(1+SUMPRODUCT(Exogenous!$P$44:$P$54,'Population Treasury'!AC$215:AC$225)+SUMPRODUCT(Exogenous!$Q$44:$Q$54,'Population Treasury'!AC$226:AC$236))*(1+R$29)</f>
        <v>2.4152781325459118</v>
      </c>
      <c r="S185" s="20">
        <f ca="1">R$185*(1+SUMPRODUCT(Exogenous!$P$44:$P$54,'Population Treasury'!AD$215:AD$225)+SUMPRODUCT(Exogenous!$Q$44:$Q$54,'Population Treasury'!AD$226:AD$236))*(1+S$29)</f>
        <v>2.4813427390347425</v>
      </c>
      <c r="T185" s="20">
        <f ca="1">S$185*(1+SUMPRODUCT(Exogenous!$P$44:$P$54,'Population Treasury'!AE$215:AE$225)+SUMPRODUCT(Exogenous!$Q$44:$Q$54,'Population Treasury'!AE$226:AE$236))*(1+T$29)</f>
        <v>2.5474849352744724</v>
      </c>
      <c r="U185" s="20">
        <f ca="1">T$185*(1+SUMPRODUCT(Exogenous!$P$44:$P$54,'Population Treasury'!AF$215:AF$225)+SUMPRODUCT(Exogenous!$Q$44:$Q$54,'Population Treasury'!AF$226:AF$236))*(1+U$29)</f>
        <v>2.6149840748244544</v>
      </c>
      <c r="V185" s="20">
        <f ca="1">U$185*(1+SUMPRODUCT(Exogenous!$P$44:$P$54,'Population Treasury'!AG$215:AG$225)+SUMPRODUCT(Exogenous!$Q$44:$Q$54,'Population Treasury'!AG$226:AG$236))*(1+V$29)</f>
        <v>2.6857284816213052</v>
      </c>
      <c r="W185" s="20">
        <f ca="1">V$185*(1+SUMPRODUCT(Exogenous!$P$44:$P$54,'Population Treasury'!AH$215:AH$225)+SUMPRODUCT(Exogenous!$Q$44:$Q$54,'Population Treasury'!AH$226:AH$236))*(1+W$29)</f>
        <v>2.7571611952855459</v>
      </c>
      <c r="X185" s="20">
        <f ca="1">W$185*(1+SUMPRODUCT(Exogenous!$P$44:$P$54,'Population Treasury'!AI$215:AI$225)+SUMPRODUCT(Exogenous!$Q$44:$Q$54,'Population Treasury'!AI$226:AI$236))*(1+X$29)</f>
        <v>2.8301877414585848</v>
      </c>
      <c r="Y185" s="20">
        <f ca="1">X$185*(1+SUMPRODUCT(Exogenous!$P$44:$P$54,'Population Treasury'!AJ$215:AJ$225)+SUMPRODUCT(Exogenous!$Q$44:$Q$54,'Population Treasury'!AJ$226:AJ$236))*(1+Y$29)</f>
        <v>2.9020098172986213</v>
      </c>
      <c r="Z185" s="20">
        <f ca="1">Y$185*(1+SUMPRODUCT(Exogenous!$P$44:$P$54,'Population Treasury'!AK$215:AK$225)+SUMPRODUCT(Exogenous!$Q$44:$Q$54,'Population Treasury'!AK$226:AK$236))*(1+Z$29)</f>
        <v>2.9754943164379557</v>
      </c>
    </row>
    <row r="186" spans="1:26" x14ac:dyDescent="0.25">
      <c r="A186" s="12" t="s">
        <v>690</v>
      </c>
      <c r="B186" s="14" t="str">
        <f t="shared" si="123"/>
        <v>From Fiscal Forecasts</v>
      </c>
      <c r="D186" s="50">
        <f>'Fiscal Forecasts'!D$247</f>
        <v>2.766</v>
      </c>
      <c r="E186" s="50">
        <f>'Fiscal Forecasts'!E$247</f>
        <v>2.83</v>
      </c>
      <c r="F186" s="50">
        <f>'Fiscal Forecasts'!F$247</f>
        <v>2.6880000000000002</v>
      </c>
      <c r="G186" s="50">
        <f>'Fiscal Forecasts'!G$247</f>
        <v>2.536</v>
      </c>
      <c r="H186" s="50">
        <f>'Fiscal Forecasts'!H$247</f>
        <v>2.6269999999999998</v>
      </c>
      <c r="I186" s="50">
        <f>'Fiscal Forecasts'!I$247</f>
        <v>2.7450000000000001</v>
      </c>
      <c r="J186" s="50">
        <f>'Fiscal Forecasts'!J$247</f>
        <v>2.9950000000000001</v>
      </c>
      <c r="K186" s="50">
        <f>'Fiscal Forecasts'!K$247</f>
        <v>3.0579999999999998</v>
      </c>
      <c r="L186" s="48">
        <f>'Fiscal Forecasts'!L$247</f>
        <v>3.4169999999999998</v>
      </c>
      <c r="M186" s="48">
        <f>'Fiscal Forecasts'!M$247</f>
        <v>3.2130000000000001</v>
      </c>
      <c r="N186" s="48">
        <f>'Fiscal Forecasts'!N$247</f>
        <v>3.2549999999999999</v>
      </c>
      <c r="O186" s="48">
        <f>'Fiscal Forecasts'!O$247</f>
        <v>3.194</v>
      </c>
      <c r="P186" s="48">
        <f>'Fiscal Forecasts'!P$247</f>
        <v>3.226</v>
      </c>
      <c r="Q186" s="20">
        <f t="shared" ref="Q186:Z186" ca="1" si="124">P$186*(1+Q$19)*(1+Q$29)</f>
        <v>3.3328011517801852</v>
      </c>
      <c r="R186" s="20">
        <f t="shared" ca="1" si="124"/>
        <v>3.4411991354562583</v>
      </c>
      <c r="S186" s="20">
        <f t="shared" ca="1" si="124"/>
        <v>3.551952826553304</v>
      </c>
      <c r="T186" s="20">
        <f t="shared" ca="1" si="124"/>
        <v>3.664015096202669</v>
      </c>
      <c r="U186" s="20">
        <f t="shared" ca="1" si="124"/>
        <v>3.7793010510327312</v>
      </c>
      <c r="V186" s="20">
        <f t="shared" ca="1" si="124"/>
        <v>3.8968280890116622</v>
      </c>
      <c r="W186" s="20">
        <f t="shared" ca="1" si="124"/>
        <v>4.0136364444270125</v>
      </c>
      <c r="X186" s="20">
        <f t="shared" ca="1" si="124"/>
        <v>4.1329035848298483</v>
      </c>
      <c r="Y186" s="20">
        <f t="shared" ca="1" si="124"/>
        <v>4.2557867984595692</v>
      </c>
      <c r="Z186" s="20">
        <f t="shared" ca="1" si="124"/>
        <v>4.3813616133641586</v>
      </c>
    </row>
    <row r="187" spans="1:26" x14ac:dyDescent="0.25">
      <c r="A187" s="12" t="s">
        <v>691</v>
      </c>
      <c r="B187" s="14" t="str">
        <f t="shared" si="123"/>
        <v>From Fiscal Forecasts</v>
      </c>
      <c r="D187" s="50">
        <f>'Fiscal Forecasts'!D$248</f>
        <v>1.64</v>
      </c>
      <c r="E187" s="50">
        <f>'Fiscal Forecasts'!E$248</f>
        <v>1.923</v>
      </c>
      <c r="F187" s="50">
        <f>'Fiscal Forecasts'!F$248</f>
        <v>2.302</v>
      </c>
      <c r="G187" s="50">
        <f>'Fiscal Forecasts'!G$248</f>
        <v>2.3860000000000001</v>
      </c>
      <c r="H187" s="50">
        <f>'Fiscal Forecasts'!H$248</f>
        <v>2.3490000000000002</v>
      </c>
      <c r="I187" s="50">
        <f>'Fiscal Forecasts'!I$248</f>
        <v>2.411</v>
      </c>
      <c r="J187" s="50">
        <f>'Fiscal Forecasts'!J$248</f>
        <v>2.2320000000000002</v>
      </c>
      <c r="K187" s="50">
        <f>'Fiscal Forecasts'!K$248</f>
        <v>2.306</v>
      </c>
      <c r="L187" s="48">
        <f>'Fiscal Forecasts'!L$248</f>
        <v>2.2330000000000001</v>
      </c>
      <c r="M187" s="48">
        <f>'Fiscal Forecasts'!M$248</f>
        <v>2.33</v>
      </c>
      <c r="N187" s="48">
        <f>'Fiscal Forecasts'!N$248</f>
        <v>2.2210000000000001</v>
      </c>
      <c r="O187" s="48">
        <f>'Fiscal Forecasts'!O$248</f>
        <v>2.2469999999999999</v>
      </c>
      <c r="P187" s="48">
        <f>'Fiscal Forecasts'!P$248</f>
        <v>2.2829999999999999</v>
      </c>
      <c r="Q187" s="20">
        <f t="shared" ref="Q187:Z187" ca="1" si="125">P$187*(1+Q$19)*(1+Q$29)</f>
        <v>2.3585818442387363</v>
      </c>
      <c r="R187" s="20">
        <f t="shared" ca="1" si="125"/>
        <v>2.4352937465116673</v>
      </c>
      <c r="S187" s="20">
        <f t="shared" ca="1" si="125"/>
        <v>2.5136727535713557</v>
      </c>
      <c r="T187" s="20">
        <f t="shared" ca="1" si="125"/>
        <v>2.5929778253659932</v>
      </c>
      <c r="U187" s="20">
        <f t="shared" ca="1" si="125"/>
        <v>2.6745642589918557</v>
      </c>
      <c r="V187" s="20">
        <f t="shared" ca="1" si="125"/>
        <v>2.7577366792354701</v>
      </c>
      <c r="W187" s="20">
        <f t="shared" ca="1" si="125"/>
        <v>2.8404004967845227</v>
      </c>
      <c r="X187" s="20">
        <f t="shared" ca="1" si="125"/>
        <v>2.924804365829679</v>
      </c>
      <c r="Y187" s="20">
        <f t="shared" ca="1" si="125"/>
        <v>3.0117672848367012</v>
      </c>
      <c r="Z187" s="20">
        <f t="shared" ca="1" si="125"/>
        <v>3.1006350165252252</v>
      </c>
    </row>
    <row r="188" spans="1:26" x14ac:dyDescent="0.25">
      <c r="A188" s="12" t="s">
        <v>692</v>
      </c>
      <c r="B188" s="14" t="str">
        <f t="shared" si="123"/>
        <v>From Fiscal Forecasts</v>
      </c>
      <c r="C188" s="15"/>
      <c r="D188" s="50">
        <f>'Fiscal Forecasts'!D$249</f>
        <v>2.351</v>
      </c>
      <c r="E188" s="50">
        <f>'Fiscal Forecasts'!E$249</f>
        <v>14.971</v>
      </c>
      <c r="F188" s="50">
        <f>'Fiscal Forecasts'!F$249</f>
        <v>5.0529999999999999</v>
      </c>
      <c r="G188" s="50">
        <f>'Fiscal Forecasts'!G$249</f>
        <v>11.973000000000001</v>
      </c>
      <c r="H188" s="50">
        <f>'Fiscal Forecasts'!H$249</f>
        <v>4.1159999999999997</v>
      </c>
      <c r="I188" s="50">
        <f>'Fiscal Forecasts'!I$249</f>
        <v>3.7759999999999998</v>
      </c>
      <c r="J188" s="50">
        <f>'Fiscal Forecasts'!J$249</f>
        <v>4.1500000000000004</v>
      </c>
      <c r="K188" s="50">
        <f>'Fiscal Forecasts'!K$249</f>
        <v>4.3860000000000001</v>
      </c>
      <c r="L188" s="48">
        <f>'Fiscal Forecasts'!L$249</f>
        <v>4.5549999999999997</v>
      </c>
      <c r="M188" s="48">
        <f>'Fiscal Forecasts'!M$249</f>
        <v>4.5350000000000001</v>
      </c>
      <c r="N188" s="48">
        <f>'Fiscal Forecasts'!N$249</f>
        <v>4.617</v>
      </c>
      <c r="O188" s="48">
        <f>'Fiscal Forecasts'!O$249</f>
        <v>4.7519999999999998</v>
      </c>
      <c r="P188" s="48">
        <f>'Fiscal Forecasts'!P$249</f>
        <v>4.9109999999999996</v>
      </c>
      <c r="Q188" s="20">
        <f t="shared" ref="Q188:Z188" ca="1" si="126">P$188*(1+Q$19)*(1+Q$29)</f>
        <v>5.0735853863584897</v>
      </c>
      <c r="R188" s="20">
        <f t="shared" ca="1" si="126"/>
        <v>5.2386016597103788</v>
      </c>
      <c r="S188" s="20">
        <f t="shared" ca="1" si="126"/>
        <v>5.4072040704287891</v>
      </c>
      <c r="T188" s="20">
        <f t="shared" ca="1" si="126"/>
        <v>5.5777985546966233</v>
      </c>
      <c r="U188" s="20">
        <f t="shared" ca="1" si="126"/>
        <v>5.7533005150718353</v>
      </c>
      <c r="V188" s="20">
        <f t="shared" ca="1" si="126"/>
        <v>5.9322141181451551</v>
      </c>
      <c r="W188" s="20">
        <f t="shared" ca="1" si="126"/>
        <v>6.1100336573406864</v>
      </c>
      <c r="X188" s="20">
        <f t="shared" ca="1" si="126"/>
        <v>6.2915962508057595</v>
      </c>
      <c r="Y188" s="20">
        <f t="shared" ca="1" si="126"/>
        <v>6.4786636600232299</v>
      </c>
      <c r="Z188" s="20">
        <f t="shared" ca="1" si="126"/>
        <v>6.669828544089083</v>
      </c>
    </row>
    <row r="189" spans="1:26" x14ac:dyDescent="0.25">
      <c r="A189" s="11" t="s">
        <v>1242</v>
      </c>
      <c r="B189" s="14"/>
      <c r="C189" s="15"/>
      <c r="D189" s="94">
        <f t="shared" ref="D189:Z189" si="127">SUM(D$182:D$188)</f>
        <v>25.844000000000001</v>
      </c>
      <c r="E189" s="94">
        <f t="shared" si="127"/>
        <v>40.411000000000001</v>
      </c>
      <c r="F189" s="94">
        <f t="shared" si="127"/>
        <v>33.116999999999997</v>
      </c>
      <c r="G189" s="94">
        <f t="shared" si="127"/>
        <v>41.74</v>
      </c>
      <c r="H189" s="94">
        <f t="shared" si="127"/>
        <v>36.31</v>
      </c>
      <c r="I189" s="94">
        <f t="shared" si="127"/>
        <v>39.195000000000007</v>
      </c>
      <c r="J189" s="94">
        <f t="shared" si="127"/>
        <v>42.131999999999998</v>
      </c>
      <c r="K189" s="94">
        <f t="shared" si="127"/>
        <v>44.609000000000002</v>
      </c>
      <c r="L189" s="95">
        <f t="shared" si="127"/>
        <v>47.16</v>
      </c>
      <c r="M189" s="95">
        <f t="shared" si="127"/>
        <v>48.992000000000004</v>
      </c>
      <c r="N189" s="95">
        <f t="shared" si="127"/>
        <v>50.223000000000006</v>
      </c>
      <c r="O189" s="95">
        <f t="shared" si="127"/>
        <v>52.105000000000004</v>
      </c>
      <c r="P189" s="95">
        <f t="shared" si="127"/>
        <v>54.282000000000004</v>
      </c>
      <c r="Q189" s="96">
        <f t="shared" ca="1" si="127"/>
        <v>56.782651728501726</v>
      </c>
      <c r="R189" s="96">
        <f t="shared" ca="1" si="127"/>
        <v>59.362878098696243</v>
      </c>
      <c r="S189" s="96">
        <f t="shared" ca="1" si="127"/>
        <v>62.035724365201482</v>
      </c>
      <c r="T189" s="96">
        <f t="shared" ca="1" si="127"/>
        <v>64.787260158547184</v>
      </c>
      <c r="U189" s="96">
        <f t="shared" ca="1" si="127"/>
        <v>67.696100875746652</v>
      </c>
      <c r="V189" s="96">
        <f t="shared" ca="1" si="127"/>
        <v>70.669665327828923</v>
      </c>
      <c r="W189" s="96">
        <f t="shared" ca="1" si="127"/>
        <v>73.651285843189839</v>
      </c>
      <c r="X189" s="96">
        <f t="shared" ca="1" si="127"/>
        <v>76.652621563331238</v>
      </c>
      <c r="Y189" s="96">
        <f t="shared" ca="1" si="127"/>
        <v>79.659878546451779</v>
      </c>
      <c r="Z189" s="96">
        <f t="shared" ca="1" si="127"/>
        <v>82.698532815681233</v>
      </c>
    </row>
    <row r="190" spans="1:26" x14ac:dyDescent="0.25">
      <c r="A190" s="12" t="s">
        <v>693</v>
      </c>
      <c r="B190" s="14" t="str">
        <f>$B$38</f>
        <v>From Fiscal Forecasts</v>
      </c>
      <c r="C190" s="15"/>
      <c r="D190" s="50">
        <f>'Fiscal Forecasts'!D$250</f>
        <v>0.58299999999999996</v>
      </c>
      <c r="E190" s="50">
        <f>'Fiscal Forecasts'!E$250</f>
        <v>0.56699999999999995</v>
      </c>
      <c r="F190" s="50">
        <f>'Fiscal Forecasts'!F$250</f>
        <v>0.59</v>
      </c>
      <c r="G190" s="50">
        <f>'Fiscal Forecasts'!G$250</f>
        <v>0.55600000000000005</v>
      </c>
      <c r="H190" s="50">
        <f>'Fiscal Forecasts'!H$250</f>
        <v>0.52500000000000002</v>
      </c>
      <c r="I190" s="50">
        <f>'Fiscal Forecasts'!I$250</f>
        <v>0.52600000000000002</v>
      </c>
      <c r="J190" s="50">
        <f>'Fiscal Forecasts'!J$250</f>
        <v>0.57399999999999995</v>
      </c>
      <c r="K190" s="50">
        <f>'Fiscal Forecasts'!K$250</f>
        <v>0.64100000000000001</v>
      </c>
      <c r="L190" s="48">
        <f>'Fiscal Forecasts'!L$250</f>
        <v>0.70399999999999996</v>
      </c>
      <c r="M190" s="48">
        <f>'Fiscal Forecasts'!M$250</f>
        <v>0.71499999999999997</v>
      </c>
      <c r="N190" s="48">
        <f>'Fiscal Forecasts'!N$250</f>
        <v>0.69899999999999995</v>
      </c>
      <c r="O190" s="48">
        <f>'Fiscal Forecasts'!O$250</f>
        <v>0.68899999999999995</v>
      </c>
      <c r="P190" s="48">
        <f>'Fiscal Forecasts'!P$250</f>
        <v>0.68899999999999995</v>
      </c>
      <c r="Q190" s="20">
        <f ca="1">P$190*(1+'Population Treasury'!AB$328)*(1+Q$29)</f>
        <v>0.7042704052526918</v>
      </c>
      <c r="R190" s="20">
        <f ca="1">Q$190*(1+'Population Treasury'!AC$328)*(1+R$29)</f>
        <v>0.7200817868108712</v>
      </c>
      <c r="S190" s="20">
        <f ca="1">R$190*(1+'Population Treasury'!AD$328)*(1+S$29)</f>
        <v>0.7364441451154754</v>
      </c>
      <c r="T190" s="20">
        <f ca="1">S$190*(1+'Population Treasury'!AE$328)*(1+T$29)</f>
        <v>0.75426820881386147</v>
      </c>
      <c r="U190" s="20">
        <f ca="1">T$190*(1+'Population Treasury'!AF$328)*(1+U$29)</f>
        <v>0.77251950077583986</v>
      </c>
      <c r="V190" s="20">
        <f ca="1">U$190*(1+'Population Treasury'!AG$328)*(1+V$29)</f>
        <v>0.79212822197401689</v>
      </c>
      <c r="W190" s="20">
        <f ca="1">V$190*(1+'Population Treasury'!AH$328)*(1+W$29)</f>
        <v>0.81256650909083683</v>
      </c>
      <c r="X190" s="20">
        <f ca="1">W$190*(1+'Population Treasury'!AI$328)*(1+X$29)</f>
        <v>0.834167094857449</v>
      </c>
      <c r="Y190" s="20">
        <f ca="1">X$190*(1+'Population Treasury'!AJ$328)*(1+Y$29)</f>
        <v>0.85705810709086938</v>
      </c>
      <c r="Z190" s="20">
        <f ca="1">Y$190*(1+'Population Treasury'!AK$328)*(1+Z$29)</f>
        <v>0.87732856685740601</v>
      </c>
    </row>
    <row r="191" spans="1:26" x14ac:dyDescent="0.25">
      <c r="A191" s="11" t="s">
        <v>1243</v>
      </c>
      <c r="B191" s="14"/>
      <c r="C191" s="15"/>
      <c r="D191" s="94">
        <f t="shared" ref="D191:Z191" si="128">SUM(D$189:D$190)</f>
        <v>26.427</v>
      </c>
      <c r="E191" s="94">
        <f t="shared" si="128"/>
        <v>40.978000000000002</v>
      </c>
      <c r="F191" s="94">
        <f t="shared" si="128"/>
        <v>33.707000000000001</v>
      </c>
      <c r="G191" s="94">
        <f t="shared" si="128"/>
        <v>42.295999999999999</v>
      </c>
      <c r="H191" s="94">
        <f t="shared" si="128"/>
        <v>36.835000000000001</v>
      </c>
      <c r="I191" s="94">
        <f t="shared" si="128"/>
        <v>39.721000000000011</v>
      </c>
      <c r="J191" s="94">
        <f t="shared" si="128"/>
        <v>42.705999999999996</v>
      </c>
      <c r="K191" s="94">
        <f t="shared" si="128"/>
        <v>45.25</v>
      </c>
      <c r="L191" s="95">
        <f t="shared" si="128"/>
        <v>47.863999999999997</v>
      </c>
      <c r="M191" s="95">
        <f t="shared" si="128"/>
        <v>49.707000000000008</v>
      </c>
      <c r="N191" s="95">
        <f t="shared" si="128"/>
        <v>50.922000000000004</v>
      </c>
      <c r="O191" s="95">
        <f t="shared" si="128"/>
        <v>52.794000000000004</v>
      </c>
      <c r="P191" s="95">
        <f t="shared" si="128"/>
        <v>54.971000000000004</v>
      </c>
      <c r="Q191" s="96">
        <f t="shared" ca="1" si="128"/>
        <v>57.486922133754419</v>
      </c>
      <c r="R191" s="96">
        <f t="shared" ca="1" si="128"/>
        <v>60.082959885507115</v>
      </c>
      <c r="S191" s="96">
        <f t="shared" ca="1" si="128"/>
        <v>62.772168510316959</v>
      </c>
      <c r="T191" s="96">
        <f t="shared" ca="1" si="128"/>
        <v>65.541528367361039</v>
      </c>
      <c r="U191" s="96">
        <f t="shared" ca="1" si="128"/>
        <v>68.468620376522495</v>
      </c>
      <c r="V191" s="96">
        <f t="shared" ca="1" si="128"/>
        <v>71.461793549802934</v>
      </c>
      <c r="W191" s="96">
        <f t="shared" ca="1" si="128"/>
        <v>74.463852352280682</v>
      </c>
      <c r="X191" s="96">
        <f t="shared" ca="1" si="128"/>
        <v>77.486788658188686</v>
      </c>
      <c r="Y191" s="96">
        <f t="shared" ca="1" si="128"/>
        <v>80.516936653542643</v>
      </c>
      <c r="Z191" s="96">
        <f t="shared" ca="1" si="128"/>
        <v>83.575861382538633</v>
      </c>
    </row>
    <row r="192" spans="1:26" x14ac:dyDescent="0.25">
      <c r="A192" s="12" t="s">
        <v>694</v>
      </c>
      <c r="B192" s="14" t="str">
        <f>$B$38</f>
        <v>From Fiscal Forecasts</v>
      </c>
      <c r="C192" s="15"/>
      <c r="D192" s="50">
        <f>'Fiscal Forecasts'!D$251</f>
        <v>0.95099999999999996</v>
      </c>
      <c r="E192" s="50">
        <f>'Fiscal Forecasts'!E$251</f>
        <v>0.89300000000000002</v>
      </c>
      <c r="F192" s="50">
        <f>'Fiscal Forecasts'!F$251</f>
        <v>0.91600000000000004</v>
      </c>
      <c r="G192" s="50">
        <f>'Fiscal Forecasts'!G$251</f>
        <v>0.96399999999999997</v>
      </c>
      <c r="H192" s="50">
        <f>'Fiscal Forecasts'!H$251</f>
        <v>0.997</v>
      </c>
      <c r="I192" s="50">
        <f>'Fiscal Forecasts'!I$251</f>
        <v>1.014</v>
      </c>
      <c r="J192" s="50">
        <f>'Fiscal Forecasts'!J$251</f>
        <v>1.02</v>
      </c>
      <c r="K192" s="50">
        <f>'Fiscal Forecasts'!K$251</f>
        <v>0.47</v>
      </c>
      <c r="L192" s="48">
        <f>'Fiscal Forecasts'!L$251</f>
        <v>0.49399999999999999</v>
      </c>
      <c r="M192" s="48">
        <f>'Fiscal Forecasts'!M$251</f>
        <v>0.51600000000000001</v>
      </c>
      <c r="N192" s="48">
        <f>'Fiscal Forecasts'!N$251</f>
        <v>0.54100000000000004</v>
      </c>
      <c r="O192" s="48">
        <f>'Fiscal Forecasts'!O$251</f>
        <v>0.56499999999999995</v>
      </c>
      <c r="P192" s="48">
        <f>'Fiscal Forecasts'!P$251</f>
        <v>0.58899999999999997</v>
      </c>
      <c r="Q192" s="20">
        <f>IF(ISBLANK(Exogenous!AB$37),P$192*(1+Q$17)*(1+Q$29),Exogenous!AB$37)</f>
        <v>0.61599999999999999</v>
      </c>
      <c r="R192" s="20">
        <f ca="1">IF(ISBLANK(Exogenous!AC$37),Q$192*(1+R$17)*(1+R$29),Exogenous!AC$37)</f>
        <v>0.6356043150767996</v>
      </c>
      <c r="S192" s="20">
        <f ca="1">IF(ISBLANK(Exogenous!AD$37),R$192*(1+S$17)*(1+S$29),Exogenous!AD$37)</f>
        <v>0.65552518581783481</v>
      </c>
      <c r="T192" s="20">
        <f ca="1">IF(ISBLANK(Exogenous!AE$37),S$192*(1+T$17)*(1+T$29),Exogenous!AE$37)</f>
        <v>0.67575382923088023</v>
      </c>
      <c r="U192" s="20">
        <f ca="1">IF(ISBLANK(Exogenous!AF$37),T$192*(1+U$17)*(1+U$29),Exogenous!AF$37)</f>
        <v>0.69644013067364774</v>
      </c>
      <c r="V192" s="20">
        <f ca="1">IF(ISBLANK(Exogenous!AG$37),U$192*(1+V$17)*(1+V$29),Exogenous!AG$37)</f>
        <v>0.71757355095976472</v>
      </c>
      <c r="W192" s="20">
        <f ca="1">IF(ISBLANK(Exogenous!AH$37),V$192*(1+W$17)*(1+W$29),Exogenous!AH$37)</f>
        <v>0.73899406472158069</v>
      </c>
      <c r="X192" s="20">
        <f ca="1">IF(ISBLANK(Exogenous!AI$37),W$192*(1+X$17)*(1+X$29),Exogenous!AI$37)</f>
        <v>0.76073334129191916</v>
      </c>
      <c r="Y192" s="20">
        <f ca="1">IF(ISBLANK(Exogenous!AJ$37),X$192*(1+Y$17)*(1+Y$29),Exogenous!AJ$37)</f>
        <v>0.78292535697248833</v>
      </c>
      <c r="Z192" s="20">
        <f ca="1">IF(ISBLANK(Exogenous!AK$37),Y$192*(1+Z$17)*(1+Z$29),Exogenous!AK$37)</f>
        <v>0.80555714389500477</v>
      </c>
    </row>
    <row r="193" spans="1:26" x14ac:dyDescent="0.25">
      <c r="A193" s="12" t="s">
        <v>1029</v>
      </c>
      <c r="B193" s="14" t="str">
        <f>$B$38</f>
        <v>From Fiscal Forecasts</v>
      </c>
      <c r="C193" s="15"/>
      <c r="D193" s="50">
        <f>'Fiscal Forecasts'!D$252</f>
        <v>0.70799999999999996</v>
      </c>
      <c r="E193" s="50">
        <f>'Fiscal Forecasts'!E$252</f>
        <v>0.73599999999999999</v>
      </c>
      <c r="F193" s="50">
        <f>'Fiscal Forecasts'!F$252</f>
        <v>0.80400000000000005</v>
      </c>
      <c r="G193" s="50">
        <f>'Fiscal Forecasts'!G$252</f>
        <v>0.82699999999999996</v>
      </c>
      <c r="H193" s="50">
        <f>'Fiscal Forecasts'!H$252</f>
        <v>0.97099999999999997</v>
      </c>
      <c r="I193" s="50">
        <f>'Fiscal Forecasts'!I$252</f>
        <v>1.202</v>
      </c>
      <c r="J193" s="50">
        <f>'Fiscal Forecasts'!J$252</f>
        <v>0.95299999999999996</v>
      </c>
      <c r="K193" s="50">
        <f>'Fiscal Forecasts'!K$252</f>
        <v>0.95599999999999996</v>
      </c>
      <c r="L193" s="48">
        <f>'Fiscal Forecasts'!L$252</f>
        <v>1.151</v>
      </c>
      <c r="M193" s="48">
        <f>'Fiscal Forecasts'!M$252</f>
        <v>0.98199999999999998</v>
      </c>
      <c r="N193" s="48">
        <f>'Fiscal Forecasts'!N$252</f>
        <v>0.98199999999999998</v>
      </c>
      <c r="O193" s="48">
        <f>'Fiscal Forecasts'!O$252</f>
        <v>0.98199999999999998</v>
      </c>
      <c r="P193" s="48">
        <f>'Fiscal Forecasts'!P$252</f>
        <v>0.98199999999999998</v>
      </c>
      <c r="Q193" s="20">
        <f t="shared" ref="Q193:Z193" ca="1" si="129">P$193*(1+Q$29)</f>
        <v>1.0016400000000001</v>
      </c>
      <c r="R193" s="20">
        <f t="shared" ca="1" si="129"/>
        <v>1.0216728000000002</v>
      </c>
      <c r="S193" s="20">
        <f t="shared" ca="1" si="129"/>
        <v>1.0421062560000003</v>
      </c>
      <c r="T193" s="20">
        <f t="shared" ca="1" si="129"/>
        <v>1.0629483811200002</v>
      </c>
      <c r="U193" s="20">
        <f t="shared" ca="1" si="129"/>
        <v>1.0842073487424002</v>
      </c>
      <c r="V193" s="20">
        <f t="shared" ca="1" si="129"/>
        <v>1.1058914957172483</v>
      </c>
      <c r="W193" s="20">
        <f t="shared" ca="1" si="129"/>
        <v>1.1280093256315933</v>
      </c>
      <c r="X193" s="20">
        <f t="shared" ca="1" si="129"/>
        <v>1.1505695121442252</v>
      </c>
      <c r="Y193" s="20">
        <f t="shared" ca="1" si="129"/>
        <v>1.1735809023871098</v>
      </c>
      <c r="Z193" s="20">
        <f t="shared" ca="1" si="129"/>
        <v>1.1970525204348519</v>
      </c>
    </row>
    <row r="194" spans="1:26" x14ac:dyDescent="0.25">
      <c r="A194" s="11" t="s">
        <v>1244</v>
      </c>
      <c r="B194" s="14"/>
      <c r="C194" s="15"/>
      <c r="D194" s="94">
        <f t="shared" ref="D194:Z194" si="130">SUM(D$191:D$193)</f>
        <v>28.085999999999999</v>
      </c>
      <c r="E194" s="94">
        <f t="shared" si="130"/>
        <v>42.606999999999999</v>
      </c>
      <c r="F194" s="94">
        <f t="shared" si="130"/>
        <v>35.427</v>
      </c>
      <c r="G194" s="94">
        <f t="shared" si="130"/>
        <v>44.086999999999996</v>
      </c>
      <c r="H194" s="94">
        <f t="shared" si="130"/>
        <v>38.802999999999997</v>
      </c>
      <c r="I194" s="94">
        <f t="shared" si="130"/>
        <v>41.937000000000012</v>
      </c>
      <c r="J194" s="94">
        <f t="shared" si="130"/>
        <v>44.679000000000002</v>
      </c>
      <c r="K194" s="94">
        <f t="shared" si="130"/>
        <v>46.676000000000002</v>
      </c>
      <c r="L194" s="95">
        <f t="shared" si="130"/>
        <v>49.509</v>
      </c>
      <c r="M194" s="95">
        <f t="shared" si="130"/>
        <v>51.205000000000005</v>
      </c>
      <c r="N194" s="95">
        <f t="shared" si="130"/>
        <v>52.445</v>
      </c>
      <c r="O194" s="95">
        <f t="shared" si="130"/>
        <v>54.341000000000001</v>
      </c>
      <c r="P194" s="95">
        <f t="shared" si="130"/>
        <v>56.542000000000002</v>
      </c>
      <c r="Q194" s="96">
        <f t="shared" ca="1" si="130"/>
        <v>59.10456213375442</v>
      </c>
      <c r="R194" s="96">
        <f t="shared" ca="1" si="130"/>
        <v>61.74023700058391</v>
      </c>
      <c r="S194" s="96">
        <f t="shared" ca="1" si="130"/>
        <v>64.469799952134792</v>
      </c>
      <c r="T194" s="96">
        <f t="shared" ca="1" si="130"/>
        <v>67.280230577711919</v>
      </c>
      <c r="U194" s="96">
        <f t="shared" ca="1" si="130"/>
        <v>70.249267855938541</v>
      </c>
      <c r="V194" s="96">
        <f t="shared" ca="1" si="130"/>
        <v>73.285258596479949</v>
      </c>
      <c r="W194" s="96">
        <f t="shared" ca="1" si="130"/>
        <v>76.330855742633858</v>
      </c>
      <c r="X194" s="96">
        <f t="shared" ca="1" si="130"/>
        <v>79.398091511624841</v>
      </c>
      <c r="Y194" s="96">
        <f t="shared" ca="1" si="130"/>
        <v>82.473442912902243</v>
      </c>
      <c r="Z194" s="96">
        <f t="shared" ca="1" si="130"/>
        <v>85.578471046868486</v>
      </c>
    </row>
    <row r="195" spans="1:26" x14ac:dyDescent="0.25">
      <c r="A195" s="11" t="s">
        <v>1245</v>
      </c>
      <c r="B195" s="14" t="str">
        <f>$B$38</f>
        <v>From Fiscal Forecasts</v>
      </c>
      <c r="C195" s="15"/>
      <c r="D195" s="51">
        <f>'Fiscal Forecasts'!D$170</f>
        <v>29.015000000000001</v>
      </c>
      <c r="E195" s="51">
        <f>'Fiscal Forecasts'!E$170</f>
        <v>43.616</v>
      </c>
      <c r="F195" s="51">
        <f>'Fiscal Forecasts'!F$170</f>
        <v>36.521000000000001</v>
      </c>
      <c r="G195" s="51">
        <f>'Fiscal Forecasts'!G$170</f>
        <v>45.265999999999998</v>
      </c>
      <c r="H195" s="51">
        <f>'Fiscal Forecasts'!H$170</f>
        <v>40.003</v>
      </c>
      <c r="I195" s="51">
        <f>'Fiscal Forecasts'!I$170</f>
        <v>43.265000000000001</v>
      </c>
      <c r="J195" s="51">
        <f>'Fiscal Forecasts'!J$170</f>
        <v>46.238999999999997</v>
      </c>
      <c r="K195" s="51">
        <f>'Fiscal Forecasts'!K$170</f>
        <v>48.417000000000002</v>
      </c>
      <c r="L195" s="47">
        <f>'Fiscal Forecasts'!L$170</f>
        <v>51.131</v>
      </c>
      <c r="M195" s="47">
        <f>'Fiscal Forecasts'!M$170</f>
        <v>52.792000000000002</v>
      </c>
      <c r="N195" s="47">
        <f>'Fiscal Forecasts'!N$170</f>
        <v>54.014000000000003</v>
      </c>
      <c r="O195" s="47">
        <f>'Fiscal Forecasts'!O$170</f>
        <v>55.95</v>
      </c>
      <c r="P195" s="47">
        <f>'Fiscal Forecasts'!P$170</f>
        <v>58.197000000000003</v>
      </c>
      <c r="Q195" s="21">
        <f t="shared" ref="Q195:Z195" ca="1" si="131">Q$194</f>
        <v>59.10456213375442</v>
      </c>
      <c r="R195" s="21">
        <f t="shared" ca="1" si="131"/>
        <v>61.74023700058391</v>
      </c>
      <c r="S195" s="21">
        <f t="shared" ca="1" si="131"/>
        <v>64.469799952134792</v>
      </c>
      <c r="T195" s="21">
        <f t="shared" ca="1" si="131"/>
        <v>67.280230577711919</v>
      </c>
      <c r="U195" s="21">
        <f t="shared" ca="1" si="131"/>
        <v>70.249267855938541</v>
      </c>
      <c r="V195" s="21">
        <f t="shared" ca="1" si="131"/>
        <v>73.285258596479949</v>
      </c>
      <c r="W195" s="21">
        <f t="shared" ca="1" si="131"/>
        <v>76.330855742633858</v>
      </c>
      <c r="X195" s="21">
        <f t="shared" ca="1" si="131"/>
        <v>79.398091511624841</v>
      </c>
      <c r="Y195" s="21">
        <f t="shared" ca="1" si="131"/>
        <v>82.473442912902243</v>
      </c>
      <c r="Z195" s="21">
        <f t="shared" ca="1" si="131"/>
        <v>85.578471046868486</v>
      </c>
    </row>
    <row r="196" spans="1:26" x14ac:dyDescent="0.25">
      <c r="A196" s="12" t="s">
        <v>1246</v>
      </c>
      <c r="B196" s="14" t="str">
        <f>$B$38</f>
        <v>From Fiscal Forecasts</v>
      </c>
      <c r="C196" s="100" cm="1">
        <f t="array" aca="1" ref="C196" ca="1">SUMPRODUCT(OFFSET($P$196,0,0,1,-OFFSET(Assumptions!$B$60,0,$C$1))/OFFSET($P$13,0,0,1,-OFFSET(Assumptions!$B$60,0,$C$1)))/OFFSET(Assumptions!$B$60,0,$C$1)</f>
        <v>1.1298830660730031E-2</v>
      </c>
      <c r="D196" s="50">
        <f>'Fiscal Forecasts'!D$57-D$189</f>
        <v>2.8959999999999972</v>
      </c>
      <c r="E196" s="50">
        <f>'Fiscal Forecasts'!E$57-E$189</f>
        <v>3.6169999999999973</v>
      </c>
      <c r="F196" s="50">
        <f>'Fiscal Forecasts'!F$57-F$189</f>
        <v>3.642000000000003</v>
      </c>
      <c r="G196" s="50">
        <f>'Fiscal Forecasts'!G$57-G$189</f>
        <v>1.1199999999999974</v>
      </c>
      <c r="H196" s="50">
        <f>'Fiscal Forecasts'!H$57-H$189</f>
        <v>5.2040000000000006</v>
      </c>
      <c r="I196" s="50">
        <f>'Fiscal Forecasts'!I$57-I$189</f>
        <v>5.3939999999999912</v>
      </c>
      <c r="J196" s="50">
        <f>'Fiscal Forecasts'!J$57-J$189</f>
        <v>5.3710000000000022</v>
      </c>
      <c r="K196" s="50">
        <f>'Fiscal Forecasts'!K$57-K$189</f>
        <v>5.6149999999999949</v>
      </c>
      <c r="L196" s="48">
        <f ca="1">'Fiscal Forecasts'!L$57-L$189+IF(OFFSET(Assumptions!$B$57,0,$C$1)="Yes",Allocation!C$10,0)</f>
        <v>6.1639000000000017</v>
      </c>
      <c r="M196" s="48">
        <f ca="1">'Fiscal Forecasts'!M$57-M$189+IF(OFFSET(Assumptions!$B$57,0,$C$1)="Yes",Allocation!D$10,0)</f>
        <v>6.2143999999999942</v>
      </c>
      <c r="N196" s="48">
        <f ca="1">'Fiscal Forecasts'!N$57-N$189+IF(OFFSET(Assumptions!$B$57,0,$C$1)="Yes",Allocation!E$10,0)</f>
        <v>6.3797499999999943</v>
      </c>
      <c r="O196" s="48">
        <f ca="1">'Fiscal Forecasts'!O$57-O$189+IF(OFFSET(Assumptions!$B$57,0,$C$1)="Yes",Allocation!F$10,0)</f>
        <v>6.299649999999998</v>
      </c>
      <c r="P196" s="48">
        <f ca="1">'Fiscal Forecasts'!P$57-P$189+IF(OFFSET(Assumptions!$B$57,0,$C$1)="Yes",Allocation!G$10,0)</f>
        <v>6.4772999999999978</v>
      </c>
      <c r="Q196" s="20">
        <f ca="1">P$196+IF(OFFSET(Assumptions!$B$58,0,$C$1)="Yes",Allocation!$B$10*Q$248,IF(OFFSET(Assumptions!$B$59,0,$C$1)="Yes",(P$196/P$13+MIN(ABS($C$196-P$196/P$13),OFFSET(Assumptions!$B$61,0,$C$1))*SIGN($C$196-P$196/P$13))*Q$13-P$196,0))</f>
        <v>6.8663961289794759</v>
      </c>
      <c r="R196" s="20">
        <f ca="1">Q$196+IF(OFFSET(Assumptions!$B$58,0,$C$1)="Yes",Allocation!$B$10*R$248,IF(OFFSET(Assumptions!$B$59,0,$C$1)="Yes",(Q$196/Q$13+MIN(ABS($C$196-Q$196/Q$13),OFFSET(Assumptions!$B$61,0,$C$1))*SIGN($C$196-Q$196/Q$13))*R$13-Q$196,0))</f>
        <v>7.1586651920679838</v>
      </c>
      <c r="S196" s="20">
        <f ca="1">R$196+IF(OFFSET(Assumptions!$B$58,0,$C$1)="Yes",Allocation!$B$10*S$248,IF(OFFSET(Assumptions!$B$59,0,$C$1)="Yes",(R$196/R$13+MIN(ABS($C$196-R$196/R$13),OFFSET(Assumptions!$B$61,0,$C$1))*SIGN($C$196-R$196/R$13))*S$13-R$196,0))</f>
        <v>7.4586772768752052</v>
      </c>
      <c r="T196" s="20">
        <f ca="1">S$196+IF(OFFSET(Assumptions!$B$58,0,$C$1)="Yes",Allocation!$B$10*T$248,IF(OFFSET(Assumptions!$B$59,0,$C$1)="Yes",(S$196/S$13+MIN(ABS($C$196-S$196/S$13),OFFSET(Assumptions!$B$61,0,$C$1))*SIGN($C$196-S$196/S$13))*T$13-S$196,0))</f>
        <v>7.7657306512230297</v>
      </c>
      <c r="U196" s="20">
        <f ca="1">T$196+IF(OFFSET(Assumptions!$B$58,0,$C$1)="Yes",Allocation!$B$10*U$248,IF(OFFSET(Assumptions!$B$59,0,$C$1)="Yes",(T$196/T$13+MIN(ABS($C$196-T$196/T$13),OFFSET(Assumptions!$B$61,0,$C$1))*SIGN($C$196-T$196/T$13))*U$13-T$196,0))</f>
        <v>8.0834912033372159</v>
      </c>
      <c r="V196" s="20">
        <f ca="1">U$196+IF(OFFSET(Assumptions!$B$58,0,$C$1)="Yes",Allocation!$B$10*V$248,IF(OFFSET(Assumptions!$B$59,0,$C$1)="Yes",(U$196/U$13+MIN(ABS($C$196-U$196/U$13),OFFSET(Assumptions!$B$61,0,$C$1))*SIGN($C$196-U$196/U$13))*V$13-U$196,0))</f>
        <v>8.4120719409624503</v>
      </c>
      <c r="W196" s="20">
        <f ca="1">V$196+IF(OFFSET(Assumptions!$B$58,0,$C$1)="Yes",Allocation!$B$10*W$248,IF(OFFSET(Assumptions!$B$59,0,$C$1)="Yes",(V$196/V$13+MIN(ABS($C$196-V$196/V$13),OFFSET(Assumptions!$B$61,0,$C$1))*SIGN($C$196-V$196/V$13))*W$13-V$196,0))</f>
        <v>8.7498151797098114</v>
      </c>
      <c r="X196" s="20">
        <f ca="1">W$196+IF(OFFSET(Assumptions!$B$58,0,$C$1)="Yes",Allocation!$B$10*X$248,IF(OFFSET(Assumptions!$B$59,0,$C$1)="Yes",(W$196/W$13+MIN(ABS($C$196-W$196/W$13),OFFSET(Assumptions!$B$61,0,$C$1))*SIGN($C$196-W$196/W$13))*X$13-W$196,0))</f>
        <v>9.0972840238625352</v>
      </c>
      <c r="Y196" s="20">
        <f ca="1">X$196+IF(OFFSET(Assumptions!$B$58,0,$C$1)="Yes",Allocation!$B$10*Y$248,IF(OFFSET(Assumptions!$B$59,0,$C$1)="Yes",(X$196/X$13+MIN(ABS($C$196-X$196/X$13),OFFSET(Assumptions!$B$61,0,$C$1))*SIGN($C$196-X$196/X$13))*Y$13-X$196,0))</f>
        <v>9.4562955175128103</v>
      </c>
      <c r="Z196" s="20">
        <f ca="1">Y$196+IF(OFFSET(Assumptions!$B$58,0,$C$1)="Yes",Allocation!$B$10*Z$248,IF(OFFSET(Assumptions!$B$59,0,$C$1)="Yes",(Y$196/Y$13+MIN(ABS($C$196-Y$196/Y$13),OFFSET(Assumptions!$B$61,0,$C$1))*SIGN($C$196-Y$196/Y$13))*Z$13-Y$196,0))</f>
        <v>9.8269422550766361</v>
      </c>
    </row>
    <row r="197" spans="1:26" x14ac:dyDescent="0.25">
      <c r="A197" s="11" t="s">
        <v>1247</v>
      </c>
      <c r="B197" s="14"/>
      <c r="C197" s="15"/>
      <c r="D197" s="51">
        <f t="shared" ref="D197:Z197" si="132">SUM(D$189,D$196)</f>
        <v>28.74</v>
      </c>
      <c r="E197" s="51">
        <f t="shared" si="132"/>
        <v>44.027999999999999</v>
      </c>
      <c r="F197" s="51">
        <f t="shared" si="132"/>
        <v>36.759</v>
      </c>
      <c r="G197" s="51">
        <f t="shared" si="132"/>
        <v>42.86</v>
      </c>
      <c r="H197" s="51">
        <f t="shared" si="132"/>
        <v>41.514000000000003</v>
      </c>
      <c r="I197" s="51">
        <f t="shared" si="132"/>
        <v>44.588999999999999</v>
      </c>
      <c r="J197" s="51">
        <f t="shared" si="132"/>
        <v>47.503</v>
      </c>
      <c r="K197" s="51">
        <f t="shared" si="132"/>
        <v>50.223999999999997</v>
      </c>
      <c r="L197" s="47">
        <f t="shared" ca="1" si="132"/>
        <v>53.323899999999995</v>
      </c>
      <c r="M197" s="47">
        <f t="shared" ca="1" si="132"/>
        <v>55.206400000000002</v>
      </c>
      <c r="N197" s="47">
        <f t="shared" ca="1" si="132"/>
        <v>56.60275</v>
      </c>
      <c r="O197" s="47">
        <f t="shared" ca="1" si="132"/>
        <v>58.404650000000004</v>
      </c>
      <c r="P197" s="47">
        <f t="shared" ca="1" si="132"/>
        <v>60.759300000000003</v>
      </c>
      <c r="Q197" s="21">
        <f t="shared" ca="1" si="132"/>
        <v>63.6490478574812</v>
      </c>
      <c r="R197" s="21">
        <f t="shared" ca="1" si="132"/>
        <v>66.521543290764228</v>
      </c>
      <c r="S197" s="21">
        <f t="shared" ca="1" si="132"/>
        <v>69.494401642076681</v>
      </c>
      <c r="T197" s="21">
        <f t="shared" ca="1" si="132"/>
        <v>72.552990809770208</v>
      </c>
      <c r="U197" s="21">
        <f t="shared" ca="1" si="132"/>
        <v>75.779592079083869</v>
      </c>
      <c r="V197" s="21">
        <f t="shared" ca="1" si="132"/>
        <v>79.081737268791372</v>
      </c>
      <c r="W197" s="21">
        <f t="shared" ca="1" si="132"/>
        <v>82.401101022899653</v>
      </c>
      <c r="X197" s="21">
        <f t="shared" ca="1" si="132"/>
        <v>85.74990558719378</v>
      </c>
      <c r="Y197" s="21">
        <f t="shared" ca="1" si="132"/>
        <v>89.116174063964593</v>
      </c>
      <c r="Z197" s="21">
        <f t="shared" ca="1" si="132"/>
        <v>92.525475070757864</v>
      </c>
    </row>
    <row r="198" spans="1:26" x14ac:dyDescent="0.25">
      <c r="A198" s="12" t="s">
        <v>1248</v>
      </c>
      <c r="B198" s="14" t="str">
        <f>$B$38</f>
        <v>From Fiscal Forecasts</v>
      </c>
      <c r="C198" s="15"/>
      <c r="D198" s="50">
        <f>'Fiscal Forecasts'!D$206</f>
        <v>6.6790000000000003</v>
      </c>
      <c r="E198" s="50">
        <f>'Fiscal Forecasts'!E$206</f>
        <v>7.6630000000000003</v>
      </c>
      <c r="F198" s="50">
        <f>'Fiscal Forecasts'!F$206</f>
        <v>7.968</v>
      </c>
      <c r="G198" s="50">
        <f>'Fiscal Forecasts'!G$206</f>
        <v>7.3879999999999999</v>
      </c>
      <c r="H198" s="50">
        <f>'Fiscal Forecasts'!H$206</f>
        <v>9.3290000000000006</v>
      </c>
      <c r="I198" s="50">
        <f>'Fiscal Forecasts'!I$206</f>
        <v>11.634</v>
      </c>
      <c r="J198" s="50">
        <f>'Fiscal Forecasts'!J$206</f>
        <v>12.760999999999999</v>
      </c>
      <c r="K198" s="50">
        <f>'Fiscal Forecasts'!K$206</f>
        <v>10.669</v>
      </c>
      <c r="L198" s="48">
        <f>'Fiscal Forecasts'!L$206</f>
        <v>11.167</v>
      </c>
      <c r="M198" s="48">
        <f>'Fiscal Forecasts'!M$206</f>
        <v>11.887</v>
      </c>
      <c r="N198" s="48">
        <f>'Fiscal Forecasts'!N$206</f>
        <v>12.044</v>
      </c>
      <c r="O198" s="48">
        <f>'Fiscal Forecasts'!O$206</f>
        <v>12.486000000000001</v>
      </c>
      <c r="P198" s="48">
        <f>'Fiscal Forecasts'!P$206</f>
        <v>13.964</v>
      </c>
      <c r="Q198" s="20">
        <f>P$198*Exogenous!AB$27/Exogenous!AA$27</f>
        <v>14.725401263097526</v>
      </c>
      <c r="R198" s="20">
        <f>Q$198*Exogenous!AC$27/Exogenous!AB$27</f>
        <v>15.544265309413285</v>
      </c>
      <c r="S198" s="20">
        <f>R$198*Exogenous!AD$27/Exogenous!AC$27</f>
        <v>16.360046622767598</v>
      </c>
      <c r="T198" s="20">
        <f>S$198*Exogenous!AE$27/Exogenous!AD$27</f>
        <v>17.145416164713321</v>
      </c>
      <c r="U198" s="20">
        <f>T$198*Exogenous!AF$27/Exogenous!AE$27</f>
        <v>17.979620806873328</v>
      </c>
      <c r="V198" s="20">
        <f>U$198*Exogenous!AG$27/Exogenous!AF$27</f>
        <v>18.823845570120163</v>
      </c>
      <c r="W198" s="20">
        <f>V$198*Exogenous!AH$27/Exogenous!AG$27</f>
        <v>19.701301164940279</v>
      </c>
      <c r="X198" s="20">
        <f>W$198*Exogenous!AI$27/Exogenous!AH$27</f>
        <v>20.616866136857279</v>
      </c>
      <c r="Y198" s="20">
        <f>X$198*Exogenous!AJ$27/Exogenous!AI$27</f>
        <v>21.528527879486475</v>
      </c>
      <c r="Z198" s="20">
        <f>Y$198*Exogenous!AK$27/Exogenous!AJ$27</f>
        <v>22.495239368343416</v>
      </c>
    </row>
    <row r="199" spans="1:26" x14ac:dyDescent="0.25">
      <c r="A199" s="12" t="s">
        <v>1249</v>
      </c>
      <c r="B199" s="14" t="str">
        <f>$B$38</f>
        <v>From Fiscal Forecasts</v>
      </c>
      <c r="C199" s="15"/>
      <c r="D199" s="50">
        <f>'Fiscal Forecasts'!D$40-SUM(D$197:D$198)</f>
        <v>-1.5169999999999959</v>
      </c>
      <c r="E199" s="50">
        <f>'Fiscal Forecasts'!E$40-SUM(E$197:E$198)</f>
        <v>-1.7910000000000039</v>
      </c>
      <c r="F199" s="50">
        <f>'Fiscal Forecasts'!F$40-SUM(F$197:F$198)</f>
        <v>-1.8350000000000009</v>
      </c>
      <c r="G199" s="50">
        <f>'Fiscal Forecasts'!G$40-SUM(G$197:G$198)</f>
        <v>-1.9450000000000003</v>
      </c>
      <c r="H199" s="50">
        <f>'Fiscal Forecasts'!H$40-SUM(H$197:H$198)</f>
        <v>-1.9980000000000047</v>
      </c>
      <c r="I199" s="50">
        <f>'Fiscal Forecasts'!I$40-SUM(I$197:I$198)</f>
        <v>-2.2269999999999968</v>
      </c>
      <c r="J199" s="50">
        <f>'Fiscal Forecasts'!J$40-SUM(J$197:J$198)</f>
        <v>-2.6289999999999978</v>
      </c>
      <c r="K199" s="50">
        <f>'Fiscal Forecasts'!K$40-SUM(K$197:K$198)</f>
        <v>-2.855000000000004</v>
      </c>
      <c r="L199" s="48">
        <f ca="1">'Fiscal Forecasts'!L$40-SUM(L$197:L$198)+IF(OFFSET(Assumptions!$B$57,0,$C$1)="Yes",Allocation!C$10,0)</f>
        <v>-3.3219999999999992</v>
      </c>
      <c r="M199" s="48">
        <f ca="1">'Fiscal Forecasts'!M$40-SUM(M$197:M$198)+IF(OFFSET(Assumptions!$B$57,0,$C$1)="Yes",Allocation!D$10,0)</f>
        <v>-3.3690000000000029</v>
      </c>
      <c r="N199" s="48">
        <f ca="1">'Fiscal Forecasts'!N$40-SUM(N$197:N$198)+IF(OFFSET(Assumptions!$B$57,0,$C$1)="Yes",Allocation!E$10,0)</f>
        <v>-3.445999999999998</v>
      </c>
      <c r="O199" s="48">
        <f ca="1">'Fiscal Forecasts'!O$40-SUM(O$197:O$198)+IF(OFFSET(Assumptions!$B$57,0,$C$1)="Yes",Allocation!F$10,0)</f>
        <v>-3.5880000000000098</v>
      </c>
      <c r="P199" s="48">
        <f ca="1">'Fiscal Forecasts'!P$40-SUM(P$197:P$198)+IF(OFFSET(Assumptions!$B$57,0,$C$1)="Yes",Allocation!G$10,0)</f>
        <v>-3.7310000000000034</v>
      </c>
      <c r="Q199" s="20">
        <f ca="1">P$199*Exogenous!AB$26/Exogenous!AA$26</f>
        <v>-4.0108250000000041</v>
      </c>
      <c r="R199" s="20">
        <f ca="1">Q$199*Exogenous!AC$26/Exogenous!AB$26</f>
        <v>-4.311636875000004</v>
      </c>
      <c r="S199" s="20">
        <f ca="1">R$199*Exogenous!AD$26/Exogenous!AC$26</f>
        <v>-4.6350096406250056</v>
      </c>
      <c r="T199" s="20">
        <f ca="1">S$199*Exogenous!AE$26/Exogenous!AD$26</f>
        <v>-4.9826353636718803</v>
      </c>
      <c r="U199" s="20">
        <f ca="1">T$199*Exogenous!AF$26/Exogenous!AE$26</f>
        <v>-5.3563330159472695</v>
      </c>
      <c r="V199" s="20">
        <f ca="1">U$199*Exogenous!AG$26/Exogenous!AF$26</f>
        <v>-5.5766768128014643</v>
      </c>
      <c r="W199" s="20">
        <f ca="1">V$199*Exogenous!AH$26/Exogenous!AG$26</f>
        <v>-5.7498651005711201</v>
      </c>
      <c r="X199" s="20">
        <f ca="1">W$199*Exogenous!AI$26/Exogenous!AH$26</f>
        <v>-5.9325885748665819</v>
      </c>
      <c r="Y199" s="20">
        <f ca="1">X$199*Exogenous!AJ$26/Exogenous!AI$26</f>
        <v>-6.1268778237144428</v>
      </c>
      <c r="Z199" s="20">
        <f ca="1">Y$199*Exogenous!AK$26/Exogenous!AJ$26</f>
        <v>-6.3238607117571286</v>
      </c>
    </row>
    <row r="200" spans="1:26" x14ac:dyDescent="0.25">
      <c r="A200" s="11" t="s">
        <v>1250</v>
      </c>
      <c r="C200" s="15"/>
      <c r="D200" s="94">
        <f t="shared" ref="D200:K200" si="133">SUM(D$197:D$199)</f>
        <v>33.902000000000001</v>
      </c>
      <c r="E200" s="94">
        <f t="shared" si="133"/>
        <v>49.9</v>
      </c>
      <c r="F200" s="94">
        <f t="shared" si="133"/>
        <v>42.892000000000003</v>
      </c>
      <c r="G200" s="94">
        <f t="shared" si="133"/>
        <v>48.302999999999997</v>
      </c>
      <c r="H200" s="94">
        <f t="shared" si="133"/>
        <v>48.844999999999999</v>
      </c>
      <c r="I200" s="94">
        <f t="shared" si="133"/>
        <v>53.996000000000002</v>
      </c>
      <c r="J200" s="94">
        <f t="shared" si="133"/>
        <v>57.634999999999998</v>
      </c>
      <c r="K200" s="94">
        <f t="shared" si="133"/>
        <v>58.037999999999997</v>
      </c>
      <c r="L200" s="95">
        <f t="shared" ref="L200:Z200" ca="1" si="134">SUM(L$197:L$199)</f>
        <v>61.168899999999994</v>
      </c>
      <c r="M200" s="95">
        <f t="shared" ca="1" si="134"/>
        <v>63.724400000000003</v>
      </c>
      <c r="N200" s="95">
        <f t="shared" ca="1" si="134"/>
        <v>65.200749999999999</v>
      </c>
      <c r="O200" s="95">
        <f t="shared" ca="1" si="134"/>
        <v>67.30265</v>
      </c>
      <c r="P200" s="95">
        <f t="shared" ca="1" si="134"/>
        <v>70.9923</v>
      </c>
      <c r="Q200" s="96">
        <f t="shared" ca="1" si="134"/>
        <v>74.36362412057872</v>
      </c>
      <c r="R200" s="96">
        <f t="shared" ca="1" si="134"/>
        <v>77.754171725177514</v>
      </c>
      <c r="S200" s="96">
        <f t="shared" ca="1" si="134"/>
        <v>81.219438624219279</v>
      </c>
      <c r="T200" s="96">
        <f t="shared" ca="1" si="134"/>
        <v>84.715771610811657</v>
      </c>
      <c r="U200" s="96">
        <f t="shared" ca="1" si="134"/>
        <v>88.402879870009926</v>
      </c>
      <c r="V200" s="96">
        <f t="shared" ca="1" si="134"/>
        <v>92.328906026110062</v>
      </c>
      <c r="W200" s="96">
        <f t="shared" ca="1" si="134"/>
        <v>96.352537087268814</v>
      </c>
      <c r="X200" s="96">
        <f t="shared" ca="1" si="134"/>
        <v>100.43418314918448</v>
      </c>
      <c r="Y200" s="96">
        <f t="shared" ca="1" si="134"/>
        <v>104.51782411973663</v>
      </c>
      <c r="Z200" s="96">
        <f t="shared" ca="1" si="134"/>
        <v>108.69685372734415</v>
      </c>
    </row>
    <row r="201" spans="1:26" x14ac:dyDescent="0.25">
      <c r="A201" s="57" t="s">
        <v>1251</v>
      </c>
      <c r="C201" s="15"/>
      <c r="D201" s="12"/>
      <c r="E201" s="12"/>
      <c r="F201" s="12"/>
      <c r="G201" s="12"/>
      <c r="H201" s="12"/>
      <c r="I201" s="12"/>
      <c r="J201" s="12"/>
      <c r="K201" s="12"/>
      <c r="L201" s="12"/>
      <c r="M201" s="12"/>
    </row>
    <row r="202" spans="1:26" x14ac:dyDescent="0.25">
      <c r="A202" s="12" t="s">
        <v>1252</v>
      </c>
      <c r="C202" s="15"/>
      <c r="D202" s="93">
        <f>'Economic Forecasts'!Q$18</f>
        <v>1205.79</v>
      </c>
      <c r="E202" s="93">
        <f>'Economic Forecasts'!R$18</f>
        <v>1241.4100000000001</v>
      </c>
      <c r="F202" s="93">
        <f>'Economic Forecasts'!S$18</f>
        <v>1287.81</v>
      </c>
      <c r="G202" s="93">
        <f>'Economic Forecasts'!T$18</f>
        <v>1360.1</v>
      </c>
      <c r="H202" s="93">
        <f>'Economic Forecasts'!U$18</f>
        <v>1462.81</v>
      </c>
      <c r="I202" s="93">
        <f>'Economic Forecasts'!V$18</f>
        <v>1556.16</v>
      </c>
      <c r="J202" s="93">
        <f>'Economic Forecasts'!W$18</f>
        <v>1622.73</v>
      </c>
      <c r="K202" s="93">
        <f>'Economic Forecasts'!X$18</f>
        <v>1681.06</v>
      </c>
      <c r="L202" s="73">
        <f>'Economic Forecasts'!Y$18</f>
        <v>1729.05</v>
      </c>
      <c r="M202" s="73">
        <f>'Economic Forecasts'!Z$18</f>
        <v>1777.06</v>
      </c>
      <c r="N202" s="73">
        <f>'Economic Forecasts'!AA$18</f>
        <v>1832.62</v>
      </c>
      <c r="O202" s="73">
        <f>'Economic Forecasts'!AB$18</f>
        <v>1893.64</v>
      </c>
      <c r="P202" s="73">
        <f>'Economic Forecasts'!AC$18</f>
        <v>1959.15</v>
      </c>
      <c r="Q202" s="72">
        <f t="shared" ref="Q202:Z202" ca="1" si="135">P$202*(1+Q$26)</f>
        <v>2020.1814407999998</v>
      </c>
      <c r="R202" s="72">
        <f t="shared" ca="1" si="135"/>
        <v>2082.1525266779804</v>
      </c>
      <c r="S202" s="72">
        <f t="shared" ca="1" si="135"/>
        <v>2145.0335329836553</v>
      </c>
      <c r="T202" s="72">
        <f t="shared" ca="1" si="135"/>
        <v>2209.8135456797618</v>
      </c>
      <c r="U202" s="72">
        <f t="shared" ca="1" si="135"/>
        <v>2276.5499147592905</v>
      </c>
      <c r="V202" s="72">
        <f t="shared" ca="1" si="135"/>
        <v>2345.3017221850209</v>
      </c>
      <c r="W202" s="72">
        <f t="shared" ca="1" si="135"/>
        <v>2416.1298341950087</v>
      </c>
      <c r="X202" s="72">
        <f t="shared" ca="1" si="135"/>
        <v>2489.0969551876979</v>
      </c>
      <c r="Y202" s="72">
        <f t="shared" ca="1" si="135"/>
        <v>2564.2676832343664</v>
      </c>
      <c r="Z202" s="72">
        <f t="shared" ca="1" si="135"/>
        <v>2641.7085672680441</v>
      </c>
    </row>
    <row r="203" spans="1:26" x14ac:dyDescent="0.25">
      <c r="A203" s="12" t="s">
        <v>788</v>
      </c>
      <c r="C203" s="15"/>
      <c r="D203" s="93">
        <f>'Economic Forecasts'!Q$19</f>
        <v>958.37</v>
      </c>
      <c r="E203" s="93">
        <f>'Economic Forecasts'!R$19</f>
        <v>987.95</v>
      </c>
      <c r="F203" s="93">
        <f>'Economic Forecasts'!S$19</f>
        <v>1018.53</v>
      </c>
      <c r="G203" s="93">
        <f>'Economic Forecasts'!T$19</f>
        <v>1066.06</v>
      </c>
      <c r="H203" s="93">
        <f>'Economic Forecasts'!U$19</f>
        <v>1132.5999999999999</v>
      </c>
      <c r="I203" s="93">
        <f>'Economic Forecasts'!V$19</f>
        <v>1192.4000000000001</v>
      </c>
      <c r="J203" s="93">
        <f>'Economic Forecasts'!W$19</f>
        <v>1255.05</v>
      </c>
      <c r="K203" s="93">
        <f>'Economic Forecasts'!X$19</f>
        <v>1291.58</v>
      </c>
      <c r="L203" s="73">
        <f>'Economic Forecasts'!Y$19</f>
        <v>1321.5</v>
      </c>
      <c r="M203" s="73">
        <f>'Economic Forecasts'!Z$19</f>
        <v>1352.79</v>
      </c>
      <c r="N203" s="73">
        <f>'Economic Forecasts'!AA$19</f>
        <v>1389.2</v>
      </c>
      <c r="O203" s="73">
        <f>'Economic Forecasts'!AB$19</f>
        <v>1428.97</v>
      </c>
      <c r="P203" s="73">
        <f>'Economic Forecasts'!AC$19</f>
        <v>1471.49</v>
      </c>
      <c r="Q203" s="72">
        <f ca="1">IF(Q$6&lt;OFFSET(Assumptions!$B$8,0,$C$1)+OFFSET(Assumptions!$B$34,0,$C$1),Q$202-ROUND(IF(ROUNDDOWN(52*Q$202,0)&gt;Exogenous!$C$61,(ROUNDDOWN(52*Q$202,0)-Exogenous!$C$61)*Exogenous!$B$62+Exogenous!$E$61,IF(ROUNDDOWN(52*Q$202,0)&gt;Exogenous!$C$60,(ROUNDDOWN(52*Q$202,0)-Exogenous!$C$60)*Exogenous!$B$61+Exogenous!$E$60,IF(ROUNDDOWN(52*Q$202,0)&gt;Exogenous!$C$59,(ROUNDDOWN(52*Q$202,0)-Exogenous!$C$59)*Exogenous!$B$60+Exogenous!$E$59,IF(ROUNDDOWN(52*Q$202,0)&gt;Exogenous!$C$58,(ROUNDDOWN(52*Q$202,0)-Exogenous!$C$58)*Exogenous!$B$59+Exogenous!$E$58,ROUNDDOWN(52*Q$202,0)*Exogenous!$B$58))))/52+Q$202*Exogenous!$B$63,2),ROUND(P$203*(1+Q$26),2))</f>
        <v>1517.33</v>
      </c>
      <c r="R203" s="72">
        <f ca="1">IF(R$6&lt;OFFSET(Assumptions!$B$8,0,$C$1)+OFFSET(Assumptions!$B$34,0,$C$1),R$202-ROUND(IF(ROUNDDOWN(52*R$202,0)&gt;Exogenous!$C$61,(ROUNDDOWN(52*R$202,0)-Exogenous!$C$61)*Exogenous!$B$62+Exogenous!$E$61,IF(ROUNDDOWN(52*R$202,0)&gt;Exogenous!$C$60,(ROUNDDOWN(52*R$202,0)-Exogenous!$C$60)*Exogenous!$B$61+Exogenous!$E$60,IF(ROUNDDOWN(52*R$202,0)&gt;Exogenous!$C$59,(ROUNDDOWN(52*R$202,0)-Exogenous!$C$59)*Exogenous!$B$60+Exogenous!$E$59,IF(ROUNDDOWN(52*R$202,0)&gt;Exogenous!$C$58,(ROUNDDOWN(52*R$202,0)-Exogenous!$C$58)*Exogenous!$B$59+Exogenous!$E$58,ROUNDDOWN(52*R$202,0)*Exogenous!$B$58))))/52+R$202*Exogenous!$B$63,2),ROUND(Q$203*(1+R$26),2))</f>
        <v>1563.88</v>
      </c>
      <c r="S203" s="72">
        <f ca="1">IF(S$6&lt;OFFSET(Assumptions!$B$8,0,$C$1)+OFFSET(Assumptions!$B$34,0,$C$1),S$202-ROUND(IF(ROUNDDOWN(52*S$202,0)&gt;Exogenous!$C$61,(ROUNDDOWN(52*S$202,0)-Exogenous!$C$61)*Exogenous!$B$62+Exogenous!$E$61,IF(ROUNDDOWN(52*S$202,0)&gt;Exogenous!$C$60,(ROUNDDOWN(52*S$202,0)-Exogenous!$C$60)*Exogenous!$B$61+Exogenous!$E$60,IF(ROUNDDOWN(52*S$202,0)&gt;Exogenous!$C$59,(ROUNDDOWN(52*S$202,0)-Exogenous!$C$59)*Exogenous!$B$60+Exogenous!$E$59,IF(ROUNDDOWN(52*S$202,0)&gt;Exogenous!$C$58,(ROUNDDOWN(52*S$202,0)-Exogenous!$C$58)*Exogenous!$B$59+Exogenous!$E$58,ROUNDDOWN(52*S$202,0)*Exogenous!$B$58))))/52+S$202*Exogenous!$B$63,2),ROUND(R$203*(1+S$26),2))</f>
        <v>1611.11</v>
      </c>
      <c r="T203" s="72">
        <f ca="1">IF(T$6&lt;OFFSET(Assumptions!$B$8,0,$C$1)+OFFSET(Assumptions!$B$34,0,$C$1),T$202-ROUND(IF(ROUNDDOWN(52*T$202,0)&gt;Exogenous!$C$61,(ROUNDDOWN(52*T$202,0)-Exogenous!$C$61)*Exogenous!$B$62+Exogenous!$E$61,IF(ROUNDDOWN(52*T$202,0)&gt;Exogenous!$C$60,(ROUNDDOWN(52*T$202,0)-Exogenous!$C$60)*Exogenous!$B$61+Exogenous!$E$60,IF(ROUNDDOWN(52*T$202,0)&gt;Exogenous!$C$59,(ROUNDDOWN(52*T$202,0)-Exogenous!$C$59)*Exogenous!$B$60+Exogenous!$E$59,IF(ROUNDDOWN(52*T$202,0)&gt;Exogenous!$C$58,(ROUNDDOWN(52*T$202,0)-Exogenous!$C$58)*Exogenous!$B$59+Exogenous!$E$58,ROUNDDOWN(52*T$202,0)*Exogenous!$B$58))))/52+T$202*Exogenous!$B$63,2),ROUND(S$203*(1+T$26),2))</f>
        <v>1659.77</v>
      </c>
      <c r="U203" s="72">
        <f ca="1">IF(U$6&lt;OFFSET(Assumptions!$B$8,0,$C$1)+OFFSET(Assumptions!$B$34,0,$C$1),U$202-ROUND(IF(ROUNDDOWN(52*U$202,0)&gt;Exogenous!$C$61,(ROUNDDOWN(52*U$202,0)-Exogenous!$C$61)*Exogenous!$B$62+Exogenous!$E$61,IF(ROUNDDOWN(52*U$202,0)&gt;Exogenous!$C$60,(ROUNDDOWN(52*U$202,0)-Exogenous!$C$60)*Exogenous!$B$61+Exogenous!$E$60,IF(ROUNDDOWN(52*U$202,0)&gt;Exogenous!$C$59,(ROUNDDOWN(52*U$202,0)-Exogenous!$C$59)*Exogenous!$B$60+Exogenous!$E$59,IF(ROUNDDOWN(52*U$202,0)&gt;Exogenous!$C$58,(ROUNDDOWN(52*U$202,0)-Exogenous!$C$58)*Exogenous!$B$59+Exogenous!$E$58,ROUNDDOWN(52*U$202,0)*Exogenous!$B$58))))/52+U$202*Exogenous!$B$63,2),ROUND(T$203*(1+U$26),2))</f>
        <v>1709.9</v>
      </c>
      <c r="V203" s="72">
        <f ca="1">IF(V$6&lt;OFFSET(Assumptions!$B$8,0,$C$1)+OFFSET(Assumptions!$B$34,0,$C$1),V$202-ROUND(IF(ROUNDDOWN(52*V$202,0)&gt;Exogenous!$C$61,(ROUNDDOWN(52*V$202,0)-Exogenous!$C$61)*Exogenous!$B$62+Exogenous!$E$61,IF(ROUNDDOWN(52*V$202,0)&gt;Exogenous!$C$60,(ROUNDDOWN(52*V$202,0)-Exogenous!$C$60)*Exogenous!$B$61+Exogenous!$E$60,IF(ROUNDDOWN(52*V$202,0)&gt;Exogenous!$C$59,(ROUNDDOWN(52*V$202,0)-Exogenous!$C$59)*Exogenous!$B$60+Exogenous!$E$59,IF(ROUNDDOWN(52*V$202,0)&gt;Exogenous!$C$58,(ROUNDDOWN(52*V$202,0)-Exogenous!$C$58)*Exogenous!$B$59+Exogenous!$E$58,ROUNDDOWN(52*V$202,0)*Exogenous!$B$58))))/52+V$202*Exogenous!$B$63,2),ROUND(U$203*(1+V$26),2))</f>
        <v>1761.54</v>
      </c>
      <c r="W203" s="72">
        <f ca="1">IF(W$6&lt;OFFSET(Assumptions!$B$8,0,$C$1)+OFFSET(Assumptions!$B$34,0,$C$1),W$202-ROUND(IF(ROUNDDOWN(52*W$202,0)&gt;Exogenous!$C$61,(ROUNDDOWN(52*W$202,0)-Exogenous!$C$61)*Exogenous!$B$62+Exogenous!$E$61,IF(ROUNDDOWN(52*W$202,0)&gt;Exogenous!$C$60,(ROUNDDOWN(52*W$202,0)-Exogenous!$C$60)*Exogenous!$B$61+Exogenous!$E$60,IF(ROUNDDOWN(52*W$202,0)&gt;Exogenous!$C$59,(ROUNDDOWN(52*W$202,0)-Exogenous!$C$59)*Exogenous!$B$60+Exogenous!$E$59,IF(ROUNDDOWN(52*W$202,0)&gt;Exogenous!$C$58,(ROUNDDOWN(52*W$202,0)-Exogenous!$C$58)*Exogenous!$B$59+Exogenous!$E$58,ROUNDDOWN(52*W$202,0)*Exogenous!$B$58))))/52+W$202*Exogenous!$B$63,2),ROUND(V$203*(1+W$26),2))</f>
        <v>1814.74</v>
      </c>
      <c r="X203" s="72">
        <f ca="1">IF(X$6&lt;OFFSET(Assumptions!$B$8,0,$C$1)+OFFSET(Assumptions!$B$34,0,$C$1),X$202-ROUND(IF(ROUNDDOWN(52*X$202,0)&gt;Exogenous!$C$61,(ROUNDDOWN(52*X$202,0)-Exogenous!$C$61)*Exogenous!$B$62+Exogenous!$E$61,IF(ROUNDDOWN(52*X$202,0)&gt;Exogenous!$C$60,(ROUNDDOWN(52*X$202,0)-Exogenous!$C$60)*Exogenous!$B$61+Exogenous!$E$60,IF(ROUNDDOWN(52*X$202,0)&gt;Exogenous!$C$59,(ROUNDDOWN(52*X$202,0)-Exogenous!$C$59)*Exogenous!$B$60+Exogenous!$E$59,IF(ROUNDDOWN(52*X$202,0)&gt;Exogenous!$C$58,(ROUNDDOWN(52*X$202,0)-Exogenous!$C$58)*Exogenous!$B$59+Exogenous!$E$58,ROUNDDOWN(52*X$202,0)*Exogenous!$B$58))))/52+X$202*Exogenous!$B$63,2),ROUND(W$203*(1+X$26),2))</f>
        <v>1869.55</v>
      </c>
      <c r="Y203" s="72">
        <f ca="1">IF(Y$6&lt;OFFSET(Assumptions!$B$8,0,$C$1)+OFFSET(Assumptions!$B$34,0,$C$1),Y$202-ROUND(IF(ROUNDDOWN(52*Y$202,0)&gt;Exogenous!$C$61,(ROUNDDOWN(52*Y$202,0)-Exogenous!$C$61)*Exogenous!$B$62+Exogenous!$E$61,IF(ROUNDDOWN(52*Y$202,0)&gt;Exogenous!$C$60,(ROUNDDOWN(52*Y$202,0)-Exogenous!$C$60)*Exogenous!$B$61+Exogenous!$E$60,IF(ROUNDDOWN(52*Y$202,0)&gt;Exogenous!$C$59,(ROUNDDOWN(52*Y$202,0)-Exogenous!$C$59)*Exogenous!$B$60+Exogenous!$E$59,IF(ROUNDDOWN(52*Y$202,0)&gt;Exogenous!$C$58,(ROUNDDOWN(52*Y$202,0)-Exogenous!$C$58)*Exogenous!$B$59+Exogenous!$E$58,ROUNDDOWN(52*Y$202,0)*Exogenous!$B$58))))/52+Y$202*Exogenous!$B$63,2),ROUND(X$203*(1+Y$26),2))</f>
        <v>1926.01</v>
      </c>
      <c r="Z203" s="72">
        <f ca="1">IF(Z$6&lt;OFFSET(Assumptions!$B$8,0,$C$1)+OFFSET(Assumptions!$B$34,0,$C$1),Z$202-ROUND(IF(ROUNDDOWN(52*Z$202,0)&gt;Exogenous!$C$61,(ROUNDDOWN(52*Z$202,0)-Exogenous!$C$61)*Exogenous!$B$62+Exogenous!$E$61,IF(ROUNDDOWN(52*Z$202,0)&gt;Exogenous!$C$60,(ROUNDDOWN(52*Z$202,0)-Exogenous!$C$60)*Exogenous!$B$61+Exogenous!$E$60,IF(ROUNDDOWN(52*Z$202,0)&gt;Exogenous!$C$59,(ROUNDDOWN(52*Z$202,0)-Exogenous!$C$59)*Exogenous!$B$60+Exogenous!$E$59,IF(ROUNDDOWN(52*Z$202,0)&gt;Exogenous!$C$58,(ROUNDDOWN(52*Z$202,0)-Exogenous!$C$58)*Exogenous!$B$59+Exogenous!$E$58,ROUNDDOWN(52*Z$202,0)*Exogenous!$B$58))))/52+Z$202*Exogenous!$B$63,2),ROUND(Y$203*(1+Z$26),2))</f>
        <v>1984.18</v>
      </c>
    </row>
    <row r="204" spans="1:26" x14ac:dyDescent="0.25">
      <c r="A204" s="12" t="s">
        <v>789</v>
      </c>
      <c r="C204" s="15"/>
      <c r="D204" s="93">
        <f>'Economic Forecasts'!Q$20</f>
        <v>360.42</v>
      </c>
      <c r="E204" s="93">
        <f>'Economic Forecasts'!R$20</f>
        <v>372.27</v>
      </c>
      <c r="F204" s="93">
        <f>'Economic Forecasts'!S$20</f>
        <v>384.46</v>
      </c>
      <c r="G204" s="93">
        <f>'Economic Forecasts'!T$20</f>
        <v>408.66</v>
      </c>
      <c r="H204" s="93">
        <f>'Economic Forecasts'!U$20</f>
        <v>439.79</v>
      </c>
      <c r="I204" s="93">
        <f>'Economic Forecasts'!V$20</f>
        <v>461.41</v>
      </c>
      <c r="J204" s="93">
        <f>'Economic Forecasts'!W$20</f>
        <v>476.47</v>
      </c>
      <c r="K204" s="93">
        <f>'Economic Forecasts'!X$20</f>
        <v>492.14</v>
      </c>
      <c r="L204" s="73">
        <f>'Economic Forecasts'!Y$20</f>
        <v>510.24</v>
      </c>
      <c r="M204" s="73">
        <f>'Economic Forecasts'!Z$20</f>
        <v>519.77</v>
      </c>
      <c r="N204" s="73">
        <f>'Economic Forecasts'!AA$20</f>
        <v>531.32000000000005</v>
      </c>
      <c r="O204" s="73">
        <f>'Economic Forecasts'!AB$20</f>
        <v>546.11</v>
      </c>
      <c r="P204" s="73">
        <f>'Economic Forecasts'!AC$20</f>
        <v>563.11</v>
      </c>
      <c r="Q204" s="72">
        <f ca="1">IF(Q$6&lt;OFFSET(Assumptions!$B$8,0,$C$1)+OFFSET(Assumptions!$B$34,0,$C$1),IF(52*Q$205&gt;Exogenous!$D$61,(52*Q$205-Exogenous!$C$61*Exogenous!$B$62+Exogenous!$E$61)/(1-Exogenous!$B$62),IF(52*Q$205&gt;Exogenous!$D$60,(52*Q$205-Exogenous!$C$60*Exogenous!$B$61+Exogenous!$E$60)/(1-Exogenous!$B$61),IF(52*Q$205&gt;Exogenous!$D$59,(52*Q$205-Exogenous!$C$59*Exogenous!$B$60+Exogenous!$E$59)/(1-Exogenous!$B$60),IF(52*Q$205&gt;Exogenous!$D$58,(52*Q$205-Exogenous!$C$58*Exogenous!$B$59+Exogenous!$E$58)/(1-Exogenous!$B$59),52*Q$205/(1-Exogenous!$B$58)))))/52,P$204*Q$205/P$205)</f>
        <v>580.65409044461387</v>
      </c>
      <c r="R204" s="72">
        <f ca="1">IF(R$6&lt;OFFSET(Assumptions!$B$8,0,$C$1)+OFFSET(Assumptions!$B$34,0,$C$1),IF(52*R$205&gt;Exogenous!$D$61,(52*R$205-Exogenous!$C$61*Exogenous!$B$62+Exogenous!$E$61)/(1-Exogenous!$B$62),IF(52*R$205&gt;Exogenous!$D$60,(52*R$205-Exogenous!$C$60*Exogenous!$B$61+Exogenous!$E$60)/(1-Exogenous!$B$61),IF(52*R$205&gt;Exogenous!$D$59,(52*R$205-Exogenous!$C$59*Exogenous!$B$60+Exogenous!$E$59)/(1-Exogenous!$B$60),IF(52*R$205&gt;Exogenous!$D$58,(52*R$205-Exogenous!$C$58*Exogenous!$B$59+Exogenous!$E$58)/(1-Exogenous!$B$59),52*R$205/(1-Exogenous!$B$58)))))/52,Q$204*R$205/Q$205)</f>
        <v>598.46791335076932</v>
      </c>
      <c r="S204" s="72">
        <f ca="1">IF(S$6&lt;OFFSET(Assumptions!$B$8,0,$C$1)+OFFSET(Assumptions!$B$34,0,$C$1),IF(52*S$205&gt;Exogenous!$D$61,(52*S$205-Exogenous!$C$61*Exogenous!$B$62+Exogenous!$E$61)/(1-Exogenous!$B$62),IF(52*S$205&gt;Exogenous!$D$60,(52*S$205-Exogenous!$C$60*Exogenous!$B$61+Exogenous!$E$60)/(1-Exogenous!$B$61),IF(52*S$205&gt;Exogenous!$D$59,(52*S$205-Exogenous!$C$59*Exogenous!$B$60+Exogenous!$E$59)/(1-Exogenous!$B$60),IF(52*S$205&gt;Exogenous!$D$58,(52*S$205-Exogenous!$C$58*Exogenous!$B$59+Exogenous!$E$58)/(1-Exogenous!$B$59),52*S$205/(1-Exogenous!$B$58)))))/52,R$204*S$205/R$205)</f>
        <v>616.54195966350221</v>
      </c>
      <c r="T204" s="72">
        <f ca="1">IF(T$6&lt;OFFSET(Assumptions!$B$8,0,$C$1)+OFFSET(Assumptions!$B$34,0,$C$1),IF(52*T$205&gt;Exogenous!$D$61,(52*T$205-Exogenous!$C$61*Exogenous!$B$62+Exogenous!$E$61)/(1-Exogenous!$B$62),IF(52*T$205&gt;Exogenous!$D$60,(52*T$205-Exogenous!$C$60*Exogenous!$B$61+Exogenous!$E$60)/(1-Exogenous!$B$61),IF(52*T$205&gt;Exogenous!$D$59,(52*T$205-Exogenous!$C$59*Exogenous!$B$60+Exogenous!$E$59)/(1-Exogenous!$B$60),IF(52*T$205&gt;Exogenous!$D$58,(52*T$205-Exogenous!$C$58*Exogenous!$B$59+Exogenous!$E$58)/(1-Exogenous!$B$59),52*T$205/(1-Exogenous!$B$58)))))/52,S$204*T$205/S$205)</f>
        <v>635.16324049300863</v>
      </c>
      <c r="U204" s="72">
        <f ca="1">IF(U$6&lt;OFFSET(Assumptions!$B$8,0,$C$1)+OFFSET(Assumptions!$B$34,0,$C$1),IF(52*U$205&gt;Exogenous!$D$61,(52*U$205-Exogenous!$C$61*Exogenous!$B$62+Exogenous!$E$61)/(1-Exogenous!$B$62),IF(52*U$205&gt;Exogenous!$D$60,(52*U$205-Exogenous!$C$60*Exogenous!$B$61+Exogenous!$E$60)/(1-Exogenous!$B$61),IF(52*U$205&gt;Exogenous!$D$59,(52*U$205-Exogenous!$C$59*Exogenous!$B$60+Exogenous!$E$59)/(1-Exogenous!$B$60),IF(52*U$205&gt;Exogenous!$D$58,(52*U$205-Exogenous!$C$58*Exogenous!$B$59+Exogenous!$E$58)/(1-Exogenous!$B$59),52*U$205/(1-Exogenous!$B$58)))))/52,T$204*U$205/T$205)</f>
        <v>654.34706309849889</v>
      </c>
      <c r="V204" s="72">
        <f ca="1">IF(V$6&lt;OFFSET(Assumptions!$B$8,0,$C$1)+OFFSET(Assumptions!$B$34,0,$C$1),IF(52*V$205&gt;Exogenous!$D$61,(52*V$205-Exogenous!$C$61*Exogenous!$B$62+Exogenous!$E$61)/(1-Exogenous!$B$62),IF(52*V$205&gt;Exogenous!$D$60,(52*V$205-Exogenous!$C$60*Exogenous!$B$61+Exogenous!$E$60)/(1-Exogenous!$B$61),IF(52*V$205&gt;Exogenous!$D$59,(52*V$205-Exogenous!$C$59*Exogenous!$B$60+Exogenous!$E$59)/(1-Exogenous!$B$60),IF(52*V$205&gt;Exogenous!$D$58,(52*V$205-Exogenous!$C$58*Exogenous!$B$59+Exogenous!$E$58)/(1-Exogenous!$B$59),52*V$205/(1-Exogenous!$B$58)))))/52,U$204*V$205/U$205)</f>
        <v>674.10873473918343</v>
      </c>
      <c r="W204" s="72">
        <f ca="1">IF(W$6&lt;OFFSET(Assumptions!$B$8,0,$C$1)+OFFSET(Assumptions!$B$34,0,$C$1),IF(52*W$205&gt;Exogenous!$D$61,(52*W$205-Exogenous!$C$61*Exogenous!$B$62+Exogenous!$E$61)/(1-Exogenous!$B$62),IF(52*W$205&gt;Exogenous!$D$60,(52*W$205-Exogenous!$C$60*Exogenous!$B$61+Exogenous!$E$60)/(1-Exogenous!$B$61),IF(52*W$205&gt;Exogenous!$D$59,(52*W$205-Exogenous!$C$59*Exogenous!$B$60+Exogenous!$E$59)/(1-Exogenous!$B$60),IF(52*W$205&gt;Exogenous!$D$58,(52*W$205-Exogenous!$C$58*Exogenous!$B$59+Exogenous!$E$58)/(1-Exogenous!$B$59),52*W$205/(1-Exogenous!$B$58)))))/52,V$204*W$205/V$205)</f>
        <v>694.46738948907523</v>
      </c>
      <c r="X204" s="72">
        <f ca="1">IF(X$6&lt;OFFSET(Assumptions!$B$8,0,$C$1)+OFFSET(Assumptions!$B$34,0,$C$1),IF(52*X$205&gt;Exogenous!$D$61,(52*X$205-Exogenous!$C$61*Exogenous!$B$62+Exogenous!$E$61)/(1-Exogenous!$B$62),IF(52*X$205&gt;Exogenous!$D$60,(52*X$205-Exogenous!$C$60*Exogenous!$B$61+Exogenous!$E$60)/(1-Exogenous!$B$61),IF(52*X$205&gt;Exogenous!$D$59,(52*X$205-Exogenous!$C$59*Exogenous!$B$60+Exogenous!$E$59)/(1-Exogenous!$B$60),IF(52*X$205&gt;Exogenous!$D$58,(52*X$205-Exogenous!$C$58*Exogenous!$B$59+Exogenous!$E$58)/(1-Exogenous!$B$59),52*X$205/(1-Exogenous!$B$58)))))/52,W$204*X$205/W$205)</f>
        <v>715.44216142218761</v>
      </c>
      <c r="Y204" s="72">
        <f ca="1">IF(Y$6&lt;OFFSET(Assumptions!$B$8,0,$C$1)+OFFSET(Assumptions!$B$34,0,$C$1),IF(52*Y$205&gt;Exogenous!$D$61,(52*Y$205-Exogenous!$C$61*Exogenous!$B$62+Exogenous!$E$61)/(1-Exogenous!$B$62),IF(52*Y$205&gt;Exogenous!$D$60,(52*Y$205-Exogenous!$C$60*Exogenous!$B$61+Exogenous!$E$60)/(1-Exogenous!$B$61),IF(52*Y$205&gt;Exogenous!$D$59,(52*Y$205-Exogenous!$C$59*Exogenous!$B$60+Exogenous!$E$59)/(1-Exogenous!$B$60),IF(52*Y$205&gt;Exogenous!$D$58,(52*Y$205-Exogenous!$C$58*Exogenous!$B$59+Exogenous!$E$58)/(1-Exogenous!$B$59),52*Y$205/(1-Exogenous!$B$58)))))/52,X$204*Y$205/X$205)</f>
        <v>737.04835779773077</v>
      </c>
      <c r="Z204" s="72">
        <f ca="1">IF(Z$6&lt;OFFSET(Assumptions!$B$8,0,$C$1)+OFFSET(Assumptions!$B$34,0,$C$1),IF(52*Z$205&gt;Exogenous!$D$61,(52*Z$205-Exogenous!$C$61*Exogenous!$B$62+Exogenous!$E$61)/(1-Exogenous!$B$62),IF(52*Z$205&gt;Exogenous!$D$60,(52*Z$205-Exogenous!$C$60*Exogenous!$B$61+Exogenous!$E$60)/(1-Exogenous!$B$61),IF(52*Z$205&gt;Exogenous!$D$59,(52*Z$205-Exogenous!$C$59*Exogenous!$B$60+Exogenous!$E$59)/(1-Exogenous!$B$60),IF(52*Z$205&gt;Exogenous!$D$58,(52*Z$205-Exogenous!$C$58*Exogenous!$B$59+Exogenous!$E$58)/(1-Exogenous!$B$59),52*Z$205/(1-Exogenous!$B$58)))))/52,Y$204*Z$205/Y$205)</f>
        <v>759.30893950452048</v>
      </c>
    </row>
    <row r="205" spans="1:26" x14ac:dyDescent="0.25">
      <c r="A205" s="12" t="s">
        <v>790</v>
      </c>
      <c r="C205" s="15"/>
      <c r="D205" s="93">
        <f>'Economic Forecasts'!Q$21</f>
        <v>316.27</v>
      </c>
      <c r="E205" s="93">
        <f>'Economic Forecasts'!R$21</f>
        <v>326.02</v>
      </c>
      <c r="F205" s="93">
        <f>'Economic Forecasts'!S$21</f>
        <v>336.11</v>
      </c>
      <c r="G205" s="93">
        <f>'Economic Forecasts'!T$21</f>
        <v>356.11</v>
      </c>
      <c r="H205" s="93">
        <f>'Economic Forecasts'!U$21</f>
        <v>381.82</v>
      </c>
      <c r="I205" s="93">
        <f>'Economic Forecasts'!V$21</f>
        <v>399.59</v>
      </c>
      <c r="J205" s="93">
        <f>'Economic Forecasts'!W$21</f>
        <v>414.17</v>
      </c>
      <c r="K205" s="93">
        <f>'Economic Forecasts'!X$21</f>
        <v>427.04</v>
      </c>
      <c r="L205" s="73">
        <f>'Economic Forecasts'!Y$21</f>
        <v>441.99</v>
      </c>
      <c r="M205" s="73">
        <f>'Economic Forecasts'!Z$21</f>
        <v>449.95</v>
      </c>
      <c r="N205" s="73">
        <f>'Economic Forecasts'!AA$21</f>
        <v>459.4</v>
      </c>
      <c r="O205" s="73">
        <f>'Economic Forecasts'!AB$21</f>
        <v>471.56</v>
      </c>
      <c r="P205" s="73">
        <f>'Economic Forecasts'!AC$21</f>
        <v>485.59</v>
      </c>
      <c r="Q205" s="72">
        <f ca="1">IF(2*P$205*(1+Q$29)&gt;OFFSET(Assumptions!$B$36,0,$C$1)*Q$203,OFFSET(Assumptions!$B$36,0,$C$1)*Q$203,IF(2*P$205*(1+Q$29)&lt;OFFSET(Assumptions!$B$35,0,$C$1)*Q$203,OFFSET(Assumptions!$B$35,0,$C$1)*Q$203,2*P$205*(1+Q$29)))/2</f>
        <v>500.71890000000002</v>
      </c>
      <c r="R205" s="72">
        <f ca="1">IF(2*Q$205*(1+R$29)&gt;OFFSET(Assumptions!$B$36,0,$C$1)*R$203,OFFSET(Assumptions!$B$36,0,$C$1)*R$203,IF(2*Q$205*(1+R$29)&lt;OFFSET(Assumptions!$B$35,0,$C$1)*R$203,OFFSET(Assumptions!$B$35,0,$C$1)*R$203,2*Q$205*(1+R$29)))/2</f>
        <v>516.08040000000005</v>
      </c>
      <c r="S205" s="72">
        <f ca="1">IF(2*R$205*(1+S$29)&gt;OFFSET(Assumptions!$B$36,0,$C$1)*S$203,OFFSET(Assumptions!$B$36,0,$C$1)*S$203,IF(2*R$205*(1+S$29)&lt;OFFSET(Assumptions!$B$35,0,$C$1)*S$203,OFFSET(Assumptions!$B$35,0,$C$1)*S$203,2*R$205*(1+S$29)))/2</f>
        <v>531.66629999999998</v>
      </c>
      <c r="T205" s="72">
        <f ca="1">IF(2*S$205*(1+T$29)&gt;OFFSET(Assumptions!$B$36,0,$C$1)*T$203,OFFSET(Assumptions!$B$36,0,$C$1)*T$203,IF(2*S$205*(1+T$29)&lt;OFFSET(Assumptions!$B$35,0,$C$1)*T$203,OFFSET(Assumptions!$B$35,0,$C$1)*T$203,2*S$205*(1+T$29)))/2</f>
        <v>547.72410000000002</v>
      </c>
      <c r="U205" s="72">
        <f ca="1">IF(2*T$205*(1+U$29)&gt;OFFSET(Assumptions!$B$36,0,$C$1)*U$203,OFFSET(Assumptions!$B$36,0,$C$1)*U$203,IF(2*T$205*(1+U$29)&lt;OFFSET(Assumptions!$B$35,0,$C$1)*U$203,OFFSET(Assumptions!$B$35,0,$C$1)*U$203,2*T$205*(1+U$29)))/2</f>
        <v>564.26700000000005</v>
      </c>
      <c r="V205" s="72">
        <f ca="1">IF(2*U$205*(1+V$29)&gt;OFFSET(Assumptions!$B$36,0,$C$1)*V$203,OFFSET(Assumptions!$B$36,0,$C$1)*V$203,IF(2*U$205*(1+V$29)&lt;OFFSET(Assumptions!$B$35,0,$C$1)*V$203,OFFSET(Assumptions!$B$35,0,$C$1)*V$203,2*U$205*(1+V$29)))/2</f>
        <v>581.30820000000006</v>
      </c>
      <c r="W205" s="72">
        <f ca="1">IF(2*V$205*(1+W$29)&gt;OFFSET(Assumptions!$B$36,0,$C$1)*W$203,OFFSET(Assumptions!$B$36,0,$C$1)*W$203,IF(2*V$205*(1+W$29)&lt;OFFSET(Assumptions!$B$35,0,$C$1)*W$203,OFFSET(Assumptions!$B$35,0,$C$1)*W$203,2*V$205*(1+W$29)))/2</f>
        <v>598.86419999999998</v>
      </c>
      <c r="X205" s="72">
        <f ca="1">IF(2*W$205*(1+X$29)&gt;OFFSET(Assumptions!$B$36,0,$C$1)*X$203,OFFSET(Assumptions!$B$36,0,$C$1)*X$203,IF(2*W$205*(1+X$29)&lt;OFFSET(Assumptions!$B$35,0,$C$1)*X$203,OFFSET(Assumptions!$B$35,0,$C$1)*X$203,2*W$205*(1+X$29)))/2</f>
        <v>616.95150000000001</v>
      </c>
      <c r="Y205" s="72">
        <f ca="1">IF(2*X$205*(1+Y$29)&gt;OFFSET(Assumptions!$B$36,0,$C$1)*Y$203,OFFSET(Assumptions!$B$36,0,$C$1)*Y$203,IF(2*X$205*(1+Y$29)&lt;OFFSET(Assumptions!$B$35,0,$C$1)*Y$203,OFFSET(Assumptions!$B$35,0,$C$1)*Y$203,2*X$205*(1+Y$29)))/2</f>
        <v>635.58330000000001</v>
      </c>
      <c r="Z205" s="72">
        <f ca="1">IF(2*Y$205*(1+Z$29)&gt;OFFSET(Assumptions!$B$36,0,$C$1)*Z$203,OFFSET(Assumptions!$B$36,0,$C$1)*Z$203,IF(2*Y$205*(1+Z$29)&lt;OFFSET(Assumptions!$B$35,0,$C$1)*Z$203,OFFSET(Assumptions!$B$35,0,$C$1)*Z$203,2*Y$205*(1+Z$29)))/2</f>
        <v>654.77940000000001</v>
      </c>
    </row>
    <row r="207" spans="1:26" x14ac:dyDescent="0.25">
      <c r="A207" s="11" t="s">
        <v>871</v>
      </c>
    </row>
    <row r="208" spans="1:26" x14ac:dyDescent="0.25">
      <c r="A208" s="11" t="s">
        <v>1253</v>
      </c>
      <c r="B208" s="14" t="str">
        <f>$B$38</f>
        <v>From Fiscal Forecasts</v>
      </c>
      <c r="D208" s="51">
        <f>'Fiscal Forecasts'!D$171</f>
        <v>7.7939999999999996</v>
      </c>
      <c r="E208" s="51">
        <f>'Fiscal Forecasts'!E$171</f>
        <v>8.48</v>
      </c>
      <c r="F208" s="51">
        <f>'Fiscal Forecasts'!F$171</f>
        <v>9.3580000000000005</v>
      </c>
      <c r="G208" s="51">
        <f>'Fiscal Forecasts'!G$171</f>
        <v>9.9450000000000003</v>
      </c>
      <c r="H208" s="51">
        <f>'Fiscal Forecasts'!H$171</f>
        <v>10.449</v>
      </c>
      <c r="I208" s="51">
        <f>'Fiscal Forecasts'!I$171</f>
        <v>11.26</v>
      </c>
      <c r="J208" s="51">
        <f>'Fiscal Forecasts'!J$171</f>
        <v>11.185</v>
      </c>
      <c r="K208" s="51">
        <f>'Fiscal Forecasts'!K$171</f>
        <v>11.682</v>
      </c>
      <c r="L208" s="47">
        <f>'Fiscal Forecasts'!L$171</f>
        <v>12.255000000000001</v>
      </c>
      <c r="M208" s="47">
        <f>'Fiscal Forecasts'!M$171</f>
        <v>12.164999999999999</v>
      </c>
      <c r="N208" s="47">
        <f>'Fiscal Forecasts'!N$171</f>
        <v>12.157999999999999</v>
      </c>
      <c r="O208" s="47">
        <f>'Fiscal Forecasts'!O$171</f>
        <v>12.071</v>
      </c>
      <c r="P208" s="47">
        <f>'Fiscal Forecasts'!P$171</f>
        <v>12.128</v>
      </c>
      <c r="Q208" s="21">
        <f ca="1">SUM(Q$252,IF(Q$6=OFFSET(Assumptions!$B$8,0,$C$1),AVERAGE((N$208-N$252)/SUM(N$208,N$215,N$223,-N$252,-N$324),(O$208-O$252)/SUM(O$208,O$215,O$223,-O$252,-O$324),(P$208-P$252)/SUM(P$208,P$215,P$223,-P$252,-P$324)),(P$208-P$252)/SUM(P$208,P$215,P$223,-P$252,-P$324))*(Q$323-Q$256-Q$264))</f>
        <v>14.493526866713411</v>
      </c>
      <c r="R208" s="21">
        <f ca="1">SUM(R$252,IF(R$6=OFFSET(Assumptions!$B$8,0,$C$1),AVERAGE((O$208-O$252)/SUM(O$208,O$215,O$223,-O$252,-O$324),(P$208-P$252)/SUM(P$208,P$215,P$223,-P$252,-P$324),(Q$208-Q$252)/SUM(Q$208,Q$215,Q$223,-Q$252,-Q$324)),(Q$208-Q$252)/SUM(Q$208,Q$215,Q$223,-Q$252,-Q$324))*(R$323-R$256-R$264))</f>
        <v>15.533064221964711</v>
      </c>
      <c r="S208" s="21">
        <f ca="1">SUM(S$252,IF(S$6=OFFSET(Assumptions!$B$8,0,$C$1),AVERAGE((P$208-P$252)/SUM(P$208,P$215,P$223,-P$252,-P$324),(Q$208-Q$252)/SUM(Q$208,Q$215,Q$223,-Q$252,-Q$324),(R$208-R$252)/SUM(R$208,R$215,R$223,-R$252,-R$324)),(R$208-R$252)/SUM(R$208,R$215,R$223,-R$252,-R$324))*(S$323-S$256-S$264))</f>
        <v>16.35088204875543</v>
      </c>
      <c r="T208" s="21">
        <f ca="1">SUM(T$252,IF(T$6=OFFSET(Assumptions!$B$8,0,$C$1),AVERAGE((Q$208-Q$252)/SUM(Q$208,Q$215,Q$223,-Q$252,-Q$324),(R$208-R$252)/SUM(R$208,R$215,R$223,-R$252,-R$324),(S$208-S$252)/SUM(S$208,S$215,S$223,-S$252,-S$324)),(S$208-S$252)/SUM(S$208,S$215,S$223,-S$252,-S$324))*(T$323-T$256-T$264))</f>
        <v>17.065098237193741</v>
      </c>
      <c r="U208" s="21">
        <f ca="1">SUM(U$252,IF(U$6=OFFSET(Assumptions!$B$8,0,$C$1),AVERAGE((R$208-R$252)/SUM(R$208,R$215,R$223,-R$252,-R$324),(S$208-S$252)/SUM(S$208,S$215,S$223,-S$252,-S$324),(T$208-T$252)/SUM(T$208,T$215,T$223,-T$252,-T$324)),(T$208-T$252)/SUM(T$208,T$215,T$223,-T$252,-T$324))*(U$323-U$256-U$264))</f>
        <v>17.759889327715548</v>
      </c>
      <c r="V208" s="21">
        <f ca="1">SUM(V$252,IF(V$6=OFFSET(Assumptions!$B$8,0,$C$1),AVERAGE((S$208-S$252)/SUM(S$208,S$215,S$223,-S$252,-S$324),(T$208-T$252)/SUM(T$208,T$215,T$223,-T$252,-T$324),(U$208-U$252)/SUM(U$208,U$215,U$223,-U$252,-U$324)),(U$208-U$252)/SUM(U$208,U$215,U$223,-U$252,-U$324))*(V$323-V$256-V$264))</f>
        <v>18.478406928233966</v>
      </c>
      <c r="W208" s="21">
        <f ca="1">SUM(W$252,IF(W$6=OFFSET(Assumptions!$B$8,0,$C$1),AVERAGE((T$208-T$252)/SUM(T$208,T$215,T$223,-T$252,-T$324),(U$208-U$252)/SUM(U$208,U$215,U$223,-U$252,-U$324),(V$208-V$252)/SUM(V$208,V$215,V$223,-V$252,-V$324)),(V$208-V$252)/SUM(V$208,V$215,V$223,-V$252,-V$324))*(W$323-W$256-W$264))</f>
        <v>19.216891413577077</v>
      </c>
      <c r="X208" s="21">
        <f ca="1">SUM(X$252,IF(X$6=OFFSET(Assumptions!$B$8,0,$C$1),AVERAGE((U$208-U$252)/SUM(U$208,U$215,U$223,-U$252,-U$324),(V$208-V$252)/SUM(V$208,V$215,V$223,-V$252,-V$324),(W$208-W$252)/SUM(W$208,W$215,W$223,-W$252,-W$324)),(W$208-W$252)/SUM(W$208,W$215,W$223,-W$252,-W$324))*(X$323-X$256-X$264))</f>
        <v>19.976702212931858</v>
      </c>
      <c r="Y208" s="21">
        <f ca="1">SUM(Y$252,IF(Y$6=OFFSET(Assumptions!$B$8,0,$C$1),AVERAGE((V$208-V$252)/SUM(V$208,V$215,V$223,-V$252,-V$324),(W$208-W$252)/SUM(W$208,W$215,W$223,-W$252,-W$324),(X$208-X$252)/SUM(X$208,X$215,X$223,-X$252,-X$324)),(X$208-X$252)/SUM(X$208,X$215,X$223,-X$252,-X$324))*(Y$323-Y$256-Y$264))</f>
        <v>20.762073049273393</v>
      </c>
      <c r="Z208" s="21">
        <f ca="1">SUM(Z$252,IF(Z$6=OFFSET(Assumptions!$B$8,0,$C$1),AVERAGE((W$208-W$252)/SUM(W$208,W$215,W$223,-W$252,-W$324),(X$208-X$252)/SUM(X$208,X$215,X$223,-X$252,-X$324),(Y$208-Y$252)/SUM(Y$208,Y$215,Y$223,-Y$252,-Y$324)),(Y$208-Y$252)/SUM(Y$208,Y$215,Y$223,-Y$252,-Y$324))*(Z$323-Z$256-Z$264))</f>
        <v>21.572957656219472</v>
      </c>
    </row>
    <row r="209" spans="1:26" x14ac:dyDescent="0.25">
      <c r="A209" s="12" t="s">
        <v>1020</v>
      </c>
      <c r="B209" s="14" t="str">
        <f>$B$38</f>
        <v>From Fiscal Forecasts</v>
      </c>
      <c r="D209" s="50">
        <f>'Fiscal Forecasts'!D$255</f>
        <v>15.085000000000001</v>
      </c>
      <c r="E209" s="50">
        <f>'Fiscal Forecasts'!E$255</f>
        <v>16.317</v>
      </c>
      <c r="F209" s="50">
        <f>'Fiscal Forecasts'!F$255</f>
        <v>17.928999999999998</v>
      </c>
      <c r="G209" s="50">
        <f>'Fiscal Forecasts'!G$255</f>
        <v>19.896999999999998</v>
      </c>
      <c r="H209" s="50">
        <f>'Fiscal Forecasts'!H$255</f>
        <v>22.326000000000001</v>
      </c>
      <c r="I209" s="50">
        <f>'Fiscal Forecasts'!I$255</f>
        <v>24.337</v>
      </c>
      <c r="J209" s="50">
        <f>'Fiscal Forecasts'!J$255</f>
        <v>23.951000000000001</v>
      </c>
      <c r="K209" s="50">
        <f>'Fiscal Forecasts'!K$255</f>
        <v>25.045000000000002</v>
      </c>
      <c r="L209" s="48">
        <f>'Fiscal Forecasts'!L$255</f>
        <v>25.934999999999999</v>
      </c>
      <c r="M209" s="48">
        <f>'Fiscal Forecasts'!M$255</f>
        <v>25.988</v>
      </c>
      <c r="N209" s="48">
        <f>'Fiscal Forecasts'!N$255</f>
        <v>25.992999999999999</v>
      </c>
      <c r="O209" s="48">
        <f>'Fiscal Forecasts'!O$255</f>
        <v>26.021999999999998</v>
      </c>
      <c r="P209" s="48">
        <f>'Fiscal Forecasts'!P$255</f>
        <v>26.100999999999999</v>
      </c>
      <c r="Q209" s="20">
        <f ca="1">SUM(Q$253-Q$252,IF(Q$6=OFFSET(Assumptions!$B$8,0,$C$1),AVERAGE(SUM(N$209,-(N$253-N$252))/SUM(N$209,-(N$253-N$252),N$216,N$224),(O$209-(O$253-O$252))/SUM(O$209,-(O$253-O$252),O$216,O$224),(P$209-(P$253-P$252))/SUM(P$209,-(P$253-P$252),P$216,P$224)),(P$209-(P$253-P$252))/SUM(P$209,-(P$253-P$252),P$216,P$224))*SUM(Q$198-Q$239,Q$257,Q$266,Q$284,Q$326,-(Q$253-Q$252)))</f>
        <v>27.547659153290081</v>
      </c>
      <c r="R209" s="20">
        <f ca="1">SUM(R$253-R$252,IF(R$6=OFFSET(Assumptions!$B$8,0,$C$1),AVERAGE(SUM(O$209,-(O$253-O$252))/SUM(O$209,-(O$253-O$252),O$216,O$224),(P$209-(P$253-P$252))/SUM(P$209,-(P$253-P$252),P$216,P$224),(Q$209-(Q$253-Q$252))/SUM(Q$209,-(Q$253-Q$252),Q$216,Q$224)),(Q$209-(Q$253-Q$252))/SUM(Q$209,-(Q$253-Q$252),Q$216,Q$224))*SUM(R$198-R$239,R$257,R$266,R$284,R$326,-(R$253-R$252)))</f>
        <v>28.998109278610897</v>
      </c>
      <c r="S209" s="20">
        <f ca="1">SUM(S$253-S$252,IF(S$6=OFFSET(Assumptions!$B$8,0,$C$1),AVERAGE(SUM(P$209,-(P$253-P$252))/SUM(P$209,-(P$253-P$252),P$216,P$224),(Q$209-(Q$253-Q$252))/SUM(Q$209,-(Q$253-Q$252),Q$216,Q$224),(R$209-(R$253-R$252))/SUM(R$209,-(R$253-R$252),R$216,R$224)),(R$209-(R$253-R$252))/SUM(R$209,-(R$253-R$252),R$216,R$224))*SUM(S$198-S$239,S$257,S$266,S$284,S$326,-(S$253-S$252)))</f>
        <v>30.367662244296319</v>
      </c>
      <c r="T209" s="20">
        <f ca="1">SUM(T$253-T$252,IF(T$6=OFFSET(Assumptions!$B$8,0,$C$1),AVERAGE(SUM(Q$209,-(Q$253-Q$252))/SUM(Q$209,-(Q$253-Q$252),Q$216,Q$224),(R$209-(R$253-R$252))/SUM(R$209,-(R$253-R$252),R$216,R$224),(S$209-(S$253-S$252))/SUM(S$209,-(S$253-S$252),S$216,S$224)),(S$209-(S$253-S$252))/SUM(S$209,-(S$253-S$252),S$216,S$224))*SUM(T$198-T$239,T$257,T$266,T$284,T$326,-(T$253-T$252)))</f>
        <v>31.864920395680219</v>
      </c>
      <c r="U209" s="20">
        <f ca="1">SUM(U$253-U$252,IF(U$6=OFFSET(Assumptions!$B$8,0,$C$1),AVERAGE(SUM(R$209,-(R$253-R$252))/SUM(R$209,-(R$253-R$252),R$216,R$224),(S$209-(S$253-S$252))/SUM(S$209,-(S$253-S$252),S$216,S$224),(T$209-(T$253-T$252))/SUM(T$209,-(T$253-T$252),T$216,T$224)),(T$209-(T$253-T$252))/SUM(T$209,-(T$253-T$252),T$216,T$224))*SUM(U$198-U$239,U$257,U$266,U$284,U$326,-(U$253-U$252)))</f>
        <v>33.462601911386976</v>
      </c>
      <c r="V209" s="20">
        <f ca="1">SUM(V$253-V$252,IF(V$6=OFFSET(Assumptions!$B$8,0,$C$1),AVERAGE(SUM(S$209,-(S$253-S$252))/SUM(S$209,-(S$253-S$252),S$216,S$224),(T$209-(T$253-T$252))/SUM(T$209,-(T$253-T$252),T$216,T$224),(U$209-(U$253-U$252))/SUM(U$209,-(U$253-U$252),U$216,U$224)),(U$209-(U$253-U$252))/SUM(U$209,-(U$253-U$252),U$216,U$224))*SUM(V$198-V$239,V$257,V$266,V$284,V$326,-(V$253-V$252)))</f>
        <v>35.120875655793107</v>
      </c>
      <c r="W209" s="20">
        <f ca="1">SUM(W$253-W$252,IF(W$6=OFFSET(Assumptions!$B$8,0,$C$1),AVERAGE(SUM(T$209,-(T$253-T$252))/SUM(T$209,-(T$253-T$252),T$216,T$224),(U$209-(U$253-U$252))/SUM(U$209,-(U$253-U$252),U$216,U$224),(V$209-(V$253-V$252))/SUM(V$209,-(V$253-V$252),V$216,V$224)),(V$209-(V$253-V$252))/SUM(V$209,-(V$253-V$252),V$216,V$224))*SUM(W$198-W$239,W$257,W$266,W$284,W$326,-(W$253-W$252)))</f>
        <v>36.843653906048701</v>
      </c>
      <c r="X209" s="20">
        <f ca="1">SUM(X$253-X$252,IF(X$6=OFFSET(Assumptions!$B$8,0,$C$1),AVERAGE(SUM(U$209,-(U$253-U$252))/SUM(U$209,-(U$253-U$252),U$216,U$224),(V$209-(V$253-V$252))/SUM(V$209,-(V$253-V$252),V$216,V$224),(W$209-(W$253-W$252))/SUM(W$209,-(W$253-W$252),W$216,W$224)),(W$209-(W$253-W$252))/SUM(W$209,-(W$253-W$252),W$216,W$224))*SUM(X$198-X$239,X$257,X$266,X$284,X$326,-(X$253-X$252)))</f>
        <v>38.644649804955421</v>
      </c>
      <c r="Y209" s="20">
        <f ca="1">SUM(Y$253-Y$252,IF(Y$6=OFFSET(Assumptions!$B$8,0,$C$1),AVERAGE(SUM(V$209,-(V$253-V$252))/SUM(V$209,-(V$253-V$252),V$216,V$224),(W$209-(W$253-W$252))/SUM(W$209,-(W$253-W$252),W$216,W$224),(X$209-(X$253-X$252))/SUM(X$209,-(X$253-X$252),X$216,X$224)),(X$209-(X$253-X$252))/SUM(X$209,-(X$253-X$252),X$216,X$224))*SUM(Y$198-Y$239,Y$257,Y$266,Y$284,Y$326,-(Y$253-Y$252)))</f>
        <v>40.52005925451364</v>
      </c>
      <c r="Z209" s="20">
        <f ca="1">SUM(Z$253-Z$252,IF(Z$6=OFFSET(Assumptions!$B$8,0,$C$1),AVERAGE(SUM(W$209,-(W$253-W$252))/SUM(W$209,-(W$253-W$252),W$216,W$224),(X$209-(X$253-X$252))/SUM(X$209,-(X$253-X$252),X$216,X$224),(Y$209-(Y$253-Y$252))/SUM(Y$209,-(Y$253-Y$252),Y$216,Y$224)),(Y$209-(Y$253-Y$252))/SUM(Y$209,-(Y$253-Y$252),Y$216,Y$224))*SUM(Z$198-Z$239,Z$257,Z$266,Z$284,Z$326,-(Z$253-Z$252)))</f>
        <v>42.491122307098507</v>
      </c>
    </row>
    <row r="210" spans="1:26" x14ac:dyDescent="0.25">
      <c r="A210" s="12" t="s">
        <v>1227</v>
      </c>
      <c r="B210" s="14" t="str">
        <f>$B$38</f>
        <v>From Fiscal Forecasts</v>
      </c>
      <c r="D210" s="50">
        <f>'Fiscal Forecasts'!D$256</f>
        <v>3.0960000000000001</v>
      </c>
      <c r="E210" s="50">
        <f>'Fiscal Forecasts'!E$256</f>
        <v>3.0230000000000001</v>
      </c>
      <c r="F210" s="50">
        <f>'Fiscal Forecasts'!F$256</f>
        <v>2.5819999999999999</v>
      </c>
      <c r="G210" s="50">
        <f>'Fiscal Forecasts'!G$256</f>
        <v>2.8610000000000002</v>
      </c>
      <c r="H210" s="50">
        <f>'Fiscal Forecasts'!H$256</f>
        <v>3.33</v>
      </c>
      <c r="I210" s="50">
        <f>'Fiscal Forecasts'!I$256</f>
        <v>3.5459999999999998</v>
      </c>
      <c r="J210" s="50">
        <f>'Fiscal Forecasts'!J$256</f>
        <v>3.6970000000000001</v>
      </c>
      <c r="K210" s="50">
        <f>'Fiscal Forecasts'!K$256</f>
        <v>3.78</v>
      </c>
      <c r="L210" s="48">
        <f>'Fiscal Forecasts'!L$256</f>
        <v>3.78</v>
      </c>
      <c r="M210" s="48">
        <f>'Fiscal Forecasts'!M$256</f>
        <v>3.919</v>
      </c>
      <c r="N210" s="48">
        <f>'Fiscal Forecasts'!N$256</f>
        <v>3.9769999999999999</v>
      </c>
      <c r="O210" s="48">
        <f>'Fiscal Forecasts'!O$256</f>
        <v>4.069</v>
      </c>
      <c r="P210" s="48">
        <f>'Fiscal Forecasts'!P$256</f>
        <v>4.1559999999999997</v>
      </c>
      <c r="Q210" s="20">
        <f ca="1">IF(Q$6=OFFSET(Assumptions!$B$8,0,$C$1),AVERAGE(N$210/SUM(N$210,N$217,N$225),O$210/SUM(O$210,O$217,O$225),P$210/SUM(P$210,P$217,P$225)),P$210/SUM(P$210,P$217,P$225))*SUM(Q$285,Q$327-Q$240)</f>
        <v>4.3100930061910061</v>
      </c>
      <c r="R210" s="20">
        <f ca="1">IF(R$6=OFFSET(Assumptions!$B$8,0,$C$1),AVERAGE(O$210/SUM(O$210,O$217,O$225),P$210/SUM(P$210,P$217,P$225),Q$210/SUM(Q$210,Q$217,Q$225)),Q$210/SUM(Q$210,Q$217,Q$225))*SUM(R$285,R$327-R$240)</f>
        <v>4.4715203113486384</v>
      </c>
      <c r="S210" s="20">
        <f ca="1">IF(S$6=OFFSET(Assumptions!$B$8,0,$C$1),AVERAGE(P$210/SUM(P$210,P$217,P$225),Q$210/SUM(Q$210,Q$217,Q$225),R$210/SUM(R$210,R$217,R$225)),R$210/SUM(R$210,R$217,R$225))*SUM(S$285,S$327-S$240)</f>
        <v>4.6368891345414802</v>
      </c>
      <c r="T210" s="20">
        <f ca="1">IF(T$6=OFFSET(Assumptions!$B$8,0,$C$1),AVERAGE(Q$210/SUM(Q$210,Q$217,Q$225),R$210/SUM(R$210,R$217,R$225),S$210/SUM(S$210,S$217,S$225)),S$210/SUM(S$210,S$217,S$225))*SUM(T$285,T$327-T$240)</f>
        <v>4.8052988052163998</v>
      </c>
      <c r="U210" s="20">
        <f ca="1">IF(U$6=OFFSET(Assumptions!$B$8,0,$C$1),AVERAGE(R$210/SUM(R$210,R$217,R$225),S$210/SUM(S$210,S$217,S$225),T$210/SUM(T$210,T$217,T$225)),T$210/SUM(T$210,T$217,T$225))*SUM(U$285,U$327-U$240)</f>
        <v>4.9791277611662768</v>
      </c>
      <c r="V210" s="20">
        <f ca="1">IF(V$6=OFFSET(Assumptions!$B$8,0,$C$1),AVERAGE(S$210/SUM(S$210,S$217,S$225),T$210/SUM(T$210,T$217,T$225),U$210/SUM(U$210,U$217,U$225)),U$210/SUM(U$210,U$217,U$225))*SUM(V$285,V$327-V$240)</f>
        <v>5.1577713922250954</v>
      </c>
      <c r="W210" s="20">
        <f ca="1">IF(W$6=OFFSET(Assumptions!$B$8,0,$C$1),AVERAGE(T$210/SUM(T$210,T$217,T$225),U$210/SUM(U$210,U$217,U$225),V$210/SUM(V$210,V$217,V$225)),V$210/SUM(V$210,V$217,V$225))*SUM(W$285,W$327-W$240)</f>
        <v>5.3387677771021886</v>
      </c>
      <c r="X210" s="20">
        <f ca="1">IF(X$6=OFFSET(Assumptions!$B$8,0,$C$1),AVERAGE(U$210/SUM(U$210,U$217,U$225),V$210/SUM(V$210,V$217,V$225),W$210/SUM(W$210,W$217,W$225)),W$210/SUM(W$210,W$217,W$225))*SUM(X$285,X$327-X$240)</f>
        <v>5.5243790951551919</v>
      </c>
      <c r="Y210" s="20">
        <f ca="1">IF(Y$6=OFFSET(Assumptions!$B$8,0,$C$1),AVERAGE(V$210/SUM(V$210,V$217,V$225),W$210/SUM(W$210,W$217,W$225),X$210/SUM(X$210,X$217,X$225)),X$210/SUM(X$210,X$217,X$225))*SUM(Y$285,Y$327-Y$240)</f>
        <v>5.7159346085901293</v>
      </c>
      <c r="Z210" s="20">
        <f ca="1">IF(Z$6=OFFSET(Assumptions!$B$8,0,$C$1),AVERAGE(W$210/SUM(W$210,W$217,W$225),X$210/SUM(X$210,X$217,X$225),Y$210/SUM(Y$210,Y$217,Y$225)),Y$210/SUM(Y$210,Y$217,Y$225))*SUM(Z$285,Z$327-Z$240)</f>
        <v>5.9128452821928761</v>
      </c>
    </row>
    <row r="211" spans="1:26" x14ac:dyDescent="0.25">
      <c r="A211" s="12" t="s">
        <v>1228</v>
      </c>
      <c r="B211" s="14" t="str">
        <f>$B$38</f>
        <v>From Fiscal Forecasts</v>
      </c>
      <c r="D211" s="50">
        <f>'Fiscal Forecasts'!D$257</f>
        <v>-4.2000000000000003E-2</v>
      </c>
      <c r="E211" s="50">
        <f>'Fiscal Forecasts'!E$257</f>
        <v>-4.4999999999999998E-2</v>
      </c>
      <c r="F211" s="50">
        <f>'Fiscal Forecasts'!F$257</f>
        <v>-5.1999999999999998E-2</v>
      </c>
      <c r="G211" s="50">
        <f>'Fiscal Forecasts'!G$257</f>
        <v>-5.5E-2</v>
      </c>
      <c r="H211" s="50">
        <f>'Fiscal Forecasts'!H$257</f>
        <v>-5.2999999999999999E-2</v>
      </c>
      <c r="I211" s="50">
        <f>'Fiscal Forecasts'!I$257</f>
        <v>-0.06</v>
      </c>
      <c r="J211" s="50">
        <f>'Fiscal Forecasts'!J$257</f>
        <v>-6.2E-2</v>
      </c>
      <c r="K211" s="50">
        <f>'Fiscal Forecasts'!K$257</f>
        <v>-7.3999999999999996E-2</v>
      </c>
      <c r="L211" s="48">
        <f>'Fiscal Forecasts'!L$257</f>
        <v>-5.7000000000000002E-2</v>
      </c>
      <c r="M211" s="48">
        <f>'Fiscal Forecasts'!M$257</f>
        <v>-5.8000000000000003E-2</v>
      </c>
      <c r="N211" s="48">
        <f>'Fiscal Forecasts'!N$257</f>
        <v>-0.06</v>
      </c>
      <c r="O211" s="48">
        <f>'Fiscal Forecasts'!O$257</f>
        <v>-0.06</v>
      </c>
      <c r="P211" s="48">
        <f>'Fiscal Forecasts'!P$257</f>
        <v>-6.0999999999999999E-2</v>
      </c>
      <c r="Q211" s="20">
        <f ca="1">IF(Q$6=OFFSET(Assumptions!$B$8,0,$C$1),AVERAGE(N$211/SUM(N$211,N$226),O$211/SUM(O$211,O$226),P$211/SUM(P$211,P$226)),P$211/SUM(P$211,P$226))*SUM(Q$199,Q$258,Q$267,Q$286,Q$328)</f>
        <v>-6.6065867485160371E-2</v>
      </c>
      <c r="R211" s="20">
        <f ca="1">IF(R$6=OFFSET(Assumptions!$B$8,0,$C$1),AVERAGE(O$211/SUM(O$211,O$226),P$211/SUM(P$211,P$226),Q$211/SUM(Q$211,Q$226)),Q$211/SUM(Q$211,Q$226))*SUM(R$199,R$258,R$267,R$286,R$328)</f>
        <v>-6.9819813573228126E-2</v>
      </c>
      <c r="S211" s="20">
        <f ca="1">IF(S$6=OFFSET(Assumptions!$B$8,0,$C$1),AVERAGE(P$211/SUM(P$211,P$226),Q$211/SUM(Q$211,Q$226),R$211/SUM(R$211,R$226)),R$211/SUM(R$211,R$226))*SUM(S$199,S$258,S$267,S$286,S$328)</f>
        <v>-7.33864944347703E-2</v>
      </c>
      <c r="T211" s="20">
        <f ca="1">IF(T$6=OFFSET(Assumptions!$B$8,0,$C$1),AVERAGE(Q$211/SUM(Q$211,Q$226),R$211/SUM(R$211,R$226),S$211/SUM(S$211,S$226)),S$211/SUM(S$211,S$226))*SUM(T$199,T$258,T$267,T$286,T$328)</f>
        <v>-7.7317248356105844E-2</v>
      </c>
      <c r="U211" s="20">
        <f ca="1">IF(U$6=OFFSET(Assumptions!$B$8,0,$C$1),AVERAGE(R$211/SUM(R$211,R$226),S$211/SUM(S$211,S$226),T$211/SUM(T$211,T$226)),T$211/SUM(T$211,T$226))*SUM(U$199,U$258,U$267,U$286,U$328)</f>
        <v>-8.1522772647759728E-2</v>
      </c>
      <c r="V211" s="20">
        <f ca="1">IF(V$6=OFFSET(Assumptions!$B$8,0,$C$1),AVERAGE(S$211/SUM(S$211,S$226),T$211/SUM(T$211,T$226),U$211/SUM(U$211,U$226)),U$211/SUM(U$211,U$226))*SUM(V$199,V$258,V$267,V$286,V$328)</f>
        <v>-8.5724682048877524E-2</v>
      </c>
      <c r="W211" s="20">
        <f ca="1">IF(W$6=OFFSET(Assumptions!$B$8,0,$C$1),AVERAGE(T$211/SUM(T$211,T$226),U$211/SUM(U$211,U$226),V$211/SUM(V$211,V$226)),V$211/SUM(V$211,V$226))*SUM(W$199,W$258,W$267,W$286,W$328)</f>
        <v>-9.003530584662893E-2</v>
      </c>
      <c r="X211" s="20">
        <f ca="1">IF(X$6=OFFSET(Assumptions!$B$8,0,$C$1),AVERAGE(U$211/SUM(U$211,U$226),V$211/SUM(V$211,V$226),W$211/SUM(W$211,W$226)),W$211/SUM(W$211,W$226))*SUM(X$199,X$258,X$267,X$286,X$328)</f>
        <v>-9.4546745460038495E-2</v>
      </c>
      <c r="Y211" s="20">
        <f ca="1">IF(Y$6=OFFSET(Assumptions!$B$8,0,$C$1),AVERAGE(V$211/SUM(V$211,V$226),W$211/SUM(W$211,W$226),X$211/SUM(X$211,X$226)),X$211/SUM(X$211,X$226))*SUM(Y$199,Y$258,Y$267,Y$286,Y$328)</f>
        <v>-9.9261303107814725E-2</v>
      </c>
      <c r="Z211" s="20">
        <f ca="1">IF(Z$6=OFFSET(Assumptions!$B$8,0,$C$1),AVERAGE(W$211/SUM(W$211,W$226),X$211/SUM(X$211,X$226),Y$211/SUM(Y$211,Y$226)),Y$211/SUM(Y$211,Y$226))*SUM(Z$199,Z$258,Z$267,Z$286,Z$328)</f>
        <v>-0.10421082849296917</v>
      </c>
    </row>
    <row r="212" spans="1:26" x14ac:dyDescent="0.25">
      <c r="A212" s="11" t="s">
        <v>1254</v>
      </c>
      <c r="D212" s="94">
        <f t="shared" ref="D212:Z212" si="136">SUM(D$208:D$211)</f>
        <v>25.933</v>
      </c>
      <c r="E212" s="94">
        <f t="shared" si="136"/>
        <v>27.774999999999999</v>
      </c>
      <c r="F212" s="94">
        <f t="shared" si="136"/>
        <v>29.817</v>
      </c>
      <c r="G212" s="94">
        <f t="shared" si="136"/>
        <v>32.647999999999996</v>
      </c>
      <c r="H212" s="94">
        <f t="shared" si="136"/>
        <v>36.052</v>
      </c>
      <c r="I212" s="94">
        <f t="shared" si="136"/>
        <v>39.082999999999998</v>
      </c>
      <c r="J212" s="94">
        <f t="shared" si="136"/>
        <v>38.771000000000008</v>
      </c>
      <c r="K212" s="94">
        <f t="shared" si="136"/>
        <v>40.433000000000007</v>
      </c>
      <c r="L212" s="95">
        <f t="shared" si="136"/>
        <v>41.912999999999997</v>
      </c>
      <c r="M212" s="95">
        <f t="shared" si="136"/>
        <v>42.013999999999996</v>
      </c>
      <c r="N212" s="95">
        <f t="shared" si="136"/>
        <v>42.067999999999991</v>
      </c>
      <c r="O212" s="95">
        <f t="shared" si="136"/>
        <v>42.101999999999997</v>
      </c>
      <c r="P212" s="95">
        <f t="shared" si="136"/>
        <v>42.323999999999998</v>
      </c>
      <c r="Q212" s="96">
        <f t="shared" ca="1" si="136"/>
        <v>46.28521315870934</v>
      </c>
      <c r="R212" s="96">
        <f t="shared" ca="1" si="136"/>
        <v>48.93287399835102</v>
      </c>
      <c r="S212" s="96">
        <f t="shared" ca="1" si="136"/>
        <v>51.282046933158455</v>
      </c>
      <c r="T212" s="96">
        <f t="shared" ca="1" si="136"/>
        <v>53.65800018973426</v>
      </c>
      <c r="U212" s="96">
        <f t="shared" ca="1" si="136"/>
        <v>56.12009622762104</v>
      </c>
      <c r="V212" s="96">
        <f t="shared" ca="1" si="136"/>
        <v>58.671329294203289</v>
      </c>
      <c r="W212" s="96">
        <f t="shared" ca="1" si="136"/>
        <v>61.309277790881339</v>
      </c>
      <c r="X212" s="96">
        <f t="shared" ca="1" si="136"/>
        <v>64.051184367582437</v>
      </c>
      <c r="Y212" s="96">
        <f t="shared" ca="1" si="136"/>
        <v>66.89880560926936</v>
      </c>
      <c r="Z212" s="96">
        <f t="shared" ca="1" si="136"/>
        <v>69.872714417017889</v>
      </c>
    </row>
    <row r="214" spans="1:26" x14ac:dyDescent="0.25">
      <c r="A214" s="11" t="s">
        <v>872</v>
      </c>
    </row>
    <row r="215" spans="1:26" x14ac:dyDescent="0.25">
      <c r="A215" s="11" t="s">
        <v>1255</v>
      </c>
      <c r="B215" s="14" t="str">
        <f>$B$38</f>
        <v>From Fiscal Forecasts</v>
      </c>
      <c r="C215" s="100" cm="1">
        <f t="array" aca="1" ref="C215" ca="1">SUMPRODUCT(OFFSET($P$215,0,0,1,-OFFSET(Assumptions!$B$38,0,$C$1))/OFFSET($P$417,0,0,1,-OFFSET(Assumptions!$B$38,0,$C$1)))/OFFSET(Assumptions!$B$38,0,$C$1)</f>
        <v>4.0793476717853723E-2</v>
      </c>
      <c r="D215" s="51">
        <f>'Fiscal Forecasts'!D$260</f>
        <v>1.5009999999999999</v>
      </c>
      <c r="E215" s="51">
        <f>'Fiscal Forecasts'!E$260</f>
        <v>1.675</v>
      </c>
      <c r="F215" s="51">
        <f>'Fiscal Forecasts'!F$260</f>
        <v>1.8820000000000001</v>
      </c>
      <c r="G215" s="51">
        <f>'Fiscal Forecasts'!G$260</f>
        <v>2.0019999999999998</v>
      </c>
      <c r="H215" s="51">
        <f>'Fiscal Forecasts'!H$260</f>
        <v>2.4</v>
      </c>
      <c r="I215" s="51">
        <f>'Fiscal Forecasts'!I$260</f>
        <v>2.8080000000000003</v>
      </c>
      <c r="J215" s="51">
        <f>'Fiscal Forecasts'!J$260</f>
        <v>2.7159999999999997</v>
      </c>
      <c r="K215" s="51">
        <f>'Fiscal Forecasts'!K$260</f>
        <v>2.7269999999999999</v>
      </c>
      <c r="L215" s="47">
        <f>'Fiscal Forecasts'!L$260</f>
        <v>2.706</v>
      </c>
      <c r="M215" s="47">
        <f>'Fiscal Forecasts'!M$260</f>
        <v>2.8039999999999998</v>
      </c>
      <c r="N215" s="47">
        <f>'Fiscal Forecasts'!N$260</f>
        <v>2.879</v>
      </c>
      <c r="O215" s="47">
        <f>'Fiscal Forecasts'!O$260</f>
        <v>2.867</v>
      </c>
      <c r="P215" s="47">
        <f>'Fiscal Forecasts'!P$260</f>
        <v>2.7930000000000001</v>
      </c>
      <c r="Q215" s="21">
        <f t="shared" ref="Q215:Z215" ca="1" si="137">$C$215*P$417</f>
        <v>2.8191555890174351</v>
      </c>
      <c r="R215" s="21">
        <f t="shared" ca="1" si="137"/>
        <v>2.8191555890174351</v>
      </c>
      <c r="S215" s="21">
        <f t="shared" ca="1" si="137"/>
        <v>2.8191555890174351</v>
      </c>
      <c r="T215" s="21">
        <f t="shared" ca="1" si="137"/>
        <v>2.8191555890174351</v>
      </c>
      <c r="U215" s="21">
        <f t="shared" ca="1" si="137"/>
        <v>2.8191555890174351</v>
      </c>
      <c r="V215" s="21">
        <f t="shared" ca="1" si="137"/>
        <v>2.8191555890174351</v>
      </c>
      <c r="W215" s="21">
        <f t="shared" ca="1" si="137"/>
        <v>2.8191555890174351</v>
      </c>
      <c r="X215" s="21">
        <f t="shared" ca="1" si="137"/>
        <v>2.8191555890174351</v>
      </c>
      <c r="Y215" s="21">
        <f t="shared" ca="1" si="137"/>
        <v>2.8191555890174351</v>
      </c>
      <c r="Z215" s="21">
        <f t="shared" ca="1" si="137"/>
        <v>2.8191555890174351</v>
      </c>
    </row>
    <row r="216" spans="1:26" x14ac:dyDescent="0.25">
      <c r="A216" s="12" t="s">
        <v>1020</v>
      </c>
      <c r="B216" s="14" t="str">
        <f>$B$38</f>
        <v>From Fiscal Forecasts</v>
      </c>
      <c r="C216" s="100" cm="1">
        <f t="array" aca="1" ref="C216" ca="1">SUMPRODUCT(OFFSET($P$216,0,0,1,-OFFSET(Assumptions!$B$38,0,$C$1))/OFFSET($P$418,0,0,1,-OFFSET(Assumptions!$B$38,0,$C$1)))/OFFSET(Assumptions!$B$38,0,$C$1)</f>
        <v>2.0557878069576589E-2</v>
      </c>
      <c r="D216" s="50">
        <f>'Fiscal Forecasts'!D$261</f>
        <v>1.587</v>
      </c>
      <c r="E216" s="50">
        <f>'Fiscal Forecasts'!E$261</f>
        <v>1.776</v>
      </c>
      <c r="F216" s="50">
        <f>'Fiscal Forecasts'!F$261</f>
        <v>1.954</v>
      </c>
      <c r="G216" s="50">
        <f>'Fiscal Forecasts'!G$261</f>
        <v>2.2509999999999999</v>
      </c>
      <c r="H216" s="50">
        <f>'Fiscal Forecasts'!H$261</f>
        <v>2.5110000000000001</v>
      </c>
      <c r="I216" s="50">
        <f>'Fiscal Forecasts'!I$261</f>
        <v>2.9019999999999997</v>
      </c>
      <c r="J216" s="50">
        <f>'Fiscal Forecasts'!J$261</f>
        <v>2.9870000000000001</v>
      </c>
      <c r="K216" s="50">
        <f>'Fiscal Forecasts'!K$261</f>
        <v>3.306</v>
      </c>
      <c r="L216" s="48">
        <f>'Fiscal Forecasts'!L$261</f>
        <v>3.4129999999999998</v>
      </c>
      <c r="M216" s="48">
        <f>'Fiscal Forecasts'!M$261</f>
        <v>3.5979999999999999</v>
      </c>
      <c r="N216" s="48">
        <f>'Fiscal Forecasts'!N$261</f>
        <v>3.661</v>
      </c>
      <c r="O216" s="48">
        <f>'Fiscal Forecasts'!O$261</f>
        <v>3.7090000000000001</v>
      </c>
      <c r="P216" s="48">
        <f>'Fiscal Forecasts'!P$261</f>
        <v>3.7679999999999998</v>
      </c>
      <c r="Q216" s="20">
        <f t="shared" ref="Q216:Z216" ca="1" si="138">$C$216*P$418</f>
        <v>3.7329817313859954</v>
      </c>
      <c r="R216" s="20">
        <f t="shared" ca="1" si="138"/>
        <v>3.7665247875594394</v>
      </c>
      <c r="S216" s="20">
        <f t="shared" ca="1" si="138"/>
        <v>3.8007387048563523</v>
      </c>
      <c r="T216" s="20">
        <f t="shared" ca="1" si="138"/>
        <v>3.8356369004992033</v>
      </c>
      <c r="U216" s="20">
        <f t="shared" ca="1" si="138"/>
        <v>3.8712330600549114</v>
      </c>
      <c r="V216" s="20">
        <f t="shared" ca="1" si="138"/>
        <v>3.9075411428017341</v>
      </c>
      <c r="W216" s="20">
        <f t="shared" ca="1" si="138"/>
        <v>3.9445753872034932</v>
      </c>
      <c r="X216" s="20">
        <f t="shared" ca="1" si="138"/>
        <v>3.982350316493287</v>
      </c>
      <c r="Y216" s="20">
        <f t="shared" ca="1" si="138"/>
        <v>4.0208807443688768</v>
      </c>
      <c r="Z216" s="20">
        <f t="shared" ca="1" si="138"/>
        <v>4.0601817808019787</v>
      </c>
    </row>
    <row r="217" spans="1:26" x14ac:dyDescent="0.25">
      <c r="A217" s="12" t="s">
        <v>1227</v>
      </c>
      <c r="B217" s="14" t="str">
        <f>$B$38</f>
        <v>From Fiscal Forecasts</v>
      </c>
      <c r="C217" s="100" cm="1">
        <f t="array" aca="1" ref="C217" ca="1">SUMPRODUCT(OFFSET($P$217,0,0,1,-OFFSET(Assumptions!$B$38,0,$C$1))/OFFSET($P$419,0,0,1,-OFFSET(Assumptions!$B$38,0,$C$1)))/OFFSET(Assumptions!$B$38,0,$C$1)</f>
        <v>4.4120996303196665E-2</v>
      </c>
      <c r="D217" s="50">
        <f>'Fiscal Forecasts'!D$262</f>
        <v>1.466</v>
      </c>
      <c r="E217" s="50">
        <f>'Fiscal Forecasts'!E$262</f>
        <v>1.843</v>
      </c>
      <c r="F217" s="50">
        <f>'Fiscal Forecasts'!F$262</f>
        <v>1.73</v>
      </c>
      <c r="G217" s="50">
        <f>'Fiscal Forecasts'!G$262</f>
        <v>1.899</v>
      </c>
      <c r="H217" s="50">
        <f>'Fiscal Forecasts'!H$262</f>
        <v>1.69</v>
      </c>
      <c r="I217" s="50">
        <f>'Fiscal Forecasts'!I$262</f>
        <v>1.911</v>
      </c>
      <c r="J217" s="50">
        <f>'Fiscal Forecasts'!J$262</f>
        <v>2.5910000000000002</v>
      </c>
      <c r="K217" s="50">
        <f>'Fiscal Forecasts'!K$262</f>
        <v>2.6480000000000001</v>
      </c>
      <c r="L217" s="48">
        <f>'Fiscal Forecasts'!L$262</f>
        <v>2.843</v>
      </c>
      <c r="M217" s="48">
        <f>'Fiscal Forecasts'!M$262</f>
        <v>2.8730000000000002</v>
      </c>
      <c r="N217" s="48">
        <f>'Fiscal Forecasts'!N$262</f>
        <v>2.9180000000000001</v>
      </c>
      <c r="O217" s="48">
        <f>'Fiscal Forecasts'!O$262</f>
        <v>3.258</v>
      </c>
      <c r="P217" s="48">
        <f>'Fiscal Forecasts'!P$262</f>
        <v>3.387</v>
      </c>
      <c r="Q217" s="20">
        <f t="shared" ref="Q217:Z217" ca="1" si="139">$C$217*P$419</f>
        <v>3.1775500327599207</v>
      </c>
      <c r="R217" s="20">
        <f t="shared" ca="1" si="139"/>
        <v>3.2411010334151196</v>
      </c>
      <c r="S217" s="20">
        <f t="shared" ca="1" si="139"/>
        <v>3.3059230540834217</v>
      </c>
      <c r="T217" s="20">
        <f t="shared" ca="1" si="139"/>
        <v>3.37204151516509</v>
      </c>
      <c r="U217" s="20">
        <f t="shared" ca="1" si="139"/>
        <v>3.4394823454683916</v>
      </c>
      <c r="V217" s="20">
        <f t="shared" ca="1" si="139"/>
        <v>3.5082719923777597</v>
      </c>
      <c r="W217" s="20">
        <f t="shared" ca="1" si="139"/>
        <v>3.5784374322253147</v>
      </c>
      <c r="X217" s="20">
        <f t="shared" ca="1" si="139"/>
        <v>3.6500061808698212</v>
      </c>
      <c r="Y217" s="20">
        <f t="shared" ca="1" si="139"/>
        <v>3.7230063044872179</v>
      </c>
      <c r="Z217" s="20">
        <f t="shared" ca="1" si="139"/>
        <v>3.7974664305769625</v>
      </c>
    </row>
    <row r="218" spans="1:26" x14ac:dyDescent="0.25">
      <c r="A218" s="11" t="s">
        <v>1256</v>
      </c>
      <c r="D218" s="94">
        <f t="shared" ref="D218:P218" si="140">SUM(D$215:D$217)</f>
        <v>4.5540000000000003</v>
      </c>
      <c r="E218" s="94">
        <f t="shared" si="140"/>
        <v>5.2940000000000005</v>
      </c>
      <c r="F218" s="94">
        <f t="shared" si="140"/>
        <v>5.5660000000000007</v>
      </c>
      <c r="G218" s="94">
        <f t="shared" si="140"/>
        <v>6.1520000000000001</v>
      </c>
      <c r="H218" s="94">
        <f t="shared" si="140"/>
        <v>6.6009999999999991</v>
      </c>
      <c r="I218" s="94">
        <f t="shared" si="140"/>
        <v>7.6210000000000004</v>
      </c>
      <c r="J218" s="94">
        <f t="shared" si="140"/>
        <v>8.2940000000000005</v>
      </c>
      <c r="K218" s="94">
        <f t="shared" si="140"/>
        <v>8.6809999999999992</v>
      </c>
      <c r="L218" s="95">
        <f t="shared" si="140"/>
        <v>8.9619999999999997</v>
      </c>
      <c r="M218" s="95">
        <f t="shared" si="140"/>
        <v>9.2749999999999986</v>
      </c>
      <c r="N218" s="95">
        <f t="shared" si="140"/>
        <v>9.4580000000000002</v>
      </c>
      <c r="O218" s="95">
        <f t="shared" si="140"/>
        <v>9.8339999999999996</v>
      </c>
      <c r="P218" s="95">
        <f t="shared" si="140"/>
        <v>9.9480000000000004</v>
      </c>
      <c r="Q218" s="96">
        <f t="shared" ref="Q218:Z218" ca="1" si="141">SUM(Q$215:Q$217)</f>
        <v>9.7296873531633512</v>
      </c>
      <c r="R218" s="96">
        <f t="shared" ca="1" si="141"/>
        <v>9.8267814099919946</v>
      </c>
      <c r="S218" s="96">
        <f t="shared" ca="1" si="141"/>
        <v>9.92581734795721</v>
      </c>
      <c r="T218" s="96">
        <f t="shared" ca="1" si="141"/>
        <v>10.026834004681728</v>
      </c>
      <c r="U218" s="96">
        <f t="shared" ca="1" si="141"/>
        <v>10.129870994540738</v>
      </c>
      <c r="V218" s="96">
        <f t="shared" ca="1" si="141"/>
        <v>10.234968724196928</v>
      </c>
      <c r="W218" s="96">
        <f t="shared" ca="1" si="141"/>
        <v>10.342168408446243</v>
      </c>
      <c r="X218" s="96">
        <f t="shared" ca="1" si="141"/>
        <v>10.451512086380543</v>
      </c>
      <c r="Y218" s="96">
        <f t="shared" ca="1" si="141"/>
        <v>10.563042637873529</v>
      </c>
      <c r="Z218" s="96">
        <f t="shared" ca="1" si="141"/>
        <v>10.676803800396376</v>
      </c>
    </row>
    <row r="219" spans="1:26" x14ac:dyDescent="0.25">
      <c r="A219" s="11" t="s">
        <v>1257</v>
      </c>
      <c r="B219" s="14" t="str">
        <f>$B$38</f>
        <v>From Fiscal Forecasts</v>
      </c>
      <c r="D219" s="51">
        <f>'Fiscal Forecasts'!D$265</f>
        <v>0.29399999999999998</v>
      </c>
      <c r="E219" s="51">
        <f>'Fiscal Forecasts'!E$265</f>
        <v>0.57399999999999995</v>
      </c>
      <c r="F219" s="51">
        <f>'Fiscal Forecasts'!F$265</f>
        <v>0.37</v>
      </c>
      <c r="G219" s="51">
        <f>'Fiscal Forecasts'!G$265</f>
        <v>0.316</v>
      </c>
      <c r="H219" s="51">
        <f>'Fiscal Forecasts'!H$265</f>
        <v>0.29399999999999998</v>
      </c>
      <c r="I219" s="51">
        <f>'Fiscal Forecasts'!I$265</f>
        <v>0.33</v>
      </c>
      <c r="J219" s="51">
        <f>'Fiscal Forecasts'!J$265</f>
        <v>0.34799999999999998</v>
      </c>
      <c r="K219" s="51">
        <f>'Fiscal Forecasts'!K$265</f>
        <v>0.34699999999999998</v>
      </c>
      <c r="L219" s="47">
        <f>'Fiscal Forecasts'!L$265</f>
        <v>0.34899999999999998</v>
      </c>
      <c r="M219" s="47">
        <f>'Fiscal Forecasts'!M$265</f>
        <v>0.371</v>
      </c>
      <c r="N219" s="47">
        <f>'Fiscal Forecasts'!N$265</f>
        <v>0.39200000000000002</v>
      </c>
      <c r="O219" s="47">
        <f>'Fiscal Forecasts'!O$265</f>
        <v>0.375</v>
      </c>
      <c r="P219" s="47">
        <f>'Fiscal Forecasts'!P$265</f>
        <v>0.37</v>
      </c>
      <c r="Q219" s="21">
        <f ca="1">IF(Q$6=OFFSET(Assumptions!$B$8,0,$C$1),AVERAGE(N$219/M$427,O$219/N$427,P$219/O$427),P$219/O$427)*P$427</f>
        <v>0.33893854716370403</v>
      </c>
      <c r="R219" s="21">
        <f ca="1">IF(R$6=OFFSET(Assumptions!$B$8,0,$C$1),AVERAGE(O$219/N$427,P$219/O$427,Q$219/P$427),Q$219/P$427)*Q$427</f>
        <v>0.33893854716370403</v>
      </c>
      <c r="S219" s="21">
        <f ca="1">IF(S$6=OFFSET(Assumptions!$B$8,0,$C$1),AVERAGE(P$219/O$427,Q$219/P$427,R$219/Q$427),R$219/Q$427)*R$427</f>
        <v>0.33893854716370403</v>
      </c>
      <c r="T219" s="21">
        <f ca="1">IF(T$6=OFFSET(Assumptions!$B$8,0,$C$1),AVERAGE(Q$219/P$427,R$219/Q$427,S$219/R$427),S$219/R$427)*S$427</f>
        <v>0.33893854716370403</v>
      </c>
      <c r="U219" s="21">
        <f ca="1">IF(U$6=OFFSET(Assumptions!$B$8,0,$C$1),AVERAGE(R$219/Q$427,S$219/R$427,T$219/S$427),T$219/S$427)*T$427</f>
        <v>0.33893854716370403</v>
      </c>
      <c r="V219" s="21">
        <f ca="1">IF(V$6=OFFSET(Assumptions!$B$8,0,$C$1),AVERAGE(S$219/R$427,T$219/S$427,U$219/T$427),U$219/T$427)*U$427</f>
        <v>0.33893854716370403</v>
      </c>
      <c r="W219" s="21">
        <f ca="1">IF(W$6=OFFSET(Assumptions!$B$8,0,$C$1),AVERAGE(T$219/S$427,U$219/T$427,V$219/U$427),V$219/U$427)*V$427</f>
        <v>0.33893854716370403</v>
      </c>
      <c r="X219" s="21">
        <f ca="1">IF(X$6=OFFSET(Assumptions!$B$8,0,$C$1),AVERAGE(U$219/T$427,V$219/U$427,W$219/V$427),W$219/V$427)*W$427</f>
        <v>0.33893854716370403</v>
      </c>
      <c r="Y219" s="21">
        <f ca="1">IF(Y$6=OFFSET(Assumptions!$B$8,0,$C$1),AVERAGE(V$219/U$427,W$219/V$427,X$219/W$427),X$219/W$427)*X$427</f>
        <v>0.33893854716370403</v>
      </c>
      <c r="Z219" s="21">
        <f ca="1">IF(Z$6=OFFSET(Assumptions!$B$8,0,$C$1),AVERAGE(W$219/V$427,X$219/W$427,Y$219/X$427),Y$219/X$427)*Y$427</f>
        <v>0.33893854716370403</v>
      </c>
    </row>
    <row r="220" spans="1:26" x14ac:dyDescent="0.25">
      <c r="A220" s="11" t="s">
        <v>1258</v>
      </c>
      <c r="B220" s="14" t="str">
        <f>$B$38</f>
        <v>From Fiscal Forecasts</v>
      </c>
      <c r="D220" s="50">
        <f>SUM('Fiscal Forecasts'!D$266:D$267)</f>
        <v>0.64</v>
      </c>
      <c r="E220" s="50">
        <f>SUM('Fiscal Forecasts'!E$266:E$267)</f>
        <v>1.8010000000000002</v>
      </c>
      <c r="F220" s="50">
        <f>SUM('Fiscal Forecasts'!F$266:F$267)</f>
        <v>0.82799999999999996</v>
      </c>
      <c r="G220" s="50">
        <f>SUM('Fiscal Forecasts'!G$266:G$267)</f>
        <v>-0.54</v>
      </c>
      <c r="H220" s="50">
        <f>SUM('Fiscal Forecasts'!H$266:H$267)</f>
        <v>0.76800000000000002</v>
      </c>
      <c r="I220" s="50">
        <f>SUM('Fiscal Forecasts'!I$266:I$267)</f>
        <v>0.71100000000000008</v>
      </c>
      <c r="J220" s="50">
        <f>SUM('Fiscal Forecasts'!J$266:J$267)</f>
        <v>0.54699999999999993</v>
      </c>
      <c r="K220" s="50">
        <f>SUM('Fiscal Forecasts'!K$266:K$267)</f>
        <v>0.51300000000000001</v>
      </c>
      <c r="L220" s="48">
        <f>SUM('Fiscal Forecasts'!L$266:L$267)</f>
        <v>0.52200000000000002</v>
      </c>
      <c r="M220" s="48">
        <f>SUM('Fiscal Forecasts'!M$266:M$267)</f>
        <v>0.52100000000000002</v>
      </c>
      <c r="N220" s="48">
        <f>SUM('Fiscal Forecasts'!N$266:N$267)</f>
        <v>0.52200000000000002</v>
      </c>
      <c r="O220" s="48">
        <f>SUM('Fiscal Forecasts'!O$266:O$267)</f>
        <v>0.503</v>
      </c>
      <c r="P220" s="48">
        <f>SUM('Fiscal Forecasts'!P$266:P$267)</f>
        <v>0.48699999999999999</v>
      </c>
      <c r="Q220" s="21">
        <f ca="1">IF(Q$6=OFFSET(Assumptions!$B$8,0,$C$1),AVERAGE(N$220/M$428,O$220/N$428,P$220/O$428),P$220/O$428)*P$428</f>
        <v>0.53212235039807609</v>
      </c>
      <c r="R220" s="21">
        <f ca="1">IF(R$6=OFFSET(Assumptions!$B$8,0,$C$1),AVERAGE(O$220/N$428,P$220/O$428,Q$220/P$428),Q$220/P$428)*Q$428</f>
        <v>0.55528610953016788</v>
      </c>
      <c r="S220" s="21">
        <f ca="1">IF(S$6=OFFSET(Assumptions!$B$8,0,$C$1),AVERAGE(P$220/O$428,Q$220/P$428,R$220/Q$428),R$220/Q$428)*R$428</f>
        <v>0.57892193652440305</v>
      </c>
      <c r="T220" s="21">
        <f ca="1">IF(T$6=OFFSET(Assumptions!$B$8,0,$C$1),AVERAGE(Q$220/P$428,R$220/Q$428,S$220/R$428),S$220/R$428)*S$428</f>
        <v>0.60318394242317952</v>
      </c>
      <c r="U220" s="21">
        <f ca="1">IF(U$6=OFFSET(Assumptions!$B$8,0,$C$1),AVERAGE(R$220/Q$428,S$220/R$428,T$220/S$428),T$220/S$428)*T$428</f>
        <v>0.62801537807835695</v>
      </c>
      <c r="V220" s="21">
        <f ca="1">IF(V$6=OFFSET(Assumptions!$B$8,0,$C$1),AVERAGE(S$220/R$428,T$220/S$428,U$220/T$428),U$220/T$428)*U$428</f>
        <v>0.65371270422022476</v>
      </c>
      <c r="W220" s="21">
        <f ca="1">IF(W$6=OFFSET(Assumptions!$B$8,0,$C$1),AVERAGE(T$220/S$428,U$220/T$428,V$220/U$428),V$220/U$428)*V$428</f>
        <v>0.68028505979586884</v>
      </c>
      <c r="X220" s="21">
        <f ca="1">IF(X$6=OFFSET(Assumptions!$B$8,0,$C$1),AVERAGE(U$220/T$428,V$220/U$428,W$220/V$428),W$220/V$428)*W$428</f>
        <v>0.70759838771072869</v>
      </c>
      <c r="Y220" s="21">
        <f ca="1">IF(Y$6=OFFSET(Assumptions!$B$8,0,$C$1),AVERAGE(V$220/U$428,W$220/V$428,X$220/W$428),X$220/W$428)*X$428</f>
        <v>0.73569822626187076</v>
      </c>
      <c r="Z220" s="21">
        <f ca="1">IF(Z$6=OFFSET(Assumptions!$B$8,0,$C$1),AVERAGE(W$220/V$428,X$220/W$428,Y$220/X$428),Y$220/X$428)*Y$428</f>
        <v>0.76473151997825062</v>
      </c>
    </row>
    <row r="221" spans="1:26" x14ac:dyDescent="0.25">
      <c r="A221" s="11"/>
    </row>
    <row r="222" spans="1:26" x14ac:dyDescent="0.25">
      <c r="A222" s="11" t="s">
        <v>873</v>
      </c>
    </row>
    <row r="223" spans="1:26" x14ac:dyDescent="0.25">
      <c r="A223" s="11" t="s">
        <v>1259</v>
      </c>
      <c r="B223" s="14" t="str">
        <f>$B$38</f>
        <v>From Fiscal Forecasts</v>
      </c>
      <c r="D223" s="51">
        <f>'Fiscal Forecasts'!D$270</f>
        <v>44.959000000000003</v>
      </c>
      <c r="E223" s="51">
        <f>'Fiscal Forecasts'!E$270</f>
        <v>51.832999999999998</v>
      </c>
      <c r="F223" s="51">
        <f>'Fiscal Forecasts'!F$270</f>
        <v>58.084000000000003</v>
      </c>
      <c r="G223" s="51">
        <f>'Fiscal Forecasts'!G$270</f>
        <v>65.543000000000006</v>
      </c>
      <c r="H223" s="51">
        <f>'Fiscal Forecasts'!H$270</f>
        <v>68.150000000000006</v>
      </c>
      <c r="I223" s="51">
        <f>'Fiscal Forecasts'!I$270</f>
        <v>72.72</v>
      </c>
      <c r="J223" s="51">
        <f>'Fiscal Forecasts'!J$270</f>
        <v>72.67</v>
      </c>
      <c r="K223" s="51">
        <f>'Fiscal Forecasts'!K$270</f>
        <v>74.334000000000003</v>
      </c>
      <c r="L223" s="47">
        <f ca="1">'Fiscal Forecasts'!L$270+IF(OFFSET(Assumptions!$B$57,0,$C$1)="Yes",SUM(Allocation!C$10:C$20),0)</f>
        <v>78.225999999999999</v>
      </c>
      <c r="M223" s="47">
        <f ca="1">'Fiscal Forecasts'!M$270+IF(OFFSET(Assumptions!$B$57,0,$C$1)="Yes",SUM(Allocation!D$10:D$20),0)</f>
        <v>79.15100000000001</v>
      </c>
      <c r="N223" s="47">
        <f ca="1">'Fiscal Forecasts'!N$270+IF(OFFSET(Assumptions!$B$57,0,$C$1)="Yes",SUM(Allocation!E$10:E$20),0)</f>
        <v>81.706000000000003</v>
      </c>
      <c r="O223" s="47">
        <f ca="1">'Fiscal Forecasts'!O$270+IF(OFFSET(Assumptions!$B$57,0,$C$1)="Yes",SUM(Allocation!F$10:F$20),0)</f>
        <v>84.251999999999995</v>
      </c>
      <c r="P223" s="47">
        <f ca="1">'Fiscal Forecasts'!P$270+IF(OFFSET(Assumptions!$B$57,0,$C$1)="Yes",SUM(Allocation!G$10:G$20),0)</f>
        <v>86.86099999999999</v>
      </c>
      <c r="Q223" s="21">
        <f ca="1">SUM(-Q$215,Q$324,IF(Q$6=OFFSET(Assumptions!$B$8,0,$C$1),AVERAGE((N$223+N$215-N$324)/SUM(N$208,N$215,N$223,-N$252,-N$324),(O$223+O$215-O$324)/SUM(O$208,O$215,O$223,-O$252,-O$324),(P$223+P$215-P$324)/SUM(P$208,P$215,P$223,-P$252,-P$324)),(P$223+P$215-P$324)/SUM(P$208,P$215,P$223,-P$252,-P$324))*(Q$323-Q$256-Q$264))</f>
        <v>92.77829827430395</v>
      </c>
      <c r="R223" s="21">
        <f ca="1">SUM(-R$215,R$324,IF(R$6=OFFSET(Assumptions!$B$8,0,$C$1),AVERAGE((O$223+O$215-O$324)/SUM(O$208,O$215,O$223,-O$252,-O$324),(P$223+P$215-P$324)/SUM(P$208,P$215,P$223,-P$252,-P$324),(Q$223+Q$215-Q$324)/SUM(Q$208,Q$215,Q$223,-Q$252,-Q$324)),(Q$223+Q$215-Q$324)/SUM(Q$208,Q$215,Q$223,-Q$252,-Q$324))*(R$323-R$256-R$264))</f>
        <v>97.771421759673629</v>
      </c>
      <c r="S223" s="21">
        <f ca="1">SUM(-S$215,S$324,IF(S$6=OFFSET(Assumptions!$B$8,0,$C$1),AVERAGE((P$223+P$215-P$324)/SUM(P$208,P$215,P$223,-P$252,-P$324),(Q$223+Q$215-Q$324)/SUM(Q$208,Q$215,Q$223,-Q$252,-Q$324),(R$223+R$215-R$324)/SUM(R$208,R$215,R$223,-R$252,-R$324)),(R$223+R$215-R$324)/SUM(R$208,R$215,R$223,-R$252,-R$324))*(S$323-S$256-S$264))</f>
        <v>102.22665624126326</v>
      </c>
      <c r="T223" s="21">
        <f ca="1">SUM(-T$215,T$324,IF(T$6=OFFSET(Assumptions!$B$8,0,$C$1),AVERAGE((Q$223+Q$215-Q$324)/SUM(Q$208,Q$215,Q$223,-Q$252,-Q$324),(R$223+R$215-R$324)/SUM(R$208,R$215,R$223,-R$252,-R$324),(S$223+S$215-S$324)/SUM(S$208,S$215,S$223,-S$252,-S$324)),(S$223+S$215-S$324)/SUM(S$208,S$215,S$223,-S$252,-S$324))*(T$323-T$256-T$264))</f>
        <v>106.8590198463813</v>
      </c>
      <c r="U223" s="21">
        <f ca="1">SUM(-U$215,U$324,IF(U$6=OFFSET(Assumptions!$B$8,0,$C$1),AVERAGE((R$223+R$215-R$324)/SUM(R$208,R$215,R$223,-R$252,-R$324),(S$223+S$215-S$324)/SUM(S$208,S$215,S$223,-S$252,-S$324),(T$223+T$215-T$324)/SUM(T$208,T$215,T$223,-T$252,-T$324)),(T$223+T$215-T$324)/SUM(T$208,T$215,T$223,-T$252,-T$324))*(U$323-U$256-U$264))</f>
        <v>111.70433818335232</v>
      </c>
      <c r="V223" s="21">
        <f ca="1">SUM(-V$215,V$324,IF(V$6=OFFSET(Assumptions!$B$8,0,$C$1),AVERAGE((S$223+S$215-S$324)/SUM(S$208,S$215,S$223,-S$252,-S$324),(T$223+T$215-T$324)/SUM(T$208,T$215,T$223,-T$252,-T$324),(U$223+U$215-U$324)/SUM(U$208,U$215,U$223,-U$252,-U$324)),(U$223+U$215-U$324)/SUM(U$208,U$215,U$223,-U$252,-U$324))*(V$323-V$256-V$264))</f>
        <v>116.73484970417518</v>
      </c>
      <c r="W223" s="21">
        <f ca="1">SUM(-W$215,W$324,IF(W$6=OFFSET(Assumptions!$B$8,0,$C$1),AVERAGE((T$223+T$215-T$324)/SUM(T$208,T$215,T$223,-T$252,-T$324),(U$223+U$215-U$324)/SUM(U$208,U$215,U$223,-U$252,-U$324),(V$223+V$215-V$324)/SUM(V$208,V$215,V$223,-V$252,-V$324)),(V$223+V$215-V$324)/SUM(V$208,V$215,V$223,-V$252,-V$324))*(W$323-W$256-W$264))</f>
        <v>121.95333471724973</v>
      </c>
      <c r="X223" s="21">
        <f ca="1">SUM(-X$215,X$324,IF(X$6=OFFSET(Assumptions!$B$8,0,$C$1),AVERAGE((U$223+U$215-U$324)/SUM(U$208,U$215,U$223,-U$252,-U$324),(V$223+V$215-V$324)/SUM(V$208,V$215,V$223,-V$252,-V$324),(W$223+W$215-W$324)/SUM(W$208,W$215,W$223,-W$252,-W$324)),(W$223+W$215-W$324)/SUM(W$208,W$215,W$223,-W$252,-W$324))*(X$323-X$256-X$264))</f>
        <v>127.39361969124091</v>
      </c>
      <c r="Y223" s="21">
        <f ca="1">SUM(-Y$215,Y$324,IF(Y$6=OFFSET(Assumptions!$B$8,0,$C$1),AVERAGE((V$223+V$215-V$324)/SUM(V$208,V$215,V$223,-V$252,-V$324),(W$223+W$215-W$324)/SUM(W$208,W$215,W$223,-W$252,-W$324),(X$223+X$215-X$324)/SUM(X$208,X$215,X$223,-X$252,-X$324)),(X$223+X$215-X$324)/SUM(X$208,X$215,X$223,-X$252,-X$324))*(Y$323-Y$256-Y$264))</f>
        <v>133.06249102143113</v>
      </c>
      <c r="Z223" s="21">
        <f ca="1">SUM(-Z$215,Z$324,IF(Z$6=OFFSET(Assumptions!$B$8,0,$C$1),AVERAGE((W$223+W$215-W$324)/SUM(W$208,W$215,W$223,-W$252,-W$324),(X$223+X$215-X$324)/SUM(X$208,X$215,X$223,-X$252,-X$324),(Y$223+Y$215-Y$324)/SUM(Y$208,Y$215,Y$223,-Y$252,-Y$324)),(Y$223+Y$215-Y$324)/SUM(Y$208,Y$215,Y$223,-Y$252,-Y$324))*(Z$323-Z$256-Z$264))</f>
        <v>139.00089261728075</v>
      </c>
    </row>
    <row r="224" spans="1:26" x14ac:dyDescent="0.25">
      <c r="A224" s="12" t="s">
        <v>1020</v>
      </c>
      <c r="B224" s="14" t="str">
        <f>$B$38</f>
        <v>From Fiscal Forecasts</v>
      </c>
      <c r="D224" s="50">
        <f>'Fiscal Forecasts'!D$271</f>
        <v>22.132999999999999</v>
      </c>
      <c r="E224" s="50">
        <f>'Fiscal Forecasts'!E$271</f>
        <v>25.504999999999999</v>
      </c>
      <c r="F224" s="50">
        <f>'Fiscal Forecasts'!F$271</f>
        <v>25.257000000000001</v>
      </c>
      <c r="G224" s="50">
        <f>'Fiscal Forecasts'!G$271</f>
        <v>27.652000000000001</v>
      </c>
      <c r="H224" s="50">
        <f>'Fiscal Forecasts'!H$271</f>
        <v>33.918999999999997</v>
      </c>
      <c r="I224" s="50">
        <f>'Fiscal Forecasts'!I$271</f>
        <v>34.594999999999999</v>
      </c>
      <c r="J224" s="50">
        <f>'Fiscal Forecasts'!J$271</f>
        <v>34.951000000000001</v>
      </c>
      <c r="K224" s="50">
        <f>'Fiscal Forecasts'!K$271</f>
        <v>35.914000000000001</v>
      </c>
      <c r="L224" s="48">
        <f>'Fiscal Forecasts'!L$271</f>
        <v>38.064999999999998</v>
      </c>
      <c r="M224" s="48">
        <f>'Fiscal Forecasts'!M$271</f>
        <v>36.436</v>
      </c>
      <c r="N224" s="48">
        <f>'Fiscal Forecasts'!N$271</f>
        <v>36.185000000000002</v>
      </c>
      <c r="O224" s="48">
        <f>'Fiscal Forecasts'!O$271</f>
        <v>36.218000000000004</v>
      </c>
      <c r="P224" s="48">
        <f>'Fiscal Forecasts'!P$271</f>
        <v>36.292999999999999</v>
      </c>
      <c r="Q224" s="20">
        <f ca="1">SUM(-Q$216,IF(Q$6=OFFSET(Assumptions!$B$8,0,$C$1),AVERAGE(SUM(N$216,N$224)/SUM(N$209,-(N$253-N$252),N$216,N$224),SUM(O$216,O$224)/SUM(O$209,-(O$253-O$252),O$216,O$224),SUM(P$216,P$224)/SUM(P$209,-(P$253-P$252),P$216,P$224)),SUM(P$216,P$224)/SUM(P$209,-(P$253-P$252),P$216,P$224))*SUM(Q$198-Q$239,Q$257,Q$266,Q$284,Q$326,-(Q$253-Q$252)))</f>
        <v>38.527806941394651</v>
      </c>
      <c r="R224" s="20">
        <f ca="1">SUM(-R$216,IF(R$6=OFFSET(Assumptions!$B$8,0,$C$1),AVERAGE(SUM(O$216,O$224)/SUM(O$209,-(O$253-O$252),O$216,O$224),SUM(P$216,P$224)/SUM(P$209,-(P$253-P$252),P$216,P$224),SUM(Q$216,Q$224)/SUM(Q$209,-(Q$253-Q$252),Q$216,Q$224)),SUM(Q$216,Q$224)/SUM(Q$209,-(Q$253-Q$252),Q$216,Q$224))*SUM(R$198-R$239,R$257,R$266,R$284,R$326,-(R$253-R$252)))</f>
        <v>40.720589495161036</v>
      </c>
      <c r="S224" s="20">
        <f ca="1">SUM(-S$216,IF(S$6=OFFSET(Assumptions!$B$8,0,$C$1),AVERAGE(SUM(P$216,P$224)/SUM(P$209,-(P$253-P$252),P$216,P$224),SUM(Q$216,Q$224)/SUM(Q$209,-(Q$253-Q$252),Q$216,Q$224),SUM(R$216,R$224)/SUM(R$209,-(R$253-R$252),R$216,R$224)),SUM(R$216,R$224)/SUM(R$209,-(R$253-R$252),R$216,R$224))*SUM(S$198-S$239,S$257,S$266,S$284,S$326,-(S$253-S$252)))</f>
        <v>42.788562723282467</v>
      </c>
      <c r="T224" s="20">
        <f ca="1">SUM(-T$216,IF(T$6=OFFSET(Assumptions!$B$8,0,$C$1),AVERAGE(SUM(Q$216,Q$224)/SUM(Q$209,-(Q$253-Q$252),Q$216,Q$224),SUM(R$216,R$224)/SUM(R$209,-(R$253-R$252),R$216,R$224),SUM(S$216,S$224)/SUM(S$209,-(S$253-S$252),S$216,S$224)),SUM(S$216,S$224)/SUM(S$209,-(S$253-S$252),S$216,S$224))*SUM(T$198-T$239,T$257,T$266,T$284,T$326,-(T$253-T$252)))</f>
        <v>45.051852085512564</v>
      </c>
      <c r="U224" s="20">
        <f ca="1">SUM(-U$216,IF(U$6=OFFSET(Assumptions!$B$8,0,$C$1),AVERAGE(SUM(R$216,R$224)/SUM(R$209,-(R$253-R$252),R$216,R$224),SUM(S$216,S$224)/SUM(S$209,-(S$253-S$252),S$216,S$224),SUM(T$216,T$224)/SUM(T$209,-(T$253-T$252),T$216,T$224)),SUM(T$216,T$224)/SUM(T$209,-(T$253-T$252),T$216,T$224))*SUM(U$198-U$239,U$257,U$266,U$284,U$326,-(U$253-U$252)))</f>
        <v>47.468477325357412</v>
      </c>
      <c r="V224" s="20">
        <f ca="1">SUM(-V$216,IF(V$6=OFFSET(Assumptions!$B$8,0,$C$1),AVERAGE(SUM(S$216,S$224)/SUM(S$209,-(S$253-S$252),S$216,S$224),SUM(T$216,T$224)/SUM(T$209,-(T$253-T$252),T$216,T$224),SUM(U$216,U$224)/SUM(U$209,-(U$253-U$252),U$216,U$224)),SUM(U$216,U$224)/SUM(U$209,-(U$253-U$252),U$216,U$224))*SUM(V$198-V$239,V$257,V$266,V$284,V$326,-(V$253-V$252)))</f>
        <v>49.977370744978622</v>
      </c>
      <c r="W224" s="20">
        <f ca="1">SUM(-W$216,IF(W$6=OFFSET(Assumptions!$B$8,0,$C$1),AVERAGE(SUM(T$216,T$224)/SUM(T$209,-(T$253-T$252),T$216,T$224),SUM(U$216,U$224)/SUM(U$209,-(U$253-U$252),U$216,U$224),SUM(V$216,V$224)/SUM(V$209,-(V$253-V$252),V$216,V$224)),SUM(V$216,V$224)/SUM(V$209,-(V$253-V$252),V$216,V$224))*SUM(W$198-W$239,W$257,W$266,W$284,W$326,-(W$253-W$252)))</f>
        <v>52.584555586972243</v>
      </c>
      <c r="X224" s="20">
        <f ca="1">SUM(-X$216,IF(X$6=OFFSET(Assumptions!$B$8,0,$C$1),AVERAGE(SUM(U$216,U$224)/SUM(U$209,-(U$253-U$252),U$216,U$224),SUM(V$216,V$224)/SUM(V$209,-(V$253-V$252),V$216,V$224),SUM(W$216,W$224)/SUM(W$209,-(W$253-W$252),W$216,W$224)),SUM(W$216,W$224)/SUM(W$209,-(W$253-W$252),W$216,W$224))*SUM(X$198-X$239,X$257,X$266,X$284,X$326,-(X$253-X$252)))</f>
        <v>55.311026440265863</v>
      </c>
      <c r="Y224" s="20">
        <f ca="1">SUM(-Y$216,IF(Y$6=OFFSET(Assumptions!$B$8,0,$C$1),AVERAGE(SUM(V$216,V$224)/SUM(V$209,-(V$253-V$252),V$216,V$224),SUM(W$216,W$224)/SUM(W$209,-(W$253-W$252),W$216,W$224),SUM(X$216,X$224)/SUM(X$209,-(X$253-X$252),X$216,X$224)),SUM(X$216,X$224)/SUM(X$209,-(X$253-X$252),X$216,X$224))*SUM(Y$198-Y$239,Y$257,Y$266,Y$284,Y$326,-(Y$253-Y$252)))</f>
        <v>58.150863007353337</v>
      </c>
      <c r="Z224" s="20">
        <f ca="1">SUM(-Z$216,IF(Z$6=OFFSET(Assumptions!$B$8,0,$C$1),AVERAGE(SUM(W$216,W$224)/SUM(W$209,-(W$253-W$252),W$216,W$224),SUM(X$216,X$224)/SUM(X$209,-(X$253-X$252),X$216,X$224),SUM(Y$216,Y$224)/SUM(Y$209,-(Y$253-Y$252),Y$216,Y$224)),SUM(Y$216,Y$224)/SUM(Y$209,-(Y$253-Y$252),Y$216,Y$224))*SUM(Z$198-Z$239,Z$257,Z$266,Z$284,Z$326,-(Z$253-Z$252)))</f>
        <v>61.136711516212536</v>
      </c>
    </row>
    <row r="225" spans="1:26" x14ac:dyDescent="0.25">
      <c r="A225" s="12" t="s">
        <v>1227</v>
      </c>
      <c r="B225" s="14" t="str">
        <f>$B$38</f>
        <v>From Fiscal Forecasts</v>
      </c>
      <c r="D225" s="50">
        <f>'Fiscal Forecasts'!D$272</f>
        <v>9.4740000000000002</v>
      </c>
      <c r="E225" s="50">
        <f>'Fiscal Forecasts'!E$272</f>
        <v>12.164999999999999</v>
      </c>
      <c r="F225" s="50">
        <f>'Fiscal Forecasts'!F$272</f>
        <v>11.702999999999999</v>
      </c>
      <c r="G225" s="50">
        <f>'Fiscal Forecasts'!G$272</f>
        <v>9.8040000000000003</v>
      </c>
      <c r="H225" s="50">
        <f>'Fiscal Forecasts'!H$272</f>
        <v>12.132</v>
      </c>
      <c r="I225" s="50">
        <f>'Fiscal Forecasts'!I$272</f>
        <v>16.550999999999998</v>
      </c>
      <c r="J225" s="50">
        <f>'Fiscal Forecasts'!J$272</f>
        <v>15.942</v>
      </c>
      <c r="K225" s="50">
        <f>'Fiscal Forecasts'!K$272</f>
        <v>13.926</v>
      </c>
      <c r="L225" s="48">
        <f>'Fiscal Forecasts'!L$272</f>
        <v>15.935</v>
      </c>
      <c r="M225" s="48">
        <f>'Fiscal Forecasts'!M$272</f>
        <v>15.486000000000001</v>
      </c>
      <c r="N225" s="48">
        <f>'Fiscal Forecasts'!N$272</f>
        <v>15.907999999999999</v>
      </c>
      <c r="O225" s="48">
        <f>'Fiscal Forecasts'!O$272</f>
        <v>16.349</v>
      </c>
      <c r="P225" s="48">
        <f>'Fiscal Forecasts'!P$272</f>
        <v>16.396000000000001</v>
      </c>
      <c r="Q225" s="20">
        <f ca="1">SUM(-Q$217,IF(Q$6=OFFSET(Assumptions!$B$8,0,$C$1),AVERAGE(SUM(N$217,N$225)/SUM(N$210,N$217,N$225),SUM(O$217,O$225)/SUM(O$210,O$217,O$225),SUM(P$217,P$225)/SUM(P$210,P$217,P$225)),SUM(P$217,P$225)/SUM(P$210,P$217,P$225))*SUM(Q$285,Q$327-Q$240))</f>
        <v>17.384180550105985</v>
      </c>
      <c r="R225" s="20">
        <f ca="1">SUM(-R$217,IF(R$6=OFFSET(Assumptions!$B$8,0,$C$1),AVERAGE(SUM(O$217,O$225)/SUM(O$210,O$217,O$225),SUM(P$217,P$225)/SUM(P$210,P$217,P$225),SUM(Q$217,Q$225)/SUM(Q$210,Q$217,Q$225)),SUM(Q$217,Q$225)/SUM(Q$210,Q$217,Q$225))*SUM(R$285,R$327-R$240))</f>
        <v>18.090734684676772</v>
      </c>
      <c r="S225" s="20">
        <f ca="1">SUM(-S$217,IF(S$6=OFFSET(Assumptions!$B$8,0,$C$1),AVERAGE(SUM(P$217,P$225)/SUM(P$210,P$217,P$225),SUM(Q$217,Q$225)/SUM(Q$210,Q$217,Q$225),SUM(R$217,R$225)/SUM(R$210,R$217,R$225)),SUM(R$217,R$225)/SUM(R$210,R$217,R$225))*SUM(S$285,S$327-S$240))</f>
        <v>18.814821205984867</v>
      </c>
      <c r="T225" s="20">
        <f ca="1">SUM(-T$217,IF(T$6=OFFSET(Assumptions!$B$8,0,$C$1),AVERAGE(SUM(Q$217,Q$225)/SUM(Q$210,Q$217,Q$225),SUM(R$217,R$225)/SUM(R$210,R$217,R$225),SUM(S$217,S$225)/SUM(S$210,S$217,S$225)),SUM(S$217,S$225)/SUM(S$210,S$217,S$225))*SUM(T$285,T$327-T$240))</f>
        <v>19.552117954503764</v>
      </c>
      <c r="U225" s="20">
        <f ca="1">SUM(-U$217,IF(U$6=OFFSET(Assumptions!$B$8,0,$C$1),AVERAGE(SUM(R$217,R$225)/SUM(R$210,R$217,R$225),SUM(S$217,S$225)/SUM(S$210,S$217,S$225),SUM(T$217,T$225)/SUM(T$210,T$217,T$225)),SUM(T$217,T$225)/SUM(T$210,T$217,T$225))*SUM(U$285,U$327-U$240))</f>
        <v>20.313945577249676</v>
      </c>
      <c r="V225" s="20">
        <f ca="1">SUM(-V$217,IF(V$6=OFFSET(Assumptions!$B$8,0,$C$1),AVERAGE(SUM(S$217,S$225)/SUM(S$210,S$217,S$225),SUM(T$217,T$225)/SUM(T$210,T$217,T$225),SUM(U$217,U$225)/SUM(U$210,U$217,U$225)),SUM(U$217,U$225)/SUM(U$210,U$217,U$225))*SUM(V$285,V$327-V$240))</f>
        <v>21.097393273455669</v>
      </c>
      <c r="W225" s="20">
        <f ca="1">SUM(-W$217,IF(W$6=OFFSET(Assumptions!$B$8,0,$C$1),AVERAGE(SUM(T$217,T$225)/SUM(T$210,T$217,T$225),SUM(U$217,U$225)/SUM(U$210,U$217,U$225),SUM(V$217,V$225)/SUM(V$210,V$217,V$225)),SUM(V$217,V$225)/SUM(V$210,V$217,V$225))*SUM(W$285,W$327-W$240))</f>
        <v>21.890689224573411</v>
      </c>
      <c r="X225" s="20">
        <f ca="1">SUM(-X$217,IF(X$6=OFFSET(Assumptions!$B$8,0,$C$1),AVERAGE(SUM(U$217,U$225)/SUM(U$210,U$217,U$225),SUM(V$217,V$225)/SUM(V$210,V$217,V$225),SUM(W$217,W$225)/SUM(W$210,W$217,W$225)),SUM(W$217,W$225)/SUM(W$210,W$217,W$225))*SUM(X$285,X$327-X$240))</f>
        <v>22.704597868053508</v>
      </c>
      <c r="Y225" s="20">
        <f ca="1">SUM(-Y$217,IF(Y$6=OFFSET(Assumptions!$B$8,0,$C$1),AVERAGE(SUM(V$217,V$225)/SUM(V$210,V$217,V$225),SUM(W$217,W$225)/SUM(W$210,W$217,W$225),SUM(X$217,X$225)/SUM(X$210,X$217,X$225)),SUM(X$217,X$225)/SUM(X$210,X$217,X$225))*SUM(Y$285,Y$327-Y$240))</f>
        <v>23.545432516273788</v>
      </c>
      <c r="Z225" s="20">
        <f ca="1">SUM(-Z$217,IF(Z$6=OFFSET(Assumptions!$B$8,0,$C$1),AVERAGE(SUM(W$217,W$225)/SUM(W$210,W$217,W$225),SUM(X$217,X$225)/SUM(X$210,X$217,X$225),SUM(Y$217,Y$225)/SUM(Y$210,Y$217,Y$225)),SUM(Y$217,Y$225)/SUM(Y$210,Y$217,Y$225))*SUM(Z$285,Z$327-Z$240))</f>
        <v>24.410354490221003</v>
      </c>
    </row>
    <row r="226" spans="1:26" x14ac:dyDescent="0.25">
      <c r="A226" s="12" t="s">
        <v>1228</v>
      </c>
      <c r="B226" s="14" t="str">
        <f>$B$38</f>
        <v>From Fiscal Forecasts</v>
      </c>
      <c r="D226" s="50">
        <f>'Fiscal Forecasts'!D$273</f>
        <v>-33.872999999999998</v>
      </c>
      <c r="E226" s="50">
        <f>'Fiscal Forecasts'!E$273</f>
        <v>-36.92</v>
      </c>
      <c r="F226" s="50">
        <f>'Fiscal Forecasts'!F$273</f>
        <v>-41.241999999999997</v>
      </c>
      <c r="G226" s="50">
        <f>'Fiscal Forecasts'!G$273</f>
        <v>-44.725999999999999</v>
      </c>
      <c r="H226" s="50">
        <f>'Fiscal Forecasts'!H$273</f>
        <v>-50.067</v>
      </c>
      <c r="I226" s="50">
        <f>'Fiscal Forecasts'!I$273</f>
        <v>-53.246000000000002</v>
      </c>
      <c r="J226" s="50">
        <f>'Fiscal Forecasts'!J$273</f>
        <v>-53.735999999999997</v>
      </c>
      <c r="K226" s="50">
        <f>'Fiscal Forecasts'!K$273</f>
        <v>-56.573</v>
      </c>
      <c r="L226" s="48">
        <f>'Fiscal Forecasts'!L$273</f>
        <v>-58.744</v>
      </c>
      <c r="M226" s="48">
        <f>'Fiscal Forecasts'!M$273</f>
        <v>-58.534999999999997</v>
      </c>
      <c r="N226" s="48">
        <f>'Fiscal Forecasts'!N$273</f>
        <v>-58.863999999999997</v>
      </c>
      <c r="O226" s="48">
        <f>'Fiscal Forecasts'!O$273</f>
        <v>-59.152000000000001</v>
      </c>
      <c r="P226" s="48">
        <f>'Fiscal Forecasts'!P$273</f>
        <v>-59.59</v>
      </c>
      <c r="Q226" s="20">
        <f ca="1">IF(Q$6=OFFSET(Assumptions!$B$8,0,$C$1),AVERAGE(N$226/SUM(N$211,N$226),O$226/SUM(O$211,O$226),P$226/SUM(P$211,P$226)),P$226/SUM(P$211,P$226))*SUM(Q$199,Q$258,Q$267,Q$286,Q$328)</f>
        <v>-64.827737326942596</v>
      </c>
      <c r="R226" s="20">
        <f ca="1">IF(R$6=OFFSET(Assumptions!$B$8,0,$C$1),AVERAGE(O$226/SUM(O$211,O$226),P$226/SUM(P$211,P$226),Q$226/SUM(Q$211,Q$226)),Q$226/SUM(Q$211,Q$226))*SUM(R$199,R$258,R$267,R$286,R$328)</f>
        <v>-68.511331294605597</v>
      </c>
      <c r="S226" s="20">
        <f ca="1">IF(S$6=OFFSET(Assumptions!$B$8,0,$C$1),AVERAGE(P$226/SUM(P$211,P$226),Q$226/SUM(Q$211,Q$226),R$226/SUM(R$211,R$226)),R$226/SUM(R$211,R$226))*SUM(S$199,S$258,S$267,S$286,S$328)</f>
        <v>-72.011169544258891</v>
      </c>
      <c r="T226" s="20">
        <f ca="1">IF(T$6=OFFSET(Assumptions!$B$8,0,$C$1),AVERAGE(Q$226/SUM(Q$211,Q$226),R$226/SUM(R$211,R$226),S$226/SUM(S$211,S$226)),S$226/SUM(S$211,S$226))*SUM(T$199,T$258,T$267,T$286,T$328)</f>
        <v>-75.868257817056147</v>
      </c>
      <c r="U226" s="20">
        <f ca="1">IF(U$6=OFFSET(Assumptions!$B$8,0,$C$1),AVERAGE(R$226/SUM(R$211,R$226),S$226/SUM(S$211,S$226),T$226/SUM(T$211,T$226)),T$226/SUM(T$211,T$226))*SUM(U$199,U$258,U$267,U$286,U$328)</f>
        <v>-79.994967031351308</v>
      </c>
      <c r="V226" s="20">
        <f ca="1">IF(V$6=OFFSET(Assumptions!$B$8,0,$C$1),AVERAGE(S$226/SUM(S$211,S$226),T$226/SUM(T$211,T$226),U$226/SUM(U$211,U$226)),U$226/SUM(U$211,U$226))*SUM(V$199,V$258,V$267,V$286,V$328)</f>
        <v>-84.11812910121229</v>
      </c>
      <c r="W226" s="20">
        <f ca="1">IF(W$6=OFFSET(Assumptions!$B$8,0,$C$1),AVERAGE(T$226/SUM(T$211,T$226),U$226/SUM(U$211,U$226),V$226/SUM(V$211,V$226)),V$226/SUM(V$211,V$226))*SUM(W$199,W$258,W$267,W$286,W$328)</f>
        <v>-88.347968168089992</v>
      </c>
      <c r="X226" s="20">
        <f ca="1">IF(X$6=OFFSET(Assumptions!$B$8,0,$C$1),AVERAGE(U$226/SUM(U$211,U$226),V$226/SUM(V$211,V$226),W$226/SUM(W$211,W$226)),W$226/SUM(W$211,W$226))*SUM(X$199,X$258,X$267,X$286,X$328)</f>
        <v>-92.774859592624324</v>
      </c>
      <c r="Y226" s="20">
        <f ca="1">IF(Y$6=OFFSET(Assumptions!$B$8,0,$C$1),AVERAGE(V$226/SUM(V$211,V$226),W$226/SUM(W$211,W$226),X$226/SUM(X$211,X$226)),X$226/SUM(X$211,X$226))*SUM(Y$199,Y$258,Y$267,Y$286,Y$328)</f>
        <v>-97.401062448000701</v>
      </c>
      <c r="Z226" s="20">
        <f ca="1">IF(Z$6=OFFSET(Assumptions!$B$8,0,$C$1),AVERAGE(W$226/SUM(W$211,W$226),X$226/SUM(X$211,X$226),Y$226/SUM(Y$211,Y$226)),Y$226/SUM(Y$211,Y$226))*SUM(Z$199,Z$258,Z$267,Z$286,Z$328)</f>
        <v>-102.25782954689484</v>
      </c>
    </row>
    <row r="227" spans="1:26" x14ac:dyDescent="0.25">
      <c r="A227" s="11" t="s">
        <v>1260</v>
      </c>
      <c r="D227" s="94">
        <f t="shared" ref="D227:Z227" si="142">SUM(D$223:D$226)</f>
        <v>42.693000000000005</v>
      </c>
      <c r="E227" s="94">
        <f t="shared" si="142"/>
        <v>52.582999999999984</v>
      </c>
      <c r="F227" s="94">
        <f t="shared" si="142"/>
        <v>53.802000000000014</v>
      </c>
      <c r="G227" s="94">
        <f t="shared" si="142"/>
        <v>58.27300000000001</v>
      </c>
      <c r="H227" s="94">
        <f t="shared" si="142"/>
        <v>64.134000000000015</v>
      </c>
      <c r="I227" s="94">
        <f t="shared" si="142"/>
        <v>70.62</v>
      </c>
      <c r="J227" s="94">
        <f t="shared" si="142"/>
        <v>69.827000000000027</v>
      </c>
      <c r="K227" s="94">
        <f t="shared" si="142"/>
        <v>67.600999999999999</v>
      </c>
      <c r="L227" s="95">
        <f ca="1">SUM(L$223:L$226)</f>
        <v>73.481999999999999</v>
      </c>
      <c r="M227" s="95">
        <f ca="1">SUM(M$223:M$226)</f>
        <v>72.538000000000011</v>
      </c>
      <c r="N227" s="95">
        <f ca="1">SUM(N$223:N$226)</f>
        <v>74.935000000000002</v>
      </c>
      <c r="O227" s="95">
        <f ca="1">SUM(O$223:O$226)</f>
        <v>77.666999999999987</v>
      </c>
      <c r="P227" s="95">
        <f ca="1">SUM(P$223:P$226)</f>
        <v>79.960000000000008</v>
      </c>
      <c r="Q227" s="96">
        <f t="shared" ca="1" si="142"/>
        <v>83.862548438861992</v>
      </c>
      <c r="R227" s="96">
        <f t="shared" ca="1" si="142"/>
        <v>88.071414644905829</v>
      </c>
      <c r="S227" s="96">
        <f t="shared" ca="1" si="142"/>
        <v>91.818870626271703</v>
      </c>
      <c r="T227" s="96">
        <f t="shared" ca="1" si="142"/>
        <v>95.594732069341475</v>
      </c>
      <c r="U227" s="96">
        <f t="shared" ca="1" si="142"/>
        <v>99.491794054608107</v>
      </c>
      <c r="V227" s="96">
        <f t="shared" ca="1" si="142"/>
        <v>103.69148462139718</v>
      </c>
      <c r="W227" s="96">
        <f t="shared" ca="1" si="142"/>
        <v>108.08061136070539</v>
      </c>
      <c r="X227" s="96">
        <f t="shared" ca="1" si="142"/>
        <v>112.63438440693594</v>
      </c>
      <c r="Y227" s="96">
        <f t="shared" ca="1" si="142"/>
        <v>117.35772409705756</v>
      </c>
      <c r="Z227" s="96">
        <f t="shared" ca="1" si="142"/>
        <v>122.29012907681945</v>
      </c>
    </row>
    <row r="228" spans="1:26" x14ac:dyDescent="0.25">
      <c r="A228" s="11"/>
    </row>
    <row r="229" spans="1:26" x14ac:dyDescent="0.25">
      <c r="A229" s="11" t="s">
        <v>1261</v>
      </c>
    </row>
    <row r="230" spans="1:26" x14ac:dyDescent="0.25">
      <c r="A230" s="11" t="s">
        <v>1262</v>
      </c>
      <c r="B230" s="14" t="str">
        <f>$B$38</f>
        <v>From Fiscal Forecasts</v>
      </c>
      <c r="D230" s="51">
        <f>'Fiscal Forecasts'!D$173</f>
        <v>3.69</v>
      </c>
      <c r="E230" s="51">
        <f>'Fiscal Forecasts'!E$173</f>
        <v>3.2280000000000002</v>
      </c>
      <c r="F230" s="51">
        <f>'Fiscal Forecasts'!F$173</f>
        <v>1.9179999999999999</v>
      </c>
      <c r="G230" s="51">
        <f>'Fiscal Forecasts'!G$173</f>
        <v>2.8839999999999999</v>
      </c>
      <c r="H230" s="51">
        <f>'Fiscal Forecasts'!H$173</f>
        <v>6.569</v>
      </c>
      <c r="I230" s="51">
        <f>'Fiscal Forecasts'!I$173</f>
        <v>8.9429999999999996</v>
      </c>
      <c r="J230" s="51">
        <f>'Fiscal Forecasts'!J$173</f>
        <v>8.8620000000000001</v>
      </c>
      <c r="K230" s="51">
        <f>'Fiscal Forecasts'!K$173</f>
        <v>9.0570000000000004</v>
      </c>
      <c r="L230" s="47">
        <f>'Fiscal Forecasts'!L$173</f>
        <v>10.291</v>
      </c>
      <c r="M230" s="47">
        <f>'Fiscal Forecasts'!M$173</f>
        <v>11.396000000000001</v>
      </c>
      <c r="N230" s="47">
        <f>'Fiscal Forecasts'!N$173</f>
        <v>12.481</v>
      </c>
      <c r="O230" s="47">
        <f>'Fiscal Forecasts'!O$173</f>
        <v>13.502000000000001</v>
      </c>
      <c r="P230" s="47">
        <f>'Fiscal Forecasts'!P$173</f>
        <v>13.689</v>
      </c>
      <c r="Q230" s="21">
        <f t="shared" ref="Q230:Z230" ca="1" si="143">Q$480</f>
        <v>13.688314309305426</v>
      </c>
      <c r="R230" s="21">
        <f t="shared" ca="1" si="143"/>
        <v>13.835323175434354</v>
      </c>
      <c r="S230" s="21">
        <f t="shared" ca="1" si="143"/>
        <v>14.040298214296021</v>
      </c>
      <c r="T230" s="21">
        <f t="shared" ca="1" si="143"/>
        <v>14.264849280914238</v>
      </c>
      <c r="U230" s="21">
        <f t="shared" ca="1" si="143"/>
        <v>14.502686446463228</v>
      </c>
      <c r="V230" s="21">
        <f t="shared" ca="1" si="143"/>
        <v>14.667404151710713</v>
      </c>
      <c r="W230" s="21">
        <f t="shared" ca="1" si="143"/>
        <v>14.848533586949101</v>
      </c>
      <c r="X230" s="21">
        <f t="shared" ca="1" si="143"/>
        <v>15.050369532719941</v>
      </c>
      <c r="Y230" s="21">
        <f t="shared" ca="1" si="143"/>
        <v>15.278564401580399</v>
      </c>
      <c r="Z230" s="21">
        <f t="shared" ca="1" si="143"/>
        <v>15.53926004709162</v>
      </c>
    </row>
    <row r="231" spans="1:26" x14ac:dyDescent="0.25">
      <c r="A231" s="12" t="s">
        <v>1020</v>
      </c>
      <c r="B231" s="14" t="str">
        <f>$B$38</f>
        <v>From Fiscal Forecasts</v>
      </c>
      <c r="D231" s="50">
        <f>'Fiscal Forecasts'!D$276</f>
        <v>0.11700000000000001</v>
      </c>
      <c r="E231" s="50">
        <f>'Fiscal Forecasts'!E$276</f>
        <v>0.16400000000000001</v>
      </c>
      <c r="F231" s="50">
        <f>'Fiscal Forecasts'!F$276</f>
        <v>0.218</v>
      </c>
      <c r="G231" s="50">
        <f>'Fiscal Forecasts'!G$276</f>
        <v>0.30099999999999999</v>
      </c>
      <c r="H231" s="50">
        <f>'Fiscal Forecasts'!H$276</f>
        <v>0.872</v>
      </c>
      <c r="I231" s="50">
        <f>'Fiscal Forecasts'!I$276</f>
        <v>1.9690000000000001</v>
      </c>
      <c r="J231" s="50">
        <f>'Fiscal Forecasts'!J$276</f>
        <v>2.387</v>
      </c>
      <c r="K231" s="50">
        <f>'Fiscal Forecasts'!K$276</f>
        <v>2.2010000000000001</v>
      </c>
      <c r="L231" s="48">
        <f>'Fiscal Forecasts'!L$276</f>
        <v>2.4409999999999998</v>
      </c>
      <c r="M231" s="48">
        <f>'Fiscal Forecasts'!M$276</f>
        <v>2.8340000000000001</v>
      </c>
      <c r="N231" s="48">
        <f>'Fiscal Forecasts'!N$276</f>
        <v>3.27</v>
      </c>
      <c r="O231" s="48">
        <f>'Fiscal Forecasts'!O$276</f>
        <v>3.6720000000000002</v>
      </c>
      <c r="P231" s="48">
        <f>'Fiscal Forecasts'!P$276</f>
        <v>4.0439999999999996</v>
      </c>
      <c r="Q231" s="20">
        <f ca="1">IF(Q$6=OFFSET(Assumptions!$B$8,0,$C$1),AVERAGE(N$231/SUM(N$231:N$233),O$231/SUM(O$231:O$233),P$231/SUM(P$231:P$233)),P$231/SUM(P$231:P$233))*(Q$96-Q$480)</f>
        <v>4.6514380133930695</v>
      </c>
      <c r="R231" s="20">
        <f ca="1">IF(R$6=OFFSET(Assumptions!$B$8,0,$C$1),AVERAGE(O$231/SUM(O$231:O$233),P$231/SUM(P$231:P$233),Q$231/SUM(Q$231:Q$233)),Q$231/SUM(Q$231:Q$233))*(R$96-R$480)</f>
        <v>5.0315589979153073</v>
      </c>
      <c r="S231" s="20">
        <f ca="1">IF(S$6=OFFSET(Assumptions!$B$8,0,$C$1),AVERAGE(P$231/SUM(P$231:P$233),Q$231/SUM(Q$231:Q$233),R$231/SUM(R$231:R$233)),R$231/SUM(R$231:R$233))*(S$96-S$480)</f>
        <v>5.4121200149337447</v>
      </c>
      <c r="T231" s="20">
        <f ca="1">IF(T$6=OFFSET(Assumptions!$B$8,0,$C$1),AVERAGE(Q$231/SUM(Q$231:Q$233),R$231/SUM(R$231:R$233),S$231/SUM(S$231:S$233)),S$231/SUM(S$231:S$233))*(T$96-T$480)</f>
        <v>5.7918565040902612</v>
      </c>
      <c r="U231" s="20">
        <f ca="1">IF(U$6=OFFSET(Assumptions!$B$8,0,$C$1),AVERAGE(R$231/SUM(R$231:R$233),S$231/SUM(S$231:S$233),T$231/SUM(T$231:T$233)),T$231/SUM(T$231:T$233))*(U$96-U$480)</f>
        <v>6.165924718166063</v>
      </c>
      <c r="V231" s="20">
        <f ca="1">IF(V$6=OFFSET(Assumptions!$B$8,0,$C$1),AVERAGE(S$231/SUM(S$231:S$233),T$231/SUM(T$231:T$233),U$231/SUM(U$231:U$233)),U$231/SUM(U$231:U$233))*(V$96-V$480)</f>
        <v>6.5020707607821047</v>
      </c>
      <c r="W231" s="20">
        <f ca="1">IF(W$6=OFFSET(Assumptions!$B$8,0,$C$1),AVERAGE(T$231/SUM(T$231:T$233),U$231/SUM(U$231:U$233),V$231/SUM(V$231:V$233)),V$231/SUM(V$231:V$233))*(W$96-W$480)</f>
        <v>6.8416778661127138</v>
      </c>
      <c r="X231" s="20">
        <f ca="1">IF(X$6=OFFSET(Assumptions!$B$8,0,$C$1),AVERAGE(U$231/SUM(U$231:U$233),V$231/SUM(V$231:V$233),W$231/SUM(W$231:W$233)),W$231/SUM(W$231:W$233))*(X$96-X$480)</f>
        <v>7.1861399183228336</v>
      </c>
      <c r="Y231" s="20">
        <f ca="1">IF(Y$6=OFFSET(Assumptions!$B$8,0,$C$1),AVERAGE(V$231/SUM(V$231:V$233),W$231/SUM(W$231:W$233),X$231/SUM(X$231:X$233)),X$231/SUM(X$231:X$233))*(Y$96-Y$480)</f>
        <v>7.5355603358301293</v>
      </c>
      <c r="Z231" s="20">
        <f ca="1">IF(Z$6=OFFSET(Assumptions!$B$8,0,$C$1),AVERAGE(W$231/SUM(W$231:W$233),X$231/SUM(X$231:X$233),Y$231/SUM(Y$231:Y$233)),Y$231/SUM(Y$231:Y$233))*(Z$96-Z$480)</f>
        <v>7.890790359352196</v>
      </c>
    </row>
    <row r="232" spans="1:26" x14ac:dyDescent="0.25">
      <c r="A232" s="12" t="s">
        <v>1227</v>
      </c>
      <c r="B232" s="14" t="str">
        <f>$B$38</f>
        <v>From Fiscal Forecasts</v>
      </c>
      <c r="D232" s="50">
        <f>'Fiscal Forecasts'!D$277</f>
        <v>1.0449999999999999</v>
      </c>
      <c r="E232" s="50">
        <f>'Fiscal Forecasts'!E$277</f>
        <v>0.90100000000000002</v>
      </c>
      <c r="F232" s="50">
        <f>'Fiscal Forecasts'!F$277</f>
        <v>0.59199999999999997</v>
      </c>
      <c r="G232" s="50">
        <f>'Fiscal Forecasts'!G$277</f>
        <v>0.66</v>
      </c>
      <c r="H232" s="50">
        <f>'Fiscal Forecasts'!H$277</f>
        <v>0.68200000000000005</v>
      </c>
      <c r="I232" s="50">
        <f>'Fiscal Forecasts'!I$277</f>
        <v>0.57999999999999996</v>
      </c>
      <c r="J232" s="50">
        <f>'Fiscal Forecasts'!J$277</f>
        <v>0.57199999999999995</v>
      </c>
      <c r="K232" s="50">
        <f>'Fiscal Forecasts'!K$277</f>
        <v>0.57699999999999996</v>
      </c>
      <c r="L232" s="48">
        <f>'Fiscal Forecasts'!L$277</f>
        <v>0.64900000000000002</v>
      </c>
      <c r="M232" s="48">
        <f>'Fiscal Forecasts'!M$277</f>
        <v>0.74099999999999999</v>
      </c>
      <c r="N232" s="48">
        <f>'Fiscal Forecasts'!N$277</f>
        <v>0.84499999999999997</v>
      </c>
      <c r="O232" s="48">
        <f>'Fiscal Forecasts'!O$277</f>
        <v>0.89400000000000002</v>
      </c>
      <c r="P232" s="48">
        <f>'Fiscal Forecasts'!P$277</f>
        <v>0.95599999999999996</v>
      </c>
      <c r="Q232" s="20">
        <f ca="1">IF(Q$6=OFFSET(Assumptions!$B$8,0,$C$1),AVERAGE(N$232/SUM(N$231:N$233),O$232/SUM(O$231:O$233),P$232/SUM(P$231:P$233)),P$232/SUM(P$231:P$233))*(Q$96-Q$480)</f>
        <v>1.1459527186083465</v>
      </c>
      <c r="R232" s="20">
        <f ca="1">IF(R$6=OFFSET(Assumptions!$B$8,0,$C$1),AVERAGE(O$232/SUM(O$231:O$233),P$232/SUM(P$231:P$233),Q$232/SUM(Q$231:Q$233)),Q$232/SUM(Q$231:Q$233))*(R$96-R$480)</f>
        <v>1.2396013224076654</v>
      </c>
      <c r="S232" s="20">
        <f ca="1">IF(S$6=OFFSET(Assumptions!$B$8,0,$C$1),AVERAGE(P$232/SUM(P$231:P$233),Q$232/SUM(Q$231:Q$233),R$232/SUM(R$231:R$233)),R$232/SUM(R$231:R$233))*(S$96-S$480)</f>
        <v>1.333358334925717</v>
      </c>
      <c r="T232" s="20">
        <f ca="1">IF(T$6=OFFSET(Assumptions!$B$8,0,$C$1),AVERAGE(Q$232/SUM(Q$231:Q$233),R$232/SUM(R$231:R$233),S$232/SUM(S$231:S$233)),S$232/SUM(S$231:S$233))*(T$96-T$480)</f>
        <v>1.4269122124256912</v>
      </c>
      <c r="U232" s="20">
        <f ca="1">IF(U$6=OFFSET(Assumptions!$B$8,0,$C$1),AVERAGE(R$232/SUM(R$231:R$233),S$232/SUM(S$231:S$233),T$232/SUM(T$231:T$233)),T$232/SUM(T$231:T$233))*(U$96-U$480)</f>
        <v>1.5190696238822909</v>
      </c>
      <c r="V232" s="20">
        <f ca="1">IF(V$6=OFFSET(Assumptions!$B$8,0,$C$1),AVERAGE(S$232/SUM(S$231:S$233),T$232/SUM(T$231:T$233),U$232/SUM(U$231:U$233)),U$232/SUM(U$231:U$233))*(V$96-V$480)</f>
        <v>1.601884329845511</v>
      </c>
      <c r="W232" s="20">
        <f ca="1">IF(W$6=OFFSET(Assumptions!$B$8,0,$C$1),AVERAGE(T$232/SUM(T$231:T$233),U$232/SUM(U$231:U$233),V$232/SUM(V$231:V$233)),V$232/SUM(V$231:V$233))*(W$96-W$480)</f>
        <v>1.6855517214116804</v>
      </c>
      <c r="X232" s="20">
        <f ca="1">IF(X$6=OFFSET(Assumptions!$B$8,0,$C$1),AVERAGE(U$232/SUM(U$231:U$233),V$232/SUM(V$231:V$233),W$232/SUM(W$231:W$233)),W$232/SUM(W$231:W$233))*(X$96-X$480)</f>
        <v>1.7704152032104306</v>
      </c>
      <c r="Y232" s="20">
        <f ca="1">IF(Y$6=OFFSET(Assumptions!$B$8,0,$C$1),AVERAGE(V$232/SUM(V$231:V$233),W$232/SUM(W$231:W$233),X$232/SUM(X$231:X$233)),X$232/SUM(X$231:X$233))*(Y$96-Y$480)</f>
        <v>1.8565002539467419</v>
      </c>
      <c r="Z232" s="20">
        <f ca="1">IF(Z$6=OFFSET(Assumptions!$B$8,0,$C$1),AVERAGE(W$232/SUM(W$231:W$233),X$232/SUM(X$231:X$233),Y$232/SUM(Y$231:Y$233)),Y$232/SUM(Y$231:Y$233))*(Z$96-Z$480)</f>
        <v>1.944016589758228</v>
      </c>
    </row>
    <row r="233" spans="1:26" x14ac:dyDescent="0.25">
      <c r="A233" s="12" t="s">
        <v>1228</v>
      </c>
      <c r="B233" s="14" t="str">
        <f>$B$38</f>
        <v>From Fiscal Forecasts</v>
      </c>
      <c r="D233" s="50">
        <f>'Fiscal Forecasts'!D$278</f>
        <v>-0.55400000000000005</v>
      </c>
      <c r="E233" s="50">
        <f>'Fiscal Forecasts'!E$278</f>
        <v>-0.53900000000000003</v>
      </c>
      <c r="F233" s="50">
        <f>'Fiscal Forecasts'!F$278</f>
        <v>-0.45600000000000002</v>
      </c>
      <c r="G233" s="50">
        <f>'Fiscal Forecasts'!G$278</f>
        <v>-0.496</v>
      </c>
      <c r="H233" s="50">
        <f>'Fiscal Forecasts'!H$278</f>
        <v>-0.67500000000000004</v>
      </c>
      <c r="I233" s="50">
        <f>'Fiscal Forecasts'!I$278</f>
        <v>-1.1179999999999999</v>
      </c>
      <c r="J233" s="50">
        <f>'Fiscal Forecasts'!J$278</f>
        <v>-1.431</v>
      </c>
      <c r="K233" s="50">
        <f>'Fiscal Forecasts'!K$278</f>
        <v>-1.587</v>
      </c>
      <c r="L233" s="48">
        <f>'Fiscal Forecasts'!L$278</f>
        <v>-1.7230000000000001</v>
      </c>
      <c r="M233" s="48">
        <f>'Fiscal Forecasts'!M$278</f>
        <v>-1.89</v>
      </c>
      <c r="N233" s="48">
        <f>'Fiscal Forecasts'!N$278</f>
        <v>-2.0009999999999999</v>
      </c>
      <c r="O233" s="48">
        <f>'Fiscal Forecasts'!O$278</f>
        <v>-2.085</v>
      </c>
      <c r="P233" s="48">
        <f>'Fiscal Forecasts'!P$278</f>
        <v>-2.1890000000000001</v>
      </c>
      <c r="Q233" s="20">
        <f ca="1">IF(Q$6=OFFSET(Assumptions!$B$8,0,$C$1),AVERAGE(N$233/SUM(N$231:N$233),O$233/SUM(O$231:O$233),P$233/SUM(P$231:P$233)),P$233/SUM(P$231:P$233))*(Q$96-Q$480)</f>
        <v>-2.6724834324571329</v>
      </c>
      <c r="R233" s="20">
        <f ca="1">IF(R$6=OFFSET(Assumptions!$B$8,0,$C$1),AVERAGE(O$233/SUM(O$231:O$233),P$233/SUM(P$231:P$233),Q$233/SUM(Q$231:Q$233)),Q$233/SUM(Q$231:Q$233))*(R$96-R$480)</f>
        <v>-2.890881921384632</v>
      </c>
      <c r="S233" s="20">
        <f ca="1">IF(S$6=OFFSET(Assumptions!$B$8,0,$C$1),AVERAGE(P$233/SUM(P$231:P$233),Q$233/SUM(Q$231:Q$233),R$233/SUM(R$231:R$233)),R$233/SUM(R$231:R$233))*(S$96-S$480)</f>
        <v>-3.1095332309565098</v>
      </c>
      <c r="T233" s="20">
        <f ca="1">IF(T$6=OFFSET(Assumptions!$B$8,0,$C$1),AVERAGE(Q$233/SUM(Q$231:Q$233),R$233/SUM(R$231:R$233),S$233/SUM(S$231:S$233)),S$233/SUM(S$231:S$233))*(T$96-T$480)</f>
        <v>-3.3277108080946252</v>
      </c>
      <c r="U233" s="20">
        <f ca="1">IF(U$6=OFFSET(Assumptions!$B$8,0,$C$1),AVERAGE(R$233/SUM(R$231:R$233),S$233/SUM(S$231:S$233),T$233/SUM(T$231:T$233)),T$233/SUM(T$231:T$233))*(U$96-U$480)</f>
        <v>-3.5426316781240565</v>
      </c>
      <c r="V233" s="20">
        <f ca="1">IF(V$6=OFFSET(Assumptions!$B$8,0,$C$1),AVERAGE(S$233/SUM(S$231:S$233),T$233/SUM(T$231:T$233),U$233/SUM(U$231:U$233)),U$233/SUM(U$231:U$233))*(V$96-V$480)</f>
        <v>-3.7357643668088811</v>
      </c>
      <c r="W233" s="20">
        <f ca="1">IF(W$6=OFFSET(Assumptions!$B$8,0,$C$1),AVERAGE(T$233/SUM(T$231:T$233),U$233/SUM(U$231:U$233),V$233/SUM(V$231:V$233)),V$233/SUM(V$231:V$233))*(W$96-W$480)</f>
        <v>-3.930885608869402</v>
      </c>
      <c r="X233" s="20">
        <f ca="1">IF(X$6=OFFSET(Assumptions!$B$8,0,$C$1),AVERAGE(U$233/SUM(U$231:U$233),V$233/SUM(V$231:V$233),W$233/SUM(W$231:W$233)),W$233/SUM(W$231:W$233))*(X$96-X$480)</f>
        <v>-4.1287962603692394</v>
      </c>
      <c r="Y233" s="20">
        <f ca="1">IF(Y$6=OFFSET(Assumptions!$B$8,0,$C$1),AVERAGE(V$233/SUM(V$231:V$233),W$233/SUM(W$231:W$233),X$233/SUM(X$231:X$233)),X$233/SUM(X$231:X$233))*(Y$96-Y$480)</f>
        <v>-4.3295557403540776</v>
      </c>
      <c r="Z233" s="20">
        <f ca="1">IF(Z$6=OFFSET(Assumptions!$B$8,0,$C$1),AVERAGE(W$233/SUM(W$231:W$233),X$233/SUM(X$231:X$233),Y$233/SUM(Y$231:Y$233)),Y$233/SUM(Y$231:Y$233))*(Z$96-Z$480)</f>
        <v>-4.5336531291273117</v>
      </c>
    </row>
    <row r="234" spans="1:26" x14ac:dyDescent="0.25">
      <c r="A234" s="11" t="s">
        <v>1263</v>
      </c>
      <c r="D234" s="94">
        <f t="shared" ref="D234:Z234" si="144">SUM(D$230:D$233)</f>
        <v>4.298</v>
      </c>
      <c r="E234" s="94">
        <f t="shared" si="144"/>
        <v>3.754</v>
      </c>
      <c r="F234" s="94">
        <f t="shared" si="144"/>
        <v>2.2720000000000002</v>
      </c>
      <c r="G234" s="94">
        <f t="shared" si="144"/>
        <v>3.3490000000000002</v>
      </c>
      <c r="H234" s="94">
        <f t="shared" si="144"/>
        <v>7.4479999999999995</v>
      </c>
      <c r="I234" s="94">
        <f t="shared" si="144"/>
        <v>10.373999999999999</v>
      </c>
      <c r="J234" s="94">
        <f t="shared" si="144"/>
        <v>10.39</v>
      </c>
      <c r="K234" s="94">
        <f t="shared" si="144"/>
        <v>10.248000000000001</v>
      </c>
      <c r="L234" s="95">
        <f t="shared" si="144"/>
        <v>11.657999999999999</v>
      </c>
      <c r="M234" s="95">
        <f t="shared" si="144"/>
        <v>13.081</v>
      </c>
      <c r="N234" s="95">
        <f t="shared" si="144"/>
        <v>14.595000000000001</v>
      </c>
      <c r="O234" s="95">
        <f t="shared" si="144"/>
        <v>15.982999999999997</v>
      </c>
      <c r="P234" s="95">
        <f t="shared" si="144"/>
        <v>16.5</v>
      </c>
      <c r="Q234" s="96">
        <f t="shared" ca="1" si="144"/>
        <v>16.813221608849709</v>
      </c>
      <c r="R234" s="96">
        <f t="shared" ca="1" si="144"/>
        <v>17.215601574372695</v>
      </c>
      <c r="S234" s="96">
        <f t="shared" ca="1" si="144"/>
        <v>17.676243333198968</v>
      </c>
      <c r="T234" s="96">
        <f t="shared" ca="1" si="144"/>
        <v>18.155907189335565</v>
      </c>
      <c r="U234" s="96">
        <f t="shared" ca="1" si="144"/>
        <v>18.645049110387525</v>
      </c>
      <c r="V234" s="96">
        <f t="shared" ca="1" si="144"/>
        <v>19.035594875529448</v>
      </c>
      <c r="W234" s="96">
        <f t="shared" ca="1" si="144"/>
        <v>19.444877565604092</v>
      </c>
      <c r="X234" s="96">
        <f t="shared" ca="1" si="144"/>
        <v>19.878128393883966</v>
      </c>
      <c r="Y234" s="96">
        <f t="shared" ca="1" si="144"/>
        <v>20.341069251003191</v>
      </c>
      <c r="Z234" s="96">
        <f t="shared" ca="1" si="144"/>
        <v>20.84041386707473</v>
      </c>
    </row>
    <row r="235" spans="1:26" x14ac:dyDescent="0.25">
      <c r="A235" s="14" t="s">
        <v>658</v>
      </c>
      <c r="E235" s="89">
        <f t="shared" ref="E235:P235" si="145">E$230/AVERAGE(D$71,E$71)</f>
        <v>2.9634933968629935E-2</v>
      </c>
      <c r="F235" s="89">
        <f t="shared" si="145"/>
        <v>1.4817447196427743E-2</v>
      </c>
      <c r="G235" s="89">
        <f t="shared" si="145"/>
        <v>1.9129171655131016E-2</v>
      </c>
      <c r="H235" s="89">
        <f t="shared" si="145"/>
        <v>3.6492923905948361E-2</v>
      </c>
      <c r="I235" s="89">
        <f t="shared" si="145"/>
        <v>4.3905169154937182E-2</v>
      </c>
      <c r="J235" s="89">
        <f t="shared" si="145"/>
        <v>3.8926811269535878E-2</v>
      </c>
      <c r="K235" s="89">
        <f t="shared" si="145"/>
        <v>3.6534598349347733E-2</v>
      </c>
      <c r="L235" s="66">
        <f t="shared" si="145"/>
        <v>3.8861678706700244E-2</v>
      </c>
      <c r="M235" s="66">
        <f t="shared" si="145"/>
        <v>4.0583178422113488E-2</v>
      </c>
      <c r="N235" s="66">
        <f t="shared" si="145"/>
        <v>4.2446533725796272E-2</v>
      </c>
      <c r="O235" s="66">
        <f t="shared" si="145"/>
        <v>4.4865266302370359E-2</v>
      </c>
      <c r="P235" s="66">
        <f t="shared" si="145"/>
        <v>4.5545513073249118E-2</v>
      </c>
      <c r="Q235" s="101">
        <f ca="1">IF(Q$6&lt;OFFSET(Assumptions!$B$8,0,$C$1)+OFFSET(Assumptions!$B$23,0,$C$1),P$235+(OFFSET(P$30,0,OFFSET(Assumptions!$B$8,0,$C$1)+OFFSET(Assumptions!$B$23,0,$C$1)-Q$6)-P$235)/(OFFSET(Assumptions!$B$8,0,$C$1)+OFFSET(Assumptions!$B$23,0,$C$1)-Q$6),Q$30)</f>
        <v>4.5836410458599292E-2</v>
      </c>
      <c r="R235" s="101">
        <f ca="1">IF(R$6&lt;OFFSET(Assumptions!$B$8,0,$C$1)+OFFSET(Assumptions!$B$23,0,$C$1),Q$235+(OFFSET(Q$30,0,OFFSET(Assumptions!$B$8,0,$C$1)+OFFSET(Assumptions!$B$23,0,$C$1)-R$6)-Q$235)/(OFFSET(Assumptions!$B$8,0,$C$1)+OFFSET(Assumptions!$B$23,0,$C$1)-R$6),R$30)</f>
        <v>4.6127307843949472E-2</v>
      </c>
      <c r="S235" s="101">
        <f ca="1">IF(S$6&lt;OFFSET(Assumptions!$B$8,0,$C$1)+OFFSET(Assumptions!$B$23,0,$C$1),R$235+(OFFSET(R$30,0,OFFSET(Assumptions!$B$8,0,$C$1)+OFFSET(Assumptions!$B$23,0,$C$1)-S$6)-R$235)/(OFFSET(Assumptions!$B$8,0,$C$1)+OFFSET(Assumptions!$B$23,0,$C$1)-S$6),S$30)</f>
        <v>4.6418205229299646E-2</v>
      </c>
      <c r="T235" s="101">
        <f ca="1">IF(T$6&lt;OFFSET(Assumptions!$B$8,0,$C$1)+OFFSET(Assumptions!$B$23,0,$C$1),S$235+(OFFSET(S$30,0,OFFSET(Assumptions!$B$8,0,$C$1)+OFFSET(Assumptions!$B$23,0,$C$1)-T$6)-S$235)/(OFFSET(Assumptions!$B$8,0,$C$1)+OFFSET(Assumptions!$B$23,0,$C$1)-T$6),T$30)</f>
        <v>4.6709102614649819E-2</v>
      </c>
      <c r="U235" s="101">
        <f ca="1">IF(U$6&lt;OFFSET(Assumptions!$B$8,0,$C$1)+OFFSET(Assumptions!$B$23,0,$C$1),T$235+(OFFSET(T$30,0,OFFSET(Assumptions!$B$8,0,$C$1)+OFFSET(Assumptions!$B$23,0,$C$1)-U$6)-T$235)/(OFFSET(Assumptions!$B$8,0,$C$1)+OFFSET(Assumptions!$B$23,0,$C$1)-U$6),U$30)</f>
        <v>4.7E-2</v>
      </c>
      <c r="V235" s="101">
        <f ca="1">IF(V$6&lt;OFFSET(Assumptions!$B$8,0,$C$1)+OFFSET(Assumptions!$B$23,0,$C$1),U$235+(OFFSET(U$30,0,OFFSET(Assumptions!$B$8,0,$C$1)+OFFSET(Assumptions!$B$23,0,$C$1)-V$6)-U$235)/(OFFSET(Assumptions!$B$8,0,$C$1)+OFFSET(Assumptions!$B$23,0,$C$1)-V$6),V$30)</f>
        <v>4.7E-2</v>
      </c>
      <c r="W235" s="101">
        <f ca="1">IF(W$6&lt;OFFSET(Assumptions!$B$8,0,$C$1)+OFFSET(Assumptions!$B$23,0,$C$1),V$235+(OFFSET(V$30,0,OFFSET(Assumptions!$B$8,0,$C$1)+OFFSET(Assumptions!$B$23,0,$C$1)-W$6)-V$235)/(OFFSET(Assumptions!$B$8,0,$C$1)+OFFSET(Assumptions!$B$23,0,$C$1)-W$6),W$30)</f>
        <v>4.7E-2</v>
      </c>
      <c r="X235" s="101">
        <f ca="1">IF(X$6&lt;OFFSET(Assumptions!$B$8,0,$C$1)+OFFSET(Assumptions!$B$23,0,$C$1),W$235+(OFFSET(W$30,0,OFFSET(Assumptions!$B$8,0,$C$1)+OFFSET(Assumptions!$B$23,0,$C$1)-X$6)-W$235)/(OFFSET(Assumptions!$B$8,0,$C$1)+OFFSET(Assumptions!$B$23,0,$C$1)-X$6),X$30)</f>
        <v>4.7E-2</v>
      </c>
      <c r="Y235" s="101">
        <f ca="1">IF(Y$6&lt;OFFSET(Assumptions!$B$8,0,$C$1)+OFFSET(Assumptions!$B$23,0,$C$1),X$235+(OFFSET(X$30,0,OFFSET(Assumptions!$B$8,0,$C$1)+OFFSET(Assumptions!$B$23,0,$C$1)-Y$6)-X$235)/(OFFSET(Assumptions!$B$8,0,$C$1)+OFFSET(Assumptions!$B$23,0,$C$1)-Y$6),Y$30)</f>
        <v>4.7E-2</v>
      </c>
      <c r="Z235" s="101">
        <f ca="1">IF(Z$6&lt;OFFSET(Assumptions!$B$8,0,$C$1)+OFFSET(Assumptions!$B$23,0,$C$1),Y$235+(OFFSET(Y$30,0,OFFSET(Assumptions!$B$8,0,$C$1)+OFFSET(Assumptions!$B$23,0,$C$1)-Z$6)-Y$235)/(OFFSET(Assumptions!$B$8,0,$C$1)+OFFSET(Assumptions!$B$23,0,$C$1)-Z$6),Z$30)</f>
        <v>4.7E-2</v>
      </c>
    </row>
    <row r="236" spans="1:26" x14ac:dyDescent="0.25">
      <c r="A236" s="14"/>
    </row>
    <row r="237" spans="1:26" x14ac:dyDescent="0.25">
      <c r="A237" s="11" t="s">
        <v>875</v>
      </c>
    </row>
    <row r="238" spans="1:26" x14ac:dyDescent="0.25">
      <c r="A238" s="11" t="s">
        <v>1264</v>
      </c>
      <c r="B238" s="14" t="str">
        <f>$B$38</f>
        <v>From Fiscal Forecasts</v>
      </c>
      <c r="D238" s="51">
        <f>'Fiscal Forecasts'!D$174</f>
        <v>0</v>
      </c>
      <c r="E238" s="51">
        <f>'Fiscal Forecasts'!E$174</f>
        <v>0</v>
      </c>
      <c r="F238" s="51">
        <f>'Fiscal Forecasts'!F$174</f>
        <v>1E-3</v>
      </c>
      <c r="G238" s="51">
        <f>'Fiscal Forecasts'!G$174</f>
        <v>1E-3</v>
      </c>
      <c r="H238" s="51">
        <f>'Fiscal Forecasts'!H$174</f>
        <v>3.0000000000000001E-3</v>
      </c>
      <c r="I238" s="51">
        <f>'Fiscal Forecasts'!I$174</f>
        <v>2E-3</v>
      </c>
      <c r="J238" s="51">
        <f>'Fiscal Forecasts'!J$174</f>
        <v>3.0000000000000001E-3</v>
      </c>
      <c r="K238" s="51">
        <f>'Fiscal Forecasts'!K$174</f>
        <v>2E-3</v>
      </c>
      <c r="L238" s="47">
        <f>'Fiscal Forecasts'!L$174</f>
        <v>0</v>
      </c>
      <c r="M238" s="47">
        <f>'Fiscal Forecasts'!M$174</f>
        <v>0</v>
      </c>
      <c r="N238" s="47">
        <f>'Fiscal Forecasts'!N$174</f>
        <v>0</v>
      </c>
      <c r="O238" s="47">
        <f>'Fiscal Forecasts'!O$174</f>
        <v>0</v>
      </c>
      <c r="P238" s="47">
        <f>'Fiscal Forecasts'!P$174</f>
        <v>0</v>
      </c>
      <c r="Q238" s="21">
        <f ca="1">IF(Q$6=OFFSET(Assumptions!$B$8,0,$C$1),OFFSET(Assumptions!$B$9,0,$C$1),P$238)</f>
        <v>0</v>
      </c>
      <c r="R238" s="21">
        <f ca="1">IF(R$6=OFFSET(Assumptions!$B$8,0,$C$1),OFFSET(Assumptions!$B$9,0,$C$1),Q$238)</f>
        <v>0</v>
      </c>
      <c r="S238" s="21">
        <f ca="1">IF(S$6=OFFSET(Assumptions!$B$8,0,$C$1),OFFSET(Assumptions!$B$9,0,$C$1),R$238)</f>
        <v>0</v>
      </c>
      <c r="T238" s="21">
        <f ca="1">IF(T$6=OFFSET(Assumptions!$B$8,0,$C$1),OFFSET(Assumptions!$B$9,0,$C$1),S$238)</f>
        <v>0</v>
      </c>
      <c r="U238" s="21">
        <f ca="1">IF(U$6=OFFSET(Assumptions!$B$8,0,$C$1),OFFSET(Assumptions!$B$9,0,$C$1),T$238)</f>
        <v>0</v>
      </c>
      <c r="V238" s="21">
        <f ca="1">IF(V$6=OFFSET(Assumptions!$B$8,0,$C$1),OFFSET(Assumptions!$B$9,0,$C$1),U$238)</f>
        <v>0</v>
      </c>
      <c r="W238" s="21">
        <f ca="1">IF(W$6=OFFSET(Assumptions!$B$8,0,$C$1),OFFSET(Assumptions!$B$9,0,$C$1),V$238)</f>
        <v>0</v>
      </c>
      <c r="X238" s="21">
        <f ca="1">IF(X$6=OFFSET(Assumptions!$B$8,0,$C$1),OFFSET(Assumptions!$B$9,0,$C$1),W$238)</f>
        <v>0</v>
      </c>
      <c r="Y238" s="21">
        <f ca="1">IF(Y$6=OFFSET(Assumptions!$B$8,0,$C$1),OFFSET(Assumptions!$B$9,0,$C$1),X$238)</f>
        <v>0</v>
      </c>
      <c r="Z238" s="21">
        <f ca="1">IF(Z$6=OFFSET(Assumptions!$B$8,0,$C$1),OFFSET(Assumptions!$B$9,0,$C$1),Y$238)</f>
        <v>0</v>
      </c>
    </row>
    <row r="239" spans="1:26" x14ac:dyDescent="0.25">
      <c r="A239" s="12" t="s">
        <v>1020</v>
      </c>
      <c r="B239" s="14" t="str">
        <f>$B$38</f>
        <v>From Fiscal Forecasts</v>
      </c>
      <c r="D239" s="50">
        <f>'Fiscal Forecasts'!D$203</f>
        <v>5.8070000000000004</v>
      </c>
      <c r="E239" s="50">
        <f>'Fiscal Forecasts'!E$203</f>
        <v>6.8959999999999999</v>
      </c>
      <c r="F239" s="50">
        <f>'Fiscal Forecasts'!F$203</f>
        <v>6.8310000000000004</v>
      </c>
      <c r="G239" s="50">
        <f>'Fiscal Forecasts'!G$203</f>
        <v>6.44</v>
      </c>
      <c r="H239" s="50">
        <f>'Fiscal Forecasts'!H$203</f>
        <v>8.7729999999999997</v>
      </c>
      <c r="I239" s="50">
        <f>'Fiscal Forecasts'!I$203</f>
        <v>10.413</v>
      </c>
      <c r="J239" s="50">
        <f>'Fiscal Forecasts'!J$203</f>
        <v>11.526999999999999</v>
      </c>
      <c r="K239" s="50">
        <f>'Fiscal Forecasts'!K$203</f>
        <v>9.0389999999999997</v>
      </c>
      <c r="L239" s="48">
        <f>'Fiscal Forecasts'!L$203</f>
        <v>8.9380000000000006</v>
      </c>
      <c r="M239" s="48">
        <f>'Fiscal Forecasts'!M$203</f>
        <v>9.6059999999999999</v>
      </c>
      <c r="N239" s="48">
        <f>'Fiscal Forecasts'!N$203</f>
        <v>9.6690000000000005</v>
      </c>
      <c r="O239" s="48">
        <f>'Fiscal Forecasts'!O$203</f>
        <v>10.01</v>
      </c>
      <c r="P239" s="48">
        <f>'Fiscal Forecasts'!P$203</f>
        <v>11.411</v>
      </c>
      <c r="Q239" s="20">
        <f ca="1">IF(Q$6=OFFSET(Assumptions!$B$8,0,$C$1),AVERAGE(N$239/SUM(N$242:N$243),O$239/SUM(O$242:O$243),P$239/SUM(P$242:P$243)),P$239/SUM(P$242:P$243))*SUM(Q$242:Q$243)</f>
        <v>12.025296647655322</v>
      </c>
      <c r="R239" s="20">
        <f ca="1">IF(R$6=OFFSET(Assumptions!$B$8,0,$C$1),AVERAGE(O$239/SUM(O$242:O$243),P$239/SUM(P$242:P$243),Q$239/SUM(Q$242:Q$243)),Q$239/SUM(Q$242:Q$243))*SUM(R$242:R$243)</f>
        <v>12.684657668944586</v>
      </c>
      <c r="S239" s="20">
        <f ca="1">IF(S$6=OFFSET(Assumptions!$B$8,0,$C$1),AVERAGE(P$239/SUM(P$242:P$243),Q$239/SUM(Q$242:Q$243),R$239/SUM(R$242:R$243)),R$239/SUM(R$242:R$243))*SUM(S$242:S$243)</f>
        <v>13.342459925304862</v>
      </c>
      <c r="T239" s="20">
        <f ca="1">IF(T$6=OFFSET(Assumptions!$B$8,0,$C$1),AVERAGE(Q$239/SUM(Q$242:Q$243),R$239/SUM(R$242:R$243),S$239/SUM(S$242:S$243)),S$239/SUM(S$242:S$243))*SUM(T$242:T$243)</f>
        <v>13.977643031190203</v>
      </c>
      <c r="U239" s="20">
        <f ca="1">IF(U$6=OFFSET(Assumptions!$B$8,0,$C$1),AVERAGE(R$239/SUM(R$242:R$243),S$239/SUM(S$242:S$243),T$239/SUM(T$242:T$243)),T$239/SUM(T$242:T$243))*SUM(U$242:U$243)</f>
        <v>14.651446777224329</v>
      </c>
      <c r="V239" s="20">
        <f ca="1">IF(V$6=OFFSET(Assumptions!$B$8,0,$C$1),AVERAGE(S$239/SUM(S$242:S$243),T$239/SUM(T$242:T$243),U$239/SUM(U$242:U$243)),U$239/SUM(U$242:U$243))*SUM(V$242:V$243)</f>
        <v>15.334075328847771</v>
      </c>
      <c r="W239" s="20">
        <f ca="1">IF(W$6=OFFSET(Assumptions!$B$8,0,$C$1),AVERAGE(T$239/SUM(T$242:T$243),U$239/SUM(U$242:U$243),V$239/SUM(V$242:V$243)),V$239/SUM(V$242:V$243))*SUM(W$242:W$243)</f>
        <v>16.043180045535852</v>
      </c>
      <c r="X239" s="20">
        <f ca="1">IF(X$6=OFFSET(Assumptions!$B$8,0,$C$1),AVERAGE(U$239/SUM(U$242:U$243),V$239/SUM(V$242:V$243),W$239/SUM(W$242:W$243)),W$239/SUM(W$242:W$243))*SUM(X$242:X$243)</f>
        <v>16.782566169431945</v>
      </c>
      <c r="Y239" s="20">
        <f ca="1">IF(Y$6=OFFSET(Assumptions!$B$8,0,$C$1),AVERAGE(V$239/SUM(V$242:V$243),W$239/SUM(W$242:W$243),X$239/SUM(X$242:X$243)),X$239/SUM(X$242:X$243))*SUM(Y$242:Y$243)</f>
        <v>17.520160225430931</v>
      </c>
      <c r="Z239" s="20">
        <f ca="1">IF(Z$6=OFFSET(Assumptions!$B$8,0,$C$1),AVERAGE(W$239/SUM(W$242:W$243),X$239/SUM(X$242:X$243),Y$239/SUM(Y$242:Y$243)),Y$239/SUM(Y$242:Y$243))*SUM(Z$242:Z$243)</f>
        <v>18.301244323323377</v>
      </c>
    </row>
    <row r="240" spans="1:26" x14ac:dyDescent="0.25">
      <c r="A240" s="12" t="s">
        <v>1265</v>
      </c>
      <c r="B240" s="14" t="str">
        <f>$B$38</f>
        <v>From Fiscal Forecasts</v>
      </c>
      <c r="D240" s="50">
        <f>'Fiscal Forecasts'!D$204</f>
        <v>5.0000000000000001E-3</v>
      </c>
      <c r="E240" s="50">
        <f>'Fiscal Forecasts'!E$204</f>
        <v>7.0000000000000001E-3</v>
      </c>
      <c r="F240" s="50">
        <f>'Fiscal Forecasts'!F$204</f>
        <v>6.0000000000000001E-3</v>
      </c>
      <c r="G240" s="50">
        <f>'Fiscal Forecasts'!G$204</f>
        <v>6.0000000000000001E-3</v>
      </c>
      <c r="H240" s="50">
        <f>'Fiscal Forecasts'!H$204</f>
        <v>8.0000000000000002E-3</v>
      </c>
      <c r="I240" s="50">
        <f>'Fiscal Forecasts'!I$204</f>
        <v>1.0999999999999999E-2</v>
      </c>
      <c r="J240" s="50">
        <f>'Fiscal Forecasts'!J$204</f>
        <v>1.0999999999999999E-2</v>
      </c>
      <c r="K240" s="50">
        <f>'Fiscal Forecasts'!K$204</f>
        <v>1.0999999999999999E-2</v>
      </c>
      <c r="L240" s="48">
        <f>'Fiscal Forecasts'!L$204</f>
        <v>1.0999999999999999E-2</v>
      </c>
      <c r="M240" s="48">
        <f>'Fiscal Forecasts'!M$204</f>
        <v>1.2E-2</v>
      </c>
      <c r="N240" s="48">
        <f>'Fiscal Forecasts'!N$204</f>
        <v>1.2E-2</v>
      </c>
      <c r="O240" s="48">
        <f>'Fiscal Forecasts'!O$204</f>
        <v>1.2999999999999999E-2</v>
      </c>
      <c r="P240" s="48">
        <f>'Fiscal Forecasts'!P$204</f>
        <v>1.4E-2</v>
      </c>
      <c r="Q240" s="20">
        <f t="shared" ref="Q240:Z240" ca="1" si="146">SUM(Q$242:Q$243,-Q$239)</f>
        <v>1.5098419274004016E-2</v>
      </c>
      <c r="R240" s="20">
        <f t="shared" ca="1" si="146"/>
        <v>1.5926283188223422E-2</v>
      </c>
      <c r="S240" s="20">
        <f t="shared" ca="1" si="146"/>
        <v>1.675218998760819E-2</v>
      </c>
      <c r="T240" s="20">
        <f t="shared" ca="1" si="146"/>
        <v>1.7549697203390835E-2</v>
      </c>
      <c r="U240" s="20">
        <f t="shared" ca="1" si="146"/>
        <v>1.8395694750402924E-2</v>
      </c>
      <c r="V240" s="20">
        <f t="shared" ca="1" si="146"/>
        <v>1.9252772324687584E-2</v>
      </c>
      <c r="W240" s="20">
        <f t="shared" ca="1" si="146"/>
        <v>2.0143092175867849E-2</v>
      </c>
      <c r="X240" s="20">
        <f t="shared" ca="1" si="146"/>
        <v>2.1071431994091228E-2</v>
      </c>
      <c r="Y240" s="20">
        <f t="shared" ca="1" si="146"/>
        <v>2.1997521772810558E-2</v>
      </c>
      <c r="Z240" s="20">
        <f t="shared" ca="1" si="146"/>
        <v>2.2978215683636449E-2</v>
      </c>
    </row>
    <row r="241" spans="1:26" x14ac:dyDescent="0.25">
      <c r="A241" s="11" t="s">
        <v>1266</v>
      </c>
      <c r="D241" s="94">
        <f t="shared" ref="D241:Z241" si="147">SUM(D$238:D$240)</f>
        <v>5.8120000000000003</v>
      </c>
      <c r="E241" s="94">
        <f t="shared" si="147"/>
        <v>6.9029999999999996</v>
      </c>
      <c r="F241" s="94">
        <f t="shared" si="147"/>
        <v>6.838000000000001</v>
      </c>
      <c r="G241" s="94">
        <f t="shared" si="147"/>
        <v>6.447000000000001</v>
      </c>
      <c r="H241" s="94">
        <f t="shared" si="147"/>
        <v>8.7839999999999989</v>
      </c>
      <c r="I241" s="94">
        <f t="shared" si="147"/>
        <v>10.426</v>
      </c>
      <c r="J241" s="94">
        <f t="shared" si="147"/>
        <v>11.540999999999999</v>
      </c>
      <c r="K241" s="94">
        <f t="shared" si="147"/>
        <v>9.0519999999999996</v>
      </c>
      <c r="L241" s="95">
        <f t="shared" si="147"/>
        <v>8.9489999999999998</v>
      </c>
      <c r="M241" s="95">
        <f t="shared" si="147"/>
        <v>9.6180000000000003</v>
      </c>
      <c r="N241" s="95">
        <f t="shared" si="147"/>
        <v>9.6810000000000009</v>
      </c>
      <c r="O241" s="95">
        <f t="shared" si="147"/>
        <v>10.023</v>
      </c>
      <c r="P241" s="95">
        <f t="shared" si="147"/>
        <v>11.424999999999999</v>
      </c>
      <c r="Q241" s="96">
        <f t="shared" ca="1" si="147"/>
        <v>12.040395066929326</v>
      </c>
      <c r="R241" s="96">
        <f t="shared" ca="1" si="147"/>
        <v>12.70058395213281</v>
      </c>
      <c r="S241" s="96">
        <f t="shared" ca="1" si="147"/>
        <v>13.35921211529247</v>
      </c>
      <c r="T241" s="96">
        <f t="shared" ca="1" si="147"/>
        <v>13.995192728393594</v>
      </c>
      <c r="U241" s="96">
        <f t="shared" ca="1" si="147"/>
        <v>14.669842471974732</v>
      </c>
      <c r="V241" s="96">
        <f t="shared" ca="1" si="147"/>
        <v>15.353328101172458</v>
      </c>
      <c r="W241" s="96">
        <f t="shared" ca="1" si="147"/>
        <v>16.06332313771172</v>
      </c>
      <c r="X241" s="96">
        <f t="shared" ca="1" si="147"/>
        <v>16.803637601426036</v>
      </c>
      <c r="Y241" s="96">
        <f t="shared" ca="1" si="147"/>
        <v>17.542157747203742</v>
      </c>
      <c r="Z241" s="96">
        <f t="shared" ca="1" si="147"/>
        <v>18.324222539007014</v>
      </c>
    </row>
    <row r="242" spans="1:26" x14ac:dyDescent="0.25">
      <c r="A242" s="12" t="s">
        <v>1267</v>
      </c>
      <c r="B242" s="14" t="str">
        <f>$B$38</f>
        <v>From Fiscal Forecasts</v>
      </c>
      <c r="D242" s="50">
        <f>'Fiscal Forecasts'!D$281</f>
        <v>5.3620000000000001</v>
      </c>
      <c r="E242" s="50">
        <f>'Fiscal Forecasts'!E$281</f>
        <v>6.2460000000000004</v>
      </c>
      <c r="F242" s="50">
        <f>'Fiscal Forecasts'!F$281</f>
        <v>6.5389999999999997</v>
      </c>
      <c r="G242" s="50">
        <f>'Fiscal Forecasts'!G$281</f>
        <v>5.8330000000000002</v>
      </c>
      <c r="H242" s="50">
        <f>'Fiscal Forecasts'!H$281</f>
        <v>7.6189999999999998</v>
      </c>
      <c r="I242" s="50">
        <f>'Fiscal Forecasts'!I$281</f>
        <v>9.7720000000000002</v>
      </c>
      <c r="J242" s="50">
        <f>'Fiscal Forecasts'!J$281</f>
        <v>10.771000000000001</v>
      </c>
      <c r="K242" s="50">
        <f>'Fiscal Forecasts'!K$281</f>
        <v>8.5489999999999995</v>
      </c>
      <c r="L242" s="48">
        <f>'Fiscal Forecasts'!L$281</f>
        <v>8.3699999999999992</v>
      </c>
      <c r="M242" s="48">
        <f>'Fiscal Forecasts'!M$281</f>
        <v>8.9890000000000008</v>
      </c>
      <c r="N242" s="48">
        <f>'Fiscal Forecasts'!N$281</f>
        <v>9.0329999999999995</v>
      </c>
      <c r="O242" s="48">
        <f>'Fiscal Forecasts'!O$281</f>
        <v>9.3610000000000007</v>
      </c>
      <c r="P242" s="48">
        <f>'Fiscal Forecasts'!P$281</f>
        <v>10.737</v>
      </c>
      <c r="Q242" s="20">
        <f>P$242*Exogenous!AB$27/Exogenous!AA$27</f>
        <v>11.322445815087232</v>
      </c>
      <c r="R242" s="20">
        <f>Q$242*Exogenous!AC$27/Exogenous!AB$27</f>
        <v>11.952075095042282</v>
      </c>
      <c r="S242" s="20">
        <f>R$242*Exogenous!AD$27/Exogenous!AC$27</f>
        <v>12.579334043873938</v>
      </c>
      <c r="T242" s="20">
        <f>S$242*Exogenous!AE$27/Exogenous!AD$27</f>
        <v>13.183209206568813</v>
      </c>
      <c r="U242" s="20">
        <f>T$242*Exogenous!AF$27/Exogenous!AE$27</f>
        <v>13.824633958994479</v>
      </c>
      <c r="V242" s="20">
        <f>U$242*Exogenous!AG$27/Exogenous!AF$27</f>
        <v>14.473763240216281</v>
      </c>
      <c r="W242" s="20">
        <f>V$242*Exogenous!AH$27/Exogenous!AG$27</f>
        <v>15.148443899166695</v>
      </c>
      <c r="X242" s="20">
        <f>W$242*Exogenous!AI$27/Exogenous!AH$27</f>
        <v>15.852427077587839</v>
      </c>
      <c r="Y242" s="20">
        <f>X$242*Exogenous!AJ$27/Exogenous!AI$27</f>
        <v>16.553409040536113</v>
      </c>
      <c r="Z242" s="20">
        <f>Y$242*Exogenous!AK$27/Exogenous!AJ$27</f>
        <v>17.296719070316762</v>
      </c>
    </row>
    <row r="243" spans="1:26" x14ac:dyDescent="0.25">
      <c r="A243" s="12" t="s">
        <v>1268</v>
      </c>
      <c r="B243" s="14" t="str">
        <f>$B$38</f>
        <v>From Fiscal Forecasts</v>
      </c>
      <c r="D243" s="50">
        <f>SUM('Fiscal Forecasts'!D$282:D$283)</f>
        <v>0.44999999999999996</v>
      </c>
      <c r="E243" s="50">
        <f>SUM('Fiscal Forecasts'!E$282:E$283)</f>
        <v>0.65700000000000003</v>
      </c>
      <c r="F243" s="50">
        <f>SUM('Fiscal Forecasts'!F$282:F$283)</f>
        <v>0.29900000000000004</v>
      </c>
      <c r="G243" s="50">
        <f>SUM('Fiscal Forecasts'!G$282:G$283)</f>
        <v>0.61399999999999999</v>
      </c>
      <c r="H243" s="50">
        <f>SUM('Fiscal Forecasts'!H$282:H$283)</f>
        <v>1.1649999999999998</v>
      </c>
      <c r="I243" s="50">
        <f>SUM('Fiscal Forecasts'!I$282:I$283)</f>
        <v>0.65399999999999991</v>
      </c>
      <c r="J243" s="50">
        <f>SUM('Fiscal Forecasts'!J$282:J$283)</f>
        <v>0.77</v>
      </c>
      <c r="K243" s="50">
        <f>SUM('Fiscal Forecasts'!K$282:K$283)</f>
        <v>0.503</v>
      </c>
      <c r="L243" s="48">
        <f>SUM('Fiscal Forecasts'!L$282:L$283)</f>
        <v>0.57899999999999996</v>
      </c>
      <c r="M243" s="48">
        <f>SUM('Fiscal Forecasts'!M$282:M$283)</f>
        <v>0.629</v>
      </c>
      <c r="N243" s="48">
        <f>SUM('Fiscal Forecasts'!N$282:N$283)</f>
        <v>0.64800000000000002</v>
      </c>
      <c r="O243" s="48">
        <f>SUM('Fiscal Forecasts'!O$282:O$283)</f>
        <v>0.66200000000000003</v>
      </c>
      <c r="P243" s="48">
        <f>SUM('Fiscal Forecasts'!P$282:P$283)</f>
        <v>0.68800000000000006</v>
      </c>
      <c r="Q243" s="20">
        <f t="shared" ref="Q243:Z243" ca="1" si="148">P$243*(1+Q$14)</f>
        <v>0.71794925184209457</v>
      </c>
      <c r="R243" s="20">
        <f t="shared" ca="1" si="148"/>
        <v>0.74850885709052806</v>
      </c>
      <c r="S243" s="20">
        <f t="shared" ca="1" si="148"/>
        <v>0.7798780714185316</v>
      </c>
      <c r="T243" s="20">
        <f t="shared" ca="1" si="148"/>
        <v>0.81198352182478062</v>
      </c>
      <c r="U243" s="20">
        <f t="shared" ca="1" si="148"/>
        <v>0.84520851298025268</v>
      </c>
      <c r="V243" s="20">
        <f t="shared" ca="1" si="148"/>
        <v>0.87956486095617725</v>
      </c>
      <c r="W243" s="20">
        <f t="shared" ca="1" si="148"/>
        <v>0.9148792385450264</v>
      </c>
      <c r="X243" s="20">
        <f t="shared" ca="1" si="148"/>
        <v>0.95121052383819849</v>
      </c>
      <c r="Y243" s="20">
        <f t="shared" ca="1" si="148"/>
        <v>0.98874870666762915</v>
      </c>
      <c r="Z243" s="20">
        <f t="shared" ca="1" si="148"/>
        <v>1.0275034686902527</v>
      </c>
    </row>
    <row r="244" spans="1:26" x14ac:dyDescent="0.25">
      <c r="A244" s="12"/>
    </row>
    <row r="245" spans="1:26" x14ac:dyDescent="0.25">
      <c r="A245" s="11" t="s">
        <v>1269</v>
      </c>
    </row>
    <row r="246" spans="1:26" x14ac:dyDescent="0.25">
      <c r="A246" s="11" t="s">
        <v>876</v>
      </c>
      <c r="D246" s="51">
        <f>SUM($D$247:D$248)</f>
        <v>0</v>
      </c>
      <c r="E246" s="51">
        <f>SUM($D$247:E$248)</f>
        <v>0</v>
      </c>
      <c r="F246" s="51">
        <f>SUM($D$247:F$248)</f>
        <v>0</v>
      </c>
      <c r="G246" s="51">
        <f>SUM($D$247:G$248)</f>
        <v>0</v>
      </c>
      <c r="H246" s="51">
        <f>SUM($D$247:H$248)</f>
        <v>0</v>
      </c>
      <c r="I246" s="51">
        <f>SUM($D$247:I$248)</f>
        <v>0</v>
      </c>
      <c r="J246" s="51">
        <f>SUM($D$247:J$248)</f>
        <v>0</v>
      </c>
      <c r="K246" s="51">
        <f>SUM($D$247:K$248)</f>
        <v>0</v>
      </c>
      <c r="L246" s="47">
        <f ca="1">IF(OFFSET(Assumptions!$B$57,0,$C$1)="Yes",0,SUM($D$247:L$248))</f>
        <v>0</v>
      </c>
      <c r="M246" s="47">
        <f ca="1">IF(OFFSET(Assumptions!$B$57,0,$C$1)="Yes",0,SUM($D$247:M$248))</f>
        <v>0</v>
      </c>
      <c r="N246" s="47">
        <f ca="1">IF(OFFSET(Assumptions!$B$57,0,$C$1)="Yes",0,SUM($D$247:N$248))</f>
        <v>0</v>
      </c>
      <c r="O246" s="47">
        <f ca="1">IF(OFFSET(Assumptions!$B$57,0,$C$1)="Yes",0,SUM($D$247:O$248))</f>
        <v>0</v>
      </c>
      <c r="P246" s="47">
        <f ca="1">IF(OFFSET(Assumptions!$B$57,0,$C$1)="Yes",0,SUM($D$247:P$248))</f>
        <v>0</v>
      </c>
      <c r="Q246" s="21">
        <f ca="1">IF(OFFSET(Assumptions!$B$57,0,$C$1)="Yes",0,SUM($D$247:Q$248))</f>
        <v>0</v>
      </c>
      <c r="R246" s="21">
        <f ca="1">IF(OFFSET(Assumptions!$B$57,0,$C$1)="Yes",0,SUM($D$247:R$248))</f>
        <v>0</v>
      </c>
      <c r="S246" s="21">
        <f ca="1">IF(OFFSET(Assumptions!$B$57,0,$C$1)="Yes",0,SUM($D$247:S$248))</f>
        <v>0</v>
      </c>
      <c r="T246" s="21">
        <f ca="1">IF(OFFSET(Assumptions!$B$57,0,$C$1)="Yes",0,SUM($D$247:T$248))</f>
        <v>0</v>
      </c>
      <c r="U246" s="21">
        <f ca="1">IF(OFFSET(Assumptions!$B$57,0,$C$1)="Yes",0,SUM($D$247:U$248))</f>
        <v>0</v>
      </c>
      <c r="V246" s="21">
        <f ca="1">IF(OFFSET(Assumptions!$B$57,0,$C$1)="Yes",0,SUM($D$247:V$248))</f>
        <v>0</v>
      </c>
      <c r="W246" s="21">
        <f ca="1">IF(OFFSET(Assumptions!$B$57,0,$C$1)="Yes",0,SUM($D$247:W$248))</f>
        <v>0</v>
      </c>
      <c r="X246" s="21">
        <f ca="1">IF(OFFSET(Assumptions!$B$57,0,$C$1)="Yes",0,SUM($D$247:X$248))</f>
        <v>0</v>
      </c>
      <c r="Y246" s="21">
        <f ca="1">IF(OFFSET(Assumptions!$B$57,0,$C$1)="Yes",0,SUM($D$247:Y$248))</f>
        <v>0</v>
      </c>
      <c r="Z246" s="21">
        <f ca="1">IF(OFFSET(Assumptions!$B$57,0,$C$1)="Yes",0,SUM($D$247:Z$248))</f>
        <v>0</v>
      </c>
    </row>
    <row r="247" spans="1:26" x14ac:dyDescent="0.25">
      <c r="A247" s="12" t="s">
        <v>1457</v>
      </c>
      <c r="B247" s="14" t="str">
        <f>$B$38</f>
        <v>From Fiscal Forecasts</v>
      </c>
      <c r="D247" s="50">
        <f>SUM('Fiscal Forecasts'!D$286:D$287)-SUM('Fiscal Forecasts'!C$286:C$287)</f>
        <v>0</v>
      </c>
      <c r="E247" s="50">
        <f>SUM('Fiscal Forecasts'!E$286:E$287)-SUM('Fiscal Forecasts'!D$286:D$287)</f>
        <v>0</v>
      </c>
      <c r="F247" s="50">
        <f>SUM('Fiscal Forecasts'!F$286:F$287)-SUM('Fiscal Forecasts'!E$286:E$287)</f>
        <v>0</v>
      </c>
      <c r="G247" s="50">
        <f>SUM('Fiscal Forecasts'!G$286:G$287)-SUM('Fiscal Forecasts'!F$286:F$287)</f>
        <v>0</v>
      </c>
      <c r="H247" s="50">
        <f>SUM('Fiscal Forecasts'!H$286:H$287)-SUM('Fiscal Forecasts'!G$286:G$287)</f>
        <v>0</v>
      </c>
      <c r="I247" s="50">
        <f>SUM('Fiscal Forecasts'!I$286:I$287)-SUM('Fiscal Forecasts'!H$286:H$287)</f>
        <v>0</v>
      </c>
      <c r="J247" s="50">
        <f>SUM('Fiscal Forecasts'!J$286:J$287)-SUM('Fiscal Forecasts'!I$286:I$287)</f>
        <v>0</v>
      </c>
      <c r="K247" s="50">
        <f>SUM('Fiscal Forecasts'!K$286:K$287)-SUM('Fiscal Forecasts'!J$286:J$287)</f>
        <v>0</v>
      </c>
      <c r="L247" s="48">
        <f>SUM('Fiscal Forecasts'!L$286:L$287)-SUM('Fiscal Forecasts'!K$286:K$287)</f>
        <v>1.258</v>
      </c>
      <c r="M247" s="48">
        <f>SUM('Fiscal Forecasts'!M$286:M$287)-SUM('Fiscal Forecasts'!L$286:L$287)</f>
        <v>-0.69000000000000006</v>
      </c>
      <c r="N247" s="48">
        <f>SUM('Fiscal Forecasts'!N$286:N$287)-SUM('Fiscal Forecasts'!M$286:M$287)</f>
        <v>-0.34300000000000008</v>
      </c>
      <c r="O247" s="48">
        <f>SUM('Fiscal Forecasts'!O$286:O$287)-SUM('Fiscal Forecasts'!N$286:N$287)</f>
        <v>0.3580000000000001</v>
      </c>
      <c r="P247" s="48">
        <f>SUM('Fiscal Forecasts'!P$286:P$287)-SUM('Fiscal Forecasts'!O$286:O$287)</f>
        <v>-6.6999999999999948E-2</v>
      </c>
      <c r="Q247" s="20">
        <f ca="1">IF(Q$6=OFFSET(Assumptions!$B$8,0,$C$1),OFFSET(Assumptions!$B$9,0,$C$1),P$247)</f>
        <v>0</v>
      </c>
      <c r="R247" s="20">
        <f ca="1">IF(R$6=OFFSET(Assumptions!$B$8,0,$C$1),OFFSET(Assumptions!$B$9,0,$C$1),Q$247)</f>
        <v>0</v>
      </c>
      <c r="S247" s="20">
        <f ca="1">IF(S$6=OFFSET(Assumptions!$B$8,0,$C$1),OFFSET(Assumptions!$B$9,0,$C$1),R$247)</f>
        <v>0</v>
      </c>
      <c r="T247" s="20">
        <f ca="1">IF(T$6=OFFSET(Assumptions!$B$8,0,$C$1),OFFSET(Assumptions!$B$9,0,$C$1),S$247)</f>
        <v>0</v>
      </c>
      <c r="U247" s="20">
        <f ca="1">IF(U$6=OFFSET(Assumptions!$B$8,0,$C$1),OFFSET(Assumptions!$B$9,0,$C$1),T$247)</f>
        <v>0</v>
      </c>
      <c r="V247" s="20">
        <f ca="1">IF(V$6=OFFSET(Assumptions!$B$8,0,$C$1),OFFSET(Assumptions!$B$9,0,$C$1),U$247)</f>
        <v>0</v>
      </c>
      <c r="W247" s="20">
        <f ca="1">IF(W$6=OFFSET(Assumptions!$B$8,0,$C$1),OFFSET(Assumptions!$B$9,0,$C$1),V$247)</f>
        <v>0</v>
      </c>
      <c r="X247" s="20">
        <f ca="1">IF(X$6=OFFSET(Assumptions!$B$8,0,$C$1),OFFSET(Assumptions!$B$9,0,$C$1),W$247)</f>
        <v>0</v>
      </c>
      <c r="Y247" s="20">
        <f ca="1">IF(Y$6=OFFSET(Assumptions!$B$8,0,$C$1),OFFSET(Assumptions!$B$9,0,$C$1),X$247)</f>
        <v>0</v>
      </c>
      <c r="Z247" s="20">
        <f ca="1">IF(Z$6=OFFSET(Assumptions!$B$8,0,$C$1),OFFSET(Assumptions!$B$9,0,$C$1),Y$247)</f>
        <v>0</v>
      </c>
    </row>
    <row r="248" spans="1:26" x14ac:dyDescent="0.25">
      <c r="A248" s="12" t="s">
        <v>1270</v>
      </c>
      <c r="B248" s="14" t="str">
        <f>$B$38</f>
        <v>From Fiscal Forecasts</v>
      </c>
      <c r="D248" s="50">
        <f>SUM('Fiscal Forecasts'!D$288:D$291)-SUM('Fiscal Forecasts'!C$288:C$291)</f>
        <v>0</v>
      </c>
      <c r="E248" s="50">
        <f>SUM('Fiscal Forecasts'!E$288:E$291)-SUM('Fiscal Forecasts'!D$288:D$291)</f>
        <v>0</v>
      </c>
      <c r="F248" s="50">
        <f>SUM('Fiscal Forecasts'!F$288:F$291)-SUM('Fiscal Forecasts'!E$288:E$291)</f>
        <v>0</v>
      </c>
      <c r="G248" s="50">
        <f>SUM('Fiscal Forecasts'!G$288:G$291)-SUM('Fiscal Forecasts'!F$288:F$291)</f>
        <v>0</v>
      </c>
      <c r="H248" s="50">
        <f>SUM('Fiscal Forecasts'!H$288:H$291)-SUM('Fiscal Forecasts'!G$288:G$291)</f>
        <v>0</v>
      </c>
      <c r="I248" s="50">
        <f>SUM('Fiscal Forecasts'!I$288:I$291)-SUM('Fiscal Forecasts'!H$288:H$291)</f>
        <v>0</v>
      </c>
      <c r="J248" s="50">
        <f>SUM('Fiscal Forecasts'!J$288:J$291)-SUM('Fiscal Forecasts'!I$288:I$291)</f>
        <v>0</v>
      </c>
      <c r="K248" s="50">
        <f>SUM('Fiscal Forecasts'!K$288:K$291)-SUM('Fiscal Forecasts'!J$288:J$291)</f>
        <v>0</v>
      </c>
      <c r="L248" s="48">
        <f>SUM('Fiscal Forecasts'!L$288:L$291)-SUM('Fiscal Forecasts'!K$288:K$291)</f>
        <v>0</v>
      </c>
      <c r="M248" s="48">
        <f>SUM('Fiscal Forecasts'!M$288:M$291)-SUM('Fiscal Forecasts'!L$288:L$291)</f>
        <v>2.4</v>
      </c>
      <c r="N248" s="48">
        <f>SUM('Fiscal Forecasts'!N$288:N$291)-SUM('Fiscal Forecasts'!M$288:M$291)</f>
        <v>2.4</v>
      </c>
      <c r="O248" s="48">
        <f>SUM('Fiscal Forecasts'!O$288:O$291)-SUM('Fiscal Forecasts'!N$288:N$291)</f>
        <v>2.3999999999999995</v>
      </c>
      <c r="P248" s="48">
        <f>SUM('Fiscal Forecasts'!P$288:P$291)-SUM('Fiscal Forecasts'!O$288:O$291)</f>
        <v>2.4000000000000004</v>
      </c>
      <c r="Q248" s="20">
        <f ca="1">IF(Q$6=OFFSET(Assumptions!$B$8,0,$C$1),OFFSET(Assumptions!$B$41,0,$C$1)-IF(OFFSET(Assumptions!$B$58,0,$C$1)="Yes",Allocation!$G$6,0),(P$248+IF(AND(P$6=OFFSET(Assumptions!$B$8,0,$C$1),OFFSET(Assumptions!$B$58,0,$C$1)="Yes"),Allocation!$G$6,0))*(1+OFFSET(Assumptions!$B$42,0,$C$1)))</f>
        <v>2.4</v>
      </c>
      <c r="R248" s="20">
        <f ca="1">IF(R$6=OFFSET(Assumptions!$B$8,0,$C$1),OFFSET(Assumptions!$B$41,0,$C$1)-IF(OFFSET(Assumptions!$B$58,0,$C$1)="Yes",Allocation!$G$6,0),(Q$248+IF(AND(Q$6=OFFSET(Assumptions!$B$8,0,$C$1),OFFSET(Assumptions!$B$58,0,$C$1)="Yes"),Allocation!$G$6,0))*(1+OFFSET(Assumptions!$B$42,0,$C$1)))</f>
        <v>2.52</v>
      </c>
      <c r="S248" s="20">
        <f ca="1">IF(S$6=OFFSET(Assumptions!$B$8,0,$C$1),OFFSET(Assumptions!$B$41,0,$C$1)-IF(OFFSET(Assumptions!$B$58,0,$C$1)="Yes",Allocation!$G$6,0),(R$248+IF(AND(R$6=OFFSET(Assumptions!$B$8,0,$C$1),OFFSET(Assumptions!$B$58,0,$C$1)="Yes"),Allocation!$G$6,0))*(1+OFFSET(Assumptions!$B$42,0,$C$1)))</f>
        <v>2.6460000000000004</v>
      </c>
      <c r="T248" s="20">
        <f ca="1">IF(T$6=OFFSET(Assumptions!$B$8,0,$C$1),OFFSET(Assumptions!$B$41,0,$C$1)-IF(OFFSET(Assumptions!$B$58,0,$C$1)="Yes",Allocation!$G$6,0),(S$248+IF(AND(S$6=OFFSET(Assumptions!$B$8,0,$C$1),OFFSET(Assumptions!$B$58,0,$C$1)="Yes"),Allocation!$G$6,0))*(1+OFFSET(Assumptions!$B$42,0,$C$1)))</f>
        <v>2.7783000000000007</v>
      </c>
      <c r="U248" s="20">
        <f ca="1">IF(U$6=OFFSET(Assumptions!$B$8,0,$C$1),OFFSET(Assumptions!$B$41,0,$C$1)-IF(OFFSET(Assumptions!$B$58,0,$C$1)="Yes",Allocation!$G$6,0),(T$248+IF(AND(T$6=OFFSET(Assumptions!$B$8,0,$C$1),OFFSET(Assumptions!$B$58,0,$C$1)="Yes"),Allocation!$G$6,0))*(1+OFFSET(Assumptions!$B$42,0,$C$1)))</f>
        <v>2.917215000000001</v>
      </c>
      <c r="V248" s="20">
        <f ca="1">IF(V$6=OFFSET(Assumptions!$B$8,0,$C$1),OFFSET(Assumptions!$B$41,0,$C$1)-IF(OFFSET(Assumptions!$B$58,0,$C$1)="Yes",Allocation!$G$6,0),(U$248+IF(AND(U$6=OFFSET(Assumptions!$B$8,0,$C$1),OFFSET(Assumptions!$B$58,0,$C$1)="Yes"),Allocation!$G$6,0))*(1+OFFSET(Assumptions!$B$42,0,$C$1)))</f>
        <v>3.0630757500000012</v>
      </c>
      <c r="W248" s="20">
        <f ca="1">IF(W$6=OFFSET(Assumptions!$B$8,0,$C$1),OFFSET(Assumptions!$B$41,0,$C$1)-IF(OFFSET(Assumptions!$B$58,0,$C$1)="Yes",Allocation!$G$6,0),(V$248+IF(AND(V$6=OFFSET(Assumptions!$B$8,0,$C$1),OFFSET(Assumptions!$B$58,0,$C$1)="Yes"),Allocation!$G$6,0))*(1+OFFSET(Assumptions!$B$42,0,$C$1)))</f>
        <v>3.2162295375000016</v>
      </c>
      <c r="X248" s="20">
        <f ca="1">IF(X$6=OFFSET(Assumptions!$B$8,0,$C$1),OFFSET(Assumptions!$B$41,0,$C$1)-IF(OFFSET(Assumptions!$B$58,0,$C$1)="Yes",Allocation!$G$6,0),(W$248+IF(AND(W$6=OFFSET(Assumptions!$B$8,0,$C$1),OFFSET(Assumptions!$B$58,0,$C$1)="Yes"),Allocation!$G$6,0))*(1+OFFSET(Assumptions!$B$42,0,$C$1)))</f>
        <v>3.3770410143750018</v>
      </c>
      <c r="Y248" s="20">
        <f ca="1">IF(Y$6=OFFSET(Assumptions!$B$8,0,$C$1),OFFSET(Assumptions!$B$41,0,$C$1)-IF(OFFSET(Assumptions!$B$58,0,$C$1)="Yes",Allocation!$G$6,0),(X$248+IF(AND(X$6=OFFSET(Assumptions!$B$8,0,$C$1),OFFSET(Assumptions!$B$58,0,$C$1)="Yes"),Allocation!$G$6,0))*(1+OFFSET(Assumptions!$B$42,0,$C$1)))</f>
        <v>3.5458930650937521</v>
      </c>
      <c r="Z248" s="20">
        <f ca="1">IF(Z$6=OFFSET(Assumptions!$B$8,0,$C$1),OFFSET(Assumptions!$B$41,0,$C$1)-IF(OFFSET(Assumptions!$B$58,0,$C$1)="Yes",Allocation!$G$6,0),(Y$248+IF(AND(Y$6=OFFSET(Assumptions!$B$8,0,$C$1),OFFSET(Assumptions!$B$58,0,$C$1)="Yes"),Allocation!$G$6,0))*(1+OFFSET(Assumptions!$B$42,0,$C$1)))</f>
        <v>3.7231877183484401</v>
      </c>
    </row>
    <row r="249" spans="1:26" x14ac:dyDescent="0.25">
      <c r="A249" s="11" t="s">
        <v>711</v>
      </c>
      <c r="B249" s="14" t="str">
        <f>$B$38</f>
        <v>From Fiscal Forecasts</v>
      </c>
      <c r="D249" s="51">
        <f>'Fiscal Forecasts'!D$22</f>
        <v>0</v>
      </c>
      <c r="E249" s="51">
        <f>'Fiscal Forecasts'!E$22</f>
        <v>0</v>
      </c>
      <c r="F249" s="51">
        <f>'Fiscal Forecasts'!F$22</f>
        <v>0</v>
      </c>
      <c r="G249" s="51">
        <f>'Fiscal Forecasts'!G$22</f>
        <v>0</v>
      </c>
      <c r="H249" s="51">
        <f>'Fiscal Forecasts'!H$22</f>
        <v>0</v>
      </c>
      <c r="I249" s="51">
        <f>'Fiscal Forecasts'!I$22</f>
        <v>0</v>
      </c>
      <c r="J249" s="51">
        <f>'Fiscal Forecasts'!J$22</f>
        <v>0</v>
      </c>
      <c r="K249" s="51">
        <f>'Fiscal Forecasts'!K$22</f>
        <v>0</v>
      </c>
      <c r="L249" s="47">
        <f ca="1">IF(OFFSET(Assumptions!$B$57,0,$C$1)="Yes",0,'Fiscal Forecasts'!L$22)</f>
        <v>0</v>
      </c>
      <c r="M249" s="47">
        <f ca="1">IF(OFFSET(Assumptions!$B$57,0,$C$1)="Yes",0,'Fiscal Forecasts'!M$22)</f>
        <v>0</v>
      </c>
      <c r="N249" s="47">
        <f ca="1">IF(OFFSET(Assumptions!$B$57,0,$C$1)="Yes",0,'Fiscal Forecasts'!N$22)</f>
        <v>0</v>
      </c>
      <c r="O249" s="47">
        <f ca="1">IF(OFFSET(Assumptions!$B$57,0,$C$1)="Yes",0,'Fiscal Forecasts'!O$22)</f>
        <v>0</v>
      </c>
      <c r="P249" s="47">
        <f ca="1">IF(OFFSET(Assumptions!$B$57,0,$C$1)="Yes",0,'Fiscal Forecasts'!P$22)</f>
        <v>0</v>
      </c>
      <c r="Q249" s="21">
        <f ca="1">IF(Q$6=OFFSET(Assumptions!$B$8,0,$C$1),OFFSET(Assumptions!$B$9,0,$C$1),P$249)</f>
        <v>0</v>
      </c>
      <c r="R249" s="21">
        <f ca="1">IF(R$6=OFFSET(Assumptions!$B$8,0,$C$1),OFFSET(Assumptions!$B$9,0,$C$1),Q$249)</f>
        <v>0</v>
      </c>
      <c r="S249" s="21">
        <f ca="1">IF(S$6=OFFSET(Assumptions!$B$8,0,$C$1),OFFSET(Assumptions!$B$9,0,$C$1),R$249)</f>
        <v>0</v>
      </c>
      <c r="T249" s="21">
        <f ca="1">IF(T$6=OFFSET(Assumptions!$B$8,0,$C$1),OFFSET(Assumptions!$B$9,0,$C$1),S$249)</f>
        <v>0</v>
      </c>
      <c r="U249" s="21">
        <f ca="1">IF(U$6=OFFSET(Assumptions!$B$8,0,$C$1),OFFSET(Assumptions!$B$9,0,$C$1),T$249)</f>
        <v>0</v>
      </c>
      <c r="V249" s="21">
        <f ca="1">IF(V$6=OFFSET(Assumptions!$B$8,0,$C$1),OFFSET(Assumptions!$B$9,0,$C$1),U$249)</f>
        <v>0</v>
      </c>
      <c r="W249" s="21">
        <f ca="1">IF(W$6=OFFSET(Assumptions!$B$8,0,$C$1),OFFSET(Assumptions!$B$9,0,$C$1),V$249)</f>
        <v>0</v>
      </c>
      <c r="X249" s="21">
        <f ca="1">IF(X$6=OFFSET(Assumptions!$B$8,0,$C$1),OFFSET(Assumptions!$B$9,0,$C$1),W$249)</f>
        <v>0</v>
      </c>
      <c r="Y249" s="21">
        <f ca="1">IF(Y$6=OFFSET(Assumptions!$B$8,0,$C$1),OFFSET(Assumptions!$B$9,0,$C$1),X$249)</f>
        <v>0</v>
      </c>
      <c r="Z249" s="21">
        <f ca="1">IF(Z$6=OFFSET(Assumptions!$B$8,0,$C$1),OFFSET(Assumptions!$B$9,0,$C$1),Y$249)</f>
        <v>0</v>
      </c>
    </row>
    <row r="251" spans="1:26" x14ac:dyDescent="0.25">
      <c r="A251" s="11" t="s">
        <v>1271</v>
      </c>
    </row>
    <row r="252" spans="1:26" x14ac:dyDescent="0.25">
      <c r="A252" s="11" t="s">
        <v>1272</v>
      </c>
      <c r="B252" s="14" t="str">
        <f>$B$38</f>
        <v>From Fiscal Forecasts</v>
      </c>
      <c r="D252" s="51">
        <f>'Fiscal Forecasts'!D$69</f>
        <v>6.6000000000000003E-2</v>
      </c>
      <c r="E252" s="51">
        <f>'Fiscal Forecasts'!E$69</f>
        <v>7.2999999999999995E-2</v>
      </c>
      <c r="F252" s="51">
        <f>'Fiscal Forecasts'!F$69</f>
        <v>9.9000000000000005E-2</v>
      </c>
      <c r="G252" s="51">
        <f>'Fiscal Forecasts'!G$69</f>
        <v>9.4E-2</v>
      </c>
      <c r="H252" s="51">
        <f>'Fiscal Forecasts'!H$69</f>
        <v>6.0999999999999999E-2</v>
      </c>
      <c r="I252" s="51">
        <f>'Fiscal Forecasts'!I$69</f>
        <v>6.9000000000000006E-2</v>
      </c>
      <c r="J252" s="51">
        <f>'Fiscal Forecasts'!J$69</f>
        <v>6.5000000000000002E-2</v>
      </c>
      <c r="K252" s="51">
        <f>'Fiscal Forecasts'!K$69</f>
        <v>6.0999999999999999E-2</v>
      </c>
      <c r="L252" s="47">
        <f>'Fiscal Forecasts'!L$69</f>
        <v>4.5999999999999999E-2</v>
      </c>
      <c r="M252" s="47">
        <f>'Fiscal Forecasts'!M$69</f>
        <v>4.8000000000000001E-2</v>
      </c>
      <c r="N252" s="47">
        <f>'Fiscal Forecasts'!N$69</f>
        <v>4.7E-2</v>
      </c>
      <c r="O252" s="47">
        <f>'Fiscal Forecasts'!O$69</f>
        <v>4.5999999999999999E-2</v>
      </c>
      <c r="P252" s="47">
        <f>'Fiscal Forecasts'!P$69</f>
        <v>4.4999999999999998E-2</v>
      </c>
      <c r="Q252" s="21">
        <f>P$252*Exogenous!AB$34/Exogenous!AA$34</f>
        <v>4.2880886426592796E-2</v>
      </c>
      <c r="R252" s="21">
        <f>Q$252*Exogenous!AC$34/Exogenous!AB$34</f>
        <v>4.07617728531856E-2</v>
      </c>
      <c r="S252" s="21">
        <f>R$252*Exogenous!AD$34/Exogenous!AC$34</f>
        <v>3.8642659279778398E-2</v>
      </c>
      <c r="T252" s="21">
        <f>S$252*Exogenous!AE$34/Exogenous!AD$34</f>
        <v>3.6398891966759002E-2</v>
      </c>
      <c r="U252" s="21">
        <f>T$252*Exogenous!AF$34/Exogenous!AE$34</f>
        <v>3.4404432132963993E-2</v>
      </c>
      <c r="V252" s="21">
        <f>U$252*Exogenous!AG$34/Exogenous!AF$34</f>
        <v>3.2409972299168976E-2</v>
      </c>
      <c r="W252" s="21">
        <f>V$252*Exogenous!AH$34/Exogenous!AG$34</f>
        <v>3.029085872576177E-2</v>
      </c>
      <c r="X252" s="21">
        <f>W$252*Exogenous!AI$34/Exogenous!AH$34</f>
        <v>2.8171745152354568E-2</v>
      </c>
      <c r="Y252" s="21">
        <f>X$252*Exogenous!AJ$34/Exogenous!AI$34</f>
        <v>2.6301939058171742E-2</v>
      </c>
      <c r="Z252" s="21">
        <f>Y$252*Exogenous!AK$34/Exogenous!AJ$34</f>
        <v>2.4432132963988915E-2</v>
      </c>
    </row>
    <row r="253" spans="1:26" x14ac:dyDescent="0.25">
      <c r="A253" s="11" t="s">
        <v>1273</v>
      </c>
      <c r="B253" s="14" t="str">
        <f>$B$38</f>
        <v>From Fiscal Forecasts</v>
      </c>
      <c r="D253" s="51">
        <f>'Fiscal Forecasts'!D$52</f>
        <v>0.08</v>
      </c>
      <c r="E253" s="51">
        <f>'Fiscal Forecasts'!E$52</f>
        <v>8.6999999999999994E-2</v>
      </c>
      <c r="F253" s="51">
        <f>'Fiscal Forecasts'!F$52</f>
        <v>0.114</v>
      </c>
      <c r="G253" s="51">
        <f>'Fiscal Forecasts'!G$52</f>
        <v>0.11</v>
      </c>
      <c r="H253" s="51">
        <f>'Fiscal Forecasts'!H$52</f>
        <v>7.8E-2</v>
      </c>
      <c r="I253" s="51">
        <f>'Fiscal Forecasts'!I$52</f>
        <v>9.4E-2</v>
      </c>
      <c r="J253" s="51">
        <f>'Fiscal Forecasts'!J$52</f>
        <v>8.3000000000000004E-2</v>
      </c>
      <c r="K253" s="51">
        <f>'Fiscal Forecasts'!K$52</f>
        <v>7.0000000000000007E-2</v>
      </c>
      <c r="L253" s="47">
        <f>'Fiscal Forecasts'!L$52</f>
        <v>5.3999999999999999E-2</v>
      </c>
      <c r="M253" s="47">
        <f>'Fiscal Forecasts'!M$52</f>
        <v>5.6000000000000001E-2</v>
      </c>
      <c r="N253" s="47">
        <f>'Fiscal Forecasts'!N$52</f>
        <v>5.5E-2</v>
      </c>
      <c r="O253" s="47">
        <f>'Fiscal Forecasts'!O$52</f>
        <v>5.3999999999999999E-2</v>
      </c>
      <c r="P253" s="47">
        <f>'Fiscal Forecasts'!P$52</f>
        <v>5.2999999999999999E-2</v>
      </c>
      <c r="Q253" s="21">
        <f>P$253*Exogenous!AB$34/Exogenous!AA$34</f>
        <v>5.0504155124653734E-2</v>
      </c>
      <c r="R253" s="21">
        <f>Q$253*Exogenous!AC$34/Exogenous!AB$34</f>
        <v>4.8008310249307476E-2</v>
      </c>
      <c r="S253" s="21">
        <f>R$253*Exogenous!AD$34/Exogenous!AC$34</f>
        <v>4.5512465373961218E-2</v>
      </c>
      <c r="T253" s="21">
        <f>S$253*Exogenous!AE$34/Exogenous!AD$34</f>
        <v>4.2869806094182825E-2</v>
      </c>
      <c r="U253" s="21">
        <f>T$253*Exogenous!AF$34/Exogenous!AE$34</f>
        <v>4.0520775623268702E-2</v>
      </c>
      <c r="V253" s="21">
        <f>U$253*Exogenous!AG$34/Exogenous!AF$34</f>
        <v>3.8171745152354573E-2</v>
      </c>
      <c r="W253" s="21">
        <f>V$253*Exogenous!AH$34/Exogenous!AG$34</f>
        <v>3.5675900277008316E-2</v>
      </c>
      <c r="X253" s="21">
        <f>W$253*Exogenous!AI$34/Exogenous!AH$34</f>
        <v>3.3180055401662058E-2</v>
      </c>
      <c r="Y253" s="21">
        <f>X$253*Exogenous!AJ$34/Exogenous!AI$34</f>
        <v>3.0977839335180061E-2</v>
      </c>
      <c r="Z253" s="21">
        <f>Y$253*Exogenous!AK$34/Exogenous!AJ$34</f>
        <v>2.8775623268698067E-2</v>
      </c>
    </row>
    <row r="255" spans="1:26" x14ac:dyDescent="0.25">
      <c r="A255" s="11" t="s">
        <v>1274</v>
      </c>
      <c r="D255" s="2"/>
      <c r="E255" s="2"/>
      <c r="F255" s="2"/>
      <c r="G255" s="2"/>
      <c r="H255" s="2"/>
      <c r="I255" s="2"/>
      <c r="J255" s="2"/>
      <c r="K255" s="2"/>
      <c r="L255" s="2"/>
    </row>
    <row r="256" spans="1:26" x14ac:dyDescent="0.25">
      <c r="A256" s="11" t="s">
        <v>1275</v>
      </c>
      <c r="B256" s="14" t="str">
        <f>$B$38</f>
        <v>From Fiscal Forecasts</v>
      </c>
      <c r="D256" s="51">
        <f>'Fiscal Forecasts'!D$58</f>
        <v>18.268000000000001</v>
      </c>
      <c r="E256" s="51">
        <f>'Fiscal Forecasts'!E$58</f>
        <v>19.890999999999998</v>
      </c>
      <c r="F256" s="51">
        <f>'Fiscal Forecasts'!F$58</f>
        <v>22.783999999999999</v>
      </c>
      <c r="G256" s="51">
        <f>'Fiscal Forecasts'!G$58</f>
        <v>27.780999999999999</v>
      </c>
      <c r="H256" s="51">
        <f>'Fiscal Forecasts'!H$58</f>
        <v>28.489000000000001</v>
      </c>
      <c r="I256" s="51">
        <f>'Fiscal Forecasts'!I$58</f>
        <v>29.998999999999999</v>
      </c>
      <c r="J256" s="51">
        <f>'Fiscal Forecasts'!J$58</f>
        <v>30.311</v>
      </c>
      <c r="K256" s="51">
        <f>'Fiscal Forecasts'!K$58</f>
        <v>32.917000000000002</v>
      </c>
      <c r="L256" s="47">
        <f ca="1">'Fiscal Forecasts'!L$58+IF(OFFSET(Assumptions!$B$57,0,$C$1)="Yes",Allocation!C$11,0)</f>
        <v>33.975459999999998</v>
      </c>
      <c r="M256" s="47">
        <f ca="1">'Fiscal Forecasts'!M$58+IF(OFFSET(Assumptions!$B$57,0,$C$1)="Yes",Allocation!D$11,0)</f>
        <v>34.896160000000002</v>
      </c>
      <c r="N256" s="47">
        <f ca="1">'Fiscal Forecasts'!N$58+IF(OFFSET(Assumptions!$B$57,0,$C$1)="Yes",Allocation!E$11,0)</f>
        <v>35.827750000000002</v>
      </c>
      <c r="O256" s="47">
        <f ca="1">'Fiscal Forecasts'!O$58+IF(OFFSET(Assumptions!$B$57,0,$C$1)="Yes",Allocation!F$11,0)</f>
        <v>36.933209999999995</v>
      </c>
      <c r="P256" s="47">
        <f ca="1">'Fiscal Forecasts'!P$58+IF(OFFSET(Assumptions!$B$57,0,$C$1)="Yes",Allocation!G$11,0)</f>
        <v>37.954419999999999</v>
      </c>
      <c r="Q256" s="21">
        <f ca="1">P$256+IF(OFFSET(Assumptions!$B$58,0,$C$1)="Yes",Allocation!$B$11*Q$248,IF(OFFSET(Assumptions!$B$59,0,$C$1)="Yes",Q$530-P$256,0))</f>
        <v>40.083246679023617</v>
      </c>
      <c r="R256" s="21">
        <f ca="1">Q$256+IF(OFFSET(Assumptions!$B$58,0,$C$1)="Yes",Allocation!$B$11*R$248,IF(OFFSET(Assumptions!$B$59,0,$C$1)="Yes",R$530-Q$256,0))</f>
        <v>42.262937078894559</v>
      </c>
      <c r="S256" s="21">
        <f ca="1">R$256+IF(OFFSET(Assumptions!$B$58,0,$C$1)="Yes",Allocation!$B$11*S$248,IF(OFFSET(Assumptions!$B$59,0,$C$1)="Yes",S$530-R$256,0))</f>
        <v>44.500970421577534</v>
      </c>
      <c r="T256" s="21">
        <f ca="1">S$256+IF(OFFSET(Assumptions!$B$58,0,$C$1)="Yes",Allocation!$B$11*T$248,IF(OFFSET(Assumptions!$B$59,0,$C$1)="Yes",T$530-S$256,0))</f>
        <v>46.825942970009798</v>
      </c>
      <c r="U256" s="21">
        <f ca="1">T$256+IF(OFFSET(Assumptions!$B$58,0,$C$1)="Yes",Allocation!$B$11*U$248,IF(OFFSET(Assumptions!$B$59,0,$C$1)="Yes",U$530-T$256,0))</f>
        <v>49.248600254770139</v>
      </c>
      <c r="V256" s="21">
        <f ca="1">U$256+IF(OFFSET(Assumptions!$B$58,0,$C$1)="Yes",Allocation!$B$11*V$248,IF(OFFSET(Assumptions!$B$59,0,$C$1)="Yes",V$530-U$256,0))</f>
        <v>51.788514695551115</v>
      </c>
      <c r="W256" s="21">
        <f ca="1">V$256+IF(OFFSET(Assumptions!$B$58,0,$C$1)="Yes",Allocation!$B$11*W$248,IF(OFFSET(Assumptions!$B$59,0,$C$1)="Yes",W$530-V$256,0))</f>
        <v>54.428404489248138</v>
      </c>
      <c r="X256" s="21">
        <f ca="1">W$256+IF(OFFSET(Assumptions!$B$58,0,$C$1)="Yes",Allocation!$B$11*X$248,IF(OFFSET(Assumptions!$B$59,0,$C$1)="Yes",X$530-W$256,0))</f>
        <v>57.188688467494948</v>
      </c>
      <c r="Y256" s="21">
        <f ca="1">X$256+IF(OFFSET(Assumptions!$B$58,0,$C$1)="Yes",Allocation!$B$11*Y$248,IF(OFFSET(Assumptions!$B$59,0,$C$1)="Yes",Y$530-X$256,0))</f>
        <v>60.068612845673407</v>
      </c>
      <c r="Z256" s="21">
        <f ca="1">Y$256+IF(OFFSET(Assumptions!$B$58,0,$C$1)="Yes",Allocation!$B$11*Z$248,IF(OFFSET(Assumptions!$B$59,0,$C$1)="Yes",Z$530-Y$256,0))</f>
        <v>63.082125679942266</v>
      </c>
    </row>
    <row r="257" spans="1:26" x14ac:dyDescent="0.25">
      <c r="A257" s="12" t="s">
        <v>1020</v>
      </c>
      <c r="B257" s="14" t="str">
        <f>$B$38</f>
        <v>From Fiscal Forecasts</v>
      </c>
      <c r="D257" s="50">
        <f>'Fiscal Forecasts'!D$207</f>
        <v>16.579000000000001</v>
      </c>
      <c r="E257" s="50">
        <f>'Fiscal Forecasts'!E$207</f>
        <v>17.788</v>
      </c>
      <c r="F257" s="50">
        <f>'Fiscal Forecasts'!F$207</f>
        <v>18.856000000000002</v>
      </c>
      <c r="G257" s="50">
        <f>'Fiscal Forecasts'!G$207</f>
        <v>22.004999999999999</v>
      </c>
      <c r="H257" s="50">
        <f>'Fiscal Forecasts'!H$207</f>
        <v>27.765999999999998</v>
      </c>
      <c r="I257" s="50">
        <f>'Fiscal Forecasts'!I$207</f>
        <v>27.89</v>
      </c>
      <c r="J257" s="50">
        <f>'Fiscal Forecasts'!J$207</f>
        <v>27.827000000000002</v>
      </c>
      <c r="K257" s="50">
        <f>'Fiscal Forecasts'!K$207</f>
        <v>29.77</v>
      </c>
      <c r="L257" s="48">
        <f>'Fiscal Forecasts'!L$207</f>
        <v>31.096</v>
      </c>
      <c r="M257" s="48">
        <f>'Fiscal Forecasts'!M$207</f>
        <v>30.754999999999999</v>
      </c>
      <c r="N257" s="48">
        <f>'Fiscal Forecasts'!N$207</f>
        <v>30.608000000000001</v>
      </c>
      <c r="O257" s="48">
        <f>'Fiscal Forecasts'!O$207</f>
        <v>30.402999999999999</v>
      </c>
      <c r="P257" s="48">
        <f>'Fiscal Forecasts'!P$207</f>
        <v>30.282</v>
      </c>
      <c r="Q257" s="20">
        <f t="shared" ref="Q257:Z257" ca="1" si="149">P$257+Q$256-P$256</f>
        <v>32.410826679023614</v>
      </c>
      <c r="R257" s="20">
        <f t="shared" ca="1" si="149"/>
        <v>34.590517078894564</v>
      </c>
      <c r="S257" s="20">
        <f t="shared" ca="1" si="149"/>
        <v>36.828550421577539</v>
      </c>
      <c r="T257" s="20">
        <f t="shared" ca="1" si="149"/>
        <v>39.153522970009803</v>
      </c>
      <c r="U257" s="20">
        <f t="shared" ca="1" si="149"/>
        <v>41.576180254770144</v>
      </c>
      <c r="V257" s="20">
        <f t="shared" ca="1" si="149"/>
        <v>44.116094695551112</v>
      </c>
      <c r="W257" s="20">
        <f t="shared" ca="1" si="149"/>
        <v>46.755984489248135</v>
      </c>
      <c r="X257" s="20">
        <f t="shared" ca="1" si="149"/>
        <v>49.516268467494953</v>
      </c>
      <c r="Y257" s="20">
        <f t="shared" ca="1" si="149"/>
        <v>52.396192845673404</v>
      </c>
      <c r="Z257" s="20">
        <f t="shared" ca="1" si="149"/>
        <v>55.409705679942256</v>
      </c>
    </row>
    <row r="258" spans="1:26" x14ac:dyDescent="0.25">
      <c r="A258" s="12" t="s">
        <v>1228</v>
      </c>
      <c r="B258" s="14" t="str">
        <f>$B$38</f>
        <v>From Fiscal Forecasts</v>
      </c>
      <c r="D258" s="50">
        <f>'Fiscal Forecasts'!D$41-SUM(D$256:D$257)</f>
        <v>-16.187000000000001</v>
      </c>
      <c r="E258" s="50">
        <f>'Fiscal Forecasts'!E$41-SUM(E$256:E$257)</f>
        <v>-17.21</v>
      </c>
      <c r="F258" s="50">
        <f>'Fiscal Forecasts'!F$41-SUM(F$256:F$257)</f>
        <v>-19.042000000000002</v>
      </c>
      <c r="G258" s="50">
        <f>'Fiscal Forecasts'!G$41-SUM(G$256:G$257)</f>
        <v>-22.128</v>
      </c>
      <c r="H258" s="50">
        <f>'Fiscal Forecasts'!H$41-SUM(H$256:H$257)</f>
        <v>-26.430999999999994</v>
      </c>
      <c r="I258" s="50">
        <f>'Fiscal Forecasts'!I$41-SUM(I$256:I$257)</f>
        <v>-28.048999999999996</v>
      </c>
      <c r="J258" s="50">
        <f>'Fiscal Forecasts'!J$41-SUM(J$256:J$257)</f>
        <v>-28.285000000000004</v>
      </c>
      <c r="K258" s="50">
        <f>'Fiscal Forecasts'!K$41-SUM(K$256:K$257)</f>
        <v>-30.897999999999996</v>
      </c>
      <c r="L258" s="48">
        <f ca="1">'Fiscal Forecasts'!L$41-SUM(L$256:L$257)+IF(OFFSET(Assumptions!$B$57,0,$C$1)="Yes",Allocation!C$11,0)</f>
        <v>-31.818000000000001</v>
      </c>
      <c r="M258" s="48">
        <f ca="1">'Fiscal Forecasts'!M$41-SUM(M$256:M$257)+IF(OFFSET(Assumptions!$B$57,0,$C$1)="Yes",Allocation!D$11,0)</f>
        <v>-31.799000000000007</v>
      </c>
      <c r="N258" s="48">
        <f ca="1">'Fiscal Forecasts'!N$41-SUM(N$256:N$257)+IF(OFFSET(Assumptions!$B$57,0,$C$1)="Yes",Allocation!E$11,0)</f>
        <v>-31.965000000000003</v>
      </c>
      <c r="O258" s="48">
        <f ca="1">'Fiscal Forecasts'!O$41-SUM(O$256:O$257)+IF(OFFSET(Assumptions!$B$57,0,$C$1)="Yes",Allocation!F$11,0)</f>
        <v>-32.076999999999998</v>
      </c>
      <c r="P258" s="48">
        <f ca="1">'Fiscal Forecasts'!P$41-SUM(P$256:P$257)+IF(OFFSET(Assumptions!$B$57,0,$C$1)="Yes",Allocation!G$11,0)</f>
        <v>-32.281999999999996</v>
      </c>
      <c r="Q258" s="20">
        <f t="shared" ref="Q258:Z258" ca="1" si="150">P$258-(Q$256-P$256)</f>
        <v>-34.410826679023614</v>
      </c>
      <c r="R258" s="20">
        <f t="shared" ca="1" si="150"/>
        <v>-36.590517078894557</v>
      </c>
      <c r="S258" s="20">
        <f t="shared" ca="1" si="150"/>
        <v>-38.828550421577532</v>
      </c>
      <c r="T258" s="20">
        <f t="shared" ca="1" si="150"/>
        <v>-41.153522970009796</v>
      </c>
      <c r="U258" s="20">
        <f t="shared" ca="1" si="150"/>
        <v>-43.576180254770136</v>
      </c>
      <c r="V258" s="20">
        <f t="shared" ca="1" si="150"/>
        <v>-46.116094695551112</v>
      </c>
      <c r="W258" s="20">
        <f t="shared" ca="1" si="150"/>
        <v>-48.755984489248135</v>
      </c>
      <c r="X258" s="20">
        <f t="shared" ca="1" si="150"/>
        <v>-51.516268467494946</v>
      </c>
      <c r="Y258" s="20">
        <f t="shared" ca="1" si="150"/>
        <v>-54.396192845673404</v>
      </c>
      <c r="Z258" s="20">
        <f t="shared" ca="1" si="150"/>
        <v>-57.409705679942263</v>
      </c>
    </row>
    <row r="259" spans="1:26" x14ac:dyDescent="0.25">
      <c r="A259" s="11" t="s">
        <v>1276</v>
      </c>
      <c r="D259" s="94">
        <f t="shared" ref="D259:Z259" si="151">SUM(D$256:D$258)</f>
        <v>18.66</v>
      </c>
      <c r="E259" s="94">
        <f t="shared" si="151"/>
        <v>20.469000000000001</v>
      </c>
      <c r="F259" s="94">
        <f t="shared" si="151"/>
        <v>22.597999999999999</v>
      </c>
      <c r="G259" s="94">
        <f t="shared" si="151"/>
        <v>27.658000000000001</v>
      </c>
      <c r="H259" s="94">
        <f t="shared" si="151"/>
        <v>29.824000000000002</v>
      </c>
      <c r="I259" s="94">
        <f t="shared" si="151"/>
        <v>29.84</v>
      </c>
      <c r="J259" s="94">
        <f t="shared" si="151"/>
        <v>29.853000000000002</v>
      </c>
      <c r="K259" s="94">
        <f t="shared" si="151"/>
        <v>31.789000000000001</v>
      </c>
      <c r="L259" s="95">
        <f t="shared" ca="1" si="151"/>
        <v>33.253460000000004</v>
      </c>
      <c r="M259" s="95">
        <f t="shared" ca="1" si="151"/>
        <v>33.852159999999998</v>
      </c>
      <c r="N259" s="95">
        <f t="shared" ca="1" si="151"/>
        <v>34.470749999999995</v>
      </c>
      <c r="O259" s="95">
        <f t="shared" ca="1" si="151"/>
        <v>35.259209999999996</v>
      </c>
      <c r="P259" s="95">
        <f t="shared" ca="1" si="151"/>
        <v>35.954419999999999</v>
      </c>
      <c r="Q259" s="96">
        <f t="shared" ca="1" si="151"/>
        <v>38.083246679023617</v>
      </c>
      <c r="R259" s="96">
        <f t="shared" ca="1" si="151"/>
        <v>40.262937078894559</v>
      </c>
      <c r="S259" s="96">
        <f t="shared" ca="1" si="151"/>
        <v>42.500970421577549</v>
      </c>
      <c r="T259" s="96">
        <f t="shared" ca="1" si="151"/>
        <v>44.825942970009798</v>
      </c>
      <c r="U259" s="96">
        <f t="shared" ca="1" si="151"/>
        <v>47.248600254770153</v>
      </c>
      <c r="V259" s="96">
        <f t="shared" ca="1" si="151"/>
        <v>49.788514695551115</v>
      </c>
      <c r="W259" s="96">
        <f t="shared" ca="1" si="151"/>
        <v>52.428404489248138</v>
      </c>
      <c r="X259" s="96">
        <f t="shared" ca="1" si="151"/>
        <v>55.188688467494948</v>
      </c>
      <c r="Y259" s="96">
        <f t="shared" ca="1" si="151"/>
        <v>58.068612845673407</v>
      </c>
      <c r="Z259" s="96">
        <f t="shared" ca="1" si="151"/>
        <v>61.082125679942251</v>
      </c>
    </row>
    <row r="260" spans="1:26" x14ac:dyDescent="0.25">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row>
    <row r="261" spans="1:26" x14ac:dyDescent="0.25">
      <c r="A261" s="11" t="s">
        <v>1277</v>
      </c>
    </row>
    <row r="262" spans="1:26" x14ac:dyDescent="0.25">
      <c r="A262" s="12" t="s">
        <v>693</v>
      </c>
      <c r="D262" s="50">
        <f>D$190</f>
        <v>0.58299999999999996</v>
      </c>
      <c r="E262" s="50">
        <f t="shared" ref="E262:Z262" si="152">E$190</f>
        <v>0.56699999999999995</v>
      </c>
      <c r="F262" s="50">
        <f t="shared" si="152"/>
        <v>0.59</v>
      </c>
      <c r="G262" s="50">
        <f t="shared" si="152"/>
        <v>0.55600000000000005</v>
      </c>
      <c r="H262" s="50">
        <f t="shared" si="152"/>
        <v>0.52500000000000002</v>
      </c>
      <c r="I262" s="50">
        <f t="shared" si="152"/>
        <v>0.52600000000000002</v>
      </c>
      <c r="J262" s="50">
        <f t="shared" si="152"/>
        <v>0.57399999999999995</v>
      </c>
      <c r="K262" s="50">
        <f t="shared" si="152"/>
        <v>0.64100000000000001</v>
      </c>
      <c r="L262" s="48">
        <f t="shared" si="152"/>
        <v>0.70399999999999996</v>
      </c>
      <c r="M262" s="48">
        <f t="shared" si="152"/>
        <v>0.71499999999999997</v>
      </c>
      <c r="N262" s="48">
        <f t="shared" si="152"/>
        <v>0.69899999999999995</v>
      </c>
      <c r="O262" s="48">
        <f t="shared" si="152"/>
        <v>0.68899999999999995</v>
      </c>
      <c r="P262" s="48">
        <f t="shared" si="152"/>
        <v>0.68899999999999995</v>
      </c>
      <c r="Q262" s="20">
        <f t="shared" ca="1" si="152"/>
        <v>0.7042704052526918</v>
      </c>
      <c r="R262" s="20">
        <f t="shared" ca="1" si="152"/>
        <v>0.7200817868108712</v>
      </c>
      <c r="S262" s="20">
        <f t="shared" ca="1" si="152"/>
        <v>0.7364441451154754</v>
      </c>
      <c r="T262" s="20">
        <f t="shared" ca="1" si="152"/>
        <v>0.75426820881386147</v>
      </c>
      <c r="U262" s="20">
        <f t="shared" ca="1" si="152"/>
        <v>0.77251950077583986</v>
      </c>
      <c r="V262" s="20">
        <f t="shared" ca="1" si="152"/>
        <v>0.79212822197401689</v>
      </c>
      <c r="W262" s="20">
        <f t="shared" ca="1" si="152"/>
        <v>0.81256650909083683</v>
      </c>
      <c r="X262" s="20">
        <f t="shared" ca="1" si="152"/>
        <v>0.834167094857449</v>
      </c>
      <c r="Y262" s="20">
        <f t="shared" ca="1" si="152"/>
        <v>0.85705810709086938</v>
      </c>
      <c r="Z262" s="20">
        <f t="shared" ca="1" si="152"/>
        <v>0.87732856685740601</v>
      </c>
    </row>
    <row r="263" spans="1:26" x14ac:dyDescent="0.25">
      <c r="A263" s="12" t="s">
        <v>1278</v>
      </c>
      <c r="D263" s="50">
        <f>D$402</f>
        <v>0.56299999999999994</v>
      </c>
      <c r="E263" s="50">
        <f t="shared" ref="E263:Z263" si="153">E$402</f>
        <v>0.50600000000000001</v>
      </c>
      <c r="F263" s="50">
        <f t="shared" si="153"/>
        <v>0.46899999999999997</v>
      </c>
      <c r="G263" s="50">
        <f t="shared" si="153"/>
        <v>0.48899999999999999</v>
      </c>
      <c r="H263" s="50">
        <f t="shared" si="153"/>
        <v>0.55100000000000005</v>
      </c>
      <c r="I263" s="50">
        <f t="shared" si="153"/>
        <v>0.54400000000000004</v>
      </c>
      <c r="J263" s="50">
        <f t="shared" si="153"/>
        <v>0.58499999999999996</v>
      </c>
      <c r="K263" s="50">
        <f t="shared" si="153"/>
        <v>0.76300000000000001</v>
      </c>
      <c r="L263" s="48">
        <f t="shared" si="153"/>
        <v>0.72399999999999998</v>
      </c>
      <c r="M263" s="48">
        <f t="shared" si="153"/>
        <v>0.78600000000000003</v>
      </c>
      <c r="N263" s="48">
        <f t="shared" si="153"/>
        <v>0.82099999999999995</v>
      </c>
      <c r="O263" s="48">
        <f t="shared" si="153"/>
        <v>0.85299999999999998</v>
      </c>
      <c r="P263" s="48">
        <f t="shared" si="153"/>
        <v>0.88300000000000001</v>
      </c>
      <c r="Q263" s="20">
        <f t="shared" si="153"/>
        <v>0.91100000000000003</v>
      </c>
      <c r="R263" s="20">
        <f t="shared" si="153"/>
        <v>0.93799999999999994</v>
      </c>
      <c r="S263" s="20">
        <f t="shared" si="153"/>
        <v>0.96199999999999997</v>
      </c>
      <c r="T263" s="20">
        <f t="shared" si="153"/>
        <v>0.98499999999999999</v>
      </c>
      <c r="U263" s="20">
        <f t="shared" si="153"/>
        <v>1.006</v>
      </c>
      <c r="V263" s="20">
        <f t="shared" si="153"/>
        <v>1.0249999999999999</v>
      </c>
      <c r="W263" s="20">
        <f t="shared" si="153"/>
        <v>1.046</v>
      </c>
      <c r="X263" s="20">
        <f t="shared" si="153"/>
        <v>1.0669999999999999</v>
      </c>
      <c r="Y263" s="20">
        <f t="shared" si="153"/>
        <v>1.0880000000000001</v>
      </c>
      <c r="Z263" s="20">
        <f t="shared" si="153"/>
        <v>1.109</v>
      </c>
    </row>
    <row r="264" spans="1:26" x14ac:dyDescent="0.25">
      <c r="A264" s="12" t="s">
        <v>1279</v>
      </c>
      <c r="B264" s="14" t="str">
        <f>$B$38</f>
        <v>From Fiscal Forecasts</v>
      </c>
      <c r="D264" s="50">
        <f>'Fiscal Forecasts'!D$59-SUM(D$262:D$263)</f>
        <v>13.146999999999998</v>
      </c>
      <c r="E264" s="50">
        <f>'Fiscal Forecasts'!E$59-SUM(E$262:E$263)</f>
        <v>15.248999999999999</v>
      </c>
      <c r="F264" s="50">
        <f>'Fiscal Forecasts'!F$59-SUM(F$262:F$263)</f>
        <v>14.980000000000002</v>
      </c>
      <c r="G264" s="50">
        <f>'Fiscal Forecasts'!G$59-SUM(G$262:G$263)</f>
        <v>16.978000000000002</v>
      </c>
      <c r="H264" s="50">
        <f>'Fiscal Forecasts'!H$59-SUM(H$262:H$263)</f>
        <v>17.326999999999998</v>
      </c>
      <c r="I264" s="50">
        <f>'Fiscal Forecasts'!I$59-SUM(I$262:I$263)</f>
        <v>19.152999999999999</v>
      </c>
      <c r="J264" s="50">
        <f>'Fiscal Forecasts'!J$59-SUM(J$262:J$263)</f>
        <v>19.736000000000001</v>
      </c>
      <c r="K264" s="50">
        <f>'Fiscal Forecasts'!K$59-SUM(K$262:K$263)</f>
        <v>19.802</v>
      </c>
      <c r="L264" s="48">
        <f ca="1">'Fiscal Forecasts'!L$59+IF(OFFSET(Assumptions!$B$57,0,$C$1)="Yes",Allocation!C$12,0)-SUM(L$262:L$263)</f>
        <v>20.416789999999999</v>
      </c>
      <c r="M264" s="48">
        <f ca="1">'Fiscal Forecasts'!M$59+IF(OFFSET(Assumptions!$B$57,0,$C$1)="Yes",Allocation!D$12,0)-SUM(M$262:M$263)</f>
        <v>21.120839999999998</v>
      </c>
      <c r="N264" s="48">
        <f ca="1">'Fiscal Forecasts'!N$59+IF(OFFSET(Assumptions!$B$57,0,$C$1)="Yes",Allocation!E$12,0)-SUM(N$262:N$263)</f>
        <v>21.543625000000002</v>
      </c>
      <c r="O264" s="48">
        <f ca="1">'Fiscal Forecasts'!O$59+IF(OFFSET(Assumptions!$B$57,0,$C$1)="Yes",Allocation!F$12,0)-SUM(O$262:O$263)</f>
        <v>22.228915000000001</v>
      </c>
      <c r="P264" s="48">
        <f ca="1">'Fiscal Forecasts'!P$59+IF(OFFSET(Assumptions!$B$57,0,$C$1)="Yes",Allocation!G$12,0)-SUM(P$262:P$263)</f>
        <v>22.86083</v>
      </c>
      <c r="Q264" s="20">
        <f ca="1">P$264+IF(OFFSET(Assumptions!$B$58,0,$C$1)="Yes",Allocation!$B$12*Q$248,IF(OFFSET(Assumptions!$B$59,0,$C$1)="Yes",SUM(Q$533:Q$536,Q$539)-P$264,0))</f>
        <v>24.003378384177218</v>
      </c>
      <c r="R264" s="20">
        <f ca="1">Q$264+IF(OFFSET(Assumptions!$B$58,0,$C$1)="Yes",Allocation!$B$12*R$248,IF(OFFSET(Assumptions!$B$59,0,$C$1)="Yes",SUM(R$533:R$536,R$539)-Q$264,0))</f>
        <v>25.14624375421274</v>
      </c>
      <c r="S264" s="20">
        <f ca="1">R$264+IF(OFFSET(Assumptions!$B$58,0,$C$1)="Yes",Allocation!$B$12*S$248,IF(OFFSET(Assumptions!$B$59,0,$C$1)="Yes",SUM(S$533:S$536,S$539)-R$264,0))</f>
        <v>26.041678555598736</v>
      </c>
      <c r="T264" s="20">
        <f ca="1">S$264+IF(OFFSET(Assumptions!$B$58,0,$C$1)="Yes",Allocation!$B$12*T$248,IF(OFFSET(Assumptions!$B$59,0,$C$1)="Yes",SUM(T$533:T$536,T$539)-S$264,0))</f>
        <v>26.958160170945888</v>
      </c>
      <c r="U264" s="20">
        <f ca="1">T$264+IF(OFFSET(Assumptions!$B$58,0,$C$1)="Yes",Allocation!$B$12*U$248,IF(OFFSET(Assumptions!$B$59,0,$C$1)="Yes",SUM(U$533:U$536,U$539)-T$264,0))</f>
        <v>27.906945953356828</v>
      </c>
      <c r="V264" s="20">
        <f ca="1">U$264+IF(OFFSET(Assumptions!$B$58,0,$C$1)="Yes",Allocation!$B$12*V$248,IF(OFFSET(Assumptions!$B$59,0,$C$1)="Yes",SUM(V$533:V$536,V$539)-U$264,0))</f>
        <v>28.876496558276841</v>
      </c>
      <c r="W264" s="20">
        <f ca="1">V$264+IF(OFFSET(Assumptions!$B$58,0,$C$1)="Yes",Allocation!$B$12*W$248,IF(OFFSET(Assumptions!$B$59,0,$C$1)="Yes",SUM(W$533:W$536,W$539)-V$264,0))</f>
        <v>29.889905492731405</v>
      </c>
      <c r="X264" s="20">
        <f ca="1">W$264+IF(OFFSET(Assumptions!$B$58,0,$C$1)="Yes",Allocation!$B$12*X$248,IF(OFFSET(Assumptions!$B$59,0,$C$1)="Yes",SUM(X$533:X$536,X$539)-W$264,0))</f>
        <v>30.959767670704252</v>
      </c>
      <c r="Y264" s="20">
        <f ca="1">X$264+IF(OFFSET(Assumptions!$B$58,0,$C$1)="Yes",Allocation!$B$12*Y$248,IF(OFFSET(Assumptions!$B$59,0,$C$1)="Yes",SUM(Y$533:Y$536,Y$539)-X$264,0))</f>
        <v>32.085273971719687</v>
      </c>
      <c r="Z264" s="20">
        <f ca="1">Y$264+IF(OFFSET(Assumptions!$B$58,0,$C$1)="Yes",Allocation!$B$12*Z$248,IF(OFFSET(Assumptions!$B$59,0,$C$1)="Yes",SUM(Z$533:Z$536,Z$539)-Y$264,0))</f>
        <v>33.292598469009157</v>
      </c>
    </row>
    <row r="265" spans="1:26" x14ac:dyDescent="0.25">
      <c r="A265" s="11" t="s">
        <v>1128</v>
      </c>
      <c r="D265" s="94">
        <f>SUM(D$262:D$264)</f>
        <v>14.292999999999999</v>
      </c>
      <c r="E265" s="94">
        <f t="shared" ref="E265:Z265" si="154">SUM(E$262:E$264)</f>
        <v>16.321999999999999</v>
      </c>
      <c r="F265" s="94">
        <f t="shared" si="154"/>
        <v>16.039000000000001</v>
      </c>
      <c r="G265" s="94">
        <f t="shared" si="154"/>
        <v>18.023000000000003</v>
      </c>
      <c r="H265" s="94">
        <f t="shared" si="154"/>
        <v>18.402999999999999</v>
      </c>
      <c r="I265" s="94">
        <f t="shared" si="154"/>
        <v>20.222999999999999</v>
      </c>
      <c r="J265" s="94">
        <f t="shared" si="154"/>
        <v>20.895</v>
      </c>
      <c r="K265" s="94">
        <f t="shared" si="154"/>
        <v>21.206</v>
      </c>
      <c r="L265" s="95">
        <f t="shared" ca="1" si="154"/>
        <v>21.84479</v>
      </c>
      <c r="M265" s="95">
        <f t="shared" ca="1" si="154"/>
        <v>22.621839999999999</v>
      </c>
      <c r="N265" s="95">
        <f t="shared" ca="1" si="154"/>
        <v>23.063625000000002</v>
      </c>
      <c r="O265" s="95">
        <f t="shared" ca="1" si="154"/>
        <v>23.770915000000002</v>
      </c>
      <c r="P265" s="95">
        <f t="shared" ca="1" si="154"/>
        <v>24.432829999999999</v>
      </c>
      <c r="Q265" s="96">
        <f t="shared" ca="1" si="154"/>
        <v>25.618648789429908</v>
      </c>
      <c r="R265" s="96">
        <f t="shared" ca="1" si="154"/>
        <v>26.804325541023612</v>
      </c>
      <c r="S265" s="96">
        <f t="shared" ca="1" si="154"/>
        <v>27.74012270071421</v>
      </c>
      <c r="T265" s="96">
        <f t="shared" ca="1" si="154"/>
        <v>28.697428379759749</v>
      </c>
      <c r="U265" s="96">
        <f t="shared" ca="1" si="154"/>
        <v>29.685465454132668</v>
      </c>
      <c r="V265" s="96">
        <f t="shared" ca="1" si="154"/>
        <v>30.693624780250857</v>
      </c>
      <c r="W265" s="96">
        <f t="shared" ca="1" si="154"/>
        <v>31.748472001822243</v>
      </c>
      <c r="X265" s="96">
        <f t="shared" ca="1" si="154"/>
        <v>32.860934765561701</v>
      </c>
      <c r="Y265" s="96">
        <f t="shared" ca="1" si="154"/>
        <v>34.030332078810559</v>
      </c>
      <c r="Z265" s="96">
        <f t="shared" ca="1" si="154"/>
        <v>35.278927035866566</v>
      </c>
    </row>
    <row r="266" spans="1:26" x14ac:dyDescent="0.25">
      <c r="A266" s="12" t="s">
        <v>1020</v>
      </c>
      <c r="B266" s="14" t="str">
        <f>$B$38</f>
        <v>From Fiscal Forecasts</v>
      </c>
      <c r="D266" s="50">
        <f>'Fiscal Forecasts'!D$208</f>
        <v>11.428000000000001</v>
      </c>
      <c r="E266" s="50">
        <f>'Fiscal Forecasts'!E$208</f>
        <v>13.705</v>
      </c>
      <c r="F266" s="50">
        <f>'Fiscal Forecasts'!F$208</f>
        <v>12.840999999999999</v>
      </c>
      <c r="G266" s="50">
        <f>'Fiscal Forecasts'!G$208</f>
        <v>13.805</v>
      </c>
      <c r="H266" s="50">
        <f>'Fiscal Forecasts'!H$208</f>
        <v>14.166</v>
      </c>
      <c r="I266" s="50">
        <f>'Fiscal Forecasts'!I$208</f>
        <v>15.346</v>
      </c>
      <c r="J266" s="50">
        <f>'Fiscal Forecasts'!J$208</f>
        <v>16.091999999999999</v>
      </c>
      <c r="K266" s="50">
        <f>'Fiscal Forecasts'!K$208</f>
        <v>16.541</v>
      </c>
      <c r="L266" s="48">
        <f>'Fiscal Forecasts'!L$208</f>
        <v>17.132000000000001</v>
      </c>
      <c r="M266" s="48">
        <f>'Fiscal Forecasts'!M$208</f>
        <v>17.181999999999999</v>
      </c>
      <c r="N266" s="48">
        <f>'Fiscal Forecasts'!N$208</f>
        <v>16.97</v>
      </c>
      <c r="O266" s="48">
        <f>'Fiscal Forecasts'!O$208</f>
        <v>17.021000000000001</v>
      </c>
      <c r="P266" s="48">
        <f>'Fiscal Forecasts'!P$208</f>
        <v>17.047999999999998</v>
      </c>
      <c r="Q266" s="20">
        <f t="shared" ref="Q266:Z266" ca="1" si="155">SUM(P$266,Q$264-P$264)</f>
        <v>18.190548384177216</v>
      </c>
      <c r="R266" s="20">
        <f t="shared" ca="1" si="155"/>
        <v>19.333413754212739</v>
      </c>
      <c r="S266" s="20">
        <f t="shared" ca="1" si="155"/>
        <v>20.228848555598734</v>
      </c>
      <c r="T266" s="20">
        <f t="shared" ca="1" si="155"/>
        <v>21.145330170945886</v>
      </c>
      <c r="U266" s="20">
        <f t="shared" ca="1" si="155"/>
        <v>22.094115953356827</v>
      </c>
      <c r="V266" s="20">
        <f t="shared" ca="1" si="155"/>
        <v>23.063666558276839</v>
      </c>
      <c r="W266" s="20">
        <f t="shared" ca="1" si="155"/>
        <v>24.077075492731403</v>
      </c>
      <c r="X266" s="20">
        <f t="shared" ca="1" si="155"/>
        <v>25.146937670704251</v>
      </c>
      <c r="Y266" s="20">
        <f t="shared" ca="1" si="155"/>
        <v>26.272443971719685</v>
      </c>
      <c r="Z266" s="20">
        <f t="shared" ca="1" si="155"/>
        <v>27.479768469009155</v>
      </c>
    </row>
    <row r="267" spans="1:26" x14ac:dyDescent="0.25">
      <c r="A267" s="12" t="s">
        <v>1228</v>
      </c>
      <c r="B267" s="14" t="str">
        <f>$B$38</f>
        <v>From Fiscal Forecasts</v>
      </c>
      <c r="D267" s="50">
        <f>'Fiscal Forecasts'!D$42-SUM(D$265:D$266)</f>
        <v>-10.441000000000001</v>
      </c>
      <c r="E267" s="50">
        <f>'Fiscal Forecasts'!E$42-SUM(E$265:E$266)</f>
        <v>-12.446000000000002</v>
      </c>
      <c r="F267" s="50">
        <f>'Fiscal Forecasts'!F$42-SUM(F$265:F$266)</f>
        <v>-11.496000000000002</v>
      </c>
      <c r="G267" s="50">
        <f>'Fiscal Forecasts'!G$42-SUM(G$265:G$266)</f>
        <v>-12.917000000000002</v>
      </c>
      <c r="H267" s="50">
        <f>'Fiscal Forecasts'!H$42-SUM(H$265:H$266)</f>
        <v>-12.96</v>
      </c>
      <c r="I267" s="50">
        <f>'Fiscal Forecasts'!I$42-SUM(I$265:I$266)</f>
        <v>-14.383000000000003</v>
      </c>
      <c r="J267" s="50">
        <f>'Fiscal Forecasts'!J$42-SUM(J$265:J$266)</f>
        <v>-14.678999999999995</v>
      </c>
      <c r="K267" s="50">
        <f>'Fiscal Forecasts'!K$42-SUM(K$265:K$266)</f>
        <v>-14.896000000000001</v>
      </c>
      <c r="L267" s="48">
        <f ca="1">'Fiscal Forecasts'!L$42-SUM(L$265:L$266)+IF(OFFSET(Assumptions!$B$57,0,$C$1)="Yes",Allocation!C$12,0)</f>
        <v>-15.548</v>
      </c>
      <c r="M267" s="48">
        <f ca="1">'Fiscal Forecasts'!M$42-SUM(M$265:M$266)+IF(OFFSET(Assumptions!$B$57,0,$C$1)="Yes",Allocation!D$12,0)</f>
        <v>-15.472999999999995</v>
      </c>
      <c r="N267" s="48">
        <f ca="1">'Fiscal Forecasts'!N$42-SUM(N$265:N$266)+IF(OFFSET(Assumptions!$B$57,0,$C$1)="Yes",Allocation!E$12,0)</f>
        <v>-15.250000000000002</v>
      </c>
      <c r="O267" s="48">
        <f ca="1">'Fiscal Forecasts'!O$42-SUM(O$265:O$266)+IF(OFFSET(Assumptions!$B$57,0,$C$1)="Yes",Allocation!F$12,0)</f>
        <v>-15.261000000000003</v>
      </c>
      <c r="P267" s="48">
        <f ca="1">'Fiscal Forecasts'!P$42-SUM(P$265:P$266)+IF(OFFSET(Assumptions!$B$57,0,$C$1)="Yes",Allocation!G$12,0)</f>
        <v>-15.240999999999996</v>
      </c>
      <c r="Q267" s="20">
        <f t="shared" ref="Q267:Z267" ca="1" si="156">P$267-(Q$264-P$264)</f>
        <v>-16.383548384177214</v>
      </c>
      <c r="R267" s="20">
        <f t="shared" ca="1" si="156"/>
        <v>-17.526413754212737</v>
      </c>
      <c r="S267" s="20">
        <f t="shared" ca="1" si="156"/>
        <v>-18.421848555598732</v>
      </c>
      <c r="T267" s="20">
        <f t="shared" ca="1" si="156"/>
        <v>-19.338330170945884</v>
      </c>
      <c r="U267" s="20">
        <f t="shared" ca="1" si="156"/>
        <v>-20.287115953356825</v>
      </c>
      <c r="V267" s="20">
        <f t="shared" ca="1" si="156"/>
        <v>-21.256666558276837</v>
      </c>
      <c r="W267" s="20">
        <f t="shared" ca="1" si="156"/>
        <v>-22.270075492731401</v>
      </c>
      <c r="X267" s="20">
        <f t="shared" ca="1" si="156"/>
        <v>-23.339937670704249</v>
      </c>
      <c r="Y267" s="20">
        <f t="shared" ca="1" si="156"/>
        <v>-24.465443971719683</v>
      </c>
      <c r="Z267" s="20">
        <f t="shared" ca="1" si="156"/>
        <v>-25.672768469009153</v>
      </c>
    </row>
    <row r="268" spans="1:26" x14ac:dyDescent="0.25">
      <c r="A268" s="11" t="s">
        <v>1280</v>
      </c>
      <c r="D268" s="94">
        <f t="shared" ref="D268:K268" si="157">SUM(D$265:D$267)</f>
        <v>15.28</v>
      </c>
      <c r="E268" s="94">
        <f t="shared" si="157"/>
        <v>17.581</v>
      </c>
      <c r="F268" s="94">
        <f t="shared" si="157"/>
        <v>17.384</v>
      </c>
      <c r="G268" s="94">
        <f t="shared" si="157"/>
        <v>18.911000000000001</v>
      </c>
      <c r="H268" s="94">
        <f t="shared" si="157"/>
        <v>19.609000000000002</v>
      </c>
      <c r="I268" s="94">
        <f t="shared" si="157"/>
        <v>21.186</v>
      </c>
      <c r="J268" s="94">
        <f t="shared" si="157"/>
        <v>22.308</v>
      </c>
      <c r="K268" s="94">
        <f t="shared" si="157"/>
        <v>22.850999999999999</v>
      </c>
      <c r="L268" s="95">
        <f t="shared" ref="L268:Z268" ca="1" si="158">SUM(L$265:L$267)</f>
        <v>23.428789999999999</v>
      </c>
      <c r="M268" s="95">
        <f t="shared" ca="1" si="158"/>
        <v>24.330839999999998</v>
      </c>
      <c r="N268" s="95">
        <f t="shared" ca="1" si="158"/>
        <v>24.783625000000001</v>
      </c>
      <c r="O268" s="95">
        <f t="shared" ca="1" si="158"/>
        <v>25.530915</v>
      </c>
      <c r="P268" s="95">
        <f t="shared" ca="1" si="158"/>
        <v>26.239830000000001</v>
      </c>
      <c r="Q268" s="96">
        <f t="shared" ca="1" si="158"/>
        <v>27.425648789429911</v>
      </c>
      <c r="R268" s="96">
        <f t="shared" ca="1" si="158"/>
        <v>28.611325541023614</v>
      </c>
      <c r="S268" s="96">
        <f t="shared" ca="1" si="158"/>
        <v>29.547122700714208</v>
      </c>
      <c r="T268" s="96">
        <f t="shared" ca="1" si="158"/>
        <v>30.504428379759755</v>
      </c>
      <c r="U268" s="96">
        <f t="shared" ca="1" si="158"/>
        <v>31.49246545413267</v>
      </c>
      <c r="V268" s="96">
        <f t="shared" ca="1" si="158"/>
        <v>32.50062478025086</v>
      </c>
      <c r="W268" s="96">
        <f t="shared" ca="1" si="158"/>
        <v>33.555472001822245</v>
      </c>
      <c r="X268" s="96">
        <f t="shared" ca="1" si="158"/>
        <v>34.667934765561711</v>
      </c>
      <c r="Y268" s="96">
        <f t="shared" ca="1" si="158"/>
        <v>35.837332078810562</v>
      </c>
      <c r="Z268" s="96">
        <f t="shared" ca="1" si="158"/>
        <v>37.085927035866561</v>
      </c>
    </row>
    <row r="270" spans="1:26" x14ac:dyDescent="0.25">
      <c r="A270" s="11" t="s">
        <v>1281</v>
      </c>
    </row>
    <row r="271" spans="1:26" x14ac:dyDescent="0.25">
      <c r="A271" s="12" t="s">
        <v>1282</v>
      </c>
      <c r="D271" s="50">
        <f t="shared" ref="D271:Z271" si="159">D$377</f>
        <v>0.13</v>
      </c>
      <c r="E271" s="50">
        <f t="shared" si="159"/>
        <v>0.15</v>
      </c>
      <c r="F271" s="50">
        <f t="shared" si="159"/>
        <v>0.125</v>
      </c>
      <c r="G271" s="50">
        <f t="shared" si="159"/>
        <v>-0.51700000000000002</v>
      </c>
      <c r="H271" s="50">
        <f t="shared" si="159"/>
        <v>1.054</v>
      </c>
      <c r="I271" s="50">
        <f t="shared" si="159"/>
        <v>0.189</v>
      </c>
      <c r="J271" s="50">
        <f t="shared" si="159"/>
        <v>0.193</v>
      </c>
      <c r="K271" s="50">
        <f t="shared" si="159"/>
        <v>0.215</v>
      </c>
      <c r="L271" s="48">
        <f t="shared" si="159"/>
        <v>0.32200000000000001</v>
      </c>
      <c r="M271" s="48">
        <f t="shared" si="159"/>
        <v>0.33600000000000002</v>
      </c>
      <c r="N271" s="48">
        <f t="shared" si="159"/>
        <v>0.35199999999999998</v>
      </c>
      <c r="O271" s="48">
        <f t="shared" si="159"/>
        <v>0.371</v>
      </c>
      <c r="P271" s="48">
        <f t="shared" si="159"/>
        <v>0.39100000000000001</v>
      </c>
      <c r="Q271" s="20">
        <f t="shared" si="159"/>
        <v>0.41851304952192758</v>
      </c>
      <c r="R271" s="20">
        <f t="shared" si="159"/>
        <v>0.44419562346666575</v>
      </c>
      <c r="S271" s="20">
        <f t="shared" si="159"/>
        <v>0.47094294413192073</v>
      </c>
      <c r="T271" s="20">
        <f t="shared" si="159"/>
        <v>0.49880208501132234</v>
      </c>
      <c r="U271" s="20">
        <f t="shared" si="159"/>
        <v>0.52777449577495117</v>
      </c>
      <c r="V271" s="20">
        <f t="shared" si="159"/>
        <v>0.55788491961991127</v>
      </c>
      <c r="W271" s="20">
        <f t="shared" si="159"/>
        <v>0.58937223378136083</v>
      </c>
      <c r="X271" s="20">
        <f t="shared" si="159"/>
        <v>0.62254596552159913</v>
      </c>
      <c r="Y271" s="20">
        <f t="shared" si="159"/>
        <v>0.65777533085606932</v>
      </c>
      <c r="Z271" s="20">
        <f t="shared" si="159"/>
        <v>0.69547030412768118</v>
      </c>
    </row>
    <row r="272" spans="1:26" x14ac:dyDescent="0.25">
      <c r="A272" s="12" t="s">
        <v>1283</v>
      </c>
      <c r="D272" s="50">
        <f t="shared" ref="D272:Z272" si="160">D$193</f>
        <v>0.70799999999999996</v>
      </c>
      <c r="E272" s="50">
        <f t="shared" si="160"/>
        <v>0.73599999999999999</v>
      </c>
      <c r="F272" s="50">
        <f t="shared" si="160"/>
        <v>0.80400000000000005</v>
      </c>
      <c r="G272" s="50">
        <f t="shared" si="160"/>
        <v>0.82699999999999996</v>
      </c>
      <c r="H272" s="50">
        <f t="shared" si="160"/>
        <v>0.97099999999999997</v>
      </c>
      <c r="I272" s="50">
        <f t="shared" si="160"/>
        <v>1.202</v>
      </c>
      <c r="J272" s="50">
        <f t="shared" si="160"/>
        <v>0.95299999999999996</v>
      </c>
      <c r="K272" s="50">
        <f t="shared" si="160"/>
        <v>0.95599999999999996</v>
      </c>
      <c r="L272" s="48">
        <f t="shared" si="160"/>
        <v>1.151</v>
      </c>
      <c r="M272" s="48">
        <f t="shared" si="160"/>
        <v>0.98199999999999998</v>
      </c>
      <c r="N272" s="48">
        <f t="shared" si="160"/>
        <v>0.98199999999999998</v>
      </c>
      <c r="O272" s="48">
        <f t="shared" si="160"/>
        <v>0.98199999999999998</v>
      </c>
      <c r="P272" s="48">
        <f t="shared" si="160"/>
        <v>0.98199999999999998</v>
      </c>
      <c r="Q272" s="20">
        <f t="shared" ca="1" si="160"/>
        <v>1.0016400000000001</v>
      </c>
      <c r="R272" s="20">
        <f t="shared" ca="1" si="160"/>
        <v>1.0216728000000002</v>
      </c>
      <c r="S272" s="20">
        <f t="shared" ca="1" si="160"/>
        <v>1.0421062560000003</v>
      </c>
      <c r="T272" s="20">
        <f t="shared" ca="1" si="160"/>
        <v>1.0629483811200002</v>
      </c>
      <c r="U272" s="20">
        <f t="shared" ca="1" si="160"/>
        <v>1.0842073487424002</v>
      </c>
      <c r="V272" s="20">
        <f t="shared" ca="1" si="160"/>
        <v>1.1058914957172483</v>
      </c>
      <c r="W272" s="20">
        <f t="shared" ca="1" si="160"/>
        <v>1.1280093256315933</v>
      </c>
      <c r="X272" s="20">
        <f t="shared" ca="1" si="160"/>
        <v>1.1505695121442252</v>
      </c>
      <c r="Y272" s="20">
        <f t="shared" ca="1" si="160"/>
        <v>1.1735809023871098</v>
      </c>
      <c r="Z272" s="20">
        <f t="shared" ca="1" si="160"/>
        <v>1.1970525204348519</v>
      </c>
    </row>
    <row r="273" spans="1:26" x14ac:dyDescent="0.25">
      <c r="A273" s="12" t="s">
        <v>1284</v>
      </c>
      <c r="B273" s="14" t="s">
        <v>1285</v>
      </c>
      <c r="D273" s="50">
        <f>Exogenous!O$39</f>
        <v>0.82899999999999996</v>
      </c>
      <c r="E273" s="50">
        <f>Exogenous!P$39</f>
        <v>1.3560000000000001</v>
      </c>
      <c r="F273" s="50">
        <f>Exogenous!Q$39</f>
        <v>0.88200000000000001</v>
      </c>
      <c r="G273" s="50">
        <f>Exogenous!R$39</f>
        <v>0.66200000000000003</v>
      </c>
      <c r="H273" s="50">
        <f>Exogenous!S$39</f>
        <v>1.4530000000000001</v>
      </c>
      <c r="I273" s="50">
        <f>Exogenous!T$39</f>
        <v>2.3929999999999998</v>
      </c>
      <c r="J273" s="50">
        <f>Exogenous!U$39</f>
        <v>1.8720000000000001</v>
      </c>
      <c r="K273" s="50">
        <f>Exogenous!V$39</f>
        <v>1.17</v>
      </c>
      <c r="L273" s="48">
        <f>Exogenous!W$39</f>
        <v>1.5249999999999999</v>
      </c>
      <c r="M273" s="48">
        <f>Exogenous!X$39</f>
        <v>1.3839999999999999</v>
      </c>
      <c r="N273" s="48">
        <f>Exogenous!Y$39</f>
        <v>1.39</v>
      </c>
      <c r="O273" s="48">
        <f>Exogenous!Z$39</f>
        <v>1.4</v>
      </c>
      <c r="P273" s="48">
        <f>Exogenous!AA$39</f>
        <v>1.41</v>
      </c>
      <c r="Q273" s="20">
        <f t="shared" ref="Q273:Z273" ca="1" si="161">P$273*Q$142/P$142</f>
        <v>1.4669564263751242</v>
      </c>
      <c r="R273" s="20">
        <f t="shared" ca="1" si="161"/>
        <v>1.52388960834636</v>
      </c>
      <c r="S273" s="20">
        <f t="shared" ca="1" si="161"/>
        <v>1.583806697349128</v>
      </c>
      <c r="T273" s="20">
        <f t="shared" ca="1" si="161"/>
        <v>1.6478767020008633</v>
      </c>
      <c r="U273" s="20">
        <f t="shared" ca="1" si="161"/>
        <v>1.7150417727138572</v>
      </c>
      <c r="V273" s="20">
        <f t="shared" ca="1" si="161"/>
        <v>1.7844811043638282</v>
      </c>
      <c r="W273" s="20">
        <f t="shared" ca="1" si="161"/>
        <v>1.8558263889754574</v>
      </c>
      <c r="X273" s="20">
        <f t="shared" ca="1" si="161"/>
        <v>1.9292192456274495</v>
      </c>
      <c r="Y273" s="20">
        <f t="shared" ca="1" si="161"/>
        <v>2.0050475281790781</v>
      </c>
      <c r="Z273" s="20">
        <f t="shared" ca="1" si="161"/>
        <v>2.0833235271462041</v>
      </c>
    </row>
    <row r="274" spans="1:26" x14ac:dyDescent="0.25">
      <c r="A274" s="12" t="s">
        <v>1286</v>
      </c>
      <c r="B274" s="14" t="str">
        <f>$B$38</f>
        <v>From Fiscal Forecasts</v>
      </c>
      <c r="C274" s="100" cm="1">
        <f t="array" aca="1" ref="C274" ca="1">SUMPRODUCT(OFFSET($P$274,0,0,1,-OFFSET(Assumptions!$B$60,0,$C$1))/OFFSET($P$13,0,0,1,-OFFSET(Assumptions!$B$60,0,$C$1)))/OFFSET(Assumptions!$B$60,0,$C$1)</f>
        <v>8.8579341341307044E-3</v>
      </c>
      <c r="D274" s="50">
        <f>'Fiscal Forecasts'!D$60-SUM(D$271:D$273)</f>
        <v>3.4990000000000006</v>
      </c>
      <c r="E274" s="50">
        <f>'Fiscal Forecasts'!E$60-SUM(E$271:E$273)</f>
        <v>3.8410000000000002</v>
      </c>
      <c r="F274" s="50">
        <f>'Fiscal Forecasts'!F$60-SUM(F$271:F$273)</f>
        <v>3.9429999999999996</v>
      </c>
      <c r="G274" s="50">
        <f>'Fiscal Forecasts'!G$60-SUM(G$271:G$273)</f>
        <v>4.7479999999999993</v>
      </c>
      <c r="H274" s="50">
        <f>'Fiscal Forecasts'!H$60-SUM(H$271:H$273)</f>
        <v>3.3280000000000003</v>
      </c>
      <c r="I274" s="50">
        <f>'Fiscal Forecasts'!I$60-SUM(I$271:I$273)</f>
        <v>4.6840000000000002</v>
      </c>
      <c r="J274" s="50">
        <f>'Fiscal Forecasts'!J$60-SUM(J$271:J$273)</f>
        <v>4.8900000000000006</v>
      </c>
      <c r="K274" s="50">
        <f>'Fiscal Forecasts'!K$60-SUM(K$271:K$273)</f>
        <v>3.6390000000000002</v>
      </c>
      <c r="L274" s="48">
        <f ca="1">'Fiscal Forecasts'!L$60-SUM(L$271:L$273)+IF(OFFSET(Assumptions!$B$57,0,$C$1)="Yes",Allocation!C$13,0)</f>
        <v>3.5583499999999999</v>
      </c>
      <c r="M274" s="48">
        <f ca="1">'Fiscal Forecasts'!M$60-SUM(M$271:M$273)+IF(OFFSET(Assumptions!$B$57,0,$C$1)="Yes",Allocation!D$13,0)</f>
        <v>3.8475999999999995</v>
      </c>
      <c r="N274" s="48">
        <f ca="1">'Fiscal Forecasts'!N$60-SUM(N$271:N$273)+IF(OFFSET(Assumptions!$B$57,0,$C$1)="Yes",Allocation!E$13,0)</f>
        <v>3.9331249999999995</v>
      </c>
      <c r="O274" s="48">
        <f ca="1">'Fiscal Forecasts'!O$60-SUM(O$271:O$273)+IF(OFFSET(Assumptions!$B$57,0,$C$1)="Yes",Allocation!F$13,0)</f>
        <v>4.108975</v>
      </c>
      <c r="P274" s="48">
        <f ca="1">'Fiscal Forecasts'!P$60-SUM(P$271:P$273)+IF(OFFSET(Assumptions!$B$57,0,$C$1)="Yes",Allocation!G$13,0)</f>
        <v>4.1899499999999996</v>
      </c>
      <c r="Q274" s="20">
        <f ca="1">P$274+IF(OFFSET(Assumptions!$B$58,0,$C$1)="Yes",Allocation!$B$13*Q$248,IF(OFFSET(Assumptions!$B$59,0,$C$1)="Yes",(P$274/P$13+MIN(ABS($C$274-P$274/P$13),OFFSET(Assumptions!$B$61,0,$C$1))*SIGN($C$274-P$274/P$13))*Q$13-P$274,0))</f>
        <v>4.6761965304620823</v>
      </c>
      <c r="R274" s="20">
        <f ca="1">Q$274+IF(OFFSET(Assumptions!$B$58,0,$C$1)="Yes",Allocation!$B$13*R$248,IF(OFFSET(Assumptions!$B$59,0,$C$1)="Yes",(Q$274/Q$13+MIN(ABS($C$274-Q$274/Q$13),OFFSET(Assumptions!$B$61,0,$C$1))*SIGN($C$274-Q$274/Q$13))*R$13-Q$274,0))</f>
        <v>5.1920273354127655</v>
      </c>
      <c r="S274" s="20">
        <f ca="1">R$274+IF(OFFSET(Assumptions!$B$58,0,$C$1)="Yes",Allocation!$B$13*S$248,IF(OFFSET(Assumptions!$B$59,0,$C$1)="Yes",(R$274/R$13+MIN(ABS($C$274-R$274/R$13),OFFSET(Assumptions!$B$61,0,$C$1))*SIGN($C$274-R$274/R$13))*S$13-R$274,0))</f>
        <v>5.7396838317046601</v>
      </c>
      <c r="T274" s="20">
        <f ca="1">S$274+IF(OFFSET(Assumptions!$B$58,0,$C$1)="Yes",Allocation!$B$13*T$248,IF(OFFSET(Assumptions!$B$59,0,$C$1)="Yes",(S$274/S$13+MIN(ABS($C$274-S$274/S$13),OFFSET(Assumptions!$B$61,0,$C$1))*SIGN($C$274-S$274/S$13))*T$13-S$274,0))</f>
        <v>6.0880928900910751</v>
      </c>
      <c r="U274" s="20">
        <f ca="1">T$274+IF(OFFSET(Assumptions!$B$58,0,$C$1)="Yes",Allocation!$B$13*U$248,IF(OFFSET(Assumptions!$B$59,0,$C$1)="Yes",(T$274/T$13+MIN(ABS($C$274-T$274/T$13),OFFSET(Assumptions!$B$61,0,$C$1))*SIGN($C$274-T$274/T$13))*U$13-T$274,0))</f>
        <v>6.3372073449908362</v>
      </c>
      <c r="V274" s="20">
        <f ca="1">U$274+IF(OFFSET(Assumptions!$B$58,0,$C$1)="Yes",Allocation!$B$13*V$248,IF(OFFSET(Assumptions!$B$59,0,$C$1)="Yes",(U$274/U$13+MIN(ABS($C$274-U$274/U$13),OFFSET(Assumptions!$B$61,0,$C$1))*SIGN($C$274-U$274/U$13))*V$13-U$274,0))</f>
        <v>6.5948044910162418</v>
      </c>
      <c r="W274" s="20">
        <f ca="1">V$274+IF(OFFSET(Assumptions!$B$58,0,$C$1)="Yes",Allocation!$B$13*W$248,IF(OFFSET(Assumptions!$B$59,0,$C$1)="Yes",(V$274/V$13+MIN(ABS($C$274-V$274/V$13),OFFSET(Assumptions!$B$61,0,$C$1))*SIGN($C$274-V$274/V$13))*W$13-V$274,0))</f>
        <v>6.859584754824426</v>
      </c>
      <c r="X274" s="20">
        <f ca="1">W$274+IF(OFFSET(Assumptions!$B$58,0,$C$1)="Yes",Allocation!$B$13*X$248,IF(OFFSET(Assumptions!$B$59,0,$C$1)="Yes",(W$274/W$13+MIN(ABS($C$274-W$274/W$13),OFFSET(Assumptions!$B$61,0,$C$1))*SIGN($C$274-W$274/W$13))*X$13-W$274,0))</f>
        <v>7.1319895927750201</v>
      </c>
      <c r="Y274" s="20">
        <f ca="1">X$274+IF(OFFSET(Assumptions!$B$58,0,$C$1)="Yes",Allocation!$B$13*Y$248,IF(OFFSET(Assumptions!$B$59,0,$C$1)="Yes",(X$274/X$13+MIN(ABS($C$274-X$274/X$13),OFFSET(Assumptions!$B$61,0,$C$1))*SIGN($C$274-X$274/X$13))*Y$13-X$274,0))</f>
        <v>7.4134435112944557</v>
      </c>
      <c r="Z274" s="20">
        <f ca="1">Y$274+IF(OFFSET(Assumptions!$B$58,0,$C$1)="Yes",Allocation!$B$13*Z$248,IF(OFFSET(Assumptions!$B$59,0,$C$1)="Yes",(Y$274/Y$13+MIN(ABS($C$274-Y$274/Y$13),OFFSET(Assumptions!$B$61,0,$C$1))*SIGN($C$274-Y$274/Y$13))*Z$13-Y$274,0))</f>
        <v>7.7040191015439579</v>
      </c>
    </row>
    <row r="275" spans="1:26" x14ac:dyDescent="0.25">
      <c r="A275" s="11" t="s">
        <v>1287</v>
      </c>
      <c r="D275" s="94">
        <f t="shared" ref="D275:Z275" si="162">SUM(D$271:D$274)</f>
        <v>5.1660000000000004</v>
      </c>
      <c r="E275" s="94">
        <f t="shared" si="162"/>
        <v>6.0830000000000002</v>
      </c>
      <c r="F275" s="94">
        <f t="shared" si="162"/>
        <v>5.7539999999999996</v>
      </c>
      <c r="G275" s="94">
        <f t="shared" si="162"/>
        <v>5.7199999999999989</v>
      </c>
      <c r="H275" s="94">
        <f t="shared" si="162"/>
        <v>6.806</v>
      </c>
      <c r="I275" s="94">
        <f t="shared" si="162"/>
        <v>8.468</v>
      </c>
      <c r="J275" s="94">
        <f t="shared" si="162"/>
        <v>7.9080000000000004</v>
      </c>
      <c r="K275" s="94">
        <f t="shared" si="162"/>
        <v>5.98</v>
      </c>
      <c r="L275" s="95">
        <f t="shared" ca="1" si="162"/>
        <v>6.5563500000000001</v>
      </c>
      <c r="M275" s="95">
        <f t="shared" ca="1" si="162"/>
        <v>6.5495999999999999</v>
      </c>
      <c r="N275" s="95">
        <f t="shared" ca="1" si="162"/>
        <v>6.6571249999999997</v>
      </c>
      <c r="O275" s="95">
        <f t="shared" ca="1" si="162"/>
        <v>6.8619750000000002</v>
      </c>
      <c r="P275" s="95">
        <f t="shared" ca="1" si="162"/>
        <v>6.9729499999999991</v>
      </c>
      <c r="Q275" s="96">
        <f t="shared" ca="1" si="162"/>
        <v>7.5633060063591344</v>
      </c>
      <c r="R275" s="96">
        <f t="shared" ca="1" si="162"/>
        <v>8.1817853672257925</v>
      </c>
      <c r="S275" s="96">
        <f t="shared" ca="1" si="162"/>
        <v>8.8365397291857093</v>
      </c>
      <c r="T275" s="96">
        <f t="shared" ca="1" si="162"/>
        <v>9.2977200582232609</v>
      </c>
      <c r="U275" s="96">
        <f t="shared" ca="1" si="162"/>
        <v>9.6642309622220441</v>
      </c>
      <c r="V275" s="96">
        <f t="shared" ca="1" si="162"/>
        <v>10.043062010717229</v>
      </c>
      <c r="W275" s="96">
        <f t="shared" ca="1" si="162"/>
        <v>10.432792703212836</v>
      </c>
      <c r="X275" s="96">
        <f t="shared" ca="1" si="162"/>
        <v>10.834324316068294</v>
      </c>
      <c r="Y275" s="96">
        <f t="shared" ca="1" si="162"/>
        <v>11.249847272716712</v>
      </c>
      <c r="Z275" s="96">
        <f t="shared" ca="1" si="162"/>
        <v>11.679865453252695</v>
      </c>
    </row>
    <row r="276" spans="1:26" x14ac:dyDescent="0.25">
      <c r="A276" s="11" t="s">
        <v>1288</v>
      </c>
      <c r="B276" s="14" t="str">
        <f>$B$38</f>
        <v>From Fiscal Forecasts</v>
      </c>
      <c r="D276" s="51">
        <f>'Fiscal Forecasts'!D$43</f>
        <v>4.7320000000000002</v>
      </c>
      <c r="E276" s="51">
        <f>'Fiscal Forecasts'!E$43</f>
        <v>5.8689999999999998</v>
      </c>
      <c r="F276" s="51">
        <f>'Fiscal Forecasts'!F$43</f>
        <v>5.6020000000000003</v>
      </c>
      <c r="G276" s="51">
        <f>'Fiscal Forecasts'!G$43</f>
        <v>5.4260000000000002</v>
      </c>
      <c r="H276" s="51">
        <f>'Fiscal Forecasts'!H$43</f>
        <v>6.6630000000000003</v>
      </c>
      <c r="I276" s="51">
        <f>'Fiscal Forecasts'!I$43</f>
        <v>8.1780000000000008</v>
      </c>
      <c r="J276" s="51">
        <f>'Fiscal Forecasts'!J$43</f>
        <v>7.7750000000000004</v>
      </c>
      <c r="K276" s="51">
        <f>'Fiscal Forecasts'!K$43</f>
        <v>5.6</v>
      </c>
      <c r="L276" s="47">
        <f ca="1">'Fiscal Forecasts'!L$43+IF(OFFSET(Assumptions!$B$57,0,$C$1)="Yes",Allocation!C$13,0)</f>
        <v>6.0413500000000004</v>
      </c>
      <c r="M276" s="47">
        <f ca="1">'Fiscal Forecasts'!M$43+IF(OFFSET(Assumptions!$B$57,0,$C$1)="Yes",Allocation!D$13,0)</f>
        <v>6.1466000000000003</v>
      </c>
      <c r="N276" s="47">
        <f ca="1">'Fiscal Forecasts'!N$43+IF(OFFSET(Assumptions!$B$57,0,$C$1)="Yes",Allocation!E$13,0)</f>
        <v>6.4951249999999998</v>
      </c>
      <c r="O276" s="47">
        <f ca="1">'Fiscal Forecasts'!O$43+IF(OFFSET(Assumptions!$B$57,0,$C$1)="Yes",Allocation!F$13,0)</f>
        <v>6.725975</v>
      </c>
      <c r="P276" s="47">
        <f ca="1">'Fiscal Forecasts'!P$43+IF(OFFSET(Assumptions!$B$57,0,$C$1)="Yes",Allocation!G$13,0)</f>
        <v>6.8419499999999998</v>
      </c>
      <c r="Q276" s="21">
        <f t="shared" ref="Q276:Z276" ca="1" si="163">Q$275+P$276-P$275</f>
        <v>7.432306006359136</v>
      </c>
      <c r="R276" s="21">
        <f t="shared" ca="1" si="163"/>
        <v>8.0507853672257941</v>
      </c>
      <c r="S276" s="21">
        <f t="shared" ca="1" si="163"/>
        <v>8.7055397291857091</v>
      </c>
      <c r="T276" s="21">
        <f t="shared" ca="1" si="163"/>
        <v>9.1667200582232624</v>
      </c>
      <c r="U276" s="21">
        <f t="shared" ca="1" si="163"/>
        <v>9.5332309622220439</v>
      </c>
      <c r="V276" s="21">
        <f t="shared" ca="1" si="163"/>
        <v>9.9120620107172268</v>
      </c>
      <c r="W276" s="21">
        <f t="shared" ca="1" si="163"/>
        <v>10.301792703212833</v>
      </c>
      <c r="X276" s="21">
        <f t="shared" ca="1" si="163"/>
        <v>10.70332431606829</v>
      </c>
      <c r="Y276" s="21">
        <f t="shared" ca="1" si="163"/>
        <v>11.11884727271671</v>
      </c>
      <c r="Z276" s="21">
        <f t="shared" ca="1" si="163"/>
        <v>11.548865453252693</v>
      </c>
    </row>
    <row r="278" spans="1:26" x14ac:dyDescent="0.25">
      <c r="A278" s="11" t="s">
        <v>1289</v>
      </c>
    </row>
    <row r="279" spans="1:26" x14ac:dyDescent="0.25">
      <c r="A279" s="11" t="s">
        <v>1290</v>
      </c>
      <c r="B279" s="14" t="str">
        <f>$B$38</f>
        <v>From Fiscal Forecasts</v>
      </c>
      <c r="C279" s="100" cm="1">
        <f t="array" aca="1" ref="C279" ca="1">SUMPRODUCT(OFFSET($P$279,0,0,1,-OFFSET(Assumptions!$B$60,0,$C$1))/OFFSET($P$13,0,0,1,-OFFSET(Assumptions!$B$60,0,$C$1)))/OFFSET(Assumptions!$B$60,0,$C$1)</f>
        <v>1.5068995346645511E-2</v>
      </c>
      <c r="D279" s="51">
        <f>'Fiscal Forecasts'!D$61</f>
        <v>4.625</v>
      </c>
      <c r="E279" s="51">
        <f>'Fiscal Forecasts'!E$61</f>
        <v>4.9109999999999996</v>
      </c>
      <c r="F279" s="51">
        <f>'Fiscal Forecasts'!F$61</f>
        <v>5.202</v>
      </c>
      <c r="G279" s="51">
        <f>'Fiscal Forecasts'!G$61</f>
        <v>5.444</v>
      </c>
      <c r="H279" s="51">
        <f>'Fiscal Forecasts'!H$61</f>
        <v>6.165</v>
      </c>
      <c r="I279" s="51">
        <f>'Fiscal Forecasts'!I$61</f>
        <v>6.5270000000000001</v>
      </c>
      <c r="J279" s="51">
        <f>'Fiscal Forecasts'!J$61</f>
        <v>6.734</v>
      </c>
      <c r="K279" s="51">
        <f>'Fiscal Forecasts'!K$61</f>
        <v>7.077</v>
      </c>
      <c r="L279" s="47">
        <f ca="1">'Fiscal Forecasts'!L$61+IF(OFFSET(Assumptions!$B$57,0,$C$1)="Yes",Allocation!C$14,0)</f>
        <v>7.6479299999999997</v>
      </c>
      <c r="M279" s="47">
        <f ca="1">'Fiscal Forecasts'!M$61+IF(OFFSET(Assumptions!$B$57,0,$C$1)="Yes",Allocation!D$14,0)</f>
        <v>7.67028</v>
      </c>
      <c r="N279" s="47">
        <f ca="1">'Fiscal Forecasts'!N$61+IF(OFFSET(Assumptions!$B$57,0,$C$1)="Yes",Allocation!E$14,0)</f>
        <v>7.711875</v>
      </c>
      <c r="O279" s="47">
        <f ca="1">'Fiscal Forecasts'!O$61+IF(OFFSET(Assumptions!$B$57,0,$C$1)="Yes",Allocation!F$14,0)</f>
        <v>7.9753049999999996</v>
      </c>
      <c r="P279" s="47">
        <f ca="1">'Fiscal Forecasts'!P$61+IF(OFFSET(Assumptions!$B$57,0,$C$1)="Yes",Allocation!G$14,0)</f>
        <v>8.2086100000000002</v>
      </c>
      <c r="Q279" s="21">
        <f ca="1">P$279+IF(OFFSET(Assumptions!$B$58,0,$C$1)="Yes",Allocation!$B$14*Q$248,IF(OFFSET(Assumptions!$B$59,0,$C$1)="Yes",(P$279/P$13+MIN(ABS($C$279-P$279/P$13),OFFSET(Assumptions!$B$61,0,$C$1))*SIGN($C$279-P$279/P$13))*Q$13-P$279,0))</f>
        <v>8.8697923740780009</v>
      </c>
      <c r="R279" s="21">
        <f ca="1">Q$279+IF(OFFSET(Assumptions!$B$58,0,$C$1)="Yes",Allocation!$B$14*R$248,IF(OFFSET(Assumptions!$B$59,0,$C$1)="Yes",(Q$279/Q$13+MIN(ABS($C$279-Q$279/Q$13),OFFSET(Assumptions!$B$61,0,$C$1))*SIGN($C$279-Q$279/Q$13))*R$13-Q$279,0))</f>
        <v>9.5473501379562915</v>
      </c>
      <c r="S279" s="21">
        <f ca="1">R$279+IF(OFFSET(Assumptions!$B$58,0,$C$1)="Yes",Allocation!$B$14*S$248,IF(OFFSET(Assumptions!$B$59,0,$C$1)="Yes",(R$279/R$13+MIN(ABS($C$279-R$279/R$13),OFFSET(Assumptions!$B$61,0,$C$1))*SIGN($C$279-R$279/R$13))*S$13-R$279,0))</f>
        <v>9.9474694817756593</v>
      </c>
      <c r="T279" s="21">
        <f ca="1">S$279+IF(OFFSET(Assumptions!$B$58,0,$C$1)="Yes",Allocation!$B$14*T$248,IF(OFFSET(Assumptions!$B$59,0,$C$1)="Yes",(S$279/S$13+MIN(ABS($C$279-S$279/S$13),OFFSET(Assumptions!$B$61,0,$C$1))*SIGN($C$279-S$279/S$13))*T$13-S$279,0))</f>
        <v>10.356979634476735</v>
      </c>
      <c r="U279" s="21">
        <f ca="1">T$279+IF(OFFSET(Assumptions!$B$58,0,$C$1)="Yes",Allocation!$B$14*U$248,IF(OFFSET(Assumptions!$B$59,0,$C$1)="Yes",(T$279/T$13+MIN(ABS($C$279-T$279/T$13),OFFSET(Assumptions!$B$61,0,$C$1))*SIGN($C$279-T$279/T$13))*U$13-T$279,0))</f>
        <v>10.78076970841761</v>
      </c>
      <c r="V279" s="21">
        <f ca="1">U$279+IF(OFFSET(Assumptions!$B$58,0,$C$1)="Yes",Allocation!$B$14*V$248,IF(OFFSET(Assumptions!$B$59,0,$C$1)="Yes",(U$279/U$13+MIN(ABS($C$279-U$279/U$13),OFFSET(Assumptions!$B$61,0,$C$1))*SIGN($C$279-U$279/U$13))*V$13-U$279,0))</f>
        <v>11.218990419475871</v>
      </c>
      <c r="W279" s="21">
        <f ca="1">V$279+IF(OFFSET(Assumptions!$B$58,0,$C$1)="Yes",Allocation!$B$14*W$248,IF(OFFSET(Assumptions!$B$59,0,$C$1)="Yes",(V$279/V$13+MIN(ABS($C$279-V$279/V$13),OFFSET(Assumptions!$B$61,0,$C$1))*SIGN($C$279-V$279/V$13))*W$13-V$279,0))</f>
        <v>11.669430951409298</v>
      </c>
      <c r="X279" s="21">
        <f ca="1">W$279+IF(OFFSET(Assumptions!$B$58,0,$C$1)="Yes",Allocation!$B$14*X$248,IF(OFFSET(Assumptions!$B$59,0,$C$1)="Yes",(W$279/W$13+MIN(ABS($C$279-W$279/W$13),OFFSET(Assumptions!$B$61,0,$C$1))*SIGN($C$279-W$279/W$13))*X$13-W$279,0))</f>
        <v>12.132842303686649</v>
      </c>
      <c r="Y279" s="21">
        <f ca="1">X$279+IF(OFFSET(Assumptions!$B$58,0,$C$1)="Yes",Allocation!$B$14*Y$248,IF(OFFSET(Assumptions!$B$59,0,$C$1)="Yes",(X$279/X$13+MIN(ABS($C$279-X$279/X$13),OFFSET(Assumptions!$B$61,0,$C$1))*SIGN($C$279-X$279/X$13))*Y$13-X$279,0))</f>
        <v>12.61164782698836</v>
      </c>
      <c r="Z279" s="21">
        <f ca="1">Y$279+IF(OFFSET(Assumptions!$B$58,0,$C$1)="Yes",Allocation!$B$14*Z$248,IF(OFFSET(Assumptions!$B$59,0,$C$1)="Yes",(Y$279/Y$13+MIN(ABS($C$279-Y$279/Y$13),OFFSET(Assumptions!$B$61,0,$C$1))*SIGN($C$279-Y$279/Y$13))*Z$13-Y$279,0))</f>
        <v>13.105971012396447</v>
      </c>
    </row>
    <row r="280" spans="1:26" x14ac:dyDescent="0.25">
      <c r="A280" s="11" t="s">
        <v>1291</v>
      </c>
      <c r="B280" s="14" t="str">
        <f>$B$38</f>
        <v>From Fiscal Forecasts</v>
      </c>
      <c r="D280" s="51">
        <f>'Fiscal Forecasts'!D$44</f>
        <v>5.05</v>
      </c>
      <c r="E280" s="51">
        <f>'Fiscal Forecasts'!E$44</f>
        <v>5.3040000000000003</v>
      </c>
      <c r="F280" s="51">
        <f>'Fiscal Forecasts'!F$44</f>
        <v>5.5330000000000004</v>
      </c>
      <c r="G280" s="51">
        <f>'Fiscal Forecasts'!G$44</f>
        <v>5.9210000000000003</v>
      </c>
      <c r="H280" s="51">
        <f>'Fiscal Forecasts'!H$44</f>
        <v>6.6660000000000004</v>
      </c>
      <c r="I280" s="51">
        <f>'Fiscal Forecasts'!I$44</f>
        <v>7.0720000000000001</v>
      </c>
      <c r="J280" s="51">
        <f>'Fiscal Forecasts'!J$44</f>
        <v>7.3090000000000002</v>
      </c>
      <c r="K280" s="51">
        <f>'Fiscal Forecasts'!K$44</f>
        <v>7.6340000000000003</v>
      </c>
      <c r="L280" s="47">
        <f ca="1">'Fiscal Forecasts'!L$44+IF(OFFSET(Assumptions!$B$57,0,$C$1)="Yes",Allocation!C$14,0)</f>
        <v>8.35093</v>
      </c>
      <c r="M280" s="47">
        <f ca="1">'Fiscal Forecasts'!M$44+IF(OFFSET(Assumptions!$B$57,0,$C$1)="Yes",Allocation!D$14,0)</f>
        <v>8.45228</v>
      </c>
      <c r="N280" s="47">
        <f ca="1">'Fiscal Forecasts'!N$44+IF(OFFSET(Assumptions!$B$57,0,$C$1)="Yes",Allocation!E$14,0)</f>
        <v>8.4548749999999995</v>
      </c>
      <c r="O280" s="47">
        <f ca="1">'Fiscal Forecasts'!O$44+IF(OFFSET(Assumptions!$B$57,0,$C$1)="Yes",Allocation!F$14,0)</f>
        <v>8.7503050000000009</v>
      </c>
      <c r="P280" s="47">
        <f ca="1">'Fiscal Forecasts'!P$44+IF(OFFSET(Assumptions!$B$57,0,$C$1)="Yes",Allocation!G$14,0)</f>
        <v>9.0126100000000005</v>
      </c>
      <c r="Q280" s="21">
        <f t="shared" ref="Q280:Z280" ca="1" si="164">Q$279+(P$280-P$279)*(1+Q$29)</f>
        <v>9.6898723740780017</v>
      </c>
      <c r="R280" s="21">
        <f t="shared" ca="1" si="164"/>
        <v>10.383831737956292</v>
      </c>
      <c r="S280" s="21">
        <f t="shared" ca="1" si="164"/>
        <v>10.800680713775661</v>
      </c>
      <c r="T280" s="21">
        <f t="shared" ca="1" si="164"/>
        <v>11.227255091116737</v>
      </c>
      <c r="U280" s="21">
        <f t="shared" ca="1" si="164"/>
        <v>11.668450674190412</v>
      </c>
      <c r="V280" s="21">
        <f t="shared" ca="1" si="164"/>
        <v>12.124425004564129</v>
      </c>
      <c r="W280" s="21">
        <f t="shared" ca="1" si="164"/>
        <v>12.592974228199322</v>
      </c>
      <c r="X280" s="21">
        <f t="shared" ca="1" si="164"/>
        <v>13.074856446012474</v>
      </c>
      <c r="Y280" s="21">
        <f t="shared" ca="1" si="164"/>
        <v>13.572502252160701</v>
      </c>
      <c r="Z280" s="21">
        <f t="shared" ca="1" si="164"/>
        <v>14.086042526072236</v>
      </c>
    </row>
    <row r="282" spans="1:26" x14ac:dyDescent="0.25">
      <c r="A282" s="11" t="s">
        <v>1292</v>
      </c>
    </row>
    <row r="283" spans="1:26" x14ac:dyDescent="0.25">
      <c r="A283" s="11" t="s">
        <v>1293</v>
      </c>
      <c r="B283" s="14" t="str">
        <f>$B$38</f>
        <v>From Fiscal Forecasts</v>
      </c>
      <c r="D283" s="51">
        <f>'Fiscal Forecasts'!D$62</f>
        <v>2.8889999999999998</v>
      </c>
      <c r="E283" s="51">
        <f>'Fiscal Forecasts'!E$62</f>
        <v>3.1789999999999998</v>
      </c>
      <c r="F283" s="51">
        <f>'Fiscal Forecasts'!F$62</f>
        <v>5.6559999999999997</v>
      </c>
      <c r="G283" s="51">
        <f>'Fiscal Forecasts'!G$62</f>
        <v>4.657</v>
      </c>
      <c r="H283" s="51">
        <f>'Fiscal Forecasts'!H$62</f>
        <v>5.4720000000000004</v>
      </c>
      <c r="I283" s="51">
        <f>'Fiscal Forecasts'!I$62</f>
        <v>5.4870000000000001</v>
      </c>
      <c r="J283" s="51">
        <f>'Fiscal Forecasts'!J$62</f>
        <v>5.4720000000000004</v>
      </c>
      <c r="K283" s="51">
        <f>'Fiscal Forecasts'!K$62</f>
        <v>6.0350000000000001</v>
      </c>
      <c r="L283" s="47">
        <f>'Fiscal Forecasts'!L$62</f>
        <v>5.3330000000000002</v>
      </c>
      <c r="M283" s="47">
        <f>'Fiscal Forecasts'!M$62</f>
        <v>5.4080000000000004</v>
      </c>
      <c r="N283" s="47">
        <f>'Fiscal Forecasts'!N$62</f>
        <v>5.65</v>
      </c>
      <c r="O283" s="47">
        <f>'Fiscal Forecasts'!O$62</f>
        <v>5.5910000000000002</v>
      </c>
      <c r="P283" s="47">
        <f>'Fiscal Forecasts'!P$62</f>
        <v>5.6349999999999998</v>
      </c>
      <c r="Q283" s="21">
        <f t="shared" ref="Q283:Z283" ca="1" si="165">P$283+Q$138-P$138</f>
        <v>5.6284616931386271</v>
      </c>
      <c r="R283" s="21">
        <f t="shared" ca="1" si="165"/>
        <v>5.6021153676319475</v>
      </c>
      <c r="S283" s="21">
        <f t="shared" ca="1" si="165"/>
        <v>5.5569111583079076</v>
      </c>
      <c r="T283" s="21">
        <f t="shared" ca="1" si="165"/>
        <v>5.7307336419171619</v>
      </c>
      <c r="U283" s="21">
        <f t="shared" ca="1" si="165"/>
        <v>6.0141229383904831</v>
      </c>
      <c r="V283" s="21">
        <f t="shared" ca="1" si="165"/>
        <v>6.3071620316660963</v>
      </c>
      <c r="W283" s="21">
        <f t="shared" ca="1" si="165"/>
        <v>6.6083725443632204</v>
      </c>
      <c r="X283" s="21">
        <f t="shared" ca="1" si="165"/>
        <v>6.9182566713754809</v>
      </c>
      <c r="Y283" s="21">
        <f t="shared" ca="1" si="165"/>
        <v>7.2384349123008267</v>
      </c>
      <c r="Z283" s="21">
        <f t="shared" ca="1" si="165"/>
        <v>7.5689898458804947</v>
      </c>
    </row>
    <row r="284" spans="1:26" x14ac:dyDescent="0.25">
      <c r="A284" s="12" t="s">
        <v>1020</v>
      </c>
      <c r="B284" s="14" t="str">
        <f>$B$38</f>
        <v>From Fiscal Forecasts</v>
      </c>
      <c r="D284" s="50">
        <f>'Fiscal Forecasts'!D$209</f>
        <v>3.21</v>
      </c>
      <c r="E284" s="50">
        <f>'Fiscal Forecasts'!E$209</f>
        <v>3.8239999999999998</v>
      </c>
      <c r="F284" s="50">
        <f>'Fiscal Forecasts'!F$209</f>
        <v>4.2590000000000003</v>
      </c>
      <c r="G284" s="50">
        <f>'Fiscal Forecasts'!G$209</f>
        <v>4.5030000000000001</v>
      </c>
      <c r="H284" s="50">
        <f>'Fiscal Forecasts'!H$209</f>
        <v>6.1050000000000004</v>
      </c>
      <c r="I284" s="50">
        <f>'Fiscal Forecasts'!I$209</f>
        <v>6.6280000000000001</v>
      </c>
      <c r="J284" s="50">
        <f>'Fiscal Forecasts'!J$209</f>
        <v>5.9779999999999998</v>
      </c>
      <c r="K284" s="50">
        <f>'Fiscal Forecasts'!K$209</f>
        <v>6.0049999999999999</v>
      </c>
      <c r="L284" s="48">
        <f>'Fiscal Forecasts'!L$209</f>
        <v>7.1070000000000002</v>
      </c>
      <c r="M284" s="48">
        <f>'Fiscal Forecasts'!M$209</f>
        <v>6.2469999999999999</v>
      </c>
      <c r="N284" s="48">
        <f>'Fiscal Forecasts'!N$209</f>
        <v>6.1429999999999998</v>
      </c>
      <c r="O284" s="48">
        <f>'Fiscal Forecasts'!O$209</f>
        <v>6.085</v>
      </c>
      <c r="P284" s="48">
        <f>'Fiscal Forecasts'!P$209</f>
        <v>6.2039999999999997</v>
      </c>
      <c r="Q284" s="20">
        <f t="shared" ref="Q284:Z284" ca="1" si="166">Q$283+(P$284-P$283)*(1+Q$29)</f>
        <v>6.208841693138627</v>
      </c>
      <c r="R284" s="20">
        <f t="shared" ca="1" si="166"/>
        <v>6.194102967631947</v>
      </c>
      <c r="S284" s="20">
        <f t="shared" ca="1" si="166"/>
        <v>6.1607385103079073</v>
      </c>
      <c r="T284" s="20">
        <f t="shared" ca="1" si="166"/>
        <v>6.346637540957162</v>
      </c>
      <c r="U284" s="20">
        <f t="shared" ca="1" si="166"/>
        <v>6.6423449154112832</v>
      </c>
      <c r="V284" s="20">
        <f t="shared" ca="1" si="166"/>
        <v>6.9479484482273124</v>
      </c>
      <c r="W284" s="20">
        <f t="shared" ca="1" si="166"/>
        <v>7.2619746892556609</v>
      </c>
      <c r="X284" s="20">
        <f t="shared" ca="1" si="166"/>
        <v>7.5849308591657705</v>
      </c>
      <c r="Y284" s="20">
        <f t="shared" ca="1" si="166"/>
        <v>7.9184425838469217</v>
      </c>
      <c r="Z284" s="20">
        <f t="shared" ca="1" si="166"/>
        <v>8.2625976708575113</v>
      </c>
    </row>
    <row r="285" spans="1:26" x14ac:dyDescent="0.25">
      <c r="A285" s="12" t="s">
        <v>1227</v>
      </c>
      <c r="B285" s="14" t="str">
        <f>$B$38</f>
        <v>From Fiscal Forecasts</v>
      </c>
      <c r="D285" s="50">
        <f>'Fiscal Forecasts'!D$210</f>
        <v>5.4009999999999998</v>
      </c>
      <c r="E285" s="50">
        <f>'Fiscal Forecasts'!E$210</f>
        <v>8.9149999999999991</v>
      </c>
      <c r="F285" s="50">
        <f>'Fiscal Forecasts'!F$210</f>
        <v>5.8360000000000003</v>
      </c>
      <c r="G285" s="50">
        <f>'Fiscal Forecasts'!G$210</f>
        <v>4.8730000000000002</v>
      </c>
      <c r="H285" s="50">
        <f>'Fiscal Forecasts'!H$210</f>
        <v>8.5990000000000002</v>
      </c>
      <c r="I285" s="50">
        <f>'Fiscal Forecasts'!I$210</f>
        <v>10.317</v>
      </c>
      <c r="J285" s="50">
        <f>'Fiscal Forecasts'!J$210</f>
        <v>10.045999999999999</v>
      </c>
      <c r="K285" s="50">
        <f>'Fiscal Forecasts'!K$210</f>
        <v>10.468999999999999</v>
      </c>
      <c r="L285" s="48">
        <f>'Fiscal Forecasts'!L$210</f>
        <v>10.717000000000001</v>
      </c>
      <c r="M285" s="48">
        <f>'Fiscal Forecasts'!M$210</f>
        <v>10.779</v>
      </c>
      <c r="N285" s="48">
        <f>'Fiscal Forecasts'!N$210</f>
        <v>11.085000000000001</v>
      </c>
      <c r="O285" s="48">
        <f>'Fiscal Forecasts'!O$210</f>
        <v>11.627000000000001</v>
      </c>
      <c r="P285" s="48">
        <f>'Fiscal Forecasts'!P$210</f>
        <v>11.731999999999999</v>
      </c>
      <c r="Q285" s="20">
        <f t="shared" ref="Q285:Z285" ca="1" si="167">P$285*(1+Q$14)</f>
        <v>12.242704393330598</v>
      </c>
      <c r="R285" s="20">
        <f t="shared" ca="1" si="167"/>
        <v>12.763816731665804</v>
      </c>
      <c r="S285" s="20">
        <f t="shared" ca="1" si="167"/>
        <v>13.298734787619493</v>
      </c>
      <c r="T285" s="20">
        <f t="shared" ca="1" si="167"/>
        <v>13.846207380884191</v>
      </c>
      <c r="U285" s="20">
        <f t="shared" ca="1" si="167"/>
        <v>14.412770747506283</v>
      </c>
      <c r="V285" s="20">
        <f t="shared" ca="1" si="167"/>
        <v>14.998626378979461</v>
      </c>
      <c r="W285" s="20">
        <f t="shared" ca="1" si="167"/>
        <v>15.600818643328848</v>
      </c>
      <c r="X285" s="20">
        <f t="shared" ca="1" si="167"/>
        <v>16.220351548938577</v>
      </c>
      <c r="Y285" s="20">
        <f t="shared" ca="1" si="167"/>
        <v>16.860464864279972</v>
      </c>
      <c r="Z285" s="20">
        <f t="shared" ca="1" si="167"/>
        <v>17.521323684119242</v>
      </c>
    </row>
    <row r="286" spans="1:26" x14ac:dyDescent="0.25">
      <c r="A286" s="12" t="s">
        <v>1228</v>
      </c>
      <c r="B286" s="14" t="str">
        <f>$B$38</f>
        <v>From Fiscal Forecasts</v>
      </c>
      <c r="D286" s="50">
        <f>'Fiscal Forecasts'!D$45-SUM(D$283:D$285)</f>
        <v>-3.0709999999999997</v>
      </c>
      <c r="E286" s="50">
        <f>'Fiscal Forecasts'!E$45-SUM(E$283:E$285)</f>
        <v>-2.9559999999999995</v>
      </c>
      <c r="F286" s="50">
        <f>'Fiscal Forecasts'!F$45-SUM(F$283:F$285)</f>
        <v>-5.4159999999999986</v>
      </c>
      <c r="G286" s="50">
        <f>'Fiscal Forecasts'!G$45-SUM(G$283:G$285)</f>
        <v>-4.5050000000000008</v>
      </c>
      <c r="H286" s="50">
        <f>'Fiscal Forecasts'!H$45-SUM(H$283:H$285)</f>
        <v>-5.7480000000000011</v>
      </c>
      <c r="I286" s="50">
        <f>'Fiscal Forecasts'!I$45-SUM(I$283:I$285)</f>
        <v>-5.6990000000000016</v>
      </c>
      <c r="J286" s="50">
        <f>'Fiscal Forecasts'!J$45-SUM(J$283:J$285)</f>
        <v>-5.6659999999999986</v>
      </c>
      <c r="K286" s="50">
        <f>'Fiscal Forecasts'!K$45-SUM(K$283:K$285)</f>
        <v>-5.0489999999999995</v>
      </c>
      <c r="L286" s="48">
        <f>'Fiscal Forecasts'!L$45-SUM(L$283:L$285)</f>
        <v>-5.6200000000000045</v>
      </c>
      <c r="M286" s="48">
        <f>'Fiscal Forecasts'!M$45-SUM(M$283:M$285)</f>
        <v>-5.4649999999999999</v>
      </c>
      <c r="N286" s="48">
        <f>'Fiscal Forecasts'!N$45-SUM(N$283:N$285)</f>
        <v>-5.7719999999999985</v>
      </c>
      <c r="O286" s="48">
        <f>'Fiscal Forecasts'!O$45-SUM(O$283:O$285)</f>
        <v>-5.6340000000000003</v>
      </c>
      <c r="P286" s="48">
        <f>'Fiscal Forecasts'!P$45-SUM(P$283:P$285)</f>
        <v>-5.8219999999999992</v>
      </c>
      <c r="Q286" s="20">
        <f ca="1">IF(Q$6=OFFSET(Assumptions!$B$8,0,$C$1),AVERAGE(N$286/N$283,O$286/O$283,P$286/P$283),P$286/P$283)*Q$283</f>
        <v>-5.745663714385798</v>
      </c>
      <c r="R286" s="20">
        <f ca="1">IF(R$6=OFFSET(Assumptions!$B$8,0,$C$1),AVERAGE(O$286/O$283,P$286/P$283,Q$286/Q$283),Q$286/Q$283)*R$283</f>
        <v>-5.7187687767058168</v>
      </c>
      <c r="S286" s="20">
        <f ca="1">IF(S$6=OFFSET(Assumptions!$B$8,0,$C$1),AVERAGE(P$286/P$283,Q$286/Q$283,R$286/R$283),R$286/R$283)*S$283</f>
        <v>-5.6726232756060657</v>
      </c>
      <c r="T286" s="20">
        <f ca="1">IF(T$6=OFFSET(Assumptions!$B$8,0,$C$1),AVERAGE(Q$286/Q$283,R$286/R$283,S$286/S$283),S$286/S$283)*T$283</f>
        <v>-5.8500652821912063</v>
      </c>
      <c r="U286" s="20">
        <f ca="1">IF(U$6=OFFSET(Assumptions!$B$8,0,$C$1),AVERAGE(R$286/R$283,S$286/S$283,T$286/T$283),T$286/T$283)*U$283</f>
        <v>-6.1393556223523564</v>
      </c>
      <c r="V286" s="20">
        <f ca="1">IF(V$6=OFFSET(Assumptions!$B$8,0,$C$1),AVERAGE(S$286/S$283,T$286/T$283,U$286/U$283),U$286/U$283)*V$283</f>
        <v>-6.438496698000562</v>
      </c>
      <c r="W286" s="20">
        <f ca="1">IF(W$6=OFFSET(Assumptions!$B$8,0,$C$1),AVERAGE(T$286/T$283,U$286/U$283,V$286/V$283),V$286/V$283)*W$283</f>
        <v>-6.7459793473548535</v>
      </c>
      <c r="X286" s="20">
        <f ca="1">IF(X$6=OFFSET(Assumptions!$B$8,0,$C$1),AVERAGE(U$286/U$283,V$286/V$283,W$286/W$283),W$286/W$283)*X$283</f>
        <v>-7.062316222563398</v>
      </c>
      <c r="Y286" s="20">
        <f ca="1">IF(Y$6=OFFSET(Assumptions!$B$8,0,$C$1),AVERAGE(V$286/V$283,W$286/W$283,X$286/X$283),X$286/X$283)*Y$283</f>
        <v>-7.3891615670494835</v>
      </c>
      <c r="Z286" s="20">
        <f ca="1">IF(Z$6=OFFSET(Assumptions!$B$8,0,$C$1),AVERAGE(W$286/W$283,X$286/X$283,Y$286/Y$283),Y$286/Y$283)*Z$283</f>
        <v>-7.7265996790997438</v>
      </c>
    </row>
    <row r="287" spans="1:26" x14ac:dyDescent="0.25">
      <c r="A287" s="11" t="s">
        <v>1294</v>
      </c>
      <c r="D287" s="94">
        <f t="shared" ref="D287:Z287" si="168">SUM(D$283:D$286)</f>
        <v>8.4290000000000003</v>
      </c>
      <c r="E287" s="94">
        <f t="shared" si="168"/>
        <v>12.962</v>
      </c>
      <c r="F287" s="94">
        <f t="shared" si="168"/>
        <v>10.335000000000001</v>
      </c>
      <c r="G287" s="94">
        <f t="shared" si="168"/>
        <v>9.5280000000000005</v>
      </c>
      <c r="H287" s="94">
        <f t="shared" si="168"/>
        <v>14.428000000000001</v>
      </c>
      <c r="I287" s="94">
        <f t="shared" si="168"/>
        <v>16.733000000000001</v>
      </c>
      <c r="J287" s="94">
        <f t="shared" si="168"/>
        <v>15.83</v>
      </c>
      <c r="K287" s="94">
        <f t="shared" si="168"/>
        <v>17.46</v>
      </c>
      <c r="L287" s="95">
        <f t="shared" si="168"/>
        <v>17.536999999999999</v>
      </c>
      <c r="M287" s="95">
        <f t="shared" si="168"/>
        <v>16.969000000000001</v>
      </c>
      <c r="N287" s="95">
        <f t="shared" si="168"/>
        <v>17.106000000000002</v>
      </c>
      <c r="O287" s="95">
        <f t="shared" si="168"/>
        <v>17.669</v>
      </c>
      <c r="P287" s="95">
        <f t="shared" si="168"/>
        <v>17.748999999999999</v>
      </c>
      <c r="Q287" s="96">
        <f t="shared" ca="1" si="168"/>
        <v>18.334344065222055</v>
      </c>
      <c r="R287" s="96">
        <f t="shared" ca="1" si="168"/>
        <v>18.841266290223885</v>
      </c>
      <c r="S287" s="96">
        <f t="shared" ca="1" si="168"/>
        <v>19.343761180629244</v>
      </c>
      <c r="T287" s="96">
        <f t="shared" ca="1" si="168"/>
        <v>20.073513281567308</v>
      </c>
      <c r="U287" s="96">
        <f t="shared" ca="1" si="168"/>
        <v>20.929882978955696</v>
      </c>
      <c r="V287" s="96">
        <f t="shared" ca="1" si="168"/>
        <v>21.815240160872307</v>
      </c>
      <c r="W287" s="96">
        <f t="shared" ca="1" si="168"/>
        <v>22.725186529592875</v>
      </c>
      <c r="X287" s="96">
        <f t="shared" ca="1" si="168"/>
        <v>23.661222856916432</v>
      </c>
      <c r="Y287" s="96">
        <f t="shared" ca="1" si="168"/>
        <v>24.628180793378235</v>
      </c>
      <c r="Z287" s="96">
        <f t="shared" ca="1" si="168"/>
        <v>25.626311521757508</v>
      </c>
    </row>
    <row r="289" spans="1:26" x14ac:dyDescent="0.25">
      <c r="A289" s="11" t="s">
        <v>1295</v>
      </c>
    </row>
    <row r="290" spans="1:26" x14ac:dyDescent="0.25">
      <c r="A290" s="12" t="s">
        <v>1264</v>
      </c>
      <c r="D290" s="50">
        <f t="shared" ref="D290:Z290" si="169">D$238</f>
        <v>0</v>
      </c>
      <c r="E290" s="50">
        <f t="shared" si="169"/>
        <v>0</v>
      </c>
      <c r="F290" s="50">
        <f t="shared" si="169"/>
        <v>1E-3</v>
      </c>
      <c r="G290" s="50">
        <f t="shared" si="169"/>
        <v>1E-3</v>
      </c>
      <c r="H290" s="50">
        <f t="shared" si="169"/>
        <v>3.0000000000000001E-3</v>
      </c>
      <c r="I290" s="50">
        <f t="shared" si="169"/>
        <v>2E-3</v>
      </c>
      <c r="J290" s="50">
        <f t="shared" si="169"/>
        <v>3.0000000000000001E-3</v>
      </c>
      <c r="K290" s="50">
        <f t="shared" si="169"/>
        <v>2E-3</v>
      </c>
      <c r="L290" s="48">
        <f t="shared" si="169"/>
        <v>0</v>
      </c>
      <c r="M290" s="48">
        <f t="shared" si="169"/>
        <v>0</v>
      </c>
      <c r="N290" s="48">
        <f t="shared" si="169"/>
        <v>0</v>
      </c>
      <c r="O290" s="48">
        <f t="shared" si="169"/>
        <v>0</v>
      </c>
      <c r="P290" s="48">
        <f t="shared" si="169"/>
        <v>0</v>
      </c>
      <c r="Q290" s="20">
        <f t="shared" ca="1" si="169"/>
        <v>0</v>
      </c>
      <c r="R290" s="20">
        <f t="shared" ca="1" si="169"/>
        <v>0</v>
      </c>
      <c r="S290" s="20">
        <f t="shared" ca="1" si="169"/>
        <v>0</v>
      </c>
      <c r="T290" s="20">
        <f t="shared" ca="1" si="169"/>
        <v>0</v>
      </c>
      <c r="U290" s="20">
        <f t="shared" ca="1" si="169"/>
        <v>0</v>
      </c>
      <c r="V290" s="20">
        <f t="shared" ca="1" si="169"/>
        <v>0</v>
      </c>
      <c r="W290" s="20">
        <f t="shared" ca="1" si="169"/>
        <v>0</v>
      </c>
      <c r="X290" s="20">
        <f t="shared" ca="1" si="169"/>
        <v>0</v>
      </c>
      <c r="Y290" s="20">
        <f t="shared" ca="1" si="169"/>
        <v>0</v>
      </c>
      <c r="Z290" s="20">
        <f t="shared" ca="1" si="169"/>
        <v>0</v>
      </c>
    </row>
    <row r="291" spans="1:26" x14ac:dyDescent="0.25">
      <c r="A291" s="12" t="s">
        <v>694</v>
      </c>
      <c r="D291" s="50">
        <f t="shared" ref="D291:Z291" si="170">D$192</f>
        <v>0.95099999999999996</v>
      </c>
      <c r="E291" s="50">
        <f t="shared" si="170"/>
        <v>0.89300000000000002</v>
      </c>
      <c r="F291" s="50">
        <f t="shared" si="170"/>
        <v>0.91600000000000004</v>
      </c>
      <c r="G291" s="50">
        <f t="shared" si="170"/>
        <v>0.96399999999999997</v>
      </c>
      <c r="H291" s="50">
        <f t="shared" si="170"/>
        <v>0.997</v>
      </c>
      <c r="I291" s="50">
        <f t="shared" si="170"/>
        <v>1.014</v>
      </c>
      <c r="J291" s="50">
        <f t="shared" si="170"/>
        <v>1.02</v>
      </c>
      <c r="K291" s="50">
        <f t="shared" si="170"/>
        <v>0.47</v>
      </c>
      <c r="L291" s="48">
        <f t="shared" si="170"/>
        <v>0.49399999999999999</v>
      </c>
      <c r="M291" s="48">
        <f t="shared" si="170"/>
        <v>0.51600000000000001</v>
      </c>
      <c r="N291" s="48">
        <f t="shared" si="170"/>
        <v>0.54100000000000004</v>
      </c>
      <c r="O291" s="48">
        <f t="shared" si="170"/>
        <v>0.56499999999999995</v>
      </c>
      <c r="P291" s="48">
        <f t="shared" si="170"/>
        <v>0.58899999999999997</v>
      </c>
      <c r="Q291" s="20">
        <f t="shared" si="170"/>
        <v>0.61599999999999999</v>
      </c>
      <c r="R291" s="20">
        <f t="shared" ca="1" si="170"/>
        <v>0.6356043150767996</v>
      </c>
      <c r="S291" s="20">
        <f t="shared" ca="1" si="170"/>
        <v>0.65552518581783481</v>
      </c>
      <c r="T291" s="20">
        <f t="shared" ca="1" si="170"/>
        <v>0.67575382923088023</v>
      </c>
      <c r="U291" s="20">
        <f t="shared" ca="1" si="170"/>
        <v>0.69644013067364774</v>
      </c>
      <c r="V291" s="20">
        <f t="shared" ca="1" si="170"/>
        <v>0.71757355095976472</v>
      </c>
      <c r="W291" s="20">
        <f t="shared" ca="1" si="170"/>
        <v>0.73899406472158069</v>
      </c>
      <c r="X291" s="20">
        <f t="shared" ca="1" si="170"/>
        <v>0.76073334129191916</v>
      </c>
      <c r="Y291" s="20">
        <f t="shared" ca="1" si="170"/>
        <v>0.78292535697248833</v>
      </c>
      <c r="Z291" s="20">
        <f t="shared" ca="1" si="170"/>
        <v>0.80555714389500477</v>
      </c>
    </row>
    <row r="292" spans="1:26" x14ac:dyDescent="0.25">
      <c r="A292" s="12" t="s">
        <v>1296</v>
      </c>
      <c r="B292" s="14" t="str">
        <f>$B$38</f>
        <v>From Fiscal Forecasts</v>
      </c>
      <c r="C292" s="100" cm="1">
        <f t="array" aca="1" ref="C292" ca="1">SUMPRODUCT(OFFSET($P$292,0,0,1,-OFFSET(Assumptions!$B$60,0,$C$1)+1)/OFFSET($P$13,0,0,1,-OFFSET(Assumptions!$B$60,0,$C$1)+1))/(OFFSET(Assumptions!$B$60,0,$C$1)-1)</f>
        <v>5.8888932604148486E-3</v>
      </c>
      <c r="D292" s="50">
        <f>'Fiscal Forecasts'!D$63-SUM(D$290:D$291)</f>
        <v>2.0549999999999997</v>
      </c>
      <c r="E292" s="50">
        <f>'Fiscal Forecasts'!E$63-SUM(E$290:E$291)</f>
        <v>3.0949999999999998</v>
      </c>
      <c r="F292" s="50">
        <f>'Fiscal Forecasts'!F$63-SUM(F$290:F$291)</f>
        <v>3.5640000000000001</v>
      </c>
      <c r="G292" s="50">
        <f>'Fiscal Forecasts'!G$63-SUM(G$290:G$291)</f>
        <v>7.1129999999999995</v>
      </c>
      <c r="H292" s="50">
        <f>'Fiscal Forecasts'!H$63-SUM(H$290:H$291)</f>
        <v>2.69</v>
      </c>
      <c r="I292" s="50">
        <f>'Fiscal Forecasts'!I$63-SUM(I$290:I$291)</f>
        <v>2.9939999999999998</v>
      </c>
      <c r="J292" s="50">
        <f>'Fiscal Forecasts'!J$63-SUM(J$290:J$291)</f>
        <v>2.4909999999999997</v>
      </c>
      <c r="K292" s="50">
        <f>'Fiscal Forecasts'!K$63-SUM(K$290:K$291)</f>
        <v>2.54</v>
      </c>
      <c r="L292" s="48">
        <f ca="1">'Fiscal Forecasts'!L$63-SUM(L$290:L$291)+IF(OFFSET(Assumptions!$B$57,0,$C$1)="Yes",Allocation!C$15,0)</f>
        <v>3.2203200000000001</v>
      </c>
      <c r="M292" s="48">
        <f ca="1">'Fiscal Forecasts'!M$63-SUM(M$290:M$291)+IF(OFFSET(Assumptions!$B$57,0,$C$1)="Yes",Allocation!D$15,0)</f>
        <v>2.6137200000000003</v>
      </c>
      <c r="N292" s="48">
        <f ca="1">'Fiscal Forecasts'!N$63-SUM(N$290:N$291)+IF(OFFSET(Assumptions!$B$57,0,$C$1)="Yes",Allocation!E$15,0)</f>
        <v>2.867</v>
      </c>
      <c r="O292" s="48">
        <f ca="1">'Fiscal Forecasts'!O$63-SUM(O$290:O$291)+IF(OFFSET(Assumptions!$B$57,0,$C$1)="Yes",Allocation!F$15,0)</f>
        <v>2.9853200000000002</v>
      </c>
      <c r="P292" s="48">
        <f ca="1">'Fiscal Forecasts'!P$63-SUM(P$290:P$291)+IF(OFFSET(Assumptions!$B$57,0,$C$1)="Yes",Allocation!G$15,0)</f>
        <v>3.0836399999999999</v>
      </c>
      <c r="Q292" s="20">
        <f ca="1">P$292+IF(OFFSET(Assumptions!$B$58,0,$C$1)="Yes",Allocation!$B$15*Q$248,IF(OFFSET(Assumptions!$B$59,0,$C$1)="Yes",(P$292/P$13+MIN(ABS($C$292-P$292/P$13),OFFSET(Assumptions!$B$61,0,$C$1))*SIGN($C$292-P$292/P$13))*Q$13-P$292,0))</f>
        <v>3.5217278723146586</v>
      </c>
      <c r="R292" s="20">
        <f ca="1">Q$292+IF(OFFSET(Assumptions!$B$58,0,$C$1)="Yes",Allocation!$B$15*R$248,IF(OFFSET(Assumptions!$B$59,0,$C$1)="Yes",(Q$292/Q$13+MIN(ABS($C$292-Q$292/Q$13),OFFSET(Assumptions!$B$61,0,$C$1))*SIGN($C$292-Q$292/Q$13))*R$13-Q$292,0))</f>
        <v>3.7310600069132933</v>
      </c>
      <c r="S292" s="20">
        <f ca="1">R$292+IF(OFFSET(Assumptions!$B$58,0,$C$1)="Yes",Allocation!$B$15*S$248,IF(OFFSET(Assumptions!$B$59,0,$C$1)="Yes",(R$292/R$13+MIN(ABS($C$292-R$292/R$13),OFFSET(Assumptions!$B$61,0,$C$1))*SIGN($C$292-R$292/R$13))*S$13-R$292,0))</f>
        <v>3.8874247845893315</v>
      </c>
      <c r="T292" s="20">
        <f ca="1">S$292+IF(OFFSET(Assumptions!$B$58,0,$C$1)="Yes",Allocation!$B$15*T$248,IF(OFFSET(Assumptions!$B$59,0,$C$1)="Yes",(S$292/S$13+MIN(ABS($C$292-S$292/S$13),OFFSET(Assumptions!$B$61,0,$C$1))*SIGN($C$292-S$292/S$13))*T$13-S$292,0))</f>
        <v>4.0474594466777809</v>
      </c>
      <c r="U292" s="20">
        <f ca="1">T$292+IF(OFFSET(Assumptions!$B$58,0,$C$1)="Yes",Allocation!$B$15*U$248,IF(OFFSET(Assumptions!$B$59,0,$C$1)="Yes",(T$292/T$13+MIN(ABS($C$292-T$292/T$13),OFFSET(Assumptions!$B$61,0,$C$1))*SIGN($C$292-T$292/T$13))*U$13-T$292,0))</f>
        <v>4.213074635537513</v>
      </c>
      <c r="V292" s="20">
        <f ca="1">U$292+IF(OFFSET(Assumptions!$B$58,0,$C$1)="Yes",Allocation!$B$15*V$248,IF(OFFSET(Assumptions!$B$59,0,$C$1)="Yes",(U$292/U$13+MIN(ABS($C$292-U$292/U$13),OFFSET(Assumptions!$B$61,0,$C$1))*SIGN($C$292-U$292/U$13))*V$13-U$292,0))</f>
        <v>4.3843292502321596</v>
      </c>
      <c r="W292" s="20">
        <f ca="1">V$292+IF(OFFSET(Assumptions!$B$58,0,$C$1)="Yes",Allocation!$B$15*W$248,IF(OFFSET(Assumptions!$B$59,0,$C$1)="Yes",(V$292/V$13+MIN(ABS($C$292-V$292/V$13),OFFSET(Assumptions!$B$61,0,$C$1))*SIGN($C$292-V$292/V$13))*W$13-V$292,0))</f>
        <v>4.5603593140619241</v>
      </c>
      <c r="X292" s="20">
        <f ca="1">W$292+IF(OFFSET(Assumptions!$B$58,0,$C$1)="Yes",Allocation!$B$15*X$248,IF(OFFSET(Assumptions!$B$59,0,$C$1)="Yes",(W$292/W$13+MIN(ABS($C$292-W$292/W$13),OFFSET(Assumptions!$B$61,0,$C$1))*SIGN($C$292-W$292/W$13))*X$13-W$292,0))</f>
        <v>4.7414583141245474</v>
      </c>
      <c r="Y292" s="20">
        <f ca="1">X$292+IF(OFFSET(Assumptions!$B$58,0,$C$1)="Yes",Allocation!$B$15*Y$248,IF(OFFSET(Assumptions!$B$59,0,$C$1)="Yes",(X$292/X$13+MIN(ABS($C$292-X$292/X$13),OFFSET(Assumptions!$B$61,0,$C$1))*SIGN($C$292-X$292/X$13))*Y$13-X$292,0))</f>
        <v>4.9285732845892856</v>
      </c>
      <c r="Z292" s="20">
        <f ca="1">Y$292+IF(OFFSET(Assumptions!$B$58,0,$C$1)="Yes",Allocation!$B$15*Z$248,IF(OFFSET(Assumptions!$B$59,0,$C$1)="Yes",(Y$292/Y$13+MIN(ABS($C$292-Y$292/Y$13),OFFSET(Assumptions!$B$61,0,$C$1))*SIGN($C$292-Y$292/Y$13))*Z$13-Y$292,0))</f>
        <v>5.1217524851963452</v>
      </c>
    </row>
    <row r="293" spans="1:26" x14ac:dyDescent="0.25">
      <c r="A293" s="11" t="s">
        <v>1297</v>
      </c>
      <c r="D293" s="94">
        <f t="shared" ref="D293:Z293" si="171">SUM(D$290:D$292)</f>
        <v>3.0059999999999998</v>
      </c>
      <c r="E293" s="94">
        <f t="shared" si="171"/>
        <v>3.9879999999999995</v>
      </c>
      <c r="F293" s="94">
        <f t="shared" si="171"/>
        <v>4.4809999999999999</v>
      </c>
      <c r="G293" s="94">
        <f t="shared" si="171"/>
        <v>8.0779999999999994</v>
      </c>
      <c r="H293" s="94">
        <f t="shared" si="171"/>
        <v>3.69</v>
      </c>
      <c r="I293" s="94">
        <f t="shared" si="171"/>
        <v>4.01</v>
      </c>
      <c r="J293" s="94">
        <f t="shared" si="171"/>
        <v>3.5139999999999993</v>
      </c>
      <c r="K293" s="94">
        <f t="shared" si="171"/>
        <v>3.012</v>
      </c>
      <c r="L293" s="95">
        <f t="shared" ca="1" si="171"/>
        <v>3.7143199999999998</v>
      </c>
      <c r="M293" s="95">
        <f t="shared" ca="1" si="171"/>
        <v>3.1297200000000003</v>
      </c>
      <c r="N293" s="95">
        <f t="shared" ca="1" si="171"/>
        <v>3.4079999999999999</v>
      </c>
      <c r="O293" s="95">
        <f t="shared" ca="1" si="171"/>
        <v>3.5503200000000001</v>
      </c>
      <c r="P293" s="95">
        <f t="shared" ca="1" si="171"/>
        <v>3.6726399999999999</v>
      </c>
      <c r="Q293" s="96">
        <f t="shared" ca="1" si="171"/>
        <v>4.1377278723146587</v>
      </c>
      <c r="R293" s="96">
        <f t="shared" ca="1" si="171"/>
        <v>4.3666643219900934</v>
      </c>
      <c r="S293" s="96">
        <f t="shared" ca="1" si="171"/>
        <v>4.5429499704071663</v>
      </c>
      <c r="T293" s="96">
        <f t="shared" ca="1" si="171"/>
        <v>4.7232132759086607</v>
      </c>
      <c r="U293" s="96">
        <f t="shared" ca="1" si="171"/>
        <v>4.9095147662111609</v>
      </c>
      <c r="V293" s="96">
        <f t="shared" ca="1" si="171"/>
        <v>5.1019028011919243</v>
      </c>
      <c r="W293" s="96">
        <f t="shared" ca="1" si="171"/>
        <v>5.299353378783505</v>
      </c>
      <c r="X293" s="96">
        <f t="shared" ca="1" si="171"/>
        <v>5.5021916554164667</v>
      </c>
      <c r="Y293" s="96">
        <f t="shared" ca="1" si="171"/>
        <v>5.7114986415617741</v>
      </c>
      <c r="Z293" s="96">
        <f t="shared" ca="1" si="171"/>
        <v>5.9273096290913498</v>
      </c>
    </row>
    <row r="294" spans="1:26" x14ac:dyDescent="0.25">
      <c r="A294" s="11" t="s">
        <v>1298</v>
      </c>
      <c r="B294" s="14" t="str">
        <f>$B$38</f>
        <v>From Fiscal Forecasts</v>
      </c>
      <c r="D294" s="51">
        <f>'Fiscal Forecasts'!D$46</f>
        <v>10.433</v>
      </c>
      <c r="E294" s="51">
        <f>'Fiscal Forecasts'!E$46</f>
        <v>11.246</v>
      </c>
      <c r="F294" s="51">
        <f>'Fiscal Forecasts'!F$46</f>
        <v>13.429</v>
      </c>
      <c r="G294" s="51">
        <f>'Fiscal Forecasts'!G$46</f>
        <v>16.672999999999998</v>
      </c>
      <c r="H294" s="51">
        <f>'Fiscal Forecasts'!H$46</f>
        <v>12.384</v>
      </c>
      <c r="I294" s="51">
        <f>'Fiscal Forecasts'!I$46</f>
        <v>16.007999999999999</v>
      </c>
      <c r="J294" s="51">
        <f>'Fiscal Forecasts'!J$46</f>
        <v>16.152999999999999</v>
      </c>
      <c r="K294" s="51">
        <f>'Fiscal Forecasts'!K$46</f>
        <v>12.811999999999999</v>
      </c>
      <c r="L294" s="47">
        <f ca="1">'Fiscal Forecasts'!L$46+IF(OFFSET(Assumptions!$B$57,0,$C$1)="Yes",Allocation!C$15,0)</f>
        <v>15.650320000000001</v>
      </c>
      <c r="M294" s="47">
        <f ca="1">'Fiscal Forecasts'!M$46+IF(OFFSET(Assumptions!$B$57,0,$C$1)="Yes",Allocation!D$15,0)</f>
        <v>14.40072</v>
      </c>
      <c r="N294" s="47">
        <f ca="1">'Fiscal Forecasts'!N$46+IF(OFFSET(Assumptions!$B$57,0,$C$1)="Yes",Allocation!E$15,0)</f>
        <v>14.994000000000002</v>
      </c>
      <c r="O294" s="47">
        <f ca="1">'Fiscal Forecasts'!O$46+IF(OFFSET(Assumptions!$B$57,0,$C$1)="Yes",Allocation!F$15,0)</f>
        <v>15.345320000000001</v>
      </c>
      <c r="P294" s="47">
        <f ca="1">'Fiscal Forecasts'!P$46+IF(OFFSET(Assumptions!$B$57,0,$C$1)="Yes",Allocation!G$15,0)</f>
        <v>15.70964</v>
      </c>
      <c r="Q294" s="21">
        <f t="shared" ref="Q294:Z294" ca="1" si="172">Q$293+(P$294-P$293)*(1+Q$19)*(1+Q$29)</f>
        <v>16.573229256064842</v>
      </c>
      <c r="R294" s="21">
        <f t="shared" ca="1" si="172"/>
        <v>17.206625262314638</v>
      </c>
      <c r="S294" s="21">
        <f t="shared" ca="1" si="172"/>
        <v>17.79616019149276</v>
      </c>
      <c r="T294" s="21">
        <f t="shared" ca="1" si="172"/>
        <v>18.394555406408205</v>
      </c>
      <c r="U294" s="21">
        <f t="shared" ca="1" si="172"/>
        <v>19.011017168964102</v>
      </c>
      <c r="V294" s="21">
        <f t="shared" ca="1" si="172"/>
        <v>19.641927509013804</v>
      </c>
      <c r="W294" s="21">
        <f t="shared" ca="1" si="172"/>
        <v>20.275218810143691</v>
      </c>
      <c r="X294" s="21">
        <f t="shared" ca="1" si="172"/>
        <v>20.923072142272297</v>
      </c>
      <c r="Y294" s="21">
        <f t="shared" ca="1" si="172"/>
        <v>21.590886643129618</v>
      </c>
      <c r="Z294" s="21">
        <f t="shared" ca="1" si="172"/>
        <v>22.275248172198733</v>
      </c>
    </row>
    <row r="296" spans="1:26" x14ac:dyDescent="0.25">
      <c r="A296" s="11" t="s">
        <v>1299</v>
      </c>
    </row>
    <row r="297" spans="1:26" x14ac:dyDescent="0.25">
      <c r="A297" s="11" t="s">
        <v>1300</v>
      </c>
      <c r="B297" s="14" t="str">
        <f>$B$38</f>
        <v>From Fiscal Forecasts</v>
      </c>
      <c r="C297" s="100" cm="1">
        <f t="array" aca="1" ref="C297" ca="1">SUMPRODUCT(OFFSET($P$297,0,0,1,-OFFSET(Assumptions!$B$60,0,$C$1))/OFFSET($P$13,0,0,1,-OFFSET(Assumptions!$B$60,0,$C$1)))/OFFSET(Assumptions!$B$60,0,$C$1)</f>
        <v>7.6678425062853984E-3</v>
      </c>
      <c r="D297" s="51">
        <f>'Fiscal Forecasts'!D$64</f>
        <v>2.395</v>
      </c>
      <c r="E297" s="51">
        <f>'Fiscal Forecasts'!E$64</f>
        <v>2.4990000000000001</v>
      </c>
      <c r="F297" s="51">
        <f>'Fiscal Forecasts'!F$64</f>
        <v>2.6640000000000001</v>
      </c>
      <c r="G297" s="51">
        <f>'Fiscal Forecasts'!G$64</f>
        <v>2.8319999999999999</v>
      </c>
      <c r="H297" s="51">
        <f>'Fiscal Forecasts'!H$64</f>
        <v>2.8860000000000001</v>
      </c>
      <c r="I297" s="51">
        <f>'Fiscal Forecasts'!I$64</f>
        <v>3.1629999999999998</v>
      </c>
      <c r="J297" s="51">
        <f>'Fiscal Forecasts'!J$64</f>
        <v>3.2709999999999999</v>
      </c>
      <c r="K297" s="51">
        <f>'Fiscal Forecasts'!K$64</f>
        <v>3.5249999999999999</v>
      </c>
      <c r="L297" s="47">
        <f ca="1">'Fiscal Forecasts'!L$64+IF(OFFSET(Assumptions!$B$57,0,$C$1)="Yes",Allocation!C$16,0)</f>
        <v>3.8041900000000002</v>
      </c>
      <c r="M297" s="47">
        <f ca="1">'Fiscal Forecasts'!M$64+IF(OFFSET(Assumptions!$B$57,0,$C$1)="Yes",Allocation!D$16,0)</f>
        <v>3.9772400000000001</v>
      </c>
      <c r="N297" s="47">
        <f ca="1">'Fiscal Forecasts'!N$64+IF(OFFSET(Assumptions!$B$57,0,$C$1)="Yes",Allocation!E$16,0)</f>
        <v>4.140625</v>
      </c>
      <c r="O297" s="47">
        <f ca="1">'Fiscal Forecasts'!O$64+IF(OFFSET(Assumptions!$B$57,0,$C$1)="Yes",Allocation!F$16,0)</f>
        <v>4.3283149999999999</v>
      </c>
      <c r="P297" s="47">
        <f ca="1">'Fiscal Forecasts'!P$64+IF(OFFSET(Assumptions!$B$57,0,$C$1)="Yes",Allocation!G$16,0)</f>
        <v>4.4686300000000001</v>
      </c>
      <c r="Q297" s="21">
        <f ca="1">P$297+IF(OFFSET(Assumptions!$B$58,0,$C$1)="Yes",Allocation!$B$16*Q$248,IF(OFFSET(Assumptions!$B$59,0,$C$1)="Yes",(P$297/P$13+MIN(ABS($C$297-P$297/P$13),OFFSET(Assumptions!$B$61,0,$C$1))*SIGN($C$297-P$297/P$13))*Q$13-P$297,0))</f>
        <v>4.6598135403314851</v>
      </c>
      <c r="R297" s="21">
        <f ca="1">Q$297+IF(OFFSET(Assumptions!$B$58,0,$C$1)="Yes",Allocation!$B$16*R$248,IF(OFFSET(Assumptions!$B$59,0,$C$1)="Yes",(Q$297/Q$13+MIN(ABS($C$297-Q$297/Q$13),OFFSET(Assumptions!$B$61,0,$C$1))*SIGN($C$297-Q$297/Q$13))*R$13-Q$297,0))</f>
        <v>4.8581591224996732</v>
      </c>
      <c r="S297" s="21">
        <f ca="1">R$297+IF(OFFSET(Assumptions!$B$58,0,$C$1)="Yes",Allocation!$B$16*S$248,IF(OFFSET(Assumptions!$B$59,0,$C$1)="Yes",(R$297/R$13+MIN(ABS($C$297-R$297/R$13),OFFSET(Assumptions!$B$61,0,$C$1))*SIGN($C$297-R$297/R$13))*S$13-R$297,0))</f>
        <v>5.0617594317139263</v>
      </c>
      <c r="T297" s="21">
        <f ca="1">S$297+IF(OFFSET(Assumptions!$B$58,0,$C$1)="Yes",Allocation!$B$16*T$248,IF(OFFSET(Assumptions!$B$59,0,$C$1)="Yes",(S$297/S$13+MIN(ABS($C$297-S$297/S$13),OFFSET(Assumptions!$B$61,0,$C$1))*SIGN($C$297-S$297/S$13))*T$13-S$297,0))</f>
        <v>5.270138244196322</v>
      </c>
      <c r="U297" s="21">
        <f ca="1">T$297+IF(OFFSET(Assumptions!$B$58,0,$C$1)="Yes",Allocation!$B$16*U$248,IF(OFFSET(Assumptions!$B$59,0,$C$1)="Yes",(T$297/T$13+MIN(ABS($C$297-T$297/T$13),OFFSET(Assumptions!$B$61,0,$C$1))*SIGN($C$297-T$297/T$13))*U$13-T$297,0))</f>
        <v>5.4857833796518216</v>
      </c>
      <c r="V297" s="21">
        <f ca="1">U$297+IF(OFFSET(Assumptions!$B$58,0,$C$1)="Yes",Allocation!$B$16*V$248,IF(OFFSET(Assumptions!$B$59,0,$C$1)="Yes",(U$297/U$13+MIN(ABS($C$297-U$297/U$13),OFFSET(Assumptions!$B$61,0,$C$1))*SIGN($C$297-U$297/U$13))*V$13-U$297,0))</f>
        <v>5.7087715296969517</v>
      </c>
      <c r="W297" s="21">
        <f ca="1">V$297+IF(OFFSET(Assumptions!$B$58,0,$C$1)="Yes",Allocation!$B$16*W$248,IF(OFFSET(Assumptions!$B$59,0,$C$1)="Yes",(V$297/V$13+MIN(ABS($C$297-V$297/V$13),OFFSET(Assumptions!$B$61,0,$C$1))*SIGN($C$297-V$297/V$13))*W$13-V$297,0))</f>
        <v>5.9379777228013779</v>
      </c>
      <c r="X297" s="21">
        <f ca="1">W$297+IF(OFFSET(Assumptions!$B$58,0,$C$1)="Yes",Allocation!$B$16*X$248,IF(OFFSET(Assumptions!$B$59,0,$C$1)="Yes",(W$297/W$13+MIN(ABS($C$297-W$297/W$13),OFFSET(Assumptions!$B$61,0,$C$1))*SIGN($C$297-W$297/W$13))*X$13-W$297,0))</f>
        <v>6.1737841042585524</v>
      </c>
      <c r="Y297" s="21">
        <f ca="1">X$297+IF(OFFSET(Assumptions!$B$58,0,$C$1)="Yes",Allocation!$B$16*Y$248,IF(OFFSET(Assumptions!$B$59,0,$C$1)="Yes",(X$297/X$13+MIN(ABS($C$297-X$297/X$13),OFFSET(Assumptions!$B$61,0,$C$1))*SIGN($C$297-X$297/X$13))*Y$13-X$297,0))</f>
        <v>6.4174237935251863</v>
      </c>
      <c r="Z297" s="21">
        <f ca="1">Y$297+IF(OFFSET(Assumptions!$B$58,0,$C$1)="Yes",Allocation!$B$16*Z$248,IF(OFFSET(Assumptions!$B$59,0,$C$1)="Yes",(Y$297/Y$13+MIN(ABS($C$297-Y$297/Y$13),OFFSET(Assumptions!$B$61,0,$C$1))*SIGN($C$297-Y$297/Y$13))*Z$13-Y$297,0))</f>
        <v>6.6689596289090831</v>
      </c>
    </row>
    <row r="298" spans="1:26" x14ac:dyDescent="0.25">
      <c r="A298" s="11" t="s">
        <v>1301</v>
      </c>
      <c r="B298" s="14" t="str">
        <f>$B$38</f>
        <v>From Fiscal Forecasts</v>
      </c>
      <c r="D298" s="51">
        <f>'Fiscal Forecasts'!D$47</f>
        <v>2.39</v>
      </c>
      <c r="E298" s="51">
        <f>'Fiscal Forecasts'!E$47</f>
        <v>2.4820000000000002</v>
      </c>
      <c r="F298" s="51">
        <f>'Fiscal Forecasts'!F$47</f>
        <v>2.6480000000000001</v>
      </c>
      <c r="G298" s="51">
        <f>'Fiscal Forecasts'!G$47</f>
        <v>2.8029999999999999</v>
      </c>
      <c r="H298" s="51">
        <f>'Fiscal Forecasts'!H$47</f>
        <v>2.8380000000000001</v>
      </c>
      <c r="I298" s="51">
        <f>'Fiscal Forecasts'!I$47</f>
        <v>3.125</v>
      </c>
      <c r="J298" s="51">
        <f>'Fiscal Forecasts'!J$47</f>
        <v>3.226</v>
      </c>
      <c r="K298" s="51">
        <f>'Fiscal Forecasts'!K$47</f>
        <v>3.484</v>
      </c>
      <c r="L298" s="47">
        <f ca="1">'Fiscal Forecasts'!L$47+IF(OFFSET(Assumptions!$B$57,0,$C$1)="Yes",Allocation!C$16,0)</f>
        <v>3.76119</v>
      </c>
      <c r="M298" s="47">
        <f ca="1">'Fiscal Forecasts'!M$47+IF(OFFSET(Assumptions!$B$57,0,$C$1)="Yes",Allocation!D$16,0)</f>
        <v>3.9332400000000001</v>
      </c>
      <c r="N298" s="47">
        <f ca="1">'Fiscal Forecasts'!N$47+IF(OFFSET(Assumptions!$B$57,0,$C$1)="Yes",Allocation!E$16,0)</f>
        <v>4.0966249999999995</v>
      </c>
      <c r="O298" s="47">
        <f ca="1">'Fiscal Forecasts'!O$47+IF(OFFSET(Assumptions!$B$57,0,$C$1)="Yes",Allocation!F$16,0)</f>
        <v>4.2843150000000003</v>
      </c>
      <c r="P298" s="47">
        <f ca="1">'Fiscal Forecasts'!P$47+IF(OFFSET(Assumptions!$B$57,0,$C$1)="Yes",Allocation!G$16,0)</f>
        <v>4.4246299999999996</v>
      </c>
      <c r="Q298" s="21">
        <f t="shared" ref="Q298:Z298" ca="1" si="173">Q$297</f>
        <v>4.6598135403314851</v>
      </c>
      <c r="R298" s="21">
        <f t="shared" ca="1" si="173"/>
        <v>4.8581591224996732</v>
      </c>
      <c r="S298" s="21">
        <f t="shared" ca="1" si="173"/>
        <v>5.0617594317139263</v>
      </c>
      <c r="T298" s="21">
        <f t="shared" ca="1" si="173"/>
        <v>5.270138244196322</v>
      </c>
      <c r="U298" s="21">
        <f t="shared" ca="1" si="173"/>
        <v>5.4857833796518216</v>
      </c>
      <c r="V298" s="21">
        <f t="shared" ca="1" si="173"/>
        <v>5.7087715296969517</v>
      </c>
      <c r="W298" s="21">
        <f t="shared" ca="1" si="173"/>
        <v>5.9379777228013779</v>
      </c>
      <c r="X298" s="21">
        <f t="shared" ca="1" si="173"/>
        <v>6.1737841042585524</v>
      </c>
      <c r="Y298" s="21">
        <f t="shared" ca="1" si="173"/>
        <v>6.4174237935251863</v>
      </c>
      <c r="Z298" s="21">
        <f t="shared" ca="1" si="173"/>
        <v>6.6689596289090831</v>
      </c>
    </row>
    <row r="300" spans="1:26" x14ac:dyDescent="0.25">
      <c r="A300" s="11" t="s">
        <v>1302</v>
      </c>
    </row>
    <row r="301" spans="1:26" x14ac:dyDescent="0.25">
      <c r="A301" s="11" t="s">
        <v>1303</v>
      </c>
      <c r="B301" s="14" t="str">
        <f>$B$38</f>
        <v>From Fiscal Forecasts</v>
      </c>
      <c r="C301" s="100" cm="1">
        <f t="array" aca="1" ref="C301" ca="1">SUMPRODUCT(OFFSET($P$301,0,0,1,-OFFSET(Assumptions!$B$60,0,$C$1))/OFFSET($P$13,0,0,1,-OFFSET(Assumptions!$B$60,0,$C$1)))/OFFSET(Assumptions!$B$60,0,$C$1)</f>
        <v>3.1884903159042468E-3</v>
      </c>
      <c r="D301" s="51">
        <f>'Fiscal Forecasts'!D$65</f>
        <v>0.91800000000000004</v>
      </c>
      <c r="E301" s="51">
        <f>'Fiscal Forecasts'!E$65</f>
        <v>1.1060000000000001</v>
      </c>
      <c r="F301" s="51">
        <f>'Fiscal Forecasts'!F$65</f>
        <v>1.42</v>
      </c>
      <c r="G301" s="51">
        <f>'Fiscal Forecasts'!G$65</f>
        <v>1.468</v>
      </c>
      <c r="H301" s="51">
        <f>'Fiscal Forecasts'!H$65</f>
        <v>1.5369999999999999</v>
      </c>
      <c r="I301" s="51">
        <f>'Fiscal Forecasts'!I$65</f>
        <v>1.504</v>
      </c>
      <c r="J301" s="51">
        <f>'Fiscal Forecasts'!J$65</f>
        <v>1.4570000000000001</v>
      </c>
      <c r="K301" s="51">
        <f>'Fiscal Forecasts'!K$65</f>
        <v>1.4390000000000001</v>
      </c>
      <c r="L301" s="47">
        <f ca="1">'Fiscal Forecasts'!L$65+IF(OFFSET(Assumptions!$B$57,0,$C$1)="Yes",Allocation!C$17,0)</f>
        <v>1.41516</v>
      </c>
      <c r="M301" s="47">
        <f ca="1">'Fiscal Forecasts'!M$65+IF(OFFSET(Assumptions!$B$57,0,$C$1)="Yes",Allocation!D$17,0)</f>
        <v>1.45536</v>
      </c>
      <c r="N301" s="47">
        <f ca="1">'Fiscal Forecasts'!N$65+IF(OFFSET(Assumptions!$B$57,0,$C$1)="Yes",Allocation!E$17,0)</f>
        <v>1.4834999999999998</v>
      </c>
      <c r="O301" s="47">
        <f ca="1">'Fiscal Forecasts'!O$65+IF(OFFSET(Assumptions!$B$57,0,$C$1)="Yes",Allocation!F$17,0)</f>
        <v>1.50766</v>
      </c>
      <c r="P301" s="47">
        <f ca="1">'Fiscal Forecasts'!P$65+IF(OFFSET(Assumptions!$B$57,0,$C$1)="Yes",Allocation!G$17,0)</f>
        <v>1.5463199999999999</v>
      </c>
      <c r="Q301" s="21">
        <f ca="1">P$301+IF(OFFSET(Assumptions!$B$58,0,$C$1)="Yes",Allocation!$B$17*Q$248,IF(OFFSET(Assumptions!$B$59,0,$C$1)="Yes",(P$301/P$13+MIN(ABS($C$301-P$301/P$13),OFFSET(Assumptions!$B$61,0,$C$1))*SIGN($C$301-P$301/P$13))*Q$13-P$301,0))</f>
        <v>1.917486965567728</v>
      </c>
      <c r="R301" s="21">
        <f ca="1">Q$301+IF(OFFSET(Assumptions!$B$58,0,$C$1)="Yes",Allocation!$B$17*R$248,IF(OFFSET(Assumptions!$B$59,0,$C$1)="Yes",(Q$301/Q$13+MIN(ABS($C$301-Q$301/Q$13),OFFSET(Assumptions!$B$61,0,$C$1))*SIGN($C$301-Q$301/Q$13))*R$13-Q$301,0))</f>
        <v>2.0201501664274706</v>
      </c>
      <c r="S301" s="21">
        <f ca="1">R$301+IF(OFFSET(Assumptions!$B$58,0,$C$1)="Yes",Allocation!$B$17*S$248,IF(OFFSET(Assumptions!$B$59,0,$C$1)="Yes",(R$301/R$13+MIN(ABS($C$301-R$301/R$13),OFFSET(Assumptions!$B$61,0,$C$1))*SIGN($C$301-R$301/R$13))*S$13-R$301,0))</f>
        <v>2.1048125227177334</v>
      </c>
      <c r="T301" s="21">
        <f ca="1">S$301+IF(OFFSET(Assumptions!$B$58,0,$C$1)="Yes",Allocation!$B$17*T$248,IF(OFFSET(Assumptions!$B$59,0,$C$1)="Yes",(S$301/S$13+MIN(ABS($C$301-S$301/S$13),OFFSET(Assumptions!$B$61,0,$C$1))*SIGN($C$301-S$301/S$13))*T$13-S$301,0))</f>
        <v>2.1914619061779597</v>
      </c>
      <c r="U301" s="21">
        <f ca="1">T$301+IF(OFFSET(Assumptions!$B$58,0,$C$1)="Yes",Allocation!$B$17*U$248,IF(OFFSET(Assumptions!$B$59,0,$C$1)="Yes",(T$301/T$13+MIN(ABS($C$301-T$301/T$13),OFFSET(Assumptions!$B$61,0,$C$1))*SIGN($C$301-T$301/T$13))*U$13-T$301,0))</f>
        <v>2.2811328175859735</v>
      </c>
      <c r="V301" s="21">
        <f ca="1">U$301+IF(OFFSET(Assumptions!$B$58,0,$C$1)="Yes",Allocation!$B$17*V$248,IF(OFFSET(Assumptions!$B$59,0,$C$1)="Yes",(U$301/U$13+MIN(ABS($C$301-U$301/U$13),OFFSET(Assumptions!$B$61,0,$C$1))*SIGN($C$301-U$301/U$13))*V$13-U$301,0))</f>
        <v>2.3738571473302907</v>
      </c>
      <c r="W301" s="21">
        <f ca="1">V$301+IF(OFFSET(Assumptions!$B$58,0,$C$1)="Yes",Allocation!$B$17*W$248,IF(OFFSET(Assumptions!$B$59,0,$C$1)="Yes",(V$301/V$13+MIN(ABS($C$301-V$301/V$13),OFFSET(Assumptions!$B$61,0,$C$1))*SIGN($C$301-V$301/V$13))*W$13-V$301,0))</f>
        <v>2.469167102700355</v>
      </c>
      <c r="X301" s="21">
        <f ca="1">W$301+IF(OFFSET(Assumptions!$B$58,0,$C$1)="Yes",Allocation!$B$17*X$248,IF(OFFSET(Assumptions!$B$59,0,$C$1)="Yes",(W$301/W$13+MIN(ABS($C$301-W$301/W$13),OFFSET(Assumptions!$B$61,0,$C$1))*SIGN($C$301-W$301/W$13))*X$13-W$301,0))</f>
        <v>2.5672215897465236</v>
      </c>
      <c r="Y301" s="21">
        <f ca="1">X$301+IF(OFFSET(Assumptions!$B$58,0,$C$1)="Yes",Allocation!$B$17*Y$248,IF(OFFSET(Assumptions!$B$59,0,$C$1)="Yes",(X$301/X$13+MIN(ABS($C$301-X$301/X$13),OFFSET(Assumptions!$B$61,0,$C$1))*SIGN($C$301-X$301/X$13))*Y$13-X$301,0))</f>
        <v>2.66853337192773</v>
      </c>
      <c r="Z301" s="21">
        <f ca="1">Y$301+IF(OFFSET(Assumptions!$B$58,0,$C$1)="Yes",Allocation!$B$17*Z$248,IF(OFFSET(Assumptions!$B$59,0,$C$1)="Yes",(Y$301/Y$13+MIN(ABS($C$301-Y$301/Y$13),OFFSET(Assumptions!$B$61,0,$C$1))*SIGN($C$301-Y$301/Y$13))*Z$13-Y$301,0))</f>
        <v>2.7731285790628553</v>
      </c>
    </row>
    <row r="302" spans="1:26" x14ac:dyDescent="0.25">
      <c r="A302" s="11" t="s">
        <v>1304</v>
      </c>
      <c r="B302" s="14" t="str">
        <f>$B$38</f>
        <v>From Fiscal Forecasts</v>
      </c>
      <c r="D302" s="51">
        <f>'Fiscal Forecasts'!D$48</f>
        <v>2.5030000000000001</v>
      </c>
      <c r="E302" s="51">
        <f>'Fiscal Forecasts'!E$48</f>
        <v>2.9039999999999999</v>
      </c>
      <c r="F302" s="51">
        <f>'Fiscal Forecasts'!F$48</f>
        <v>3.0230000000000001</v>
      </c>
      <c r="G302" s="51">
        <f>'Fiscal Forecasts'!G$48</f>
        <v>3.26</v>
      </c>
      <c r="H302" s="51">
        <f>'Fiscal Forecasts'!H$48</f>
        <v>3.4169999999999998</v>
      </c>
      <c r="I302" s="51">
        <f>'Fiscal Forecasts'!I$48</f>
        <v>3.6080000000000001</v>
      </c>
      <c r="J302" s="51">
        <f>'Fiscal Forecasts'!J$48</f>
        <v>3.3809999999999998</v>
      </c>
      <c r="K302" s="51">
        <f>'Fiscal Forecasts'!K$48</f>
        <v>3.5270000000000001</v>
      </c>
      <c r="L302" s="47">
        <f ca="1">'Fiscal Forecasts'!L$48+IF(OFFSET(Assumptions!$B$57,0,$C$1)="Yes",Allocation!C$17,0)</f>
        <v>3.50116</v>
      </c>
      <c r="M302" s="47">
        <f ca="1">'Fiscal Forecasts'!M$48+IF(OFFSET(Assumptions!$B$57,0,$C$1)="Yes",Allocation!D$17,0)</f>
        <v>3.5383599999999999</v>
      </c>
      <c r="N302" s="47">
        <f ca="1">'Fiscal Forecasts'!N$48+IF(OFFSET(Assumptions!$B$57,0,$C$1)="Yes",Allocation!E$17,0)</f>
        <v>3.6334999999999997</v>
      </c>
      <c r="O302" s="47">
        <f ca="1">'Fiscal Forecasts'!O$48+IF(OFFSET(Assumptions!$B$57,0,$C$1)="Yes",Allocation!F$17,0)</f>
        <v>3.7106599999999998</v>
      </c>
      <c r="P302" s="47">
        <f ca="1">'Fiscal Forecasts'!P$48+IF(OFFSET(Assumptions!$B$57,0,$C$1)="Yes",Allocation!G$17,0)</f>
        <v>3.7883200000000001</v>
      </c>
      <c r="Q302" s="21">
        <f t="shared" ref="Q302:Z302" ca="1" si="174">Q$301+(P$302-P$301)*(1+Q$29)</f>
        <v>4.204326965567728</v>
      </c>
      <c r="R302" s="21">
        <f t="shared" ca="1" si="174"/>
        <v>4.3527269664274701</v>
      </c>
      <c r="S302" s="21">
        <f t="shared" ca="1" si="174"/>
        <v>4.4840408587177336</v>
      </c>
      <c r="T302" s="21">
        <f t="shared" ca="1" si="174"/>
        <v>4.6182748088979597</v>
      </c>
      <c r="U302" s="21">
        <f t="shared" ca="1" si="174"/>
        <v>4.7564819783603731</v>
      </c>
      <c r="V302" s="21">
        <f t="shared" ca="1" si="174"/>
        <v>4.8987132913201785</v>
      </c>
      <c r="W302" s="21">
        <f t="shared" ca="1" si="174"/>
        <v>5.0445203695700407</v>
      </c>
      <c r="X302" s="21">
        <f t="shared" ca="1" si="174"/>
        <v>5.194081921953603</v>
      </c>
      <c r="Y302" s="21">
        <f t="shared" ca="1" si="174"/>
        <v>5.3479309107789508</v>
      </c>
      <c r="Z302" s="21">
        <f t="shared" ca="1" si="174"/>
        <v>5.506114068691101</v>
      </c>
    </row>
    <row r="304" spans="1:26" x14ac:dyDescent="0.25">
      <c r="A304" s="11" t="s">
        <v>1305</v>
      </c>
    </row>
    <row r="305" spans="1:26" x14ac:dyDescent="0.25">
      <c r="A305" s="11" t="s">
        <v>1306</v>
      </c>
      <c r="B305" s="14" t="str">
        <f>$B$38</f>
        <v>From Fiscal Forecasts</v>
      </c>
      <c r="C305" s="100" cm="1">
        <f t="array" aca="1" ref="C305" ca="1">SUMPRODUCT(OFFSET($P$305,0,0,1,-OFFSET(Assumptions!$B$60,0,$C$1))/OFFSET($P$13,0,0,1,-OFFSET(Assumptions!$B$60,0,$C$1)))/OFFSET(Assumptions!$B$60,0,$C$1)</f>
        <v>2.4298029569877937E-3</v>
      </c>
      <c r="D305" s="51">
        <f>'Fiscal Forecasts'!D$66</f>
        <v>0.96</v>
      </c>
      <c r="E305" s="51">
        <f>'Fiscal Forecasts'!E$66</f>
        <v>0.96099999999999997</v>
      </c>
      <c r="F305" s="51">
        <f>'Fiscal Forecasts'!F$66</f>
        <v>1.0149999999999999</v>
      </c>
      <c r="G305" s="51">
        <f>'Fiscal Forecasts'!G$66</f>
        <v>0.94899999999999995</v>
      </c>
      <c r="H305" s="51">
        <f>'Fiscal Forecasts'!H$66</f>
        <v>1.1559999999999999</v>
      </c>
      <c r="I305" s="51">
        <f>'Fiscal Forecasts'!I$66</f>
        <v>1.0620000000000001</v>
      </c>
      <c r="J305" s="51">
        <f>'Fiscal Forecasts'!J$66</f>
        <v>0.996</v>
      </c>
      <c r="K305" s="51">
        <f>'Fiscal Forecasts'!K$66</f>
        <v>1.03</v>
      </c>
      <c r="L305" s="47">
        <f ca="1">'Fiscal Forecasts'!L$66+IF(OFFSET(Assumptions!$B$57,0,$C$1)="Yes",Allocation!C$18,0)</f>
        <v>1.33087</v>
      </c>
      <c r="M305" s="47">
        <f ca="1">'Fiscal Forecasts'!M$66+IF(OFFSET(Assumptions!$B$57,0,$C$1)="Yes",Allocation!D$18,0)</f>
        <v>1.16852</v>
      </c>
      <c r="N305" s="47">
        <f ca="1">'Fiscal Forecasts'!N$66+IF(OFFSET(Assumptions!$B$57,0,$C$1)="Yes",Allocation!E$18,0)</f>
        <v>1.1916249999999999</v>
      </c>
      <c r="O305" s="47">
        <f ca="1">'Fiscal Forecasts'!O$66+IF(OFFSET(Assumptions!$B$57,0,$C$1)="Yes",Allocation!F$18,0)</f>
        <v>1.2869949999999999</v>
      </c>
      <c r="P305" s="47">
        <f ca="1">'Fiscal Forecasts'!P$66+IF(OFFSET(Assumptions!$B$57,0,$C$1)="Yes",Allocation!G$18,0)</f>
        <v>1.2399900000000001</v>
      </c>
      <c r="Q305" s="21">
        <f ca="1">P$305+IF(OFFSET(Assumptions!$B$58,0,$C$1)="Yes",Allocation!$B$18*Q$248,IF(OFFSET(Assumptions!$B$59,0,$C$1)="Yes",(P$305/P$13+MIN(ABS($C$305-P$305/P$13),OFFSET(Assumptions!$B$61,0,$C$1))*SIGN($C$305-P$305/P$13))*Q$13-P$305,0))</f>
        <v>1.4766120600453267</v>
      </c>
      <c r="R305" s="21">
        <f ca="1">Q$305+IF(OFFSET(Assumptions!$B$58,0,$C$1)="Yes",Allocation!$B$18*R$248,IF(OFFSET(Assumptions!$B$59,0,$C$1)="Yes",(Q$305/Q$13+MIN(ABS($C$305-Q$305/Q$13),OFFSET(Assumptions!$B$61,0,$C$1))*SIGN($C$305-Q$305/Q$13))*R$13-Q$305,0))</f>
        <v>1.5394642484754721</v>
      </c>
      <c r="S305" s="21">
        <f ca="1">R$305+IF(OFFSET(Assumptions!$B$58,0,$C$1)="Yes",Allocation!$B$18*S$248,IF(OFFSET(Assumptions!$B$59,0,$C$1)="Yes",(R$305/R$13+MIN(ABS($C$305-R$305/R$13),OFFSET(Assumptions!$B$61,0,$C$1))*SIGN($C$305-R$305/R$13))*S$13-R$305,0))</f>
        <v>1.603981566478144</v>
      </c>
      <c r="T305" s="21">
        <f ca="1">S$305+IF(OFFSET(Assumptions!$B$58,0,$C$1)="Yes",Allocation!$B$18*T$248,IF(OFFSET(Assumptions!$B$59,0,$C$1)="Yes",(S$305/S$13+MIN(ABS($C$305-S$305/S$13),OFFSET(Assumptions!$B$61,0,$C$1))*SIGN($C$305-S$305/S$13))*T$13-S$305,0))</f>
        <v>1.670013107205317</v>
      </c>
      <c r="U305" s="21">
        <f ca="1">T$305+IF(OFFSET(Assumptions!$B$58,0,$C$1)="Yes",Allocation!$B$18*U$248,IF(OFFSET(Assumptions!$B$59,0,$C$1)="Yes",(T$305/T$13+MIN(ABS($C$305-T$305/T$13),OFFSET(Assumptions!$B$61,0,$C$1))*SIGN($C$305-T$305/T$13))*U$13-T$305,0))</f>
        <v>1.7383472164883778</v>
      </c>
      <c r="V305" s="21">
        <f ca="1">U$305+IF(OFFSET(Assumptions!$B$58,0,$C$1)="Yes",Allocation!$B$18*V$248,IF(OFFSET(Assumptions!$B$59,0,$C$1)="Yes",(U$305/U$13+MIN(ABS($C$305-U$305/U$13),OFFSET(Assumptions!$B$61,0,$C$1))*SIGN($C$305-U$305/U$13))*V$13-U$305,0))</f>
        <v>1.809008196537037</v>
      </c>
      <c r="W305" s="21">
        <f ca="1">V$305+IF(OFFSET(Assumptions!$B$58,0,$C$1)="Yes",Allocation!$B$18*W$248,IF(OFFSET(Assumptions!$B$59,0,$C$1)="Yes",(V$305/V$13+MIN(ABS($C$305-V$305/V$13),OFFSET(Assumptions!$B$61,0,$C$1))*SIGN($C$305-V$305/V$13))*W$13-V$305,0))</f>
        <v>1.8816395638751813</v>
      </c>
      <c r="X305" s="21">
        <f ca="1">W$305+IF(OFFSET(Assumptions!$B$58,0,$C$1)="Yes",Allocation!$B$18*X$248,IF(OFFSET(Assumptions!$B$59,0,$C$1)="Yes",(W$305/W$13+MIN(ABS($C$305-W$305/W$13),OFFSET(Assumptions!$B$61,0,$C$1))*SIGN($C$305-W$305/W$13))*X$13-W$305,0))</f>
        <v>1.9563624135518107</v>
      </c>
      <c r="Y305" s="21">
        <f ca="1">X$305+IF(OFFSET(Assumptions!$B$58,0,$C$1)="Yes",Allocation!$B$18*Y$248,IF(OFFSET(Assumptions!$B$59,0,$C$1)="Yes",(X$305/X$13+MIN(ABS($C$305-X$305/X$13),OFFSET(Assumptions!$B$61,0,$C$1))*SIGN($C$305-X$305/X$13))*Y$13-X$305,0))</f>
        <v>2.0335674991980524</v>
      </c>
      <c r="Z305" s="21">
        <f ca="1">Y$305+IF(OFFSET(Assumptions!$B$58,0,$C$1)="Yes",Allocation!$B$18*Z$248,IF(OFFSET(Assumptions!$B$59,0,$C$1)="Yes",(Y$305/Y$13+MIN(ABS($C$305-Y$305/Y$13),OFFSET(Assumptions!$B$61,0,$C$1))*SIGN($C$305-Y$305/Y$13))*Z$13-Y$305,0))</f>
        <v>2.1132747331563912</v>
      </c>
    </row>
    <row r="306" spans="1:26" x14ac:dyDescent="0.25">
      <c r="A306" s="11" t="s">
        <v>1307</v>
      </c>
      <c r="B306" s="14" t="str">
        <f>$B$38</f>
        <v>From Fiscal Forecasts</v>
      </c>
      <c r="D306" s="51">
        <f>'Fiscal Forecasts'!D$49</f>
        <v>2.395</v>
      </c>
      <c r="E306" s="51">
        <f>'Fiscal Forecasts'!E$49</f>
        <v>2.4300000000000002</v>
      </c>
      <c r="F306" s="51">
        <f>'Fiscal Forecasts'!F$49</f>
        <v>2.3980000000000001</v>
      </c>
      <c r="G306" s="51">
        <f>'Fiscal Forecasts'!G$49</f>
        <v>2.302</v>
      </c>
      <c r="H306" s="51">
        <f>'Fiscal Forecasts'!H$49</f>
        <v>2.74</v>
      </c>
      <c r="I306" s="51">
        <f>'Fiscal Forecasts'!I$49</f>
        <v>2.6360000000000001</v>
      </c>
      <c r="J306" s="51">
        <f>'Fiscal Forecasts'!J$49</f>
        <v>2.5249999999999999</v>
      </c>
      <c r="K306" s="51">
        <f>'Fiscal Forecasts'!K$49</f>
        <v>2.4449999999999998</v>
      </c>
      <c r="L306" s="47">
        <f ca="1">'Fiscal Forecasts'!L$49+IF(OFFSET(Assumptions!$B$57,0,$C$1)="Yes",Allocation!C$18,0)</f>
        <v>2.7328700000000001</v>
      </c>
      <c r="M306" s="47">
        <f ca="1">'Fiscal Forecasts'!M$49+IF(OFFSET(Assumptions!$B$57,0,$C$1)="Yes",Allocation!D$18,0)</f>
        <v>2.42652</v>
      </c>
      <c r="N306" s="47">
        <f ca="1">'Fiscal Forecasts'!N$49+IF(OFFSET(Assumptions!$B$57,0,$C$1)="Yes",Allocation!E$18,0)</f>
        <v>2.269625</v>
      </c>
      <c r="O306" s="47">
        <f ca="1">'Fiscal Forecasts'!O$49+IF(OFFSET(Assumptions!$B$57,0,$C$1)="Yes",Allocation!F$18,0)</f>
        <v>2.3829949999999998</v>
      </c>
      <c r="P306" s="47">
        <f ca="1">'Fiscal Forecasts'!P$49+IF(OFFSET(Assumptions!$B$57,0,$C$1)="Yes",Allocation!G$18,0)</f>
        <v>2.3669899999999999</v>
      </c>
      <c r="Q306" s="21">
        <f t="shared" ref="Q306:Z306" ca="1" si="175">Q$305+(P$306-P$305)*(1+Q$29)</f>
        <v>2.6261520600453263</v>
      </c>
      <c r="R306" s="21">
        <f t="shared" ca="1" si="175"/>
        <v>2.7119950484754716</v>
      </c>
      <c r="S306" s="21">
        <f t="shared" ca="1" si="175"/>
        <v>2.7999629824781436</v>
      </c>
      <c r="T306" s="21">
        <f t="shared" ca="1" si="175"/>
        <v>2.8899141515253168</v>
      </c>
      <c r="U306" s="21">
        <f t="shared" ca="1" si="175"/>
        <v>2.9826462816947776</v>
      </c>
      <c r="V306" s="21">
        <f t="shared" ca="1" si="175"/>
        <v>3.0781932430475649</v>
      </c>
      <c r="W306" s="21">
        <f t="shared" ca="1" si="175"/>
        <v>3.1762083113159196</v>
      </c>
      <c r="X306" s="21">
        <f t="shared" ca="1" si="175"/>
        <v>3.2768225359413639</v>
      </c>
      <c r="Y306" s="21">
        <f t="shared" ca="1" si="175"/>
        <v>3.3804368240353968</v>
      </c>
      <c r="Z306" s="21">
        <f t="shared" ca="1" si="175"/>
        <v>3.4870814444904825</v>
      </c>
    </row>
    <row r="308" spans="1:26" x14ac:dyDescent="0.25">
      <c r="A308" s="11" t="s">
        <v>1308</v>
      </c>
    </row>
    <row r="309" spans="1:26" x14ac:dyDescent="0.25">
      <c r="A309" s="11" t="s">
        <v>1309</v>
      </c>
      <c r="B309" s="14" t="str">
        <f>$B$38</f>
        <v>From Fiscal Forecasts</v>
      </c>
      <c r="C309" s="100" cm="1">
        <f t="array" aca="1" ref="C309" ca="1">SUMPRODUCT(OFFSET($P$309,0,0,1,-OFFSET(Assumptions!$B$60,0,$C$1))/OFFSET($P$13,0,0,1,-OFFSET(Assumptions!$B$60,0,$C$1)))/OFFSET(Assumptions!$B$60,0,$C$1)</f>
        <v>4.5525810142172341E-3</v>
      </c>
      <c r="D309" s="51">
        <f>'Fiscal Forecasts'!D$67</f>
        <v>0.72699999999999998</v>
      </c>
      <c r="E309" s="51">
        <f>'Fiscal Forecasts'!E$67</f>
        <v>1.0149999999999999</v>
      </c>
      <c r="F309" s="51">
        <f>'Fiscal Forecasts'!F$67</f>
        <v>1.8129999999999999</v>
      </c>
      <c r="G309" s="51">
        <f>'Fiscal Forecasts'!G$67</f>
        <v>2.0329999999999999</v>
      </c>
      <c r="H309" s="51">
        <f>'Fiscal Forecasts'!H$67</f>
        <v>2.3119999999999998</v>
      </c>
      <c r="I309" s="51">
        <f>'Fiscal Forecasts'!I$67</f>
        <v>2.512</v>
      </c>
      <c r="J309" s="51">
        <f>'Fiscal Forecasts'!J$67</f>
        <v>2.15</v>
      </c>
      <c r="K309" s="51">
        <f>'Fiscal Forecasts'!K$67</f>
        <v>1.958</v>
      </c>
      <c r="L309" s="47">
        <f ca="1">'Fiscal Forecasts'!L$67+IF(OFFSET(Assumptions!$B$57,0,$C$1)="Yes",Allocation!C$19,0)</f>
        <v>2.2621600000000002</v>
      </c>
      <c r="M309" s="47">
        <f ca="1">'Fiscal Forecasts'!M$67+IF(OFFSET(Assumptions!$B$57,0,$C$1)="Yes",Allocation!D$19,0)</f>
        <v>1.95136</v>
      </c>
      <c r="N309" s="47">
        <f ca="1">'Fiscal Forecasts'!N$67+IF(OFFSET(Assumptions!$B$57,0,$C$1)="Yes",Allocation!E$19,0)</f>
        <v>1.9395</v>
      </c>
      <c r="O309" s="47">
        <f ca="1">'Fiscal Forecasts'!O$67+IF(OFFSET(Assumptions!$B$57,0,$C$1)="Yes",Allocation!F$19,0)</f>
        <v>1.8916600000000001</v>
      </c>
      <c r="P309" s="47">
        <f ca="1">'Fiscal Forecasts'!P$67+IF(OFFSET(Assumptions!$B$57,0,$C$1)="Yes",Allocation!G$19,0)</f>
        <v>1.9843199999999999</v>
      </c>
      <c r="Q309" s="21">
        <f ca="1">P$309+IF(OFFSET(Assumptions!$B$58,0,$C$1)="Yes",Allocation!$B$19*Q$248,IF(OFFSET(Assumptions!$B$59,0,$C$1)="Yes",(P$309/P$13+MIN(ABS($C$309-P$309/P$13),OFFSET(Assumptions!$B$61,0,$C$1))*SIGN($C$309-P$309/P$13))*Q$13-P$309,0))</f>
        <v>2.3745534950834797</v>
      </c>
      <c r="R309" s="21">
        <f ca="1">Q$309+IF(OFFSET(Assumptions!$B$58,0,$C$1)="Yes",Allocation!$B$19*R$248,IF(OFFSET(Assumptions!$B$59,0,$C$1)="Yes",(Q$309/Q$13+MIN(ABS($C$309-Q$309/Q$13),OFFSET(Assumptions!$B$61,0,$C$1))*SIGN($C$309-Q$309/Q$13))*R$13-Q$309,0))</f>
        <v>2.7924145585747122</v>
      </c>
      <c r="S309" s="21">
        <f ca="1">R$309+IF(OFFSET(Assumptions!$B$58,0,$C$1)="Yes",Allocation!$B$19*S$248,IF(OFFSET(Assumptions!$B$59,0,$C$1)="Yes",(R$309/R$13+MIN(ABS($C$309-R$309/R$13),OFFSET(Assumptions!$B$61,0,$C$1))*SIGN($C$309-R$309/R$13))*S$13-R$309,0))</f>
        <v>3.0052873241027589</v>
      </c>
      <c r="T309" s="21">
        <f ca="1">S$309+IF(OFFSET(Assumptions!$B$58,0,$C$1)="Yes",Allocation!$B$19*T$248,IF(OFFSET(Assumptions!$B$59,0,$C$1)="Yes",(S$309/S$13+MIN(ABS($C$309-S$309/S$13),OFFSET(Assumptions!$B$61,0,$C$1))*SIGN($C$309-S$309/S$13))*T$13-S$309,0))</f>
        <v>3.1290067960004748</v>
      </c>
      <c r="U309" s="21">
        <f ca="1">T$309+IF(OFFSET(Assumptions!$B$58,0,$C$1)="Yes",Allocation!$B$19*U$248,IF(OFFSET(Assumptions!$B$59,0,$C$1)="Yes",(T$309/T$13+MIN(ABS($C$309-T$309/T$13),OFFSET(Assumptions!$B$61,0,$C$1))*SIGN($C$309-T$309/T$13))*U$13-T$309,0))</f>
        <v>3.2570404571872129</v>
      </c>
      <c r="V309" s="21">
        <f ca="1">U$309+IF(OFFSET(Assumptions!$B$58,0,$C$1)="Yes",Allocation!$B$19*V$248,IF(OFFSET(Assumptions!$B$59,0,$C$1)="Yes",(U$309/U$13+MIN(ABS($C$309-U$309/U$13),OFFSET(Assumptions!$B$61,0,$C$1))*SIGN($C$309-U$309/U$13))*V$13-U$309,0))</f>
        <v>3.389433841305201</v>
      </c>
      <c r="W309" s="21">
        <f ca="1">V$309+IF(OFFSET(Assumptions!$B$58,0,$C$1)="Yes",Allocation!$B$19*W$248,IF(OFFSET(Assumptions!$B$59,0,$C$1)="Yes",(V$309/V$13+MIN(ABS($C$309-V$309/V$13),OFFSET(Assumptions!$B$61,0,$C$1))*SIGN($C$309-V$309/V$13))*W$13-V$309,0))</f>
        <v>3.5255190259204139</v>
      </c>
      <c r="X309" s="21">
        <f ca="1">W$309+IF(OFFSET(Assumptions!$B$58,0,$C$1)="Yes",Allocation!$B$19*X$248,IF(OFFSET(Assumptions!$B$59,0,$C$1)="Yes",(W$309/W$13+MIN(ABS($C$309-W$309/W$13),OFFSET(Assumptions!$B$61,0,$C$1))*SIGN($C$309-W$309/W$13))*X$13-W$309,0))</f>
        <v>3.6655228998097402</v>
      </c>
      <c r="Y309" s="21">
        <f ca="1">X$309+IF(OFFSET(Assumptions!$B$58,0,$C$1)="Yes",Allocation!$B$19*Y$248,IF(OFFSET(Assumptions!$B$59,0,$C$1)="Yes",(X$309/X$13+MIN(ABS($C$309-X$309/X$13),OFFSET(Assumptions!$B$61,0,$C$1))*SIGN($C$309-X$309/X$13))*Y$13-X$309,0))</f>
        <v>3.8101775954109933</v>
      </c>
      <c r="Z309" s="21">
        <f ca="1">Y$309+IF(OFFSET(Assumptions!$B$58,0,$C$1)="Yes",Allocation!$B$19*Z$248,IF(OFFSET(Assumptions!$B$59,0,$C$1)="Yes",(Y$309/Y$13+MIN(ABS($C$309-Y$309/Y$13),OFFSET(Assumptions!$B$61,0,$C$1))*SIGN($C$309-Y$309/Y$13))*Z$13-Y$309,0))</f>
        <v>3.9595204213265389</v>
      </c>
    </row>
    <row r="310" spans="1:26" x14ac:dyDescent="0.25">
      <c r="A310" s="11" t="s">
        <v>1310</v>
      </c>
      <c r="B310" s="14" t="str">
        <f>$B$38</f>
        <v>From Fiscal Forecasts</v>
      </c>
      <c r="D310" s="51">
        <f>'Fiscal Forecasts'!D$50</f>
        <v>2.02</v>
      </c>
      <c r="E310" s="51">
        <f>'Fiscal Forecasts'!E$50</f>
        <v>2.3929999999999998</v>
      </c>
      <c r="F310" s="51">
        <f>'Fiscal Forecasts'!F$50</f>
        <v>3.351</v>
      </c>
      <c r="G310" s="51">
        <f>'Fiscal Forecasts'!G$50</f>
        <v>3.9350000000000001</v>
      </c>
      <c r="H310" s="51">
        <f>'Fiscal Forecasts'!H$50</f>
        <v>4.3959999999999999</v>
      </c>
      <c r="I310" s="51">
        <f>'Fiscal Forecasts'!I$50</f>
        <v>4.7889999999999997</v>
      </c>
      <c r="J310" s="51">
        <f>'Fiscal Forecasts'!J$50</f>
        <v>4.5069999999999997</v>
      </c>
      <c r="K310" s="51">
        <f>'Fiscal Forecasts'!K$50</f>
        <v>4.0339999999999998</v>
      </c>
      <c r="L310" s="47">
        <f ca="1">'Fiscal Forecasts'!L$50+IF(OFFSET(Assumptions!$B$57,0,$C$1)="Yes",Allocation!C$19,0)</f>
        <v>4.23916</v>
      </c>
      <c r="M310" s="47">
        <f ca="1">'Fiscal Forecasts'!M$50+IF(OFFSET(Assumptions!$B$57,0,$C$1)="Yes",Allocation!D$19,0)</f>
        <v>3.9583599999999999</v>
      </c>
      <c r="N310" s="47">
        <f ca="1">'Fiscal Forecasts'!N$50+IF(OFFSET(Assumptions!$B$57,0,$C$1)="Yes",Allocation!E$19,0)</f>
        <v>3.9615</v>
      </c>
      <c r="O310" s="47">
        <f ca="1">'Fiscal Forecasts'!O$50+IF(OFFSET(Assumptions!$B$57,0,$C$1)="Yes",Allocation!F$19,0)</f>
        <v>3.9276600000000004</v>
      </c>
      <c r="P310" s="47">
        <f ca="1">'Fiscal Forecasts'!P$50+IF(OFFSET(Assumptions!$B$57,0,$C$1)="Yes",Allocation!G$19,0)</f>
        <v>3.97532</v>
      </c>
      <c r="Q310" s="21">
        <f t="shared" ref="Q310:Z310" ca="1" si="176">Q$309+(P$310-P$309)*(1+Q$29)</f>
        <v>4.40537349508348</v>
      </c>
      <c r="R310" s="21">
        <f t="shared" ca="1" si="176"/>
        <v>4.8638509585747123</v>
      </c>
      <c r="S310" s="21">
        <f t="shared" ca="1" si="176"/>
        <v>5.118152452102759</v>
      </c>
      <c r="T310" s="21">
        <f t="shared" ca="1" si="176"/>
        <v>5.2841292265604753</v>
      </c>
      <c r="U310" s="21">
        <f t="shared" ca="1" si="176"/>
        <v>5.4552653363584138</v>
      </c>
      <c r="V310" s="21">
        <f t="shared" ca="1" si="176"/>
        <v>5.6316232180598256</v>
      </c>
      <c r="W310" s="21">
        <f t="shared" ca="1" si="176"/>
        <v>5.8125521902101305</v>
      </c>
      <c r="X310" s="21">
        <f t="shared" ca="1" si="176"/>
        <v>5.9982967273852505</v>
      </c>
      <c r="Y310" s="21">
        <f t="shared" ca="1" si="176"/>
        <v>6.1896068995380134</v>
      </c>
      <c r="Z310" s="21">
        <f t="shared" ca="1" si="176"/>
        <v>6.3865383115360999</v>
      </c>
    </row>
    <row r="312" spans="1:26" x14ac:dyDescent="0.25">
      <c r="A312" s="11" t="s">
        <v>1311</v>
      </c>
    </row>
    <row r="313" spans="1:26" x14ac:dyDescent="0.25">
      <c r="A313" s="12" t="s">
        <v>1312</v>
      </c>
      <c r="B313" s="14" t="str">
        <f>$B$38</f>
        <v>From Fiscal Forecasts</v>
      </c>
      <c r="D313" s="50">
        <f>'Fiscal Forecasts'!D$376</f>
        <v>0.54300000000000004</v>
      </c>
      <c r="E313" s="50">
        <f>'Fiscal Forecasts'!E$376</f>
        <v>0.65</v>
      </c>
      <c r="F313" s="50">
        <f>'Fiscal Forecasts'!F$376</f>
        <v>1.853</v>
      </c>
      <c r="G313" s="50">
        <f>'Fiscal Forecasts'!G$376</f>
        <v>1.4890000000000001</v>
      </c>
      <c r="H313" s="50">
        <f>'Fiscal Forecasts'!H$376</f>
        <v>1.103</v>
      </c>
      <c r="I313" s="50">
        <f>'Fiscal Forecasts'!I$376</f>
        <v>0.83399999999999996</v>
      </c>
      <c r="J313" s="50">
        <f>'Fiscal Forecasts'!J$376</f>
        <v>1.075</v>
      </c>
      <c r="K313" s="50">
        <f>'Fiscal Forecasts'!K$376</f>
        <v>1.2929999999999999</v>
      </c>
      <c r="L313" s="48">
        <f>'Fiscal Forecasts'!L$376</f>
        <v>1.23</v>
      </c>
      <c r="M313" s="48">
        <f>'Fiscal Forecasts'!M$376</f>
        <v>1.304</v>
      </c>
      <c r="N313" s="48">
        <f>'Fiscal Forecasts'!N$376</f>
        <v>1.369</v>
      </c>
      <c r="O313" s="48">
        <f>'Fiscal Forecasts'!O$376</f>
        <v>1.4179999999999999</v>
      </c>
      <c r="P313" s="48">
        <f>'Fiscal Forecasts'!P$376</f>
        <v>1.446</v>
      </c>
      <c r="Q313" s="20">
        <f t="shared" ref="Q313:Z313" ca="1" si="177">P$313*(1+Q$29)</f>
        <v>1.47492</v>
      </c>
      <c r="R313" s="20">
        <f t="shared" ca="1" si="177"/>
        <v>1.5044184</v>
      </c>
      <c r="S313" s="20">
        <f t="shared" ca="1" si="177"/>
        <v>1.534506768</v>
      </c>
      <c r="T313" s="20">
        <f t="shared" ca="1" si="177"/>
        <v>1.5651969033599999</v>
      </c>
      <c r="U313" s="20">
        <f t="shared" ca="1" si="177"/>
        <v>1.5965008414271999</v>
      </c>
      <c r="V313" s="20">
        <f t="shared" ca="1" si="177"/>
        <v>1.6284308582557441</v>
      </c>
      <c r="W313" s="20">
        <f t="shared" ca="1" si="177"/>
        <v>1.660999475420859</v>
      </c>
      <c r="X313" s="20">
        <f t="shared" ca="1" si="177"/>
        <v>1.6942194649292763</v>
      </c>
      <c r="Y313" s="20">
        <f t="shared" ca="1" si="177"/>
        <v>1.7281038542278619</v>
      </c>
      <c r="Z313" s="20">
        <f t="shared" ca="1" si="177"/>
        <v>1.7626659313124191</v>
      </c>
    </row>
    <row r="314" spans="1:26" x14ac:dyDescent="0.25">
      <c r="A314" s="12" t="s">
        <v>1313</v>
      </c>
      <c r="B314" s="14" t="str">
        <f>$B$38</f>
        <v>From Fiscal Forecasts</v>
      </c>
      <c r="C314" s="100" cm="1">
        <f t="array" aca="1" ref="C314" ca="1">SUMPRODUCT(OFFSET($P$314,0,0,1,-OFFSET(Assumptions!$B$60,0,$C$1))/OFFSET($P$13,0,0,1,-OFFSET(Assumptions!$B$60,0,$C$1)))/OFFSET(Assumptions!$B$60,0,$C$1)</f>
        <v>2.8754086248347533E-3</v>
      </c>
      <c r="D314" s="50">
        <f>'Fiscal Forecasts'!D$68-D$313</f>
        <v>0.57599999999999996</v>
      </c>
      <c r="E314" s="50">
        <f>'Fiscal Forecasts'!E$68-E$313</f>
        <v>0.83500000000000008</v>
      </c>
      <c r="F314" s="50">
        <f>'Fiscal Forecasts'!F$68-F$313</f>
        <v>5.2999999999999936E-2</v>
      </c>
      <c r="G314" s="50">
        <f>'Fiscal Forecasts'!G$68-G$313</f>
        <v>1.0599999999999998</v>
      </c>
      <c r="H314" s="50">
        <f>'Fiscal Forecasts'!H$68-H$313</f>
        <v>1.2779999999999998</v>
      </c>
      <c r="I314" s="50">
        <f>'Fiscal Forecasts'!I$68-I$313</f>
        <v>1.4630000000000001</v>
      </c>
      <c r="J314" s="50">
        <f>'Fiscal Forecasts'!J$68-J$313</f>
        <v>1.3350000000000002</v>
      </c>
      <c r="K314" s="50">
        <f>'Fiscal Forecasts'!K$68-K$313</f>
        <v>1.216</v>
      </c>
      <c r="L314" s="48">
        <f ca="1">'Fiscal Forecasts'!L$68-L$313+IF(OFFSET(Assumptions!$B$57,0,$C$1)="Yes",Allocation!C$20,0)</f>
        <v>1.6238700000000001</v>
      </c>
      <c r="M314" s="48">
        <f ca="1">'Fiscal Forecasts'!M$68-M$313+IF(OFFSET(Assumptions!$B$57,0,$C$1)="Yes",Allocation!D$20,0)</f>
        <v>1.4445200000000002</v>
      </c>
      <c r="N314" s="48">
        <f ca="1">'Fiscal Forecasts'!N$68-N$313+IF(OFFSET(Assumptions!$B$57,0,$C$1)="Yes",Allocation!E$20,0)</f>
        <v>1.3876249999999999</v>
      </c>
      <c r="O314" s="48">
        <f ca="1">'Fiscal Forecasts'!O$68-O$313+IF(OFFSET(Assumptions!$B$57,0,$C$1)="Yes",Allocation!F$20,0)</f>
        <v>1.297995</v>
      </c>
      <c r="P314" s="48">
        <f ca="1">'Fiscal Forecasts'!P$68-P$313+IF(OFFSET(Assumptions!$B$57,0,$C$1)="Yes",Allocation!G$20,0)</f>
        <v>1.3369900000000001</v>
      </c>
      <c r="Q314" s="20">
        <f ca="1">P$314+IF(OFFSET(Assumptions!$B$58,0,$C$1)="Yes",Allocation!$B$20*Q$248,IF(OFFSET(Assumptions!$B$59,0,$C$1)="Yes",(P$314/P$13+MIN(ABS($C$314-P$314/P$13),OFFSET(Assumptions!$B$61,0,$C$1))*SIGN($C$314-P$314/P$13))*Q$13-P$314,0))</f>
        <v>1.6990446445094349</v>
      </c>
      <c r="R314" s="20">
        <f ca="1">Q$314+IF(OFFSET(Assumptions!$B$58,0,$C$1)="Yes",Allocation!$B$20*R$248,IF(OFFSET(Assumptions!$B$59,0,$C$1)="Yes",(Q$314/Q$13+MIN(ABS($C$314-Q$314/Q$13),OFFSET(Assumptions!$B$61,0,$C$1))*SIGN($C$314-Q$314/Q$13))*R$13-Q$314,0))</f>
        <v>1.8217891969226712</v>
      </c>
      <c r="S314" s="20">
        <f ca="1">R$314+IF(OFFSET(Assumptions!$B$58,0,$C$1)="Yes",Allocation!$B$20*S$248,IF(OFFSET(Assumptions!$B$59,0,$C$1)="Yes",(R$314/R$13+MIN(ABS($C$314-R$314/R$13),OFFSET(Assumptions!$B$61,0,$C$1))*SIGN($C$314-R$314/R$13))*S$13-R$314,0))</f>
        <v>1.8981384548337197</v>
      </c>
      <c r="T314" s="20">
        <f ca="1">S$314+IF(OFFSET(Assumptions!$B$58,0,$C$1)="Yes",Allocation!$B$20*T$248,IF(OFFSET(Assumptions!$B$59,0,$C$1)="Yes",(S$314/S$13+MIN(ABS($C$314-S$314/S$13),OFFSET(Assumptions!$B$61,0,$C$1))*SIGN($C$314-S$314/S$13))*T$13-S$314,0))</f>
        <v>1.9762796313320055</v>
      </c>
      <c r="U314" s="20">
        <f ca="1">T$314+IF(OFFSET(Assumptions!$B$58,0,$C$1)="Yes",Allocation!$B$20*U$248,IF(OFFSET(Assumptions!$B$59,0,$C$1)="Yes",(T$314/T$13+MIN(ABS($C$314-T$314/T$13),OFFSET(Assumptions!$B$61,0,$C$1))*SIGN($C$314-T$314/T$13))*U$13-T$314,0))</f>
        <v>2.0571456483223294</v>
      </c>
      <c r="V314" s="20">
        <f ca="1">U$314+IF(OFFSET(Assumptions!$B$58,0,$C$1)="Yes",Allocation!$B$20*V$248,IF(OFFSET(Assumptions!$B$59,0,$C$1)="Yes",(U$314/U$13+MIN(ABS($C$314-U$314/U$13),OFFSET(Assumptions!$B$61,0,$C$1))*SIGN($C$314-U$314/U$13))*V$13-U$314,0))</f>
        <v>2.1407652648376825</v>
      </c>
      <c r="W314" s="20">
        <f ca="1">V$314+IF(OFFSET(Assumptions!$B$58,0,$C$1)="Yes",Allocation!$B$20*W$248,IF(OFFSET(Assumptions!$B$59,0,$C$1)="Yes",(V$314/V$13+MIN(ABS($C$314-V$314/V$13),OFFSET(Assumptions!$B$61,0,$C$1))*SIGN($C$314-V$314/V$13))*W$13-V$314,0))</f>
        <v>2.2267166212952221</v>
      </c>
      <c r="X314" s="20">
        <f ca="1">W$314+IF(OFFSET(Assumptions!$B$58,0,$C$1)="Yes",Allocation!$B$20*X$248,IF(OFFSET(Assumptions!$B$59,0,$C$1)="Yes",(W$314/W$13+MIN(ABS($C$314-W$314/W$13),OFFSET(Assumptions!$B$61,0,$C$1))*SIGN($C$314-W$314/W$13))*X$13-W$314,0))</f>
        <v>2.3151430205694949</v>
      </c>
      <c r="Y314" s="20">
        <f ca="1">X$314+IF(OFFSET(Assumptions!$B$58,0,$C$1)="Yes",Allocation!$B$20*Y$248,IF(OFFSET(Assumptions!$B$59,0,$C$1)="Yes",(X$314/X$13+MIN(ABS($C$314-X$314/X$13),OFFSET(Assumptions!$B$61,0,$C$1))*SIGN($C$314-X$314/X$13))*Y$13-X$314,0))</f>
        <v>2.4065068772599632</v>
      </c>
      <c r="Z314" s="20">
        <f ca="1">Y$314+IF(OFFSET(Assumptions!$B$58,0,$C$1)="Yes",Allocation!$B$20*Z$248,IF(OFFSET(Assumptions!$B$59,0,$C$1)="Yes",(Y$314/Y$13+MIN(ABS($C$314-Y$314/Y$13),OFFSET(Assumptions!$B$61,0,$C$1))*SIGN($C$314-Y$314/Y$13))*Z$13-Y$314,0))</f>
        <v>2.5008317554672295</v>
      </c>
    </row>
    <row r="315" spans="1:26" x14ac:dyDescent="0.25">
      <c r="A315" s="11" t="s">
        <v>1314</v>
      </c>
      <c r="D315" s="94">
        <f t="shared" ref="D315:Z315" si="178">SUM(D$313:D$314)</f>
        <v>1.119</v>
      </c>
      <c r="E315" s="94">
        <f t="shared" si="178"/>
        <v>1.4850000000000001</v>
      </c>
      <c r="F315" s="94">
        <f t="shared" si="178"/>
        <v>1.9059999999999999</v>
      </c>
      <c r="G315" s="94">
        <f t="shared" si="178"/>
        <v>2.5489999999999999</v>
      </c>
      <c r="H315" s="94">
        <f t="shared" si="178"/>
        <v>2.3809999999999998</v>
      </c>
      <c r="I315" s="94">
        <f t="shared" si="178"/>
        <v>2.2970000000000002</v>
      </c>
      <c r="J315" s="94">
        <f t="shared" si="178"/>
        <v>2.41</v>
      </c>
      <c r="K315" s="94">
        <f t="shared" si="178"/>
        <v>2.5089999999999999</v>
      </c>
      <c r="L315" s="95">
        <f t="shared" ca="1" si="178"/>
        <v>2.8538700000000001</v>
      </c>
      <c r="M315" s="95">
        <f t="shared" ca="1" si="178"/>
        <v>2.7485200000000001</v>
      </c>
      <c r="N315" s="95">
        <f t="shared" ca="1" si="178"/>
        <v>2.7566249999999997</v>
      </c>
      <c r="O315" s="95">
        <f t="shared" ca="1" si="178"/>
        <v>2.7159949999999999</v>
      </c>
      <c r="P315" s="95">
        <f t="shared" ca="1" si="178"/>
        <v>2.7829899999999999</v>
      </c>
      <c r="Q315" s="96">
        <f t="shared" ca="1" si="178"/>
        <v>3.1739646445094349</v>
      </c>
      <c r="R315" s="96">
        <f t="shared" ca="1" si="178"/>
        <v>3.3262075969226714</v>
      </c>
      <c r="S315" s="96">
        <f t="shared" ca="1" si="178"/>
        <v>3.4326452228337194</v>
      </c>
      <c r="T315" s="96">
        <f t="shared" ca="1" si="178"/>
        <v>3.5414765346920056</v>
      </c>
      <c r="U315" s="96">
        <f t="shared" ca="1" si="178"/>
        <v>3.6536464897495291</v>
      </c>
      <c r="V315" s="96">
        <f t="shared" ca="1" si="178"/>
        <v>3.7691961230934266</v>
      </c>
      <c r="W315" s="96">
        <f t="shared" ca="1" si="178"/>
        <v>3.8877160967160811</v>
      </c>
      <c r="X315" s="96">
        <f t="shared" ca="1" si="178"/>
        <v>4.0093624854987713</v>
      </c>
      <c r="Y315" s="96">
        <f t="shared" ca="1" si="178"/>
        <v>4.1346107314878253</v>
      </c>
      <c r="Z315" s="96">
        <f t="shared" ca="1" si="178"/>
        <v>4.2634976867796484</v>
      </c>
    </row>
    <row r="316" spans="1:26" x14ac:dyDescent="0.25">
      <c r="A316" s="11" t="s">
        <v>1315</v>
      </c>
      <c r="B316" s="14" t="str">
        <f>$B$38</f>
        <v>From Fiscal Forecasts</v>
      </c>
      <c r="D316" s="51">
        <f>'Fiscal Forecasts'!D$51</f>
        <v>1.1080000000000001</v>
      </c>
      <c r="E316" s="51">
        <f>'Fiscal Forecasts'!E$51</f>
        <v>1.472</v>
      </c>
      <c r="F316" s="51">
        <f>'Fiscal Forecasts'!F$51</f>
        <v>1.889</v>
      </c>
      <c r="G316" s="51">
        <f>'Fiscal Forecasts'!G$51</f>
        <v>2.5350000000000001</v>
      </c>
      <c r="H316" s="51">
        <f>'Fiscal Forecasts'!H$51</f>
        <v>2.3530000000000002</v>
      </c>
      <c r="I316" s="51">
        <f>'Fiscal Forecasts'!I$51</f>
        <v>2.2770000000000001</v>
      </c>
      <c r="J316" s="51">
        <f>'Fiscal Forecasts'!J$51</f>
        <v>2.4</v>
      </c>
      <c r="K316" s="51">
        <f>'Fiscal Forecasts'!K$51</f>
        <v>2.5099999999999998</v>
      </c>
      <c r="L316" s="47">
        <f ca="1">'Fiscal Forecasts'!L$51+IF(OFFSET(Assumptions!$B$57,0,$C$1)="Yes",Allocation!C$20,0)</f>
        <v>2.8858700000000002</v>
      </c>
      <c r="M316" s="47">
        <f ca="1">'Fiscal Forecasts'!M$51+IF(OFFSET(Assumptions!$B$57,0,$C$1)="Yes",Allocation!D$20,0)</f>
        <v>2.7805200000000001</v>
      </c>
      <c r="N316" s="47">
        <f ca="1">'Fiscal Forecasts'!N$51+IF(OFFSET(Assumptions!$B$57,0,$C$1)="Yes",Allocation!E$20,0)</f>
        <v>2.7886249999999997</v>
      </c>
      <c r="O316" s="47">
        <f ca="1">'Fiscal Forecasts'!O$51+IF(OFFSET(Assumptions!$B$57,0,$C$1)="Yes",Allocation!F$20,0)</f>
        <v>2.747995</v>
      </c>
      <c r="P316" s="47">
        <f ca="1">'Fiscal Forecasts'!P$51+IF(OFFSET(Assumptions!$B$57,0,$C$1)="Yes",Allocation!G$20,0)</f>
        <v>2.8149899999999999</v>
      </c>
      <c r="Q316" s="21">
        <f t="shared" ref="Q316:Z316" ca="1" si="179">Q$315</f>
        <v>3.1739646445094349</v>
      </c>
      <c r="R316" s="21">
        <f t="shared" ca="1" si="179"/>
        <v>3.3262075969226714</v>
      </c>
      <c r="S316" s="21">
        <f t="shared" ca="1" si="179"/>
        <v>3.4326452228337194</v>
      </c>
      <c r="T316" s="21">
        <f t="shared" ca="1" si="179"/>
        <v>3.5414765346920056</v>
      </c>
      <c r="U316" s="21">
        <f t="shared" ca="1" si="179"/>
        <v>3.6536464897495291</v>
      </c>
      <c r="V316" s="21">
        <f t="shared" ca="1" si="179"/>
        <v>3.7691961230934266</v>
      </c>
      <c r="W316" s="21">
        <f t="shared" ca="1" si="179"/>
        <v>3.8877160967160811</v>
      </c>
      <c r="X316" s="21">
        <f t="shared" ca="1" si="179"/>
        <v>4.0093624854987713</v>
      </c>
      <c r="Y316" s="21">
        <f t="shared" ca="1" si="179"/>
        <v>4.1346107314878253</v>
      </c>
      <c r="Z316" s="21">
        <f t="shared" ca="1" si="179"/>
        <v>4.2634976867796484</v>
      </c>
    </row>
    <row r="318" spans="1:26" x14ac:dyDescent="0.25">
      <c r="A318" s="11" t="s">
        <v>1316</v>
      </c>
    </row>
    <row r="319" spans="1:26" x14ac:dyDescent="0.25">
      <c r="A319" s="11" t="s">
        <v>1317</v>
      </c>
      <c r="B319" s="14" t="str">
        <f>$B$38</f>
        <v>From Fiscal Forecasts</v>
      </c>
      <c r="D319" s="51">
        <f>'Fiscal Forecasts'!D$70</f>
        <v>9.7000000000000003E-2</v>
      </c>
      <c r="E319" s="51">
        <f>'Fiscal Forecasts'!E$70</f>
        <v>6.3E-2</v>
      </c>
      <c r="F319" s="51">
        <f>'Fiscal Forecasts'!F$70</f>
        <v>0.254</v>
      </c>
      <c r="G319" s="51">
        <f>'Fiscal Forecasts'!G$70</f>
        <v>0.26900000000000002</v>
      </c>
      <c r="H319" s="51">
        <f>'Fiscal Forecasts'!H$70</f>
        <v>0.13300000000000001</v>
      </c>
      <c r="I319" s="51">
        <f>'Fiscal Forecasts'!I$70</f>
        <v>0.14499999999999999</v>
      </c>
      <c r="J319" s="51">
        <f>'Fiscal Forecasts'!J$70</f>
        <v>0.127</v>
      </c>
      <c r="K319" s="51">
        <f>'Fiscal Forecasts'!K$70</f>
        <v>0.189</v>
      </c>
      <c r="L319" s="47">
        <f>'Fiscal Forecasts'!L$70</f>
        <v>0.21</v>
      </c>
      <c r="M319" s="47">
        <f>'Fiscal Forecasts'!M$70</f>
        <v>8.1000000000000003E-2</v>
      </c>
      <c r="N319" s="47">
        <f>'Fiscal Forecasts'!N$70</f>
        <v>0.27700000000000002</v>
      </c>
      <c r="O319" s="47">
        <f>'Fiscal Forecasts'!O$70</f>
        <v>0.27600000000000002</v>
      </c>
      <c r="P319" s="47">
        <f>'Fiscal Forecasts'!P$70</f>
        <v>0.27600000000000002</v>
      </c>
      <c r="Q319" s="21">
        <f ca="1">IF(Q$6=OFFSET(Assumptions!$B$8,0,$C$1),OFFSET(Assumptions!$B$9,0,$C$1),P$319)</f>
        <v>0</v>
      </c>
      <c r="R319" s="21">
        <f ca="1">IF(R$6=OFFSET(Assumptions!$B$8,0,$C$1),OFFSET(Assumptions!$B$9,0,$C$1),Q$319)</f>
        <v>0</v>
      </c>
      <c r="S319" s="21">
        <f ca="1">IF(S$6=OFFSET(Assumptions!$B$8,0,$C$1),OFFSET(Assumptions!$B$9,0,$C$1),R$319)</f>
        <v>0</v>
      </c>
      <c r="T319" s="21">
        <f ca="1">IF(T$6=OFFSET(Assumptions!$B$8,0,$C$1),OFFSET(Assumptions!$B$9,0,$C$1),S$319)</f>
        <v>0</v>
      </c>
      <c r="U319" s="21">
        <f ca="1">IF(U$6=OFFSET(Assumptions!$B$8,0,$C$1),OFFSET(Assumptions!$B$9,0,$C$1),T$319)</f>
        <v>0</v>
      </c>
      <c r="V319" s="21">
        <f ca="1">IF(V$6=OFFSET(Assumptions!$B$8,0,$C$1),OFFSET(Assumptions!$B$9,0,$C$1),U$319)</f>
        <v>0</v>
      </c>
      <c r="W319" s="21">
        <f ca="1">IF(W$6=OFFSET(Assumptions!$B$8,0,$C$1),OFFSET(Assumptions!$B$9,0,$C$1),V$319)</f>
        <v>0</v>
      </c>
      <c r="X319" s="21">
        <f ca="1">IF(X$6=OFFSET(Assumptions!$B$8,0,$C$1),OFFSET(Assumptions!$B$9,0,$C$1),W$319)</f>
        <v>0</v>
      </c>
      <c r="Y319" s="21">
        <f ca="1">IF(Y$6=OFFSET(Assumptions!$B$8,0,$C$1),OFFSET(Assumptions!$B$9,0,$C$1),X$319)</f>
        <v>0</v>
      </c>
      <c r="Z319" s="21">
        <f ca="1">IF(Z$6=OFFSET(Assumptions!$B$8,0,$C$1),OFFSET(Assumptions!$B$9,0,$C$1),Y$319)</f>
        <v>0</v>
      </c>
    </row>
    <row r="320" spans="1:26" x14ac:dyDescent="0.25">
      <c r="A320" s="11" t="s">
        <v>1318</v>
      </c>
      <c r="B320" s="14" t="str">
        <f>$B$38</f>
        <v>From Fiscal Forecasts</v>
      </c>
      <c r="D320" s="51">
        <f>'Fiscal Forecasts'!D$53</f>
        <v>9.6000000000000002E-2</v>
      </c>
      <c r="E320" s="51">
        <f>'Fiscal Forecasts'!E$53</f>
        <v>6.3E-2</v>
      </c>
      <c r="F320" s="51">
        <f>'Fiscal Forecasts'!F$53</f>
        <v>0.254</v>
      </c>
      <c r="G320" s="51">
        <f>'Fiscal Forecasts'!G$53</f>
        <v>0.24199999999999999</v>
      </c>
      <c r="H320" s="51">
        <f>'Fiscal Forecasts'!H$53</f>
        <v>0.13300000000000001</v>
      </c>
      <c r="I320" s="51">
        <f>'Fiscal Forecasts'!I$53</f>
        <v>0.14499999999999999</v>
      </c>
      <c r="J320" s="51">
        <f>'Fiscal Forecasts'!J$53</f>
        <v>0.127</v>
      </c>
      <c r="K320" s="51">
        <f>'Fiscal Forecasts'!K$53</f>
        <v>0.189</v>
      </c>
      <c r="L320" s="47">
        <f>'Fiscal Forecasts'!L$53</f>
        <v>0.21</v>
      </c>
      <c r="M320" s="47">
        <f>'Fiscal Forecasts'!M$53</f>
        <v>8.1000000000000003E-2</v>
      </c>
      <c r="N320" s="47">
        <f>'Fiscal Forecasts'!N$53</f>
        <v>0.27700000000000002</v>
      </c>
      <c r="O320" s="47">
        <f>'Fiscal Forecasts'!O$53</f>
        <v>0.27600000000000002</v>
      </c>
      <c r="P320" s="47">
        <f>'Fiscal Forecasts'!P$53</f>
        <v>0.27600000000000002</v>
      </c>
      <c r="Q320" s="21">
        <f ca="1">IF(Q$6=OFFSET(Assumptions!$B$8,0,$C$1),OFFSET(Assumptions!$B$9,0,$C$1),P$320)</f>
        <v>0</v>
      </c>
      <c r="R320" s="21">
        <f ca="1">IF(R$6=OFFSET(Assumptions!$B$8,0,$C$1),OFFSET(Assumptions!$B$9,0,$C$1),Q$320)</f>
        <v>0</v>
      </c>
      <c r="S320" s="21">
        <f ca="1">IF(S$6=OFFSET(Assumptions!$B$8,0,$C$1),OFFSET(Assumptions!$B$9,0,$C$1),R$320)</f>
        <v>0</v>
      </c>
      <c r="T320" s="21">
        <f ca="1">IF(T$6=OFFSET(Assumptions!$B$8,0,$C$1),OFFSET(Assumptions!$B$9,0,$C$1),S$320)</f>
        <v>0</v>
      </c>
      <c r="U320" s="21">
        <f ca="1">IF(U$6=OFFSET(Assumptions!$B$8,0,$C$1),OFFSET(Assumptions!$B$9,0,$C$1),T$320)</f>
        <v>0</v>
      </c>
      <c r="V320" s="21">
        <f ca="1">IF(V$6=OFFSET(Assumptions!$B$8,0,$C$1),OFFSET(Assumptions!$B$9,0,$C$1),U$320)</f>
        <v>0</v>
      </c>
      <c r="W320" s="21">
        <f ca="1">IF(W$6=OFFSET(Assumptions!$B$8,0,$C$1),OFFSET(Assumptions!$B$9,0,$C$1),V$320)</f>
        <v>0</v>
      </c>
      <c r="X320" s="21">
        <f ca="1">IF(X$6=OFFSET(Assumptions!$B$8,0,$C$1),OFFSET(Assumptions!$B$9,0,$C$1),W$320)</f>
        <v>0</v>
      </c>
      <c r="Y320" s="21">
        <f ca="1">IF(Y$6=OFFSET(Assumptions!$B$8,0,$C$1),OFFSET(Assumptions!$B$9,0,$C$1),X$320)</f>
        <v>0</v>
      </c>
      <c r="Z320" s="21">
        <f ca="1">IF(Z$6=OFFSET(Assumptions!$B$8,0,$C$1),OFFSET(Assumptions!$B$9,0,$C$1),Y$320)</f>
        <v>0</v>
      </c>
    </row>
    <row r="322" spans="1:26" x14ac:dyDescent="0.25">
      <c r="A322" s="57" t="s">
        <v>1319</v>
      </c>
    </row>
    <row r="323" spans="1:26" x14ac:dyDescent="0.25">
      <c r="A323" s="11" t="s">
        <v>1320</v>
      </c>
      <c r="D323" s="51">
        <f>SUM(D$196,D$256,D$264,D$274,D$279,D$292,D$297,D$301,D$305,D$309,D$314)</f>
        <v>50.065999999999995</v>
      </c>
      <c r="E323" s="51">
        <f t="shared" ref="E323:Z323" si="180">SUM(E$196,E$256,E$264,E$274,E$279,E$292,E$297,E$301,E$305,E$309,E$314)</f>
        <v>57.019999999999996</v>
      </c>
      <c r="F323" s="51">
        <f t="shared" si="180"/>
        <v>61.080000000000005</v>
      </c>
      <c r="G323" s="51">
        <f t="shared" si="180"/>
        <v>71.525999999999996</v>
      </c>
      <c r="H323" s="51">
        <f t="shared" si="180"/>
        <v>72.372000000000014</v>
      </c>
      <c r="I323" s="51">
        <f t="shared" si="180"/>
        <v>78.45499999999997</v>
      </c>
      <c r="J323" s="51">
        <f t="shared" si="180"/>
        <v>78.74199999999999</v>
      </c>
      <c r="K323" s="51">
        <f t="shared" si="180"/>
        <v>80.757999999999996</v>
      </c>
      <c r="L323" s="47">
        <f t="shared" ca="1" si="180"/>
        <v>85.418999999999997</v>
      </c>
      <c r="M323" s="47">
        <f t="shared" ca="1" si="180"/>
        <v>86.359999999999985</v>
      </c>
      <c r="N323" s="47">
        <f t="shared" ca="1" si="180"/>
        <v>88.40600000000002</v>
      </c>
      <c r="O323" s="47">
        <f t="shared" ca="1" si="180"/>
        <v>90.844000000000008</v>
      </c>
      <c r="P323" s="47">
        <f t="shared" ca="1" si="180"/>
        <v>93.351000000000013</v>
      </c>
      <c r="Q323" s="21">
        <f t="shared" ca="1" si="180"/>
        <v>100.1482486745725</v>
      </c>
      <c r="R323" s="21">
        <f t="shared" ca="1" si="180"/>
        <v>106.07026079835761</v>
      </c>
      <c r="S323" s="21">
        <f t="shared" ca="1" si="180"/>
        <v>111.24988365196738</v>
      </c>
      <c r="T323" s="21">
        <f t="shared" ca="1" si="180"/>
        <v>116.27926544833639</v>
      </c>
      <c r="U323" s="21">
        <f t="shared" ca="1" si="180"/>
        <v>121.38953861964585</v>
      </c>
      <c r="V323" s="21">
        <f t="shared" ca="1" si="180"/>
        <v>126.69704333522184</v>
      </c>
      <c r="W323" s="21">
        <f t="shared" ca="1" si="180"/>
        <v>132.19852021857756</v>
      </c>
      <c r="X323" s="21">
        <f t="shared" ca="1" si="180"/>
        <v>137.93006440058406</v>
      </c>
      <c r="Y323" s="21">
        <f t="shared" ca="1" si="180"/>
        <v>143.90005609509996</v>
      </c>
      <c r="Z323" s="21">
        <f t="shared" ca="1" si="180"/>
        <v>150.14912412108691</v>
      </c>
    </row>
    <row r="324" spans="1:26" x14ac:dyDescent="0.25">
      <c r="A324" s="11" t="s">
        <v>1321</v>
      </c>
      <c r="D324" s="51">
        <f>SUM(D$256,D$263,D$264,D$271,D$273,D$283,D$313,D$319)</f>
        <v>36.466000000000001</v>
      </c>
      <c r="E324" s="51">
        <f t="shared" ref="E324:Z324" si="181">SUM(E$256,E$263,E$264,E$271,E$273,E$283,E$313,E$319)</f>
        <v>41.044000000000004</v>
      </c>
      <c r="F324" s="51">
        <f t="shared" si="181"/>
        <v>47.003</v>
      </c>
      <c r="G324" s="51">
        <f t="shared" si="181"/>
        <v>51.807999999999993</v>
      </c>
      <c r="H324" s="51">
        <f t="shared" si="181"/>
        <v>55.582000000000008</v>
      </c>
      <c r="I324" s="51">
        <f t="shared" si="181"/>
        <v>58.744000000000007</v>
      </c>
      <c r="J324" s="51">
        <f t="shared" si="181"/>
        <v>59.371000000000009</v>
      </c>
      <c r="K324" s="51">
        <f t="shared" si="181"/>
        <v>62.384</v>
      </c>
      <c r="L324" s="47">
        <f t="shared" ca="1" si="181"/>
        <v>63.736249999999991</v>
      </c>
      <c r="M324" s="47">
        <f t="shared" ca="1" si="181"/>
        <v>65.316000000000003</v>
      </c>
      <c r="N324" s="47">
        <f t="shared" ca="1" si="181"/>
        <v>67.230374999999995</v>
      </c>
      <c r="O324" s="47">
        <f t="shared" ca="1" si="181"/>
        <v>69.071124999999995</v>
      </c>
      <c r="P324" s="47">
        <f t="shared" ca="1" si="181"/>
        <v>70.856249999999989</v>
      </c>
      <c r="Q324" s="21">
        <f t="shared" ca="1" si="181"/>
        <v>73.986476232236527</v>
      </c>
      <c r="R324" s="21">
        <f t="shared" ca="1" si="181"/>
        <v>77.421799832552296</v>
      </c>
      <c r="S324" s="21">
        <f t="shared" ca="1" si="181"/>
        <v>80.650816544965238</v>
      </c>
      <c r="T324" s="21">
        <f t="shared" ca="1" si="181"/>
        <v>84.211712473245029</v>
      </c>
      <c r="U324" s="21">
        <f t="shared" ca="1" si="181"/>
        <v>88.01498625643346</v>
      </c>
      <c r="V324" s="21">
        <f t="shared" ca="1" si="181"/>
        <v>91.967970167733526</v>
      </c>
      <c r="W324" s="21">
        <f t="shared" ca="1" si="181"/>
        <v>96.078880624520451</v>
      </c>
      <c r="X324" s="21">
        <f t="shared" ca="1" si="181"/>
        <v>100.37969748565301</v>
      </c>
      <c r="Y324" s="21">
        <f t="shared" ca="1" si="181"/>
        <v>104.87124844295694</v>
      </c>
      <c r="Z324" s="21">
        <f t="shared" ca="1" si="181"/>
        <v>109.5941737574182</v>
      </c>
    </row>
    <row r="325" spans="1:26" x14ac:dyDescent="0.25">
      <c r="A325" s="57" t="s">
        <v>1322</v>
      </c>
    </row>
    <row r="326" spans="1:26" x14ac:dyDescent="0.25">
      <c r="A326" s="11" t="s">
        <v>1323</v>
      </c>
      <c r="B326" s="14" t="str">
        <f>$B$38</f>
        <v>From Fiscal Forecasts</v>
      </c>
      <c r="D326" s="51">
        <f>'Fiscal Forecasts'!D$211</f>
        <v>6.7160000000000002</v>
      </c>
      <c r="E326" s="51">
        <f>'Fiscal Forecasts'!E$211</f>
        <v>7.5140000000000002</v>
      </c>
      <c r="F326" s="51">
        <f>'Fiscal Forecasts'!F$211</f>
        <v>8.0459999999999994</v>
      </c>
      <c r="G326" s="51">
        <f>'Fiscal Forecasts'!G$211</f>
        <v>8.5389999999999997</v>
      </c>
      <c r="H326" s="51">
        <f>'Fiscal Forecasts'!H$211</f>
        <v>10.163</v>
      </c>
      <c r="I326" s="51">
        <f>'Fiscal Forecasts'!I$211</f>
        <v>10.747999999999999</v>
      </c>
      <c r="J326" s="51">
        <f>'Fiscal Forecasts'!J$211</f>
        <v>10.837999999999999</v>
      </c>
      <c r="K326" s="51">
        <f>'Fiscal Forecasts'!K$211</f>
        <v>10.319000000000001</v>
      </c>
      <c r="L326" s="47">
        <f>'Fiscal Forecasts'!L$211</f>
        <v>9.8490000000000002</v>
      </c>
      <c r="M326" s="47">
        <f>'Fiscal Forecasts'!M$211</f>
        <v>9.5570000000000004</v>
      </c>
      <c r="N326" s="47">
        <f>'Fiscal Forecasts'!N$211</f>
        <v>9.7430000000000003</v>
      </c>
      <c r="O326" s="47">
        <f>'Fiscal Forecasts'!O$211</f>
        <v>9.9640000000000004</v>
      </c>
      <c r="P326" s="47">
        <f>'Fiscal Forecasts'!P$211</f>
        <v>10.074999999999999</v>
      </c>
      <c r="Q326" s="21">
        <f ca="1">IF(Q$6=OFFSET(Assumptions!$B$8,0,$C$1),AVERAGE(N$326/SUM(N$253-N$252,N$276-N$275,N$280-N$279,,N$298-N$297,N$302-N$301,N$306-N$305,N$310-N$309,N$316-N$315),O$326/SUM(O$253-O$252,O$276-O$275,O$280-O$279,,O$298-O$297,O$302-O$301,O$306-O$305,O$310-O$309,O$316-O$315),P$326/SUM(P$253-P$252,P$276-P$275,P$280-P$279,,P$298-P$297,P$302-P$301,P$306-P$305,P$310-P$309,P$316-P$315)),P$326/SUM(P$253-P$252,P$276-P$275,P$280-P$279,,P$298-P$297,P$302-P$301,P$306-P$305,P$310-P$309,P$316-P$315))*SUM(Q$253-Q$252,Q$276-Q$275,Q$280-Q$279,,Q$298-Q$297,Q$302-Q$301,Q$306-Q$305,Q$310-Q$309,Q$316-Q$315)</f>
        <v>10.298126454289065</v>
      </c>
      <c r="R326" s="21">
        <f ca="1">IF(R$6=OFFSET(Assumptions!$B$8,0,$C$1),AVERAGE(O$326/SUM(O$253-O$252,O$276-O$275,O$280-O$279,,O$298-O$297,O$302-O$301,O$306-O$305,O$310-O$309,O$316-O$315),P$326/SUM(P$253-P$252,P$276-P$275,P$280-P$279,,P$298-P$297,P$302-P$301,P$306-P$305,P$310-P$309,P$316-P$315),Q$326/SUM(Q$253-Q$252,Q$276-Q$275,Q$280-Q$279,,Q$298-Q$297,Q$302-Q$301,Q$306-Q$305,Q$310-Q$309,Q$316-Q$315)),Q$326/SUM(Q$253-Q$252,Q$276-Q$275,Q$280-Q$279,,Q$298-Q$297,Q$302-Q$301,Q$306-Q$305,Q$310-Q$309,Q$316-Q$315))*SUM(R$253-R$252,R$276-R$275,R$280-R$279,,R$298-R$297,R$302-R$301,R$306-R$305,R$310-R$309,R$316-R$315)</f>
        <v>10.507582120123434</v>
      </c>
      <c r="S326" s="21">
        <f ca="1">IF(S$6=OFFSET(Assumptions!$B$8,0,$C$1),AVERAGE(P$326/SUM(P$253-P$252,P$276-P$275,P$280-P$279,,P$298-P$297,P$302-P$301,P$306-P$305,P$310-P$309,P$316-P$315),Q$326/SUM(Q$253-Q$252,Q$276-Q$275,Q$280-Q$279,,Q$298-Q$297,Q$302-Q$301,Q$306-Q$305,Q$310-Q$309,Q$316-Q$315),R$326/SUM(R$253-R$252,R$276-R$275,R$280-R$279,,R$298-R$297,R$302-R$301,R$306-R$305,R$310-R$309,R$316-R$315)),R$326/SUM(R$253-R$252,R$276-R$275,R$280-R$279,,R$298-R$297,R$302-R$301,R$306-R$305,R$310-R$309,R$316-R$315))*SUM(S$253-S$252,S$276-S$275,S$280-S$279,,S$298-S$297,S$302-S$301,S$306-S$305,S$310-S$309,S$316-S$315)</f>
        <v>10.721239487488216</v>
      </c>
      <c r="T326" s="21">
        <f ca="1">IF(T$6=OFFSET(Assumptions!$B$8,0,$C$1),AVERAGE(Q$326/SUM(Q$253-Q$252,Q$276-Q$275,Q$280-Q$279,,Q$298-Q$297,Q$302-Q$301,Q$306-Q$305,Q$310-Q$309,Q$316-Q$315),R$326/SUM(R$253-R$252,R$276-R$275,R$280-R$279,,R$298-R$297,R$302-R$301,R$306-R$305,R$310-R$309,R$316-R$315),S$326/SUM(S$253-S$252,S$276-S$275,S$280-S$279,,S$298-S$297,S$302-S$301,S$306-S$305,S$310-S$309,S$316-S$315)),S$326/SUM(S$253-S$252,S$276-S$275,S$280-S$279,,S$298-S$297,S$302-S$301,S$306-S$305,S$310-S$309,S$316-S$315))*SUM(T$253-T$252,T$276-T$275,T$280-T$279,,T$298-T$297,T$302-T$301,T$306-T$305,T$310-T$309,T$316-T$315)</f>
        <v>10.939145566256006</v>
      </c>
      <c r="U326" s="21">
        <f ca="1">IF(U$6=OFFSET(Assumptions!$B$8,0,$C$1),AVERAGE(R$326/SUM(R$253-R$252,R$276-R$275,R$280-R$279,,R$298-R$297,R$302-R$301,R$306-R$305,R$310-R$309,R$316-R$315),S$326/SUM(S$253-S$252,S$276-S$275,S$280-S$279,,S$298-S$297,S$302-S$301,S$306-S$305,S$310-S$309,S$316-S$315),T$326/SUM(T$253-T$252,T$276-T$275,T$280-T$279,,T$298-T$297,T$302-T$301,T$306-T$305,T$310-T$309,T$316-T$315)),T$326/SUM(T$253-T$252,T$276-T$275,T$280-T$279,,T$298-T$297,T$302-T$301,T$306-T$305,T$310-T$309,T$316-T$315))*SUM(U$253-U$252,U$276-U$275,U$280-U$279,,U$298-U$297,U$302-U$301,U$306-U$305,U$310-U$309,U$316-U$315)</f>
        <v>11.161497143612065</v>
      </c>
      <c r="V326" s="21">
        <f ca="1">IF(V$6=OFFSET(Assumptions!$B$8,0,$C$1),AVERAGE(S$326/SUM(S$253-S$252,S$276-S$275,S$280-S$279,,S$298-S$297,S$302-S$301,S$306-S$305,S$310-S$309,S$316-S$315),T$326/SUM(T$253-T$252,T$276-T$275,T$280-T$279,,T$298-T$297,T$302-T$301,T$306-T$305,T$310-T$309,T$316-T$315),U$326/SUM(U$253-U$252,U$276-U$275,U$280-U$279,,U$298-U$297,U$302-U$301,U$306-U$305,U$310-U$309,U$316-U$315)),U$326/SUM(U$253-U$252,U$276-U$275,U$280-U$279,,U$298-U$297,U$302-U$301,U$306-U$305,U$310-U$309,U$316-U$315))*SUM(V$253-V$252,V$276-V$275,V$280-V$279,,V$298-V$297,V$302-V$301,V$306-V$305,V$310-V$309,V$316-V$315)</f>
        <v>11.388307600245813</v>
      </c>
      <c r="W326" s="21">
        <f ca="1">IF(W$6=OFFSET(Assumptions!$B$8,0,$C$1),AVERAGE(T$326/SUM(T$253-T$252,T$276-T$275,T$280-T$279,,T$298-T$297,T$302-T$301,T$306-T$305,T$310-T$309,T$316-T$315),U$326/SUM(U$253-U$252,U$276-U$275,U$280-U$279,,U$298-U$297,U$302-U$301,U$306-U$305,U$310-U$309,U$316-U$315),V$326/SUM(V$253-V$252,V$276-V$275,V$280-V$279,,V$298-V$297,V$302-V$301,V$306-V$305,V$310-V$309,V$316-V$315)),V$326/SUM(V$253-V$252,V$276-V$275,V$280-V$279,,V$298-V$297,V$302-V$301,V$306-V$305,V$310-V$309,V$316-V$315))*SUM(W$253-W$252,W$276-W$275,W$280-W$279,,W$298-W$297,W$302-W$301,W$306-W$305,W$310-W$309,W$316-W$315)</f>
        <v>11.619629089584786</v>
      </c>
      <c r="X326" s="21">
        <f ca="1">IF(X$6=OFFSET(Assumptions!$B$8,0,$C$1),AVERAGE(U$326/SUM(U$253-U$252,U$276-U$275,U$280-U$279,,U$298-U$297,U$302-U$301,U$306-U$305,U$310-U$309,U$316-U$315),V$326/SUM(V$253-V$252,V$276-V$275,V$280-V$279,,V$298-V$297,V$302-V$301,V$306-V$305,V$310-V$309,V$316-V$315),W$326/SUM(W$253-W$252,W$276-W$275,W$280-W$279,,W$298-W$297,W$302-W$301,W$306-W$305,W$310-W$309,W$316-W$315)),W$326/SUM(W$253-W$252,W$276-W$275,W$280-W$279,,W$298-W$297,W$302-W$301,W$306-W$305,W$310-W$309,W$316-W$315))*SUM(X$253-X$252,X$276-X$275,X$280-X$279,,X$298-X$297,X$302-X$301,X$306-X$305,X$310-X$309,X$316-X$315)</f>
        <v>11.855589596924263</v>
      </c>
      <c r="Y326" s="21">
        <f ca="1">IF(Y$6=OFFSET(Assumptions!$B$8,0,$C$1),AVERAGE(V$326/SUM(V$253-V$252,V$276-V$275,V$280-V$279,,V$298-V$297,V$302-V$301,V$306-V$305,V$310-V$309,V$316-V$315),W$326/SUM(W$253-W$252,W$276-W$275,W$280-W$279,,W$298-W$297,W$302-W$301,W$306-W$305,W$310-W$309,W$316-W$315),X$326/SUM(X$253-X$252,X$276-X$275,X$280-X$279,,X$298-X$297,X$302-X$301,X$306-X$305,X$310-X$309,X$316-X$315)),X$326/SUM(X$253-X$252,X$276-X$275,X$280-X$279,,X$298-X$297,X$302-X$301,X$306-X$305,X$310-X$309,X$316-X$315))*SUM(Y$253-Y$252,Y$276-Y$275,Y$280-Y$279,,Y$298-Y$297,Y$302-Y$301,Y$306-Y$305,Y$310-Y$309,Y$316-Y$315)</f>
        <v>12.096355950940296</v>
      </c>
      <c r="Z326" s="21">
        <f ca="1">IF(Z$6=OFFSET(Assumptions!$B$8,0,$C$1),AVERAGE(W$326/SUM(W$253-W$252,W$276-W$275,W$280-W$279,,W$298-W$297,W$302-W$301,W$306-W$305,W$310-W$309,W$316-W$315),X$326/SUM(X$253-X$252,X$276-X$275,X$280-X$279,,X$298-X$297,X$302-X$301,X$306-X$305,X$310-X$309,X$316-X$315),Y$326/SUM(Y$253-Y$252,Y$276-Y$275,Y$280-Y$279,,Y$298-Y$297,Y$302-Y$301,Y$306-Y$305,Y$310-Y$309,Y$316-Y$315)),Y$326/SUM(Y$253-Y$252,Y$276-Y$275,Y$280-Y$279,,Y$298-Y$297,Y$302-Y$301,Y$306-Y$305,Y$310-Y$309,Y$316-Y$315))*SUM(Z$253-Z$252,Z$276-Z$275,Z$280-Z$279,,Z$298-Z$297,Z$302-Z$301,Z$306-Z$305,Z$310-Z$309,Z$316-Z$315)</f>
        <v>12.341948739284055</v>
      </c>
    </row>
    <row r="327" spans="1:26" x14ac:dyDescent="0.25">
      <c r="A327" s="11" t="s">
        <v>1324</v>
      </c>
      <c r="B327" s="14" t="str">
        <f>$B$38</f>
        <v>From Fiscal Forecasts</v>
      </c>
      <c r="D327" s="51">
        <f>'Fiscal Forecasts'!D$212</f>
        <v>8.64</v>
      </c>
      <c r="E327" s="51">
        <f>'Fiscal Forecasts'!E$212</f>
        <v>8.3070000000000004</v>
      </c>
      <c r="F327" s="51">
        <f>'Fiscal Forecasts'!F$212</f>
        <v>10.321999999999999</v>
      </c>
      <c r="G327" s="51">
        <f>'Fiscal Forecasts'!G$212</f>
        <v>9.5259999999999998</v>
      </c>
      <c r="H327" s="51">
        <f>'Fiscal Forecasts'!H$212</f>
        <v>8.5609999999999999</v>
      </c>
      <c r="I327" s="51">
        <f>'Fiscal Forecasts'!I$212</f>
        <v>12.183</v>
      </c>
      <c r="J327" s="51">
        <f>'Fiscal Forecasts'!J$212</f>
        <v>12.195</v>
      </c>
      <c r="K327" s="51">
        <f>'Fiscal Forecasts'!K$212</f>
        <v>9.9339999999999993</v>
      </c>
      <c r="L327" s="47">
        <f>'Fiscal Forecasts'!L$212</f>
        <v>11.852</v>
      </c>
      <c r="M327" s="47">
        <f>'Fiscal Forecasts'!M$212</f>
        <v>11.510999999999999</v>
      </c>
      <c r="N327" s="47">
        <f>'Fiscal Forecasts'!N$212</f>
        <v>11.73</v>
      </c>
      <c r="O327" s="47">
        <f>'Fiscal Forecasts'!O$212</f>
        <v>12.061999999999999</v>
      </c>
      <c r="P327" s="47">
        <f>'Fiscal Forecasts'!P$212</f>
        <v>12.221</v>
      </c>
      <c r="Q327" s="21">
        <f ca="1">IF(Q$6=OFFSET(Assumptions!$B$8,0,$C$1),AVERAGE(N$327/(N$294-N$293),O$327/(O$294-O$293),P$327/(P$294-P$293)),P$327/(P$294-P$293))*(Q$294-Q$293)</f>
        <v>12.644217615000318</v>
      </c>
      <c r="R327" s="21">
        <f ca="1">IF(R$6=OFFSET(Assumptions!$B$8,0,$C$1),AVERAGE(O$327/(O$294-O$293),P$327/(P$294-P$293),Q$327/(Q$294-Q$293)),Q$327/(Q$294-Q$293))*(R$294-R$293)</f>
        <v>13.055465580962951</v>
      </c>
      <c r="S327" s="21">
        <f ca="1">IF(S$6=OFFSET(Assumptions!$B$8,0,$C$1),AVERAGE(P$327/(P$294-P$293),Q$327/(Q$294-Q$293),R$327/(R$294-R$293)),R$327/(R$294-R$293))*(S$294-S$293)</f>
        <v>13.475650796977883</v>
      </c>
      <c r="T327" s="21">
        <f ca="1">IF(T$6=OFFSET(Assumptions!$B$8,0,$C$1),AVERAGE(Q$327/(Q$294-Q$293),R$327/(R$294-R$293),S$327/(S$294-S$293)),S$327/(S$294-S$293))*(T$294-T$293)</f>
        <v>13.900800591204453</v>
      </c>
      <c r="U327" s="21">
        <f ca="1">IF(U$6=OFFSET(Assumptions!$B$8,0,$C$1),AVERAGE(R$327/(R$294-R$293),S$327/(S$294-S$293),T$327/(T$294-T$293)),T$327/(T$294-T$293))*(U$294-U$293)</f>
        <v>14.338180631128463</v>
      </c>
      <c r="V327" s="21">
        <f ca="1">IF(V$6=OFFSET(Assumptions!$B$8,0,$C$1),AVERAGE(S$327/(S$294-S$293),T$327/(T$294-T$293),U$327/(U$294-U$293)),U$327/(U$294-U$293))*(V$294-V$293)</f>
        <v>14.784063051403749</v>
      </c>
      <c r="W327" s="21">
        <f ca="1">IF(W$6=OFFSET(Assumptions!$B$8,0,$C$1),AVERAGE(T$327/(T$294-T$293),U$327/(U$294-U$293),V$327/(V$294-V$293)),V$327/(V$294-V$293))*(W$294-W$293)</f>
        <v>15.227218882747932</v>
      </c>
      <c r="X327" s="21">
        <f ca="1">IF(X$6=OFFSET(Assumptions!$B$8,0,$C$1),AVERAGE(U$327/(U$294-U$293),V$327/(V$294-V$293),W$327/(W$294-W$293)),W$327/(W$294-W$293))*(X$294-X$293)</f>
        <v>15.67970302713403</v>
      </c>
      <c r="Y327" s="21">
        <f ca="1">IF(Y$6=OFFSET(Assumptions!$B$8,0,$C$1),AVERAGE(V$327/(V$294-V$293),W$327/(W$294-W$293),X$327/(X$294-X$293)),X$327/(X$294-X$293))*(Y$294-Y$293)</f>
        <v>16.145906086843979</v>
      </c>
      <c r="Z327" s="21">
        <f ca="1">IF(Z$6=OFFSET(Assumptions!$B$8,0,$C$1),AVERAGE(W$327/(W$294-W$293),X$327/(X$294-X$293),Y$327/(Y$294-Y$293)),Y$327/(Y$294-Y$293))*(Z$294-Z$293)</f>
        <v>16.622320734555238</v>
      </c>
    </row>
    <row r="328" spans="1:26" x14ac:dyDescent="0.25">
      <c r="A328" s="11" t="s">
        <v>1325</v>
      </c>
      <c r="B328" s="14" t="str">
        <f>$B$38</f>
        <v>From Fiscal Forecasts</v>
      </c>
      <c r="D328" s="51">
        <f>'Fiscal Forecasts'!D$213</f>
        <v>-3.629</v>
      </c>
      <c r="E328" s="51">
        <f>'Fiscal Forecasts'!E$213</f>
        <v>-3.7549999999999999</v>
      </c>
      <c r="F328" s="51">
        <f>'Fiscal Forecasts'!F$213</f>
        <v>-4.7350000000000003</v>
      </c>
      <c r="G328" s="51">
        <f>'Fiscal Forecasts'!G$213</f>
        <v>-4.2939999999999996</v>
      </c>
      <c r="H328" s="51">
        <f>'Fiscal Forecasts'!H$213</f>
        <v>-4.1829999999999998</v>
      </c>
      <c r="I328" s="51">
        <f>'Fiscal Forecasts'!I$213</f>
        <v>-4.7560000000000002</v>
      </c>
      <c r="J328" s="51">
        <f>'Fiscal Forecasts'!J$213</f>
        <v>-4.1790000000000003</v>
      </c>
      <c r="K328" s="51">
        <f>'Fiscal Forecasts'!K$213</f>
        <v>-4.7279999999999998</v>
      </c>
      <c r="L328" s="47">
        <f>'Fiscal Forecasts'!L$213</f>
        <v>-4.1150000000000002</v>
      </c>
      <c r="M328" s="47">
        <f>'Fiscal Forecasts'!M$213</f>
        <v>-4.0739999999999998</v>
      </c>
      <c r="N328" s="47">
        <f>'Fiscal Forecasts'!N$213</f>
        <v>-4.0599999999999996</v>
      </c>
      <c r="O328" s="47">
        <f>'Fiscal Forecasts'!O$213</f>
        <v>-4.2610000000000001</v>
      </c>
      <c r="P328" s="47">
        <f>'Fiscal Forecasts'!P$213</f>
        <v>-4.2300000000000004</v>
      </c>
      <c r="Q328" s="21">
        <f t="shared" ref="Q328:Z328" ca="1" si="182">SUM(Q$253-Q$252,Q$276-Q$275,Q$280-Q$279,Q$294-Q$293,Q$298-Q$297,Q$302-Q$301,Q$306-Q$305,Q$310-Q$309,Q$316-Q$315,-Q$326,-Q$327)</f>
        <v>-4.3429394168411406</v>
      </c>
      <c r="R328" s="21">
        <f t="shared" ca="1" si="182"/>
        <v>-4.4338146233657145</v>
      </c>
      <c r="S328" s="21">
        <f t="shared" ca="1" si="182"/>
        <v>-4.5265241452863219</v>
      </c>
      <c r="T328" s="21">
        <f t="shared" ca="1" si="182"/>
        <v>-4.6210212785934868</v>
      </c>
      <c r="U328" s="21">
        <f t="shared" ca="1" si="182"/>
        <v>-4.7175049575724817</v>
      </c>
      <c r="V328" s="21">
        <f t="shared" ca="1" si="182"/>
        <v>-4.8159190186311989</v>
      </c>
      <c r="W328" s="21">
        <f t="shared" ca="1" si="182"/>
        <v>-4.916099044031121</v>
      </c>
      <c r="X328" s="21">
        <f t="shared" ca="1" si="182"/>
        <v>-5.0182954024551911</v>
      </c>
      <c r="Y328" s="21">
        <f t="shared" ca="1" si="182"/>
        <v>-5.1226475429515048</v>
      </c>
      <c r="Z328" s="21">
        <f t="shared" ca="1" si="182"/>
        <v>-5.229105835579519</v>
      </c>
    </row>
    <row r="330" spans="1:26" x14ac:dyDescent="0.25">
      <c r="A330" s="11" t="s">
        <v>1326</v>
      </c>
    </row>
    <row r="331" spans="1:26" x14ac:dyDescent="0.25">
      <c r="A331" s="12" t="s">
        <v>1327</v>
      </c>
      <c r="D331" s="50">
        <f t="shared" ref="D331:Z331" si="183">D$378</f>
        <v>1.9550000000000001</v>
      </c>
      <c r="E331" s="50">
        <f t="shared" si="183"/>
        <v>1.7000000000000001E-2</v>
      </c>
      <c r="F331" s="50">
        <f t="shared" si="183"/>
        <v>12.786</v>
      </c>
      <c r="G331" s="50">
        <f t="shared" si="183"/>
        <v>-5.133</v>
      </c>
      <c r="H331" s="50">
        <f t="shared" si="183"/>
        <v>5.766</v>
      </c>
      <c r="I331" s="50">
        <f t="shared" si="183"/>
        <v>8.3520000000000003</v>
      </c>
      <c r="J331" s="50">
        <f t="shared" si="183"/>
        <v>7.3129999999999997</v>
      </c>
      <c r="K331" s="50">
        <f t="shared" si="183"/>
        <v>10.266999999999999</v>
      </c>
      <c r="L331" s="48">
        <f t="shared" si="183"/>
        <v>5.2359999999999998</v>
      </c>
      <c r="M331" s="48">
        <f t="shared" si="183"/>
        <v>5.6260000000000003</v>
      </c>
      <c r="N331" s="48">
        <f t="shared" si="183"/>
        <v>6.0119999999999996</v>
      </c>
      <c r="O331" s="48">
        <f t="shared" si="183"/>
        <v>6.4580000000000002</v>
      </c>
      <c r="P331" s="48">
        <f t="shared" si="183"/>
        <v>6.9329999999999998</v>
      </c>
      <c r="Q331" s="20">
        <f t="shared" si="183"/>
        <v>7.2834499423829602</v>
      </c>
      <c r="R331" s="20">
        <f t="shared" si="183"/>
        <v>7.7304079092414062</v>
      </c>
      <c r="S331" s="20">
        <f t="shared" si="183"/>
        <v>8.1958958346018864</v>
      </c>
      <c r="T331" s="20">
        <f t="shared" si="183"/>
        <v>8.6807329460484794</v>
      </c>
      <c r="U331" s="20">
        <f t="shared" si="183"/>
        <v>9.1849444724228615</v>
      </c>
      <c r="V331" s="20">
        <f t="shared" si="183"/>
        <v>9.7089610235655766</v>
      </c>
      <c r="W331" s="20">
        <f t="shared" si="183"/>
        <v>10.256939818437033</v>
      </c>
      <c r="X331" s="20">
        <f t="shared" si="183"/>
        <v>10.834267609788034</v>
      </c>
      <c r="Y331" s="20">
        <f t="shared" si="183"/>
        <v>11.447369923344665</v>
      </c>
      <c r="Z331" s="20">
        <f t="shared" si="183"/>
        <v>12.103381608564206</v>
      </c>
    </row>
    <row r="332" spans="1:26" x14ac:dyDescent="0.25">
      <c r="A332" s="12" t="s">
        <v>1328</v>
      </c>
      <c r="B332" s="14" t="str">
        <f>$B$38</f>
        <v>From Fiscal Forecasts</v>
      </c>
      <c r="D332" s="50">
        <f>SUM('Fiscal Forecasts'!D$301,'Fiscal Forecasts'!D$307)-D$331</f>
        <v>1.2330000000000001</v>
      </c>
      <c r="E332" s="50">
        <f>SUM('Fiscal Forecasts'!E$301,'Fiscal Forecasts'!E$307)-E$331</f>
        <v>-3.9489999999999994</v>
      </c>
      <c r="F332" s="50">
        <f>SUM('Fiscal Forecasts'!F$301,'Fiscal Forecasts'!F$307)-F$331</f>
        <v>-5.2540000000000004</v>
      </c>
      <c r="G332" s="50">
        <f>SUM('Fiscal Forecasts'!G$301,'Fiscal Forecasts'!G$307)-G$331</f>
        <v>-6.0860000000000012</v>
      </c>
      <c r="H332" s="50">
        <f>SUM('Fiscal Forecasts'!H$301,'Fiscal Forecasts'!H$307)-H$331</f>
        <v>6.798</v>
      </c>
      <c r="I332" s="50">
        <f>SUM('Fiscal Forecasts'!I$301,'Fiscal Forecasts'!I$307)-I$331</f>
        <v>-0.45800000000000018</v>
      </c>
      <c r="J332" s="50">
        <f>SUM('Fiscal Forecasts'!J$301,'Fiscal Forecasts'!J$307)-J$331</f>
        <v>0.43100000000000094</v>
      </c>
      <c r="K332" s="50">
        <f>SUM('Fiscal Forecasts'!K$301,'Fiscal Forecasts'!K$307)-K$331</f>
        <v>1.7420000000000009</v>
      </c>
      <c r="L332" s="48">
        <f>SUM('Fiscal Forecasts'!L$301,'Fiscal Forecasts'!L$307)-L$331</f>
        <v>-6.2999999999999723E-2</v>
      </c>
      <c r="M332" s="48">
        <f>SUM('Fiscal Forecasts'!M$301,'Fiscal Forecasts'!M$307)-M$331</f>
        <v>-9.7000000000000419E-2</v>
      </c>
      <c r="N332" s="48">
        <f>SUM('Fiscal Forecasts'!N$301,'Fiscal Forecasts'!N$307)-N$331</f>
        <v>-0.12600000000000033</v>
      </c>
      <c r="O332" s="48">
        <f>SUM('Fiscal Forecasts'!O$301,'Fiscal Forecasts'!O$307)-O$331</f>
        <v>-0.13100000000000023</v>
      </c>
      <c r="P332" s="48">
        <f>SUM('Fiscal Forecasts'!P$301,'Fiscal Forecasts'!P$307)-P$331</f>
        <v>-0.13400000000000034</v>
      </c>
      <c r="Q332" s="20">
        <f t="shared" ref="Q332:Z332" ca="1" si="184">P$332*(1+Q$29)</f>
        <v>-0.13668000000000036</v>
      </c>
      <c r="R332" s="20">
        <f t="shared" ca="1" si="184"/>
        <v>-0.13941360000000036</v>
      </c>
      <c r="S332" s="20">
        <f t="shared" ca="1" si="184"/>
        <v>-0.14220187200000037</v>
      </c>
      <c r="T332" s="20">
        <f t="shared" ca="1" si="184"/>
        <v>-0.14504590944000037</v>
      </c>
      <c r="U332" s="20">
        <f t="shared" ca="1" si="184"/>
        <v>-0.14794682762880038</v>
      </c>
      <c r="V332" s="20">
        <f t="shared" ca="1" si="184"/>
        <v>-0.15090576418137638</v>
      </c>
      <c r="W332" s="20">
        <f t="shared" ca="1" si="184"/>
        <v>-0.15392387946500391</v>
      </c>
      <c r="X332" s="20">
        <f t="shared" ca="1" si="184"/>
        <v>-0.15700235705430399</v>
      </c>
      <c r="Y332" s="20">
        <f t="shared" ca="1" si="184"/>
        <v>-0.16014240419539008</v>
      </c>
      <c r="Z332" s="20">
        <f t="shared" ca="1" si="184"/>
        <v>-0.16334525227929789</v>
      </c>
    </row>
    <row r="333" spans="1:26" x14ac:dyDescent="0.25">
      <c r="A333" s="11" t="s">
        <v>1329</v>
      </c>
      <c r="D333" s="94">
        <f t="shared" ref="D333:P333" si="185">SUM(D$331:D$332)</f>
        <v>3.1880000000000002</v>
      </c>
      <c r="E333" s="94">
        <f t="shared" si="185"/>
        <v>-3.9319999999999995</v>
      </c>
      <c r="F333" s="94">
        <f t="shared" si="185"/>
        <v>7.5319999999999991</v>
      </c>
      <c r="G333" s="94">
        <f t="shared" si="185"/>
        <v>-11.219000000000001</v>
      </c>
      <c r="H333" s="94">
        <f t="shared" si="185"/>
        <v>12.564</v>
      </c>
      <c r="I333" s="94">
        <f t="shared" si="185"/>
        <v>7.8940000000000001</v>
      </c>
      <c r="J333" s="94">
        <f t="shared" si="185"/>
        <v>7.7440000000000007</v>
      </c>
      <c r="K333" s="94">
        <f t="shared" si="185"/>
        <v>12.009</v>
      </c>
      <c r="L333" s="95">
        <f t="shared" si="185"/>
        <v>5.173</v>
      </c>
      <c r="M333" s="95">
        <f t="shared" si="185"/>
        <v>5.5289999999999999</v>
      </c>
      <c r="N333" s="95">
        <f t="shared" si="185"/>
        <v>5.8859999999999992</v>
      </c>
      <c r="O333" s="95">
        <f t="shared" si="185"/>
        <v>6.327</v>
      </c>
      <c r="P333" s="95">
        <f t="shared" si="185"/>
        <v>6.7989999999999995</v>
      </c>
      <c r="Q333" s="96">
        <f t="shared" ref="Q333:Z333" ca="1" si="186">SUM(Q$331:Q$332)</f>
        <v>7.14676994238296</v>
      </c>
      <c r="R333" s="96">
        <f t="shared" ca="1" si="186"/>
        <v>7.5909943092414061</v>
      </c>
      <c r="S333" s="96">
        <f t="shared" ca="1" si="186"/>
        <v>8.0536939626018853</v>
      </c>
      <c r="T333" s="96">
        <f t="shared" ca="1" si="186"/>
        <v>8.5356870366084792</v>
      </c>
      <c r="U333" s="96">
        <f t="shared" ca="1" si="186"/>
        <v>9.0369976447940612</v>
      </c>
      <c r="V333" s="96">
        <f t="shared" ca="1" si="186"/>
        <v>9.5580552593842008</v>
      </c>
      <c r="W333" s="96">
        <f t="shared" ca="1" si="186"/>
        <v>10.103015938972028</v>
      </c>
      <c r="X333" s="96">
        <f t="shared" ca="1" si="186"/>
        <v>10.677265252733729</v>
      </c>
      <c r="Y333" s="96">
        <f t="shared" ca="1" si="186"/>
        <v>11.287227519149274</v>
      </c>
      <c r="Z333" s="96">
        <f t="shared" ca="1" si="186"/>
        <v>11.940036356284908</v>
      </c>
    </row>
    <row r="334" spans="1:26" x14ac:dyDescent="0.25">
      <c r="A334" s="12" t="s">
        <v>1020</v>
      </c>
      <c r="B334" s="14" t="str">
        <f>$B$38</f>
        <v>From Fiscal Forecasts</v>
      </c>
      <c r="D334" s="50">
        <f>SUM('Fiscal Forecasts'!D$302,'Fiscal Forecasts'!D$308)</f>
        <v>-7.8920000000000003</v>
      </c>
      <c r="E334" s="50">
        <f>SUM('Fiscal Forecasts'!E$302,'Fiscal Forecasts'!E$308)</f>
        <v>-4.32</v>
      </c>
      <c r="F334" s="50">
        <f>SUM('Fiscal Forecasts'!F$302,'Fiscal Forecasts'!F$308)</f>
        <v>12.293999999999999</v>
      </c>
      <c r="G334" s="50">
        <f>SUM('Fiscal Forecasts'!G$302,'Fiscal Forecasts'!G$308)</f>
        <v>1.3290000000000006</v>
      </c>
      <c r="H334" s="50">
        <f>SUM('Fiscal Forecasts'!H$302,'Fiscal Forecasts'!H$308)</f>
        <v>3</v>
      </c>
      <c r="I334" s="50">
        <f>SUM('Fiscal Forecasts'!I$302,'Fiscal Forecasts'!I$308)</f>
        <v>-3.415</v>
      </c>
      <c r="J334" s="50">
        <f>SUM('Fiscal Forecasts'!J$302,'Fiscal Forecasts'!J$308)</f>
        <v>2.9449999999999998</v>
      </c>
      <c r="K334" s="50">
        <f>SUM('Fiscal Forecasts'!K$302,'Fiscal Forecasts'!K$308)</f>
        <v>1.198</v>
      </c>
      <c r="L334" s="48">
        <f>SUM('Fiscal Forecasts'!L$302,'Fiscal Forecasts'!L$308)</f>
        <v>0.38500000000000001</v>
      </c>
      <c r="M334" s="48">
        <f>SUM('Fiscal Forecasts'!M$302,'Fiscal Forecasts'!M$308)</f>
        <v>0.70499999999999996</v>
      </c>
      <c r="N334" s="48">
        <f>SUM('Fiscal Forecasts'!N$302,'Fiscal Forecasts'!N$308)</f>
        <v>0.80200000000000005</v>
      </c>
      <c r="O334" s="48">
        <f>SUM('Fiscal Forecasts'!O$302,'Fiscal Forecasts'!O$308)</f>
        <v>0.90300000000000002</v>
      </c>
      <c r="P334" s="48">
        <f>SUM('Fiscal Forecasts'!P$302,'Fiscal Forecasts'!P$308)</f>
        <v>0.99999999999999989</v>
      </c>
      <c r="Q334" s="20">
        <f>P$334*Exogenous!AB$29/Exogenous!AA$29</f>
        <v>1.0363267389769488</v>
      </c>
      <c r="R334" s="20">
        <f>Q$334*Exogenous!AC$29/Exogenous!AB$29</f>
        <v>1.0802950857122942</v>
      </c>
      <c r="S334" s="20">
        <f>R$334*Exogenous!AD$29/Exogenous!AC$29</f>
        <v>1.1330471897300756</v>
      </c>
      <c r="T334" s="20">
        <f>S$334*Exogenous!AE$29/Exogenous!AD$29</f>
        <v>1.1969652329408531</v>
      </c>
      <c r="U334" s="20">
        <f>T$334*Exogenous!AF$29/Exogenous!AE$29</f>
        <v>1.2715589598048667</v>
      </c>
      <c r="V334" s="20">
        <f>U$334*Exogenous!AG$29/Exogenous!AF$29</f>
        <v>1.3495622108889265</v>
      </c>
      <c r="W334" s="20">
        <f>V$334*Exogenous!AH$29/Exogenous!AG$29</f>
        <v>1.4301190120455329</v>
      </c>
      <c r="X334" s="20">
        <f>W$334*Exogenous!AI$29/Exogenous!AH$29</f>
        <v>1.5127368065797728</v>
      </c>
      <c r="Y334" s="20">
        <f>X$334*Exogenous!AJ$29/Exogenous!AI$29</f>
        <v>1.598162204448075</v>
      </c>
      <c r="Z334" s="20">
        <f>Y$334*Exogenous!AK$29/Exogenous!AJ$29</f>
        <v>1.6858232592274347</v>
      </c>
    </row>
    <row r="335" spans="1:26" x14ac:dyDescent="0.25">
      <c r="A335" s="12" t="s">
        <v>1227</v>
      </c>
      <c r="B335" s="14" t="str">
        <f>$B$38</f>
        <v>From Fiscal Forecasts</v>
      </c>
      <c r="D335" s="50">
        <f>SUM('Fiscal Forecasts'!D$303,'Fiscal Forecasts'!D$309)</f>
        <v>0.254</v>
      </c>
      <c r="E335" s="50">
        <f>SUM('Fiscal Forecasts'!E$303,'Fiscal Forecasts'!E$309)</f>
        <v>-6.9000000000000006E-2</v>
      </c>
      <c r="F335" s="50">
        <f>SUM('Fiscal Forecasts'!F$303,'Fiscal Forecasts'!F$309)</f>
        <v>0.23199999999999998</v>
      </c>
      <c r="G335" s="50">
        <f>SUM('Fiscal Forecasts'!G$303,'Fiscal Forecasts'!G$309)</f>
        <v>0.85899999999999999</v>
      </c>
      <c r="H335" s="50">
        <f>SUM('Fiscal Forecasts'!H$303,'Fiscal Forecasts'!H$309)</f>
        <v>-0.13799999999999998</v>
      </c>
      <c r="I335" s="50">
        <f>SUM('Fiscal Forecasts'!I$303,'Fiscal Forecasts'!I$309)</f>
        <v>0.46499999999999997</v>
      </c>
      <c r="J335" s="50">
        <f>SUM('Fiscal Forecasts'!J$303,'Fiscal Forecasts'!J$309)</f>
        <v>-1.071</v>
      </c>
      <c r="K335" s="50">
        <f>SUM('Fiscal Forecasts'!K$303,'Fiscal Forecasts'!K$309)</f>
        <v>-0.81699999999999995</v>
      </c>
      <c r="L335" s="48">
        <f>SUM('Fiscal Forecasts'!L$303,'Fiscal Forecasts'!L$309)</f>
        <v>0.12</v>
      </c>
      <c r="M335" s="48">
        <f>SUM('Fiscal Forecasts'!M$303,'Fiscal Forecasts'!M$309)</f>
        <v>5.7000000000000002E-2</v>
      </c>
      <c r="N335" s="48">
        <f>SUM('Fiscal Forecasts'!N$303,'Fiscal Forecasts'!N$309)</f>
        <v>0.109</v>
      </c>
      <c r="O335" s="48">
        <f>SUM('Fiscal Forecasts'!O$303,'Fiscal Forecasts'!O$309)</f>
        <v>0.106</v>
      </c>
      <c r="P335" s="48">
        <f>SUM('Fiscal Forecasts'!P$303,'Fiscal Forecasts'!P$309)</f>
        <v>0.111</v>
      </c>
      <c r="Q335" s="20">
        <f t="shared" ref="Q335:Z335" ca="1" si="187">P$335*(1+Q$14)</f>
        <v>0.11583192871289606</v>
      </c>
      <c r="R335" s="20">
        <f t="shared" ca="1" si="187"/>
        <v>0.12076233014105901</v>
      </c>
      <c r="S335" s="20">
        <f t="shared" ca="1" si="187"/>
        <v>0.12582335163874564</v>
      </c>
      <c r="T335" s="20">
        <f t="shared" ca="1" si="187"/>
        <v>0.13100315541068408</v>
      </c>
      <c r="U335" s="20">
        <f t="shared" ca="1" si="187"/>
        <v>0.13636358276280239</v>
      </c>
      <c r="V335" s="20">
        <f t="shared" ca="1" si="187"/>
        <v>0.14190654006705766</v>
      </c>
      <c r="W335" s="20">
        <f t="shared" ca="1" si="187"/>
        <v>0.14760406319549119</v>
      </c>
      <c r="X335" s="20">
        <f t="shared" ca="1" si="187"/>
        <v>0.15346565137505819</v>
      </c>
      <c r="Y335" s="20">
        <f t="shared" ca="1" si="187"/>
        <v>0.15952195703503902</v>
      </c>
      <c r="Z335" s="20">
        <f t="shared" ca="1" si="187"/>
        <v>0.16577454218694485</v>
      </c>
    </row>
    <row r="336" spans="1:26" x14ac:dyDescent="0.25">
      <c r="A336" s="12" t="s">
        <v>1228</v>
      </c>
      <c r="B336" s="14" t="str">
        <f>$B$38</f>
        <v>From Fiscal Forecasts</v>
      </c>
      <c r="D336" s="50">
        <f>SUM('Fiscal Forecasts'!D$24,'Fiscal Forecasts'!D$25)-SUM(D$333:D$335)</f>
        <v>-2.6809999999999983</v>
      </c>
      <c r="E336" s="50">
        <f>SUM('Fiscal Forecasts'!E$24,'Fiscal Forecasts'!E$25)-SUM(E$333:E$335)</f>
        <v>-0.4009999999999998</v>
      </c>
      <c r="F336" s="50">
        <f>SUM('Fiscal Forecasts'!F$24,'Fiscal Forecasts'!F$25)-SUM(F$333:F$335)</f>
        <v>0.96500000000000341</v>
      </c>
      <c r="G336" s="50">
        <f>SUM('Fiscal Forecasts'!G$24,'Fiscal Forecasts'!G$25)-SUM(G$333:G$335)</f>
        <v>2.3090000000000011</v>
      </c>
      <c r="H336" s="50">
        <f>SUM('Fiscal Forecasts'!H$24,'Fiscal Forecasts'!H$25)-SUM(H$333:H$335)</f>
        <v>-0.76799999999999891</v>
      </c>
      <c r="I336" s="50">
        <f>SUM('Fiscal Forecasts'!I$24,'Fiscal Forecasts'!I$25)-SUM(I$333:I$335)</f>
        <v>-0.27700000000000014</v>
      </c>
      <c r="J336" s="50">
        <f>SUM('Fiscal Forecasts'!J$24,'Fiscal Forecasts'!J$25)-SUM(J$333:J$335)</f>
        <v>-0.74799999999999933</v>
      </c>
      <c r="K336" s="50">
        <f>SUM('Fiscal Forecasts'!K$24,'Fiscal Forecasts'!K$25)-SUM(K$333:K$335)</f>
        <v>-1.1380000000000017</v>
      </c>
      <c r="L336" s="48">
        <f>SUM('Fiscal Forecasts'!L$24,'Fiscal Forecasts'!L$25)-SUM(L$333:L$335)</f>
        <v>-8.3000000000000185E-2</v>
      </c>
      <c r="M336" s="48">
        <f>SUM('Fiscal Forecasts'!M$24,'Fiscal Forecasts'!M$25)-SUM(M$333:M$335)</f>
        <v>-0.10500000000000043</v>
      </c>
      <c r="N336" s="48">
        <f>SUM('Fiscal Forecasts'!N$24,'Fiscal Forecasts'!N$25)-SUM(N$333:N$335)</f>
        <v>-0.12699999999999889</v>
      </c>
      <c r="O336" s="48">
        <f>SUM('Fiscal Forecasts'!O$24,'Fiscal Forecasts'!O$25)-SUM(O$333:O$335)</f>
        <v>-0.17400000000000038</v>
      </c>
      <c r="P336" s="48">
        <f>SUM('Fiscal Forecasts'!P$24,'Fiscal Forecasts'!P$25)-SUM(P$333:P$335)</f>
        <v>-0.10499999999999954</v>
      </c>
      <c r="Q336" s="20">
        <f t="shared" ref="Q336:Z336" ca="1" si="188">P$336*(1+Q$14)</f>
        <v>-0.10957074337706335</v>
      </c>
      <c r="R336" s="20">
        <f t="shared" ca="1" si="188"/>
        <v>-0.11423463661992017</v>
      </c>
      <c r="S336" s="20">
        <f t="shared" ca="1" si="188"/>
        <v>-0.11902208938800209</v>
      </c>
      <c r="T336" s="20">
        <f t="shared" ca="1" si="188"/>
        <v>-0.12392190376686274</v>
      </c>
      <c r="U336" s="20">
        <f t="shared" ca="1" si="188"/>
        <v>-0.12899257828913679</v>
      </c>
      <c r="V336" s="20">
        <f t="shared" ca="1" si="188"/>
        <v>-0.13423591627964851</v>
      </c>
      <c r="W336" s="20">
        <f t="shared" ca="1" si="188"/>
        <v>-0.13962546518492344</v>
      </c>
      <c r="X336" s="20">
        <f t="shared" ca="1" si="188"/>
        <v>-0.14517021076018949</v>
      </c>
      <c r="Y336" s="20">
        <f t="shared" ca="1" si="188"/>
        <v>-0.15089914854665781</v>
      </c>
      <c r="Z336" s="20">
        <f t="shared" ca="1" si="188"/>
        <v>-0.15681375612278492</v>
      </c>
    </row>
    <row r="337" spans="1:26" x14ac:dyDescent="0.25">
      <c r="A337" s="11" t="s">
        <v>1330</v>
      </c>
      <c r="D337" s="94">
        <f t="shared" ref="D337:P337" si="189">SUM(D$333:D$336)</f>
        <v>-7.1309999999999993</v>
      </c>
      <c r="E337" s="94">
        <f t="shared" si="189"/>
        <v>-8.7219999999999995</v>
      </c>
      <c r="F337" s="94">
        <f t="shared" si="189"/>
        <v>21.023</v>
      </c>
      <c r="G337" s="94">
        <f t="shared" si="189"/>
        <v>-6.7219999999999995</v>
      </c>
      <c r="H337" s="94">
        <f t="shared" si="189"/>
        <v>14.658000000000001</v>
      </c>
      <c r="I337" s="94">
        <f t="shared" si="189"/>
        <v>4.6669999999999998</v>
      </c>
      <c r="J337" s="94">
        <f t="shared" si="189"/>
        <v>8.870000000000001</v>
      </c>
      <c r="K337" s="94">
        <f t="shared" si="189"/>
        <v>11.251999999999999</v>
      </c>
      <c r="L337" s="95">
        <f t="shared" si="189"/>
        <v>5.5949999999999998</v>
      </c>
      <c r="M337" s="95">
        <f t="shared" si="189"/>
        <v>6.1859999999999999</v>
      </c>
      <c r="N337" s="95">
        <f t="shared" si="189"/>
        <v>6.67</v>
      </c>
      <c r="O337" s="95">
        <f t="shared" si="189"/>
        <v>7.1619999999999999</v>
      </c>
      <c r="P337" s="95">
        <f t="shared" si="189"/>
        <v>7.8049999999999997</v>
      </c>
      <c r="Q337" s="96">
        <f t="shared" ref="Q337:Z337" ca="1" si="190">SUM(Q$333:Q$336)</f>
        <v>8.1893578666957438</v>
      </c>
      <c r="R337" s="96">
        <f t="shared" ca="1" si="190"/>
        <v>8.6778170884748373</v>
      </c>
      <c r="S337" s="96">
        <f t="shared" ca="1" si="190"/>
        <v>9.1935424145827049</v>
      </c>
      <c r="T337" s="96">
        <f t="shared" ca="1" si="190"/>
        <v>9.7397335211931519</v>
      </c>
      <c r="U337" s="96">
        <f t="shared" ca="1" si="190"/>
        <v>10.315927609072595</v>
      </c>
      <c r="V337" s="96">
        <f t="shared" ca="1" si="190"/>
        <v>10.915288094060537</v>
      </c>
      <c r="W337" s="96">
        <f t="shared" ca="1" si="190"/>
        <v>11.541113549028129</v>
      </c>
      <c r="X337" s="96">
        <f t="shared" ca="1" si="190"/>
        <v>12.198297499928369</v>
      </c>
      <c r="Y337" s="96">
        <f t="shared" ca="1" si="190"/>
        <v>12.89401253208573</v>
      </c>
      <c r="Z337" s="96">
        <f t="shared" ca="1" si="190"/>
        <v>13.634820401576503</v>
      </c>
    </row>
    <row r="339" spans="1:26" x14ac:dyDescent="0.25">
      <c r="A339" s="11" t="s">
        <v>881</v>
      </c>
    </row>
    <row r="340" spans="1:26" x14ac:dyDescent="0.25">
      <c r="A340" s="11" t="s">
        <v>1331</v>
      </c>
      <c r="B340" s="14" t="str">
        <f>$B$38</f>
        <v>From Fiscal Forecasts</v>
      </c>
      <c r="D340" s="51">
        <f>'Fiscal Forecasts'!D$177-SUM('Fiscal Forecasts'!D$301,'Fiscal Forecasts'!D$307)</f>
        <v>4.0000000000000036E-3</v>
      </c>
      <c r="E340" s="51">
        <f>'Fiscal Forecasts'!E$177-SUM('Fiscal Forecasts'!E$301,'Fiscal Forecasts'!E$307)</f>
        <v>-4.2000000000000703E-2</v>
      </c>
      <c r="F340" s="51">
        <f>'Fiscal Forecasts'!F$177-SUM('Fiscal Forecasts'!F$301,'Fiscal Forecasts'!F$307)</f>
        <v>-3.199999999999914E-2</v>
      </c>
      <c r="G340" s="51">
        <f>'Fiscal Forecasts'!G$177-SUM('Fiscal Forecasts'!G$301,'Fiscal Forecasts'!G$307)</f>
        <v>-0.18699999999999939</v>
      </c>
      <c r="H340" s="51">
        <f>'Fiscal Forecasts'!H$177-SUM('Fiscal Forecasts'!H$301,'Fiscal Forecasts'!H$307)</f>
        <v>-9.5000000000000639E-2</v>
      </c>
      <c r="I340" s="51">
        <f>'Fiscal Forecasts'!I$177-SUM('Fiscal Forecasts'!I$301,'Fiscal Forecasts'!I$307)</f>
        <v>-9.9999999999997868E-3</v>
      </c>
      <c r="J340" s="51">
        <f>'Fiscal Forecasts'!J$177-SUM('Fiscal Forecasts'!J$301,'Fiscal Forecasts'!J$307)</f>
        <v>-5.7000000000000384E-2</v>
      </c>
      <c r="K340" s="51">
        <f>'Fiscal Forecasts'!K$177-SUM('Fiscal Forecasts'!K$301,'Fiscal Forecasts'!K$307)</f>
        <v>-3.2000000000000028E-2</v>
      </c>
      <c r="L340" s="47">
        <f>'Fiscal Forecasts'!L$177-SUM('Fiscal Forecasts'!L$301,'Fiscal Forecasts'!L$307)</f>
        <v>3.9999999999995595E-3</v>
      </c>
      <c r="M340" s="47">
        <f>'Fiscal Forecasts'!M$177-SUM('Fiscal Forecasts'!M$301,'Fiscal Forecasts'!M$307)</f>
        <v>1.499999999999968E-2</v>
      </c>
      <c r="N340" s="47">
        <f>'Fiscal Forecasts'!N$177-SUM('Fiscal Forecasts'!N$301,'Fiscal Forecasts'!N$307)</f>
        <v>1.1000000000001009E-2</v>
      </c>
      <c r="O340" s="47">
        <f>'Fiscal Forecasts'!O$177-SUM('Fiscal Forecasts'!O$301,'Fiscal Forecasts'!O$307)</f>
        <v>1.2000000000000455E-2</v>
      </c>
      <c r="P340" s="47">
        <f>'Fiscal Forecasts'!P$177-SUM('Fiscal Forecasts'!P$301,'Fiscal Forecasts'!P$307)</f>
        <v>1.0000000000000675E-2</v>
      </c>
      <c r="Q340" s="21">
        <f t="shared" ref="Q340:Z340" ca="1" si="191">P$340*(1+Q$14)</f>
        <v>1.0435308893054404E-2</v>
      </c>
      <c r="R340" s="21">
        <f t="shared" ca="1" si="191"/>
        <v>1.0879489201897944E-2</v>
      </c>
      <c r="S340" s="21">
        <f t="shared" ca="1" si="191"/>
        <v>1.1335437084572445E-2</v>
      </c>
      <c r="T340" s="21">
        <f t="shared" ca="1" si="191"/>
        <v>1.1802086073035397E-2</v>
      </c>
      <c r="U340" s="21">
        <f t="shared" ca="1" si="191"/>
        <v>1.2285007456109151E-2</v>
      </c>
      <c r="V340" s="21">
        <f t="shared" ca="1" si="191"/>
        <v>1.2784372979015064E-2</v>
      </c>
      <c r="W340" s="21">
        <f t="shared" ca="1" si="191"/>
        <v>1.3297663350946046E-2</v>
      </c>
      <c r="X340" s="21">
        <f t="shared" ca="1" si="191"/>
        <v>1.3825734358114281E-2</v>
      </c>
      <c r="Y340" s="21">
        <f t="shared" ca="1" si="191"/>
        <v>1.4371347480635113E-2</v>
      </c>
      <c r="Z340" s="21">
        <f t="shared" ca="1" si="191"/>
        <v>1.4934643440266305E-2</v>
      </c>
    </row>
    <row r="341" spans="1:26" x14ac:dyDescent="0.25">
      <c r="A341" s="11" t="s">
        <v>1332</v>
      </c>
      <c r="B341" s="14" t="str">
        <f>$B$38</f>
        <v>From Fiscal Forecasts</v>
      </c>
      <c r="D341" s="51">
        <f>'Fiscal Forecasts'!D$27</f>
        <v>0.20599999999999999</v>
      </c>
      <c r="E341" s="51">
        <f>'Fiscal Forecasts'!E$27</f>
        <v>1.1930000000000001</v>
      </c>
      <c r="F341" s="51">
        <f>'Fiscal Forecasts'!F$27</f>
        <v>-0.36</v>
      </c>
      <c r="G341" s="51">
        <f>'Fiscal Forecasts'!G$27</f>
        <v>-0.126</v>
      </c>
      <c r="H341" s="51">
        <f>'Fiscal Forecasts'!H$27</f>
        <v>2.9000000000000001E-2</v>
      </c>
      <c r="I341" s="51">
        <f>'Fiscal Forecasts'!I$27</f>
        <v>0.12</v>
      </c>
      <c r="J341" s="51">
        <f>'Fiscal Forecasts'!J$27</f>
        <v>0.214</v>
      </c>
      <c r="K341" s="51">
        <f>'Fiscal Forecasts'!K$27</f>
        <v>0.27400000000000002</v>
      </c>
      <c r="L341" s="47">
        <f>'Fiscal Forecasts'!L$27</f>
        <v>0.26500000000000001</v>
      </c>
      <c r="M341" s="47">
        <f>'Fiscal Forecasts'!M$27</f>
        <v>0.252</v>
      </c>
      <c r="N341" s="47">
        <f>'Fiscal Forecasts'!N$27</f>
        <v>0.22</v>
      </c>
      <c r="O341" s="47">
        <f>'Fiscal Forecasts'!O$27</f>
        <v>0.127</v>
      </c>
      <c r="P341" s="47">
        <f>'Fiscal Forecasts'!P$27</f>
        <v>7.0000000000000007E-2</v>
      </c>
      <c r="Q341" s="21">
        <f t="shared" ref="Q341:Z341" ca="1" si="192">Q$340+(P$341-P$340)*(1+Q$14)</f>
        <v>7.3047162251375891E-2</v>
      </c>
      <c r="R341" s="21">
        <f t="shared" ca="1" si="192"/>
        <v>7.6156424413280466E-2</v>
      </c>
      <c r="S341" s="21">
        <f t="shared" ca="1" si="192"/>
        <v>7.9348059592001752E-2</v>
      </c>
      <c r="T341" s="21">
        <f t="shared" ca="1" si="192"/>
        <v>8.2614602511242197E-2</v>
      </c>
      <c r="U341" s="21">
        <f t="shared" ca="1" si="192"/>
        <v>8.5995052192758242E-2</v>
      </c>
      <c r="V341" s="21">
        <f t="shared" ca="1" si="192"/>
        <v>8.9490610853099395E-2</v>
      </c>
      <c r="W341" s="21">
        <f t="shared" ca="1" si="192"/>
        <v>9.308364345661603E-2</v>
      </c>
      <c r="X341" s="21">
        <f t="shared" ca="1" si="192"/>
        <v>9.6780140506793413E-2</v>
      </c>
      <c r="Y341" s="21">
        <f t="shared" ca="1" si="192"/>
        <v>0.10059943236443897</v>
      </c>
      <c r="Z341" s="21">
        <f t="shared" ca="1" si="192"/>
        <v>0.10454250408185706</v>
      </c>
    </row>
    <row r="343" spans="1:26" x14ac:dyDescent="0.25">
      <c r="A343" s="11" t="s">
        <v>941</v>
      </c>
    </row>
    <row r="344" spans="1:26" x14ac:dyDescent="0.25">
      <c r="A344" s="12" t="s">
        <v>1333</v>
      </c>
      <c r="D344" s="50">
        <f ca="1">OFFSET(Assumptions!$B$50,0,$C$1)*(D$384-D$350-D$391)</f>
        <v>1.31616</v>
      </c>
      <c r="E344" s="50">
        <f ca="1">OFFSET(Assumptions!$B$50,0,$C$1)*(E$384-E$350-E$391)</f>
        <v>1.29735</v>
      </c>
      <c r="F344" s="50">
        <f ca="1">OFFSET(Assumptions!$B$50,0,$C$1)*(F$384-F$350-F$391)</f>
        <v>1.6793399999999998</v>
      </c>
      <c r="G344" s="50">
        <f ca="1">OFFSET(Assumptions!$B$50,0,$C$1)*(G$384-G$350-G$391)</f>
        <v>1.8089399999999998</v>
      </c>
      <c r="H344" s="50">
        <f ca="1">OFFSET(Assumptions!$B$50,0,$C$1)*(H$384-H$350-H$391)</f>
        <v>1.7712000000000003</v>
      </c>
      <c r="I344" s="50">
        <f ca="1">OFFSET(Assumptions!$B$50,0,$C$1)*(I$384-I$350-I$391)</f>
        <v>2.0238899999999997</v>
      </c>
      <c r="J344" s="50">
        <f ca="1">OFFSET(Assumptions!$B$50,0,$C$1)*(J$384-J$350-J$391)</f>
        <v>2.2551899999999998</v>
      </c>
      <c r="K344" s="50">
        <f ca="1">OFFSET(Assumptions!$B$50,0,$C$1)*(K$384-K$350-K$391)</f>
        <v>2.5261199999999997</v>
      </c>
      <c r="L344" s="48">
        <f ca="1">OFFSET(Assumptions!$B$50,0,$C$1)*(L$384-L$350-L$391)</f>
        <v>2.8082699999999998</v>
      </c>
      <c r="M344" s="48">
        <f ca="1">OFFSET(Assumptions!$B$50,0,$C$1)*(M$384-M$350-M$391)</f>
        <v>3.0734999999999997</v>
      </c>
      <c r="N344" s="48">
        <f ca="1">OFFSET(Assumptions!$B$50,0,$C$1)*(N$384-N$350-N$391)</f>
        <v>3.2325900000000001</v>
      </c>
      <c r="O344" s="48">
        <f ca="1">OFFSET(Assumptions!$B$50,0,$C$1)*(O$384-O$350-O$391)</f>
        <v>3.4293900000000002</v>
      </c>
      <c r="P344" s="48">
        <f ca="1">OFFSET(Assumptions!$B$50,0,$C$1)*(P$384-P$350-P$391)</f>
        <v>3.6507000000000001</v>
      </c>
      <c r="Q344" s="20">
        <f ca="1">OFFSET(Assumptions!$B$50,0,$C$1)*(Q$384-Q$350-Q$391)</f>
        <v>3.8555168836921516</v>
      </c>
      <c r="R344" s="20">
        <f ca="1">OFFSET(Assumptions!$B$50,0,$C$1)*(R$384-R$350-R$391)</f>
        <v>4.0907614936116232</v>
      </c>
      <c r="S344" s="20">
        <f ca="1">OFFSET(Assumptions!$B$50,0,$C$1)*(S$384-S$350-S$391)</f>
        <v>4.3355826994696205</v>
      </c>
      <c r="T344" s="20">
        <f ca="1">OFFSET(Assumptions!$B$50,0,$C$1)*(T$384-T$350-T$391)</f>
        <v>4.5908237902422755</v>
      </c>
      <c r="U344" s="20">
        <f ca="1">OFFSET(Assumptions!$B$50,0,$C$1)*(U$384-U$350-U$391)</f>
        <v>4.8554975253519128</v>
      </c>
      <c r="V344" s="20">
        <f ca="1">OFFSET(Assumptions!$B$50,0,$C$1)*(V$384-V$350-V$391)</f>
        <v>5.1312818162294684</v>
      </c>
      <c r="W344" s="20">
        <f ca="1">OFFSET(Assumptions!$B$50,0,$C$1)*(W$384-W$350-W$391)</f>
        <v>5.4208727375388328</v>
      </c>
      <c r="X344" s="20">
        <f ca="1">OFFSET(Assumptions!$B$50,0,$C$1)*(X$384-X$350-X$391)</f>
        <v>5.7271350366906253</v>
      </c>
      <c r="Y344" s="20">
        <f ca="1">OFFSET(Assumptions!$B$50,0,$C$1)*(Y$384-Y$350-Y$391)</f>
        <v>6.0539090089442951</v>
      </c>
      <c r="Z344" s="20">
        <f ca="1">OFFSET(Assumptions!$B$50,0,$C$1)*(Z$384-Z$350-Z$391)</f>
        <v>6.4046646546135451</v>
      </c>
    </row>
    <row r="345" spans="1:26" x14ac:dyDescent="0.25">
      <c r="A345" s="12" t="s">
        <v>1334</v>
      </c>
      <c r="B345" s="14" t="str">
        <f>$B$38</f>
        <v>From Fiscal Forecasts</v>
      </c>
      <c r="D345" s="50">
        <f ca="1">'Fiscal Forecasts'!D$180-D$344</f>
        <v>16.06184</v>
      </c>
      <c r="E345" s="50">
        <f ca="1">'Fiscal Forecasts'!E$180-E$344</f>
        <v>16.883649999999999</v>
      </c>
      <c r="F345" s="50">
        <f ca="1">'Fiscal Forecasts'!F$180-F$344</f>
        <v>11.44966</v>
      </c>
      <c r="G345" s="50">
        <f ca="1">'Fiscal Forecasts'!G$180-G$344</f>
        <v>9.5990599999999997</v>
      </c>
      <c r="H345" s="50">
        <f ca="1">'Fiscal Forecasts'!H$180-H$344</f>
        <v>9.2018000000000004</v>
      </c>
      <c r="I345" s="50">
        <f ca="1">'Fiscal Forecasts'!I$180-I$344</f>
        <v>7.0871100000000009</v>
      </c>
      <c r="J345" s="50">
        <f ca="1">'Fiscal Forecasts'!J$180-J$344</f>
        <v>13.806810000000002</v>
      </c>
      <c r="K345" s="50">
        <f ca="1">'Fiscal Forecasts'!K$180-K$344</f>
        <v>17.553879999999999</v>
      </c>
      <c r="L345" s="48">
        <f ca="1">'Fiscal Forecasts'!L$180-L$344</f>
        <v>18.414729999999999</v>
      </c>
      <c r="M345" s="48">
        <f ca="1">'Fiscal Forecasts'!M$180-M$344</f>
        <v>18.426500000000001</v>
      </c>
      <c r="N345" s="48">
        <f ca="1">'Fiscal Forecasts'!N$180-N$344</f>
        <v>18.488410000000002</v>
      </c>
      <c r="O345" s="48">
        <f ca="1">'Fiscal Forecasts'!O$180-O$344</f>
        <v>18.16161</v>
      </c>
      <c r="P345" s="48">
        <f ca="1">'Fiscal Forecasts'!P$180-P$344</f>
        <v>17.622299999999999</v>
      </c>
      <c r="Q345" s="20">
        <f t="shared" ref="Q345:Z345" ca="1" si="193">P$345*(1+Q$14)</f>
        <v>18.389414390606017</v>
      </c>
      <c r="R345" s="20">
        <f t="shared" ca="1" si="193"/>
        <v>19.172162256259313</v>
      </c>
      <c r="S345" s="20">
        <f t="shared" ca="1" si="193"/>
        <v>19.975647293544743</v>
      </c>
      <c r="T345" s="20">
        <f t="shared" ca="1" si="193"/>
        <v>20.797990140483755</v>
      </c>
      <c r="U345" s="20">
        <f t="shared" ca="1" si="193"/>
        <v>21.649008689377759</v>
      </c>
      <c r="V345" s="20">
        <f t="shared" ca="1" si="193"/>
        <v>22.529005594808186</v>
      </c>
      <c r="W345" s="20">
        <f t="shared" ca="1" si="193"/>
        <v>23.433541286936059</v>
      </c>
      <c r="X345" s="20">
        <f t="shared" ca="1" si="193"/>
        <v>24.364123857898072</v>
      </c>
      <c r="Y345" s="20">
        <f t="shared" ca="1" si="193"/>
        <v>25.325619670797892</v>
      </c>
      <c r="Z345" s="20">
        <f t="shared" ca="1" si="193"/>
        <v>26.318276709738701</v>
      </c>
    </row>
    <row r="346" spans="1:26" x14ac:dyDescent="0.25">
      <c r="A346" s="11" t="s">
        <v>1335</v>
      </c>
      <c r="D346" s="94">
        <f t="shared" ref="D346:Z346" ca="1" si="194">SUM(D$344:D$345)</f>
        <v>17.378</v>
      </c>
      <c r="E346" s="94">
        <f t="shared" ca="1" si="194"/>
        <v>18.181000000000001</v>
      </c>
      <c r="F346" s="94">
        <f t="shared" ca="1" si="194"/>
        <v>13.129</v>
      </c>
      <c r="G346" s="94">
        <f t="shared" ca="1" si="194"/>
        <v>11.407999999999999</v>
      </c>
      <c r="H346" s="94">
        <f t="shared" ca="1" si="194"/>
        <v>10.973000000000001</v>
      </c>
      <c r="I346" s="94">
        <f t="shared" ca="1" si="194"/>
        <v>9.1110000000000007</v>
      </c>
      <c r="J346" s="94">
        <f t="shared" ca="1" si="194"/>
        <v>16.062000000000001</v>
      </c>
      <c r="K346" s="94">
        <f t="shared" ca="1" si="194"/>
        <v>20.079999999999998</v>
      </c>
      <c r="L346" s="95">
        <f t="shared" ca="1" si="194"/>
        <v>21.222999999999999</v>
      </c>
      <c r="M346" s="95">
        <f t="shared" ca="1" si="194"/>
        <v>21.5</v>
      </c>
      <c r="N346" s="95">
        <f t="shared" ca="1" si="194"/>
        <v>21.721000000000004</v>
      </c>
      <c r="O346" s="95">
        <f t="shared" ca="1" si="194"/>
        <v>21.591000000000001</v>
      </c>
      <c r="P346" s="95">
        <f t="shared" ca="1" si="194"/>
        <v>21.273</v>
      </c>
      <c r="Q346" s="96">
        <f t="shared" ca="1" si="194"/>
        <v>22.244931274298168</v>
      </c>
      <c r="R346" s="96">
        <f t="shared" ca="1" si="194"/>
        <v>23.262923749870936</v>
      </c>
      <c r="S346" s="96">
        <f t="shared" ca="1" si="194"/>
        <v>24.311229993014365</v>
      </c>
      <c r="T346" s="96">
        <f t="shared" ca="1" si="194"/>
        <v>25.38881393072603</v>
      </c>
      <c r="U346" s="96">
        <f t="shared" ca="1" si="194"/>
        <v>26.504506214729673</v>
      </c>
      <c r="V346" s="96">
        <f t="shared" ca="1" si="194"/>
        <v>27.660287411037654</v>
      </c>
      <c r="W346" s="96">
        <f t="shared" ca="1" si="194"/>
        <v>28.854414024474892</v>
      </c>
      <c r="X346" s="96">
        <f t="shared" ca="1" si="194"/>
        <v>30.091258894588698</v>
      </c>
      <c r="Y346" s="96">
        <f t="shared" ca="1" si="194"/>
        <v>31.379528679742187</v>
      </c>
      <c r="Z346" s="96">
        <f t="shared" ca="1" si="194"/>
        <v>32.722941364352245</v>
      </c>
    </row>
    <row r="347" spans="1:26" x14ac:dyDescent="0.25">
      <c r="A347" s="11" t="s">
        <v>1336</v>
      </c>
      <c r="B347" s="14" t="str">
        <f>$B$38</f>
        <v>From Fiscal Forecasts</v>
      </c>
      <c r="D347" s="51">
        <f>'Fiscal Forecasts'!D$120</f>
        <v>20.248000000000001</v>
      </c>
      <c r="E347" s="51">
        <f>'Fiscal Forecasts'!E$120</f>
        <v>21.927</v>
      </c>
      <c r="F347" s="51">
        <f>'Fiscal Forecasts'!F$120</f>
        <v>18.754999999999999</v>
      </c>
      <c r="G347" s="51">
        <f>'Fiscal Forecasts'!G$120</f>
        <v>17.835000000000001</v>
      </c>
      <c r="H347" s="51">
        <f>'Fiscal Forecasts'!H$120</f>
        <v>18.791</v>
      </c>
      <c r="I347" s="51">
        <f>'Fiscal Forecasts'!I$120</f>
        <v>16.212</v>
      </c>
      <c r="J347" s="51">
        <f>'Fiscal Forecasts'!J$120</f>
        <v>23.667999999999999</v>
      </c>
      <c r="K347" s="51">
        <f>'Fiscal Forecasts'!K$120</f>
        <v>28.646000000000001</v>
      </c>
      <c r="L347" s="47">
        <f>'Fiscal Forecasts'!L$120</f>
        <v>28.898</v>
      </c>
      <c r="M347" s="47">
        <f>'Fiscal Forecasts'!M$120</f>
        <v>28.678000000000001</v>
      </c>
      <c r="N347" s="47">
        <f>'Fiscal Forecasts'!N$120</f>
        <v>28.951000000000001</v>
      </c>
      <c r="O347" s="47">
        <f>'Fiscal Forecasts'!O$120</f>
        <v>28.582000000000001</v>
      </c>
      <c r="P347" s="47">
        <f>'Fiscal Forecasts'!P$120</f>
        <v>28.151</v>
      </c>
      <c r="Q347" s="21">
        <f t="shared" ref="Q347:Z347" ca="1" si="195">Q$346+(P$347-P$346)*(1+Q$14)</f>
        <v>29.422336730940501</v>
      </c>
      <c r="R347" s="21">
        <f t="shared" ca="1" si="195"/>
        <v>30.745836422935835</v>
      </c>
      <c r="S347" s="21">
        <f t="shared" ca="1" si="195"/>
        <v>32.107743619782767</v>
      </c>
      <c r="T347" s="21">
        <f t="shared" ca="1" si="195"/>
        <v>33.506288731759227</v>
      </c>
      <c r="U347" s="21">
        <f t="shared" ca="1" si="195"/>
        <v>34.954134343040977</v>
      </c>
      <c r="V347" s="21">
        <f t="shared" ca="1" si="195"/>
        <v>36.45337914600362</v>
      </c>
      <c r="W347" s="21">
        <f t="shared" ca="1" si="195"/>
        <v>38.000546877254962</v>
      </c>
      <c r="X347" s="21">
        <f t="shared" ca="1" si="195"/>
        <v>39.600598986099058</v>
      </c>
      <c r="Y347" s="21">
        <f t="shared" ca="1" si="195"/>
        <v>41.264141476922347</v>
      </c>
      <c r="Z347" s="21">
        <f t="shared" ca="1" si="195"/>
        <v>42.994989122566714</v>
      </c>
    </row>
    <row r="349" spans="1:26" x14ac:dyDescent="0.25">
      <c r="A349" s="11" t="s">
        <v>942</v>
      </c>
    </row>
    <row r="350" spans="1:26" x14ac:dyDescent="0.25">
      <c r="A350" s="12" t="s">
        <v>1337</v>
      </c>
      <c r="D350" s="50">
        <f t="shared" ref="D350:P350" si="196">D$384-D$76+D$75-D$72</f>
        <v>-1.567999999999997</v>
      </c>
      <c r="E350" s="50">
        <f t="shared" si="196"/>
        <v>1.2899999999999934</v>
      </c>
      <c r="F350" s="50">
        <f t="shared" si="196"/>
        <v>0.86300000000000299</v>
      </c>
      <c r="G350" s="50">
        <f t="shared" si="196"/>
        <v>0.49900000000000599</v>
      </c>
      <c r="H350" s="50">
        <f t="shared" si="196"/>
        <v>1.8429999999999807</v>
      </c>
      <c r="I350" s="50">
        <f t="shared" si="196"/>
        <v>2.6770000000000094</v>
      </c>
      <c r="J350" s="50">
        <f t="shared" si="196"/>
        <v>2.1510000000000047</v>
      </c>
      <c r="K350" s="50">
        <f t="shared" si="196"/>
        <v>4.8140000000000036</v>
      </c>
      <c r="L350" s="48">
        <f t="shared" si="196"/>
        <v>2.475000000000013</v>
      </c>
      <c r="M350" s="48">
        <f t="shared" si="196"/>
        <v>1.1260000000000125</v>
      </c>
      <c r="N350" s="48">
        <f t="shared" si="196"/>
        <v>1.8230000000000068</v>
      </c>
      <c r="O350" s="48">
        <f t="shared" si="196"/>
        <v>2.1649999999999965</v>
      </c>
      <c r="P350" s="48">
        <f t="shared" si="196"/>
        <v>2.3500000000000014</v>
      </c>
      <c r="Q350" s="20">
        <f t="shared" ref="Q350:Z350" ca="1" si="197">SUM(P$350,Q$442-P$442,Q$468-P$468)</f>
        <v>3.1163783738709481</v>
      </c>
      <c r="R350" s="20">
        <f t="shared" ca="1" si="197"/>
        <v>3.2719890369741136</v>
      </c>
      <c r="S350" s="20">
        <f t="shared" ca="1" si="197"/>
        <v>3.4339344698506422</v>
      </c>
      <c r="T350" s="20">
        <f t="shared" ca="1" si="197"/>
        <v>3.602772495087025</v>
      </c>
      <c r="U350" s="20">
        <f t="shared" ca="1" si="197"/>
        <v>3.7778500683436431</v>
      </c>
      <c r="V350" s="20">
        <f t="shared" ca="1" si="197"/>
        <v>3.9602771020239529</v>
      </c>
      <c r="W350" s="20">
        <f t="shared" ca="1" si="197"/>
        <v>4.1518370077282043</v>
      </c>
      <c r="X350" s="20">
        <f t="shared" ca="1" si="197"/>
        <v>4.3544247714640987</v>
      </c>
      <c r="Y350" s="20">
        <f t="shared" ca="1" si="197"/>
        <v>4.5705806890201046</v>
      </c>
      <c r="Z350" s="20">
        <f t="shared" ca="1" si="197"/>
        <v>4.802600111817739</v>
      </c>
    </row>
    <row r="351" spans="1:26" x14ac:dyDescent="0.25">
      <c r="A351" s="12" t="s">
        <v>1063</v>
      </c>
      <c r="B351" s="14" t="str">
        <f>$B$38</f>
        <v>From Fiscal Forecasts</v>
      </c>
      <c r="D351" s="50">
        <f>'Fiscal Forecasts'!D$319</f>
        <v>13.763999999999999</v>
      </c>
      <c r="E351" s="50">
        <f>'Fiscal Forecasts'!E$319</f>
        <v>14.29</v>
      </c>
      <c r="F351" s="50">
        <f>'Fiscal Forecasts'!F$319</f>
        <v>15.641999999999999</v>
      </c>
      <c r="G351" s="50">
        <f>'Fiscal Forecasts'!G$319</f>
        <v>20.076000000000001</v>
      </c>
      <c r="H351" s="50">
        <f>'Fiscal Forecasts'!H$319</f>
        <v>20.298999999999999</v>
      </c>
      <c r="I351" s="50">
        <f>'Fiscal Forecasts'!I$319</f>
        <v>22.413</v>
      </c>
      <c r="J351" s="50">
        <f>'Fiscal Forecasts'!J$319</f>
        <v>20.936</v>
      </c>
      <c r="K351" s="50">
        <f>'Fiscal Forecasts'!K$319</f>
        <v>19.382999999999999</v>
      </c>
      <c r="L351" s="48">
        <f>'Fiscal Forecasts'!L$319</f>
        <v>23.151</v>
      </c>
      <c r="M351" s="48">
        <f>'Fiscal Forecasts'!M$319</f>
        <v>24.097999999999999</v>
      </c>
      <c r="N351" s="48">
        <f>'Fiscal Forecasts'!N$319</f>
        <v>24.632999999999999</v>
      </c>
      <c r="O351" s="48">
        <f>'Fiscal Forecasts'!O$319</f>
        <v>25.231000000000002</v>
      </c>
      <c r="P351" s="48">
        <f>'Fiscal Forecasts'!P$319</f>
        <v>25.943000000000001</v>
      </c>
      <c r="Q351" s="20">
        <f t="shared" ref="Q351:Z351" ca="1" si="198">P$351*Q$142/P$142</f>
        <v>26.990957850673652</v>
      </c>
      <c r="R351" s="20">
        <f t="shared" ca="1" si="198"/>
        <v>28.038488020801154</v>
      </c>
      <c r="S351" s="20">
        <f t="shared" ca="1" si="198"/>
        <v>29.140919964062721</v>
      </c>
      <c r="T351" s="20">
        <f t="shared" ca="1" si="198"/>
        <v>30.31976260993504</v>
      </c>
      <c r="U351" s="20">
        <f t="shared" ca="1" si="198"/>
        <v>31.555552276252204</v>
      </c>
      <c r="V351" s="20">
        <f t="shared" ca="1" si="198"/>
        <v>32.833186730858728</v>
      </c>
      <c r="W351" s="20">
        <f t="shared" ca="1" si="198"/>
        <v>34.145889368220068</v>
      </c>
      <c r="X351" s="20">
        <f t="shared" ca="1" si="198"/>
        <v>35.496265878945337</v>
      </c>
      <c r="Y351" s="20">
        <f t="shared" ca="1" si="198"/>
        <v>36.891452498971518</v>
      </c>
      <c r="Z351" s="20">
        <f t="shared" ca="1" si="198"/>
        <v>38.331675365073757</v>
      </c>
    </row>
    <row r="352" spans="1:26" x14ac:dyDescent="0.25">
      <c r="A352" s="12" t="s">
        <v>1338</v>
      </c>
      <c r="B352" s="14" t="str">
        <f>$B$38</f>
        <v>From Fiscal Forecasts</v>
      </c>
      <c r="D352" s="50">
        <f>'Fiscal Forecasts'!D$181-SUM(D$350:D$351)</f>
        <v>4.3769999999999989</v>
      </c>
      <c r="E352" s="50">
        <f>'Fiscal Forecasts'!E$181-SUM(E$350:E$351)</f>
        <v>2.5200000000000085</v>
      </c>
      <c r="F352" s="50">
        <f>'Fiscal Forecasts'!F$181-SUM(F$350:F$351)</f>
        <v>3.7319999999999958</v>
      </c>
      <c r="G352" s="50">
        <f>'Fiscal Forecasts'!G$181-SUM(G$350:G$351)</f>
        <v>7.7129999999999939</v>
      </c>
      <c r="H352" s="50">
        <f>'Fiscal Forecasts'!H$181-SUM(H$350:H$351)</f>
        <v>3.5320000000000178</v>
      </c>
      <c r="I352" s="50">
        <f>'Fiscal Forecasts'!I$181-SUM(I$350:I$351)</f>
        <v>3.5489999999999888</v>
      </c>
      <c r="J352" s="50">
        <f>'Fiscal Forecasts'!J$181-SUM(J$350:J$351)</f>
        <v>3.1879999999999953</v>
      </c>
      <c r="K352" s="50">
        <f>'Fiscal Forecasts'!K$181-SUM(K$350:K$351)</f>
        <v>3.9099999999999966</v>
      </c>
      <c r="L352" s="48">
        <f>'Fiscal Forecasts'!L$181-SUM(L$350:L$351)</f>
        <v>3.8129999999999882</v>
      </c>
      <c r="M352" s="48">
        <f>'Fiscal Forecasts'!M$181-SUM(M$350:M$351)</f>
        <v>5.3349999999999902</v>
      </c>
      <c r="N352" s="48">
        <f>'Fiscal Forecasts'!N$181-SUM(N$350:N$351)</f>
        <v>4.9249999999999936</v>
      </c>
      <c r="O352" s="48">
        <f>'Fiscal Forecasts'!O$181-SUM(O$350:O$351)</f>
        <v>4.887000000000004</v>
      </c>
      <c r="P352" s="48">
        <f>'Fiscal Forecasts'!P$181-SUM(P$350:P$351)</f>
        <v>4.9369999999999941</v>
      </c>
      <c r="Q352" s="20">
        <f t="shared" ref="Q352:Z352" ca="1" si="199">SUM(P$352,Q$444-P$444,Q$469-P$469)</f>
        <v>5.1888399999999946</v>
      </c>
      <c r="R352" s="20">
        <f t="shared" ca="1" si="199"/>
        <v>5.4457167999999943</v>
      </c>
      <c r="S352" s="20">
        <f t="shared" ca="1" si="199"/>
        <v>5.7077311359999943</v>
      </c>
      <c r="T352" s="20">
        <f t="shared" ca="1" si="199"/>
        <v>5.9749857587199946</v>
      </c>
      <c r="U352" s="20">
        <f t="shared" ca="1" si="199"/>
        <v>6.2475854738943948</v>
      </c>
      <c r="V352" s="20">
        <f t="shared" ca="1" si="199"/>
        <v>6.5256371833722824</v>
      </c>
      <c r="W352" s="20">
        <f t="shared" ca="1" si="199"/>
        <v>6.809249927039728</v>
      </c>
      <c r="X352" s="20">
        <f t="shared" ca="1" si="199"/>
        <v>7.0985349255805223</v>
      </c>
      <c r="Y352" s="20">
        <f t="shared" ca="1" si="199"/>
        <v>7.3936056240921326</v>
      </c>
      <c r="Z352" s="20">
        <f t="shared" ca="1" si="199"/>
        <v>7.6945777365739758</v>
      </c>
    </row>
    <row r="353" spans="1:26" x14ac:dyDescent="0.25">
      <c r="A353" s="11" t="s">
        <v>1339</v>
      </c>
      <c r="D353" s="94">
        <f t="shared" ref="D353:P353" si="200">SUM(D$350:D$352)</f>
        <v>16.573</v>
      </c>
      <c r="E353" s="94">
        <f t="shared" si="200"/>
        <v>18.100000000000001</v>
      </c>
      <c r="F353" s="94">
        <f t="shared" si="200"/>
        <v>20.236999999999998</v>
      </c>
      <c r="G353" s="94">
        <f t="shared" si="200"/>
        <v>28.288</v>
      </c>
      <c r="H353" s="94">
        <f t="shared" si="200"/>
        <v>25.673999999999999</v>
      </c>
      <c r="I353" s="94">
        <f t="shared" si="200"/>
        <v>28.638999999999999</v>
      </c>
      <c r="J353" s="94">
        <f t="shared" si="200"/>
        <v>26.274999999999999</v>
      </c>
      <c r="K353" s="94">
        <f t="shared" si="200"/>
        <v>28.106999999999999</v>
      </c>
      <c r="L353" s="95">
        <f t="shared" si="200"/>
        <v>29.439</v>
      </c>
      <c r="M353" s="95">
        <f t="shared" si="200"/>
        <v>30.559000000000001</v>
      </c>
      <c r="N353" s="95">
        <f t="shared" si="200"/>
        <v>31.381</v>
      </c>
      <c r="O353" s="95">
        <f t="shared" si="200"/>
        <v>32.283000000000001</v>
      </c>
      <c r="P353" s="95">
        <f t="shared" si="200"/>
        <v>33.229999999999997</v>
      </c>
      <c r="Q353" s="96">
        <f t="shared" ref="Q353:Z353" ca="1" si="201">SUM(Q$350:Q$352)</f>
        <v>35.296176224544595</v>
      </c>
      <c r="R353" s="96">
        <f t="shared" ca="1" si="201"/>
        <v>36.756193857775258</v>
      </c>
      <c r="S353" s="96">
        <f t="shared" ca="1" si="201"/>
        <v>38.282585569913358</v>
      </c>
      <c r="T353" s="96">
        <f t="shared" ca="1" si="201"/>
        <v>39.897520863742059</v>
      </c>
      <c r="U353" s="96">
        <f t="shared" ca="1" si="201"/>
        <v>41.580987818490243</v>
      </c>
      <c r="V353" s="96">
        <f t="shared" ca="1" si="201"/>
        <v>43.319101016254962</v>
      </c>
      <c r="W353" s="96">
        <f t="shared" ca="1" si="201"/>
        <v>45.106976302988002</v>
      </c>
      <c r="X353" s="96">
        <f t="shared" ca="1" si="201"/>
        <v>46.949225575989956</v>
      </c>
      <c r="Y353" s="96">
        <f t="shared" ca="1" si="201"/>
        <v>48.855638812083754</v>
      </c>
      <c r="Z353" s="96">
        <f t="shared" ca="1" si="201"/>
        <v>50.828853213465472</v>
      </c>
    </row>
    <row r="354" spans="1:26" x14ac:dyDescent="0.25">
      <c r="A354" s="11" t="s">
        <v>1340</v>
      </c>
      <c r="B354" s="14" t="str">
        <f>$B$38</f>
        <v>From Fiscal Forecasts</v>
      </c>
      <c r="D354" s="51">
        <f>'Fiscal Forecasts'!D$121</f>
        <v>23.327000000000002</v>
      </c>
      <c r="E354" s="51">
        <f>'Fiscal Forecasts'!E$121</f>
        <v>24.742999999999999</v>
      </c>
      <c r="F354" s="51">
        <f>'Fiscal Forecasts'!F$121</f>
        <v>26.829000000000001</v>
      </c>
      <c r="G354" s="51">
        <f>'Fiscal Forecasts'!G$121</f>
        <v>35.134999999999998</v>
      </c>
      <c r="H354" s="51">
        <f>'Fiscal Forecasts'!H$121</f>
        <v>33.548000000000002</v>
      </c>
      <c r="I354" s="51">
        <f>'Fiscal Forecasts'!I$121</f>
        <v>37.231999999999999</v>
      </c>
      <c r="J354" s="51">
        <f>'Fiscal Forecasts'!J$121</f>
        <v>34.76</v>
      </c>
      <c r="K354" s="51">
        <f>'Fiscal Forecasts'!K$121</f>
        <v>36.582000000000001</v>
      </c>
      <c r="L354" s="47">
        <f>'Fiscal Forecasts'!L$121</f>
        <v>38.957000000000001</v>
      </c>
      <c r="M354" s="47">
        <f>'Fiscal Forecasts'!M$121</f>
        <v>40.423999999999999</v>
      </c>
      <c r="N354" s="47">
        <f>'Fiscal Forecasts'!N$121</f>
        <v>41.817999999999998</v>
      </c>
      <c r="O354" s="47">
        <f>'Fiscal Forecasts'!O$121</f>
        <v>43.411999999999999</v>
      </c>
      <c r="P354" s="47">
        <f>'Fiscal Forecasts'!P$121</f>
        <v>43.962000000000003</v>
      </c>
      <c r="Q354" s="21">
        <f t="shared" ref="Q354:Z354" ca="1" si="202">SUM(P$354,Q$353-P$353,,Q$446-P$446,Q$454-P$454,Q$471-P$471)-SUM(Q$445-P$445,Q$453-P$453,Q$470-P$470)</f>
        <v>46.301656224544608</v>
      </c>
      <c r="R354" s="21">
        <f t="shared" ca="1" si="202"/>
        <v>48.040623457775276</v>
      </c>
      <c r="S354" s="21">
        <f t="shared" ca="1" si="202"/>
        <v>49.851543761913376</v>
      </c>
      <c r="T354" s="21">
        <f t="shared" ca="1" si="202"/>
        <v>51.756698219582084</v>
      </c>
      <c r="U354" s="21">
        <f t="shared" ca="1" si="202"/>
        <v>53.736188721447064</v>
      </c>
      <c r="V354" s="21">
        <f t="shared" ca="1" si="202"/>
        <v>55.776245937270922</v>
      </c>
      <c r="W354" s="21">
        <f t="shared" ca="1" si="202"/>
        <v>57.872104122424275</v>
      </c>
      <c r="X354" s="21">
        <f t="shared" ca="1" si="202"/>
        <v>60.028495951814961</v>
      </c>
      <c r="Y354" s="21">
        <f t="shared" ca="1" si="202"/>
        <v>62.255334595425261</v>
      </c>
      <c r="Z354" s="21">
        <f t="shared" ca="1" si="202"/>
        <v>64.555382912473803</v>
      </c>
    </row>
    <row r="356" spans="1:26" x14ac:dyDescent="0.25">
      <c r="A356" s="11" t="s">
        <v>943</v>
      </c>
    </row>
    <row r="357" spans="1:26" x14ac:dyDescent="0.25">
      <c r="A357" s="12" t="s">
        <v>1341</v>
      </c>
      <c r="D357" s="50">
        <f ca="1">OFFSET(Assumptions!$B$51,0,$C$1)*(D$384-D$350-D$391)</f>
        <v>13.60032</v>
      </c>
      <c r="E357" s="50">
        <f ca="1">OFFSET(Assumptions!$B$51,0,$C$1)*(E$384-E$350-E$391)</f>
        <v>13.405950000000001</v>
      </c>
      <c r="F357" s="50">
        <f ca="1">OFFSET(Assumptions!$B$51,0,$C$1)*(F$384-F$350-F$391)</f>
        <v>17.353179999999998</v>
      </c>
      <c r="G357" s="50">
        <f ca="1">OFFSET(Assumptions!$B$51,0,$C$1)*(G$384-G$350-G$391)</f>
        <v>18.69238</v>
      </c>
      <c r="H357" s="50">
        <f ca="1">OFFSET(Assumptions!$B$51,0,$C$1)*(H$384-H$350-H$391)</f>
        <v>18.302400000000006</v>
      </c>
      <c r="I357" s="50">
        <f ca="1">OFFSET(Assumptions!$B$51,0,$C$1)*(I$384-I$350-I$391)</f>
        <v>20.913529999999998</v>
      </c>
      <c r="J357" s="50">
        <f ca="1">OFFSET(Assumptions!$B$51,0,$C$1)*(J$384-J$350-J$391)</f>
        <v>23.303630000000002</v>
      </c>
      <c r="K357" s="50">
        <f ca="1">OFFSET(Assumptions!$B$51,0,$C$1)*(K$384-K$350-K$391)</f>
        <v>26.10324</v>
      </c>
      <c r="L357" s="48">
        <f ca="1">OFFSET(Assumptions!$B$51,0,$C$1)*(L$384-L$350-L$391)</f>
        <v>29.018789999999999</v>
      </c>
      <c r="M357" s="48">
        <f ca="1">OFFSET(Assumptions!$B$51,0,$C$1)*(M$384-M$350-M$391)</f>
        <v>31.759499999999996</v>
      </c>
      <c r="N357" s="48">
        <f ca="1">OFFSET(Assumptions!$B$51,0,$C$1)*(N$384-N$350-N$391)</f>
        <v>33.40343</v>
      </c>
      <c r="O357" s="48">
        <f ca="1">OFFSET(Assumptions!$B$51,0,$C$1)*(O$384-O$350-O$391)</f>
        <v>35.437030000000007</v>
      </c>
      <c r="P357" s="48">
        <f ca="1">OFFSET(Assumptions!$B$51,0,$C$1)*(P$384-P$350-P$391)</f>
        <v>37.7239</v>
      </c>
      <c r="Q357" s="20">
        <f ca="1">OFFSET(Assumptions!$B$51,0,$C$1)*(Q$384-Q$350-Q$391)</f>
        <v>39.840341131485566</v>
      </c>
      <c r="R357" s="20">
        <f ca="1">OFFSET(Assumptions!$B$51,0,$C$1)*(R$384-R$350-R$391)</f>
        <v>42.27120210065344</v>
      </c>
      <c r="S357" s="20">
        <f ca="1">OFFSET(Assumptions!$B$51,0,$C$1)*(S$384-S$350-S$391)</f>
        <v>44.80102122785275</v>
      </c>
      <c r="T357" s="20">
        <f ca="1">OFFSET(Assumptions!$B$51,0,$C$1)*(T$384-T$350-T$391)</f>
        <v>47.43851249917018</v>
      </c>
      <c r="U357" s="20">
        <f ca="1">OFFSET(Assumptions!$B$51,0,$C$1)*(U$384-U$350-U$391)</f>
        <v>50.173474428636439</v>
      </c>
      <c r="V357" s="20">
        <f ca="1">OFFSET(Assumptions!$B$51,0,$C$1)*(V$384-V$350-V$391)</f>
        <v>53.023245434371177</v>
      </c>
      <c r="W357" s="20">
        <f ca="1">OFFSET(Assumptions!$B$51,0,$C$1)*(W$384-W$350-W$391)</f>
        <v>56.015684954567938</v>
      </c>
      <c r="X357" s="20">
        <f ca="1">OFFSET(Assumptions!$B$51,0,$C$1)*(X$384-X$350-X$391)</f>
        <v>59.180395379136463</v>
      </c>
      <c r="Y357" s="20">
        <f ca="1">OFFSET(Assumptions!$B$51,0,$C$1)*(Y$384-Y$350-Y$391)</f>
        <v>62.557059759091054</v>
      </c>
      <c r="Z357" s="20">
        <f ca="1">OFFSET(Assumptions!$B$51,0,$C$1)*(Z$384-Z$350-Z$391)</f>
        <v>66.181534764339972</v>
      </c>
    </row>
    <row r="358" spans="1:26" x14ac:dyDescent="0.25">
      <c r="A358" s="12" t="s">
        <v>1342</v>
      </c>
      <c r="B358" s="14" t="str">
        <f>$B$38</f>
        <v>From Fiscal Forecasts</v>
      </c>
      <c r="D358" s="50">
        <f ca="1">'Fiscal Forecasts'!D$182-D$357</f>
        <v>13.805679999999999</v>
      </c>
      <c r="E358" s="50">
        <f ca="1">'Fiscal Forecasts'!E$182-E$357</f>
        <v>30.260049999999996</v>
      </c>
      <c r="F358" s="50">
        <f ca="1">'Fiscal Forecasts'!F$182-F$357</f>
        <v>20.379819999999999</v>
      </c>
      <c r="G358" s="50">
        <f ca="1">'Fiscal Forecasts'!G$182-G$357</f>
        <v>25.071620000000003</v>
      </c>
      <c r="H358" s="50">
        <f ca="1">'Fiscal Forecasts'!H$182-H$357</f>
        <v>26.112599999999993</v>
      </c>
      <c r="I358" s="50">
        <f ca="1">'Fiscal Forecasts'!I$182-I$357</f>
        <v>31.057469999999999</v>
      </c>
      <c r="J358" s="50">
        <f ca="1">'Fiscal Forecasts'!J$182-J$357</f>
        <v>38.810369999999992</v>
      </c>
      <c r="K358" s="50">
        <f ca="1">'Fiscal Forecasts'!K$182-K$357</f>
        <v>42.483760000000004</v>
      </c>
      <c r="L358" s="48">
        <f ca="1">'Fiscal Forecasts'!L$182-L$357</f>
        <v>36.714210000000008</v>
      </c>
      <c r="M358" s="48">
        <f ca="1">'Fiscal Forecasts'!M$182-M$357</f>
        <v>38.716500000000003</v>
      </c>
      <c r="N358" s="48">
        <f ca="1">'Fiscal Forecasts'!N$182-N$357</f>
        <v>42.012569999999997</v>
      </c>
      <c r="O358" s="48">
        <f ca="1">'Fiscal Forecasts'!O$182-O$357</f>
        <v>43.351969999999994</v>
      </c>
      <c r="P358" s="48">
        <f ca="1">'Fiscal Forecasts'!P$182-P$357</f>
        <v>42.542100000000005</v>
      </c>
      <c r="Q358" s="20">
        <f t="shared" ref="Q358:Z358" ca="1" si="203">P$358*(1+Q$14)</f>
        <v>44.39399544591798</v>
      </c>
      <c r="R358" s="20">
        <f t="shared" ca="1" si="203"/>
        <v>46.283631757603125</v>
      </c>
      <c r="S358" s="20">
        <f t="shared" ca="1" si="203"/>
        <v>48.223329799555685</v>
      </c>
      <c r="T358" s="20">
        <f t="shared" ca="1" si="203"/>
        <v>50.208552592764534</v>
      </c>
      <c r="U358" s="20">
        <f t="shared" ca="1" si="203"/>
        <v>52.263001569850594</v>
      </c>
      <c r="V358" s="20">
        <f t="shared" ca="1" si="203"/>
        <v>54.387407371052014</v>
      </c>
      <c r="W358" s="20">
        <f t="shared" ca="1" si="203"/>
        <v>56.571052404224368</v>
      </c>
      <c r="X358" s="20">
        <f t="shared" ca="1" si="203"/>
        <v>58.81757736362939</v>
      </c>
      <c r="Y358" s="20">
        <f t="shared" ca="1" si="203"/>
        <v>61.138730165588584</v>
      </c>
      <c r="Z358" s="20">
        <f t="shared" ca="1" si="203"/>
        <v>63.535109470011037</v>
      </c>
    </row>
    <row r="359" spans="1:26" x14ac:dyDescent="0.25">
      <c r="A359" s="11" t="s">
        <v>1343</v>
      </c>
      <c r="D359" s="94">
        <f t="shared" ref="D359:Z359" ca="1" si="204">SUM(D$357:D$358)</f>
        <v>27.405999999999999</v>
      </c>
      <c r="E359" s="94">
        <f t="shared" ca="1" si="204"/>
        <v>43.665999999999997</v>
      </c>
      <c r="F359" s="94">
        <f t="shared" ca="1" si="204"/>
        <v>37.732999999999997</v>
      </c>
      <c r="G359" s="94">
        <f t="shared" ca="1" si="204"/>
        <v>43.764000000000003</v>
      </c>
      <c r="H359" s="94">
        <f t="shared" ca="1" si="204"/>
        <v>44.414999999999999</v>
      </c>
      <c r="I359" s="94">
        <f t="shared" ca="1" si="204"/>
        <v>51.970999999999997</v>
      </c>
      <c r="J359" s="94">
        <f t="shared" ca="1" si="204"/>
        <v>62.11399999999999</v>
      </c>
      <c r="K359" s="94">
        <f t="shared" ca="1" si="204"/>
        <v>68.587000000000003</v>
      </c>
      <c r="L359" s="95">
        <f t="shared" ca="1" si="204"/>
        <v>65.733000000000004</v>
      </c>
      <c r="M359" s="95">
        <f t="shared" ca="1" si="204"/>
        <v>70.475999999999999</v>
      </c>
      <c r="N359" s="95">
        <f t="shared" ca="1" si="204"/>
        <v>75.415999999999997</v>
      </c>
      <c r="O359" s="95">
        <f t="shared" ca="1" si="204"/>
        <v>78.789000000000001</v>
      </c>
      <c r="P359" s="95">
        <f t="shared" ca="1" si="204"/>
        <v>80.266000000000005</v>
      </c>
      <c r="Q359" s="96">
        <f t="shared" ca="1" si="204"/>
        <v>84.234336577403553</v>
      </c>
      <c r="R359" s="96">
        <f t="shared" ca="1" si="204"/>
        <v>88.554833858256558</v>
      </c>
      <c r="S359" s="96">
        <f t="shared" ca="1" si="204"/>
        <v>93.024351027408443</v>
      </c>
      <c r="T359" s="96">
        <f t="shared" ca="1" si="204"/>
        <v>97.647065091934707</v>
      </c>
      <c r="U359" s="96">
        <f t="shared" ca="1" si="204"/>
        <v>102.43647599848703</v>
      </c>
      <c r="V359" s="96">
        <f t="shared" ca="1" si="204"/>
        <v>107.41065280542318</v>
      </c>
      <c r="W359" s="96">
        <f t="shared" ca="1" si="204"/>
        <v>112.58673735879231</v>
      </c>
      <c r="X359" s="96">
        <f t="shared" ca="1" si="204"/>
        <v>117.99797274276585</v>
      </c>
      <c r="Y359" s="96">
        <f t="shared" ca="1" si="204"/>
        <v>123.69578992467964</v>
      </c>
      <c r="Z359" s="96">
        <f t="shared" ca="1" si="204"/>
        <v>129.71664423435101</v>
      </c>
    </row>
    <row r="360" spans="1:26" x14ac:dyDescent="0.25">
      <c r="A360" s="12" t="s">
        <v>1020</v>
      </c>
      <c r="B360" s="14" t="str">
        <f>$B$38</f>
        <v>From Fiscal Forecasts</v>
      </c>
      <c r="D360" s="50">
        <f>'Fiscal Forecasts'!D$214</f>
        <v>33.838000000000001</v>
      </c>
      <c r="E360" s="50">
        <f>'Fiscal Forecasts'!E$214</f>
        <v>34.494</v>
      </c>
      <c r="F360" s="50">
        <f>'Fiscal Forecasts'!F$214</f>
        <v>33.545999999999999</v>
      </c>
      <c r="G360" s="50">
        <f>'Fiscal Forecasts'!G$214</f>
        <v>31.513000000000002</v>
      </c>
      <c r="H360" s="50">
        <f>'Fiscal Forecasts'!H$214</f>
        <v>34.506</v>
      </c>
      <c r="I360" s="50">
        <f>'Fiscal Forecasts'!I$214</f>
        <v>39.212000000000003</v>
      </c>
      <c r="J360" s="50">
        <f>'Fiscal Forecasts'!J$214</f>
        <v>44.944000000000003</v>
      </c>
      <c r="K360" s="50">
        <f>'Fiscal Forecasts'!K$214</f>
        <v>47.911000000000001</v>
      </c>
      <c r="L360" s="48">
        <f>'Fiscal Forecasts'!L$214</f>
        <v>48.524999999999999</v>
      </c>
      <c r="M360" s="48">
        <f>'Fiscal Forecasts'!M$214</f>
        <v>49.545999999999999</v>
      </c>
      <c r="N360" s="48">
        <f>'Fiscal Forecasts'!N$214</f>
        <v>50.540999999999997</v>
      </c>
      <c r="O360" s="48">
        <f>'Fiscal Forecasts'!O$214</f>
        <v>52.61</v>
      </c>
      <c r="P360" s="48">
        <f>'Fiscal Forecasts'!P$214</f>
        <v>54.841999999999999</v>
      </c>
      <c r="Q360" s="20">
        <f ca="1">P$360*AVERAGE(Exogenous!AB$29/Exogenous!AA$29,1+Q$14)</f>
        <v>57.031776025129474</v>
      </c>
      <c r="R360" s="20">
        <f ca="1">Q$360*AVERAGE(Exogenous!AC$29/Exogenous!AB$29,1+R$14)</f>
        <v>59.455405252808703</v>
      </c>
      <c r="S360" s="20">
        <f ca="1">R$360*AVERAGE(Exogenous!AD$29/Exogenous!AC$29,1+S$14)</f>
        <v>62.152901174691372</v>
      </c>
      <c r="T360" s="20">
        <f ca="1">S$360*AVERAGE(Exogenous!AE$29/Exogenous!AD$29,1+T$14)</f>
        <v>65.185334557155159</v>
      </c>
      <c r="U360" s="20">
        <f ca="1">T$360*AVERAGE(Exogenous!AF$29/Exogenous!AE$29,1+U$14)</f>
        <v>68.550115135603448</v>
      </c>
      <c r="V360" s="20">
        <f ca="1">U$360*AVERAGE(Exogenous!AG$29/Exogenous!AF$29,1+V$14)</f>
        <v>72.04592937288129</v>
      </c>
      <c r="W360" s="20">
        <f ca="1">V$360*AVERAGE(Exogenous!AH$29/Exogenous!AG$29,1+W$14)</f>
        <v>75.642494203682332</v>
      </c>
      <c r="X360" s="20">
        <f ca="1">W$360*AVERAGE(Exogenous!AI$29/Exogenous!AH$29,1+X$14)</f>
        <v>79.329363736532812</v>
      </c>
      <c r="Y360" s="20">
        <f ca="1">X$360*AVERAGE(Exogenous!AJ$29/Exogenous!AI$29,1+Y$14)</f>
        <v>83.134569258151942</v>
      </c>
      <c r="Z360" s="20">
        <f ca="1">Y$360*AVERAGE(Exogenous!AK$29/Exogenous!AJ$29,1+Z$14)</f>
        <v>87.043844665109802</v>
      </c>
    </row>
    <row r="361" spans="1:26" x14ac:dyDescent="0.25">
      <c r="A361" s="12" t="s">
        <v>1227</v>
      </c>
      <c r="B361" s="14" t="str">
        <f>$B$38</f>
        <v>From Fiscal Forecasts</v>
      </c>
      <c r="D361" s="50">
        <f>'Fiscal Forecasts'!D$215</f>
        <v>3.3879999999999999</v>
      </c>
      <c r="E361" s="50">
        <f>'Fiscal Forecasts'!E$215</f>
        <v>3.88</v>
      </c>
      <c r="F361" s="50">
        <f>'Fiscal Forecasts'!F$215</f>
        <v>3.3250000000000002</v>
      </c>
      <c r="G361" s="50">
        <f>'Fiscal Forecasts'!G$215</f>
        <v>5.3479999999999999</v>
      </c>
      <c r="H361" s="50">
        <f>'Fiscal Forecasts'!H$215</f>
        <v>3.9380000000000002</v>
      </c>
      <c r="I361" s="50">
        <f>'Fiscal Forecasts'!I$215</f>
        <v>2.9710000000000001</v>
      </c>
      <c r="J361" s="50">
        <f>'Fiscal Forecasts'!J$215</f>
        <v>2.6240000000000001</v>
      </c>
      <c r="K361" s="50">
        <f>'Fiscal Forecasts'!K$215</f>
        <v>2.4279999999999999</v>
      </c>
      <c r="L361" s="48">
        <f>'Fiscal Forecasts'!L$215</f>
        <v>2.3250000000000002</v>
      </c>
      <c r="M361" s="48">
        <f>'Fiscal Forecasts'!M$215</f>
        <v>2.4729999999999999</v>
      </c>
      <c r="N361" s="48">
        <f>'Fiscal Forecasts'!N$215</f>
        <v>2.6179999999999999</v>
      </c>
      <c r="O361" s="48">
        <f>'Fiscal Forecasts'!O$215</f>
        <v>2.7669999999999999</v>
      </c>
      <c r="P361" s="48">
        <f>'Fiscal Forecasts'!P$215</f>
        <v>2.6669999999999998</v>
      </c>
      <c r="Q361" s="20">
        <f t="shared" ref="Q361:Z361" ca="1" si="205">P$361*(1+Q$14)</f>
        <v>2.7830968817774213</v>
      </c>
      <c r="R361" s="20">
        <f t="shared" ca="1" si="205"/>
        <v>2.901559770145985</v>
      </c>
      <c r="S361" s="20">
        <f t="shared" ca="1" si="205"/>
        <v>3.0231610704552661</v>
      </c>
      <c r="T361" s="20">
        <f t="shared" ca="1" si="205"/>
        <v>3.147616355678327</v>
      </c>
      <c r="U361" s="20">
        <f t="shared" ca="1" si="205"/>
        <v>3.2764114885440887</v>
      </c>
      <c r="V361" s="20">
        <f t="shared" ca="1" si="205"/>
        <v>3.4095922735030868</v>
      </c>
      <c r="W361" s="20">
        <f t="shared" ca="1" si="205"/>
        <v>3.5464868156970701</v>
      </c>
      <c r="X361" s="20">
        <f t="shared" ca="1" si="205"/>
        <v>3.6873233533088285</v>
      </c>
      <c r="Y361" s="20">
        <f t="shared" ca="1" si="205"/>
        <v>3.8328383730851243</v>
      </c>
      <c r="Z361" s="20">
        <f t="shared" ca="1" si="205"/>
        <v>3.9830694055187532</v>
      </c>
    </row>
    <row r="362" spans="1:26" x14ac:dyDescent="0.25">
      <c r="A362" s="12" t="s">
        <v>1228</v>
      </c>
      <c r="B362" s="14" t="str">
        <f>$B$38</f>
        <v>From Fiscal Forecasts</v>
      </c>
      <c r="D362" s="50">
        <f ca="1">'Fiscal Forecasts'!D$122-SUM(D$359:D$361)</f>
        <v>-21.016000000000005</v>
      </c>
      <c r="E362" s="50">
        <f ca="1">'Fiscal Forecasts'!E$122-SUM(E$359:E$361)</f>
        <v>-21.034999999999989</v>
      </c>
      <c r="F362" s="50">
        <f ca="1">'Fiscal Forecasts'!F$122-SUM(F$359:F$361)</f>
        <v>-17.820999999999998</v>
      </c>
      <c r="G362" s="50">
        <f ca="1">'Fiscal Forecasts'!G$122-SUM(G$359:G$361)</f>
        <v>-15.168999999999997</v>
      </c>
      <c r="H362" s="50">
        <f ca="1">'Fiscal Forecasts'!H$122-SUM(H$359:H$361)</f>
        <v>-16.369</v>
      </c>
      <c r="I362" s="50">
        <f ca="1">'Fiscal Forecasts'!I$122-SUM(I$359:I$361)</f>
        <v>-20.507999999999996</v>
      </c>
      <c r="J362" s="50">
        <f ca="1">'Fiscal Forecasts'!J$122-SUM(J$359:J$361)</f>
        <v>-27.137999999999991</v>
      </c>
      <c r="K362" s="50">
        <f ca="1">'Fiscal Forecasts'!K$122-SUM(K$359:K$361)</f>
        <v>-29.459000000000003</v>
      </c>
      <c r="L362" s="48">
        <f ca="1">'Fiscal Forecasts'!L$122-SUM(L$359:L$361)</f>
        <v>-29.169000000000011</v>
      </c>
      <c r="M362" s="48">
        <f ca="1">'Fiscal Forecasts'!M$122-SUM(M$359:M$361)</f>
        <v>-29.719999999999985</v>
      </c>
      <c r="N362" s="48">
        <f ca="1">'Fiscal Forecasts'!N$122-SUM(N$359:N$361)</f>
        <v>-30.209999999999994</v>
      </c>
      <c r="O362" s="48">
        <f ca="1">'Fiscal Forecasts'!O$122-SUM(O$359:O$361)</f>
        <v>-30.920999999999992</v>
      </c>
      <c r="P362" s="48">
        <f ca="1">'Fiscal Forecasts'!P$122-SUM(P$359:P$361)</f>
        <v>-31.77600000000001</v>
      </c>
      <c r="Q362" s="20">
        <f t="shared" ref="Q362:Z362" ca="1" si="206">P$362*Q$360/P$360</f>
        <v>-33.044777998149499</v>
      </c>
      <c r="R362" s="20">
        <f t="shared" ca="1" si="206"/>
        <v>-34.449052866657851</v>
      </c>
      <c r="S362" s="20">
        <f t="shared" ca="1" si="206"/>
        <v>-36.012008820374781</v>
      </c>
      <c r="T362" s="20">
        <f t="shared" ca="1" si="206"/>
        <v>-37.769030868461449</v>
      </c>
      <c r="U362" s="20">
        <f t="shared" ca="1" si="206"/>
        <v>-39.718618185860024</v>
      </c>
      <c r="V362" s="20">
        <f t="shared" ca="1" si="206"/>
        <v>-41.744127707827509</v>
      </c>
      <c r="W362" s="20">
        <f t="shared" ca="1" si="206"/>
        <v>-43.828013125272783</v>
      </c>
      <c r="X362" s="20">
        <f t="shared" ca="1" si="206"/>
        <v>-45.964221984830367</v>
      </c>
      <c r="Y362" s="20">
        <f t="shared" ca="1" si="206"/>
        <v>-48.168995892692401</v>
      </c>
      <c r="Z362" s="20">
        <f t="shared" ca="1" si="206"/>
        <v>-50.434068926708171</v>
      </c>
    </row>
    <row r="363" spans="1:26" x14ac:dyDescent="0.25">
      <c r="A363" s="11" t="s">
        <v>1344</v>
      </c>
      <c r="D363" s="94">
        <f t="shared" ref="D363:Z363" ca="1" si="207">SUM(D$359:D$362)</f>
        <v>43.616</v>
      </c>
      <c r="E363" s="94">
        <f t="shared" ca="1" si="207"/>
        <v>61.005000000000003</v>
      </c>
      <c r="F363" s="94">
        <f t="shared" ca="1" si="207"/>
        <v>56.783000000000001</v>
      </c>
      <c r="G363" s="94">
        <f t="shared" ca="1" si="207"/>
        <v>65.456000000000003</v>
      </c>
      <c r="H363" s="94">
        <f t="shared" ca="1" si="207"/>
        <v>66.489999999999995</v>
      </c>
      <c r="I363" s="94">
        <f t="shared" ca="1" si="207"/>
        <v>73.646000000000001</v>
      </c>
      <c r="J363" s="94">
        <f t="shared" ca="1" si="207"/>
        <v>82.543999999999997</v>
      </c>
      <c r="K363" s="94">
        <f t="shared" ca="1" si="207"/>
        <v>89.466999999999999</v>
      </c>
      <c r="L363" s="95">
        <f t="shared" ca="1" si="207"/>
        <v>87.414000000000001</v>
      </c>
      <c r="M363" s="95">
        <f t="shared" ca="1" si="207"/>
        <v>92.775000000000006</v>
      </c>
      <c r="N363" s="95">
        <f t="shared" ca="1" si="207"/>
        <v>98.364999999999995</v>
      </c>
      <c r="O363" s="95">
        <f t="shared" ca="1" si="207"/>
        <v>103.245</v>
      </c>
      <c r="P363" s="95">
        <f t="shared" ca="1" si="207"/>
        <v>105.999</v>
      </c>
      <c r="Q363" s="96">
        <f t="shared" ca="1" si="207"/>
        <v>111.00443148616097</v>
      </c>
      <c r="R363" s="96">
        <f t="shared" ca="1" si="207"/>
        <v>116.46274601455339</v>
      </c>
      <c r="S363" s="96">
        <f t="shared" ca="1" si="207"/>
        <v>122.18840445218032</v>
      </c>
      <c r="T363" s="96">
        <f t="shared" ca="1" si="207"/>
        <v>128.21098513630676</v>
      </c>
      <c r="U363" s="96">
        <f t="shared" ca="1" si="207"/>
        <v>134.54438443677452</v>
      </c>
      <c r="V363" s="96">
        <f t="shared" ca="1" si="207"/>
        <v>141.12204674398004</v>
      </c>
      <c r="W363" s="96">
        <f t="shared" ca="1" si="207"/>
        <v>147.94770525289894</v>
      </c>
      <c r="X363" s="96">
        <f t="shared" ca="1" si="207"/>
        <v>155.05043784777712</v>
      </c>
      <c r="Y363" s="96">
        <f t="shared" ca="1" si="207"/>
        <v>162.49420166322432</v>
      </c>
      <c r="Z363" s="96">
        <f t="shared" ca="1" si="207"/>
        <v>170.30948937827142</v>
      </c>
    </row>
    <row r="365" spans="1:26" x14ac:dyDescent="0.25">
      <c r="A365" s="11" t="s">
        <v>944</v>
      </c>
    </row>
    <row r="366" spans="1:26" x14ac:dyDescent="0.25">
      <c r="A366" s="12" t="s">
        <v>1345</v>
      </c>
      <c r="D366" s="50">
        <f ca="1">SUM(OFFSET(Assumptions!$B$52,0,$C$1),OFFSET(Assumptions!$B$53,0,$C$1))*(D$384-D$350-D$391)-D$388</f>
        <v>25.267520000000001</v>
      </c>
      <c r="E366" s="50">
        <f ca="1">SUM(OFFSET(Assumptions!$B$52,0,$C$1),OFFSET(Assumptions!$B$53,0,$C$1))*(E$384-E$350-E$391)-E$388</f>
        <v>24.321700000000007</v>
      </c>
      <c r="F366" s="50">
        <f ca="1">SUM(OFFSET(Assumptions!$B$52,0,$C$1),OFFSET(Assumptions!$B$53,0,$C$1))*(F$384-F$350-F$391)-F$388</f>
        <v>32.22748</v>
      </c>
      <c r="G366" s="50">
        <f ca="1">SUM(OFFSET(Assumptions!$B$52,0,$C$1),OFFSET(Assumptions!$B$53,0,$C$1))*(G$384-G$350-G$391)-G$388</f>
        <v>33.700679999999991</v>
      </c>
      <c r="H366" s="50">
        <f ca="1">SUM(OFFSET(Assumptions!$B$52,0,$C$1),OFFSET(Assumptions!$B$53,0,$C$1))*(H$384-H$350-H$391)-H$388</f>
        <v>31.649400000000007</v>
      </c>
      <c r="I366" s="50">
        <f ca="1">SUM(OFFSET(Assumptions!$B$52,0,$C$1),OFFSET(Assumptions!$B$53,0,$C$1))*(I$384-I$350-I$391)-I$388</f>
        <v>37.351579999999998</v>
      </c>
      <c r="J366" s="50">
        <f ca="1">SUM(OFFSET(Assumptions!$B$52,0,$C$1),OFFSET(Assumptions!$B$53,0,$C$1))*(J$384-J$350-J$391)-J$388</f>
        <v>41.521180000000001</v>
      </c>
      <c r="K366" s="50">
        <f ca="1">SUM(OFFSET(Assumptions!$B$52,0,$C$1),OFFSET(Assumptions!$B$53,0,$C$1))*(K$384-K$350-K$391)-K$388</f>
        <v>45.071639999999995</v>
      </c>
      <c r="L366" s="48">
        <f ca="1">SUM(OFFSET(Assumptions!$B$52,0,$C$1),OFFSET(Assumptions!$B$53,0,$C$1))*(L$384-L$350-L$391)-L$388</f>
        <v>50.456940000000003</v>
      </c>
      <c r="M366" s="48">
        <f ca="1">SUM(OFFSET(Assumptions!$B$52,0,$C$1),OFFSET(Assumptions!$B$53,0,$C$1))*(M$384-M$350-M$391)-M$388</f>
        <v>55.367999999999988</v>
      </c>
      <c r="N366" s="48">
        <f ca="1">SUM(OFFSET(Assumptions!$B$52,0,$C$1),OFFSET(Assumptions!$B$53,0,$C$1))*(N$384-N$350-N$391)-N$388</f>
        <v>57.913979999999995</v>
      </c>
      <c r="O366" s="48">
        <f ca="1">SUM(OFFSET(Assumptions!$B$52,0,$C$1),OFFSET(Assumptions!$B$53,0,$C$1))*(O$384-O$350-O$391)-O$388</f>
        <v>61.21858000000001</v>
      </c>
      <c r="P366" s="48">
        <f ca="1">SUM(OFFSET(Assumptions!$B$52,0,$C$1),OFFSET(Assumptions!$B$53,0,$C$1))*(P$384-P$350-P$391)-P$388</f>
        <v>64.983400000000017</v>
      </c>
      <c r="Q366" s="20">
        <f ca="1">OFFSET(Assumptions!$B$52,0,$C$1)*(Q$384-Q$350-Q$391)</f>
        <v>70.68447620102279</v>
      </c>
      <c r="R366" s="20">
        <f ca="1">OFFSET(Assumptions!$B$52,0,$C$1)*(R$384-R$350-R$391)</f>
        <v>74.997294049546426</v>
      </c>
      <c r="S366" s="20">
        <f ca="1">OFFSET(Assumptions!$B$52,0,$C$1)*(S$384-S$350-S$391)</f>
        <v>79.485682823609721</v>
      </c>
      <c r="T366" s="20">
        <f ca="1">OFFSET(Assumptions!$B$52,0,$C$1)*(T$384-T$350-T$391)</f>
        <v>84.165102821108391</v>
      </c>
      <c r="U366" s="20">
        <f ca="1">OFFSET(Assumptions!$B$52,0,$C$1)*(U$384-U$350-U$391)</f>
        <v>89.017454631451756</v>
      </c>
      <c r="V366" s="20">
        <f ca="1">OFFSET(Assumptions!$B$52,0,$C$1)*(V$384-V$350-V$391)</f>
        <v>94.073499964206945</v>
      </c>
      <c r="W366" s="20">
        <f ca="1">OFFSET(Assumptions!$B$52,0,$C$1)*(W$384-W$350-W$391)</f>
        <v>99.382666854878607</v>
      </c>
      <c r="X366" s="20">
        <f ca="1">OFFSET(Assumptions!$B$52,0,$C$1)*(X$384-X$350-X$391)</f>
        <v>104.99747567266147</v>
      </c>
      <c r="Y366" s="20">
        <f ca="1">OFFSET(Assumptions!$B$52,0,$C$1)*(Y$384-Y$350-Y$391)</f>
        <v>110.98833183064544</v>
      </c>
      <c r="Z366" s="20">
        <f ca="1">OFFSET(Assumptions!$B$52,0,$C$1)*(Z$384-Z$350-Z$391)</f>
        <v>117.41885200124834</v>
      </c>
    </row>
    <row r="367" spans="1:26" x14ac:dyDescent="0.25">
      <c r="A367" s="12" t="s">
        <v>1346</v>
      </c>
      <c r="B367" s="14" t="str">
        <f>$B$38</f>
        <v>From Fiscal Forecasts</v>
      </c>
      <c r="D367" s="50">
        <f ca="1">'Fiscal Forecasts'!D$183-D$366</f>
        <v>1.1274799999999985</v>
      </c>
      <c r="E367" s="50">
        <f ca="1">'Fiscal Forecasts'!E$183-E$366</f>
        <v>-6.4617000000000075</v>
      </c>
      <c r="F367" s="50">
        <f ca="1">'Fiscal Forecasts'!F$183-F$366</f>
        <v>-3.5834800000000016</v>
      </c>
      <c r="G367" s="50">
        <f ca="1">'Fiscal Forecasts'!G$183-G$366</f>
        <v>-4.5476799999999926</v>
      </c>
      <c r="H367" s="50">
        <f ca="1">'Fiscal Forecasts'!H$183-H$366</f>
        <v>-2.651400000000006</v>
      </c>
      <c r="I367" s="50">
        <f ca="1">'Fiscal Forecasts'!I$183-I$366</f>
        <v>-1.3579999999997483E-2</v>
      </c>
      <c r="J367" s="50">
        <f ca="1">'Fiscal Forecasts'!J$183-J$366</f>
        <v>1.4638199999999983</v>
      </c>
      <c r="K367" s="50">
        <f ca="1">'Fiscal Forecasts'!K$183-K$366</f>
        <v>5.6813600000000051</v>
      </c>
      <c r="L367" s="48">
        <f ca="1">'Fiscal Forecasts'!L$183-L$366</f>
        <v>3.6750599999999949</v>
      </c>
      <c r="M367" s="48">
        <f ca="1">'Fiscal Forecasts'!M$183-M$366</f>
        <v>3.0080000000000098</v>
      </c>
      <c r="N367" s="48">
        <f ca="1">'Fiscal Forecasts'!N$183-N$366</f>
        <v>3.1720200000000034</v>
      </c>
      <c r="O367" s="48">
        <f ca="1">'Fiscal Forecasts'!O$183-O$366</f>
        <v>3.6244199999999935</v>
      </c>
      <c r="P367" s="48">
        <f ca="1">'Fiscal Forecasts'!P$183-P$366</f>
        <v>3.9635999999999854</v>
      </c>
      <c r="Q367" s="20">
        <f t="shared" ref="Q367:Z367" ca="1" si="208">P$367*(1+Q$14)</f>
        <v>4.1361390328507488</v>
      </c>
      <c r="R367" s="20">
        <f t="shared" ca="1" si="208"/>
        <v>4.3121943400639617</v>
      </c>
      <c r="S367" s="20">
        <f t="shared" ca="1" si="208"/>
        <v>4.4929138428408137</v>
      </c>
      <c r="T367" s="20">
        <f t="shared" ca="1" si="208"/>
        <v>4.6778748359079767</v>
      </c>
      <c r="U367" s="20">
        <f t="shared" ca="1" si="208"/>
        <v>4.8692855553030761</v>
      </c>
      <c r="V367" s="20">
        <f t="shared" ca="1" si="208"/>
        <v>5.0672140739620497</v>
      </c>
      <c r="W367" s="20">
        <f t="shared" ca="1" si="208"/>
        <v>5.2706618457805989</v>
      </c>
      <c r="X367" s="20">
        <f t="shared" ca="1" si="208"/>
        <v>5.4799680701817852</v>
      </c>
      <c r="Y367" s="20">
        <f t="shared" ca="1" si="208"/>
        <v>5.6962272874241267</v>
      </c>
      <c r="Z367" s="20">
        <f t="shared" ca="1" si="208"/>
        <v>5.9194952739835305</v>
      </c>
    </row>
    <row r="368" spans="1:26" x14ac:dyDescent="0.25">
      <c r="A368" s="11" t="s">
        <v>1347</v>
      </c>
      <c r="D368" s="94">
        <f t="shared" ref="D368:Z368" ca="1" si="209">SUM(D$366:D$367)</f>
        <v>26.395</v>
      </c>
      <c r="E368" s="94">
        <f t="shared" ca="1" si="209"/>
        <v>17.86</v>
      </c>
      <c r="F368" s="94">
        <f t="shared" ca="1" si="209"/>
        <v>28.643999999999998</v>
      </c>
      <c r="G368" s="94">
        <f t="shared" ca="1" si="209"/>
        <v>29.152999999999999</v>
      </c>
      <c r="H368" s="94">
        <f t="shared" ca="1" si="209"/>
        <v>28.998000000000001</v>
      </c>
      <c r="I368" s="94">
        <f t="shared" ca="1" si="209"/>
        <v>37.338000000000001</v>
      </c>
      <c r="J368" s="94">
        <f t="shared" ca="1" si="209"/>
        <v>42.984999999999999</v>
      </c>
      <c r="K368" s="94">
        <f t="shared" ca="1" si="209"/>
        <v>50.753</v>
      </c>
      <c r="L368" s="95">
        <f t="shared" ca="1" si="209"/>
        <v>54.131999999999998</v>
      </c>
      <c r="M368" s="95">
        <f t="shared" ca="1" si="209"/>
        <v>58.375999999999998</v>
      </c>
      <c r="N368" s="95">
        <f t="shared" ca="1" si="209"/>
        <v>61.085999999999999</v>
      </c>
      <c r="O368" s="95">
        <f t="shared" ca="1" si="209"/>
        <v>64.843000000000004</v>
      </c>
      <c r="P368" s="95">
        <f t="shared" ca="1" si="209"/>
        <v>68.947000000000003</v>
      </c>
      <c r="Q368" s="96">
        <f t="shared" ca="1" si="209"/>
        <v>74.820615233873539</v>
      </c>
      <c r="R368" s="96">
        <f t="shared" ca="1" si="209"/>
        <v>79.309488389610394</v>
      </c>
      <c r="S368" s="96">
        <f t="shared" ca="1" si="209"/>
        <v>83.978596666450528</v>
      </c>
      <c r="T368" s="96">
        <f t="shared" ca="1" si="209"/>
        <v>88.842977657016363</v>
      </c>
      <c r="U368" s="96">
        <f t="shared" ca="1" si="209"/>
        <v>93.886740186754835</v>
      </c>
      <c r="V368" s="96">
        <f t="shared" ca="1" si="209"/>
        <v>99.140714038168994</v>
      </c>
      <c r="W368" s="96">
        <f t="shared" ca="1" si="209"/>
        <v>104.6533287006592</v>
      </c>
      <c r="X368" s="96">
        <f t="shared" ca="1" si="209"/>
        <v>110.47744374284325</v>
      </c>
      <c r="Y368" s="96">
        <f t="shared" ca="1" si="209"/>
        <v>116.68455911806956</v>
      </c>
      <c r="Z368" s="96">
        <f t="shared" ca="1" si="209"/>
        <v>123.33834727523187</v>
      </c>
    </row>
    <row r="369" spans="1:26" x14ac:dyDescent="0.25">
      <c r="A369" s="12" t="s">
        <v>1020</v>
      </c>
      <c r="B369" s="14" t="str">
        <f>$B$38</f>
        <v>From Fiscal Forecasts</v>
      </c>
      <c r="D369" s="50">
        <f>'Fiscal Forecasts'!D$216</f>
        <v>14.254</v>
      </c>
      <c r="E369" s="50">
        <f>'Fiscal Forecasts'!E$216</f>
        <v>17.135000000000002</v>
      </c>
      <c r="F369" s="50">
        <f>'Fiscal Forecasts'!F$216</f>
        <v>21.521999999999998</v>
      </c>
      <c r="G369" s="50">
        <f>'Fiscal Forecasts'!G$216</f>
        <v>18.613</v>
      </c>
      <c r="H369" s="50">
        <f>'Fiscal Forecasts'!H$216</f>
        <v>19.635000000000002</v>
      </c>
      <c r="I369" s="50">
        <f>'Fiscal Forecasts'!I$216</f>
        <v>16.818999999999999</v>
      </c>
      <c r="J369" s="50">
        <f>'Fiscal Forecasts'!J$216</f>
        <v>17.253</v>
      </c>
      <c r="K369" s="50">
        <f>'Fiscal Forecasts'!K$216</f>
        <v>17.209</v>
      </c>
      <c r="L369" s="48">
        <f>'Fiscal Forecasts'!L$216</f>
        <v>16.515999999999998</v>
      </c>
      <c r="M369" s="48">
        <f>'Fiscal Forecasts'!M$216</f>
        <v>16.759</v>
      </c>
      <c r="N369" s="48">
        <f>'Fiscal Forecasts'!N$216</f>
        <v>16.863</v>
      </c>
      <c r="O369" s="48">
        <f>'Fiscal Forecasts'!O$216</f>
        <v>16.975000000000001</v>
      </c>
      <c r="P369" s="48">
        <f>'Fiscal Forecasts'!P$216</f>
        <v>17.091000000000001</v>
      </c>
      <c r="Q369" s="20">
        <f ca="1">P$369*AVERAGE(Exogenous!AB$29/Exogenous!AA$29,1+Q$14)</f>
        <v>17.773423362486561</v>
      </c>
      <c r="R369" s="20">
        <f ca="1">Q$369*AVERAGE(Exogenous!AC$29/Exogenous!AB$29,1+R$14)</f>
        <v>18.528724903828337</v>
      </c>
      <c r="S369" s="20">
        <f ca="1">R$369*AVERAGE(Exogenous!AD$29/Exogenous!AC$29,1+S$14)</f>
        <v>19.369374457106787</v>
      </c>
      <c r="T369" s="20">
        <f ca="1">S$369*AVERAGE(Exogenous!AE$29/Exogenous!AD$29,1+T$14)</f>
        <v>20.314404159518965</v>
      </c>
      <c r="U369" s="20">
        <f ca="1">T$369*AVERAGE(Exogenous!AF$29/Exogenous!AE$29,1+U$14)</f>
        <v>21.363006779158287</v>
      </c>
      <c r="V369" s="20">
        <f ca="1">U$369*AVERAGE(Exogenous!AG$29/Exogenous!AF$29,1+V$14)</f>
        <v>22.452444821704432</v>
      </c>
      <c r="W369" s="20">
        <f ca="1">V$369*AVERAGE(Exogenous!AH$29/Exogenous!AG$29,1+W$14)</f>
        <v>23.573280851083751</v>
      </c>
      <c r="X369" s="20">
        <f ca="1">W$369*AVERAGE(Exogenous!AI$29/Exogenous!AH$29,1+X$14)</f>
        <v>24.72225950222608</v>
      </c>
      <c r="Y369" s="20">
        <f ca="1">X$369*AVERAGE(Exogenous!AJ$29/Exogenous!AI$29,1+Y$14)</f>
        <v>25.908116465319925</v>
      </c>
      <c r="Z369" s="20">
        <f ca="1">Y$369*AVERAGE(Exogenous!AK$29/Exogenous!AJ$29,1+Z$14)</f>
        <v>27.126405841716061</v>
      </c>
    </row>
    <row r="370" spans="1:26" x14ac:dyDescent="0.25">
      <c r="A370" s="12" t="s">
        <v>1227</v>
      </c>
      <c r="B370" s="14" t="str">
        <f>$B$38</f>
        <v>From Fiscal Forecasts</v>
      </c>
      <c r="D370" s="50">
        <f>'Fiscal Forecasts'!D$217</f>
        <v>0.27900000000000003</v>
      </c>
      <c r="E370" s="50">
        <f>'Fiscal Forecasts'!E$217</f>
        <v>3.7999999999999999E-2</v>
      </c>
      <c r="F370" s="50">
        <f>'Fiscal Forecasts'!F$217</f>
        <v>3.7999999999999999E-2</v>
      </c>
      <c r="G370" s="50">
        <f>'Fiscal Forecasts'!G$217</f>
        <v>3.4000000000000002E-2</v>
      </c>
      <c r="H370" s="50">
        <f>'Fiscal Forecasts'!H$217</f>
        <v>3.5999999999999997E-2</v>
      </c>
      <c r="I370" s="50">
        <f>'Fiscal Forecasts'!I$217</f>
        <v>3.2000000000000001E-2</v>
      </c>
      <c r="J370" s="50">
        <f>'Fiscal Forecasts'!J$217</f>
        <v>0.04</v>
      </c>
      <c r="K370" s="50">
        <f>'Fiscal Forecasts'!K$217</f>
        <v>4.2000000000000003E-2</v>
      </c>
      <c r="L370" s="48">
        <f>'Fiscal Forecasts'!L$217</f>
        <v>4.2000000000000003E-2</v>
      </c>
      <c r="M370" s="48">
        <f>'Fiscal Forecasts'!M$217</f>
        <v>4.2000000000000003E-2</v>
      </c>
      <c r="N370" s="48">
        <f>'Fiscal Forecasts'!N$217</f>
        <v>4.2000000000000003E-2</v>
      </c>
      <c r="O370" s="48">
        <f>'Fiscal Forecasts'!O$217</f>
        <v>4.2000000000000003E-2</v>
      </c>
      <c r="P370" s="48">
        <f>'Fiscal Forecasts'!P$217</f>
        <v>4.2000000000000003E-2</v>
      </c>
      <c r="Q370" s="20">
        <f t="shared" ref="Q370:Z370" ca="1" si="210">P$370*(1+Q$14)</f>
        <v>4.3828297350825537E-2</v>
      </c>
      <c r="R370" s="20">
        <f t="shared" ca="1" si="210"/>
        <v>4.5693854647968275E-2</v>
      </c>
      <c r="S370" s="20">
        <f t="shared" ca="1" si="210"/>
        <v>4.760883575520105E-2</v>
      </c>
      <c r="T370" s="20">
        <f t="shared" ca="1" si="210"/>
        <v>4.9568761506745322E-2</v>
      </c>
      <c r="U370" s="20">
        <f t="shared" ca="1" si="210"/>
        <v>5.1597031315654955E-2</v>
      </c>
      <c r="V370" s="20">
        <f t="shared" ca="1" si="210"/>
        <v>5.3694366511859652E-2</v>
      </c>
      <c r="W370" s="20">
        <f t="shared" ca="1" si="210"/>
        <v>5.5850186073969632E-2</v>
      </c>
      <c r="X370" s="20">
        <f t="shared" ca="1" si="210"/>
        <v>5.8068084304076062E-2</v>
      </c>
      <c r="Y370" s="20">
        <f t="shared" ca="1" si="210"/>
        <v>6.0359659418663399E-2</v>
      </c>
      <c r="Z370" s="20">
        <f t="shared" ca="1" si="210"/>
        <v>6.2725502449114248E-2</v>
      </c>
    </row>
    <row r="371" spans="1:26" x14ac:dyDescent="0.25">
      <c r="A371" s="12" t="s">
        <v>1228</v>
      </c>
      <c r="B371" s="14" t="str">
        <f>$B$38</f>
        <v>From Fiscal Forecasts</v>
      </c>
      <c r="D371" s="50">
        <f ca="1">'Fiscal Forecasts'!D$123-SUM(D$368:D$370)</f>
        <v>-1.3760000000000048</v>
      </c>
      <c r="E371" s="50">
        <f ca="1">'Fiscal Forecasts'!E$123-SUM(E$368:E$370)</f>
        <v>-1.2420000000000044</v>
      </c>
      <c r="F371" s="50">
        <f ca="1">'Fiscal Forecasts'!F$123-SUM(F$368:F$370)</f>
        <v>-1.664999999999992</v>
      </c>
      <c r="G371" s="50">
        <f ca="1">'Fiscal Forecasts'!G$123-SUM(G$368:G$370)</f>
        <v>-1.5389999999999944</v>
      </c>
      <c r="H371" s="50">
        <f ca="1">'Fiscal Forecasts'!H$123-SUM(H$368:H$370)</f>
        <v>-0.62300000000000466</v>
      </c>
      <c r="I371" s="50">
        <f ca="1">'Fiscal Forecasts'!I$123-SUM(I$368:I$370)</f>
        <v>-0.69399999999999551</v>
      </c>
      <c r="J371" s="50">
        <f ca="1">'Fiscal Forecasts'!J$123-SUM(J$368:J$370)</f>
        <v>-0.70499999999999829</v>
      </c>
      <c r="K371" s="50">
        <f ca="1">'Fiscal Forecasts'!K$123-SUM(K$368:K$370)</f>
        <v>-0.78300000000000125</v>
      </c>
      <c r="L371" s="48">
        <f ca="1">'Fiscal Forecasts'!L$123-SUM(L$368:L$370)</f>
        <v>-0.80100000000000193</v>
      </c>
      <c r="M371" s="48">
        <f ca="1">'Fiscal Forecasts'!M$123-SUM(M$368:M$370)</f>
        <v>-0.82599999999999341</v>
      </c>
      <c r="N371" s="48">
        <f ca="1">'Fiscal Forecasts'!N$123-SUM(N$368:N$370)</f>
        <v>-0.85599999999999454</v>
      </c>
      <c r="O371" s="48">
        <f ca="1">'Fiscal Forecasts'!O$123-SUM(O$368:O$370)</f>
        <v>-0.89300000000001489</v>
      </c>
      <c r="P371" s="48">
        <f ca="1">'Fiscal Forecasts'!P$123-SUM(P$368:P$370)</f>
        <v>-0.93300000000000693</v>
      </c>
      <c r="Q371" s="20">
        <f t="shared" ref="Q371:Z371" ca="1" si="211">P$371*AVERAGE(Q$368/P$368,Q$369/P$369)</f>
        <v>-0.99136806417422074</v>
      </c>
      <c r="R371" s="20">
        <f t="shared" ca="1" si="211"/>
        <v>-1.0421713445826555</v>
      </c>
      <c r="S371" s="20">
        <f t="shared" ca="1" si="211"/>
        <v>-1.096490394418975</v>
      </c>
      <c r="T371" s="20">
        <f t="shared" ca="1" si="211"/>
        <v>-1.1549958046523725</v>
      </c>
      <c r="U371" s="20">
        <f t="shared" ca="1" si="211"/>
        <v>-1.2175909904198992</v>
      </c>
      <c r="V371" s="20">
        <f t="shared" ca="1" si="211"/>
        <v>-1.2827060766582203</v>
      </c>
      <c r="W371" s="20">
        <f t="shared" ca="1" si="211"/>
        <v>-1.3503844636311129</v>
      </c>
      <c r="X371" s="20">
        <f t="shared" ca="1" si="211"/>
        <v>-1.4208692808337247</v>
      </c>
      <c r="Y371" s="20">
        <f t="shared" ca="1" si="211"/>
        <v>-1.4948622097055599</v>
      </c>
      <c r="Z371" s="20">
        <f t="shared" ca="1" si="211"/>
        <v>-1.5726303146332583</v>
      </c>
    </row>
    <row r="372" spans="1:26" x14ac:dyDescent="0.25">
      <c r="A372" s="11" t="s">
        <v>1348</v>
      </c>
      <c r="D372" s="94">
        <f t="shared" ref="D372:Z372" ca="1" si="212">SUM(D$368:D$371)</f>
        <v>39.552</v>
      </c>
      <c r="E372" s="94">
        <f t="shared" ca="1" si="212"/>
        <v>33.790999999999997</v>
      </c>
      <c r="F372" s="94">
        <f t="shared" ca="1" si="212"/>
        <v>48.539000000000001</v>
      </c>
      <c r="G372" s="94">
        <f t="shared" ca="1" si="212"/>
        <v>46.261000000000003</v>
      </c>
      <c r="H372" s="94">
        <f t="shared" ca="1" si="212"/>
        <v>48.045999999999999</v>
      </c>
      <c r="I372" s="94">
        <f t="shared" ca="1" si="212"/>
        <v>53.494999999999997</v>
      </c>
      <c r="J372" s="94">
        <f t="shared" ca="1" si="212"/>
        <v>59.573</v>
      </c>
      <c r="K372" s="94">
        <f t="shared" ca="1" si="212"/>
        <v>67.221000000000004</v>
      </c>
      <c r="L372" s="95">
        <f t="shared" ca="1" si="212"/>
        <v>69.888999999999996</v>
      </c>
      <c r="M372" s="95">
        <f t="shared" ca="1" si="212"/>
        <v>74.350999999999999</v>
      </c>
      <c r="N372" s="95">
        <f t="shared" ca="1" si="212"/>
        <v>77.135000000000005</v>
      </c>
      <c r="O372" s="95">
        <f t="shared" ca="1" si="212"/>
        <v>80.966999999999999</v>
      </c>
      <c r="P372" s="95">
        <f t="shared" ca="1" si="212"/>
        <v>85.147000000000006</v>
      </c>
      <c r="Q372" s="96">
        <f t="shared" ca="1" si="212"/>
        <v>91.646498829536696</v>
      </c>
      <c r="R372" s="96">
        <f t="shared" ca="1" si="212"/>
        <v>96.841735803504037</v>
      </c>
      <c r="S372" s="96">
        <f t="shared" ca="1" si="212"/>
        <v>102.29908956489353</v>
      </c>
      <c r="T372" s="96">
        <f t="shared" ca="1" si="212"/>
        <v>108.0519547733897</v>
      </c>
      <c r="U372" s="96">
        <f t="shared" ca="1" si="212"/>
        <v>114.08375300680888</v>
      </c>
      <c r="V372" s="96">
        <f t="shared" ca="1" si="212"/>
        <v>120.36414714972707</v>
      </c>
      <c r="W372" s="96">
        <f t="shared" ca="1" si="212"/>
        <v>126.93207527418582</v>
      </c>
      <c r="X372" s="96">
        <f t="shared" ca="1" si="212"/>
        <v>133.83690204853966</v>
      </c>
      <c r="Y372" s="96">
        <f t="shared" ca="1" si="212"/>
        <v>141.15817303310257</v>
      </c>
      <c r="Z372" s="96">
        <f t="shared" ca="1" si="212"/>
        <v>148.9548483047638</v>
      </c>
    </row>
    <row r="374" spans="1:26" x14ac:dyDescent="0.25">
      <c r="A374" s="11" t="s">
        <v>1088</v>
      </c>
    </row>
    <row r="375" spans="1:26" x14ac:dyDescent="0.25">
      <c r="A375" s="12" t="s">
        <v>524</v>
      </c>
      <c r="B375" s="14" t="str">
        <f>$B$38</f>
        <v>From Fiscal Forecasts</v>
      </c>
      <c r="D375" s="50">
        <f>'Fiscal Forecasts'!D$358</f>
        <v>0.98199999999999998</v>
      </c>
      <c r="E375" s="50">
        <f>'Fiscal Forecasts'!E$358</f>
        <v>0.80300000000000005</v>
      </c>
      <c r="F375" s="50">
        <f>'Fiscal Forecasts'!F$358</f>
        <v>0.74199999999999999</v>
      </c>
      <c r="G375" s="50">
        <f>'Fiscal Forecasts'!G$358</f>
        <v>1.077</v>
      </c>
      <c r="H375" s="50">
        <f>'Fiscal Forecasts'!H$358</f>
        <v>1.32</v>
      </c>
      <c r="I375" s="50">
        <f>'Fiscal Forecasts'!I$358</f>
        <v>1.659</v>
      </c>
      <c r="J375" s="50">
        <f>'Fiscal Forecasts'!J$358</f>
        <v>1.784</v>
      </c>
      <c r="K375" s="50">
        <f>'Fiscal Forecasts'!K$358</f>
        <v>1.794</v>
      </c>
      <c r="L375" s="48">
        <f>'Fiscal Forecasts'!L$358</f>
        <v>1.7829999999999999</v>
      </c>
      <c r="M375" s="48">
        <f>'Fiscal Forecasts'!M$358</f>
        <v>1.8460000000000001</v>
      </c>
      <c r="N375" s="48">
        <f>'Fiscal Forecasts'!N$358</f>
        <v>1.9339999999999999</v>
      </c>
      <c r="O375" s="48">
        <f>'Fiscal Forecasts'!O$358</f>
        <v>2.0230000000000001</v>
      </c>
      <c r="P375" s="48">
        <f>'Fiscal Forecasts'!P$358</f>
        <v>2.117</v>
      </c>
      <c r="Q375" s="20">
        <f>Exogenous!AB$7</f>
        <v>2.2826423397519768</v>
      </c>
      <c r="R375" s="20">
        <f>Exogenous!AC$7</f>
        <v>2.4227195267047787</v>
      </c>
      <c r="S375" s="20">
        <f>Exogenous!AD$7</f>
        <v>2.5686040258743446</v>
      </c>
      <c r="T375" s="20">
        <f>Exogenous!AE$7</f>
        <v>2.7205525842122014</v>
      </c>
      <c r="U375" s="20">
        <f>Exogenous!AF$7</f>
        <v>2.8785731084689492</v>
      </c>
      <c r="V375" s="20">
        <f>Exogenous!AG$7</f>
        <v>3.0428005523082655</v>
      </c>
      <c r="W375" s="20">
        <f>Exogenous!AH$7</f>
        <v>3.2145377933622776</v>
      </c>
      <c r="X375" s="20">
        <f>Exogenous!AI$7</f>
        <v>3.3954730466939047</v>
      </c>
      <c r="Y375" s="20">
        <f>Exogenous!AJ$7</f>
        <v>3.5876200801183402</v>
      </c>
      <c r="Z375" s="20">
        <f>Exogenous!AK$7</f>
        <v>3.7932149643970732</v>
      </c>
    </row>
    <row r="376" spans="1:26" x14ac:dyDescent="0.25">
      <c r="A376" s="12" t="s">
        <v>672</v>
      </c>
      <c r="B376" s="14" t="str">
        <f>$B$38</f>
        <v>From Fiscal Forecasts</v>
      </c>
      <c r="D376" s="50">
        <f>'Fiscal Forecasts'!D$359</f>
        <v>0.504</v>
      </c>
      <c r="E376" s="50">
        <f>'Fiscal Forecasts'!E$359</f>
        <v>0.44800000000000001</v>
      </c>
      <c r="F376" s="50">
        <f>'Fiscal Forecasts'!F$359</f>
        <v>2.1560000000000001</v>
      </c>
      <c r="G376" s="50">
        <f>'Fiscal Forecasts'!G$359</f>
        <v>3.5000000000000003E-2</v>
      </c>
      <c r="H376" s="50">
        <f>'Fiscal Forecasts'!H$359</f>
        <v>0.127</v>
      </c>
      <c r="I376" s="50">
        <f>'Fiscal Forecasts'!I$359</f>
        <v>1.29</v>
      </c>
      <c r="J376" s="50">
        <f>'Fiscal Forecasts'!J$359</f>
        <v>1.7549999999999999</v>
      </c>
      <c r="K376" s="50">
        <f>'Fiscal Forecasts'!K$359</f>
        <v>1.196</v>
      </c>
      <c r="L376" s="48">
        <f>'Fiscal Forecasts'!L$359</f>
        <v>1.1910000000000001</v>
      </c>
      <c r="M376" s="48">
        <f>'Fiscal Forecasts'!M$359</f>
        <v>1.2689999999999999</v>
      </c>
      <c r="N376" s="48">
        <f>'Fiscal Forecasts'!N$359</f>
        <v>1.351</v>
      </c>
      <c r="O376" s="48">
        <f>'Fiscal Forecasts'!O$359</f>
        <v>1.4419999999999999</v>
      </c>
      <c r="P376" s="48">
        <f>'Fiscal Forecasts'!P$359</f>
        <v>1.54</v>
      </c>
      <c r="Q376" s="20">
        <f>Exogenous!AB$8</f>
        <v>1.6465642618703413</v>
      </c>
      <c r="R376" s="20">
        <f>Exogenous!AC$8</f>
        <v>1.7476077262463132</v>
      </c>
      <c r="S376" s="20">
        <f>Exogenous!AD$8</f>
        <v>1.8528402449419756</v>
      </c>
      <c r="T376" s="20">
        <f>Exogenous!AE$8</f>
        <v>1.9624470201448843</v>
      </c>
      <c r="U376" s="20">
        <f>Exogenous!AF$8</f>
        <v>2.0764337553210344</v>
      </c>
      <c r="V376" s="20">
        <f>Exogenous!AG$8</f>
        <v>2.194897798125707</v>
      </c>
      <c r="W376" s="20">
        <f>Exogenous!AH$8</f>
        <v>2.3187789680432305</v>
      </c>
      <c r="X376" s="20">
        <f>Exogenous!AI$8</f>
        <v>2.4492950443728607</v>
      </c>
      <c r="Y376" s="20">
        <f>Exogenous!AJ$8</f>
        <v>2.5878986410692479</v>
      </c>
      <c r="Z376" s="20">
        <f>Exogenous!AK$8</f>
        <v>2.736202728390047</v>
      </c>
    </row>
    <row r="377" spans="1:26" x14ac:dyDescent="0.25">
      <c r="A377" s="12" t="s">
        <v>664</v>
      </c>
      <c r="B377" s="14" t="str">
        <f>$B$38</f>
        <v>From Fiscal Forecasts</v>
      </c>
      <c r="D377" s="50">
        <f>'Fiscal Forecasts'!D$360</f>
        <v>0.13</v>
      </c>
      <c r="E377" s="50">
        <f>'Fiscal Forecasts'!E$360</f>
        <v>0.15</v>
      </c>
      <c r="F377" s="50">
        <f>'Fiscal Forecasts'!F$360</f>
        <v>0.125</v>
      </c>
      <c r="G377" s="50">
        <f>'Fiscal Forecasts'!G$360</f>
        <v>-0.51700000000000002</v>
      </c>
      <c r="H377" s="50">
        <f>'Fiscal Forecasts'!H$360</f>
        <v>1.054</v>
      </c>
      <c r="I377" s="50">
        <f>'Fiscal Forecasts'!I$360</f>
        <v>0.189</v>
      </c>
      <c r="J377" s="50">
        <f>'Fiscal Forecasts'!J$360</f>
        <v>0.193</v>
      </c>
      <c r="K377" s="50">
        <f>'Fiscal Forecasts'!K$360</f>
        <v>0.215</v>
      </c>
      <c r="L377" s="48">
        <f>'Fiscal Forecasts'!L$360</f>
        <v>0.32200000000000001</v>
      </c>
      <c r="M377" s="48">
        <f>'Fiscal Forecasts'!M$360</f>
        <v>0.33600000000000002</v>
      </c>
      <c r="N377" s="48">
        <f>'Fiscal Forecasts'!N$360</f>
        <v>0.35199999999999998</v>
      </c>
      <c r="O377" s="48">
        <f>'Fiscal Forecasts'!O$360</f>
        <v>0.371</v>
      </c>
      <c r="P377" s="48">
        <f>'Fiscal Forecasts'!P$360</f>
        <v>0.39100000000000001</v>
      </c>
      <c r="Q377" s="20">
        <f>Exogenous!AB$9</f>
        <v>0.41851304952192758</v>
      </c>
      <c r="R377" s="20">
        <f>Exogenous!AC$9</f>
        <v>0.44419562346666575</v>
      </c>
      <c r="S377" s="20">
        <f>Exogenous!AD$9</f>
        <v>0.47094294413192073</v>
      </c>
      <c r="T377" s="20">
        <f>Exogenous!AE$9</f>
        <v>0.49880208501132234</v>
      </c>
      <c r="U377" s="20">
        <f>Exogenous!AF$9</f>
        <v>0.52777449577495117</v>
      </c>
      <c r="V377" s="20">
        <f>Exogenous!AG$9</f>
        <v>0.55788491961991127</v>
      </c>
      <c r="W377" s="20">
        <f>Exogenous!AH$9</f>
        <v>0.58937223378136083</v>
      </c>
      <c r="X377" s="20">
        <f>Exogenous!AI$9</f>
        <v>0.62254596552159913</v>
      </c>
      <c r="Y377" s="20">
        <f>Exogenous!AJ$9</f>
        <v>0.65777533085606932</v>
      </c>
      <c r="Z377" s="20">
        <f>Exogenous!AK$9</f>
        <v>0.69547030412768118</v>
      </c>
    </row>
    <row r="378" spans="1:26" x14ac:dyDescent="0.25">
      <c r="A378" s="12" t="s">
        <v>527</v>
      </c>
      <c r="B378" s="14" t="str">
        <f>$B$38</f>
        <v>From Fiscal Forecasts</v>
      </c>
      <c r="D378" s="50">
        <f>'Fiscal Forecasts'!D$361</f>
        <v>1.9550000000000001</v>
      </c>
      <c r="E378" s="50">
        <f>'Fiscal Forecasts'!E$361</f>
        <v>1.7000000000000001E-2</v>
      </c>
      <c r="F378" s="50">
        <f>'Fiscal Forecasts'!F$361</f>
        <v>12.786</v>
      </c>
      <c r="G378" s="50">
        <f>'Fiscal Forecasts'!G$361</f>
        <v>-5.133</v>
      </c>
      <c r="H378" s="50">
        <f>'Fiscal Forecasts'!H$361</f>
        <v>5.766</v>
      </c>
      <c r="I378" s="50">
        <f>'Fiscal Forecasts'!I$361</f>
        <v>8.3520000000000003</v>
      </c>
      <c r="J378" s="50">
        <f>'Fiscal Forecasts'!J$361</f>
        <v>7.3129999999999997</v>
      </c>
      <c r="K378" s="50">
        <f>'Fiscal Forecasts'!K$361</f>
        <v>10.266999999999999</v>
      </c>
      <c r="L378" s="48">
        <f>'Fiscal Forecasts'!L$361</f>
        <v>5.2359999999999998</v>
      </c>
      <c r="M378" s="48">
        <f>'Fiscal Forecasts'!M$361</f>
        <v>5.6260000000000003</v>
      </c>
      <c r="N378" s="48">
        <f>'Fiscal Forecasts'!N$361</f>
        <v>6.0119999999999996</v>
      </c>
      <c r="O378" s="48">
        <f>'Fiscal Forecasts'!O$361</f>
        <v>6.4580000000000002</v>
      </c>
      <c r="P378" s="48">
        <f>'Fiscal Forecasts'!P$361</f>
        <v>6.9329999999999998</v>
      </c>
      <c r="Q378" s="20">
        <f>Exogenous!AB$10</f>
        <v>7.2834499423829602</v>
      </c>
      <c r="R378" s="20">
        <f>Exogenous!AC$10</f>
        <v>7.7304079092414062</v>
      </c>
      <c r="S378" s="20">
        <f>Exogenous!AD$10</f>
        <v>8.1958958346018864</v>
      </c>
      <c r="T378" s="20">
        <f>Exogenous!AE$10</f>
        <v>8.6807329460484794</v>
      </c>
      <c r="U378" s="20">
        <f>Exogenous!AF$10</f>
        <v>9.1849444724228615</v>
      </c>
      <c r="V378" s="20">
        <f>Exogenous!AG$10</f>
        <v>9.7089610235655766</v>
      </c>
      <c r="W378" s="20">
        <f>Exogenous!AH$10</f>
        <v>10.256939818437033</v>
      </c>
      <c r="X378" s="20">
        <f>Exogenous!AI$10</f>
        <v>10.834267609788034</v>
      </c>
      <c r="Y378" s="20">
        <f>Exogenous!AJ$10</f>
        <v>11.447369923344665</v>
      </c>
      <c r="Z378" s="20">
        <f>Exogenous!AK$10</f>
        <v>12.103381608564206</v>
      </c>
    </row>
    <row r="379" spans="1:26" x14ac:dyDescent="0.25">
      <c r="A379" s="11" t="s">
        <v>1349</v>
      </c>
      <c r="D379" s="94">
        <f t="shared" ref="D379:Z379" si="213">D$375-D$376-D$377+D$378</f>
        <v>2.3029999999999999</v>
      </c>
      <c r="E379" s="94">
        <f t="shared" si="213"/>
        <v>0.22200000000000003</v>
      </c>
      <c r="F379" s="94">
        <f t="shared" si="213"/>
        <v>11.247</v>
      </c>
      <c r="G379" s="94">
        <f t="shared" si="213"/>
        <v>-3.5739999999999998</v>
      </c>
      <c r="H379" s="94">
        <f t="shared" si="213"/>
        <v>5.9050000000000002</v>
      </c>
      <c r="I379" s="94">
        <f t="shared" si="213"/>
        <v>8.532</v>
      </c>
      <c r="J379" s="94">
        <f t="shared" si="213"/>
        <v>7.149</v>
      </c>
      <c r="K379" s="94">
        <f t="shared" si="213"/>
        <v>10.65</v>
      </c>
      <c r="L379" s="95">
        <f t="shared" si="213"/>
        <v>5.5059999999999993</v>
      </c>
      <c r="M379" s="95">
        <f t="shared" si="213"/>
        <v>5.8670000000000009</v>
      </c>
      <c r="N379" s="95">
        <f t="shared" si="213"/>
        <v>6.2429999999999994</v>
      </c>
      <c r="O379" s="95">
        <f t="shared" si="213"/>
        <v>6.6680000000000001</v>
      </c>
      <c r="P379" s="95">
        <f t="shared" si="213"/>
        <v>7.1189999999999998</v>
      </c>
      <c r="Q379" s="96">
        <f t="shared" si="213"/>
        <v>7.5010149707426681</v>
      </c>
      <c r="R379" s="96">
        <f t="shared" si="213"/>
        <v>7.9613240862332058</v>
      </c>
      <c r="S379" s="96">
        <f t="shared" si="213"/>
        <v>8.4407166714023347</v>
      </c>
      <c r="T379" s="96">
        <f t="shared" si="213"/>
        <v>8.9400364251044735</v>
      </c>
      <c r="U379" s="96">
        <f t="shared" si="213"/>
        <v>9.4593093297958255</v>
      </c>
      <c r="V379" s="96">
        <f t="shared" si="213"/>
        <v>9.9989788581282237</v>
      </c>
      <c r="W379" s="96">
        <f t="shared" si="213"/>
        <v>10.563326409974719</v>
      </c>
      <c r="X379" s="96">
        <f t="shared" si="213"/>
        <v>11.157899646587479</v>
      </c>
      <c r="Y379" s="96">
        <f t="shared" si="213"/>
        <v>11.789316031537687</v>
      </c>
      <c r="Z379" s="96">
        <f t="shared" si="213"/>
        <v>12.46492354044355</v>
      </c>
    </row>
    <row r="380" spans="1:26" x14ac:dyDescent="0.25">
      <c r="A380" s="12" t="s">
        <v>1350</v>
      </c>
      <c r="B380" s="14" t="str">
        <f>$B$38</f>
        <v>From Fiscal Forecasts</v>
      </c>
      <c r="D380" s="50">
        <f>'Fiscal Forecasts'!D$362</f>
        <v>1</v>
      </c>
      <c r="E380" s="50">
        <f>'Fiscal Forecasts'!E$362</f>
        <v>1.46</v>
      </c>
      <c r="F380" s="50">
        <f>'Fiscal Forecasts'!F$362</f>
        <v>2.12</v>
      </c>
      <c r="G380" s="50">
        <f>'Fiscal Forecasts'!G$362</f>
        <v>2.42</v>
      </c>
      <c r="H380" s="50">
        <f>'Fiscal Forecasts'!H$362</f>
        <v>2.5579999999999998</v>
      </c>
      <c r="I380" s="50">
        <f>'Fiscal Forecasts'!I$362</f>
        <v>1.6140000000000001</v>
      </c>
      <c r="J380" s="50">
        <f>'Fiscal Forecasts'!J$362</f>
        <v>0.879</v>
      </c>
      <c r="K380" s="50">
        <f>'Fiscal Forecasts'!K$362</f>
        <v>0</v>
      </c>
      <c r="L380" s="48">
        <f>'Fiscal Forecasts'!L$362</f>
        <v>0.56200000000000006</v>
      </c>
      <c r="M380" s="48">
        <f>'Fiscal Forecasts'!M$362</f>
        <v>0.155</v>
      </c>
      <c r="N380" s="48">
        <f>'Fiscal Forecasts'!N$362</f>
        <v>0.35</v>
      </c>
      <c r="O380" s="48">
        <f>'Fiscal Forecasts'!O$362</f>
        <v>0.44900000000000001</v>
      </c>
      <c r="P380" s="48">
        <f>'Fiscal Forecasts'!P$362</f>
        <v>0.47299999999999998</v>
      </c>
      <c r="Q380" s="20">
        <f>Exogenous!AB$11</f>
        <v>0.35431289191672377</v>
      </c>
      <c r="R380" s="20">
        <f>Exogenous!AC$11</f>
        <v>0.22475822866131523</v>
      </c>
      <c r="S380" s="20">
        <f>Exogenous!AD$11</f>
        <v>7.8613672750343255E-2</v>
      </c>
      <c r="T380" s="20">
        <f>Exogenous!AE$11</f>
        <v>-5.8113137154620631E-2</v>
      </c>
      <c r="U380" s="20">
        <f>Exogenous!AF$11</f>
        <v>-0.24914726512719909</v>
      </c>
      <c r="V380" s="20">
        <f>Exogenous!AG$11</f>
        <v>-0.40218976675939189</v>
      </c>
      <c r="W380" s="20">
        <f>Exogenous!AH$11</f>
        <v>-0.48609182297989406</v>
      </c>
      <c r="X380" s="20">
        <f>Exogenous!AI$11</f>
        <v>-0.50053159184796669</v>
      </c>
      <c r="Y380" s="20">
        <f>Exogenous!AJ$11</f>
        <v>-0.41817925544185641</v>
      </c>
      <c r="Z380" s="20">
        <f>Exogenous!AK$11</f>
        <v>-0.2592683764618755</v>
      </c>
    </row>
    <row r="381" spans="1:26" x14ac:dyDescent="0.25">
      <c r="A381" s="12" t="s">
        <v>529</v>
      </c>
      <c r="B381" s="14" t="str">
        <f>$B$38</f>
        <v>From Fiscal Forecasts</v>
      </c>
      <c r="D381" s="50">
        <f>'Fiscal Forecasts'!D$363</f>
        <v>8.8999999999999996E-2</v>
      </c>
      <c r="E381" s="50">
        <f>'Fiscal Forecasts'!E$363</f>
        <v>-0.13</v>
      </c>
      <c r="F381" s="50">
        <f>'Fiscal Forecasts'!F$363</f>
        <v>1E-3</v>
      </c>
      <c r="G381" s="50">
        <f>'Fiscal Forecasts'!G$363</f>
        <v>-1E-3</v>
      </c>
      <c r="H381" s="50">
        <f>'Fiscal Forecasts'!H$363</f>
        <v>0</v>
      </c>
      <c r="I381" s="50">
        <f>'Fiscal Forecasts'!I$363</f>
        <v>0</v>
      </c>
      <c r="J381" s="50">
        <f>'Fiscal Forecasts'!J$363</f>
        <v>0</v>
      </c>
      <c r="K381" s="50">
        <f>'Fiscal Forecasts'!K$363</f>
        <v>0</v>
      </c>
      <c r="L381" s="48">
        <f>'Fiscal Forecasts'!L$363</f>
        <v>0</v>
      </c>
      <c r="M381" s="48">
        <f>'Fiscal Forecasts'!M$363</f>
        <v>0</v>
      </c>
      <c r="N381" s="48">
        <f>'Fiscal Forecasts'!N$363</f>
        <v>0</v>
      </c>
      <c r="O381" s="48">
        <f>'Fiscal Forecasts'!O$363</f>
        <v>0</v>
      </c>
      <c r="P381" s="48">
        <f>'Fiscal Forecasts'!P$363</f>
        <v>0</v>
      </c>
      <c r="Q381" s="20">
        <f>Exogenous!AB$12</f>
        <v>0</v>
      </c>
      <c r="R381" s="20">
        <f>Exogenous!AC$12</f>
        <v>0</v>
      </c>
      <c r="S381" s="20">
        <f>Exogenous!AD$12</f>
        <v>0</v>
      </c>
      <c r="T381" s="20">
        <f>Exogenous!AE$12</f>
        <v>0</v>
      </c>
      <c r="U381" s="20">
        <f>Exogenous!AF$12</f>
        <v>0</v>
      </c>
      <c r="V381" s="20">
        <f>Exogenous!AG$12</f>
        <v>0</v>
      </c>
      <c r="W381" s="20">
        <f>Exogenous!AH$12</f>
        <v>0</v>
      </c>
      <c r="X381" s="20">
        <f>Exogenous!AI$12</f>
        <v>0</v>
      </c>
      <c r="Y381" s="20">
        <f>Exogenous!AJ$12</f>
        <v>0</v>
      </c>
      <c r="Z381" s="20">
        <f>Exogenous!AK$12</f>
        <v>0</v>
      </c>
    </row>
    <row r="382" spans="1:26" x14ac:dyDescent="0.25">
      <c r="A382" s="11" t="s">
        <v>1093</v>
      </c>
      <c r="C382" s="103">
        <f>'Fiscal Forecasts'!$C$364</f>
        <v>39.052999999999997</v>
      </c>
      <c r="D382" s="94">
        <f t="shared" ref="D382:Z382" si="214">SUM(C$382,D$379,D$380,D$381)</f>
        <v>42.444999999999993</v>
      </c>
      <c r="E382" s="94">
        <f t="shared" si="214"/>
        <v>43.996999999999993</v>
      </c>
      <c r="F382" s="94">
        <f t="shared" si="214"/>
        <v>57.364999999999988</v>
      </c>
      <c r="G382" s="94">
        <f t="shared" si="214"/>
        <v>56.209999999999994</v>
      </c>
      <c r="H382" s="94">
        <f t="shared" si="214"/>
        <v>64.673000000000002</v>
      </c>
      <c r="I382" s="94">
        <f t="shared" si="214"/>
        <v>74.819000000000003</v>
      </c>
      <c r="J382" s="94">
        <f t="shared" si="214"/>
        <v>82.847000000000008</v>
      </c>
      <c r="K382" s="94">
        <f t="shared" si="214"/>
        <v>93.497000000000014</v>
      </c>
      <c r="L382" s="95">
        <f t="shared" si="214"/>
        <v>99.565000000000012</v>
      </c>
      <c r="M382" s="95">
        <f t="shared" si="214"/>
        <v>105.58700000000002</v>
      </c>
      <c r="N382" s="95">
        <f t="shared" si="214"/>
        <v>112.18</v>
      </c>
      <c r="O382" s="95">
        <f t="shared" si="214"/>
        <v>119.29700000000001</v>
      </c>
      <c r="P382" s="95">
        <f t="shared" si="214"/>
        <v>126.88900000000001</v>
      </c>
      <c r="Q382" s="96">
        <f t="shared" si="214"/>
        <v>134.74432786265939</v>
      </c>
      <c r="R382" s="96">
        <f t="shared" si="214"/>
        <v>142.93041017755394</v>
      </c>
      <c r="S382" s="96">
        <f t="shared" si="214"/>
        <v>151.44974052170662</v>
      </c>
      <c r="T382" s="96">
        <f t="shared" si="214"/>
        <v>160.33166380965645</v>
      </c>
      <c r="U382" s="96">
        <f t="shared" si="214"/>
        <v>169.54182587432507</v>
      </c>
      <c r="V382" s="96">
        <f t="shared" si="214"/>
        <v>179.1386149656939</v>
      </c>
      <c r="W382" s="96">
        <f t="shared" si="214"/>
        <v>189.21584955268872</v>
      </c>
      <c r="X382" s="96">
        <f t="shared" si="214"/>
        <v>199.87321760742824</v>
      </c>
      <c r="Y382" s="96">
        <f t="shared" si="214"/>
        <v>211.24435438352407</v>
      </c>
      <c r="Z382" s="96">
        <f t="shared" si="214"/>
        <v>223.45000954750574</v>
      </c>
    </row>
    <row r="383" spans="1:26" x14ac:dyDescent="0.25">
      <c r="A383" s="14" t="s">
        <v>1351</v>
      </c>
    </row>
    <row r="384" spans="1:26" x14ac:dyDescent="0.25">
      <c r="A384" s="12" t="s">
        <v>1094</v>
      </c>
      <c r="B384" s="14" t="str">
        <f>$B$38</f>
        <v>From Fiscal Forecasts</v>
      </c>
      <c r="D384" s="50">
        <f>'Fiscal Forecasts'!D$365</f>
        <v>44.307000000000002</v>
      </c>
      <c r="E384" s="50">
        <f>'Fiscal Forecasts'!E$365</f>
        <v>48.220999999999997</v>
      </c>
      <c r="F384" s="50">
        <f>'Fiscal Forecasts'!F$365</f>
        <v>62.311999999999998</v>
      </c>
      <c r="G384" s="50">
        <f>'Fiscal Forecasts'!G$365</f>
        <v>65.411000000000001</v>
      </c>
      <c r="H384" s="50">
        <f>'Fiscal Forecasts'!H$365</f>
        <v>68.233999999999995</v>
      </c>
      <c r="I384" s="50">
        <f>'Fiscal Forecasts'!I$365</f>
        <v>79.058000000000007</v>
      </c>
      <c r="J384" s="50">
        <f>'Fiscal Forecasts'!J$365</f>
        <v>87.295000000000002</v>
      </c>
      <c r="K384" s="50">
        <f>'Fiscal Forecasts'!K$365</f>
        <v>98.241</v>
      </c>
      <c r="L384" s="48">
        <f>'Fiscal Forecasts'!L$365</f>
        <v>105.30500000000001</v>
      </c>
      <c r="M384" s="48">
        <f>'Fiscal Forecasts'!M$365</f>
        <v>112.79900000000001</v>
      </c>
      <c r="N384" s="48">
        <f>'Fiscal Forecasts'!N$365</f>
        <v>118.80200000000001</v>
      </c>
      <c r="O384" s="48">
        <f>'Fiscal Forecasts'!O$365</f>
        <v>125.7</v>
      </c>
      <c r="P384" s="48">
        <f>'Fiscal Forecasts'!P$365</f>
        <v>133.26300000000001</v>
      </c>
      <c r="Q384" s="20">
        <f ca="1">IF(Q$6=OFFSET(Assumptions!$B$8,0,$C$1),AVERAGE(N$384/N$382,O$384/O$382,P$384/P$382),P$384/P$382)*Q$382</f>
        <v>142.06255178800495</v>
      </c>
      <c r="R384" s="20">
        <f ca="1">IF(R$6=OFFSET(Assumptions!$B$8,0,$C$1),AVERAGE(O$384/O$382,P$384/P$382,Q$384/Q$382),Q$384/Q$382)*R$382</f>
        <v>150.69323599747997</v>
      </c>
      <c r="S384" s="20">
        <f ca="1">IF(S$6=OFFSET(Assumptions!$B$8,0,$C$1),AVERAGE(P$384/P$382,Q$384/Q$382,R$384/R$382),R$384/R$382)*S$382</f>
        <v>159.67526757842273</v>
      </c>
      <c r="T384" s="20">
        <f ca="1">IF(T$6=OFFSET(Assumptions!$B$8,0,$C$1),AVERAGE(Q$384/Q$382,R$384/R$382,S$384/S$382),S$384/S$382)*T$382</f>
        <v>169.0395852241908</v>
      </c>
      <c r="U384" s="20">
        <f ca="1">IF(U$6=OFFSET(Assumptions!$B$8,0,$C$1),AVERAGE(R$384/R$382,S$384/S$382,T$384/T$382),T$384/T$382)*U$382</f>
        <v>178.74996892673548</v>
      </c>
      <c r="V384" s="20">
        <f ca="1">IF(V$6=OFFSET(Assumptions!$B$8,0,$C$1),AVERAGE(S$384/S$382,T$384/T$382,U$384/U$382),U$384/U$382)*V$382</f>
        <v>188.86797811433377</v>
      </c>
      <c r="W384" s="20">
        <f ca="1">IF(W$6=OFFSET(Assumptions!$B$8,0,$C$1),AVERAGE(T$384/T$382,U$384/U$382,V$384/V$382),V$384/V$382)*W$382</f>
        <v>199.49252671762645</v>
      </c>
      <c r="X384" s="20">
        <f ca="1">IF(X$6=OFFSET(Assumptions!$B$8,0,$C$1),AVERAGE(U$384/U$382,V$384/V$382,W$384/W$382),W$384/W$382)*X$382</f>
        <v>210.72871695446852</v>
      </c>
      <c r="Y384" s="20">
        <f ca="1">IF(Y$6=OFFSET(Assumptions!$B$8,0,$C$1),AVERAGE(V$384/V$382,W$384/W$382,X$384/X$382),X$384/X$382)*Y$382</f>
        <v>222.71744206643865</v>
      </c>
      <c r="Z384" s="20">
        <f ca="1">IF(Z$6=OFFSET(Assumptions!$B$8,0,$C$1),AVERAGE(W$384/W$382,X$384/X$382,Y$384/Y$382),Y$384/Y$382)*Z$382</f>
        <v>235.58600986698499</v>
      </c>
    </row>
    <row r="385" spans="1:26" x14ac:dyDescent="0.25">
      <c r="A385" s="12" t="s">
        <v>1352</v>
      </c>
      <c r="B385" s="14" t="str">
        <f>$B$38</f>
        <v>From Fiscal Forecasts</v>
      </c>
      <c r="D385" s="50">
        <f>-'Fiscal Forecasts'!D$366</f>
        <v>1.9910000000000001</v>
      </c>
      <c r="E385" s="50">
        <f>-'Fiscal Forecasts'!E$366</f>
        <v>4.226</v>
      </c>
      <c r="F385" s="50">
        <f>-'Fiscal Forecasts'!F$366</f>
        <v>4.9489999999999998</v>
      </c>
      <c r="G385" s="50">
        <f>-'Fiscal Forecasts'!G$366</f>
        <v>9.1020000000000003</v>
      </c>
      <c r="H385" s="50">
        <f>-'Fiscal Forecasts'!H$366</f>
        <v>3.5009999999999999</v>
      </c>
      <c r="I385" s="50">
        <f>-'Fiscal Forecasts'!I$366</f>
        <v>4.2350000000000003</v>
      </c>
      <c r="J385" s="50">
        <f>-'Fiscal Forecasts'!J$366</f>
        <v>4.5149999999999997</v>
      </c>
      <c r="K385" s="50">
        <f>-'Fiscal Forecasts'!K$366</f>
        <v>4.7569999999999997</v>
      </c>
      <c r="L385" s="48">
        <f>-'Fiscal Forecasts'!L$366</f>
        <v>5.7220000000000004</v>
      </c>
      <c r="M385" s="48">
        <f>-'Fiscal Forecasts'!M$366</f>
        <v>7.1920000000000002</v>
      </c>
      <c r="N385" s="48">
        <f>-'Fiscal Forecasts'!N$366</f>
        <v>6.5979999999999999</v>
      </c>
      <c r="O385" s="48">
        <f>-'Fiscal Forecasts'!O$366</f>
        <v>6.3760000000000003</v>
      </c>
      <c r="P385" s="48">
        <f>-'Fiscal Forecasts'!P$366</f>
        <v>6.343</v>
      </c>
      <c r="Q385" s="20">
        <f t="shared" ref="Q385:Z385" ca="1" si="215">Q$384-Q$382</f>
        <v>7.3182239253455634</v>
      </c>
      <c r="R385" s="20">
        <f t="shared" ca="1" si="215"/>
        <v>7.7628258199260358</v>
      </c>
      <c r="S385" s="20">
        <f t="shared" ca="1" si="215"/>
        <v>8.2255270567161176</v>
      </c>
      <c r="T385" s="20">
        <f t="shared" ca="1" si="215"/>
        <v>8.7079214145343542</v>
      </c>
      <c r="U385" s="20">
        <f t="shared" ca="1" si="215"/>
        <v>9.2081430524104064</v>
      </c>
      <c r="V385" s="20">
        <f t="shared" ca="1" si="215"/>
        <v>9.7293631486398624</v>
      </c>
      <c r="W385" s="20">
        <f t="shared" ca="1" si="215"/>
        <v>10.276677164937723</v>
      </c>
      <c r="X385" s="20">
        <f t="shared" ca="1" si="215"/>
        <v>10.855499347040279</v>
      </c>
      <c r="Y385" s="20">
        <f t="shared" ca="1" si="215"/>
        <v>11.473087682914581</v>
      </c>
      <c r="Z385" s="20">
        <f t="shared" ca="1" si="215"/>
        <v>12.136000319479251</v>
      </c>
    </row>
    <row r="386" spans="1:26" x14ac:dyDescent="0.25">
      <c r="A386" s="12" t="s">
        <v>1096</v>
      </c>
      <c r="B386" s="14" t="str">
        <f>$B$38</f>
        <v>From Fiscal Forecasts</v>
      </c>
      <c r="D386" s="50">
        <f>'Fiscal Forecasts'!D$367</f>
        <v>0</v>
      </c>
      <c r="E386" s="50">
        <f>'Fiscal Forecasts'!E$367</f>
        <v>2E-3</v>
      </c>
      <c r="F386" s="50">
        <f>'Fiscal Forecasts'!F$367</f>
        <v>2E-3</v>
      </c>
      <c r="G386" s="50">
        <f>'Fiscal Forecasts'!G$367</f>
        <v>-9.9000000000000005E-2</v>
      </c>
      <c r="H386" s="50">
        <f>'Fiscal Forecasts'!H$367</f>
        <v>-0.06</v>
      </c>
      <c r="I386" s="50">
        <f>'Fiscal Forecasts'!I$367</f>
        <v>-4.0000000000000001E-3</v>
      </c>
      <c r="J386" s="50">
        <f>'Fiscal Forecasts'!J$367</f>
        <v>6.7000000000000004E-2</v>
      </c>
      <c r="K386" s="50">
        <f>'Fiscal Forecasts'!K$367</f>
        <v>1.2999999999999999E-2</v>
      </c>
      <c r="L386" s="48">
        <f>'Fiscal Forecasts'!L$367</f>
        <v>-1.7999999999999999E-2</v>
      </c>
      <c r="M386" s="48">
        <f>'Fiscal Forecasts'!M$367</f>
        <v>-0.02</v>
      </c>
      <c r="N386" s="48">
        <f>'Fiscal Forecasts'!N$367</f>
        <v>-2.4E-2</v>
      </c>
      <c r="O386" s="48">
        <f>'Fiscal Forecasts'!O$367</f>
        <v>-2.7E-2</v>
      </c>
      <c r="P386" s="48">
        <f>'Fiscal Forecasts'!P$367</f>
        <v>-3.1E-2</v>
      </c>
      <c r="Q386" s="20">
        <f ca="1">IF(Q$6=OFFSET(Assumptions!$B$8,0,$C$1),OFFSET(Assumptions!$B$9,0,$C$1),P$386)</f>
        <v>0</v>
      </c>
      <c r="R386" s="20">
        <f ca="1">IF(R$6=OFFSET(Assumptions!$B$8,0,$C$1),OFFSET(Assumptions!$B$9,0,$C$1),Q$386)</f>
        <v>0</v>
      </c>
      <c r="S386" s="20">
        <f ca="1">IF(S$6=OFFSET(Assumptions!$B$8,0,$C$1),OFFSET(Assumptions!$B$9,0,$C$1),R$386)</f>
        <v>0</v>
      </c>
      <c r="T386" s="20">
        <f ca="1">IF(T$6=OFFSET(Assumptions!$B$8,0,$C$1),OFFSET(Assumptions!$B$9,0,$C$1),S$386)</f>
        <v>0</v>
      </c>
      <c r="U386" s="20">
        <f ca="1">IF(U$6=OFFSET(Assumptions!$B$8,0,$C$1),OFFSET(Assumptions!$B$9,0,$C$1),T$386)</f>
        <v>0</v>
      </c>
      <c r="V386" s="20">
        <f ca="1">IF(V$6=OFFSET(Assumptions!$B$8,0,$C$1),OFFSET(Assumptions!$B$9,0,$C$1),U$386)</f>
        <v>0</v>
      </c>
      <c r="W386" s="20">
        <f ca="1">IF(W$6=OFFSET(Assumptions!$B$8,0,$C$1),OFFSET(Assumptions!$B$9,0,$C$1),V$386)</f>
        <v>0</v>
      </c>
      <c r="X386" s="20">
        <f ca="1">IF(X$6=OFFSET(Assumptions!$B$8,0,$C$1),OFFSET(Assumptions!$B$9,0,$C$1),W$386)</f>
        <v>0</v>
      </c>
      <c r="Y386" s="20">
        <f ca="1">IF(Y$6=OFFSET(Assumptions!$B$8,0,$C$1),OFFSET(Assumptions!$B$9,0,$C$1),X$386)</f>
        <v>0</v>
      </c>
      <c r="Z386" s="20">
        <f ca="1">IF(Z$6=OFFSET(Assumptions!$B$8,0,$C$1),OFFSET(Assumptions!$B$9,0,$C$1),Y$386)</f>
        <v>0</v>
      </c>
    </row>
    <row r="388" spans="1:26" x14ac:dyDescent="0.25">
      <c r="A388" s="11" t="s">
        <v>1353</v>
      </c>
      <c r="B388" s="14" t="str">
        <f>$B$38</f>
        <v>From Fiscal Forecasts</v>
      </c>
      <c r="D388" s="51">
        <f>'Fiscal Forecasts'!D$125</f>
        <v>3.6880000000000002</v>
      </c>
      <c r="E388" s="51">
        <f>'Fiscal Forecasts'!E$125</f>
        <v>4.22</v>
      </c>
      <c r="F388" s="51">
        <f>'Fiscal Forecasts'!F$125</f>
        <v>4.718</v>
      </c>
      <c r="G388" s="51">
        <f>'Fiscal Forecasts'!G$125</f>
        <v>6.0960000000000001</v>
      </c>
      <c r="H388" s="51">
        <f>'Fiscal Forecasts'!H$125</f>
        <v>7.3170000000000002</v>
      </c>
      <c r="I388" s="51">
        <f>'Fiscal Forecasts'!I$125</f>
        <v>7.1740000000000004</v>
      </c>
      <c r="J388" s="51">
        <f>'Fiscal Forecasts'!J$125</f>
        <v>8.093</v>
      </c>
      <c r="K388" s="51">
        <f>'Fiscal Forecasts'!K$125</f>
        <v>10.503</v>
      </c>
      <c r="L388" s="47">
        <f>'Fiscal Forecasts'!L$125</f>
        <v>11.324999999999999</v>
      </c>
      <c r="M388" s="47">
        <f>'Fiscal Forecasts'!M$125</f>
        <v>12.249000000000001</v>
      </c>
      <c r="N388" s="47">
        <f>'Fiscal Forecasts'!N$125</f>
        <v>13.202999999999999</v>
      </c>
      <c r="O388" s="47">
        <f>'Fiscal Forecasts'!O$125</f>
        <v>14.228</v>
      </c>
      <c r="P388" s="47">
        <f>'Fiscal Forecasts'!P$125</f>
        <v>15.332000000000001</v>
      </c>
      <c r="Q388" s="21">
        <f ca="1">OFFSET(Assumptions!$B$53,0,$C$1)*(Q$384-Q$350-Q$391)</f>
        <v>14.136895240204558</v>
      </c>
      <c r="R388" s="21">
        <f ca="1">OFFSET(Assumptions!$B$53,0,$C$1)*(R$384-R$350-R$391)</f>
        <v>14.999458809909285</v>
      </c>
      <c r="S388" s="21">
        <f ca="1">OFFSET(Assumptions!$B$53,0,$C$1)*(S$384-S$350-S$391)</f>
        <v>15.897136564721942</v>
      </c>
      <c r="T388" s="21">
        <f ca="1">OFFSET(Assumptions!$B$53,0,$C$1)*(T$384-T$350-T$391)</f>
        <v>16.833020564221677</v>
      </c>
      <c r="U388" s="21">
        <f ca="1">OFFSET(Assumptions!$B$53,0,$C$1)*(U$384-U$350-U$391)</f>
        <v>17.803490926290348</v>
      </c>
      <c r="V388" s="21">
        <f ca="1">OFFSET(Assumptions!$B$53,0,$C$1)*(V$384-V$350-V$391)</f>
        <v>18.814699992841387</v>
      </c>
      <c r="W388" s="21">
        <f ca="1">OFFSET(Assumptions!$B$53,0,$C$1)*(W$384-W$350-W$391)</f>
        <v>19.876533370975721</v>
      </c>
      <c r="X388" s="21">
        <f ca="1">OFFSET(Assumptions!$B$53,0,$C$1)*(X$384-X$350-X$391)</f>
        <v>20.999495134532292</v>
      </c>
      <c r="Y388" s="21">
        <f ca="1">OFFSET(Assumptions!$B$53,0,$C$1)*(Y$384-Y$350-Y$391)</f>
        <v>22.197666366129084</v>
      </c>
      <c r="Z388" s="21">
        <f ca="1">OFFSET(Assumptions!$B$53,0,$C$1)*(Z$384-Z$350-Z$391)</f>
        <v>23.483770400249664</v>
      </c>
    </row>
    <row r="389" spans="1:26" x14ac:dyDescent="0.25">
      <c r="A389" s="11"/>
      <c r="B389" s="14"/>
      <c r="D389" s="50"/>
      <c r="E389" s="50"/>
      <c r="F389" s="50"/>
      <c r="G389" s="50"/>
      <c r="H389" s="50"/>
      <c r="I389" s="50"/>
      <c r="J389" s="50"/>
      <c r="K389" s="50"/>
      <c r="L389" s="48"/>
      <c r="M389" s="48"/>
      <c r="N389" s="48"/>
      <c r="O389" s="48"/>
      <c r="P389" s="48"/>
    </row>
    <row r="390" spans="1:26" x14ac:dyDescent="0.25">
      <c r="A390" s="11" t="s">
        <v>945</v>
      </c>
    </row>
    <row r="391" spans="1:26" x14ac:dyDescent="0.25">
      <c r="A391" s="12" t="s">
        <v>1354</v>
      </c>
      <c r="B391" s="14" t="str">
        <f>$B$38</f>
        <v>From Fiscal Forecasts</v>
      </c>
      <c r="D391" s="50">
        <f>'Fiscal Forecasts'!D$185-D$77</f>
        <v>2.0030000000000001</v>
      </c>
      <c r="E391" s="50">
        <f>'Fiscal Forecasts'!E$185-E$77</f>
        <v>3.6860000000000017</v>
      </c>
      <c r="F391" s="50">
        <f>'Fiscal Forecasts'!F$185-F$77</f>
        <v>5.4710000000000001</v>
      </c>
      <c r="G391" s="50">
        <f>'Fiscal Forecasts'!G$185-G$77</f>
        <v>4.6139999999999972</v>
      </c>
      <c r="H391" s="50">
        <f>'Fiscal Forecasts'!H$185-H$77</f>
        <v>7.3510000000000062</v>
      </c>
      <c r="I391" s="50">
        <f>'Fiscal Forecasts'!I$185-I$77</f>
        <v>8.9179999999999993</v>
      </c>
      <c r="J391" s="50">
        <f>'Fiscal Forecasts'!J$185-J$77</f>
        <v>9.9709999999999965</v>
      </c>
      <c r="K391" s="50">
        <f>'Fiscal Forecasts'!K$185-K$77</f>
        <v>9.2230000000000025</v>
      </c>
      <c r="L391" s="48">
        <f>'Fiscal Forecasts'!L$185-L$77</f>
        <v>9.2210000000000001</v>
      </c>
      <c r="M391" s="48">
        <f>'Fiscal Forecasts'!M$185-M$77</f>
        <v>9.222999999999999</v>
      </c>
      <c r="N391" s="48">
        <f>'Fiscal Forecasts'!N$185-N$77</f>
        <v>9.2259999999999991</v>
      </c>
      <c r="O391" s="48">
        <f>'Fiscal Forecasts'!O$185-O$77</f>
        <v>9.2220000000000013</v>
      </c>
      <c r="P391" s="48">
        <f>'Fiscal Forecasts'!P$185-P$77</f>
        <v>9.222999999999999</v>
      </c>
      <c r="Q391" s="20">
        <f ca="1">IF(Q$6=OFFSET(Assumptions!$B$8,0,$C$1),AVERAGE(N$391/N$384,O$391/O$384,P$391/P$384),P$391/P$384)*Q$384</f>
        <v>10.428943957728947</v>
      </c>
      <c r="R391" s="20">
        <f ca="1">IF(R$6=OFFSET(Assumptions!$B$8,0,$C$1),AVERAGE(O$391/O$384,P$391/P$384,Q$391/Q$384),Q$391/Q$384)*R$384</f>
        <v>11.062530506785087</v>
      </c>
      <c r="S391" s="20">
        <f ca="1">IF(S$6=OFFSET(Assumptions!$B$8,0,$C$1),AVERAGE(P$391/P$384,Q$391/Q$384,R$391/R$384),R$391/R$384)*S$384</f>
        <v>11.721909792918062</v>
      </c>
      <c r="T391" s="20">
        <f ca="1">IF(T$6=OFFSET(Assumptions!$B$8,0,$C$1),AVERAGE(Q$391/Q$384,R$391/R$384,S$391/S$384),S$391/S$384)*T$384</f>
        <v>12.409353054361247</v>
      </c>
      <c r="U391" s="20">
        <f ca="1">IF(U$6=OFFSET(Assumptions!$B$8,0,$C$1),AVERAGE(R$391/R$384,S$391/S$384,T$391/T$384),T$391/T$384)*U$384</f>
        <v>13.122201346661411</v>
      </c>
      <c r="V391" s="20">
        <f ca="1">IF(V$6=OFFSET(Assumptions!$B$8,0,$C$1),AVERAGE(S$391/S$384,T$391/T$384,U$391/U$384),U$391/U$384)*V$384</f>
        <v>13.864973804660851</v>
      </c>
      <c r="W391" s="20">
        <f ca="1">IF(W$6=OFFSET(Assumptions!$B$8,0,$C$1),AVERAGE(T$391/T$384,U$391/U$384,V$391/V$384),V$391/V$384)*W$384</f>
        <v>14.644931791937145</v>
      </c>
      <c r="X391" s="20">
        <f ca="1">IF(X$6=OFFSET(Assumptions!$B$8,0,$C$1),AVERAGE(U$391/U$384,V$391/V$384,W$391/W$384),W$391/W$384)*X$384</f>
        <v>15.46979095998358</v>
      </c>
      <c r="Y391" s="20">
        <f ca="1">IF(Y$6=OFFSET(Assumptions!$B$8,0,$C$1),AVERAGE(V$391/V$384,W$391/W$384,X$391/X$384),X$391/X$384)*Y$384</f>
        <v>16.349894412608673</v>
      </c>
      <c r="Z391" s="20">
        <f ca="1">IF(Z$6=OFFSET(Assumptions!$B$8,0,$C$1),AVERAGE(W$391/W$384,X$391/X$384,Y$391/Y$384),Y$391/Y$384)*Z$384</f>
        <v>17.294587934715778</v>
      </c>
    </row>
    <row r="392" spans="1:26" x14ac:dyDescent="0.25">
      <c r="A392" s="12" t="s">
        <v>1355</v>
      </c>
      <c r="D392" s="50">
        <f t="shared" ref="D392:Z392" si="216">D$406</f>
        <v>10.731</v>
      </c>
      <c r="E392" s="50">
        <f t="shared" si="216"/>
        <v>10.395</v>
      </c>
      <c r="F392" s="50">
        <f t="shared" si="216"/>
        <v>10.841000000000001</v>
      </c>
      <c r="G392" s="50">
        <f t="shared" si="216"/>
        <v>9.2089999999999996</v>
      </c>
      <c r="H392" s="50">
        <f t="shared" si="216"/>
        <v>9.3729999999999993</v>
      </c>
      <c r="I392" s="50">
        <f t="shared" si="216"/>
        <v>9.5960000000000001</v>
      </c>
      <c r="J392" s="50">
        <f t="shared" si="216"/>
        <v>10.053999999999998</v>
      </c>
      <c r="K392" s="50">
        <f t="shared" si="216"/>
        <v>10.545</v>
      </c>
      <c r="L392" s="48">
        <f t="shared" si="216"/>
        <v>10.648</v>
      </c>
      <c r="M392" s="48">
        <f t="shared" si="216"/>
        <v>10.73</v>
      </c>
      <c r="N392" s="48">
        <f t="shared" si="216"/>
        <v>10.746000000000002</v>
      </c>
      <c r="O392" s="48">
        <f t="shared" si="216"/>
        <v>10.714000000000002</v>
      </c>
      <c r="P392" s="48">
        <f t="shared" si="216"/>
        <v>10.643000000000004</v>
      </c>
      <c r="Q392" s="20">
        <f t="shared" si="216"/>
        <v>10.645000000000003</v>
      </c>
      <c r="R392" s="20">
        <f t="shared" si="216"/>
        <v>10.643000000000002</v>
      </c>
      <c r="S392" s="20">
        <f t="shared" si="216"/>
        <v>10.637000000000002</v>
      </c>
      <c r="T392" s="20">
        <f t="shared" si="216"/>
        <v>10.622000000000003</v>
      </c>
      <c r="U392" s="20">
        <f t="shared" si="216"/>
        <v>10.598000000000003</v>
      </c>
      <c r="V392" s="20">
        <f t="shared" si="216"/>
        <v>10.571000000000002</v>
      </c>
      <c r="W392" s="20">
        <f t="shared" si="216"/>
        <v>10.539000000000003</v>
      </c>
      <c r="X392" s="20">
        <f t="shared" si="216"/>
        <v>10.508000000000003</v>
      </c>
      <c r="Y392" s="20">
        <f t="shared" si="216"/>
        <v>10.485000000000005</v>
      </c>
      <c r="Z392" s="20">
        <f t="shared" si="216"/>
        <v>10.470000000000004</v>
      </c>
    </row>
    <row r="393" spans="1:26" x14ac:dyDescent="0.25">
      <c r="A393" s="12" t="s">
        <v>1356</v>
      </c>
      <c r="D393" s="50">
        <f t="shared" ref="D393:P393" si="217">D$77-D$406</f>
        <v>3.1140000000000008</v>
      </c>
      <c r="E393" s="50">
        <f t="shared" si="217"/>
        <v>4.1609999999999996</v>
      </c>
      <c r="F393" s="50">
        <f t="shared" si="217"/>
        <v>7.8870000000000005</v>
      </c>
      <c r="G393" s="50">
        <f t="shared" si="217"/>
        <v>16.894000000000002</v>
      </c>
      <c r="H393" s="50">
        <f t="shared" si="217"/>
        <v>27.167999999999999</v>
      </c>
      <c r="I393" s="50">
        <f t="shared" si="217"/>
        <v>30.791999999999998</v>
      </c>
      <c r="J393" s="50">
        <f t="shared" si="217"/>
        <v>24.257000000000001</v>
      </c>
      <c r="K393" s="50">
        <f t="shared" si="217"/>
        <v>17.386000000000003</v>
      </c>
      <c r="L393" s="48">
        <f t="shared" si="217"/>
        <v>20.164000000000001</v>
      </c>
      <c r="M393" s="48">
        <f t="shared" si="217"/>
        <v>22.080000000000002</v>
      </c>
      <c r="N393" s="48">
        <f t="shared" si="217"/>
        <v>24.045999999999999</v>
      </c>
      <c r="O393" s="48">
        <f t="shared" si="217"/>
        <v>25.786999999999995</v>
      </c>
      <c r="P393" s="48">
        <f t="shared" si="217"/>
        <v>25.721999999999998</v>
      </c>
      <c r="Q393" s="20">
        <f t="shared" ref="Q393:Z393" ca="1" si="218">P$393*(1+Q$29)</f>
        <v>26.236439999999998</v>
      </c>
      <c r="R393" s="20">
        <f t="shared" ca="1" si="218"/>
        <v>26.7611688</v>
      </c>
      <c r="S393" s="20">
        <f t="shared" ca="1" si="218"/>
        <v>27.296392176000001</v>
      </c>
      <c r="T393" s="20">
        <f t="shared" ca="1" si="218"/>
        <v>27.842320019520002</v>
      </c>
      <c r="U393" s="20">
        <f t="shared" ca="1" si="218"/>
        <v>28.399166419910404</v>
      </c>
      <c r="V393" s="20">
        <f t="shared" ca="1" si="218"/>
        <v>28.967149748308614</v>
      </c>
      <c r="W393" s="20">
        <f t="shared" ca="1" si="218"/>
        <v>29.546492743274786</v>
      </c>
      <c r="X393" s="20">
        <f t="shared" ca="1" si="218"/>
        <v>30.137422598140283</v>
      </c>
      <c r="Y393" s="20">
        <f t="shared" ca="1" si="218"/>
        <v>30.74017105010309</v>
      </c>
      <c r="Z393" s="20">
        <f t="shared" ca="1" si="218"/>
        <v>31.354974471105152</v>
      </c>
    </row>
    <row r="394" spans="1:26" x14ac:dyDescent="0.25">
      <c r="A394" s="11" t="s">
        <v>1357</v>
      </c>
      <c r="D394" s="94">
        <f t="shared" ref="D394:P394" si="219">SUM(D$391:D$393)</f>
        <v>15.848000000000001</v>
      </c>
      <c r="E394" s="94">
        <f t="shared" si="219"/>
        <v>18.242000000000001</v>
      </c>
      <c r="F394" s="94">
        <f t="shared" si="219"/>
        <v>24.199000000000002</v>
      </c>
      <c r="G394" s="94">
        <f t="shared" si="219"/>
        <v>30.716999999999999</v>
      </c>
      <c r="H394" s="94">
        <f t="shared" si="219"/>
        <v>43.892000000000003</v>
      </c>
      <c r="I394" s="94">
        <f t="shared" si="219"/>
        <v>49.305999999999997</v>
      </c>
      <c r="J394" s="94">
        <f t="shared" si="219"/>
        <v>44.281999999999996</v>
      </c>
      <c r="K394" s="94">
        <f t="shared" si="219"/>
        <v>37.154000000000003</v>
      </c>
      <c r="L394" s="95">
        <f t="shared" si="219"/>
        <v>40.033000000000001</v>
      </c>
      <c r="M394" s="95">
        <f t="shared" si="219"/>
        <v>42.033000000000001</v>
      </c>
      <c r="N394" s="95">
        <f t="shared" si="219"/>
        <v>44.018000000000001</v>
      </c>
      <c r="O394" s="95">
        <f t="shared" si="219"/>
        <v>45.722999999999999</v>
      </c>
      <c r="P394" s="95">
        <f t="shared" si="219"/>
        <v>45.588000000000001</v>
      </c>
      <c r="Q394" s="96">
        <f t="shared" ref="Q394:Z394" ca="1" si="220">SUM(Q$391:Q$393)</f>
        <v>47.310383957728945</v>
      </c>
      <c r="R394" s="96">
        <f t="shared" ca="1" si="220"/>
        <v>48.466699306785088</v>
      </c>
      <c r="S394" s="96">
        <f t="shared" ca="1" si="220"/>
        <v>49.655301968918067</v>
      </c>
      <c r="T394" s="96">
        <f t="shared" ca="1" si="220"/>
        <v>50.87367307388125</v>
      </c>
      <c r="U394" s="96">
        <f t="shared" ca="1" si="220"/>
        <v>52.119367766571813</v>
      </c>
      <c r="V394" s="96">
        <f t="shared" ca="1" si="220"/>
        <v>53.403123552969468</v>
      </c>
      <c r="W394" s="96">
        <f t="shared" ca="1" si="220"/>
        <v>54.730424535211938</v>
      </c>
      <c r="X394" s="96">
        <f t="shared" ca="1" si="220"/>
        <v>56.11521355812387</v>
      </c>
      <c r="Y394" s="96">
        <f t="shared" ca="1" si="220"/>
        <v>57.575065462711763</v>
      </c>
      <c r="Z394" s="96">
        <f t="shared" ca="1" si="220"/>
        <v>59.119562405820936</v>
      </c>
    </row>
    <row r="395" spans="1:26" x14ac:dyDescent="0.25">
      <c r="A395" s="12" t="s">
        <v>1358</v>
      </c>
      <c r="B395" s="14" t="str">
        <f>$B$38</f>
        <v>From Fiscal Forecasts</v>
      </c>
      <c r="D395" s="50">
        <f>'Fiscal Forecasts'!D$324</f>
        <v>20.411000000000001</v>
      </c>
      <c r="E395" s="50">
        <f>'Fiscal Forecasts'!E$324</f>
        <v>22.189</v>
      </c>
      <c r="F395" s="50">
        <f>'Fiscal Forecasts'!F$324</f>
        <v>25.206</v>
      </c>
      <c r="G395" s="50">
        <f>'Fiscal Forecasts'!G$324</f>
        <v>27.786000000000001</v>
      </c>
      <c r="H395" s="50">
        <f>'Fiscal Forecasts'!H$324</f>
        <v>29.785</v>
      </c>
      <c r="I395" s="50">
        <f>'Fiscal Forecasts'!I$324</f>
        <v>32.487000000000002</v>
      </c>
      <c r="J395" s="50">
        <f>'Fiscal Forecasts'!J$324</f>
        <v>35.942</v>
      </c>
      <c r="K395" s="50">
        <f>'Fiscal Forecasts'!K$324</f>
        <v>38.999000000000002</v>
      </c>
      <c r="L395" s="48">
        <f>'Fiscal Forecasts'!L$324</f>
        <v>42.354999999999997</v>
      </c>
      <c r="M395" s="48">
        <f>'Fiscal Forecasts'!M$324</f>
        <v>46.854999999999997</v>
      </c>
      <c r="N395" s="48">
        <f>'Fiscal Forecasts'!N$324</f>
        <v>52.057000000000002</v>
      </c>
      <c r="O395" s="48">
        <f>'Fiscal Forecasts'!O$324</f>
        <v>57.710999999999999</v>
      </c>
      <c r="P395" s="48">
        <f>'Fiscal Forecasts'!P$324</f>
        <v>63.762999999999998</v>
      </c>
      <c r="Q395" s="20">
        <f t="shared" ref="Q395:Z395" ca="1" si="221">P$395*(1+Q$14)</f>
        <v>66.538660094778294</v>
      </c>
      <c r="R395" s="20">
        <f t="shared" ca="1" si="221"/>
        <v>69.370886998057159</v>
      </c>
      <c r="S395" s="20">
        <f t="shared" ca="1" si="221"/>
        <v>72.278147482354385</v>
      </c>
      <c r="T395" s="20">
        <f t="shared" ca="1" si="221"/>
        <v>75.253641427490507</v>
      </c>
      <c r="U395" s="20">
        <f t="shared" ca="1" si="221"/>
        <v>78.332893042383475</v>
      </c>
      <c r="V395" s="20">
        <f t="shared" ca="1" si="221"/>
        <v>81.516997426088238</v>
      </c>
      <c r="W395" s="20">
        <f t="shared" ca="1" si="221"/>
        <v>84.789890824631541</v>
      </c>
      <c r="X395" s="20">
        <f t="shared" ca="1" si="221"/>
        <v>88.157029987638126</v>
      </c>
      <c r="Y395" s="20">
        <f t="shared" ca="1" si="221"/>
        <v>91.636022940767475</v>
      </c>
      <c r="Z395" s="20">
        <f t="shared" ca="1" si="221"/>
        <v>95.227766968163607</v>
      </c>
    </row>
    <row r="396" spans="1:26" x14ac:dyDescent="0.25">
      <c r="A396" s="12" t="s">
        <v>1359</v>
      </c>
      <c r="B396" s="14" t="str">
        <f>$B$38</f>
        <v>From Fiscal Forecasts</v>
      </c>
      <c r="D396" s="50">
        <f>'Fiscal Forecasts'!D$124-SUM(D$394:D$395)</f>
        <v>-2.5690000000000026</v>
      </c>
      <c r="E396" s="50">
        <f>'Fiscal Forecasts'!E$124-SUM(E$394:E$395)</f>
        <v>-2.8019999999999996</v>
      </c>
      <c r="F396" s="50">
        <f>'Fiscal Forecasts'!F$124-SUM(F$394:F$395)</f>
        <v>-3.7929999999999993</v>
      </c>
      <c r="G396" s="50">
        <f>'Fiscal Forecasts'!G$124-SUM(G$394:G$395)</f>
        <v>-3.8440000000000012</v>
      </c>
      <c r="H396" s="50">
        <f>'Fiscal Forecasts'!H$124-SUM(H$394:H$395)</f>
        <v>-7.1880000000000024</v>
      </c>
      <c r="I396" s="50">
        <f>'Fiscal Forecasts'!I$124-SUM(I$394:I$395)</f>
        <v>-12.415000000000006</v>
      </c>
      <c r="J396" s="50">
        <f>'Fiscal Forecasts'!J$124-SUM(J$394:J$395)</f>
        <v>-15.312999999999988</v>
      </c>
      <c r="K396" s="50">
        <f>'Fiscal Forecasts'!K$124-SUM(K$394:K$395)</f>
        <v>-15.880000000000003</v>
      </c>
      <c r="L396" s="48">
        <f>'Fiscal Forecasts'!L$124-SUM(L$394:L$395)</f>
        <v>-18.657000000000004</v>
      </c>
      <c r="M396" s="48">
        <f>'Fiscal Forecasts'!M$124-SUM(M$394:M$395)</f>
        <v>-20.274000000000001</v>
      </c>
      <c r="N396" s="48">
        <f>'Fiscal Forecasts'!N$124-SUM(N$394:N$395)</f>
        <v>-22.240000000000009</v>
      </c>
      <c r="O396" s="48">
        <f>'Fiscal Forecasts'!O$124-SUM(O$394:O$395)</f>
        <v>-23.875999999999991</v>
      </c>
      <c r="P396" s="48">
        <f>'Fiscal Forecasts'!P$124-SUM(P$394:P$395)</f>
        <v>-23.781000000000006</v>
      </c>
      <c r="Q396" s="20">
        <f t="shared" ref="Q396:Z396" ca="1" si="222">P$396-(Q$393-P$393)</f>
        <v>-24.295440000000006</v>
      </c>
      <c r="R396" s="20">
        <f t="shared" ca="1" si="222"/>
        <v>-24.820168800000008</v>
      </c>
      <c r="S396" s="20">
        <f t="shared" ca="1" si="222"/>
        <v>-25.355392176000009</v>
      </c>
      <c r="T396" s="20">
        <f t="shared" ca="1" si="222"/>
        <v>-25.901320019520011</v>
      </c>
      <c r="U396" s="20">
        <f t="shared" ca="1" si="222"/>
        <v>-26.458166419910413</v>
      </c>
      <c r="V396" s="20">
        <f t="shared" ca="1" si="222"/>
        <v>-27.026149748308622</v>
      </c>
      <c r="W396" s="20">
        <f t="shared" ca="1" si="222"/>
        <v>-27.605492743274795</v>
      </c>
      <c r="X396" s="20">
        <f t="shared" ca="1" si="222"/>
        <v>-28.196422598140291</v>
      </c>
      <c r="Y396" s="20">
        <f t="shared" ca="1" si="222"/>
        <v>-28.799171050103098</v>
      </c>
      <c r="Z396" s="20">
        <f t="shared" ca="1" si="222"/>
        <v>-29.41397447110516</v>
      </c>
    </row>
    <row r="397" spans="1:26" x14ac:dyDescent="0.25">
      <c r="A397" s="11" t="s">
        <v>1360</v>
      </c>
      <c r="D397" s="94">
        <f t="shared" ref="D397:P397" si="223">SUM(D$394:D$396)</f>
        <v>33.69</v>
      </c>
      <c r="E397" s="94">
        <f t="shared" si="223"/>
        <v>37.628999999999998</v>
      </c>
      <c r="F397" s="94">
        <f t="shared" si="223"/>
        <v>45.612000000000002</v>
      </c>
      <c r="G397" s="94">
        <f t="shared" si="223"/>
        <v>54.658999999999999</v>
      </c>
      <c r="H397" s="94">
        <f t="shared" si="223"/>
        <v>66.489000000000004</v>
      </c>
      <c r="I397" s="94">
        <f t="shared" si="223"/>
        <v>69.378</v>
      </c>
      <c r="J397" s="94">
        <f t="shared" si="223"/>
        <v>64.911000000000001</v>
      </c>
      <c r="K397" s="94">
        <f t="shared" si="223"/>
        <v>60.273000000000003</v>
      </c>
      <c r="L397" s="95">
        <f t="shared" si="223"/>
        <v>63.731000000000002</v>
      </c>
      <c r="M397" s="95">
        <f t="shared" si="223"/>
        <v>68.614000000000004</v>
      </c>
      <c r="N397" s="95">
        <f t="shared" si="223"/>
        <v>73.834999999999994</v>
      </c>
      <c r="O397" s="95">
        <f t="shared" si="223"/>
        <v>79.558000000000007</v>
      </c>
      <c r="P397" s="95">
        <f t="shared" si="223"/>
        <v>85.57</v>
      </c>
      <c r="Q397" s="96">
        <f t="shared" ref="Q397:Z397" ca="1" si="224">SUM(Q$394:Q$396)</f>
        <v>89.553604052507239</v>
      </c>
      <c r="R397" s="96">
        <f t="shared" ca="1" si="224"/>
        <v>93.017417504842243</v>
      </c>
      <c r="S397" s="96">
        <f t="shared" ca="1" si="224"/>
        <v>96.578057275272442</v>
      </c>
      <c r="T397" s="96">
        <f t="shared" ca="1" si="224"/>
        <v>100.22599448185174</v>
      </c>
      <c r="U397" s="96">
        <f t="shared" ca="1" si="224"/>
        <v>103.99409438904488</v>
      </c>
      <c r="V397" s="96">
        <f t="shared" ca="1" si="224"/>
        <v>107.89397123074909</v>
      </c>
      <c r="W397" s="96">
        <f t="shared" ca="1" si="224"/>
        <v>111.9148226165687</v>
      </c>
      <c r="X397" s="96">
        <f t="shared" ca="1" si="224"/>
        <v>116.07582094762171</v>
      </c>
      <c r="Y397" s="96">
        <f t="shared" ca="1" si="224"/>
        <v>120.41191735337614</v>
      </c>
      <c r="Z397" s="96">
        <f t="shared" ca="1" si="224"/>
        <v>124.93335490287937</v>
      </c>
    </row>
    <row r="399" spans="1:26" x14ac:dyDescent="0.25">
      <c r="A399" s="11" t="s">
        <v>1355</v>
      </c>
    </row>
    <row r="400" spans="1:26" x14ac:dyDescent="0.25">
      <c r="A400" s="12" t="s">
        <v>532</v>
      </c>
      <c r="B400" s="14" t="str">
        <f t="shared" ref="B400:B405" si="225">$B$38</f>
        <v>From Fiscal Forecasts</v>
      </c>
      <c r="D400" s="50">
        <f>'Fiscal Forecasts'!D$326</f>
        <v>1.361</v>
      </c>
      <c r="E400" s="50">
        <f>'Fiscal Forecasts'!E$326</f>
        <v>1.413</v>
      </c>
      <c r="F400" s="50">
        <f>'Fiscal Forecasts'!F$326</f>
        <v>1.43</v>
      </c>
      <c r="G400" s="50">
        <f>'Fiscal Forecasts'!G$326</f>
        <v>1.2949999999999999</v>
      </c>
      <c r="H400" s="50">
        <f>'Fiscal Forecasts'!H$326</f>
        <v>1.2709999999999999</v>
      </c>
      <c r="I400" s="50">
        <f>'Fiscal Forecasts'!I$326</f>
        <v>1.3480000000000001</v>
      </c>
      <c r="J400" s="50">
        <f>'Fiscal Forecasts'!J$326</f>
        <v>1.7090000000000001</v>
      </c>
      <c r="K400" s="50">
        <f>'Fiscal Forecasts'!K$326</f>
        <v>2.0089999999999999</v>
      </c>
      <c r="L400" s="48">
        <f>'Fiscal Forecasts'!L$326</f>
        <v>2.1560000000000001</v>
      </c>
      <c r="M400" s="48">
        <f>'Fiscal Forecasts'!M$326</f>
        <v>2.1890000000000001</v>
      </c>
      <c r="N400" s="48">
        <f>'Fiscal Forecasts'!N$326</f>
        <v>2.1920000000000002</v>
      </c>
      <c r="O400" s="48">
        <f>'Fiscal Forecasts'!O$326</f>
        <v>2.2149999999999999</v>
      </c>
      <c r="P400" s="48">
        <f>'Fiscal Forecasts'!P$326</f>
        <v>2.2530000000000001</v>
      </c>
      <c r="Q400" s="20">
        <f>Exogenous!AB$16</f>
        <v>2.2959999999999998</v>
      </c>
      <c r="R400" s="20">
        <f>Exogenous!AC$16</f>
        <v>2.3319999999999999</v>
      </c>
      <c r="S400" s="20">
        <f>Exogenous!AD$16</f>
        <v>2.3660000000000001</v>
      </c>
      <c r="T400" s="20">
        <f>Exogenous!AE$16</f>
        <v>2.3969999999999998</v>
      </c>
      <c r="U400" s="20">
        <f>Exogenous!AF$16</f>
        <v>2.4260000000000002</v>
      </c>
      <c r="V400" s="20">
        <f>Exogenous!AG$16</f>
        <v>2.456</v>
      </c>
      <c r="W400" s="20">
        <f>Exogenous!AH$16</f>
        <v>2.4860000000000002</v>
      </c>
      <c r="X400" s="20">
        <f>Exogenous!AI$16</f>
        <v>2.5179999999999998</v>
      </c>
      <c r="Y400" s="20">
        <f>Exogenous!AJ$16</f>
        <v>2.5510000000000002</v>
      </c>
      <c r="Z400" s="20">
        <f>Exogenous!AK$16</f>
        <v>2.5840000000000001</v>
      </c>
    </row>
    <row r="401" spans="1:26" x14ac:dyDescent="0.25">
      <c r="A401" s="12" t="s">
        <v>533</v>
      </c>
      <c r="B401" s="14" t="str">
        <f t="shared" si="225"/>
        <v>From Fiscal Forecasts</v>
      </c>
      <c r="D401" s="50">
        <f>'Fiscal Forecasts'!D$327</f>
        <v>3.5999999999999997E-2</v>
      </c>
      <c r="E401" s="50">
        <f>'Fiscal Forecasts'!E$327</f>
        <v>3.5999999999999997E-2</v>
      </c>
      <c r="F401" s="50">
        <f>'Fiscal Forecasts'!F$327</f>
        <v>3.7999999999999999E-2</v>
      </c>
      <c r="G401" s="50">
        <f>'Fiscal Forecasts'!G$327</f>
        <v>3.7999999999999999E-2</v>
      </c>
      <c r="H401" s="50">
        <f>'Fiscal Forecasts'!H$327</f>
        <v>0.03</v>
      </c>
      <c r="I401" s="50">
        <f>'Fiscal Forecasts'!I$327</f>
        <v>2.8000000000000001E-2</v>
      </c>
      <c r="J401" s="50">
        <f>'Fiscal Forecasts'!J$327</f>
        <v>2.5999999999999999E-2</v>
      </c>
      <c r="K401" s="50">
        <f>'Fiscal Forecasts'!K$327</f>
        <v>2.8000000000000001E-2</v>
      </c>
      <c r="L401" s="48">
        <f>'Fiscal Forecasts'!L$327</f>
        <v>3.4000000000000002E-2</v>
      </c>
      <c r="M401" s="48">
        <f>'Fiscal Forecasts'!M$327</f>
        <v>3.4000000000000002E-2</v>
      </c>
      <c r="N401" s="48">
        <f>'Fiscal Forecasts'!N$327</f>
        <v>3.4000000000000002E-2</v>
      </c>
      <c r="O401" s="48">
        <f>'Fiscal Forecasts'!O$327</f>
        <v>3.6999999999999998E-2</v>
      </c>
      <c r="P401" s="48">
        <f>'Fiscal Forecasts'!P$327</f>
        <v>3.7999999999999999E-2</v>
      </c>
      <c r="Q401" s="20">
        <f>Exogenous!AB$17</f>
        <v>3.9E-2</v>
      </c>
      <c r="R401" s="20">
        <f>Exogenous!AC$17</f>
        <v>0.04</v>
      </c>
      <c r="S401" s="20">
        <f>Exogenous!AD$17</f>
        <v>4.1000000000000002E-2</v>
      </c>
      <c r="T401" s="20">
        <f>Exogenous!AE$17</f>
        <v>4.2000000000000003E-2</v>
      </c>
      <c r="U401" s="20">
        <f>Exogenous!AF$17</f>
        <v>4.2999999999999997E-2</v>
      </c>
      <c r="V401" s="20">
        <f>Exogenous!AG$17</f>
        <v>4.3999999999999997E-2</v>
      </c>
      <c r="W401" s="20">
        <f>Exogenous!AH$17</f>
        <v>4.4999999999999998E-2</v>
      </c>
      <c r="X401" s="20">
        <f>Exogenous!AI$17</f>
        <v>4.5999999999999999E-2</v>
      </c>
      <c r="Y401" s="20">
        <f>Exogenous!AJ$17</f>
        <v>4.7E-2</v>
      </c>
      <c r="Z401" s="20">
        <f>Exogenous!AK$17</f>
        <v>4.8000000000000001E-2</v>
      </c>
    </row>
    <row r="402" spans="1:26" x14ac:dyDescent="0.25">
      <c r="A402" s="12" t="s">
        <v>1361</v>
      </c>
      <c r="B402" s="14" t="str">
        <f t="shared" si="225"/>
        <v>From Fiscal Forecasts</v>
      </c>
      <c r="D402" s="50">
        <f>'Fiscal Forecasts'!D$328</f>
        <v>0.56299999999999994</v>
      </c>
      <c r="E402" s="50">
        <f>'Fiscal Forecasts'!E$328</f>
        <v>0.50600000000000001</v>
      </c>
      <c r="F402" s="50">
        <f>'Fiscal Forecasts'!F$328</f>
        <v>0.46899999999999997</v>
      </c>
      <c r="G402" s="50">
        <f>'Fiscal Forecasts'!G$328</f>
        <v>0.48899999999999999</v>
      </c>
      <c r="H402" s="50">
        <f>'Fiscal Forecasts'!H$328</f>
        <v>0.55100000000000005</v>
      </c>
      <c r="I402" s="50">
        <f>'Fiscal Forecasts'!I$328</f>
        <v>0.54400000000000004</v>
      </c>
      <c r="J402" s="50">
        <f>'Fiscal Forecasts'!J$328</f>
        <v>0.58499999999999996</v>
      </c>
      <c r="K402" s="50">
        <f>'Fiscal Forecasts'!K$328</f>
        <v>0.76300000000000001</v>
      </c>
      <c r="L402" s="48">
        <f>'Fiscal Forecasts'!L$328</f>
        <v>0.72399999999999998</v>
      </c>
      <c r="M402" s="48">
        <f>'Fiscal Forecasts'!M$328</f>
        <v>0.78600000000000003</v>
      </c>
      <c r="N402" s="48">
        <f>'Fiscal Forecasts'!N$328</f>
        <v>0.82099999999999995</v>
      </c>
      <c r="O402" s="48">
        <f>'Fiscal Forecasts'!O$328</f>
        <v>0.85299999999999998</v>
      </c>
      <c r="P402" s="48">
        <f>'Fiscal Forecasts'!P$328</f>
        <v>0.88300000000000001</v>
      </c>
      <c r="Q402" s="20">
        <f>Exogenous!AB$18</f>
        <v>0.91100000000000003</v>
      </c>
      <c r="R402" s="20">
        <f>Exogenous!AC$18</f>
        <v>0.93799999999999994</v>
      </c>
      <c r="S402" s="20">
        <f>Exogenous!AD$18</f>
        <v>0.96199999999999997</v>
      </c>
      <c r="T402" s="20">
        <f>Exogenous!AE$18</f>
        <v>0.98499999999999999</v>
      </c>
      <c r="U402" s="20">
        <f>Exogenous!AF$18</f>
        <v>1.006</v>
      </c>
      <c r="V402" s="20">
        <f>Exogenous!AG$18</f>
        <v>1.0249999999999999</v>
      </c>
      <c r="W402" s="20">
        <f>Exogenous!AH$18</f>
        <v>1.046</v>
      </c>
      <c r="X402" s="20">
        <f>Exogenous!AI$18</f>
        <v>1.0669999999999999</v>
      </c>
      <c r="Y402" s="20">
        <f>Exogenous!AJ$18</f>
        <v>1.0880000000000001</v>
      </c>
      <c r="Z402" s="20">
        <f>Exogenous!AK$18</f>
        <v>1.109</v>
      </c>
    </row>
    <row r="403" spans="1:26" x14ac:dyDescent="0.25">
      <c r="A403" s="12" t="s">
        <v>1362</v>
      </c>
      <c r="B403" s="14" t="str">
        <f t="shared" si="225"/>
        <v>From Fiscal Forecasts</v>
      </c>
      <c r="D403" s="50">
        <f>'Fiscal Forecasts'!D$329</f>
        <v>1.371</v>
      </c>
      <c r="E403" s="50">
        <f>'Fiscal Forecasts'!E$329</f>
        <v>1.4770000000000001</v>
      </c>
      <c r="F403" s="50">
        <f>'Fiscal Forecasts'!F$329</f>
        <v>1.4950000000000001</v>
      </c>
      <c r="G403" s="50">
        <f>'Fiscal Forecasts'!G$329</f>
        <v>1.605</v>
      </c>
      <c r="H403" s="50">
        <f>'Fiscal Forecasts'!H$329</f>
        <v>1.6339999999999999</v>
      </c>
      <c r="I403" s="50">
        <f>'Fiscal Forecasts'!I$329</f>
        <v>1.5980000000000001</v>
      </c>
      <c r="J403" s="50">
        <f>'Fiscal Forecasts'!J$329</f>
        <v>1.5620000000000001</v>
      </c>
      <c r="K403" s="50">
        <f>'Fiscal Forecasts'!K$329</f>
        <v>1.6279999999999999</v>
      </c>
      <c r="L403" s="48">
        <f>'Fiscal Forecasts'!L$329</f>
        <v>1.726</v>
      </c>
      <c r="M403" s="48">
        <f>'Fiscal Forecasts'!M$329</f>
        <v>1.8009999999999999</v>
      </c>
      <c r="N403" s="48">
        <f>'Fiscal Forecasts'!N$329</f>
        <v>1.863</v>
      </c>
      <c r="O403" s="48">
        <f>'Fiscal Forecasts'!O$329</f>
        <v>1.9319999999999999</v>
      </c>
      <c r="P403" s="48">
        <f>'Fiscal Forecasts'!P$329</f>
        <v>2.0049999999999999</v>
      </c>
      <c r="Q403" s="20">
        <f>Exogenous!AB$19</f>
        <v>1.9910000000000001</v>
      </c>
      <c r="R403" s="20">
        <f>Exogenous!AC$19</f>
        <v>2.0409999999999999</v>
      </c>
      <c r="S403" s="20">
        <f>Exogenous!AD$19</f>
        <v>2.09</v>
      </c>
      <c r="T403" s="20">
        <f>Exogenous!AE$19</f>
        <v>2.1389999999999998</v>
      </c>
      <c r="U403" s="20">
        <f>Exogenous!AF$19</f>
        <v>2.1859999999999999</v>
      </c>
      <c r="V403" s="20">
        <f>Exogenous!AG$19</f>
        <v>2.2309999999999999</v>
      </c>
      <c r="W403" s="20">
        <f>Exogenous!AH$19</f>
        <v>2.2759999999999998</v>
      </c>
      <c r="X403" s="20">
        <f>Exogenous!AI$19</f>
        <v>2.319</v>
      </c>
      <c r="Y403" s="20">
        <f>Exogenous!AJ$19</f>
        <v>2.3570000000000002</v>
      </c>
      <c r="Z403" s="20">
        <f>Exogenous!AK$19</f>
        <v>2.395</v>
      </c>
    </row>
    <row r="404" spans="1:26" x14ac:dyDescent="0.25">
      <c r="A404" s="12" t="s">
        <v>536</v>
      </c>
      <c r="B404" s="14" t="str">
        <f t="shared" si="225"/>
        <v>From Fiscal Forecasts</v>
      </c>
      <c r="D404" s="50">
        <f>'Fiscal Forecasts'!D$330</f>
        <v>0.39400000000000002</v>
      </c>
      <c r="E404" s="50">
        <f>'Fiscal Forecasts'!E$330</f>
        <v>0.33100000000000002</v>
      </c>
      <c r="F404" s="50">
        <f>'Fiscal Forecasts'!F$330</f>
        <v>0.23499999999999999</v>
      </c>
      <c r="G404" s="50">
        <f>'Fiscal Forecasts'!G$330</f>
        <v>0.28000000000000003</v>
      </c>
      <c r="H404" s="50">
        <f>'Fiscal Forecasts'!H$330</f>
        <v>0.57699999999999996</v>
      </c>
      <c r="I404" s="50">
        <f>'Fiscal Forecasts'!I$330</f>
        <v>0.63400000000000001</v>
      </c>
      <c r="J404" s="50">
        <f>'Fiscal Forecasts'!J$330</f>
        <v>0.49199999999999999</v>
      </c>
      <c r="K404" s="50">
        <f>'Fiscal Forecasts'!K$330</f>
        <v>0.311</v>
      </c>
      <c r="L404" s="48">
        <f>'Fiscal Forecasts'!L$330</f>
        <v>0.36299999999999999</v>
      </c>
      <c r="M404" s="48">
        <f>'Fiscal Forecasts'!M$330</f>
        <v>0.44600000000000001</v>
      </c>
      <c r="N404" s="48">
        <f>'Fiscal Forecasts'!N$330</f>
        <v>0.47399999999999998</v>
      </c>
      <c r="O404" s="48">
        <f>'Fiscal Forecasts'!O$330</f>
        <v>0.501</v>
      </c>
      <c r="P404" s="48">
        <f>'Fiscal Forecasts'!P$330</f>
        <v>0.52600000000000002</v>
      </c>
      <c r="Q404" s="20">
        <f>Exogenous!AB$20</f>
        <v>0.56899999999999995</v>
      </c>
      <c r="R404" s="20">
        <f>Exogenous!AC$20</f>
        <v>0.60499999999999998</v>
      </c>
      <c r="S404" s="20">
        <f>Exogenous!AD$20</f>
        <v>0.63900000000000001</v>
      </c>
      <c r="T404" s="20">
        <f>Exogenous!AE$20</f>
        <v>0.67</v>
      </c>
      <c r="U404" s="20">
        <f>Exogenous!AF$20</f>
        <v>0.69899999999999995</v>
      </c>
      <c r="V404" s="20">
        <f>Exogenous!AG$20</f>
        <v>0.72899999999999998</v>
      </c>
      <c r="W404" s="20">
        <f>Exogenous!AH$20</f>
        <v>0.75900000000000001</v>
      </c>
      <c r="X404" s="20">
        <f>Exogenous!AI$20</f>
        <v>0.79100000000000004</v>
      </c>
      <c r="Y404" s="20">
        <f>Exogenous!AJ$20</f>
        <v>0.82399999999999995</v>
      </c>
      <c r="Z404" s="20">
        <f>Exogenous!AK$20</f>
        <v>0.85699999999999998</v>
      </c>
    </row>
    <row r="405" spans="1:26" x14ac:dyDescent="0.25">
      <c r="A405" s="12" t="s">
        <v>537</v>
      </c>
      <c r="B405" s="14" t="str">
        <f t="shared" si="225"/>
        <v>From Fiscal Forecasts</v>
      </c>
      <c r="D405" s="50">
        <f>'Fiscal Forecasts'!D$331</f>
        <v>0.94499999999999995</v>
      </c>
      <c r="E405" s="50">
        <f>'Fiscal Forecasts'!E$331</f>
        <v>-0.13300000000000001</v>
      </c>
      <c r="F405" s="50">
        <f>'Fiscal Forecasts'!F$331</f>
        <v>0.70699999999999996</v>
      </c>
      <c r="G405" s="50">
        <f>'Fiscal Forecasts'!G$331</f>
        <v>-1.151</v>
      </c>
      <c r="H405" s="50">
        <f>'Fiscal Forecasts'!H$331</f>
        <v>0.47099999999999997</v>
      </c>
      <c r="I405" s="50">
        <f>'Fiscal Forecasts'!I$331</f>
        <v>0.35499999999999998</v>
      </c>
      <c r="J405" s="50">
        <f>'Fiscal Forecasts'!J$331</f>
        <v>0.378</v>
      </c>
      <c r="K405" s="50">
        <f>'Fiscal Forecasts'!K$331</f>
        <v>0.53400000000000003</v>
      </c>
      <c r="L405" s="48">
        <f>'Fiscal Forecasts'!L$331</f>
        <v>0</v>
      </c>
      <c r="M405" s="48">
        <f>'Fiscal Forecasts'!M$331</f>
        <v>0</v>
      </c>
      <c r="N405" s="48">
        <f>'Fiscal Forecasts'!N$331</f>
        <v>0</v>
      </c>
      <c r="O405" s="48">
        <f>'Fiscal Forecasts'!O$331</f>
        <v>0</v>
      </c>
      <c r="P405" s="48">
        <f>'Fiscal Forecasts'!P$331</f>
        <v>0</v>
      </c>
      <c r="Q405" s="20">
        <f>Exogenous!AB$21</f>
        <v>0</v>
      </c>
      <c r="R405" s="20">
        <f>Exogenous!AC$21</f>
        <v>0</v>
      </c>
      <c r="S405" s="20">
        <f>Exogenous!AD$21</f>
        <v>0</v>
      </c>
      <c r="T405" s="20">
        <f>Exogenous!AE$21</f>
        <v>0</v>
      </c>
      <c r="U405" s="20">
        <f>Exogenous!AF$21</f>
        <v>0</v>
      </c>
      <c r="V405" s="20">
        <f>Exogenous!AG$21</f>
        <v>0</v>
      </c>
      <c r="W405" s="20">
        <f>Exogenous!AH$21</f>
        <v>0</v>
      </c>
      <c r="X405" s="20">
        <f>Exogenous!AI$21</f>
        <v>0</v>
      </c>
      <c r="Y405" s="20">
        <f>Exogenous!AJ$21</f>
        <v>0</v>
      </c>
      <c r="Z405" s="20">
        <f>Exogenous!AK$21</f>
        <v>0</v>
      </c>
    </row>
    <row r="406" spans="1:26" x14ac:dyDescent="0.25">
      <c r="A406" s="11" t="s">
        <v>1071</v>
      </c>
      <c r="C406" s="103">
        <f>'Fiscal Forecasts'!$C$332</f>
        <v>9.9290000000000003</v>
      </c>
      <c r="D406" s="94">
        <f>SUM(C$406,D$400,D$401,-D$402,-D$403,D$404,D$405)</f>
        <v>10.731</v>
      </c>
      <c r="E406" s="94">
        <f t="shared" ref="E406:Z406" si="226">SUM(D$406,E$400,E$401,-E$402,-E$403,E$404,E$405)</f>
        <v>10.395</v>
      </c>
      <c r="F406" s="94">
        <f t="shared" si="226"/>
        <v>10.841000000000001</v>
      </c>
      <c r="G406" s="94">
        <f t="shared" si="226"/>
        <v>9.2089999999999996</v>
      </c>
      <c r="H406" s="94">
        <f t="shared" si="226"/>
        <v>9.3729999999999993</v>
      </c>
      <c r="I406" s="94">
        <f t="shared" si="226"/>
        <v>9.5960000000000001</v>
      </c>
      <c r="J406" s="94">
        <f t="shared" si="226"/>
        <v>10.053999999999998</v>
      </c>
      <c r="K406" s="94">
        <f t="shared" si="226"/>
        <v>10.545</v>
      </c>
      <c r="L406" s="95">
        <f t="shared" si="226"/>
        <v>10.648</v>
      </c>
      <c r="M406" s="95">
        <f t="shared" si="226"/>
        <v>10.73</v>
      </c>
      <c r="N406" s="95">
        <f t="shared" si="226"/>
        <v>10.746000000000002</v>
      </c>
      <c r="O406" s="95">
        <f t="shared" si="226"/>
        <v>10.714000000000002</v>
      </c>
      <c r="P406" s="95">
        <f t="shared" si="226"/>
        <v>10.643000000000004</v>
      </c>
      <c r="Q406" s="96">
        <f t="shared" si="226"/>
        <v>10.645000000000003</v>
      </c>
      <c r="R406" s="96">
        <f t="shared" si="226"/>
        <v>10.643000000000002</v>
      </c>
      <c r="S406" s="96">
        <f t="shared" si="226"/>
        <v>10.637000000000002</v>
      </c>
      <c r="T406" s="96">
        <f t="shared" si="226"/>
        <v>10.622000000000003</v>
      </c>
      <c r="U406" s="96">
        <f t="shared" si="226"/>
        <v>10.598000000000003</v>
      </c>
      <c r="V406" s="96">
        <f t="shared" si="226"/>
        <v>10.571000000000002</v>
      </c>
      <c r="W406" s="96">
        <f t="shared" si="226"/>
        <v>10.539000000000003</v>
      </c>
      <c r="X406" s="96">
        <f t="shared" si="226"/>
        <v>10.508000000000003</v>
      </c>
      <c r="Y406" s="96">
        <f t="shared" si="226"/>
        <v>10.485000000000005</v>
      </c>
      <c r="Z406" s="96">
        <f t="shared" si="226"/>
        <v>10.470000000000004</v>
      </c>
    </row>
    <row r="408" spans="1:26" x14ac:dyDescent="0.25">
      <c r="A408" s="11" t="s">
        <v>947</v>
      </c>
    </row>
    <row r="409" spans="1:26" x14ac:dyDescent="0.25">
      <c r="A409" s="11" t="s">
        <v>1363</v>
      </c>
      <c r="B409" s="14" t="str">
        <f>$B$38</f>
        <v>From Fiscal Forecasts</v>
      </c>
      <c r="D409" s="51">
        <f>ROUND('Fiscal Forecasts'!D$189*D$410/SUM(D$410,D$414),3)</f>
        <v>0.75700000000000001</v>
      </c>
      <c r="E409" s="51">
        <f>ROUND('Fiscal Forecasts'!E$189*E$410/SUM(E$410,E$414),3)</f>
        <v>1.0569999999999999</v>
      </c>
      <c r="F409" s="51">
        <f>ROUND('Fiscal Forecasts'!F$189*F$410/SUM(F$410,F$414),3)</f>
        <v>1.169</v>
      </c>
      <c r="G409" s="51">
        <f>ROUND('Fiscal Forecasts'!G$189*G$410/SUM(G$410,G$414),3)</f>
        <v>1.7330000000000001</v>
      </c>
      <c r="H409" s="51">
        <f>ROUND('Fiscal Forecasts'!H$189*H$410/SUM(H$410,H$414),3)</f>
        <v>1.5860000000000001</v>
      </c>
      <c r="I409" s="51">
        <f>ROUND('Fiscal Forecasts'!I$189*I$410/SUM(I$410,I$414),3)</f>
        <v>1.6120000000000001</v>
      </c>
      <c r="J409" s="51">
        <f>ROUND('Fiscal Forecasts'!J$189*J$410/SUM(J$410,J$414),3)</f>
        <v>1.704</v>
      </c>
      <c r="K409" s="51">
        <f>ROUND('Fiscal Forecasts'!K$189*K$410/SUM(K$410,K$414),3)</f>
        <v>1.722</v>
      </c>
      <c r="L409" s="47">
        <f>ROUND('Fiscal Forecasts'!L$189*L$410/SUM(L$410,L$414),3)</f>
        <v>1.7230000000000001</v>
      </c>
      <c r="M409" s="47">
        <f>ROUND('Fiscal Forecasts'!M$189*M$410/SUM(M$410,M$414),3)</f>
        <v>1.6459999999999999</v>
      </c>
      <c r="N409" s="47">
        <f>ROUND('Fiscal Forecasts'!N$189*N$410/SUM(N$410,N$414),3)</f>
        <v>1.6339999999999999</v>
      </c>
      <c r="O409" s="47">
        <f>ROUND('Fiscal Forecasts'!O$189*O$410/SUM(O$410,O$414),3)</f>
        <v>1.629</v>
      </c>
      <c r="P409" s="47">
        <f>ROUND('Fiscal Forecasts'!P$189*P$410/SUM(P$410,P$414),3)</f>
        <v>1.61</v>
      </c>
      <c r="Q409" s="21">
        <f t="shared" ref="Q409:Z409" ca="1" si="227">P$409*(1+Q$29)</f>
        <v>1.6422000000000001</v>
      </c>
      <c r="R409" s="21">
        <f t="shared" ca="1" si="227"/>
        <v>1.6750440000000002</v>
      </c>
      <c r="S409" s="21">
        <f t="shared" ca="1" si="227"/>
        <v>1.7085448800000003</v>
      </c>
      <c r="T409" s="21">
        <f t="shared" ca="1" si="227"/>
        <v>1.7427157776000004</v>
      </c>
      <c r="U409" s="21">
        <f t="shared" ca="1" si="227"/>
        <v>1.7775700931520004</v>
      </c>
      <c r="V409" s="21">
        <f t="shared" ca="1" si="227"/>
        <v>1.8131214950150405</v>
      </c>
      <c r="W409" s="21">
        <f t="shared" ca="1" si="227"/>
        <v>1.8493839249153414</v>
      </c>
      <c r="X409" s="21">
        <f t="shared" ca="1" si="227"/>
        <v>1.8863716034136482</v>
      </c>
      <c r="Y409" s="21">
        <f t="shared" ca="1" si="227"/>
        <v>1.9240990354819212</v>
      </c>
      <c r="Z409" s="21">
        <f t="shared" ca="1" si="227"/>
        <v>1.9625810161915596</v>
      </c>
    </row>
    <row r="410" spans="1:26" x14ac:dyDescent="0.25">
      <c r="A410" s="11" t="s">
        <v>1364</v>
      </c>
      <c r="B410" s="14" t="str">
        <f>$B$38</f>
        <v>From Fiscal Forecasts</v>
      </c>
      <c r="D410" s="51">
        <f>'Fiscal Forecasts'!D$126</f>
        <v>1.5169999999999999</v>
      </c>
      <c r="E410" s="51">
        <f>'Fiscal Forecasts'!E$126</f>
        <v>1.7729999999999999</v>
      </c>
      <c r="F410" s="51">
        <f>'Fiscal Forecasts'!F$126</f>
        <v>2.194</v>
      </c>
      <c r="G410" s="51">
        <f>'Fiscal Forecasts'!G$126</f>
        <v>3.0680000000000001</v>
      </c>
      <c r="H410" s="51">
        <f>'Fiscal Forecasts'!H$126</f>
        <v>3.0409999999999999</v>
      </c>
      <c r="I410" s="51">
        <f>'Fiscal Forecasts'!I$126</f>
        <v>2.8610000000000002</v>
      </c>
      <c r="J410" s="51">
        <f>'Fiscal Forecasts'!J$126</f>
        <v>3.1</v>
      </c>
      <c r="K410" s="51">
        <f>'Fiscal Forecasts'!K$126</f>
        <v>3.2650000000000001</v>
      </c>
      <c r="L410" s="47">
        <f>'Fiscal Forecasts'!L$126</f>
        <v>3.1110000000000002</v>
      </c>
      <c r="M410" s="47">
        <f>'Fiscal Forecasts'!M$126</f>
        <v>3.03</v>
      </c>
      <c r="N410" s="47">
        <f>'Fiscal Forecasts'!N$126</f>
        <v>3.05</v>
      </c>
      <c r="O410" s="47">
        <f>'Fiscal Forecasts'!O$126</f>
        <v>3.0790000000000002</v>
      </c>
      <c r="P410" s="47">
        <f>'Fiscal Forecasts'!P$126</f>
        <v>3.0670000000000002</v>
      </c>
      <c r="Q410" s="21">
        <f t="shared" ref="Q410:Z410" ca="1" si="228">Q$409+(P$410-P$409)*(1+Q$29)</f>
        <v>3.1283400000000001</v>
      </c>
      <c r="R410" s="21">
        <f t="shared" ca="1" si="228"/>
        <v>3.1909068000000005</v>
      </c>
      <c r="S410" s="21">
        <f t="shared" ca="1" si="228"/>
        <v>3.2547249360000006</v>
      </c>
      <c r="T410" s="21">
        <f t="shared" ca="1" si="228"/>
        <v>3.3198194347200007</v>
      </c>
      <c r="U410" s="21">
        <f t="shared" ca="1" si="228"/>
        <v>3.3862158234144006</v>
      </c>
      <c r="V410" s="21">
        <f t="shared" ca="1" si="228"/>
        <v>3.4539401398826888</v>
      </c>
      <c r="W410" s="21">
        <f t="shared" ca="1" si="228"/>
        <v>3.5230189426803427</v>
      </c>
      <c r="X410" s="21">
        <f t="shared" ca="1" si="228"/>
        <v>3.5934793215339496</v>
      </c>
      <c r="Y410" s="21">
        <f t="shared" ca="1" si="228"/>
        <v>3.6653489079646286</v>
      </c>
      <c r="Z410" s="21">
        <f t="shared" ca="1" si="228"/>
        <v>3.7386558861239214</v>
      </c>
    </row>
    <row r="412" spans="1:26" x14ac:dyDescent="0.25">
      <c r="A412" s="11" t="s">
        <v>1365</v>
      </c>
    </row>
    <row r="413" spans="1:26" x14ac:dyDescent="0.25">
      <c r="A413" s="11" t="s">
        <v>1366</v>
      </c>
      <c r="B413" s="14" t="str">
        <f>$B$38</f>
        <v>From Fiscal Forecasts</v>
      </c>
      <c r="D413" s="51">
        <f>'Fiscal Forecasts'!D$189-D$409</f>
        <v>1.4119999999999999</v>
      </c>
      <c r="E413" s="51">
        <f>'Fiscal Forecasts'!E$189-E$409</f>
        <v>2.153</v>
      </c>
      <c r="F413" s="51">
        <f>'Fiscal Forecasts'!F$189-F$409</f>
        <v>2.0920000000000001</v>
      </c>
      <c r="G413" s="51">
        <f>'Fiscal Forecasts'!G$189-G$409</f>
        <v>2.3759999999999999</v>
      </c>
      <c r="H413" s="51">
        <f>'Fiscal Forecasts'!H$189-H$409</f>
        <v>2.4050000000000002</v>
      </c>
      <c r="I413" s="51">
        <f>'Fiscal Forecasts'!I$189-I$409</f>
        <v>2.8419999999999996</v>
      </c>
      <c r="J413" s="51">
        <f>'Fiscal Forecasts'!J$189-J$409</f>
        <v>2.835</v>
      </c>
      <c r="K413" s="51">
        <f>'Fiscal Forecasts'!K$189-K$409</f>
        <v>2.927</v>
      </c>
      <c r="L413" s="47">
        <f>'Fiscal Forecasts'!L$189-L$409</f>
        <v>3.1180000000000003</v>
      </c>
      <c r="M413" s="47">
        <f>'Fiscal Forecasts'!M$189-M$409</f>
        <v>3.0280000000000005</v>
      </c>
      <c r="N413" s="47">
        <f>'Fiscal Forecasts'!N$189-N$409</f>
        <v>2.8540000000000005</v>
      </c>
      <c r="O413" s="47">
        <f>'Fiscal Forecasts'!O$189-O$409</f>
        <v>2.8160000000000003</v>
      </c>
      <c r="P413" s="47">
        <f>'Fiscal Forecasts'!P$189-P$409</f>
        <v>2.7879999999999994</v>
      </c>
      <c r="Q413" s="21">
        <f t="shared" ref="Q413:Z413" ca="1" si="229">P$413*(1+Q$29)</f>
        <v>2.8437599999999996</v>
      </c>
      <c r="R413" s="21">
        <f t="shared" ca="1" si="229"/>
        <v>2.9006351999999995</v>
      </c>
      <c r="S413" s="21">
        <f t="shared" ca="1" si="229"/>
        <v>2.9586479039999998</v>
      </c>
      <c r="T413" s="21">
        <f t="shared" ca="1" si="229"/>
        <v>3.0178208620799998</v>
      </c>
      <c r="U413" s="21">
        <f t="shared" ca="1" si="229"/>
        <v>3.0781772793215998</v>
      </c>
      <c r="V413" s="21">
        <f t="shared" ca="1" si="229"/>
        <v>3.1397408249080319</v>
      </c>
      <c r="W413" s="21">
        <f t="shared" ca="1" si="229"/>
        <v>3.2025356414061927</v>
      </c>
      <c r="X413" s="21">
        <f t="shared" ca="1" si="229"/>
        <v>3.2665863542343168</v>
      </c>
      <c r="Y413" s="21">
        <f t="shared" ca="1" si="229"/>
        <v>3.331918081319003</v>
      </c>
      <c r="Z413" s="21">
        <f t="shared" ca="1" si="229"/>
        <v>3.3985564429453832</v>
      </c>
    </row>
    <row r="414" spans="1:26" x14ac:dyDescent="0.25">
      <c r="A414" s="11" t="s">
        <v>1367</v>
      </c>
      <c r="B414" s="14" t="str">
        <f>$B$38</f>
        <v>From Fiscal Forecasts</v>
      </c>
      <c r="D414" s="51">
        <f>'Fiscal Forecasts'!D$127</f>
        <v>2.8279999999999998</v>
      </c>
      <c r="E414" s="51">
        <f>'Fiscal Forecasts'!E$127</f>
        <v>3.61</v>
      </c>
      <c r="F414" s="51">
        <f>'Fiscal Forecasts'!F$127</f>
        <v>3.9279999999999999</v>
      </c>
      <c r="G414" s="51">
        <f>'Fiscal Forecasts'!G$127</f>
        <v>4.2080000000000002</v>
      </c>
      <c r="H414" s="51">
        <f>'Fiscal Forecasts'!H$127</f>
        <v>4.6120000000000001</v>
      </c>
      <c r="I414" s="51">
        <f>'Fiscal Forecasts'!I$127</f>
        <v>5.0449999999999999</v>
      </c>
      <c r="J414" s="51">
        <f>'Fiscal Forecasts'!J$127</f>
        <v>5.157</v>
      </c>
      <c r="K414" s="51">
        <f>'Fiscal Forecasts'!K$127</f>
        <v>5.55</v>
      </c>
      <c r="L414" s="47">
        <f>'Fiscal Forecasts'!L$127</f>
        <v>5.6280000000000001</v>
      </c>
      <c r="M414" s="47">
        <f>'Fiscal Forecasts'!M$127</f>
        <v>5.5730000000000004</v>
      </c>
      <c r="N414" s="47">
        <f>'Fiscal Forecasts'!N$127</f>
        <v>5.3250000000000002</v>
      </c>
      <c r="O414" s="47">
        <f>'Fiscal Forecasts'!O$127</f>
        <v>5.3239999999999998</v>
      </c>
      <c r="P414" s="47">
        <f>'Fiscal Forecasts'!P$127</f>
        <v>5.3129999999999997</v>
      </c>
      <c r="Q414" s="21">
        <f t="shared" ref="Q414:Z414" ca="1" si="230">Q$413+(P$414-P$413)*(1+Q$29)</f>
        <v>5.4192599999999995</v>
      </c>
      <c r="R414" s="21">
        <f t="shared" ca="1" si="230"/>
        <v>5.5276451999999994</v>
      </c>
      <c r="S414" s="21">
        <f t="shared" ca="1" si="230"/>
        <v>5.6381981039999998</v>
      </c>
      <c r="T414" s="21">
        <f t="shared" ca="1" si="230"/>
        <v>5.7509620660799996</v>
      </c>
      <c r="U414" s="21">
        <f t="shared" ca="1" si="230"/>
        <v>5.8659813074015998</v>
      </c>
      <c r="V414" s="21">
        <f t="shared" ca="1" si="230"/>
        <v>5.9833009335496321</v>
      </c>
      <c r="W414" s="21">
        <f t="shared" ca="1" si="230"/>
        <v>6.1029669522206245</v>
      </c>
      <c r="X414" s="21">
        <f t="shared" ca="1" si="230"/>
        <v>6.2250262912650367</v>
      </c>
      <c r="Y414" s="21">
        <f t="shared" ca="1" si="230"/>
        <v>6.3495268170903376</v>
      </c>
      <c r="Z414" s="21">
        <f t="shared" ca="1" si="230"/>
        <v>6.4765173534321443</v>
      </c>
    </row>
    <row r="416" spans="1:26" x14ac:dyDescent="0.25">
      <c r="A416" s="11" t="s">
        <v>1368</v>
      </c>
    </row>
    <row r="417" spans="1:26" x14ac:dyDescent="0.25">
      <c r="A417" s="11" t="s">
        <v>1369</v>
      </c>
      <c r="B417" s="14" t="str">
        <f>$B$38</f>
        <v>From Fiscal Forecasts</v>
      </c>
      <c r="D417" s="51">
        <f>'Fiscal Forecasts'!D$186</f>
        <v>43.683999999999997</v>
      </c>
      <c r="E417" s="51">
        <f>'Fiscal Forecasts'!E$186</f>
        <v>45.167000000000002</v>
      </c>
      <c r="F417" s="51">
        <f>'Fiscal Forecasts'!F$186</f>
        <v>51.92</v>
      </c>
      <c r="G417" s="51">
        <f>'Fiscal Forecasts'!G$186</f>
        <v>56.518999999999998</v>
      </c>
      <c r="H417" s="51">
        <f>'Fiscal Forecasts'!H$186</f>
        <v>63.033999999999999</v>
      </c>
      <c r="I417" s="51">
        <f>'Fiscal Forecasts'!I$186</f>
        <v>67.997</v>
      </c>
      <c r="J417" s="51">
        <f>'Fiscal Forecasts'!J$186</f>
        <v>67.518000000000001</v>
      </c>
      <c r="K417" s="51">
        <f>'Fiscal Forecasts'!K$186</f>
        <v>65.867999999999995</v>
      </c>
      <c r="L417" s="47">
        <f>'Fiscal Forecasts'!L$186</f>
        <v>67.391000000000005</v>
      </c>
      <c r="M417" s="47">
        <f>'Fiscal Forecasts'!M$186</f>
        <v>68.777000000000001</v>
      </c>
      <c r="N417" s="47">
        <f>'Fiscal Forecasts'!N$186</f>
        <v>69.62</v>
      </c>
      <c r="O417" s="47">
        <f>'Fiscal Forecasts'!O$186</f>
        <v>69.459000000000003</v>
      </c>
      <c r="P417" s="47">
        <f>'Fiscal Forecasts'!P$186</f>
        <v>69.108000000000004</v>
      </c>
      <c r="Q417" s="21">
        <f t="shared" ref="Q417:Z417" si="231">P$417</f>
        <v>69.108000000000004</v>
      </c>
      <c r="R417" s="21">
        <f t="shared" si="231"/>
        <v>69.108000000000004</v>
      </c>
      <c r="S417" s="21">
        <f t="shared" si="231"/>
        <v>69.108000000000004</v>
      </c>
      <c r="T417" s="21">
        <f t="shared" si="231"/>
        <v>69.108000000000004</v>
      </c>
      <c r="U417" s="21">
        <f t="shared" si="231"/>
        <v>69.108000000000004</v>
      </c>
      <c r="V417" s="21">
        <f t="shared" si="231"/>
        <v>69.108000000000004</v>
      </c>
      <c r="W417" s="21">
        <f t="shared" si="231"/>
        <v>69.108000000000004</v>
      </c>
      <c r="X417" s="21">
        <f t="shared" si="231"/>
        <v>69.108000000000004</v>
      </c>
      <c r="Y417" s="21">
        <f t="shared" si="231"/>
        <v>69.108000000000004</v>
      </c>
      <c r="Z417" s="21">
        <f t="shared" si="231"/>
        <v>69.108000000000004</v>
      </c>
    </row>
    <row r="418" spans="1:26" x14ac:dyDescent="0.25">
      <c r="A418" s="12" t="s">
        <v>1370</v>
      </c>
      <c r="B418" s="14" t="str">
        <f>$B$38</f>
        <v>From Fiscal Forecasts</v>
      </c>
      <c r="D418" s="50">
        <f>'Fiscal Forecasts'!D$335</f>
        <v>93.730999999999995</v>
      </c>
      <c r="E418" s="50">
        <f>'Fiscal Forecasts'!E$335</f>
        <v>101.509</v>
      </c>
      <c r="F418" s="50">
        <f>'Fiscal Forecasts'!F$335</f>
        <v>119.682</v>
      </c>
      <c r="G418" s="50">
        <f>'Fiscal Forecasts'!G$335</f>
        <v>145.18600000000001</v>
      </c>
      <c r="H418" s="50">
        <f>'Fiscal Forecasts'!H$335</f>
        <v>151.042</v>
      </c>
      <c r="I418" s="50">
        <f>'Fiscal Forecasts'!I$335</f>
        <v>158.06800000000001</v>
      </c>
      <c r="J418" s="50">
        <f>'Fiscal Forecasts'!J$335</f>
        <v>164.292</v>
      </c>
      <c r="K418" s="50">
        <f>'Fiscal Forecasts'!K$335</f>
        <v>165.83799999999999</v>
      </c>
      <c r="L418" s="48">
        <f>'Fiscal Forecasts'!L$335</f>
        <v>169.78800000000001</v>
      </c>
      <c r="M418" s="48">
        <f>'Fiscal Forecasts'!M$335</f>
        <v>173.96600000000001</v>
      </c>
      <c r="N418" s="48">
        <f>'Fiscal Forecasts'!N$335</f>
        <v>177.459</v>
      </c>
      <c r="O418" s="48">
        <f>'Fiscal Forecasts'!O$335</f>
        <v>179.83199999999999</v>
      </c>
      <c r="P418" s="48">
        <f>'Fiscal Forecasts'!P$335</f>
        <v>181.584</v>
      </c>
      <c r="Q418" s="20">
        <f t="shared" ref="Q418:Z418" ca="1" si="232">(P$418-P$423)*(1+Q$29)+Q$423</f>
        <v>183.21564000000001</v>
      </c>
      <c r="R418" s="20">
        <f t="shared" ca="1" si="232"/>
        <v>184.8799128</v>
      </c>
      <c r="S418" s="20">
        <f t="shared" ca="1" si="232"/>
        <v>186.57747105600001</v>
      </c>
      <c r="T418" s="20">
        <f t="shared" ca="1" si="232"/>
        <v>188.30898047712</v>
      </c>
      <c r="U418" s="20">
        <f t="shared" ca="1" si="232"/>
        <v>190.07512008666242</v>
      </c>
      <c r="V418" s="20">
        <f t="shared" ca="1" si="232"/>
        <v>191.87658248839568</v>
      </c>
      <c r="W418" s="20">
        <f t="shared" ca="1" si="232"/>
        <v>193.7140741381636</v>
      </c>
      <c r="X418" s="20">
        <f t="shared" ca="1" si="232"/>
        <v>195.58831562092686</v>
      </c>
      <c r="Y418" s="20">
        <f t="shared" ca="1" si="232"/>
        <v>197.50004193334541</v>
      </c>
      <c r="Z418" s="20">
        <f t="shared" ca="1" si="232"/>
        <v>199.45000277201234</v>
      </c>
    </row>
    <row r="419" spans="1:26" x14ac:dyDescent="0.25">
      <c r="A419" s="12" t="s">
        <v>1371</v>
      </c>
      <c r="B419" s="14" t="str">
        <f>$B$38</f>
        <v>From Fiscal Forecasts</v>
      </c>
      <c r="D419" s="50">
        <f>SUM('Fiscal Forecasts'!D$336:D$337)</f>
        <v>40.21</v>
      </c>
      <c r="E419" s="50">
        <f>SUM('Fiscal Forecasts'!E$336:E$337)</f>
        <v>39.826000000000001</v>
      </c>
      <c r="F419" s="50">
        <f>SUM('Fiscal Forecasts'!F$336:F$337)</f>
        <v>41.613999999999997</v>
      </c>
      <c r="G419" s="50">
        <f>SUM('Fiscal Forecasts'!G$336:G$337)</f>
        <v>47.476999999999997</v>
      </c>
      <c r="H419" s="50">
        <f>SUM('Fiscal Forecasts'!H$336:H$337)</f>
        <v>53.314</v>
      </c>
      <c r="I419" s="50">
        <f>SUM('Fiscal Forecasts'!I$336:I$337)</f>
        <v>57.724999999999994</v>
      </c>
      <c r="J419" s="50">
        <f>SUM('Fiscal Forecasts'!J$336:J$337)</f>
        <v>60.790999999999997</v>
      </c>
      <c r="K419" s="50">
        <f>SUM('Fiscal Forecasts'!K$336:K$337)</f>
        <v>64.260999999999996</v>
      </c>
      <c r="L419" s="48">
        <f>SUM('Fiscal Forecasts'!L$336:L$337)</f>
        <v>65.998000000000005</v>
      </c>
      <c r="M419" s="48">
        <f>SUM('Fiscal Forecasts'!M$336:M$337)</f>
        <v>67.91</v>
      </c>
      <c r="N419" s="48">
        <f>SUM('Fiscal Forecasts'!N$336:N$337)</f>
        <v>69.397999999999996</v>
      </c>
      <c r="O419" s="48">
        <f>SUM('Fiscal Forecasts'!O$336:O$337)</f>
        <v>70.602999999999994</v>
      </c>
      <c r="P419" s="48">
        <f>SUM('Fiscal Forecasts'!P$336:P$337)</f>
        <v>72.019000000000005</v>
      </c>
      <c r="Q419" s="20">
        <f t="shared" ref="Q419:Z419" ca="1" si="233">P$419*(1+Q$29)</f>
        <v>73.45938000000001</v>
      </c>
      <c r="R419" s="20">
        <f t="shared" ca="1" si="233"/>
        <v>74.928567600000008</v>
      </c>
      <c r="S419" s="20">
        <f t="shared" ca="1" si="233"/>
        <v>76.427138952000007</v>
      </c>
      <c r="T419" s="20">
        <f t="shared" ca="1" si="233"/>
        <v>77.955681731040002</v>
      </c>
      <c r="U419" s="20">
        <f t="shared" ca="1" si="233"/>
        <v>79.514795365660802</v>
      </c>
      <c r="V419" s="20">
        <f t="shared" ca="1" si="233"/>
        <v>81.105091272974022</v>
      </c>
      <c r="W419" s="20">
        <f t="shared" ca="1" si="233"/>
        <v>82.727193098433503</v>
      </c>
      <c r="X419" s="20">
        <f t="shared" ca="1" si="233"/>
        <v>84.381736960402179</v>
      </c>
      <c r="Y419" s="20">
        <f t="shared" ca="1" si="233"/>
        <v>86.06937169961023</v>
      </c>
      <c r="Z419" s="20">
        <f t="shared" ca="1" si="233"/>
        <v>87.790759133602435</v>
      </c>
    </row>
    <row r="420" spans="1:26" x14ac:dyDescent="0.25">
      <c r="A420" s="11" t="s">
        <v>1372</v>
      </c>
      <c r="D420" s="94">
        <f t="shared" ref="D420:I420" si="234">SUM(D$417:D$419)</f>
        <v>177.625</v>
      </c>
      <c r="E420" s="94">
        <f t="shared" si="234"/>
        <v>186.50199999999998</v>
      </c>
      <c r="F420" s="94">
        <f t="shared" si="234"/>
        <v>213.21600000000001</v>
      </c>
      <c r="G420" s="94">
        <f t="shared" si="234"/>
        <v>249.18200000000002</v>
      </c>
      <c r="H420" s="94">
        <f t="shared" si="234"/>
        <v>267.39</v>
      </c>
      <c r="I420" s="94">
        <f t="shared" si="234"/>
        <v>283.78999999999996</v>
      </c>
      <c r="J420" s="94">
        <f t="shared" ref="J420:P420" si="235">SUM(J$417:J$419)</f>
        <v>292.601</v>
      </c>
      <c r="K420" s="94">
        <f t="shared" si="235"/>
        <v>295.96699999999998</v>
      </c>
      <c r="L420" s="95">
        <f t="shared" si="235"/>
        <v>303.17700000000002</v>
      </c>
      <c r="M420" s="95">
        <f t="shared" si="235"/>
        <v>310.65300000000002</v>
      </c>
      <c r="N420" s="95">
        <f t="shared" si="235"/>
        <v>316.47699999999998</v>
      </c>
      <c r="O420" s="95">
        <f t="shared" si="235"/>
        <v>319.89400000000001</v>
      </c>
      <c r="P420" s="95">
        <f t="shared" si="235"/>
        <v>322.71100000000001</v>
      </c>
      <c r="Q420" s="96">
        <f t="shared" ref="Q420:Z420" ca="1" si="236">SUM(Q$417:Q$419)</f>
        <v>325.78302000000002</v>
      </c>
      <c r="R420" s="96">
        <f t="shared" ca="1" si="236"/>
        <v>328.91648040000001</v>
      </c>
      <c r="S420" s="96">
        <f t="shared" ca="1" si="236"/>
        <v>332.11261000800005</v>
      </c>
      <c r="T420" s="96">
        <f t="shared" ca="1" si="236"/>
        <v>335.37266220815997</v>
      </c>
      <c r="U420" s="96">
        <f t="shared" ca="1" si="236"/>
        <v>338.69791545232323</v>
      </c>
      <c r="V420" s="96">
        <f t="shared" ca="1" si="236"/>
        <v>342.08967376136968</v>
      </c>
      <c r="W420" s="96">
        <f t="shared" ca="1" si="236"/>
        <v>345.54926723659707</v>
      </c>
      <c r="X420" s="96">
        <f t="shared" ca="1" si="236"/>
        <v>349.07805258132902</v>
      </c>
      <c r="Y420" s="96">
        <f t="shared" ca="1" si="236"/>
        <v>352.67741363295568</v>
      </c>
      <c r="Z420" s="96">
        <f t="shared" ca="1" si="236"/>
        <v>356.34876190561477</v>
      </c>
    </row>
    <row r="422" spans="1:26" x14ac:dyDescent="0.25">
      <c r="A422" s="11" t="s">
        <v>950</v>
      </c>
    </row>
    <row r="423" spans="1:26" x14ac:dyDescent="0.25">
      <c r="A423" s="11" t="s">
        <v>1373</v>
      </c>
      <c r="B423" s="14" t="str">
        <f>$B$38</f>
        <v>From Fiscal Forecasts</v>
      </c>
      <c r="D423" s="51">
        <f>'Fiscal Forecasts'!D$187</f>
        <v>46.601999999999997</v>
      </c>
      <c r="E423" s="51">
        <f>'Fiscal Forecasts'!E$187</f>
        <v>49.604999999999997</v>
      </c>
      <c r="F423" s="51">
        <f>'Fiscal Forecasts'!F$187</f>
        <v>53.877000000000002</v>
      </c>
      <c r="G423" s="51">
        <f>'Fiscal Forecasts'!G$187</f>
        <v>57.801000000000002</v>
      </c>
      <c r="H423" s="51">
        <f>'Fiscal Forecasts'!H$187</f>
        <v>64.816999999999993</v>
      </c>
      <c r="I423" s="51">
        <f>'Fiscal Forecasts'!I$187</f>
        <v>69.174000000000007</v>
      </c>
      <c r="J423" s="51">
        <f>'Fiscal Forecasts'!J$187</f>
        <v>74.98</v>
      </c>
      <c r="K423" s="51">
        <f>'Fiscal Forecasts'!K$187</f>
        <v>79.525999999999996</v>
      </c>
      <c r="L423" s="47">
        <f>'Fiscal Forecasts'!L$187</f>
        <v>85.882999999999996</v>
      </c>
      <c r="M423" s="47">
        <f>'Fiscal Forecasts'!M$187</f>
        <v>91.435000000000002</v>
      </c>
      <c r="N423" s="47">
        <f>'Fiscal Forecasts'!N$187</f>
        <v>95.393000000000001</v>
      </c>
      <c r="O423" s="47">
        <f>'Fiscal Forecasts'!O$187</f>
        <v>98.093000000000004</v>
      </c>
      <c r="P423" s="47">
        <f>'Fiscal Forecasts'!P$187</f>
        <v>100.002</v>
      </c>
      <c r="Q423" s="21">
        <f t="shared" ref="Q423:Z423" si="237">P$423</f>
        <v>100.002</v>
      </c>
      <c r="R423" s="21">
        <f t="shared" si="237"/>
        <v>100.002</v>
      </c>
      <c r="S423" s="21">
        <f t="shared" si="237"/>
        <v>100.002</v>
      </c>
      <c r="T423" s="21">
        <f t="shared" si="237"/>
        <v>100.002</v>
      </c>
      <c r="U423" s="21">
        <f t="shared" si="237"/>
        <v>100.002</v>
      </c>
      <c r="V423" s="21">
        <f t="shared" si="237"/>
        <v>100.002</v>
      </c>
      <c r="W423" s="21">
        <f t="shared" si="237"/>
        <v>100.002</v>
      </c>
      <c r="X423" s="21">
        <f t="shared" si="237"/>
        <v>100.002</v>
      </c>
      <c r="Y423" s="21">
        <f t="shared" si="237"/>
        <v>100.002</v>
      </c>
      <c r="Z423" s="21">
        <f t="shared" si="237"/>
        <v>100.002</v>
      </c>
    </row>
    <row r="424" spans="1:26" x14ac:dyDescent="0.25">
      <c r="A424" s="11" t="s">
        <v>1374</v>
      </c>
      <c r="B424" s="14" t="str">
        <f>$B$38</f>
        <v>From Fiscal Forecasts</v>
      </c>
      <c r="D424" s="51">
        <f>'Fiscal Forecasts'!D$129</f>
        <v>14.65</v>
      </c>
      <c r="E424" s="51">
        <f>'Fiscal Forecasts'!E$129</f>
        <v>14.308</v>
      </c>
      <c r="F424" s="51">
        <f>'Fiscal Forecasts'!F$129</f>
        <v>14.420999999999999</v>
      </c>
      <c r="G424" s="51">
        <f>'Fiscal Forecasts'!G$129</f>
        <v>16.247</v>
      </c>
      <c r="H424" s="51">
        <f>'Fiscal Forecasts'!H$129</f>
        <v>17.033999999999999</v>
      </c>
      <c r="I424" s="51">
        <f>'Fiscal Forecasts'!I$129</f>
        <v>17.951000000000001</v>
      </c>
      <c r="J424" s="51">
        <f>'Fiscal Forecasts'!J$129</f>
        <v>19.478000000000002</v>
      </c>
      <c r="K424" s="51">
        <f>'Fiscal Forecasts'!K$129</f>
        <v>18.126999999999999</v>
      </c>
      <c r="L424" s="47">
        <f>'Fiscal Forecasts'!L$129</f>
        <v>18.913</v>
      </c>
      <c r="M424" s="47">
        <f>'Fiscal Forecasts'!M$129</f>
        <v>19.36</v>
      </c>
      <c r="N424" s="47">
        <f>'Fiscal Forecasts'!N$129</f>
        <v>19.609000000000002</v>
      </c>
      <c r="O424" s="47">
        <f>'Fiscal Forecasts'!O$129</f>
        <v>19.724</v>
      </c>
      <c r="P424" s="47">
        <f>'Fiscal Forecasts'!P$129</f>
        <v>19.824999999999999</v>
      </c>
      <c r="Q424" s="21">
        <f t="shared" ref="Q424:Z424" ca="1" si="238">P$424*(1+Q$29)</f>
        <v>20.221499999999999</v>
      </c>
      <c r="R424" s="21">
        <f t="shared" ca="1" si="238"/>
        <v>20.62593</v>
      </c>
      <c r="S424" s="21">
        <f t="shared" ca="1" si="238"/>
        <v>21.038448600000002</v>
      </c>
      <c r="T424" s="21">
        <f t="shared" ca="1" si="238"/>
        <v>21.459217572000004</v>
      </c>
      <c r="U424" s="21">
        <f t="shared" ca="1" si="238"/>
        <v>21.888401923440004</v>
      </c>
      <c r="V424" s="21">
        <f t="shared" ca="1" si="238"/>
        <v>22.326169961908803</v>
      </c>
      <c r="W424" s="21">
        <f t="shared" ca="1" si="238"/>
        <v>22.772693361146981</v>
      </c>
      <c r="X424" s="21">
        <f t="shared" ca="1" si="238"/>
        <v>23.22814722836992</v>
      </c>
      <c r="Y424" s="21">
        <f t="shared" ca="1" si="238"/>
        <v>23.692710172937318</v>
      </c>
      <c r="Z424" s="21">
        <f t="shared" ca="1" si="238"/>
        <v>24.166564376396064</v>
      </c>
    </row>
    <row r="426" spans="1:26" x14ac:dyDescent="0.25">
      <c r="A426" s="11" t="s">
        <v>951</v>
      </c>
    </row>
    <row r="427" spans="1:26" x14ac:dyDescent="0.25">
      <c r="A427" s="11" t="s">
        <v>1375</v>
      </c>
      <c r="B427" s="14" t="str">
        <f>$B$38</f>
        <v>From Fiscal Forecasts</v>
      </c>
      <c r="D427" s="51">
        <f>'Fiscal Forecasts'!D$188</f>
        <v>1.681</v>
      </c>
      <c r="E427" s="51">
        <f>'Fiscal Forecasts'!E$188</f>
        <v>1.57</v>
      </c>
      <c r="F427" s="51">
        <f>'Fiscal Forecasts'!F$188</f>
        <v>1.637</v>
      </c>
      <c r="G427" s="51">
        <f>'Fiscal Forecasts'!G$188</f>
        <v>1.4650000000000001</v>
      </c>
      <c r="H427" s="51">
        <f>'Fiscal Forecasts'!H$188</f>
        <v>1.583</v>
      </c>
      <c r="I427" s="51">
        <f>'Fiscal Forecasts'!I$188</f>
        <v>1.577</v>
      </c>
      <c r="J427" s="51">
        <f>'Fiscal Forecasts'!J$188</f>
        <v>1.53</v>
      </c>
      <c r="K427" s="51">
        <f>'Fiscal Forecasts'!K$188</f>
        <v>1.4570000000000001</v>
      </c>
      <c r="L427" s="47">
        <f>'Fiscal Forecasts'!L$188</f>
        <v>1.4379999999999999</v>
      </c>
      <c r="M427" s="47">
        <f>'Fiscal Forecasts'!M$188</f>
        <v>1.389</v>
      </c>
      <c r="N427" s="47">
        <f>'Fiscal Forecasts'!N$188</f>
        <v>1.294</v>
      </c>
      <c r="O427" s="47">
        <f>'Fiscal Forecasts'!O$188</f>
        <v>1.224</v>
      </c>
      <c r="P427" s="47">
        <f>'Fiscal Forecasts'!P$188</f>
        <v>1.163</v>
      </c>
      <c r="Q427" s="21">
        <f t="shared" ref="Q427:Z427" si="239">P$427</f>
        <v>1.163</v>
      </c>
      <c r="R427" s="21">
        <f t="shared" si="239"/>
        <v>1.163</v>
      </c>
      <c r="S427" s="21">
        <f t="shared" si="239"/>
        <v>1.163</v>
      </c>
      <c r="T427" s="21">
        <f t="shared" si="239"/>
        <v>1.163</v>
      </c>
      <c r="U427" s="21">
        <f t="shared" si="239"/>
        <v>1.163</v>
      </c>
      <c r="V427" s="21">
        <f t="shared" si="239"/>
        <v>1.163</v>
      </c>
      <c r="W427" s="21">
        <f t="shared" si="239"/>
        <v>1.163</v>
      </c>
      <c r="X427" s="21">
        <f t="shared" si="239"/>
        <v>1.163</v>
      </c>
      <c r="Y427" s="21">
        <f t="shared" si="239"/>
        <v>1.163</v>
      </c>
      <c r="Z427" s="21">
        <f t="shared" si="239"/>
        <v>1.163</v>
      </c>
    </row>
    <row r="428" spans="1:26" x14ac:dyDescent="0.25">
      <c r="A428" s="12" t="s">
        <v>1376</v>
      </c>
      <c r="B428" s="14" t="str">
        <f>$B$38</f>
        <v>From Fiscal Forecasts</v>
      </c>
      <c r="D428" s="50">
        <f>SUM('Fiscal Forecasts'!D$353:D$355)</f>
        <v>2.23</v>
      </c>
      <c r="E428" s="50">
        <f>SUM('Fiscal Forecasts'!E$353:E$355)</f>
        <v>2.3220000000000001</v>
      </c>
      <c r="F428" s="50">
        <f>SUM('Fiscal Forecasts'!F$353:F$355)</f>
        <v>1.964</v>
      </c>
      <c r="G428" s="50">
        <f>SUM('Fiscal Forecasts'!G$353:G$355)</f>
        <v>2.2320000000000002</v>
      </c>
      <c r="H428" s="50">
        <f>SUM('Fiscal Forecasts'!H$353:H$355)</f>
        <v>2.3249999999999997</v>
      </c>
      <c r="I428" s="50">
        <f>SUM('Fiscal Forecasts'!I$353:I$355)</f>
        <v>2.5069999999999997</v>
      </c>
      <c r="J428" s="50">
        <f>SUM('Fiscal Forecasts'!J$353:J$355)</f>
        <v>2.5609999999999999</v>
      </c>
      <c r="K428" s="50">
        <f>SUM('Fiscal Forecasts'!K$353:K$355)</f>
        <v>2.5070000000000001</v>
      </c>
      <c r="L428" s="48">
        <f>SUM('Fiscal Forecasts'!L$353:L$355)</f>
        <v>2.5920000000000001</v>
      </c>
      <c r="M428" s="48">
        <f>SUM('Fiscal Forecasts'!M$353:M$355)</f>
        <v>2.5659999999999998</v>
      </c>
      <c r="N428" s="48">
        <f>SUM('Fiscal Forecasts'!N$353:N$355)</f>
        <v>2.6120000000000001</v>
      </c>
      <c r="O428" s="48">
        <f>SUM('Fiscal Forecasts'!O$353:O$355)</f>
        <v>2.7010000000000001</v>
      </c>
      <c r="P428" s="48">
        <f>SUM('Fiscal Forecasts'!P$353:P$355)</f>
        <v>2.7700000000000005</v>
      </c>
      <c r="Q428" s="20">
        <f t="shared" ref="Q428:Z428" ca="1" si="240">P$428*(1+Q$14)</f>
        <v>2.8905805633758748</v>
      </c>
      <c r="R428" s="20">
        <f t="shared" ca="1" si="240"/>
        <v>3.0136185089255267</v>
      </c>
      <c r="S428" s="20">
        <f t="shared" ca="1" si="240"/>
        <v>3.1399160724263551</v>
      </c>
      <c r="T428" s="20">
        <f t="shared" ca="1" si="240"/>
        <v>3.2691778422305844</v>
      </c>
      <c r="U428" s="20">
        <f t="shared" ca="1" si="240"/>
        <v>3.4029470653420053</v>
      </c>
      <c r="V428" s="20">
        <f t="shared" ca="1" si="240"/>
        <v>3.5412713151869339</v>
      </c>
      <c r="W428" s="20">
        <f t="shared" ca="1" si="240"/>
        <v>3.6834527482118062</v>
      </c>
      <c r="X428" s="20">
        <f t="shared" ca="1" si="240"/>
        <v>3.8297284171973973</v>
      </c>
      <c r="Y428" s="20">
        <f t="shared" ca="1" si="240"/>
        <v>3.9808632521356575</v>
      </c>
      <c r="Z428" s="20">
        <f t="shared" ca="1" si="240"/>
        <v>4.1368962329534877</v>
      </c>
    </row>
    <row r="429" spans="1:26" x14ac:dyDescent="0.25">
      <c r="A429" s="11" t="s">
        <v>1377</v>
      </c>
      <c r="D429" s="94">
        <f t="shared" ref="D429:Z429" si="241">SUM(D$427:D$428)</f>
        <v>3.911</v>
      </c>
      <c r="E429" s="94">
        <f t="shared" si="241"/>
        <v>3.8920000000000003</v>
      </c>
      <c r="F429" s="94">
        <f t="shared" si="241"/>
        <v>3.601</v>
      </c>
      <c r="G429" s="94">
        <f t="shared" si="241"/>
        <v>3.6970000000000001</v>
      </c>
      <c r="H429" s="94">
        <f t="shared" si="241"/>
        <v>3.9079999999999995</v>
      </c>
      <c r="I429" s="94">
        <f t="shared" si="241"/>
        <v>4.0839999999999996</v>
      </c>
      <c r="J429" s="94">
        <f t="shared" si="241"/>
        <v>4.0910000000000002</v>
      </c>
      <c r="K429" s="94">
        <f t="shared" si="241"/>
        <v>3.9640000000000004</v>
      </c>
      <c r="L429" s="95">
        <f t="shared" si="241"/>
        <v>4.03</v>
      </c>
      <c r="M429" s="95">
        <f t="shared" si="241"/>
        <v>3.9550000000000001</v>
      </c>
      <c r="N429" s="95">
        <f t="shared" si="241"/>
        <v>3.9060000000000001</v>
      </c>
      <c r="O429" s="95">
        <f t="shared" si="241"/>
        <v>3.9249999999999998</v>
      </c>
      <c r="P429" s="95">
        <f t="shared" si="241"/>
        <v>3.9330000000000007</v>
      </c>
      <c r="Q429" s="96">
        <f t="shared" ca="1" si="241"/>
        <v>4.053580563375875</v>
      </c>
      <c r="R429" s="96">
        <f t="shared" ca="1" si="241"/>
        <v>4.176618508925527</v>
      </c>
      <c r="S429" s="96">
        <f t="shared" ca="1" si="241"/>
        <v>4.3029160724263553</v>
      </c>
      <c r="T429" s="96">
        <f t="shared" ca="1" si="241"/>
        <v>4.4321778422305842</v>
      </c>
      <c r="U429" s="96">
        <f t="shared" ca="1" si="241"/>
        <v>4.5659470653420051</v>
      </c>
      <c r="V429" s="96">
        <f t="shared" ca="1" si="241"/>
        <v>4.7042713151869338</v>
      </c>
      <c r="W429" s="96">
        <f t="shared" ca="1" si="241"/>
        <v>4.8464527482118065</v>
      </c>
      <c r="X429" s="96">
        <f t="shared" ca="1" si="241"/>
        <v>4.9927284171973971</v>
      </c>
      <c r="Y429" s="96">
        <f t="shared" ca="1" si="241"/>
        <v>5.1438632521356578</v>
      </c>
      <c r="Z429" s="96">
        <f t="shared" ca="1" si="241"/>
        <v>5.299896232953488</v>
      </c>
    </row>
    <row r="431" spans="1:26" x14ac:dyDescent="0.25">
      <c r="A431" s="11" t="s">
        <v>1378</v>
      </c>
    </row>
    <row r="432" spans="1:26" x14ac:dyDescent="0.25">
      <c r="A432" s="11" t="s">
        <v>1048</v>
      </c>
      <c r="D432" s="51">
        <f>SUM($D$433:D$434)</f>
        <v>0</v>
      </c>
      <c r="E432" s="51">
        <f>SUM($D$433:E$434)</f>
        <v>0</v>
      </c>
      <c r="F432" s="51">
        <f>SUM($D$433:F$434)</f>
        <v>0</v>
      </c>
      <c r="G432" s="51">
        <f>SUM($D$433:G$434)</f>
        <v>0</v>
      </c>
      <c r="H432" s="51">
        <f>SUM($D$433:H$434)</f>
        <v>0</v>
      </c>
      <c r="I432" s="51">
        <f>SUM($D$433:I$434)</f>
        <v>0</v>
      </c>
      <c r="J432" s="51">
        <f>SUM($D$433:J$434)</f>
        <v>0</v>
      </c>
      <c r="K432" s="51">
        <f>SUM($D$433:K$434)</f>
        <v>0</v>
      </c>
      <c r="L432" s="47">
        <f>SUM($D$433:L$434)</f>
        <v>1.994</v>
      </c>
      <c r="M432" s="47">
        <f>SUM($D$433:M$434)</f>
        <v>5.0810000000000004</v>
      </c>
      <c r="N432" s="47">
        <f>SUM($D$433:N$434)</f>
        <v>8.8090000000000011</v>
      </c>
      <c r="O432" s="47">
        <f>SUM($D$433:O$434)</f>
        <v>13.289000000000001</v>
      </c>
      <c r="P432" s="47">
        <f>SUM($D$433:P$434)</f>
        <v>18.557000000000002</v>
      </c>
      <c r="Q432" s="21">
        <f ca="1">SUM($D$433:Q$434)</f>
        <v>23.639000000000003</v>
      </c>
      <c r="R432" s="21">
        <f ca="1">SUM($D$433:R$434)</f>
        <v>28.958500000000001</v>
      </c>
      <c r="S432" s="21">
        <f ca="1">SUM($D$433:S$434)</f>
        <v>34.457374999999999</v>
      </c>
      <c r="T432" s="21">
        <f ca="1">SUM($D$433:T$434)</f>
        <v>39.962593749999996</v>
      </c>
      <c r="U432" s="21">
        <f ca="1">SUM($D$433:U$434)</f>
        <v>45.743073437499994</v>
      </c>
      <c r="V432" s="21">
        <f ca="1">SUM($D$433:V$434)</f>
        <v>51.812577109374999</v>
      </c>
      <c r="W432" s="21">
        <f ca="1">SUM($D$433:W$434)</f>
        <v>58.185555964843751</v>
      </c>
      <c r="X432" s="21">
        <f ca="1">SUM($D$433:X$434)</f>
        <v>64.877183763085938</v>
      </c>
      <c r="Y432" s="21">
        <f ca="1">SUM($D$433:Y$434)</f>
        <v>71.903392951240235</v>
      </c>
      <c r="Z432" s="21">
        <f ca="1">SUM($D$433:Z$434)</f>
        <v>79.280912598802246</v>
      </c>
    </row>
    <row r="433" spans="1:26" x14ac:dyDescent="0.25">
      <c r="A433" s="12" t="s">
        <v>1049</v>
      </c>
      <c r="B433" s="14" t="str">
        <f>$B$38</f>
        <v>From Fiscal Forecasts</v>
      </c>
      <c r="D433" s="50">
        <f>'Fiscal Forecasts'!D$294</f>
        <v>0</v>
      </c>
      <c r="E433" s="50">
        <f>'Fiscal Forecasts'!E$294</f>
        <v>0</v>
      </c>
      <c r="F433" s="50">
        <f>'Fiscal Forecasts'!F$294</f>
        <v>0</v>
      </c>
      <c r="G433" s="50">
        <f>'Fiscal Forecasts'!G$294</f>
        <v>0</v>
      </c>
      <c r="H433" s="50">
        <f>'Fiscal Forecasts'!H$294</f>
        <v>0</v>
      </c>
      <c r="I433" s="50">
        <f>'Fiscal Forecasts'!I$294</f>
        <v>0</v>
      </c>
      <c r="J433" s="50">
        <f>'Fiscal Forecasts'!J$294</f>
        <v>0</v>
      </c>
      <c r="K433" s="50">
        <f>'Fiscal Forecasts'!K$294</f>
        <v>0</v>
      </c>
      <c r="L433" s="48">
        <f>'Fiscal Forecasts'!L$294</f>
        <v>1.8939999999999999</v>
      </c>
      <c r="M433" s="48">
        <f>'Fiscal Forecasts'!M$294</f>
        <v>1.8620000000000001</v>
      </c>
      <c r="N433" s="48">
        <f>'Fiscal Forecasts'!N$294</f>
        <v>1.278</v>
      </c>
      <c r="O433" s="48">
        <f>'Fiscal Forecasts'!O$294</f>
        <v>0.80500000000000005</v>
      </c>
      <c r="P433" s="48">
        <f>'Fiscal Forecasts'!P$294</f>
        <v>0.71799999999999997</v>
      </c>
      <c r="Q433" s="20">
        <f ca="1">IF(Q$6&lt;OFFSET(Assumptions!$B$8,0,$C$1)+3,OFFSET(Assumptions!$B$45,0,$C$1)/3,OFFSET(Assumptions!$B$9,0,$C$1))</f>
        <v>0.23199999999999998</v>
      </c>
      <c r="R433" s="20">
        <f ca="1">IF(R$6&lt;OFFSET(Assumptions!$B$8,0,$C$1)+3,OFFSET(Assumptions!$B$45,0,$C$1)/3,OFFSET(Assumptions!$B$9,0,$C$1))</f>
        <v>0.23199999999999998</v>
      </c>
      <c r="S433" s="20">
        <f ca="1">IF(S$6&lt;OFFSET(Assumptions!$B$8,0,$C$1)+3,OFFSET(Assumptions!$B$45,0,$C$1)/3,OFFSET(Assumptions!$B$9,0,$C$1))</f>
        <v>0.23199999999999998</v>
      </c>
      <c r="T433" s="20">
        <f ca="1">IF(T$6&lt;OFFSET(Assumptions!$B$8,0,$C$1)+3,OFFSET(Assumptions!$B$45,0,$C$1)/3,OFFSET(Assumptions!$B$9,0,$C$1))</f>
        <v>0</v>
      </c>
      <c r="U433" s="20">
        <f ca="1">IF(U$6&lt;OFFSET(Assumptions!$B$8,0,$C$1)+3,OFFSET(Assumptions!$B$45,0,$C$1)/3,OFFSET(Assumptions!$B$9,0,$C$1))</f>
        <v>0</v>
      </c>
      <c r="V433" s="20">
        <f ca="1">IF(V$6&lt;OFFSET(Assumptions!$B$8,0,$C$1)+3,OFFSET(Assumptions!$B$45,0,$C$1)/3,OFFSET(Assumptions!$B$9,0,$C$1))</f>
        <v>0</v>
      </c>
      <c r="W433" s="20">
        <f ca="1">IF(W$6&lt;OFFSET(Assumptions!$B$8,0,$C$1)+3,OFFSET(Assumptions!$B$45,0,$C$1)/3,OFFSET(Assumptions!$B$9,0,$C$1))</f>
        <v>0</v>
      </c>
      <c r="X433" s="20">
        <f ca="1">IF(X$6&lt;OFFSET(Assumptions!$B$8,0,$C$1)+3,OFFSET(Assumptions!$B$45,0,$C$1)/3,OFFSET(Assumptions!$B$9,0,$C$1))</f>
        <v>0</v>
      </c>
      <c r="Y433" s="20">
        <f ca="1">IF(Y$6&lt;OFFSET(Assumptions!$B$8,0,$C$1)+3,OFFSET(Assumptions!$B$45,0,$C$1)/3,OFFSET(Assumptions!$B$9,0,$C$1))</f>
        <v>0</v>
      </c>
      <c r="Z433" s="20">
        <f ca="1">IF(Z$6&lt;OFFSET(Assumptions!$B$8,0,$C$1)+3,OFFSET(Assumptions!$B$45,0,$C$1)/3,OFFSET(Assumptions!$B$9,0,$C$1))</f>
        <v>0</v>
      </c>
    </row>
    <row r="434" spans="1:26" x14ac:dyDescent="0.25">
      <c r="A434" s="12" t="s">
        <v>1379</v>
      </c>
      <c r="B434" s="14" t="str">
        <f>$B$38</f>
        <v>From Fiscal Forecasts</v>
      </c>
      <c r="D434" s="50">
        <f>SUM('Fiscal Forecasts'!D$295:D$298)</f>
        <v>0</v>
      </c>
      <c r="E434" s="50">
        <f>SUM('Fiscal Forecasts'!E$295:E$298)</f>
        <v>0</v>
      </c>
      <c r="F434" s="50">
        <f>SUM('Fiscal Forecasts'!F$295:F$298)</f>
        <v>0</v>
      </c>
      <c r="G434" s="50">
        <f>SUM('Fiscal Forecasts'!G$295:G$298)</f>
        <v>0</v>
      </c>
      <c r="H434" s="50">
        <f>SUM('Fiscal Forecasts'!H$295:H$298)</f>
        <v>0</v>
      </c>
      <c r="I434" s="50">
        <f>SUM('Fiscal Forecasts'!I$295:I$298)</f>
        <v>0</v>
      </c>
      <c r="J434" s="50">
        <f>SUM('Fiscal Forecasts'!J$295:J$298)</f>
        <v>0</v>
      </c>
      <c r="K434" s="50">
        <f>SUM('Fiscal Forecasts'!K$295:K$298)</f>
        <v>0</v>
      </c>
      <c r="L434" s="48">
        <f>SUM('Fiscal Forecasts'!L$295:L$298)</f>
        <v>0.1</v>
      </c>
      <c r="M434" s="48">
        <f>SUM('Fiscal Forecasts'!M$295:M$298)</f>
        <v>1.2250000000000001</v>
      </c>
      <c r="N434" s="48">
        <f>SUM('Fiscal Forecasts'!N$295:N$298)</f>
        <v>2.4500000000000002</v>
      </c>
      <c r="O434" s="48">
        <f>SUM('Fiscal Forecasts'!O$295:O$298)</f>
        <v>3.6749999999999998</v>
      </c>
      <c r="P434" s="48">
        <f>SUM('Fiscal Forecasts'!P$295:P$298)</f>
        <v>4.55</v>
      </c>
      <c r="Q434" s="20">
        <f ca="1">IF(Q$6=OFFSET(Assumptions!$B$8,0,$C$1),0.35*Q$436+Exogenous!$AB$41,IF(Q$6=OFFSET(Assumptions!$B$8,0,$C$1)+1,0.35*Q$436+0.35*P$436+Exogenous!$AC$41,IF(Q$6=OFFSET(Assumptions!$B$8,0,$C$1)+2,0.35*Q$436+0.35*P$436+0.2*O$436+Exogenous!$AD$41,0.35*Q$436+0.35*P$436+0.2*O$436+0.1*N$436)))</f>
        <v>4.8499999999999996</v>
      </c>
      <c r="R434" s="20">
        <f ca="1">IF(R$6=OFFSET(Assumptions!$B$8,0,$C$1),0.35*R$436+Exogenous!$AB$41,IF(R$6=OFFSET(Assumptions!$B$8,0,$C$1)+1,0.35*R$436+0.35*Q$436+Exogenous!$AC$41,IF(R$6=OFFSET(Assumptions!$B$8,0,$C$1)+2,0.35*R$436+0.35*Q$436+0.2*P$436+Exogenous!$AD$41,0.35*R$436+0.35*Q$436+0.2*P$436+0.1*O$436)))</f>
        <v>5.0875000000000004</v>
      </c>
      <c r="S434" s="20">
        <f ca="1">IF(S$6=OFFSET(Assumptions!$B$8,0,$C$1),0.35*S$436+Exogenous!$AB$41,IF(S$6=OFFSET(Assumptions!$B$8,0,$C$1)+1,0.35*S$436+0.35*R$436+Exogenous!$AC$41,IF(S$6=OFFSET(Assumptions!$B$8,0,$C$1)+2,0.35*S$436+0.35*R$436+0.2*Q$436+Exogenous!$AD$41,0.35*S$436+0.35*R$436+0.2*Q$436+0.1*P$436)))</f>
        <v>5.2668749999999998</v>
      </c>
      <c r="T434" s="20">
        <f ca="1">IF(T$6=OFFSET(Assumptions!$B$8,0,$C$1),0.35*T$436+Exogenous!$AB$41,IF(T$6=OFFSET(Assumptions!$B$8,0,$C$1)+1,0.35*T$436+0.35*S$436+Exogenous!$AC$41,IF(T$6=OFFSET(Assumptions!$B$8,0,$C$1)+2,0.35*T$436+0.35*S$436+0.2*R$436+Exogenous!$AD$41,0.35*T$436+0.35*S$436+0.2*R$436+0.1*Q$436)))</f>
        <v>5.50521875</v>
      </c>
      <c r="U434" s="20">
        <f ca="1">IF(U$6=OFFSET(Assumptions!$B$8,0,$C$1),0.35*U$436+Exogenous!$AB$41,IF(U$6=OFFSET(Assumptions!$B$8,0,$C$1)+1,0.35*U$436+0.35*T$436+Exogenous!$AC$41,IF(U$6=OFFSET(Assumptions!$B$8,0,$C$1)+2,0.35*U$436+0.35*T$436+0.2*S$436+Exogenous!$AD$41,0.35*U$436+0.35*T$436+0.2*S$436+0.1*R$436)))</f>
        <v>5.7804796875000006</v>
      </c>
      <c r="V434" s="20">
        <f ca="1">IF(V$6=OFFSET(Assumptions!$B$8,0,$C$1),0.35*V$436+Exogenous!$AB$41,IF(V$6=OFFSET(Assumptions!$B$8,0,$C$1)+1,0.35*V$436+0.35*U$436+Exogenous!$AC$41,IF(V$6=OFFSET(Assumptions!$B$8,0,$C$1)+2,0.35*V$436+0.35*U$436+0.2*T$436+Exogenous!$AD$41,0.35*V$436+0.35*U$436+0.2*T$436+0.1*S$436)))</f>
        <v>6.0695036718750011</v>
      </c>
      <c r="W434" s="20">
        <f ca="1">IF(W$6=OFFSET(Assumptions!$B$8,0,$C$1),0.35*W$436+Exogenous!$AB$41,IF(W$6=OFFSET(Assumptions!$B$8,0,$C$1)+1,0.35*W$436+0.35*V$436+Exogenous!$AC$41,IF(W$6=OFFSET(Assumptions!$B$8,0,$C$1)+2,0.35*W$436+0.35*V$436+0.2*U$436+Exogenous!$AD$41,0.35*W$436+0.35*V$436+0.2*U$436+0.1*T$436)))</f>
        <v>6.3729788554687499</v>
      </c>
      <c r="X434" s="20">
        <f ca="1">IF(X$6=OFFSET(Assumptions!$B$8,0,$C$1),0.35*X$436+Exogenous!$AB$41,IF(X$6=OFFSET(Assumptions!$B$8,0,$C$1)+1,0.35*X$436+0.35*W$436+Exogenous!$AC$41,IF(X$6=OFFSET(Assumptions!$B$8,0,$C$1)+2,0.35*X$436+0.35*W$436+0.2*V$436+Exogenous!$AD$41,0.35*X$436+0.35*W$436+0.2*V$436+0.1*U$436)))</f>
        <v>6.6916277982421892</v>
      </c>
      <c r="Y434" s="20">
        <f ca="1">IF(Y$6=OFFSET(Assumptions!$B$8,0,$C$1),0.35*Y$436+Exogenous!$AB$41,IF(Y$6=OFFSET(Assumptions!$B$8,0,$C$1)+1,0.35*Y$436+0.35*X$436+Exogenous!$AC$41,IF(Y$6=OFFSET(Assumptions!$B$8,0,$C$1)+2,0.35*Y$436+0.35*X$436+0.2*W$436+Exogenous!$AD$41,0.35*Y$436+0.35*X$436+0.2*W$436+0.1*V$436)))</f>
        <v>7.026209188154299</v>
      </c>
      <c r="Z434" s="20">
        <f ca="1">IF(Z$6=OFFSET(Assumptions!$B$8,0,$C$1),0.35*Z$436+Exogenous!$AB$41,IF(Z$6=OFFSET(Assumptions!$B$8,0,$C$1)+1,0.35*Z$436+0.35*Y$436+Exogenous!$AC$41,IF(Z$6=OFFSET(Assumptions!$B$8,0,$C$1)+2,0.35*Z$436+0.35*Y$436+0.2*X$436+Exogenous!$AD$41,0.35*Z$436+0.35*Y$436+0.2*X$436+0.1*W$436)))</f>
        <v>7.3775196475620142</v>
      </c>
    </row>
    <row r="435" spans="1:26" x14ac:dyDescent="0.25">
      <c r="A435" s="11" t="s">
        <v>1380</v>
      </c>
      <c r="B435" s="14" t="str">
        <f>$B$38</f>
        <v>From Fiscal Forecasts</v>
      </c>
      <c r="D435" s="51">
        <f>'Fiscal Forecasts'!D$132</f>
        <v>0</v>
      </c>
      <c r="E435" s="51">
        <f>'Fiscal Forecasts'!E$132</f>
        <v>0</v>
      </c>
      <c r="F435" s="51">
        <f>'Fiscal Forecasts'!F$132</f>
        <v>0</v>
      </c>
      <c r="G435" s="51">
        <f>'Fiscal Forecasts'!G$132</f>
        <v>0</v>
      </c>
      <c r="H435" s="51">
        <f>'Fiscal Forecasts'!H$132</f>
        <v>0</v>
      </c>
      <c r="I435" s="51">
        <f>'Fiscal Forecasts'!I$132</f>
        <v>0</v>
      </c>
      <c r="J435" s="51">
        <f>'Fiscal Forecasts'!J$132</f>
        <v>0</v>
      </c>
      <c r="K435" s="51">
        <f>'Fiscal Forecasts'!K$132</f>
        <v>0</v>
      </c>
      <c r="L435" s="47">
        <f>'Fiscal Forecasts'!L$132</f>
        <v>-2</v>
      </c>
      <c r="M435" s="47">
        <f>'Fiscal Forecasts'!M$132</f>
        <v>-2.7</v>
      </c>
      <c r="N435" s="47">
        <f>'Fiscal Forecasts'!N$132</f>
        <v>-2.8</v>
      </c>
      <c r="O435" s="47">
        <f>'Fiscal Forecasts'!O$132</f>
        <v>-2.9</v>
      </c>
      <c r="P435" s="47">
        <f>'Fiscal Forecasts'!P$132</f>
        <v>-3</v>
      </c>
      <c r="Q435" s="21">
        <f t="shared" ref="Q435:Z435" si="242">P$435</f>
        <v>-3</v>
      </c>
      <c r="R435" s="21">
        <f t="shared" si="242"/>
        <v>-3</v>
      </c>
      <c r="S435" s="21">
        <f t="shared" si="242"/>
        <v>-3</v>
      </c>
      <c r="T435" s="21">
        <f t="shared" si="242"/>
        <v>-3</v>
      </c>
      <c r="U435" s="21">
        <f t="shared" si="242"/>
        <v>-3</v>
      </c>
      <c r="V435" s="21">
        <f t="shared" si="242"/>
        <v>-3</v>
      </c>
      <c r="W435" s="21">
        <f t="shared" si="242"/>
        <v>-3</v>
      </c>
      <c r="X435" s="21">
        <f t="shared" si="242"/>
        <v>-3</v>
      </c>
      <c r="Y435" s="21">
        <f t="shared" si="242"/>
        <v>-3</v>
      </c>
      <c r="Z435" s="21">
        <f t="shared" si="242"/>
        <v>-3</v>
      </c>
    </row>
    <row r="436" spans="1:26" x14ac:dyDescent="0.25">
      <c r="A436" s="11" t="s">
        <v>1381</v>
      </c>
      <c r="Q436" s="20">
        <f ca="1">IF(Q$6=OFFSET(Assumptions!$B$8,0,$C$1),OFFSET(Assumptions!$B$43,0,$C$1),P$436*(1+OFFSET(Assumptions!$B$44,0,$C$1)))</f>
        <v>5</v>
      </c>
      <c r="R436" s="20">
        <f ca="1">IF(R$6=OFFSET(Assumptions!$B$8,0,$C$1),OFFSET(Assumptions!$B$43,0,$C$1),Q$436*(1+OFFSET(Assumptions!$B$44,0,$C$1)))</f>
        <v>5.25</v>
      </c>
      <c r="S436" s="20">
        <f ca="1">IF(S$6=OFFSET(Assumptions!$B$8,0,$C$1),OFFSET(Assumptions!$B$43,0,$C$1),R$436*(1+OFFSET(Assumptions!$B$44,0,$C$1)))</f>
        <v>5.5125000000000002</v>
      </c>
      <c r="T436" s="20">
        <f ca="1">IF(T$6=OFFSET(Assumptions!$B$8,0,$C$1),OFFSET(Assumptions!$B$43,0,$C$1),S$436*(1+OFFSET(Assumptions!$B$44,0,$C$1)))</f>
        <v>5.7881250000000009</v>
      </c>
      <c r="U436" s="20">
        <f ca="1">IF(U$6=OFFSET(Assumptions!$B$8,0,$C$1),OFFSET(Assumptions!$B$43,0,$C$1),T$436*(1+OFFSET(Assumptions!$B$44,0,$C$1)))</f>
        <v>6.0775312500000007</v>
      </c>
      <c r="V436" s="20">
        <f ca="1">IF(V$6=OFFSET(Assumptions!$B$8,0,$C$1),OFFSET(Assumptions!$B$43,0,$C$1),U$436*(1+OFFSET(Assumptions!$B$44,0,$C$1)))</f>
        <v>6.3814078125000009</v>
      </c>
      <c r="W436" s="20">
        <f ca="1">IF(W$6=OFFSET(Assumptions!$B$8,0,$C$1),OFFSET(Assumptions!$B$43,0,$C$1),V$436*(1+OFFSET(Assumptions!$B$44,0,$C$1)))</f>
        <v>6.7004782031250016</v>
      </c>
      <c r="X436" s="20">
        <f ca="1">IF(X$6=OFFSET(Assumptions!$B$8,0,$C$1),OFFSET(Assumptions!$B$43,0,$C$1),W$436*(1+OFFSET(Assumptions!$B$44,0,$C$1)))</f>
        <v>7.0355021132812521</v>
      </c>
      <c r="Y436" s="20">
        <f ca="1">IF(Y$6=OFFSET(Assumptions!$B$8,0,$C$1),OFFSET(Assumptions!$B$43,0,$C$1),X$436*(1+OFFSET(Assumptions!$B$44,0,$C$1)))</f>
        <v>7.3872772189453153</v>
      </c>
      <c r="Z436" s="20">
        <f ca="1">IF(Z$6=OFFSET(Assumptions!$B$8,0,$C$1),OFFSET(Assumptions!$B$43,0,$C$1),Y$436*(1+OFFSET(Assumptions!$B$44,0,$C$1)))</f>
        <v>7.7566410798925816</v>
      </c>
    </row>
    <row r="437" spans="1:26" x14ac:dyDescent="0.25">
      <c r="A437" s="11"/>
    </row>
    <row r="438" spans="1:26" x14ac:dyDescent="0.25">
      <c r="A438" s="11" t="s">
        <v>955</v>
      </c>
    </row>
    <row r="439" spans="1:26" x14ac:dyDescent="0.25">
      <c r="A439" s="11" t="s">
        <v>1382</v>
      </c>
      <c r="B439" s="14" t="str">
        <f>$B$38</f>
        <v>From Fiscal Forecasts</v>
      </c>
      <c r="D439" s="51">
        <f>'Fiscal Forecasts'!D$134</f>
        <v>6.8129999999999997</v>
      </c>
      <c r="E439" s="51">
        <f>'Fiscal Forecasts'!E$134</f>
        <v>8.0220000000000002</v>
      </c>
      <c r="F439" s="51">
        <f>'Fiscal Forecasts'!F$134</f>
        <v>8.2560000000000002</v>
      </c>
      <c r="G439" s="51">
        <f>'Fiscal Forecasts'!G$134</f>
        <v>9.0609999999999999</v>
      </c>
      <c r="H439" s="51">
        <f>'Fiscal Forecasts'!H$134</f>
        <v>9.0020000000000007</v>
      </c>
      <c r="I439" s="51">
        <f>'Fiscal Forecasts'!I$134</f>
        <v>8.9770000000000003</v>
      </c>
      <c r="J439" s="51">
        <f>'Fiscal Forecasts'!J$134</f>
        <v>9.1519999999999992</v>
      </c>
      <c r="K439" s="51">
        <f>'Fiscal Forecasts'!K$134</f>
        <v>10.262</v>
      </c>
      <c r="L439" s="47">
        <f>'Fiscal Forecasts'!L$134</f>
        <v>9.8059999999999992</v>
      </c>
      <c r="M439" s="47">
        <f>'Fiscal Forecasts'!M$134</f>
        <v>9.9039999999999999</v>
      </c>
      <c r="N439" s="47">
        <f>'Fiscal Forecasts'!N$134</f>
        <v>10.003</v>
      </c>
      <c r="O439" s="47">
        <f>'Fiscal Forecasts'!O$134</f>
        <v>10.103</v>
      </c>
      <c r="P439" s="47">
        <f>'Fiscal Forecasts'!P$134</f>
        <v>10.204000000000001</v>
      </c>
      <c r="Q439" s="21">
        <f t="shared" ref="Q439:Z439" ca="1" si="243">P$439*(1+Q$29)</f>
        <v>10.40808</v>
      </c>
      <c r="R439" s="21">
        <f t="shared" ca="1" si="243"/>
        <v>10.6162416</v>
      </c>
      <c r="S439" s="21">
        <f t="shared" ca="1" si="243"/>
        <v>10.828566432000001</v>
      </c>
      <c r="T439" s="21">
        <f t="shared" ca="1" si="243"/>
        <v>11.045137760640001</v>
      </c>
      <c r="U439" s="21">
        <f t="shared" ca="1" si="243"/>
        <v>11.266040515852801</v>
      </c>
      <c r="V439" s="21">
        <f t="shared" ca="1" si="243"/>
        <v>11.491361326169857</v>
      </c>
      <c r="W439" s="21">
        <f t="shared" ca="1" si="243"/>
        <v>11.721188552693254</v>
      </c>
      <c r="X439" s="21">
        <f t="shared" ca="1" si="243"/>
        <v>11.95561232374712</v>
      </c>
      <c r="Y439" s="21">
        <f t="shared" ca="1" si="243"/>
        <v>12.194724570222062</v>
      </c>
      <c r="Z439" s="21">
        <f t="shared" ca="1" si="243"/>
        <v>12.438619061626504</v>
      </c>
    </row>
    <row r="441" spans="1:26" x14ac:dyDescent="0.25">
      <c r="A441" s="11" t="s">
        <v>956</v>
      </c>
    </row>
    <row r="442" spans="1:26" x14ac:dyDescent="0.25">
      <c r="A442" s="12" t="s">
        <v>1383</v>
      </c>
      <c r="D442" s="50">
        <f t="shared" ref="D442:Z442" si="244">D$385-D$73</f>
        <v>1.0880000000000001</v>
      </c>
      <c r="E442" s="50">
        <f t="shared" si="244"/>
        <v>1.5510000000000002</v>
      </c>
      <c r="F442" s="50">
        <f t="shared" si="244"/>
        <v>2.7319999999999998</v>
      </c>
      <c r="G442" s="50">
        <f t="shared" si="244"/>
        <v>-0.8879999999999999</v>
      </c>
      <c r="H442" s="50">
        <f t="shared" si="244"/>
        <v>0.40799999999999992</v>
      </c>
      <c r="I442" s="50">
        <f t="shared" si="244"/>
        <v>1.4810000000000003</v>
      </c>
      <c r="J442" s="50">
        <f t="shared" si="244"/>
        <v>1.7999999999999998</v>
      </c>
      <c r="K442" s="50">
        <f t="shared" si="244"/>
        <v>0.34199999999999964</v>
      </c>
      <c r="L442" s="48">
        <f t="shared" si="244"/>
        <v>1.3720000000000008</v>
      </c>
      <c r="M442" s="48">
        <f t="shared" si="244"/>
        <v>1.4710000000000001</v>
      </c>
      <c r="N442" s="48">
        <f t="shared" si="244"/>
        <v>1.5510000000000002</v>
      </c>
      <c r="O442" s="48">
        <f t="shared" si="244"/>
        <v>1.6400000000000006</v>
      </c>
      <c r="P442" s="48">
        <f t="shared" si="244"/>
        <v>1.7640000000000002</v>
      </c>
      <c r="Q442" s="20">
        <f t="shared" ca="1" si="244"/>
        <v>2.561378373870947</v>
      </c>
      <c r="R442" s="20">
        <f t="shared" ca="1" si="244"/>
        <v>2.7169890369741125</v>
      </c>
      <c r="S442" s="20">
        <f t="shared" ca="1" si="244"/>
        <v>2.8789344698506412</v>
      </c>
      <c r="T442" s="20">
        <f t="shared" ca="1" si="244"/>
        <v>3.047772495087024</v>
      </c>
      <c r="U442" s="20">
        <f t="shared" ca="1" si="244"/>
        <v>3.2228500683436421</v>
      </c>
      <c r="V442" s="20">
        <f t="shared" ca="1" si="244"/>
        <v>3.4052771020239518</v>
      </c>
      <c r="W442" s="20">
        <f t="shared" ca="1" si="244"/>
        <v>3.5968370077282028</v>
      </c>
      <c r="X442" s="20">
        <f t="shared" ca="1" si="244"/>
        <v>3.7994247714640972</v>
      </c>
      <c r="Y442" s="20">
        <f t="shared" ca="1" si="244"/>
        <v>4.0155806890201031</v>
      </c>
      <c r="Z442" s="20">
        <f t="shared" ca="1" si="244"/>
        <v>4.2476001118177376</v>
      </c>
    </row>
    <row r="443" spans="1:26" x14ac:dyDescent="0.25">
      <c r="A443" s="12" t="s">
        <v>1099</v>
      </c>
      <c r="B443" s="14" t="str">
        <f>$B$38</f>
        <v>From Fiscal Forecasts</v>
      </c>
      <c r="D443" s="50">
        <f>'Fiscal Forecasts'!D$371</f>
        <v>6.2930000000000001</v>
      </c>
      <c r="E443" s="50">
        <f>'Fiscal Forecasts'!E$371</f>
        <v>5.0430000000000001</v>
      </c>
      <c r="F443" s="50">
        <f>'Fiscal Forecasts'!F$371</f>
        <v>5.3979999999999997</v>
      </c>
      <c r="G443" s="50">
        <f>'Fiscal Forecasts'!G$371</f>
        <v>5.4870000000000001</v>
      </c>
      <c r="H443" s="50">
        <f>'Fiscal Forecasts'!H$371</f>
        <v>6.2060000000000004</v>
      </c>
      <c r="I443" s="50">
        <f>'Fiscal Forecasts'!I$371</f>
        <v>6.65</v>
      </c>
      <c r="J443" s="50">
        <f>'Fiscal Forecasts'!J$371</f>
        <v>7.024</v>
      </c>
      <c r="K443" s="50">
        <f>'Fiscal Forecasts'!K$371</f>
        <v>6.77</v>
      </c>
      <c r="L443" s="48">
        <f>'Fiscal Forecasts'!L$371</f>
        <v>7.0110000000000001</v>
      </c>
      <c r="M443" s="48">
        <f>'Fiscal Forecasts'!M$371</f>
        <v>7.3529999999999998</v>
      </c>
      <c r="N443" s="48">
        <f>'Fiscal Forecasts'!N$371</f>
        <v>7.5469999999999997</v>
      </c>
      <c r="O443" s="48">
        <f>'Fiscal Forecasts'!O$371</f>
        <v>7.7809999999999997</v>
      </c>
      <c r="P443" s="48">
        <f>'Fiscal Forecasts'!P$371</f>
        <v>8.1940000000000008</v>
      </c>
      <c r="Q443" s="20">
        <f t="shared" ref="Q443:Z443" ca="1" si="245">P$443*Q$142/P$142</f>
        <v>8.5249935870338795</v>
      </c>
      <c r="R443" s="20">
        <f t="shared" ca="1" si="245"/>
        <v>8.8558520927589193</v>
      </c>
      <c r="S443" s="20">
        <f t="shared" ca="1" si="245"/>
        <v>9.2040511192047916</v>
      </c>
      <c r="T443" s="20">
        <f t="shared" ca="1" si="245"/>
        <v>9.5763841816986339</v>
      </c>
      <c r="U443" s="20">
        <f t="shared" ca="1" si="245"/>
        <v>9.9667037486647843</v>
      </c>
      <c r="V443" s="20">
        <f t="shared" ca="1" si="245"/>
        <v>10.370239836281709</v>
      </c>
      <c r="W443" s="20">
        <f t="shared" ca="1" si="245"/>
        <v>10.784852078911277</v>
      </c>
      <c r="X443" s="20">
        <f t="shared" ca="1" si="245"/>
        <v>11.211363474234982</v>
      </c>
      <c r="Y443" s="20">
        <f t="shared" ca="1" si="245"/>
        <v>11.652027975815157</v>
      </c>
      <c r="Z443" s="20">
        <f t="shared" ca="1" si="245"/>
        <v>12.10691700811064</v>
      </c>
    </row>
    <row r="444" spans="1:26" x14ac:dyDescent="0.25">
      <c r="A444" s="12" t="s">
        <v>1384</v>
      </c>
      <c r="B444" s="14" t="str">
        <f>$B$38</f>
        <v>From Fiscal Forecasts</v>
      </c>
      <c r="D444" s="50">
        <f>'Fiscal Forecasts'!D$192-SUM(D$442:D$443)</f>
        <v>3.0849999999999991</v>
      </c>
      <c r="E444" s="50">
        <f>'Fiscal Forecasts'!E$192-SUM(E$442:E$443)</f>
        <v>4.2559999999999993</v>
      </c>
      <c r="F444" s="50">
        <f>'Fiscal Forecasts'!F$192-SUM(F$442:F$443)</f>
        <v>3.9080000000000013</v>
      </c>
      <c r="G444" s="50">
        <f>'Fiscal Forecasts'!G$192-SUM(G$442:G$443)</f>
        <v>11.707999999999998</v>
      </c>
      <c r="H444" s="50">
        <f>'Fiscal Forecasts'!H$192-SUM(H$442:H$443)</f>
        <v>5.7219999999999995</v>
      </c>
      <c r="I444" s="50">
        <f>'Fiscal Forecasts'!I$192-SUM(I$442:I$443)</f>
        <v>4.6649999999999991</v>
      </c>
      <c r="J444" s="50">
        <f>'Fiscal Forecasts'!J$192-SUM(J$442:J$443)</f>
        <v>3.1690000000000005</v>
      </c>
      <c r="K444" s="50">
        <f>'Fiscal Forecasts'!K$192-SUM(K$442:K$443)</f>
        <v>4.926000000000001</v>
      </c>
      <c r="L444" s="48">
        <f>'Fiscal Forecasts'!L$192-SUM(L$442:L$443)</f>
        <v>3.3359999999999985</v>
      </c>
      <c r="M444" s="48">
        <f>'Fiscal Forecasts'!M$192-SUM(M$442:M$443)</f>
        <v>4.6810000000000009</v>
      </c>
      <c r="N444" s="48">
        <f>'Fiscal Forecasts'!N$192-SUM(N$442:N$443)</f>
        <v>4.1620000000000008</v>
      </c>
      <c r="O444" s="48">
        <f>'Fiscal Forecasts'!O$192-SUM(O$442:O$443)</f>
        <v>4.0230000000000015</v>
      </c>
      <c r="P444" s="48">
        <f>'Fiscal Forecasts'!P$192-SUM(P$442:P$443)</f>
        <v>3.8559999999999981</v>
      </c>
      <c r="Q444" s="20">
        <f t="shared" ref="Q444:Z444" ca="1" si="246">P$444*(1+Q$29)</f>
        <v>3.933119999999998</v>
      </c>
      <c r="R444" s="20">
        <f t="shared" ca="1" si="246"/>
        <v>4.0117823999999978</v>
      </c>
      <c r="S444" s="20">
        <f t="shared" ca="1" si="246"/>
        <v>4.0920180479999981</v>
      </c>
      <c r="T444" s="20">
        <f t="shared" ca="1" si="246"/>
        <v>4.1738584089599984</v>
      </c>
      <c r="U444" s="20">
        <f t="shared" ca="1" si="246"/>
        <v>4.2573355771391981</v>
      </c>
      <c r="V444" s="20">
        <f t="shared" ca="1" si="246"/>
        <v>4.3424822886819818</v>
      </c>
      <c r="W444" s="20">
        <f t="shared" ca="1" si="246"/>
        <v>4.4293319344556217</v>
      </c>
      <c r="X444" s="20">
        <f t="shared" ca="1" si="246"/>
        <v>4.5179185731447342</v>
      </c>
      <c r="Y444" s="20">
        <f t="shared" ca="1" si="246"/>
        <v>4.6082769446076286</v>
      </c>
      <c r="Z444" s="20">
        <f t="shared" ca="1" si="246"/>
        <v>4.7004424834997813</v>
      </c>
    </row>
    <row r="445" spans="1:26" x14ac:dyDescent="0.25">
      <c r="A445" s="11" t="s">
        <v>1385</v>
      </c>
      <c r="D445" s="94">
        <f t="shared" ref="D445:P445" si="247">SUM(D$442:D$444)</f>
        <v>10.465999999999999</v>
      </c>
      <c r="E445" s="94">
        <f t="shared" si="247"/>
        <v>10.85</v>
      </c>
      <c r="F445" s="94">
        <f t="shared" si="247"/>
        <v>12.038</v>
      </c>
      <c r="G445" s="94">
        <f t="shared" si="247"/>
        <v>16.306999999999999</v>
      </c>
      <c r="H445" s="94">
        <f t="shared" si="247"/>
        <v>12.336</v>
      </c>
      <c r="I445" s="94">
        <f t="shared" si="247"/>
        <v>12.795999999999999</v>
      </c>
      <c r="J445" s="94">
        <f t="shared" si="247"/>
        <v>11.993</v>
      </c>
      <c r="K445" s="94">
        <f t="shared" si="247"/>
        <v>12.038</v>
      </c>
      <c r="L445" s="95">
        <f t="shared" si="247"/>
        <v>11.718999999999999</v>
      </c>
      <c r="M445" s="95">
        <f t="shared" si="247"/>
        <v>13.505000000000001</v>
      </c>
      <c r="N445" s="95">
        <f t="shared" si="247"/>
        <v>13.26</v>
      </c>
      <c r="O445" s="95">
        <f t="shared" si="247"/>
        <v>13.444000000000001</v>
      </c>
      <c r="P445" s="95">
        <f t="shared" si="247"/>
        <v>13.814</v>
      </c>
      <c r="Q445" s="96">
        <f t="shared" ref="Q445:Z445" ca="1" si="248">SUM(Q$442:Q$444)</f>
        <v>15.019491960904826</v>
      </c>
      <c r="R445" s="96">
        <f t="shared" ca="1" si="248"/>
        <v>15.58462352973303</v>
      </c>
      <c r="S445" s="96">
        <f t="shared" ca="1" si="248"/>
        <v>16.175003637055433</v>
      </c>
      <c r="T445" s="96">
        <f t="shared" ca="1" si="248"/>
        <v>16.798015085745657</v>
      </c>
      <c r="U445" s="96">
        <f t="shared" ca="1" si="248"/>
        <v>17.446889394147625</v>
      </c>
      <c r="V445" s="96">
        <f t="shared" ca="1" si="248"/>
        <v>18.117999226987642</v>
      </c>
      <c r="W445" s="96">
        <f t="shared" ca="1" si="248"/>
        <v>18.811021021095101</v>
      </c>
      <c r="X445" s="96">
        <f t="shared" ca="1" si="248"/>
        <v>19.528706818843812</v>
      </c>
      <c r="Y445" s="96">
        <f t="shared" ca="1" si="248"/>
        <v>20.275885609442888</v>
      </c>
      <c r="Z445" s="96">
        <f t="shared" ca="1" si="248"/>
        <v>21.054959603428159</v>
      </c>
    </row>
    <row r="446" spans="1:26" x14ac:dyDescent="0.25">
      <c r="A446" s="11" t="s">
        <v>1386</v>
      </c>
      <c r="B446" s="14" t="str">
        <f>$B$38</f>
        <v>From Fiscal Forecasts</v>
      </c>
      <c r="D446" s="51">
        <f>'Fiscal Forecasts'!D$135</f>
        <v>16.742000000000001</v>
      </c>
      <c r="E446" s="51">
        <f>'Fiscal Forecasts'!E$135</f>
        <v>16.971</v>
      </c>
      <c r="F446" s="51">
        <f>'Fiscal Forecasts'!F$135</f>
        <v>17.577000000000002</v>
      </c>
      <c r="G446" s="51">
        <f>'Fiscal Forecasts'!G$135</f>
        <v>21.42</v>
      </c>
      <c r="H446" s="51">
        <f>'Fiscal Forecasts'!H$135</f>
        <v>18.725999999999999</v>
      </c>
      <c r="I446" s="51">
        <f>'Fiscal Forecasts'!I$135</f>
        <v>19.863</v>
      </c>
      <c r="J446" s="51">
        <f>'Fiscal Forecasts'!J$135</f>
        <v>21.957000000000001</v>
      </c>
      <c r="K446" s="51">
        <f>'Fiscal Forecasts'!K$135</f>
        <v>20.308</v>
      </c>
      <c r="L446" s="47">
        <f>'Fiscal Forecasts'!L$135</f>
        <v>20.341000000000001</v>
      </c>
      <c r="M446" s="47">
        <f>'Fiscal Forecasts'!M$135</f>
        <v>22.204999999999998</v>
      </c>
      <c r="N446" s="47">
        <f>'Fiscal Forecasts'!N$135</f>
        <v>21.843</v>
      </c>
      <c r="O446" s="47">
        <f>'Fiscal Forecasts'!O$135</f>
        <v>22.009</v>
      </c>
      <c r="P446" s="47">
        <f>'Fiscal Forecasts'!P$135</f>
        <v>22.122</v>
      </c>
      <c r="Q446" s="21">
        <f t="shared" ref="Q446:Z446" ca="1" si="249">Q$445+(P$446-P$445)*(1+Q$29)</f>
        <v>23.493651960904828</v>
      </c>
      <c r="R446" s="21">
        <f t="shared" ca="1" si="249"/>
        <v>24.228266729733029</v>
      </c>
      <c r="S446" s="21">
        <f t="shared" ca="1" si="249"/>
        <v>24.991519701055431</v>
      </c>
      <c r="T446" s="21">
        <f t="shared" ca="1" si="249"/>
        <v>25.790861471025657</v>
      </c>
      <c r="U446" s="21">
        <f t="shared" ca="1" si="249"/>
        <v>26.619592707133226</v>
      </c>
      <c r="V446" s="21">
        <f t="shared" ca="1" si="249"/>
        <v>27.474156606232953</v>
      </c>
      <c r="W446" s="21">
        <f t="shared" ca="1" si="249"/>
        <v>28.354301547925317</v>
      </c>
      <c r="X446" s="21">
        <f t="shared" ca="1" si="249"/>
        <v>29.262852956210633</v>
      </c>
      <c r="Y446" s="21">
        <f t="shared" ca="1" si="249"/>
        <v>30.204714669557045</v>
      </c>
      <c r="Z446" s="21">
        <f t="shared" ca="1" si="249"/>
        <v>31.182365244744602</v>
      </c>
    </row>
    <row r="448" spans="1:26" x14ac:dyDescent="0.25">
      <c r="A448" s="11" t="s">
        <v>957</v>
      </c>
    </row>
    <row r="449" spans="1:26" x14ac:dyDescent="0.25">
      <c r="A449" s="11" t="s">
        <v>1387</v>
      </c>
      <c r="B449" s="14" t="str">
        <f>$B$38</f>
        <v>From Fiscal Forecasts</v>
      </c>
      <c r="D449" s="51">
        <f>'Fiscal Forecasts'!D$193</f>
        <v>0.44900000000000001</v>
      </c>
      <c r="E449" s="51">
        <f>'Fiscal Forecasts'!E$193</f>
        <v>0.39800000000000002</v>
      </c>
      <c r="F449" s="51">
        <f>'Fiscal Forecasts'!F$193</f>
        <v>0.505</v>
      </c>
      <c r="G449" s="51">
        <f>'Fiscal Forecasts'!G$193</f>
        <v>0.56999999999999995</v>
      </c>
      <c r="H449" s="51">
        <f>'Fiscal Forecasts'!H$193</f>
        <v>0.504</v>
      </c>
      <c r="I449" s="51">
        <f>'Fiscal Forecasts'!I$193</f>
        <v>0.498</v>
      </c>
      <c r="J449" s="51">
        <f>'Fiscal Forecasts'!J$193</f>
        <v>0.47599999999999998</v>
      </c>
      <c r="K449" s="51">
        <f>'Fiscal Forecasts'!K$193</f>
        <v>0.441</v>
      </c>
      <c r="L449" s="47">
        <f>'Fiscal Forecasts'!L$193</f>
        <v>0.4</v>
      </c>
      <c r="M449" s="47">
        <f>'Fiscal Forecasts'!M$193</f>
        <v>0.35899999999999999</v>
      </c>
      <c r="N449" s="47">
        <f>'Fiscal Forecasts'!N$193</f>
        <v>0.318</v>
      </c>
      <c r="O449" s="47">
        <f>'Fiscal Forecasts'!O$193</f>
        <v>0.27700000000000002</v>
      </c>
      <c r="P449" s="47">
        <f>'Fiscal Forecasts'!P$193</f>
        <v>0.23599999999999999</v>
      </c>
      <c r="Q449" s="21">
        <f t="shared" ref="Q449:Z449" ca="1" si="250">SUM(P$449,Q$409-P$409,Q$413-P$413)</f>
        <v>0.32396000000000025</v>
      </c>
      <c r="R449" s="21">
        <f t="shared" ca="1" si="250"/>
        <v>0.41367920000000025</v>
      </c>
      <c r="S449" s="21">
        <f t="shared" ca="1" si="250"/>
        <v>0.50519278400000056</v>
      </c>
      <c r="T449" s="21">
        <f t="shared" ca="1" si="250"/>
        <v>0.5985366396800007</v>
      </c>
      <c r="U449" s="21">
        <f t="shared" ca="1" si="250"/>
        <v>0.69374737247360074</v>
      </c>
      <c r="V449" s="21">
        <f t="shared" ca="1" si="250"/>
        <v>0.79086231992307288</v>
      </c>
      <c r="W449" s="21">
        <f t="shared" ca="1" si="250"/>
        <v>0.88991956632153468</v>
      </c>
      <c r="X449" s="21">
        <f t="shared" ca="1" si="250"/>
        <v>0.99095795764796546</v>
      </c>
      <c r="Y449" s="21">
        <f t="shared" ca="1" si="250"/>
        <v>1.0940171168009247</v>
      </c>
      <c r="Z449" s="21">
        <f t="shared" ca="1" si="250"/>
        <v>1.1991374591369433</v>
      </c>
    </row>
    <row r="450" spans="1:26" x14ac:dyDescent="0.25">
      <c r="A450" s="11" t="s">
        <v>1388</v>
      </c>
      <c r="B450" s="14" t="str">
        <f>$B$38</f>
        <v>From Fiscal Forecasts</v>
      </c>
      <c r="D450" s="51">
        <f>'Fiscal Forecasts'!D$136</f>
        <v>2.5230000000000001</v>
      </c>
      <c r="E450" s="51">
        <f>'Fiscal Forecasts'!E$136</f>
        <v>2.59</v>
      </c>
      <c r="F450" s="51">
        <f>'Fiscal Forecasts'!F$136</f>
        <v>2.5489999999999999</v>
      </c>
      <c r="G450" s="51">
        <f>'Fiscal Forecasts'!G$136</f>
        <v>3.3679999999999999</v>
      </c>
      <c r="H450" s="51">
        <f>'Fiscal Forecasts'!H$136</f>
        <v>3.61</v>
      </c>
      <c r="I450" s="51">
        <f>'Fiscal Forecasts'!I$136</f>
        <v>3.4529999999999998</v>
      </c>
      <c r="J450" s="51">
        <f>'Fiscal Forecasts'!J$136</f>
        <v>3.5270000000000001</v>
      </c>
      <c r="K450" s="51">
        <f>'Fiscal Forecasts'!K$136</f>
        <v>3.806</v>
      </c>
      <c r="L450" s="47">
        <f>'Fiscal Forecasts'!L$136</f>
        <v>3.7029999999999998</v>
      </c>
      <c r="M450" s="47">
        <f>'Fiscal Forecasts'!M$136</f>
        <v>3.6640000000000001</v>
      </c>
      <c r="N450" s="47">
        <f>'Fiscal Forecasts'!N$136</f>
        <v>3.6930000000000001</v>
      </c>
      <c r="O450" s="47">
        <f>'Fiscal Forecasts'!O$136</f>
        <v>3.7509999999999999</v>
      </c>
      <c r="P450" s="47">
        <f>'Fiscal Forecasts'!P$136</f>
        <v>3.847</v>
      </c>
      <c r="Q450" s="21">
        <f t="shared" ref="Q450:Z450" ca="1" si="251">SUM(P$450,Q$410-P$410,Q$414-P$414)</f>
        <v>4.0145999999999997</v>
      </c>
      <c r="R450" s="21">
        <f t="shared" ca="1" si="251"/>
        <v>4.1855520000000004</v>
      </c>
      <c r="S450" s="21">
        <f t="shared" ca="1" si="251"/>
        <v>4.3599230400000009</v>
      </c>
      <c r="T450" s="21">
        <f t="shared" ca="1" si="251"/>
        <v>4.5377815008000004</v>
      </c>
      <c r="U450" s="21">
        <f t="shared" ca="1" si="251"/>
        <v>4.7191971308160001</v>
      </c>
      <c r="V450" s="21">
        <f t="shared" ca="1" si="251"/>
        <v>4.9042410734323205</v>
      </c>
      <c r="W450" s="21">
        <f t="shared" ca="1" si="251"/>
        <v>5.0929858949009663</v>
      </c>
      <c r="X450" s="21">
        <f t="shared" ca="1" si="251"/>
        <v>5.2855056127989855</v>
      </c>
      <c r="Y450" s="21">
        <f t="shared" ca="1" si="251"/>
        <v>5.4818757250549659</v>
      </c>
      <c r="Z450" s="21">
        <f t="shared" ca="1" si="251"/>
        <v>5.6821732395560653</v>
      </c>
    </row>
    <row r="452" spans="1:26" x14ac:dyDescent="0.25">
      <c r="A452" s="11" t="s">
        <v>1389</v>
      </c>
    </row>
    <row r="453" spans="1:26" x14ac:dyDescent="0.25">
      <c r="A453" s="11" t="s">
        <v>1390</v>
      </c>
      <c r="B453" s="14" t="str">
        <f>$B$38</f>
        <v>From Fiscal Forecasts</v>
      </c>
      <c r="D453" s="51">
        <f>'Fiscal Forecasts'!D$194</f>
        <v>2.8839999999999999</v>
      </c>
      <c r="E453" s="51">
        <f>'Fiscal Forecasts'!E$194</f>
        <v>3.8039999999999998</v>
      </c>
      <c r="F453" s="51">
        <f>'Fiscal Forecasts'!F$194</f>
        <v>5.8239999999999998</v>
      </c>
      <c r="G453" s="51">
        <f>'Fiscal Forecasts'!G$194</f>
        <v>11.461</v>
      </c>
      <c r="H453" s="51">
        <f>'Fiscal Forecasts'!H$194</f>
        <v>6.093</v>
      </c>
      <c r="I453" s="51">
        <f>'Fiscal Forecasts'!I$194</f>
        <v>6.8659999999999997</v>
      </c>
      <c r="J453" s="51">
        <f>'Fiscal Forecasts'!J$194</f>
        <v>7.3860000000000001</v>
      </c>
      <c r="K453" s="51">
        <f>'Fiscal Forecasts'!K$194</f>
        <v>6.407</v>
      </c>
      <c r="L453" s="47">
        <f>'Fiscal Forecasts'!L$194</f>
        <v>5.8460000000000001</v>
      </c>
      <c r="M453" s="47">
        <f>'Fiscal Forecasts'!M$194</f>
        <v>5.4980000000000002</v>
      </c>
      <c r="N453" s="47">
        <f>'Fiscal Forecasts'!N$194</f>
        <v>5.1710000000000003</v>
      </c>
      <c r="O453" s="47">
        <f>'Fiscal Forecasts'!O$194</f>
        <v>4.9290000000000003</v>
      </c>
      <c r="P453" s="47">
        <f>'Fiscal Forecasts'!P$194</f>
        <v>4.7519999999999998</v>
      </c>
      <c r="Q453" s="21">
        <f t="shared" ref="Q453:Z453" ca="1" si="252">SUM(P$453,-Q$145,Q$151,Q$313)</f>
        <v>4.7049199999999995</v>
      </c>
      <c r="R453" s="21">
        <f t="shared" ca="1" si="252"/>
        <v>4.6873383999999998</v>
      </c>
      <c r="S453" s="21">
        <f t="shared" ca="1" si="252"/>
        <v>4.6998451679999995</v>
      </c>
      <c r="T453" s="21">
        <f t="shared" ca="1" si="252"/>
        <v>4.7368451679999994</v>
      </c>
      <c r="U453" s="21">
        <f t="shared" ca="1" si="252"/>
        <v>4.7738451679999994</v>
      </c>
      <c r="V453" s="21">
        <f t="shared" ca="1" si="252"/>
        <v>4.8108451679999993</v>
      </c>
      <c r="W453" s="21">
        <f t="shared" ca="1" si="252"/>
        <v>4.8478451679999992</v>
      </c>
      <c r="X453" s="21">
        <f t="shared" ca="1" si="252"/>
        <v>4.8848451679999991</v>
      </c>
      <c r="Y453" s="21">
        <f t="shared" ca="1" si="252"/>
        <v>4.921845167999999</v>
      </c>
      <c r="Z453" s="21">
        <f t="shared" ca="1" si="252"/>
        <v>4.958845167999999</v>
      </c>
    </row>
    <row r="454" spans="1:26" x14ac:dyDescent="0.25">
      <c r="A454" s="11" t="s">
        <v>1391</v>
      </c>
      <c r="B454" s="14" t="str">
        <f>$B$38</f>
        <v>From Fiscal Forecasts</v>
      </c>
      <c r="D454" s="51">
        <f>'Fiscal Forecasts'!D$138</f>
        <v>2.8839999999999999</v>
      </c>
      <c r="E454" s="51">
        <f>'Fiscal Forecasts'!E$138</f>
        <v>3.8039999999999998</v>
      </c>
      <c r="F454" s="51">
        <f>'Fiscal Forecasts'!F$138</f>
        <v>5.8239999999999998</v>
      </c>
      <c r="G454" s="51">
        <f>'Fiscal Forecasts'!G$138</f>
        <v>11.308</v>
      </c>
      <c r="H454" s="51">
        <f>'Fiscal Forecasts'!H$138</f>
        <v>6.125</v>
      </c>
      <c r="I454" s="51">
        <f>'Fiscal Forecasts'!I$138</f>
        <v>6.6260000000000003</v>
      </c>
      <c r="J454" s="51">
        <f>'Fiscal Forecasts'!J$138</f>
        <v>7.1559999999999997</v>
      </c>
      <c r="K454" s="51">
        <f>'Fiscal Forecasts'!K$138</f>
        <v>6.2789999999999999</v>
      </c>
      <c r="L454" s="47">
        <f>'Fiscal Forecasts'!L$138</f>
        <v>5.7809999999999997</v>
      </c>
      <c r="M454" s="47">
        <f>'Fiscal Forecasts'!M$138</f>
        <v>5.4080000000000004</v>
      </c>
      <c r="N454" s="47">
        <f>'Fiscal Forecasts'!N$138</f>
        <v>5.0949999999999998</v>
      </c>
      <c r="O454" s="47">
        <f>'Fiscal Forecasts'!O$138</f>
        <v>4.8460000000000001</v>
      </c>
      <c r="P454" s="47">
        <f>'Fiscal Forecasts'!P$138</f>
        <v>4.6710000000000003</v>
      </c>
      <c r="Q454" s="21">
        <f t="shared" ref="Q454:Z454" ca="1" si="253">SUM(P$454,-Q$145,Q$151,Q$313)</f>
        <v>4.62392</v>
      </c>
      <c r="R454" s="21">
        <f t="shared" ca="1" si="253"/>
        <v>4.6063384000000003</v>
      </c>
      <c r="S454" s="21">
        <f t="shared" ca="1" si="253"/>
        <v>4.618845168</v>
      </c>
      <c r="T454" s="21">
        <f t="shared" ca="1" si="253"/>
        <v>4.6558451679999999</v>
      </c>
      <c r="U454" s="21">
        <f t="shared" ca="1" si="253"/>
        <v>4.6928451679999998</v>
      </c>
      <c r="V454" s="21">
        <f t="shared" ca="1" si="253"/>
        <v>4.7298451679999998</v>
      </c>
      <c r="W454" s="21">
        <f t="shared" ca="1" si="253"/>
        <v>4.7668451679999997</v>
      </c>
      <c r="X454" s="21">
        <f t="shared" ca="1" si="253"/>
        <v>4.8038451679999996</v>
      </c>
      <c r="Y454" s="21">
        <f t="shared" ca="1" si="253"/>
        <v>4.8408451679999995</v>
      </c>
      <c r="Z454" s="21">
        <f t="shared" ca="1" si="253"/>
        <v>4.8778451679999995</v>
      </c>
    </row>
    <row r="456" spans="1:26" x14ac:dyDescent="0.25">
      <c r="A456" s="11" t="s">
        <v>959</v>
      </c>
    </row>
    <row r="457" spans="1:26" x14ac:dyDescent="0.25">
      <c r="A457" s="11" t="s">
        <v>1392</v>
      </c>
      <c r="B457" s="14" t="str">
        <f>$B$38</f>
        <v>From Fiscal Forecasts</v>
      </c>
      <c r="D457" s="51">
        <f>'Fiscal Forecasts'!D$195</f>
        <v>4.0000000000000001E-3</v>
      </c>
      <c r="E457" s="51">
        <f>'Fiscal Forecasts'!E$195</f>
        <v>5.0000000000000001E-3</v>
      </c>
      <c r="F457" s="51">
        <f>'Fiscal Forecasts'!F$195</f>
        <v>4.0000000000000001E-3</v>
      </c>
      <c r="G457" s="51">
        <f>'Fiscal Forecasts'!G$195</f>
        <v>2E-3</v>
      </c>
      <c r="H457" s="51">
        <f>'Fiscal Forecasts'!H$195</f>
        <v>3.0000000000000001E-3</v>
      </c>
      <c r="I457" s="51">
        <f>'Fiscal Forecasts'!I$195</f>
        <v>2E-3</v>
      </c>
      <c r="J457" s="51">
        <f>'Fiscal Forecasts'!J$195</f>
        <v>2E-3</v>
      </c>
      <c r="K457" s="51">
        <f>'Fiscal Forecasts'!K$195</f>
        <v>2E-3</v>
      </c>
      <c r="L457" s="47">
        <f>'Fiscal Forecasts'!L$195</f>
        <v>2E-3</v>
      </c>
      <c r="M457" s="47">
        <f>'Fiscal Forecasts'!M$195</f>
        <v>2E-3</v>
      </c>
      <c r="N457" s="47">
        <f>'Fiscal Forecasts'!N$195</f>
        <v>2E-3</v>
      </c>
      <c r="O457" s="47">
        <f>'Fiscal Forecasts'!O$195</f>
        <v>2E-3</v>
      </c>
      <c r="P457" s="47">
        <f>'Fiscal Forecasts'!P$195</f>
        <v>2E-3</v>
      </c>
      <c r="Q457" s="21">
        <f ca="1">IF(Q$6=OFFSET(Assumptions!$B$8,0,$C$1),OFFSET(Assumptions!$B$9,0,$C$1),P$457)</f>
        <v>0</v>
      </c>
      <c r="R457" s="21">
        <f ca="1">IF(R$6=OFFSET(Assumptions!$B$8,0,$C$1),OFFSET(Assumptions!$B$9,0,$C$1),Q$457)</f>
        <v>0</v>
      </c>
      <c r="S457" s="21">
        <f ca="1">IF(S$6=OFFSET(Assumptions!$B$8,0,$C$1),OFFSET(Assumptions!$B$9,0,$C$1),R$457)</f>
        <v>0</v>
      </c>
      <c r="T457" s="21">
        <f ca="1">IF(T$6=OFFSET(Assumptions!$B$8,0,$C$1),OFFSET(Assumptions!$B$9,0,$C$1),S$457)</f>
        <v>0</v>
      </c>
      <c r="U457" s="21">
        <f ca="1">IF(U$6=OFFSET(Assumptions!$B$8,0,$C$1),OFFSET(Assumptions!$B$9,0,$C$1),T$457)</f>
        <v>0</v>
      </c>
      <c r="V457" s="21">
        <f ca="1">IF(V$6=OFFSET(Assumptions!$B$8,0,$C$1),OFFSET(Assumptions!$B$9,0,$C$1),U$457)</f>
        <v>0</v>
      </c>
      <c r="W457" s="21">
        <f ca="1">IF(W$6=OFFSET(Assumptions!$B$8,0,$C$1),OFFSET(Assumptions!$B$9,0,$C$1),V$457)</f>
        <v>0</v>
      </c>
      <c r="X457" s="21">
        <f ca="1">IF(X$6=OFFSET(Assumptions!$B$8,0,$C$1),OFFSET(Assumptions!$B$9,0,$C$1),W$457)</f>
        <v>0</v>
      </c>
      <c r="Y457" s="21">
        <f ca="1">IF(Y$6=OFFSET(Assumptions!$B$8,0,$C$1),OFFSET(Assumptions!$B$9,0,$C$1),X$457)</f>
        <v>0</v>
      </c>
      <c r="Z457" s="21">
        <f ca="1">IF(Z$6=OFFSET(Assumptions!$B$8,0,$C$1),OFFSET(Assumptions!$B$9,0,$C$1),Y$457)</f>
        <v>0</v>
      </c>
    </row>
    <row r="458" spans="1:26" x14ac:dyDescent="0.25">
      <c r="A458" s="12" t="s">
        <v>1393</v>
      </c>
      <c r="B458" s="14" t="str">
        <f>$B$38</f>
        <v>From Fiscal Forecasts</v>
      </c>
      <c r="D458" s="50">
        <f>'Fiscal Forecasts'!D$381</f>
        <v>56.610999999999997</v>
      </c>
      <c r="E458" s="50">
        <f>'Fiscal Forecasts'!E$381</f>
        <v>64.945999999999998</v>
      </c>
      <c r="F458" s="50">
        <f>'Fiscal Forecasts'!F$381</f>
        <v>59.133000000000003</v>
      </c>
      <c r="G458" s="50">
        <f>'Fiscal Forecasts'!G$381</f>
        <v>54.115000000000002</v>
      </c>
      <c r="H458" s="50">
        <f>'Fiscal Forecasts'!H$381</f>
        <v>55.664000000000001</v>
      </c>
      <c r="I458" s="50">
        <f>'Fiscal Forecasts'!I$381</f>
        <v>65.049000000000007</v>
      </c>
      <c r="J458" s="50">
        <f>'Fiscal Forecasts'!J$381</f>
        <v>68.766000000000005</v>
      </c>
      <c r="K458" s="50">
        <f>'Fiscal Forecasts'!K$381</f>
        <v>73.116</v>
      </c>
      <c r="L458" s="48">
        <f>'Fiscal Forecasts'!L$381</f>
        <v>62.813000000000002</v>
      </c>
      <c r="M458" s="48">
        <f>'Fiscal Forecasts'!M$381</f>
        <v>64.894000000000005</v>
      </c>
      <c r="N458" s="48">
        <f>'Fiscal Forecasts'!N$381</f>
        <v>67.055999999999997</v>
      </c>
      <c r="O458" s="48">
        <f>'Fiscal Forecasts'!O$381</f>
        <v>69.384</v>
      </c>
      <c r="P458" s="48">
        <f>'Fiscal Forecasts'!P$381</f>
        <v>71.867999999999995</v>
      </c>
      <c r="Q458" s="20">
        <f>P$458*Exogenous!AB$30/Exogenous!AA$30</f>
        <v>75.350373541238483</v>
      </c>
      <c r="R458" s="20">
        <f>Q$458*Exogenous!AC$30/Exogenous!AB$30</f>
        <v>79.011918457579867</v>
      </c>
      <c r="S458" s="20">
        <f>R$458*Exogenous!AD$30/Exogenous!AC$30</f>
        <v>82.770264303008062</v>
      </c>
      <c r="T458" s="20">
        <f>S$458*Exogenous!AE$30/Exogenous!AD$30</f>
        <v>86.723163331358961</v>
      </c>
      <c r="U458" s="20">
        <f>T$458*Exogenous!AF$30/Exogenous!AE$30</f>
        <v>90.857478323377009</v>
      </c>
      <c r="V458" s="20">
        <f>U$458*Exogenous!AG$30/Exogenous!AF$30</f>
        <v>95.196291127292156</v>
      </c>
      <c r="W458" s="20">
        <f>V$458*Exogenous!AH$30/Exogenous!AG$30</f>
        <v>99.750002013249556</v>
      </c>
      <c r="X458" s="20">
        <f>W$458*Exogenous!AI$30/Exogenous!AH$30</f>
        <v>104.48871142629368</v>
      </c>
      <c r="Y458" s="20">
        <f>X$458*Exogenous!AJ$30/Exogenous!AI$30</f>
        <v>109.45571050869646</v>
      </c>
      <c r="Z458" s="20">
        <f>Y$458*Exogenous!AK$30/Exogenous!AJ$30</f>
        <v>114.59747181447723</v>
      </c>
    </row>
    <row r="459" spans="1:26" x14ac:dyDescent="0.25">
      <c r="A459" s="12" t="s">
        <v>1394</v>
      </c>
      <c r="B459" s="14" t="str">
        <f>$B$38</f>
        <v>From Fiscal Forecasts</v>
      </c>
      <c r="D459" s="50">
        <f>SUM('Fiscal Forecasts'!D$382:D$383)-D$457</f>
        <v>1.601</v>
      </c>
      <c r="E459" s="50">
        <f>SUM('Fiscal Forecasts'!E$382:E$383)-E$457</f>
        <v>1.7390000000000001</v>
      </c>
      <c r="F459" s="50">
        <f>SUM('Fiscal Forecasts'!F$382:F$383)-F$457</f>
        <v>1.1990000000000001</v>
      </c>
      <c r="G459" s="50">
        <f>SUM('Fiscal Forecasts'!G$382:G$383)-G$457</f>
        <v>1.1839999999999999</v>
      </c>
      <c r="H459" s="50">
        <f>SUM('Fiscal Forecasts'!H$382:H$383)-H$457</f>
        <v>1.8440000000000001</v>
      </c>
      <c r="I459" s="50">
        <f>SUM('Fiscal Forecasts'!I$382:I$383)-I$457</f>
        <v>1.524</v>
      </c>
      <c r="J459" s="50">
        <f>SUM('Fiscal Forecasts'!J$382:J$383)-J$457</f>
        <v>1.5579999999999998</v>
      </c>
      <c r="K459" s="50">
        <f>SUM('Fiscal Forecasts'!K$382:K$383)-K$457</f>
        <v>1.4259999999999999</v>
      </c>
      <c r="L459" s="48">
        <f>SUM('Fiscal Forecasts'!L$382:L$383)-L$457</f>
        <v>1.24</v>
      </c>
      <c r="M459" s="48">
        <f>SUM('Fiscal Forecasts'!M$382:M$383)-M$457</f>
        <v>1.157</v>
      </c>
      <c r="N459" s="48">
        <f>SUM('Fiscal Forecasts'!N$382:N$383)-N$457</f>
        <v>1.097</v>
      </c>
      <c r="O459" s="48">
        <f>SUM('Fiscal Forecasts'!O$382:O$383)-O$457</f>
        <v>1.056</v>
      </c>
      <c r="P459" s="48">
        <f>SUM('Fiscal Forecasts'!P$382:P$383)-P$457</f>
        <v>1.03</v>
      </c>
      <c r="Q459" s="20">
        <f t="shared" ref="Q459:Z459" si="254">P$459*Q$458/P$458</f>
        <v>1.0799087876033233</v>
      </c>
      <c r="R459" s="20">
        <f t="shared" si="254"/>
        <v>1.1323854289990993</v>
      </c>
      <c r="S459" s="20">
        <f t="shared" si="254"/>
        <v>1.1862494049103678</v>
      </c>
      <c r="T459" s="20">
        <f t="shared" si="254"/>
        <v>1.24290168407775</v>
      </c>
      <c r="U459" s="20">
        <f t="shared" si="254"/>
        <v>1.3021539861006057</v>
      </c>
      <c r="V459" s="20">
        <f t="shared" si="254"/>
        <v>1.3643371161172</v>
      </c>
      <c r="W459" s="20">
        <f t="shared" si="254"/>
        <v>1.4296001290372218</v>
      </c>
      <c r="X459" s="20">
        <f t="shared" si="254"/>
        <v>1.4975145095046822</v>
      </c>
      <c r="Y459" s="20">
        <f t="shared" si="254"/>
        <v>1.5687006988361631</v>
      </c>
      <c r="Z459" s="20">
        <f t="shared" si="254"/>
        <v>1.6423915507445812</v>
      </c>
    </row>
    <row r="460" spans="1:26" x14ac:dyDescent="0.25">
      <c r="A460" s="11" t="s">
        <v>1395</v>
      </c>
      <c r="D460" s="94">
        <f t="shared" ref="D460:P460" si="255">SUM(D$457:D$459)</f>
        <v>58.215999999999994</v>
      </c>
      <c r="E460" s="94">
        <f t="shared" si="255"/>
        <v>66.69</v>
      </c>
      <c r="F460" s="94">
        <f t="shared" si="255"/>
        <v>60.335999999999999</v>
      </c>
      <c r="G460" s="94">
        <f t="shared" si="255"/>
        <v>55.301000000000002</v>
      </c>
      <c r="H460" s="94">
        <f t="shared" si="255"/>
        <v>57.511000000000003</v>
      </c>
      <c r="I460" s="94">
        <f t="shared" si="255"/>
        <v>66.575000000000003</v>
      </c>
      <c r="J460" s="94">
        <f t="shared" si="255"/>
        <v>70.325999999999993</v>
      </c>
      <c r="K460" s="94">
        <f t="shared" si="255"/>
        <v>74.543999999999997</v>
      </c>
      <c r="L460" s="95">
        <f t="shared" si="255"/>
        <v>64.055000000000007</v>
      </c>
      <c r="M460" s="95">
        <f t="shared" si="255"/>
        <v>66.052999999999997</v>
      </c>
      <c r="N460" s="95">
        <f t="shared" si="255"/>
        <v>68.154999999999987</v>
      </c>
      <c r="O460" s="95">
        <f t="shared" si="255"/>
        <v>70.441999999999993</v>
      </c>
      <c r="P460" s="95">
        <f t="shared" si="255"/>
        <v>72.899999999999991</v>
      </c>
      <c r="Q460" s="96">
        <f t="shared" ref="Q460:Z460" ca="1" si="256">SUM(Q$457:Q$459)</f>
        <v>76.430282328841813</v>
      </c>
      <c r="R460" s="96">
        <f t="shared" ca="1" si="256"/>
        <v>80.144303886578967</v>
      </c>
      <c r="S460" s="96">
        <f t="shared" ca="1" si="256"/>
        <v>83.956513707918432</v>
      </c>
      <c r="T460" s="96">
        <f t="shared" ca="1" si="256"/>
        <v>87.966065015436712</v>
      </c>
      <c r="U460" s="96">
        <f t="shared" ca="1" si="256"/>
        <v>92.159632309477615</v>
      </c>
      <c r="V460" s="96">
        <f t="shared" ca="1" si="256"/>
        <v>96.560628243409354</v>
      </c>
      <c r="W460" s="96">
        <f t="shared" ca="1" si="256"/>
        <v>101.17960214228678</v>
      </c>
      <c r="X460" s="96">
        <f t="shared" ca="1" si="256"/>
        <v>105.98622593579836</v>
      </c>
      <c r="Y460" s="96">
        <f t="shared" ca="1" si="256"/>
        <v>111.02441120753262</v>
      </c>
      <c r="Z460" s="96">
        <f t="shared" ca="1" si="256"/>
        <v>116.23986336522181</v>
      </c>
    </row>
    <row r="462" spans="1:26" x14ac:dyDescent="0.25">
      <c r="A462" s="11" t="s">
        <v>1396</v>
      </c>
    </row>
    <row r="463" spans="1:26" x14ac:dyDescent="0.25">
      <c r="A463" s="11" t="s">
        <v>1397</v>
      </c>
      <c r="B463" s="14" t="str">
        <f>$B$38</f>
        <v>From Fiscal Forecasts</v>
      </c>
      <c r="D463" s="51">
        <f>'Fiscal Forecasts'!D$196</f>
        <v>13.164999999999999</v>
      </c>
      <c r="E463" s="51">
        <f>'Fiscal Forecasts'!E$196</f>
        <v>13.976000000000001</v>
      </c>
      <c r="F463" s="51">
        <f>'Fiscal Forecasts'!F$196</f>
        <v>11.039</v>
      </c>
      <c r="G463" s="51">
        <f>'Fiscal Forecasts'!G$196</f>
        <v>8.7650000000000006</v>
      </c>
      <c r="H463" s="51">
        <f>'Fiscal Forecasts'!H$196</f>
        <v>8.0380000000000003</v>
      </c>
      <c r="I463" s="51">
        <f>'Fiscal Forecasts'!I$196</f>
        <v>7.3339999999999996</v>
      </c>
      <c r="J463" s="51">
        <f>'Fiscal Forecasts'!J$196</f>
        <v>6.6589999999999998</v>
      </c>
      <c r="K463" s="51">
        <f>'Fiscal Forecasts'!K$196</f>
        <v>6.2460000000000004</v>
      </c>
      <c r="L463" s="47">
        <f>'Fiscal Forecasts'!L$196</f>
        <v>5.633</v>
      </c>
      <c r="M463" s="47">
        <f>'Fiscal Forecasts'!M$196</f>
        <v>5.1289999999999996</v>
      </c>
      <c r="N463" s="47">
        <f>'Fiscal Forecasts'!N$196</f>
        <v>4.6379999999999999</v>
      </c>
      <c r="O463" s="47">
        <f>'Fiscal Forecasts'!O$196</f>
        <v>4.1639999999999997</v>
      </c>
      <c r="P463" s="47">
        <f>'Fiscal Forecasts'!P$196</f>
        <v>3.706</v>
      </c>
      <c r="Q463" s="20">
        <f>P$463*Exogenous!AB$35/Exogenous!AA$35</f>
        <v>3.5338867837338257</v>
      </c>
      <c r="R463" s="20">
        <f>Q$463*Exogenous!AC$35/Exogenous!AB$35</f>
        <v>3.3579202865064692</v>
      </c>
      <c r="S463" s="20">
        <f>R$463*Exogenous!AD$35/Exogenous!AC$35</f>
        <v>3.1806693622920514</v>
      </c>
      <c r="T463" s="20">
        <f>S$463*Exogenous!AE$35/Exogenous!AD$35</f>
        <v>3.0029902957486132</v>
      </c>
      <c r="U463" s="20">
        <f>T$463*Exogenous!AF$35/Exogenous!AE$35</f>
        <v>2.8313052218114598</v>
      </c>
      <c r="V463" s="20">
        <f>U$463*Exogenous!AG$35/Exogenous!AF$35</f>
        <v>2.6617608595194078</v>
      </c>
      <c r="W463" s="20">
        <f>V$463*Exogenous!AH$35/Exogenous!AG$35</f>
        <v>2.4947853512014784</v>
      </c>
      <c r="X463" s="20">
        <f>W$463*Exogenous!AI$35/Exogenous!AH$35</f>
        <v>2.3308068391866907</v>
      </c>
      <c r="Y463" s="20">
        <f>X$463*Exogenous!AJ$35/Exogenous!AI$35</f>
        <v>2.1711097504621066</v>
      </c>
      <c r="Z463" s="20">
        <f>Y$463*Exogenous!AK$35/Exogenous!AJ$35</f>
        <v>2.0152659426987056</v>
      </c>
    </row>
    <row r="464" spans="1:26" x14ac:dyDescent="0.25">
      <c r="A464" s="12" t="s">
        <v>1398</v>
      </c>
      <c r="B464" s="14" t="str">
        <f>$B$38</f>
        <v>From Fiscal Forecasts</v>
      </c>
      <c r="D464" s="50">
        <f>'Fiscal Forecasts'!D$140-D$463</f>
        <v>1.4000000000001123E-2</v>
      </c>
      <c r="E464" s="50">
        <f>'Fiscal Forecasts'!E$140-E$463</f>
        <v>6.9999999999996732E-3</v>
      </c>
      <c r="F464" s="50">
        <f>'Fiscal Forecasts'!F$140-F$463</f>
        <v>-9.9999999999944578E-4</v>
      </c>
      <c r="G464" s="50">
        <f>'Fiscal Forecasts'!G$140-G$463</f>
        <v>3.9999999999995595E-3</v>
      </c>
      <c r="H464" s="50">
        <f>'Fiscal Forecasts'!H$140-H$463</f>
        <v>9.9999999999944578E-4</v>
      </c>
      <c r="I464" s="50">
        <f>'Fiscal Forecasts'!I$140-I$463</f>
        <v>3.0000000000001137E-3</v>
      </c>
      <c r="J464" s="50">
        <f>'Fiscal Forecasts'!J$140-J$463</f>
        <v>1.9999999999997797E-3</v>
      </c>
      <c r="K464" s="50">
        <f>'Fiscal Forecasts'!K$140-K$463</f>
        <v>1.9999999999997797E-3</v>
      </c>
      <c r="L464" s="48">
        <f>'Fiscal Forecasts'!L$140-L$463</f>
        <v>1.000000000000334E-3</v>
      </c>
      <c r="M464" s="48">
        <f>'Fiscal Forecasts'!M$140-M$463</f>
        <v>2.0000000000006679E-3</v>
      </c>
      <c r="N464" s="48">
        <f>'Fiscal Forecasts'!N$140-N$463</f>
        <v>1.000000000000334E-3</v>
      </c>
      <c r="O464" s="48">
        <f>'Fiscal Forecasts'!O$140-O$463</f>
        <v>1.000000000000334E-3</v>
      </c>
      <c r="P464" s="48">
        <f>'Fiscal Forecasts'!P$140-P$463</f>
        <v>2.0000000000002238E-3</v>
      </c>
      <c r="Q464" s="20">
        <f ca="1">IF(Q$6=OFFSET(Assumptions!$B$8,0,$C$1),OFFSET(Assumptions!$B$9,0,$C$1),P$464)</f>
        <v>0</v>
      </c>
      <c r="R464" s="20">
        <f ca="1">IF(R$6=OFFSET(Assumptions!$B$8,0,$C$1),OFFSET(Assumptions!$B$9,0,$C$1),Q$464)</f>
        <v>0</v>
      </c>
      <c r="S464" s="20">
        <f ca="1">IF(S$6=OFFSET(Assumptions!$B$8,0,$C$1),OFFSET(Assumptions!$B$9,0,$C$1),R$464)</f>
        <v>0</v>
      </c>
      <c r="T464" s="20">
        <f ca="1">IF(T$6=OFFSET(Assumptions!$B$8,0,$C$1),OFFSET(Assumptions!$B$9,0,$C$1),S$464)</f>
        <v>0</v>
      </c>
      <c r="U464" s="20">
        <f ca="1">IF(U$6=OFFSET(Assumptions!$B$8,0,$C$1),OFFSET(Assumptions!$B$9,0,$C$1),T$464)</f>
        <v>0</v>
      </c>
      <c r="V464" s="20">
        <f ca="1">IF(V$6=OFFSET(Assumptions!$B$8,0,$C$1),OFFSET(Assumptions!$B$9,0,$C$1),U$464)</f>
        <v>0</v>
      </c>
      <c r="W464" s="20">
        <f ca="1">IF(W$6=OFFSET(Assumptions!$B$8,0,$C$1),OFFSET(Assumptions!$B$9,0,$C$1),V$464)</f>
        <v>0</v>
      </c>
      <c r="X464" s="20">
        <f ca="1">IF(X$6=OFFSET(Assumptions!$B$8,0,$C$1),OFFSET(Assumptions!$B$9,0,$C$1),W$464)</f>
        <v>0</v>
      </c>
      <c r="Y464" s="20">
        <f ca="1">IF(Y$6=OFFSET(Assumptions!$B$8,0,$C$1),OFFSET(Assumptions!$B$9,0,$C$1),X$464)</f>
        <v>0</v>
      </c>
      <c r="Z464" s="20">
        <f ca="1">IF(Z$6=OFFSET(Assumptions!$B$8,0,$C$1),OFFSET(Assumptions!$B$9,0,$C$1),Y$464)</f>
        <v>0</v>
      </c>
    </row>
    <row r="465" spans="1:26" x14ac:dyDescent="0.25">
      <c r="A465" s="11" t="s">
        <v>1399</v>
      </c>
      <c r="D465" s="94">
        <f t="shared" ref="D465:Z465" si="257">SUM(D$463:D$464)</f>
        <v>13.179</v>
      </c>
      <c r="E465" s="94">
        <f t="shared" si="257"/>
        <v>13.983000000000001</v>
      </c>
      <c r="F465" s="94">
        <f t="shared" si="257"/>
        <v>11.038</v>
      </c>
      <c r="G465" s="94">
        <f t="shared" si="257"/>
        <v>8.7690000000000001</v>
      </c>
      <c r="H465" s="94">
        <f t="shared" si="257"/>
        <v>8.0389999999999997</v>
      </c>
      <c r="I465" s="94">
        <f t="shared" si="257"/>
        <v>7.3369999999999997</v>
      </c>
      <c r="J465" s="94">
        <f t="shared" si="257"/>
        <v>6.6609999999999996</v>
      </c>
      <c r="K465" s="94">
        <f t="shared" si="257"/>
        <v>6.2480000000000002</v>
      </c>
      <c r="L465" s="95">
        <f t="shared" si="257"/>
        <v>5.6340000000000003</v>
      </c>
      <c r="M465" s="95">
        <f t="shared" si="257"/>
        <v>5.1310000000000002</v>
      </c>
      <c r="N465" s="95">
        <f t="shared" si="257"/>
        <v>4.6390000000000002</v>
      </c>
      <c r="O465" s="95">
        <f t="shared" si="257"/>
        <v>4.165</v>
      </c>
      <c r="P465" s="95">
        <f t="shared" si="257"/>
        <v>3.7080000000000002</v>
      </c>
      <c r="Q465" s="96">
        <f t="shared" ca="1" si="257"/>
        <v>3.5338867837338257</v>
      </c>
      <c r="R465" s="96">
        <f t="shared" ca="1" si="257"/>
        <v>3.3579202865064692</v>
      </c>
      <c r="S465" s="96">
        <f t="shared" ca="1" si="257"/>
        <v>3.1806693622920514</v>
      </c>
      <c r="T465" s="96">
        <f t="shared" ca="1" si="257"/>
        <v>3.0029902957486132</v>
      </c>
      <c r="U465" s="96">
        <f t="shared" ca="1" si="257"/>
        <v>2.8313052218114598</v>
      </c>
      <c r="V465" s="96">
        <f t="shared" ca="1" si="257"/>
        <v>2.6617608595194078</v>
      </c>
      <c r="W465" s="96">
        <f t="shared" ca="1" si="257"/>
        <v>2.4947853512014784</v>
      </c>
      <c r="X465" s="96">
        <f t="shared" ca="1" si="257"/>
        <v>2.3308068391866907</v>
      </c>
      <c r="Y465" s="96">
        <f t="shared" ca="1" si="257"/>
        <v>2.1711097504621066</v>
      </c>
      <c r="Z465" s="96">
        <f t="shared" ca="1" si="257"/>
        <v>2.0152659426987056</v>
      </c>
    </row>
    <row r="467" spans="1:26" x14ac:dyDescent="0.25">
      <c r="A467" s="11" t="s">
        <v>961</v>
      </c>
    </row>
    <row r="468" spans="1:26" x14ac:dyDescent="0.25">
      <c r="A468" s="12" t="s">
        <v>1400</v>
      </c>
      <c r="D468" s="50">
        <f t="shared" ref="D468:P468" si="258">-D$386</f>
        <v>0</v>
      </c>
      <c r="E468" s="50">
        <f t="shared" si="258"/>
        <v>-2E-3</v>
      </c>
      <c r="F468" s="50">
        <f t="shared" si="258"/>
        <v>-2E-3</v>
      </c>
      <c r="G468" s="50">
        <f t="shared" si="258"/>
        <v>9.9000000000000005E-2</v>
      </c>
      <c r="H468" s="50">
        <f t="shared" si="258"/>
        <v>0.06</v>
      </c>
      <c r="I468" s="50">
        <f t="shared" si="258"/>
        <v>4.0000000000000001E-3</v>
      </c>
      <c r="J468" s="50">
        <f t="shared" si="258"/>
        <v>-6.7000000000000004E-2</v>
      </c>
      <c r="K468" s="50">
        <f t="shared" si="258"/>
        <v>-1.2999999999999999E-2</v>
      </c>
      <c r="L468" s="48">
        <f t="shared" si="258"/>
        <v>1.7999999999999999E-2</v>
      </c>
      <c r="M468" s="48">
        <f t="shared" si="258"/>
        <v>0.02</v>
      </c>
      <c r="N468" s="48">
        <f t="shared" si="258"/>
        <v>2.4E-2</v>
      </c>
      <c r="O468" s="48">
        <f t="shared" si="258"/>
        <v>2.7E-2</v>
      </c>
      <c r="P468" s="48">
        <f t="shared" si="258"/>
        <v>3.1E-2</v>
      </c>
      <c r="Q468" s="20">
        <f ca="1">IF(Q$6=OFFSET(Assumptions!$B$8,0,$C$1),OFFSET(Assumptions!$B$9,0,$C$1),P$468)</f>
        <v>0</v>
      </c>
      <c r="R468" s="20">
        <f ca="1">IF(R$6=OFFSET(Assumptions!$B$8,0,$C$1),OFFSET(Assumptions!$B$9,0,$C$1),Q$468)</f>
        <v>0</v>
      </c>
      <c r="S468" s="20">
        <f ca="1">IF(S$6=OFFSET(Assumptions!$B$8,0,$C$1),OFFSET(Assumptions!$B$9,0,$C$1),R$468)</f>
        <v>0</v>
      </c>
      <c r="T468" s="20">
        <f ca="1">IF(T$6=OFFSET(Assumptions!$B$8,0,$C$1),OFFSET(Assumptions!$B$9,0,$C$1),S$468)</f>
        <v>0</v>
      </c>
      <c r="U468" s="20">
        <f ca="1">IF(U$6=OFFSET(Assumptions!$B$8,0,$C$1),OFFSET(Assumptions!$B$9,0,$C$1),T$468)</f>
        <v>0</v>
      </c>
      <c r="V468" s="20">
        <f ca="1">IF(V$6=OFFSET(Assumptions!$B$8,0,$C$1),OFFSET(Assumptions!$B$9,0,$C$1),U$468)</f>
        <v>0</v>
      </c>
      <c r="W468" s="20">
        <f ca="1">IF(W$6=OFFSET(Assumptions!$B$8,0,$C$1),OFFSET(Assumptions!$B$9,0,$C$1),V$468)</f>
        <v>0</v>
      </c>
      <c r="X468" s="20">
        <f ca="1">IF(X$6=OFFSET(Assumptions!$B$8,0,$C$1),OFFSET(Assumptions!$B$9,0,$C$1),W$468)</f>
        <v>0</v>
      </c>
      <c r="Y468" s="20">
        <f ca="1">IF(Y$6=OFFSET(Assumptions!$B$8,0,$C$1),OFFSET(Assumptions!$B$9,0,$C$1),X$468)</f>
        <v>0</v>
      </c>
      <c r="Z468" s="20">
        <f ca="1">IF(Z$6=OFFSET(Assumptions!$B$8,0,$C$1),OFFSET(Assumptions!$B$9,0,$C$1),Y$468)</f>
        <v>0</v>
      </c>
    </row>
    <row r="469" spans="1:26" x14ac:dyDescent="0.25">
      <c r="A469" s="12" t="s">
        <v>1401</v>
      </c>
      <c r="B469" s="14" t="str">
        <f>$B$38</f>
        <v>From Fiscal Forecasts</v>
      </c>
      <c r="D469" s="50">
        <f>'Fiscal Forecasts'!D$197-D$468</f>
        <v>7.5890000000000004</v>
      </c>
      <c r="E469" s="50">
        <f>'Fiscal Forecasts'!E$197-E$468</f>
        <v>9.3109999999999999</v>
      </c>
      <c r="F469" s="50">
        <f>'Fiscal Forecasts'!F$197-F$468</f>
        <v>8.6100000000000012</v>
      </c>
      <c r="G469" s="50">
        <f>'Fiscal Forecasts'!G$197-G$468</f>
        <v>8.7850000000000001</v>
      </c>
      <c r="H469" s="50">
        <f>'Fiscal Forecasts'!H$197-H$468</f>
        <v>8.2880000000000003</v>
      </c>
      <c r="I469" s="50">
        <f>'Fiscal Forecasts'!I$197-I$468</f>
        <v>8.875</v>
      </c>
      <c r="J469" s="50">
        <f>'Fiscal Forecasts'!J$197-J$468</f>
        <v>10.871</v>
      </c>
      <c r="K469" s="50">
        <f>'Fiscal Forecasts'!K$197-K$468</f>
        <v>9.802999999999999</v>
      </c>
      <c r="L469" s="48">
        <f>'Fiscal Forecasts'!L$197-L$468</f>
        <v>9.3669999999999991</v>
      </c>
      <c r="M469" s="48">
        <f>'Fiscal Forecasts'!M$197-M$468</f>
        <v>8.9779999999999998</v>
      </c>
      <c r="N469" s="48">
        <f>'Fiscal Forecasts'!N$197-N$468</f>
        <v>8.8250000000000011</v>
      </c>
      <c r="O469" s="48">
        <f>'Fiscal Forecasts'!O$197-O$468</f>
        <v>8.7780000000000005</v>
      </c>
      <c r="P469" s="48">
        <f>'Fiscal Forecasts'!P$197-P$468</f>
        <v>8.7359999999999989</v>
      </c>
      <c r="Q469" s="20">
        <f t="shared" ref="Q469:Z469" ca="1" si="259">P$469*(1+Q$29)</f>
        <v>8.9107199999999995</v>
      </c>
      <c r="R469" s="20">
        <f t="shared" ca="1" si="259"/>
        <v>9.0889343999999994</v>
      </c>
      <c r="S469" s="20">
        <f t="shared" ca="1" si="259"/>
        <v>9.270713087999999</v>
      </c>
      <c r="T469" s="20">
        <f t="shared" ca="1" si="259"/>
        <v>9.4561273497599991</v>
      </c>
      <c r="U469" s="20">
        <f t="shared" ca="1" si="259"/>
        <v>9.6452498967551996</v>
      </c>
      <c r="V469" s="20">
        <f t="shared" ca="1" si="259"/>
        <v>9.8381548946903035</v>
      </c>
      <c r="W469" s="20">
        <f t="shared" ca="1" si="259"/>
        <v>10.034917992584109</v>
      </c>
      <c r="X469" s="20">
        <f t="shared" ca="1" si="259"/>
        <v>10.235616352435791</v>
      </c>
      <c r="Y469" s="20">
        <f t="shared" ca="1" si="259"/>
        <v>10.440328679484507</v>
      </c>
      <c r="Z469" s="20">
        <f t="shared" ca="1" si="259"/>
        <v>10.649135253074197</v>
      </c>
    </row>
    <row r="470" spans="1:26" x14ac:dyDescent="0.25">
      <c r="A470" s="11" t="s">
        <v>1402</v>
      </c>
      <c r="D470" s="94">
        <f t="shared" ref="D470:P470" si="260">SUM(D$468:D$469)</f>
        <v>7.5890000000000004</v>
      </c>
      <c r="E470" s="94">
        <f t="shared" si="260"/>
        <v>9.3089999999999993</v>
      </c>
      <c r="F470" s="94">
        <f t="shared" si="260"/>
        <v>8.6080000000000005</v>
      </c>
      <c r="G470" s="94">
        <f t="shared" si="260"/>
        <v>8.8840000000000003</v>
      </c>
      <c r="H470" s="94">
        <f t="shared" si="260"/>
        <v>8.3480000000000008</v>
      </c>
      <c r="I470" s="94">
        <f t="shared" si="260"/>
        <v>8.8789999999999996</v>
      </c>
      <c r="J470" s="94">
        <f t="shared" si="260"/>
        <v>10.804</v>
      </c>
      <c r="K470" s="94">
        <f t="shared" si="260"/>
        <v>9.7899999999999991</v>
      </c>
      <c r="L470" s="95">
        <f t="shared" si="260"/>
        <v>9.3849999999999998</v>
      </c>
      <c r="M470" s="95">
        <f t="shared" si="260"/>
        <v>8.9979999999999993</v>
      </c>
      <c r="N470" s="95">
        <f t="shared" si="260"/>
        <v>8.8490000000000002</v>
      </c>
      <c r="O470" s="95">
        <f t="shared" si="260"/>
        <v>8.8049999999999997</v>
      </c>
      <c r="P470" s="95">
        <f t="shared" si="260"/>
        <v>8.7669999999999995</v>
      </c>
      <c r="Q470" s="96">
        <f t="shared" ref="Q470:Z470" ca="1" si="261">SUM(Q$468:Q$469)</f>
        <v>8.9107199999999995</v>
      </c>
      <c r="R470" s="96">
        <f t="shared" ca="1" si="261"/>
        <v>9.0889343999999994</v>
      </c>
      <c r="S470" s="96">
        <f t="shared" ca="1" si="261"/>
        <v>9.270713087999999</v>
      </c>
      <c r="T470" s="96">
        <f t="shared" ca="1" si="261"/>
        <v>9.4561273497599991</v>
      </c>
      <c r="U470" s="96">
        <f t="shared" ca="1" si="261"/>
        <v>9.6452498967551996</v>
      </c>
      <c r="V470" s="96">
        <f t="shared" ca="1" si="261"/>
        <v>9.8381548946903035</v>
      </c>
      <c r="W470" s="96">
        <f t="shared" ca="1" si="261"/>
        <v>10.034917992584109</v>
      </c>
      <c r="X470" s="96">
        <f t="shared" ca="1" si="261"/>
        <v>10.235616352435791</v>
      </c>
      <c r="Y470" s="96">
        <f t="shared" ca="1" si="261"/>
        <v>10.440328679484507</v>
      </c>
      <c r="Z470" s="96">
        <f t="shared" ca="1" si="261"/>
        <v>10.649135253074197</v>
      </c>
    </row>
    <row r="471" spans="1:26" x14ac:dyDescent="0.25">
      <c r="A471" s="11" t="s">
        <v>1403</v>
      </c>
      <c r="B471" s="14" t="str">
        <f>$B$38</f>
        <v>From Fiscal Forecasts</v>
      </c>
      <c r="D471" s="51">
        <f>'Fiscal Forecasts'!D$141</f>
        <v>10.708</v>
      </c>
      <c r="E471" s="51">
        <f>'Fiscal Forecasts'!E$141</f>
        <v>12.68</v>
      </c>
      <c r="F471" s="51">
        <f>'Fiscal Forecasts'!F$141</f>
        <v>13.263</v>
      </c>
      <c r="G471" s="51">
        <f>'Fiscal Forecasts'!G$141</f>
        <v>14.333</v>
      </c>
      <c r="H471" s="51">
        <f>'Fiscal Forecasts'!H$141</f>
        <v>15.426</v>
      </c>
      <c r="I471" s="51">
        <f>'Fiscal Forecasts'!I$141</f>
        <v>16.045000000000002</v>
      </c>
      <c r="J471" s="51">
        <f>'Fiscal Forecasts'!J$141</f>
        <v>17.984000000000002</v>
      </c>
      <c r="K471" s="51">
        <f>'Fiscal Forecasts'!K$141</f>
        <v>16.405000000000001</v>
      </c>
      <c r="L471" s="47">
        <f>'Fiscal Forecasts'!L$141</f>
        <v>14.760999999999999</v>
      </c>
      <c r="M471" s="47">
        <f>'Fiscal Forecasts'!M$141</f>
        <v>14.428000000000001</v>
      </c>
      <c r="N471" s="47">
        <f>'Fiscal Forecasts'!N$141</f>
        <v>14.282999999999999</v>
      </c>
      <c r="O471" s="47">
        <f>'Fiscal Forecasts'!O$141</f>
        <v>14.246</v>
      </c>
      <c r="P471" s="47">
        <f>'Fiscal Forecasts'!P$141</f>
        <v>14.132999999999999</v>
      </c>
      <c r="Q471" s="21">
        <f t="shared" ref="Q471:Z471" ca="1" si="262">Q$470+(P$471-P$470)*(1+Q$29)</f>
        <v>14.384039999999999</v>
      </c>
      <c r="R471" s="21">
        <f t="shared" ca="1" si="262"/>
        <v>14.671720799999999</v>
      </c>
      <c r="S471" s="21">
        <f t="shared" ca="1" si="262"/>
        <v>14.965155215999999</v>
      </c>
      <c r="T471" s="21">
        <f t="shared" ca="1" si="262"/>
        <v>15.264458320319999</v>
      </c>
      <c r="U471" s="21">
        <f t="shared" ca="1" si="262"/>
        <v>15.569747486726399</v>
      </c>
      <c r="V471" s="21">
        <f t="shared" ca="1" si="262"/>
        <v>15.881142436460927</v>
      </c>
      <c r="W471" s="21">
        <f t="shared" ca="1" si="262"/>
        <v>16.198765285190145</v>
      </c>
      <c r="X471" s="21">
        <f t="shared" ca="1" si="262"/>
        <v>16.522740590893946</v>
      </c>
      <c r="Y471" s="21">
        <f t="shared" ca="1" si="262"/>
        <v>16.853195402711826</v>
      </c>
      <c r="Z471" s="21">
        <f t="shared" ca="1" si="262"/>
        <v>17.190259310766063</v>
      </c>
    </row>
    <row r="473" spans="1:26" x14ac:dyDescent="0.25">
      <c r="A473" s="11" t="s">
        <v>1404</v>
      </c>
    </row>
    <row r="474" spans="1:26" x14ac:dyDescent="0.25">
      <c r="A474" s="12" t="s">
        <v>1111</v>
      </c>
      <c r="B474" s="14" t="str">
        <f t="shared" ref="B474:B480" si="263">$B$38</f>
        <v>From Fiscal Forecasts</v>
      </c>
      <c r="D474" s="50">
        <f>'Fiscal Forecasts'!D$387</f>
        <v>83.715999999999994</v>
      </c>
      <c r="E474" s="50">
        <f>'Fiscal Forecasts'!E$387</f>
        <v>84.31</v>
      </c>
      <c r="F474" s="50">
        <f>'Fiscal Forecasts'!F$387</f>
        <v>96.551000000000002</v>
      </c>
      <c r="G474" s="50">
        <f>'Fiscal Forecasts'!G$387</f>
        <v>105.48699999999999</v>
      </c>
      <c r="H474" s="50">
        <f>'Fiscal Forecasts'!H$387</f>
        <v>111.292</v>
      </c>
      <c r="I474" s="50">
        <f>'Fiscal Forecasts'!I$387</f>
        <v>116.73699999999999</v>
      </c>
      <c r="J474" s="50">
        <f>'Fiscal Forecasts'!J$387</f>
        <v>123.536</v>
      </c>
      <c r="K474" s="50">
        <f>'Fiscal Forecasts'!K$387</f>
        <v>129.00200000000001</v>
      </c>
      <c r="L474" s="48">
        <f>'Fiscal Forecasts'!L$387</f>
        <v>132.791</v>
      </c>
      <c r="M474" s="48">
        <f>'Fiscal Forecasts'!M$387</f>
        <v>143.83000000000001</v>
      </c>
      <c r="N474" s="48">
        <f>'Fiscal Forecasts'!N$387</f>
        <v>152.727</v>
      </c>
      <c r="O474" s="48">
        <f>'Fiscal Forecasts'!O$387</f>
        <v>161.23400000000001</v>
      </c>
      <c r="P474" s="48">
        <f>'Fiscal Forecasts'!P$387</f>
        <v>169.50700000000001</v>
      </c>
      <c r="Q474" s="20">
        <f t="shared" ref="Q474:Z474" ca="1" si="264">SUM(Q$142,Q$376,Q$443-P$443)-SUM(Q$351-P$351,Q$273)</f>
        <v>175.988481001586</v>
      </c>
      <c r="R474" s="20">
        <f t="shared" ca="1" si="264"/>
        <v>182.88392420338661</v>
      </c>
      <c r="S474" s="20">
        <f t="shared" ca="1" si="264"/>
        <v>190.10178641277807</v>
      </c>
      <c r="T474" s="20">
        <f t="shared" ca="1" si="264"/>
        <v>197.80489462263114</v>
      </c>
      <c r="U474" s="20">
        <f t="shared" ca="1" si="264"/>
        <v>205.89504788318922</v>
      </c>
      <c r="V474" s="20">
        <f t="shared" ca="1" si="264"/>
        <v>214.27140906409105</v>
      </c>
      <c r="W474" s="20">
        <f t="shared" ca="1" si="264"/>
        <v>222.88527003557277</v>
      </c>
      <c r="X474" s="20">
        <f t="shared" ca="1" si="264"/>
        <v>231.74832972171311</v>
      </c>
      <c r="Y474" s="20">
        <f t="shared" ca="1" si="264"/>
        <v>240.90522559104033</v>
      </c>
      <c r="Z474" s="20">
        <f t="shared" ca="1" si="264"/>
        <v>250.36376486952989</v>
      </c>
    </row>
    <row r="475" spans="1:26" x14ac:dyDescent="0.25">
      <c r="A475" s="12" t="s">
        <v>899</v>
      </c>
      <c r="B475" s="14" t="str">
        <f t="shared" si="263"/>
        <v>From Fiscal Forecasts</v>
      </c>
      <c r="D475" s="50">
        <f>'Fiscal Forecasts'!D$388</f>
        <v>1.359</v>
      </c>
      <c r="E475" s="50">
        <f>'Fiscal Forecasts'!E$388</f>
        <v>1.226</v>
      </c>
      <c r="F475" s="50">
        <f>'Fiscal Forecasts'!F$388</f>
        <v>2.2869999999999999</v>
      </c>
      <c r="G475" s="50">
        <f>'Fiscal Forecasts'!G$388</f>
        <v>3.3639999999999999</v>
      </c>
      <c r="H475" s="50">
        <f>'Fiscal Forecasts'!H$388</f>
        <v>2.492</v>
      </c>
      <c r="I475" s="50">
        <f>'Fiscal Forecasts'!I$388</f>
        <v>1.79</v>
      </c>
      <c r="J475" s="50">
        <f>'Fiscal Forecasts'!J$388</f>
        <v>1.9159999999999999</v>
      </c>
      <c r="K475" s="50">
        <f>'Fiscal Forecasts'!K$388</f>
        <v>1.829</v>
      </c>
      <c r="L475" s="48">
        <f>'Fiscal Forecasts'!L$388</f>
        <v>2.0750000000000002</v>
      </c>
      <c r="M475" s="48">
        <f>'Fiscal Forecasts'!M$388</f>
        <v>2.3180000000000001</v>
      </c>
      <c r="N475" s="48">
        <f>'Fiscal Forecasts'!N$388</f>
        <v>2.2839999999999998</v>
      </c>
      <c r="O475" s="48">
        <f>'Fiscal Forecasts'!O$388</f>
        <v>2.2469999999999999</v>
      </c>
      <c r="P475" s="48">
        <f>'Fiscal Forecasts'!P$388</f>
        <v>2.1859999999999999</v>
      </c>
      <c r="Q475" s="20">
        <f t="shared" ref="Q475:Z475" ca="1" si="265">SUM(Q$146,Q$151)</f>
        <v>2.5836072037006064</v>
      </c>
      <c r="R475" s="20">
        <f t="shared" ca="1" si="265"/>
        <v>2.6664345532857028</v>
      </c>
      <c r="S475" s="20">
        <f t="shared" ca="1" si="265"/>
        <v>2.7510619086961858</v>
      </c>
      <c r="T475" s="20">
        <f t="shared" ca="1" si="265"/>
        <v>2.8366891544140054</v>
      </c>
      <c r="U475" s="20">
        <f t="shared" ca="1" si="265"/>
        <v>2.9247796313687799</v>
      </c>
      <c r="V475" s="20">
        <f t="shared" ca="1" si="265"/>
        <v>3.0145825292665065</v>
      </c>
      <c r="W475" s="20">
        <f t="shared" ca="1" si="265"/>
        <v>3.1038362788321723</v>
      </c>
      <c r="X475" s="20">
        <f t="shared" ca="1" si="265"/>
        <v>3.1949687962199564</v>
      </c>
      <c r="Y475" s="20">
        <f t="shared" ca="1" si="265"/>
        <v>3.2888643701806703</v>
      </c>
      <c r="Z475" s="20">
        <f t="shared" ca="1" si="265"/>
        <v>3.3848166078557522</v>
      </c>
    </row>
    <row r="476" spans="1:26" x14ac:dyDescent="0.25">
      <c r="A476" s="12" t="s">
        <v>1112</v>
      </c>
      <c r="B476" s="14" t="str">
        <f t="shared" si="263"/>
        <v>From Fiscal Forecasts</v>
      </c>
      <c r="D476" s="50">
        <f>'Fiscal Forecasts'!D$389</f>
        <v>0.71199999999999997</v>
      </c>
      <c r="E476" s="50">
        <f>'Fiscal Forecasts'!E$389</f>
        <v>0.42799999999999999</v>
      </c>
      <c r="F476" s="50">
        <f>'Fiscal Forecasts'!F$389</f>
        <v>0.249</v>
      </c>
      <c r="G476" s="50">
        <f>'Fiscal Forecasts'!G$389</f>
        <v>0.39300000000000002</v>
      </c>
      <c r="H476" s="50">
        <f>'Fiscal Forecasts'!H$389</f>
        <v>0.98199999999999998</v>
      </c>
      <c r="I476" s="50">
        <f>'Fiscal Forecasts'!I$389</f>
        <v>1.8779999999999999</v>
      </c>
      <c r="J476" s="50">
        <f>'Fiscal Forecasts'!J$389</f>
        <v>3.3290000000000002</v>
      </c>
      <c r="K476" s="50">
        <f>'Fiscal Forecasts'!K$389</f>
        <v>2.9820000000000002</v>
      </c>
      <c r="L476" s="48">
        <f>'Fiscal Forecasts'!L$389</f>
        <v>1.5740000000000001</v>
      </c>
      <c r="M476" s="48">
        <f>'Fiscal Forecasts'!M$389</f>
        <v>0.9</v>
      </c>
      <c r="N476" s="48">
        <f>'Fiscal Forecasts'!N$389</f>
        <v>1.7070000000000001</v>
      </c>
      <c r="O476" s="48">
        <f>'Fiscal Forecasts'!O$389</f>
        <v>2.1059999999999999</v>
      </c>
      <c r="P476" s="48">
        <f>'Fiscal Forecasts'!P$389</f>
        <v>2.0499999999999998</v>
      </c>
      <c r="Q476" s="20">
        <f t="shared" ref="Q476:Z476" ca="1" si="266">SUM(Q$154,Q$169,Q$177)</f>
        <v>4.9972801498208321</v>
      </c>
      <c r="R476" s="20">
        <f t="shared" ca="1" si="266"/>
        <v>5.1598146268074663</v>
      </c>
      <c r="S476" s="20">
        <f t="shared" ca="1" si="266"/>
        <v>5.3258813067061528</v>
      </c>
      <c r="T476" s="20">
        <f t="shared" ca="1" si="266"/>
        <v>5.4939100999521955</v>
      </c>
      <c r="U476" s="20">
        <f t="shared" ca="1" si="266"/>
        <v>5.6667725623039269</v>
      </c>
      <c r="V476" s="20">
        <f t="shared" ca="1" si="266"/>
        <v>5.8429953572479461</v>
      </c>
      <c r="W476" s="20">
        <f t="shared" ca="1" si="266"/>
        <v>6.0181405427140984</v>
      </c>
      <c r="X476" s="20">
        <f t="shared" ca="1" si="266"/>
        <v>6.1969724880111139</v>
      </c>
      <c r="Y476" s="20">
        <f t="shared" ca="1" si="266"/>
        <v>6.3812264582457301</v>
      </c>
      <c r="Z476" s="20">
        <f t="shared" ca="1" si="266"/>
        <v>6.5695162785084653</v>
      </c>
    </row>
    <row r="477" spans="1:26" x14ac:dyDescent="0.25">
      <c r="A477" s="12" t="s">
        <v>900</v>
      </c>
      <c r="B477" s="14" t="str">
        <f t="shared" si="263"/>
        <v>From Fiscal Forecasts</v>
      </c>
      <c r="D477" s="50">
        <f>'Fiscal Forecasts'!D$390</f>
        <v>3.2</v>
      </c>
      <c r="E477" s="50">
        <f>'Fiscal Forecasts'!E$390</f>
        <v>3.2429999999999999</v>
      </c>
      <c r="F477" s="50">
        <f>'Fiscal Forecasts'!F$390</f>
        <v>2.98</v>
      </c>
      <c r="G477" s="50">
        <f>'Fiscal Forecasts'!G$390</f>
        <v>2.883</v>
      </c>
      <c r="H477" s="50">
        <f>'Fiscal Forecasts'!H$390</f>
        <v>3.9540000000000002</v>
      </c>
      <c r="I477" s="50">
        <f>'Fiscal Forecasts'!I$390</f>
        <v>3.7789999999999999</v>
      </c>
      <c r="J477" s="50">
        <f>'Fiscal Forecasts'!J$390</f>
        <v>3.7040000000000002</v>
      </c>
      <c r="K477" s="50">
        <f>'Fiscal Forecasts'!K$390</f>
        <v>4.173</v>
      </c>
      <c r="L477" s="48">
        <f>'Fiscal Forecasts'!L$390</f>
        <v>3.956</v>
      </c>
      <c r="M477" s="48">
        <f>'Fiscal Forecasts'!M$390</f>
        <v>4.133</v>
      </c>
      <c r="N477" s="48">
        <f>'Fiscal Forecasts'!N$390</f>
        <v>4.359</v>
      </c>
      <c r="O477" s="48">
        <f>'Fiscal Forecasts'!O$390</f>
        <v>4.4089999999999998</v>
      </c>
      <c r="P477" s="48">
        <f>'Fiscal Forecasts'!P$390</f>
        <v>4.5069999999999997</v>
      </c>
      <c r="Q477" s="20">
        <f t="shared" ref="Q477:Z477" ca="1" si="267">SUM(Q$160,Q$332)</f>
        <v>3.7728371999999997</v>
      </c>
      <c r="R477" s="20">
        <f t="shared" ca="1" si="267"/>
        <v>3.8482939439999999</v>
      </c>
      <c r="S477" s="20">
        <f t="shared" ca="1" si="267"/>
        <v>3.9252598228800002</v>
      </c>
      <c r="T477" s="20">
        <f t="shared" ca="1" si="267"/>
        <v>4.0037650193376004</v>
      </c>
      <c r="U477" s="20">
        <f t="shared" ca="1" si="267"/>
        <v>4.0838403197243522</v>
      </c>
      <c r="V477" s="20">
        <f t="shared" ca="1" si="267"/>
        <v>4.1655171261188393</v>
      </c>
      <c r="W477" s="20">
        <f t="shared" ca="1" si="267"/>
        <v>4.2488274686412169</v>
      </c>
      <c r="X477" s="20">
        <f t="shared" ca="1" si="267"/>
        <v>4.3338040180140416</v>
      </c>
      <c r="Y477" s="20">
        <f t="shared" ca="1" si="267"/>
        <v>4.4204800983743215</v>
      </c>
      <c r="Z477" s="20">
        <f t="shared" ca="1" si="267"/>
        <v>4.5088897003418085</v>
      </c>
    </row>
    <row r="478" spans="1:26" x14ac:dyDescent="0.25">
      <c r="A478" s="12" t="s">
        <v>870</v>
      </c>
      <c r="B478" s="14" t="str">
        <f t="shared" si="263"/>
        <v>From Fiscal Forecasts</v>
      </c>
      <c r="D478" s="50">
        <f>'Fiscal Forecasts'!D$391</f>
        <v>28.91</v>
      </c>
      <c r="E478" s="50">
        <f>'Fiscal Forecasts'!E$391</f>
        <v>43.915999999999997</v>
      </c>
      <c r="F478" s="50">
        <f>'Fiscal Forecasts'!F$391</f>
        <v>36.573999999999998</v>
      </c>
      <c r="G478" s="50">
        <f>'Fiscal Forecasts'!G$391</f>
        <v>45.44</v>
      </c>
      <c r="H478" s="50">
        <f>'Fiscal Forecasts'!H$391</f>
        <v>40.417000000000002</v>
      </c>
      <c r="I478" s="50">
        <f>'Fiscal Forecasts'!I$391</f>
        <v>43.494999999999997</v>
      </c>
      <c r="J478" s="50">
        <f>'Fiscal Forecasts'!J$391</f>
        <v>47.421999999999997</v>
      </c>
      <c r="K478" s="50">
        <f>'Fiscal Forecasts'!K$391</f>
        <v>49.707000000000001</v>
      </c>
      <c r="L478" s="48">
        <f>'Fiscal Forecasts'!L$391</f>
        <v>51.792999999999999</v>
      </c>
      <c r="M478" s="48">
        <f>'Fiscal Forecasts'!M$391</f>
        <v>53.119</v>
      </c>
      <c r="N478" s="48">
        <f>'Fiscal Forecasts'!N$391</f>
        <v>54.475999999999999</v>
      </c>
      <c r="O478" s="48">
        <f>'Fiscal Forecasts'!O$391</f>
        <v>56.414999999999999</v>
      </c>
      <c r="P478" s="48">
        <f>'Fiscal Forecasts'!P$391</f>
        <v>58.664999999999999</v>
      </c>
      <c r="Q478" s="20">
        <f t="shared" ref="Q478:Z478" ca="1" si="268">Q$195</f>
        <v>59.10456213375442</v>
      </c>
      <c r="R478" s="20">
        <f t="shared" ca="1" si="268"/>
        <v>61.74023700058391</v>
      </c>
      <c r="S478" s="20">
        <f t="shared" ca="1" si="268"/>
        <v>64.469799952134792</v>
      </c>
      <c r="T478" s="20">
        <f t="shared" ca="1" si="268"/>
        <v>67.280230577711919</v>
      </c>
      <c r="U478" s="20">
        <f t="shared" ca="1" si="268"/>
        <v>70.249267855938541</v>
      </c>
      <c r="V478" s="20">
        <f t="shared" ca="1" si="268"/>
        <v>73.285258596479949</v>
      </c>
      <c r="W478" s="20">
        <f t="shared" ca="1" si="268"/>
        <v>76.330855742633858</v>
      </c>
      <c r="X478" s="20">
        <f t="shared" ca="1" si="268"/>
        <v>79.398091511624841</v>
      </c>
      <c r="Y478" s="20">
        <f t="shared" ca="1" si="268"/>
        <v>82.473442912902243</v>
      </c>
      <c r="Z478" s="20">
        <f t="shared" ca="1" si="268"/>
        <v>85.578471046868486</v>
      </c>
    </row>
    <row r="479" spans="1:26" x14ac:dyDescent="0.25">
      <c r="A479" s="12" t="s">
        <v>1405</v>
      </c>
      <c r="B479" s="14" t="str">
        <f t="shared" si="263"/>
        <v>From Fiscal Forecasts</v>
      </c>
      <c r="D479" s="50">
        <f>'Fiscal Forecasts'!D$392</f>
        <v>50.591000000000001</v>
      </c>
      <c r="E479" s="50">
        <f>'Fiscal Forecasts'!E$392</f>
        <v>56.582999999999998</v>
      </c>
      <c r="F479" s="50">
        <f>'Fiscal Forecasts'!F$392</f>
        <v>63.893999999999998</v>
      </c>
      <c r="G479" s="50">
        <f>'Fiscal Forecasts'!G$392</f>
        <v>71.98</v>
      </c>
      <c r="H479" s="50">
        <f>'Fiscal Forecasts'!H$392</f>
        <v>76.433999999999997</v>
      </c>
      <c r="I479" s="50">
        <f>'Fiscal Forecasts'!I$392</f>
        <v>79.747</v>
      </c>
      <c r="J479" s="50">
        <f>'Fiscal Forecasts'!J$392</f>
        <v>79.742000000000004</v>
      </c>
      <c r="K479" s="50">
        <f>'Fiscal Forecasts'!K$392</f>
        <v>83.323999999999998</v>
      </c>
      <c r="L479" s="48">
        <f ca="1">'Fiscal Forecasts'!L$392+IF(OFFSET(Assumptions!$B$57,0,$C$1)="Yes",SUM(Allocation!C$10:C$20),0)</f>
        <v>87.867999999999995</v>
      </c>
      <c r="M479" s="48">
        <f ca="1">'Fiscal Forecasts'!M$392+IF(OFFSET(Assumptions!$B$57,0,$C$1)="Yes",SUM(Allocation!D$10:D$20),0)</f>
        <v>87.927999999999997</v>
      </c>
      <c r="N479" s="48">
        <f ca="1">'Fiscal Forecasts'!N$392+IF(OFFSET(Assumptions!$B$57,0,$C$1)="Yes",SUM(Allocation!E$10:E$20),0)</f>
        <v>89.748999999999995</v>
      </c>
      <c r="O479" s="48">
        <f ca="1">'Fiscal Forecasts'!O$392+IF(OFFSET(Assumptions!$B$57,0,$C$1)="Yes",SUM(Allocation!F$10:F$20),0)</f>
        <v>91.915999999999997</v>
      </c>
      <c r="P479" s="48">
        <f ca="1">'Fiscal Forecasts'!P$392+IF(OFFSET(Assumptions!$B$57,0,$C$1)="Yes",SUM(Allocation!G$10:G$20),0)</f>
        <v>94.658999999999992</v>
      </c>
      <c r="Q479" s="20">
        <f t="shared" ref="Q479:Z479" ca="1" si="269">SUM(Q$208,Q$223,Q$238)-SUM(Q$219,Q$263,Q$271,Q$273,Q$313,Q$457-P$457,Q$463-P$463)</f>
        <v>102.83561033422278</v>
      </c>
      <c r="R479" s="20">
        <f t="shared" ca="1" si="269"/>
        <v>108.73101029988896</v>
      </c>
      <c r="S479" s="20">
        <f t="shared" ca="1" si="269"/>
        <v>113.86459425758835</v>
      </c>
      <c r="T479" s="20">
        <f t="shared" ca="1" si="269"/>
        <v>119.06598291258258</v>
      </c>
      <c r="U479" s="20">
        <f t="shared" ca="1" si="269"/>
        <v>124.4516569279253</v>
      </c>
      <c r="V479" s="20">
        <f t="shared" ca="1" si="269"/>
        <v>130.048065565298</v>
      </c>
      <c r="W479" s="20">
        <f t="shared" ca="1" si="269"/>
        <v>135.84606499380337</v>
      </c>
      <c r="X479" s="20">
        <f t="shared" ca="1" si="269"/>
        <v>141.88237719294554</v>
      </c>
      <c r="Y479" s="20">
        <f t="shared" ca="1" si="269"/>
        <v>148.1663958990024</v>
      </c>
      <c r="Z479" s="20">
        <f t="shared" ca="1" si="269"/>
        <v>154.74029577151362</v>
      </c>
    </row>
    <row r="480" spans="1:26" x14ac:dyDescent="0.25">
      <c r="A480" s="12" t="s">
        <v>904</v>
      </c>
      <c r="B480" s="14" t="str">
        <f t="shared" si="263"/>
        <v>From Fiscal Forecasts</v>
      </c>
      <c r="D480" s="50">
        <f>'Fiscal Forecasts'!D$393</f>
        <v>3.45</v>
      </c>
      <c r="E480" s="50">
        <f>'Fiscal Forecasts'!E$393</f>
        <v>3.016</v>
      </c>
      <c r="F480" s="50">
        <f>'Fiscal Forecasts'!F$393</f>
        <v>2.6419999999999999</v>
      </c>
      <c r="G480" s="50">
        <f>'Fiscal Forecasts'!G$393</f>
        <v>2.8410000000000002</v>
      </c>
      <c r="H480" s="50">
        <f>'Fiscal Forecasts'!H$393</f>
        <v>5.3049999999999997</v>
      </c>
      <c r="I480" s="50">
        <f>'Fiscal Forecasts'!I$393</f>
        <v>7.0439999999999996</v>
      </c>
      <c r="J480" s="50">
        <f>'Fiscal Forecasts'!J$393</f>
        <v>7.0010000000000003</v>
      </c>
      <c r="K480" s="50">
        <f>'Fiscal Forecasts'!K$393</f>
        <v>7.1029999999999998</v>
      </c>
      <c r="L480" s="48">
        <f>'Fiscal Forecasts'!L$393</f>
        <v>8.2070000000000007</v>
      </c>
      <c r="M480" s="48">
        <f>'Fiscal Forecasts'!M$393</f>
        <v>9.19</v>
      </c>
      <c r="N480" s="48">
        <f>'Fiscal Forecasts'!N$393</f>
        <v>10.423999999999999</v>
      </c>
      <c r="O480" s="48">
        <f>'Fiscal Forecasts'!O$393</f>
        <v>11.253</v>
      </c>
      <c r="P480" s="48">
        <f>'Fiscal Forecasts'!P$393</f>
        <v>11.305</v>
      </c>
      <c r="Q480" s="20">
        <f t="shared" ref="Q480:Z480" ca="1" si="270">(2*P$71-SUM(Q$474:Q$477,Q$488,Q$494)+SUM(Q$478,Q$479,Q$481,Q$493,Q$345-P$345))/(2/Q$235-1)</f>
        <v>13.688314309305426</v>
      </c>
      <c r="R480" s="20">
        <f t="shared" ca="1" si="270"/>
        <v>13.835323175434354</v>
      </c>
      <c r="S480" s="20">
        <f t="shared" ca="1" si="270"/>
        <v>14.040298214296021</v>
      </c>
      <c r="T480" s="20">
        <f t="shared" ca="1" si="270"/>
        <v>14.264849280914238</v>
      </c>
      <c r="U480" s="20">
        <f t="shared" ca="1" si="270"/>
        <v>14.502686446463228</v>
      </c>
      <c r="V480" s="20">
        <f t="shared" ca="1" si="270"/>
        <v>14.667404151710713</v>
      </c>
      <c r="W480" s="20">
        <f t="shared" ca="1" si="270"/>
        <v>14.848533586949101</v>
      </c>
      <c r="X480" s="20">
        <f t="shared" ca="1" si="270"/>
        <v>15.050369532719941</v>
      </c>
      <c r="Y480" s="20">
        <f t="shared" ca="1" si="270"/>
        <v>15.278564401580399</v>
      </c>
      <c r="Z480" s="20">
        <f t="shared" ca="1" si="270"/>
        <v>15.53926004709162</v>
      </c>
    </row>
    <row r="481" spans="1:26" x14ac:dyDescent="0.25">
      <c r="A481" s="12" t="s">
        <v>1185</v>
      </c>
      <c r="D481" s="50">
        <f t="shared" ref="D481:Z481" si="271">SUM(D$246,D$249)</f>
        <v>0</v>
      </c>
      <c r="E481" s="50">
        <f t="shared" si="271"/>
        <v>0</v>
      </c>
      <c r="F481" s="50">
        <f t="shared" si="271"/>
        <v>0</v>
      </c>
      <c r="G481" s="50">
        <f t="shared" si="271"/>
        <v>0</v>
      </c>
      <c r="H481" s="50">
        <f t="shared" si="271"/>
        <v>0</v>
      </c>
      <c r="I481" s="50">
        <f t="shared" si="271"/>
        <v>0</v>
      </c>
      <c r="J481" s="50">
        <f t="shared" si="271"/>
        <v>0</v>
      </c>
      <c r="K481" s="50">
        <f t="shared" si="271"/>
        <v>0</v>
      </c>
      <c r="L481" s="48">
        <f t="shared" ca="1" si="271"/>
        <v>0</v>
      </c>
      <c r="M481" s="48">
        <f t="shared" ca="1" si="271"/>
        <v>0</v>
      </c>
      <c r="N481" s="48">
        <f t="shared" ca="1" si="271"/>
        <v>0</v>
      </c>
      <c r="O481" s="48">
        <f t="shared" ca="1" si="271"/>
        <v>0</v>
      </c>
      <c r="P481" s="48">
        <f t="shared" ca="1" si="271"/>
        <v>0</v>
      </c>
      <c r="Q481" s="20">
        <f t="shared" ca="1" si="271"/>
        <v>0</v>
      </c>
      <c r="R481" s="20">
        <f t="shared" ca="1" si="271"/>
        <v>0</v>
      </c>
      <c r="S481" s="20">
        <f t="shared" ca="1" si="271"/>
        <v>0</v>
      </c>
      <c r="T481" s="20">
        <f t="shared" ca="1" si="271"/>
        <v>0</v>
      </c>
      <c r="U481" s="20">
        <f t="shared" ca="1" si="271"/>
        <v>0</v>
      </c>
      <c r="V481" s="20">
        <f t="shared" ca="1" si="271"/>
        <v>0</v>
      </c>
      <c r="W481" s="20">
        <f t="shared" ca="1" si="271"/>
        <v>0</v>
      </c>
      <c r="X481" s="20">
        <f t="shared" ca="1" si="271"/>
        <v>0</v>
      </c>
      <c r="Y481" s="20">
        <f t="shared" ca="1" si="271"/>
        <v>0</v>
      </c>
      <c r="Z481" s="20">
        <f t="shared" ca="1" si="271"/>
        <v>0</v>
      </c>
    </row>
    <row r="482" spans="1:26" x14ac:dyDescent="0.25">
      <c r="A482" s="11" t="s">
        <v>1406</v>
      </c>
      <c r="D482" s="94">
        <f t="shared" ref="D482:K482" si="272">SUM(D$474:D$477)-SUM(D$478:D$481)</f>
        <v>6.0359999999999872</v>
      </c>
      <c r="E482" s="94">
        <f t="shared" si="272"/>
        <v>-14.308000000000007</v>
      </c>
      <c r="F482" s="94">
        <f t="shared" si="272"/>
        <v>-1.0429999999999779</v>
      </c>
      <c r="G482" s="94">
        <f t="shared" si="272"/>
        <v>-8.1340000000000003</v>
      </c>
      <c r="H482" s="94">
        <f t="shared" si="272"/>
        <v>-3.436000000000007</v>
      </c>
      <c r="I482" s="94">
        <f t="shared" si="272"/>
        <v>-6.1020000000000039</v>
      </c>
      <c r="J482" s="94">
        <f t="shared" si="272"/>
        <v>-1.6799999999999784</v>
      </c>
      <c r="K482" s="94">
        <f t="shared" si="272"/>
        <v>-2.1479999999999961</v>
      </c>
      <c r="L482" s="95">
        <f t="shared" ref="L482:Z482" ca="1" si="273">SUM(L$474:L$477)-SUM(L$478:L$481)</f>
        <v>-7.4720000000000084</v>
      </c>
      <c r="M482" s="95">
        <f t="shared" ca="1" si="273"/>
        <v>0.94400000000004525</v>
      </c>
      <c r="N482" s="95">
        <f t="shared" ca="1" si="273"/>
        <v>6.4279999999999973</v>
      </c>
      <c r="O482" s="95">
        <f t="shared" ca="1" si="273"/>
        <v>10.411999999999978</v>
      </c>
      <c r="P482" s="95">
        <f t="shared" ca="1" si="273"/>
        <v>13.621000000000038</v>
      </c>
      <c r="Q482" s="96">
        <f t="shared" ca="1" si="273"/>
        <v>11.713718777824823</v>
      </c>
      <c r="R482" s="96">
        <f t="shared" ca="1" si="273"/>
        <v>10.251896851572582</v>
      </c>
      <c r="S482" s="96">
        <f t="shared" ca="1" si="273"/>
        <v>9.7292970270412411</v>
      </c>
      <c r="T482" s="96">
        <f t="shared" ca="1" si="273"/>
        <v>9.5281961251262146</v>
      </c>
      <c r="U482" s="96">
        <f t="shared" ca="1" si="273"/>
        <v>9.3668291662591798</v>
      </c>
      <c r="V482" s="96">
        <f t="shared" ca="1" si="273"/>
        <v>9.2937757632356579</v>
      </c>
      <c r="W482" s="96">
        <f t="shared" ca="1" si="273"/>
        <v>9.2306200023739393</v>
      </c>
      <c r="X482" s="96">
        <f t="shared" ca="1" si="273"/>
        <v>9.1432367866678987</v>
      </c>
      <c r="Y482" s="96">
        <f t="shared" ca="1" si="273"/>
        <v>9.0773933043560078</v>
      </c>
      <c r="Z482" s="96">
        <f t="shared" ca="1" si="273"/>
        <v>8.9689605907621512</v>
      </c>
    </row>
    <row r="483" spans="1:26" x14ac:dyDescent="0.25">
      <c r="A483" s="12" t="s">
        <v>1188</v>
      </c>
      <c r="B483" s="14" t="str">
        <f>$B$38</f>
        <v>From Fiscal Forecasts</v>
      </c>
      <c r="D483" s="50">
        <f>-'Fiscal Forecasts'!D$395</f>
        <v>3.0019999999999998</v>
      </c>
      <c r="E483" s="50">
        <f>-'Fiscal Forecasts'!E$395</f>
        <v>2.9550000000000001</v>
      </c>
      <c r="F483" s="50">
        <f>-'Fiscal Forecasts'!F$395</f>
        <v>3.137</v>
      </c>
      <c r="G483" s="50">
        <f>-'Fiscal Forecasts'!G$395</f>
        <v>3.4740000000000002</v>
      </c>
      <c r="H483" s="50">
        <f>-'Fiscal Forecasts'!H$395</f>
        <v>4.4349999999999996</v>
      </c>
      <c r="I483" s="50">
        <f>-'Fiscal Forecasts'!I$395</f>
        <v>4.7009999999999996</v>
      </c>
      <c r="J483" s="50">
        <f>-'Fiscal Forecasts'!J$395</f>
        <v>3.669</v>
      </c>
      <c r="K483" s="50">
        <f>-'Fiscal Forecasts'!K$395</f>
        <v>3.9510000000000001</v>
      </c>
      <c r="L483" s="48">
        <f>-'Fiscal Forecasts'!L$395</f>
        <v>4.55</v>
      </c>
      <c r="M483" s="48">
        <f>-'Fiscal Forecasts'!M$395</f>
        <v>4.2439999999999998</v>
      </c>
      <c r="N483" s="48">
        <f>-'Fiscal Forecasts'!N$395</f>
        <v>3.6379999999999999</v>
      </c>
      <c r="O483" s="48">
        <f>-'Fiscal Forecasts'!O$395</f>
        <v>2.8149999999999999</v>
      </c>
      <c r="P483" s="48">
        <f>-'Fiscal Forecasts'!P$395</f>
        <v>2.7480000000000002</v>
      </c>
      <c r="Q483" s="20">
        <f t="shared" ref="Q483:Z483" ca="1" si="274">SUM(Q$417-P$417,Q$215,Q$427-P$427,Q$219)</f>
        <v>3.158094136181139</v>
      </c>
      <c r="R483" s="20">
        <f t="shared" ca="1" si="274"/>
        <v>3.158094136181139</v>
      </c>
      <c r="S483" s="20">
        <f t="shared" ca="1" si="274"/>
        <v>3.158094136181139</v>
      </c>
      <c r="T483" s="20">
        <f t="shared" ca="1" si="274"/>
        <v>3.158094136181139</v>
      </c>
      <c r="U483" s="20">
        <f t="shared" ca="1" si="274"/>
        <v>3.158094136181139</v>
      </c>
      <c r="V483" s="20">
        <f t="shared" ca="1" si="274"/>
        <v>3.158094136181139</v>
      </c>
      <c r="W483" s="20">
        <f t="shared" ca="1" si="274"/>
        <v>3.158094136181139</v>
      </c>
      <c r="X483" s="20">
        <f t="shared" ca="1" si="274"/>
        <v>3.158094136181139</v>
      </c>
      <c r="Y483" s="20">
        <f t="shared" ca="1" si="274"/>
        <v>3.158094136181139</v>
      </c>
      <c r="Z483" s="20">
        <f t="shared" ca="1" si="274"/>
        <v>3.158094136181139</v>
      </c>
    </row>
    <row r="484" spans="1:26" x14ac:dyDescent="0.25">
      <c r="A484" s="12" t="s">
        <v>1407</v>
      </c>
      <c r="B484" s="14" t="str">
        <f>$B$38</f>
        <v>From Fiscal Forecasts</v>
      </c>
      <c r="D484" s="50">
        <f>-'Fiscal Forecasts'!D$396</f>
        <v>8.5999999999999993E-2</v>
      </c>
      <c r="E484" s="50">
        <f>-'Fiscal Forecasts'!E$396</f>
        <v>1.798</v>
      </c>
      <c r="F484" s="50">
        <f>-'Fiscal Forecasts'!F$396</f>
        <v>3.8679999999999999</v>
      </c>
      <c r="G484" s="50">
        <f>-'Fiscal Forecasts'!G$396</f>
        <v>9.1920000000000002</v>
      </c>
      <c r="H484" s="50">
        <f>-'Fiscal Forecasts'!H$396</f>
        <v>9.1590000000000007</v>
      </c>
      <c r="I484" s="50">
        <f>-'Fiscal Forecasts'!I$396</f>
        <v>2.5329999999999999</v>
      </c>
      <c r="J484" s="50">
        <f>-'Fiscal Forecasts'!J$396</f>
        <v>-6.194</v>
      </c>
      <c r="K484" s="50">
        <f>-'Fiscal Forecasts'!K$396</f>
        <v>-5.851</v>
      </c>
      <c r="L484" s="48">
        <f>-'Fiscal Forecasts'!L$396</f>
        <v>3.1070000000000002</v>
      </c>
      <c r="M484" s="48">
        <f>-'Fiscal Forecasts'!M$396</f>
        <v>2.2669999999999999</v>
      </c>
      <c r="N484" s="48">
        <f>-'Fiscal Forecasts'!N$396</f>
        <v>2.2570000000000001</v>
      </c>
      <c r="O484" s="48">
        <f>-'Fiscal Forecasts'!O$396</f>
        <v>1.9950000000000001</v>
      </c>
      <c r="P484" s="48">
        <f>-'Fiscal Forecasts'!P$396</f>
        <v>0.17799999999999999</v>
      </c>
      <c r="Q484" s="20">
        <f t="shared" ref="Q484:Z484" ca="1" si="275">SUM(Q$392-P$392-Q$404+Q$402,Q$393-P$393)</f>
        <v>0.85843999999999943</v>
      </c>
      <c r="R484" s="20">
        <f t="shared" ca="1" si="275"/>
        <v>0.85572880000000118</v>
      </c>
      <c r="S484" s="20">
        <f t="shared" ca="1" si="275"/>
        <v>0.85222337600000087</v>
      </c>
      <c r="T484" s="20">
        <f t="shared" ca="1" si="275"/>
        <v>0.84592784352000239</v>
      </c>
      <c r="U484" s="20">
        <f t="shared" ca="1" si="275"/>
        <v>0.83984640039040104</v>
      </c>
      <c r="V484" s="20">
        <f t="shared" ca="1" si="275"/>
        <v>0.83698332839820877</v>
      </c>
      <c r="W484" s="20">
        <f t="shared" ca="1" si="275"/>
        <v>0.83434299496617392</v>
      </c>
      <c r="X484" s="20">
        <f t="shared" ca="1" si="275"/>
        <v>0.83592985486549598</v>
      </c>
      <c r="Y484" s="20">
        <f t="shared" ca="1" si="275"/>
        <v>0.84374845196280901</v>
      </c>
      <c r="Z484" s="20">
        <f t="shared" ca="1" si="275"/>
        <v>0.8518034210020613</v>
      </c>
    </row>
    <row r="485" spans="1:26" x14ac:dyDescent="0.25">
      <c r="A485" s="12" t="s">
        <v>1408</v>
      </c>
      <c r="B485" s="14" t="str">
        <f>$B$38</f>
        <v>From Fiscal Forecasts</v>
      </c>
      <c r="D485" s="50">
        <f>-'Fiscal Forecasts'!D$397</f>
        <v>2.6579999999999999</v>
      </c>
      <c r="E485" s="50">
        <f>-'Fiscal Forecasts'!E$397</f>
        <v>3.1709999999999998</v>
      </c>
      <c r="F485" s="50">
        <f>-'Fiscal Forecasts'!F$397</f>
        <v>3.5990000000000002</v>
      </c>
      <c r="G485" s="50">
        <f>-'Fiscal Forecasts'!G$397</f>
        <v>3.823</v>
      </c>
      <c r="H485" s="50">
        <f>-'Fiscal Forecasts'!H$397</f>
        <v>6.06</v>
      </c>
      <c r="I485" s="50">
        <f>-'Fiscal Forecasts'!I$397</f>
        <v>4.3520000000000003</v>
      </c>
      <c r="J485" s="50">
        <f>-'Fiscal Forecasts'!J$397</f>
        <v>5.9619999999999997</v>
      </c>
      <c r="K485" s="50">
        <f>-'Fiscal Forecasts'!K$397</f>
        <v>4.6440000000000001</v>
      </c>
      <c r="L485" s="48">
        <f>-'Fiscal Forecasts'!L$397</f>
        <v>6.3</v>
      </c>
      <c r="M485" s="48">
        <f>-'Fiscal Forecasts'!M$397</f>
        <v>5.4260000000000002</v>
      </c>
      <c r="N485" s="48">
        <f>-'Fiscal Forecasts'!N$397</f>
        <v>3.84</v>
      </c>
      <c r="O485" s="48">
        <f>-'Fiscal Forecasts'!O$397</f>
        <v>2.5550000000000002</v>
      </c>
      <c r="P485" s="48">
        <f>-'Fiscal Forecasts'!P$397</f>
        <v>1.756</v>
      </c>
      <c r="Q485" s="20">
        <f t="shared" ref="Q485:Z485" ca="1" si="276">SUM(Q$423-P$423,-Q$340)</f>
        <v>-1.0435308893054404E-2</v>
      </c>
      <c r="R485" s="20">
        <f t="shared" ca="1" si="276"/>
        <v>-1.0879489201897944E-2</v>
      </c>
      <c r="S485" s="20">
        <f t="shared" ca="1" si="276"/>
        <v>-1.1335437084572445E-2</v>
      </c>
      <c r="T485" s="20">
        <f t="shared" ca="1" si="276"/>
        <v>-1.1802086073035397E-2</v>
      </c>
      <c r="U485" s="20">
        <f t="shared" ca="1" si="276"/>
        <v>-1.2285007456109151E-2</v>
      </c>
      <c r="V485" s="20">
        <f t="shared" ca="1" si="276"/>
        <v>-1.2784372979015064E-2</v>
      </c>
      <c r="W485" s="20">
        <f t="shared" ca="1" si="276"/>
        <v>-1.3297663350946046E-2</v>
      </c>
      <c r="X485" s="20">
        <f t="shared" ca="1" si="276"/>
        <v>-1.3825734358114281E-2</v>
      </c>
      <c r="Y485" s="20">
        <f t="shared" ca="1" si="276"/>
        <v>-1.4371347480635113E-2</v>
      </c>
      <c r="Z485" s="20">
        <f t="shared" ca="1" si="276"/>
        <v>-1.4934643440266305E-2</v>
      </c>
    </row>
    <row r="486" spans="1:26" x14ac:dyDescent="0.25">
      <c r="A486" s="12" t="s">
        <v>1409</v>
      </c>
      <c r="D486" s="50">
        <f t="shared" ref="D486:Z486" si="277">D$380</f>
        <v>1</v>
      </c>
      <c r="E486" s="50">
        <f t="shared" si="277"/>
        <v>1.46</v>
      </c>
      <c r="F486" s="50">
        <f t="shared" si="277"/>
        <v>2.12</v>
      </c>
      <c r="G486" s="50">
        <f t="shared" si="277"/>
        <v>2.42</v>
      </c>
      <c r="H486" s="50">
        <f t="shared" si="277"/>
        <v>2.5579999999999998</v>
      </c>
      <c r="I486" s="50">
        <f t="shared" si="277"/>
        <v>1.6140000000000001</v>
      </c>
      <c r="J486" s="50">
        <f t="shared" si="277"/>
        <v>0.879</v>
      </c>
      <c r="K486" s="50">
        <f t="shared" si="277"/>
        <v>0</v>
      </c>
      <c r="L486" s="48">
        <f t="shared" si="277"/>
        <v>0.56200000000000006</v>
      </c>
      <c r="M486" s="48">
        <f t="shared" si="277"/>
        <v>0.155</v>
      </c>
      <c r="N486" s="48">
        <f t="shared" si="277"/>
        <v>0.35</v>
      </c>
      <c r="O486" s="48">
        <f t="shared" si="277"/>
        <v>0.44900000000000001</v>
      </c>
      <c r="P486" s="48">
        <f t="shared" si="277"/>
        <v>0.47299999999999998</v>
      </c>
      <c r="Q486" s="20">
        <f t="shared" si="277"/>
        <v>0.35431289191672377</v>
      </c>
      <c r="R486" s="20">
        <f t="shared" si="277"/>
        <v>0.22475822866131523</v>
      </c>
      <c r="S486" s="20">
        <f t="shared" si="277"/>
        <v>7.8613672750343255E-2</v>
      </c>
      <c r="T486" s="20">
        <f t="shared" si="277"/>
        <v>-5.8113137154620631E-2</v>
      </c>
      <c r="U486" s="20">
        <f t="shared" si="277"/>
        <v>-0.24914726512719909</v>
      </c>
      <c r="V486" s="20">
        <f t="shared" si="277"/>
        <v>-0.40218976675939189</v>
      </c>
      <c r="W486" s="20">
        <f t="shared" si="277"/>
        <v>-0.48609182297989406</v>
      </c>
      <c r="X486" s="20">
        <f t="shared" si="277"/>
        <v>-0.50053159184796669</v>
      </c>
      <c r="Y486" s="20">
        <f t="shared" si="277"/>
        <v>-0.41817925544185641</v>
      </c>
      <c r="Z486" s="20">
        <f t="shared" si="277"/>
        <v>-0.2592683764618755</v>
      </c>
    </row>
    <row r="487" spans="1:26" x14ac:dyDescent="0.25">
      <c r="A487" s="12" t="s">
        <v>1193</v>
      </c>
      <c r="D487" s="50">
        <f t="shared" ref="D487:Z487" si="278">SUM(D$432-C$432,D$435-C$435)</f>
        <v>0</v>
      </c>
      <c r="E487" s="50">
        <f t="shared" si="278"/>
        <v>0</v>
      </c>
      <c r="F487" s="50">
        <f t="shared" si="278"/>
        <v>0</v>
      </c>
      <c r="G487" s="50">
        <f t="shared" si="278"/>
        <v>0</v>
      </c>
      <c r="H487" s="50">
        <f t="shared" si="278"/>
        <v>0</v>
      </c>
      <c r="I487" s="50">
        <f t="shared" si="278"/>
        <v>0</v>
      </c>
      <c r="J487" s="50">
        <f t="shared" si="278"/>
        <v>0</v>
      </c>
      <c r="K487" s="50">
        <f t="shared" si="278"/>
        <v>0</v>
      </c>
      <c r="L487" s="48">
        <f t="shared" si="278"/>
        <v>-6.0000000000000053E-3</v>
      </c>
      <c r="M487" s="48">
        <f t="shared" si="278"/>
        <v>2.3870000000000005</v>
      </c>
      <c r="N487" s="48">
        <f t="shared" si="278"/>
        <v>3.628000000000001</v>
      </c>
      <c r="O487" s="48">
        <f t="shared" si="278"/>
        <v>4.3800000000000008</v>
      </c>
      <c r="P487" s="48">
        <f t="shared" si="278"/>
        <v>5.168000000000001</v>
      </c>
      <c r="Q487" s="20">
        <f t="shared" ca="1" si="278"/>
        <v>5.0820000000000007</v>
      </c>
      <c r="R487" s="20">
        <f t="shared" ca="1" si="278"/>
        <v>5.3194999999999979</v>
      </c>
      <c r="S487" s="20">
        <f t="shared" ca="1" si="278"/>
        <v>5.4988749999999982</v>
      </c>
      <c r="T487" s="20">
        <f t="shared" ca="1" si="278"/>
        <v>5.5052187499999974</v>
      </c>
      <c r="U487" s="20">
        <f t="shared" ca="1" si="278"/>
        <v>5.780479687499998</v>
      </c>
      <c r="V487" s="20">
        <f t="shared" ca="1" si="278"/>
        <v>6.0695036718750046</v>
      </c>
      <c r="W487" s="20">
        <f t="shared" ca="1" si="278"/>
        <v>6.3729788554687516</v>
      </c>
      <c r="X487" s="20">
        <f t="shared" ca="1" si="278"/>
        <v>6.6916277982421875</v>
      </c>
      <c r="Y487" s="20">
        <f t="shared" ca="1" si="278"/>
        <v>7.0262091881542972</v>
      </c>
      <c r="Z487" s="20">
        <f t="shared" ca="1" si="278"/>
        <v>7.3775196475620106</v>
      </c>
    </row>
    <row r="488" spans="1:26" x14ac:dyDescent="0.25">
      <c r="A488" s="11" t="s">
        <v>1410</v>
      </c>
      <c r="D488" s="94">
        <f t="shared" ref="D488:K488" si="279">-SUM(D$483:D$487)</f>
        <v>-6.7459999999999996</v>
      </c>
      <c r="E488" s="94">
        <f t="shared" si="279"/>
        <v>-9.3840000000000003</v>
      </c>
      <c r="F488" s="94">
        <f t="shared" si="279"/>
        <v>-12.724</v>
      </c>
      <c r="G488" s="94">
        <f t="shared" si="279"/>
        <v>-18.908999999999999</v>
      </c>
      <c r="H488" s="94">
        <f t="shared" si="279"/>
        <v>-22.212</v>
      </c>
      <c r="I488" s="94">
        <f t="shared" si="279"/>
        <v>-13.200000000000001</v>
      </c>
      <c r="J488" s="94">
        <f t="shared" si="279"/>
        <v>-4.3159999999999998</v>
      </c>
      <c r="K488" s="94">
        <f t="shared" si="279"/>
        <v>-2.7440000000000002</v>
      </c>
      <c r="L488" s="95">
        <f>-SUM(L$483:L$487)</f>
        <v>-14.513</v>
      </c>
      <c r="M488" s="95">
        <f>-SUM(M$483:M$487)</f>
        <v>-14.478999999999999</v>
      </c>
      <c r="N488" s="95">
        <f>-SUM(N$483:N$487)</f>
        <v>-13.713000000000001</v>
      </c>
      <c r="O488" s="95">
        <f>-SUM(O$483:O$487)</f>
        <v>-12.194000000000001</v>
      </c>
      <c r="P488" s="95">
        <f>-SUM(P$483:P$487)</f>
        <v>-10.323</v>
      </c>
      <c r="Q488" s="96">
        <f t="shared" ref="Q488:Z488" ca="1" si="280">-SUM(Q$483:Q$487)</f>
        <v>-9.4424117192048094</v>
      </c>
      <c r="R488" s="96">
        <f t="shared" ca="1" si="280"/>
        <v>-9.5472016756405544</v>
      </c>
      <c r="S488" s="96">
        <f t="shared" ca="1" si="280"/>
        <v>-9.5764707478469084</v>
      </c>
      <c r="T488" s="96">
        <f t="shared" ca="1" si="280"/>
        <v>-9.4393255064734838</v>
      </c>
      <c r="U488" s="96">
        <f t="shared" ca="1" si="280"/>
        <v>-9.516987951488229</v>
      </c>
      <c r="V488" s="96">
        <f t="shared" ca="1" si="280"/>
        <v>-9.6496069967159457</v>
      </c>
      <c r="W488" s="96">
        <f t="shared" ca="1" si="280"/>
        <v>-9.8660265002852245</v>
      </c>
      <c r="X488" s="96">
        <f t="shared" ca="1" si="280"/>
        <v>-10.171294463082742</v>
      </c>
      <c r="Y488" s="96">
        <f t="shared" ca="1" si="280"/>
        <v>-10.595501173375753</v>
      </c>
      <c r="Z488" s="96">
        <f t="shared" ca="1" si="280"/>
        <v>-11.11321418484307</v>
      </c>
    </row>
    <row r="489" spans="1:26" x14ac:dyDescent="0.25">
      <c r="A489" s="11" t="s">
        <v>1411</v>
      </c>
      <c r="D489" s="94">
        <f t="shared" ref="D489:Z489" si="281">SUM(D$482,D$488)</f>
        <v>-0.7100000000000124</v>
      </c>
      <c r="E489" s="94">
        <f t="shared" si="281"/>
        <v>-23.692000000000007</v>
      </c>
      <c r="F489" s="94">
        <f t="shared" si="281"/>
        <v>-13.766999999999978</v>
      </c>
      <c r="G489" s="94">
        <f t="shared" si="281"/>
        <v>-27.042999999999999</v>
      </c>
      <c r="H489" s="94">
        <f t="shared" si="281"/>
        <v>-25.648000000000007</v>
      </c>
      <c r="I489" s="94">
        <f t="shared" si="281"/>
        <v>-19.302000000000007</v>
      </c>
      <c r="J489" s="94">
        <f t="shared" si="281"/>
        <v>-5.9959999999999782</v>
      </c>
      <c r="K489" s="94">
        <f t="shared" si="281"/>
        <v>-4.8919999999999959</v>
      </c>
      <c r="L489" s="95">
        <f t="shared" ca="1" si="281"/>
        <v>-21.985000000000007</v>
      </c>
      <c r="M489" s="95">
        <f t="shared" ca="1" si="281"/>
        <v>-13.534999999999954</v>
      </c>
      <c r="N489" s="95">
        <f t="shared" ca="1" si="281"/>
        <v>-7.2850000000000037</v>
      </c>
      <c r="O489" s="95">
        <f t="shared" ca="1" si="281"/>
        <v>-1.7820000000000231</v>
      </c>
      <c r="P489" s="95">
        <f t="shared" ca="1" si="281"/>
        <v>3.2980000000000373</v>
      </c>
      <c r="Q489" s="96">
        <f t="shared" ca="1" si="281"/>
        <v>2.2713070586200139</v>
      </c>
      <c r="R489" s="96">
        <f t="shared" ca="1" si="281"/>
        <v>0.70469517593202724</v>
      </c>
      <c r="S489" s="96">
        <f t="shared" ca="1" si="281"/>
        <v>0.15282627919433267</v>
      </c>
      <c r="T489" s="96">
        <f t="shared" ca="1" si="281"/>
        <v>8.8870618652730826E-2</v>
      </c>
      <c r="U489" s="96">
        <f t="shared" ca="1" si="281"/>
        <v>-0.15015878522904913</v>
      </c>
      <c r="V489" s="96">
        <f t="shared" ca="1" si="281"/>
        <v>-0.35583123348028778</v>
      </c>
      <c r="W489" s="96">
        <f t="shared" ca="1" si="281"/>
        <v>-0.63540649791128523</v>
      </c>
      <c r="X489" s="96">
        <f t="shared" ca="1" si="281"/>
        <v>-1.0280576764148428</v>
      </c>
      <c r="Y489" s="96">
        <f t="shared" ca="1" si="281"/>
        <v>-1.5181078690197456</v>
      </c>
      <c r="Z489" s="96">
        <f t="shared" ca="1" si="281"/>
        <v>-2.1442535940809186</v>
      </c>
    </row>
    <row r="490" spans="1:26" x14ac:dyDescent="0.25">
      <c r="A490" s="11" t="s">
        <v>1412</v>
      </c>
      <c r="B490" s="14" t="str">
        <f>$B$62</f>
        <v>Projected Years only</v>
      </c>
      <c r="Q490" s="97" t="str">
        <f t="shared" ref="Q490:Z490" ca="1" si="282">IF(ROUND(SUM(Q$489,Q$78-P$78,Q$494),3)=0,"OK","ERROR")</f>
        <v>OK</v>
      </c>
      <c r="R490" s="97" t="str">
        <f t="shared" ca="1" si="282"/>
        <v>OK</v>
      </c>
      <c r="S490" s="97" t="str">
        <f t="shared" ca="1" si="282"/>
        <v>OK</v>
      </c>
      <c r="T490" s="97" t="str">
        <f t="shared" ca="1" si="282"/>
        <v>OK</v>
      </c>
      <c r="U490" s="97" t="str">
        <f t="shared" ca="1" si="282"/>
        <v>OK</v>
      </c>
      <c r="V490" s="97" t="str">
        <f t="shared" ca="1" si="282"/>
        <v>OK</v>
      </c>
      <c r="W490" s="97" t="str">
        <f t="shared" ca="1" si="282"/>
        <v>OK</v>
      </c>
      <c r="X490" s="97" t="str">
        <f t="shared" ca="1" si="282"/>
        <v>OK</v>
      </c>
      <c r="Y490" s="97" t="str">
        <f t="shared" ca="1" si="282"/>
        <v>OK</v>
      </c>
      <c r="Z490" s="97" t="str">
        <f t="shared" ca="1" si="282"/>
        <v>OK</v>
      </c>
    </row>
    <row r="491" spans="1:26" x14ac:dyDescent="0.25">
      <c r="A491" s="11"/>
    </row>
    <row r="492" spans="1:26" x14ac:dyDescent="0.25">
      <c r="A492" s="11" t="s">
        <v>1123</v>
      </c>
      <c r="B492" s="14" t="str">
        <f>$B$38</f>
        <v>From Fiscal Forecasts</v>
      </c>
      <c r="D492" s="51">
        <f>'Fiscal Forecasts'!D$401</f>
        <v>-4.9580000000000002</v>
      </c>
      <c r="E492" s="51">
        <f>'Fiscal Forecasts'!E$401</f>
        <v>33.061999999999998</v>
      </c>
      <c r="F492" s="51">
        <f>'Fiscal Forecasts'!F$401</f>
        <v>3.8090000000000002</v>
      </c>
      <c r="G492" s="51">
        <f>'Fiscal Forecasts'!G$401</f>
        <v>28.693999999999999</v>
      </c>
      <c r="H492" s="51">
        <f>'Fiscal Forecasts'!H$401</f>
        <v>22.715</v>
      </c>
      <c r="I492" s="51">
        <f>'Fiscal Forecasts'!I$401</f>
        <v>25.202999999999999</v>
      </c>
      <c r="J492" s="51">
        <f>'Fiscal Forecasts'!J$401</f>
        <v>21.693999999999999</v>
      </c>
      <c r="K492" s="51">
        <f>'Fiscal Forecasts'!K$401</f>
        <v>11.654</v>
      </c>
      <c r="L492" s="47">
        <f>'Fiscal Forecasts'!L$401</f>
        <v>18.459</v>
      </c>
      <c r="M492" s="47">
        <f>'Fiscal Forecasts'!M$401</f>
        <v>14.315</v>
      </c>
      <c r="N492" s="47">
        <f>'Fiscal Forecasts'!N$401</f>
        <v>8.83</v>
      </c>
      <c r="O492" s="47">
        <f>'Fiscal Forecasts'!O$401</f>
        <v>1.5569999999999999</v>
      </c>
      <c r="P492" s="47">
        <f>'Fiscal Forecasts'!P$401</f>
        <v>-5.915</v>
      </c>
      <c r="Q492" s="21">
        <f t="shared" ref="Q492:Z492" ca="1" si="283">-SUM(Q$482,Q$488,Q$496)</f>
        <v>0.31616181075474348</v>
      </c>
      <c r="R492" s="21">
        <f t="shared" ca="1" si="283"/>
        <v>1.9355827086196253</v>
      </c>
      <c r="S492" s="21">
        <f t="shared" ca="1" si="283"/>
        <v>2.5587514708205097</v>
      </c>
      <c r="T492" s="21">
        <f t="shared" ca="1" si="283"/>
        <v>2.6870846859222919</v>
      </c>
      <c r="U492" s="21">
        <f t="shared" ca="1" si="283"/>
        <v>3.0261342753914136</v>
      </c>
      <c r="V492" s="21">
        <f t="shared" ca="1" si="283"/>
        <v>3.3328416484540524</v>
      </c>
      <c r="W492" s="21">
        <f t="shared" ca="1" si="283"/>
        <v>3.6972077685066633</v>
      </c>
      <c r="X492" s="21">
        <f t="shared" ca="1" si="283"/>
        <v>4.1800476601291985</v>
      </c>
      <c r="Y492" s="21">
        <f t="shared" ca="1" si="283"/>
        <v>4.7779034546461583</v>
      </c>
      <c r="Z492" s="21">
        <f t="shared" ca="1" si="283"/>
        <v>5.512663432599143</v>
      </c>
    </row>
    <row r="493" spans="1:26" x14ac:dyDescent="0.25">
      <c r="A493" s="12" t="s">
        <v>1413</v>
      </c>
      <c r="B493" s="14" t="str">
        <f>$B$38</f>
        <v>From Fiscal Forecasts</v>
      </c>
      <c r="D493" s="50">
        <f>-'Fiscal Forecasts'!D$402</f>
        <v>-5.1630000000000003</v>
      </c>
      <c r="E493" s="50">
        <f>-'Fiscal Forecasts'!E$402</f>
        <v>14.911</v>
      </c>
      <c r="F493" s="50">
        <f>-'Fiscal Forecasts'!F$402</f>
        <v>-6.0419999999999998</v>
      </c>
      <c r="G493" s="50">
        <f>-'Fiscal Forecasts'!G$402</f>
        <v>2.8000000000000001E-2</v>
      </c>
      <c r="H493" s="50">
        <f>-'Fiscal Forecasts'!H$402</f>
        <v>-2.7749999999999999</v>
      </c>
      <c r="I493" s="50">
        <f>-'Fiscal Forecasts'!I$402</f>
        <v>8.4169999999999998</v>
      </c>
      <c r="J493" s="50">
        <f>-'Fiscal Forecasts'!J$402</f>
        <v>8.8219999999999992</v>
      </c>
      <c r="K493" s="50">
        <f>-'Fiscal Forecasts'!K$402</f>
        <v>3.7349999999999999</v>
      </c>
      <c r="L493" s="48">
        <f>-'Fiscal Forecasts'!L$402</f>
        <v>-3.702</v>
      </c>
      <c r="M493" s="48">
        <f>-'Fiscal Forecasts'!M$402</f>
        <v>0.80700000000000005</v>
      </c>
      <c r="N493" s="48">
        <f>-'Fiscal Forecasts'!N$402</f>
        <v>1.5580000000000001</v>
      </c>
      <c r="O493" s="48">
        <f>-'Fiscal Forecasts'!O$402</f>
        <v>-0.224</v>
      </c>
      <c r="P493" s="48">
        <f>-'Fiscal Forecasts'!P$402</f>
        <v>-2.6150000000000002</v>
      </c>
      <c r="Q493" s="20">
        <f t="shared" ref="Q493:Z493" ca="1" si="284">SUM(Q$358-P$358,Q$367-P$367)</f>
        <v>2.0244344787687387</v>
      </c>
      <c r="R493" s="20">
        <f t="shared" ca="1" si="284"/>
        <v>2.0656916188983576</v>
      </c>
      <c r="S493" s="20">
        <f t="shared" ca="1" si="284"/>
        <v>2.1204175447294125</v>
      </c>
      <c r="T493" s="20">
        <f t="shared" ca="1" si="284"/>
        <v>2.1701837862760112</v>
      </c>
      <c r="U493" s="20">
        <f t="shared" ca="1" si="284"/>
        <v>2.2458596964811601</v>
      </c>
      <c r="V493" s="20">
        <f t="shared" ca="1" si="284"/>
        <v>2.322334319860393</v>
      </c>
      <c r="W493" s="20">
        <f t="shared" ca="1" si="284"/>
        <v>2.3870928049909033</v>
      </c>
      <c r="X493" s="20">
        <f t="shared" ca="1" si="284"/>
        <v>2.4558311838062084</v>
      </c>
      <c r="Y493" s="20">
        <f t="shared" ca="1" si="284"/>
        <v>2.5374120192015353</v>
      </c>
      <c r="Z493" s="20">
        <f t="shared" ca="1" si="284"/>
        <v>2.6196472909818569</v>
      </c>
    </row>
    <row r="494" spans="1:26" x14ac:dyDescent="0.25">
      <c r="A494" s="12" t="s">
        <v>914</v>
      </c>
      <c r="D494" s="50">
        <f t="shared" ref="D494:Z494" si="285">D$107</f>
        <v>0.437</v>
      </c>
      <c r="E494" s="50">
        <f t="shared" si="285"/>
        <v>1.2090000000000001</v>
      </c>
      <c r="F494" s="50">
        <f t="shared" si="285"/>
        <v>0.23400000000000001</v>
      </c>
      <c r="G494" s="50">
        <f t="shared" si="285"/>
        <v>0.80500000000000005</v>
      </c>
      <c r="H494" s="50">
        <f t="shared" si="285"/>
        <v>-5.8999999999999997E-2</v>
      </c>
      <c r="I494" s="50">
        <f t="shared" si="285"/>
        <v>-2.4E-2</v>
      </c>
      <c r="J494" s="50">
        <f t="shared" si="285"/>
        <v>0.17499999999999999</v>
      </c>
      <c r="K494" s="50">
        <f t="shared" si="285"/>
        <v>1.1100000000000001</v>
      </c>
      <c r="L494" s="48">
        <f t="shared" si="285"/>
        <v>-0.45600000000000002</v>
      </c>
      <c r="M494" s="48">
        <f t="shared" si="285"/>
        <v>9.8000000000000004E-2</v>
      </c>
      <c r="N494" s="48">
        <f t="shared" si="285"/>
        <v>9.9000000000000005E-2</v>
      </c>
      <c r="O494" s="48">
        <f t="shared" si="285"/>
        <v>0.1</v>
      </c>
      <c r="P494" s="48">
        <f t="shared" si="285"/>
        <v>0.10100000000000001</v>
      </c>
      <c r="Q494" s="20">
        <f t="shared" ca="1" si="285"/>
        <v>0.20407999999999937</v>
      </c>
      <c r="R494" s="20">
        <f t="shared" ca="1" si="285"/>
        <v>0.20816160000000039</v>
      </c>
      <c r="S494" s="20">
        <f t="shared" ca="1" si="285"/>
        <v>0.21232483200000019</v>
      </c>
      <c r="T494" s="20">
        <f t="shared" ca="1" si="285"/>
        <v>0.21657132864000062</v>
      </c>
      <c r="U494" s="20">
        <f t="shared" ca="1" si="285"/>
        <v>0.22090275521279956</v>
      </c>
      <c r="V494" s="20">
        <f t="shared" ca="1" si="285"/>
        <v>0.22532081031705609</v>
      </c>
      <c r="W494" s="20">
        <f t="shared" ca="1" si="285"/>
        <v>0.2298272265233976</v>
      </c>
      <c r="X494" s="20">
        <f t="shared" ca="1" si="285"/>
        <v>0.23442377105386569</v>
      </c>
      <c r="Y494" s="20">
        <f t="shared" ca="1" si="285"/>
        <v>0.23911224647494222</v>
      </c>
      <c r="Z494" s="20">
        <f t="shared" ca="1" si="285"/>
        <v>0.24389449140444164</v>
      </c>
    </row>
    <row r="495" spans="1:26" x14ac:dyDescent="0.25">
      <c r="A495" s="12" t="s">
        <v>921</v>
      </c>
      <c r="B495" s="14" t="str">
        <f>$B$38</f>
        <v>From Fiscal Forecasts</v>
      </c>
      <c r="D495" s="50">
        <f>-'Fiscal Forecasts'!D$403</f>
        <v>-6.8000000000000005E-2</v>
      </c>
      <c r="E495" s="50">
        <f>-'Fiscal Forecasts'!E$403</f>
        <v>-4.3319999999999999</v>
      </c>
      <c r="F495" s="50">
        <f>-'Fiscal Forecasts'!F$403</f>
        <v>-3.6819999999999999</v>
      </c>
      <c r="G495" s="50">
        <f>-'Fiscal Forecasts'!G$403</f>
        <v>2.4279999999999999</v>
      </c>
      <c r="H495" s="50">
        <f>-'Fiscal Forecasts'!H$403</f>
        <v>-0.217</v>
      </c>
      <c r="I495" s="50">
        <f>-'Fiscal Forecasts'!I$403</f>
        <v>-2.54</v>
      </c>
      <c r="J495" s="50">
        <f>-'Fiscal Forecasts'!J$403</f>
        <v>7.0510000000000002</v>
      </c>
      <c r="K495" s="50">
        <f>-'Fiscal Forecasts'!K$403</f>
        <v>4.1369999999999996</v>
      </c>
      <c r="L495" s="48">
        <f>-'Fiscal Forecasts'!L$403</f>
        <v>-0.28000000000000003</v>
      </c>
      <c r="M495" s="48">
        <f>-'Fiscal Forecasts'!M$403</f>
        <v>7.0999999999999994E-2</v>
      </c>
      <c r="N495" s="48">
        <f>-'Fiscal Forecasts'!N$403</f>
        <v>8.5999999999999993E-2</v>
      </c>
      <c r="O495" s="48">
        <f>-'Fiscal Forecasts'!O$403</f>
        <v>9.9000000000000005E-2</v>
      </c>
      <c r="P495" s="48">
        <f>-'Fiscal Forecasts'!P$403</f>
        <v>9.9000000000000005E-2</v>
      </c>
      <c r="Q495" s="20">
        <f t="shared" ref="Q495:Z495" ca="1" si="286">Q$345-P$345</f>
        <v>0.76711439060601805</v>
      </c>
      <c r="R495" s="20">
        <f t="shared" ca="1" si="286"/>
        <v>0.78274786565329535</v>
      </c>
      <c r="S495" s="20">
        <f t="shared" ca="1" si="286"/>
        <v>0.80348503728543008</v>
      </c>
      <c r="T495" s="20">
        <f t="shared" ca="1" si="286"/>
        <v>0.82234284693901216</v>
      </c>
      <c r="U495" s="20">
        <f t="shared" ca="1" si="286"/>
        <v>0.85101854889400386</v>
      </c>
      <c r="V495" s="20">
        <f t="shared" ca="1" si="286"/>
        <v>0.87999690543042774</v>
      </c>
      <c r="W495" s="20">
        <f t="shared" ca="1" si="286"/>
        <v>0.90453569212787244</v>
      </c>
      <c r="X495" s="20">
        <f t="shared" ca="1" si="286"/>
        <v>0.93058257096201302</v>
      </c>
      <c r="Y495" s="20">
        <f t="shared" ca="1" si="286"/>
        <v>0.96149581289981967</v>
      </c>
      <c r="Z495" s="20">
        <f t="shared" ca="1" si="286"/>
        <v>0.99265703894080914</v>
      </c>
    </row>
    <row r="496" spans="1:26" x14ac:dyDescent="0.25">
      <c r="A496" s="11" t="s">
        <v>1414</v>
      </c>
      <c r="D496" s="94">
        <f t="shared" ref="D496:Z496" si="287">SUM(-D$493,D$494,-D$495)</f>
        <v>5.6680000000000001</v>
      </c>
      <c r="E496" s="94">
        <f t="shared" si="287"/>
        <v>-9.370000000000001</v>
      </c>
      <c r="F496" s="94">
        <f t="shared" si="287"/>
        <v>9.9580000000000002</v>
      </c>
      <c r="G496" s="94">
        <f t="shared" si="287"/>
        <v>-1.6509999999999998</v>
      </c>
      <c r="H496" s="94">
        <f t="shared" si="287"/>
        <v>2.9329999999999998</v>
      </c>
      <c r="I496" s="94">
        <f t="shared" si="287"/>
        <v>-5.9009999999999989</v>
      </c>
      <c r="J496" s="94">
        <f t="shared" si="287"/>
        <v>-15.697999999999999</v>
      </c>
      <c r="K496" s="94">
        <f t="shared" si="287"/>
        <v>-6.7619999999999996</v>
      </c>
      <c r="L496" s="95">
        <f t="shared" si="287"/>
        <v>3.5259999999999998</v>
      </c>
      <c r="M496" s="95">
        <f t="shared" si="287"/>
        <v>-0.78</v>
      </c>
      <c r="N496" s="95">
        <f t="shared" si="287"/>
        <v>-1.5450000000000002</v>
      </c>
      <c r="O496" s="95">
        <f t="shared" si="287"/>
        <v>0.22500000000000001</v>
      </c>
      <c r="P496" s="95">
        <f t="shared" si="287"/>
        <v>2.617</v>
      </c>
      <c r="Q496" s="96">
        <f t="shared" ca="1" si="287"/>
        <v>-2.5874688693747574</v>
      </c>
      <c r="R496" s="96">
        <f t="shared" ca="1" si="287"/>
        <v>-2.6402778845516526</v>
      </c>
      <c r="S496" s="96">
        <f t="shared" ca="1" si="287"/>
        <v>-2.7115777500148424</v>
      </c>
      <c r="T496" s="96">
        <f t="shared" ca="1" si="287"/>
        <v>-2.7759553045750227</v>
      </c>
      <c r="U496" s="96">
        <f t="shared" ca="1" si="287"/>
        <v>-2.8759754901623644</v>
      </c>
      <c r="V496" s="96">
        <f t="shared" ca="1" si="287"/>
        <v>-2.9770104149737646</v>
      </c>
      <c r="W496" s="96">
        <f t="shared" ca="1" si="287"/>
        <v>-3.0618012705953781</v>
      </c>
      <c r="X496" s="96">
        <f t="shared" ca="1" si="287"/>
        <v>-3.1519899837143557</v>
      </c>
      <c r="Y496" s="96">
        <f t="shared" ca="1" si="287"/>
        <v>-3.2597955856264127</v>
      </c>
      <c r="Z496" s="96">
        <f t="shared" ca="1" si="287"/>
        <v>-3.3684098385182244</v>
      </c>
    </row>
    <row r="497" spans="1:26" x14ac:dyDescent="0.25">
      <c r="A497" s="11" t="s">
        <v>1415</v>
      </c>
      <c r="D497" s="97" t="str">
        <f t="shared" ref="D497:Z497" si="288">IF(ROUND(SUM(D$489,D$492,D$496),3)=0,"OK","ERROR")</f>
        <v>OK</v>
      </c>
      <c r="E497" s="97" t="str">
        <f t="shared" si="288"/>
        <v>OK</v>
      </c>
      <c r="F497" s="97" t="str">
        <f t="shared" si="288"/>
        <v>OK</v>
      </c>
      <c r="G497" s="97" t="str">
        <f t="shared" si="288"/>
        <v>OK</v>
      </c>
      <c r="H497" s="97" t="str">
        <f t="shared" si="288"/>
        <v>OK</v>
      </c>
      <c r="I497" s="97" t="str">
        <f t="shared" si="288"/>
        <v>OK</v>
      </c>
      <c r="J497" s="97" t="str">
        <f t="shared" si="288"/>
        <v>OK</v>
      </c>
      <c r="K497" s="97" t="str">
        <f t="shared" si="288"/>
        <v>OK</v>
      </c>
      <c r="L497" s="97" t="str">
        <f t="shared" ca="1" si="288"/>
        <v>OK</v>
      </c>
      <c r="M497" s="97" t="str">
        <f t="shared" ca="1" si="288"/>
        <v>OK</v>
      </c>
      <c r="N497" s="97" t="str">
        <f t="shared" ca="1" si="288"/>
        <v>OK</v>
      </c>
      <c r="O497" s="97" t="str">
        <f t="shared" ca="1" si="288"/>
        <v>OK</v>
      </c>
      <c r="P497" s="97" t="str">
        <f t="shared" ca="1" si="288"/>
        <v>OK</v>
      </c>
      <c r="Q497" s="97" t="str">
        <f t="shared" ca="1" si="288"/>
        <v>OK</v>
      </c>
      <c r="R497" s="97" t="str">
        <f t="shared" ca="1" si="288"/>
        <v>OK</v>
      </c>
      <c r="S497" s="97" t="str">
        <f t="shared" ca="1" si="288"/>
        <v>OK</v>
      </c>
      <c r="T497" s="97" t="str">
        <f t="shared" ca="1" si="288"/>
        <v>OK</v>
      </c>
      <c r="U497" s="97" t="str">
        <f t="shared" ca="1" si="288"/>
        <v>OK</v>
      </c>
      <c r="V497" s="97" t="str">
        <f t="shared" ca="1" si="288"/>
        <v>OK</v>
      </c>
      <c r="W497" s="97" t="str">
        <f t="shared" ca="1" si="288"/>
        <v>OK</v>
      </c>
      <c r="X497" s="97" t="str">
        <f t="shared" ca="1" si="288"/>
        <v>OK</v>
      </c>
      <c r="Y497" s="97" t="str">
        <f t="shared" ca="1" si="288"/>
        <v>OK</v>
      </c>
      <c r="Z497" s="97" t="str">
        <f t="shared" ca="1" si="288"/>
        <v>OK</v>
      </c>
    </row>
    <row r="499" spans="1:26" x14ac:dyDescent="0.25">
      <c r="A499" s="57" t="s">
        <v>1416</v>
      </c>
      <c r="B499" s="14" t="str">
        <f>$B$62</f>
        <v>Projected Years only</v>
      </c>
    </row>
    <row r="500" spans="1:26" x14ac:dyDescent="0.25">
      <c r="A500" s="12" t="s">
        <v>1417</v>
      </c>
      <c r="Q500" s="20">
        <f t="shared" ref="Q500:Z500" ca="1" si="289">Q$482-Q$376+Q$375-Q$377</f>
        <v>11.931283806184531</v>
      </c>
      <c r="R500" s="20">
        <f t="shared" ca="1" si="289"/>
        <v>10.482813028564381</v>
      </c>
      <c r="S500" s="20">
        <f t="shared" ca="1" si="289"/>
        <v>9.9741178638416894</v>
      </c>
      <c r="T500" s="20">
        <f t="shared" ca="1" si="289"/>
        <v>9.7874996041822104</v>
      </c>
      <c r="U500" s="20">
        <f t="shared" ca="1" si="289"/>
        <v>9.6411940236321438</v>
      </c>
      <c r="V500" s="20">
        <f t="shared" ca="1" si="289"/>
        <v>9.5837935977983069</v>
      </c>
      <c r="W500" s="20">
        <f t="shared" ca="1" si="289"/>
        <v>9.5370065939116255</v>
      </c>
      <c r="X500" s="20">
        <f t="shared" ca="1" si="289"/>
        <v>9.4668688234673439</v>
      </c>
      <c r="Y500" s="20">
        <f t="shared" ca="1" si="289"/>
        <v>9.4193394125490304</v>
      </c>
      <c r="Z500" s="20">
        <f t="shared" ca="1" si="289"/>
        <v>9.3305025226414955</v>
      </c>
    </row>
    <row r="501" spans="1:26" x14ac:dyDescent="0.25">
      <c r="A501" s="12" t="s">
        <v>1418</v>
      </c>
      <c r="Q501" s="20">
        <f t="shared" ref="Q501:Z501" ca="1" si="290">Q$488+Q$486-Q$493-SUM(Q$357-P$357,Q$366-P$366,Q$388-P$388,Q$391-P$391,-Q$331)</f>
        <v>-11.657439894115708</v>
      </c>
      <c r="R501" s="20">
        <f t="shared" ca="1" si="290"/>
        <v>-11.897556093088568</v>
      </c>
      <c r="S501" s="20">
        <f t="shared" ca="1" si="290"/>
        <v>-11.99764372743233</v>
      </c>
      <c r="T501" s="20">
        <f t="shared" ca="1" si="290"/>
        <v>-11.927128013614656</v>
      </c>
      <c r="U501" s="20">
        <f t="shared" ca="1" si="290"/>
        <v>-12.097682834852185</v>
      </c>
      <c r="V501" s="20">
        <f t="shared" ca="1" si="290"/>
        <v>-12.32496792281056</v>
      </c>
      <c r="W501" s="20">
        <f t="shared" ca="1" si="290"/>
        <v>-12.625669086098041</v>
      </c>
      <c r="X501" s="20">
        <f t="shared" ca="1" si="290"/>
        <v>-13.020729802903272</v>
      </c>
      <c r="Y501" s="20">
        <f t="shared" ca="1" si="290"/>
        <v>-13.549517746834924</v>
      </c>
      <c r="Z501" s="20">
        <f t="shared" ca="1" si="290"/>
        <v>-14.174540975802103</v>
      </c>
    </row>
    <row r="502" spans="1:26" x14ac:dyDescent="0.25">
      <c r="A502" s="12" t="s">
        <v>914</v>
      </c>
      <c r="Q502" s="20">
        <f t="shared" ref="Q502:Z502" ca="1" si="291">Q$494</f>
        <v>0.20407999999999937</v>
      </c>
      <c r="R502" s="20">
        <f t="shared" ca="1" si="291"/>
        <v>0.20816160000000039</v>
      </c>
      <c r="S502" s="20">
        <f t="shared" ca="1" si="291"/>
        <v>0.21232483200000019</v>
      </c>
      <c r="T502" s="20">
        <f t="shared" ca="1" si="291"/>
        <v>0.21657132864000062</v>
      </c>
      <c r="U502" s="20">
        <f t="shared" ca="1" si="291"/>
        <v>0.22090275521279956</v>
      </c>
      <c r="V502" s="20">
        <f t="shared" ca="1" si="291"/>
        <v>0.22532081031705609</v>
      </c>
      <c r="W502" s="20">
        <f t="shared" ca="1" si="291"/>
        <v>0.2298272265233976</v>
      </c>
      <c r="X502" s="20">
        <f t="shared" ca="1" si="291"/>
        <v>0.23442377105386569</v>
      </c>
      <c r="Y502" s="20">
        <f t="shared" ca="1" si="291"/>
        <v>0.23911224647494222</v>
      </c>
      <c r="Z502" s="20">
        <f t="shared" ca="1" si="291"/>
        <v>0.24389449140444164</v>
      </c>
    </row>
    <row r="503" spans="1:26" x14ac:dyDescent="0.25">
      <c r="A503" s="12" t="s">
        <v>1419</v>
      </c>
      <c r="Q503" s="20">
        <f t="shared" ref="Q503:Z503" ca="1" si="292">SUM(Q$495,Q$344-P$344)-SUM(Q$500:Q$502)</f>
        <v>0.49400736222934682</v>
      </c>
      <c r="R503" s="20">
        <f t="shared" ca="1" si="292"/>
        <v>2.2245739400969531</v>
      </c>
      <c r="S503" s="20">
        <f t="shared" ca="1" si="292"/>
        <v>2.8595072747340673</v>
      </c>
      <c r="T503" s="20">
        <f t="shared" ca="1" si="292"/>
        <v>3.0006410185041119</v>
      </c>
      <c r="U503" s="20">
        <f t="shared" ca="1" si="292"/>
        <v>3.3512783400108823</v>
      </c>
      <c r="V503" s="20">
        <f t="shared" ca="1" si="292"/>
        <v>3.67163471100318</v>
      </c>
      <c r="W503" s="20">
        <f t="shared" ca="1" si="292"/>
        <v>4.0529618791002546</v>
      </c>
      <c r="X503" s="20">
        <f t="shared" ca="1" si="292"/>
        <v>4.556282078495868</v>
      </c>
      <c r="Y503" s="20">
        <f t="shared" ca="1" si="292"/>
        <v>5.1793358729644412</v>
      </c>
      <c r="Z503" s="20">
        <f t="shared" ca="1" si="292"/>
        <v>5.9435566463662246</v>
      </c>
    </row>
    <row r="504" spans="1:26" x14ac:dyDescent="0.25">
      <c r="A504" s="11" t="s">
        <v>1420</v>
      </c>
      <c r="Q504" s="96">
        <f t="shared" ref="Q504:Z504" ca="1" si="293">SUM(Q$500:Q$503)</f>
        <v>0.97193127429816961</v>
      </c>
      <c r="R504" s="96">
        <f t="shared" ca="1" si="293"/>
        <v>1.017992475572767</v>
      </c>
      <c r="S504" s="96">
        <f t="shared" ca="1" si="293"/>
        <v>1.0483062431434274</v>
      </c>
      <c r="T504" s="96">
        <f t="shared" ca="1" si="293"/>
        <v>1.0775839377116672</v>
      </c>
      <c r="U504" s="96">
        <f t="shared" ca="1" si="293"/>
        <v>1.1156922840036412</v>
      </c>
      <c r="V504" s="96">
        <f t="shared" ca="1" si="293"/>
        <v>1.1557811963079834</v>
      </c>
      <c r="W504" s="96">
        <f t="shared" ca="1" si="293"/>
        <v>1.1941266134372368</v>
      </c>
      <c r="X504" s="96">
        <f t="shared" ca="1" si="293"/>
        <v>1.2368448701138055</v>
      </c>
      <c r="Y504" s="96">
        <f t="shared" ca="1" si="293"/>
        <v>1.2882697851534894</v>
      </c>
      <c r="Z504" s="96">
        <f t="shared" ca="1" si="293"/>
        <v>1.3434126846100591</v>
      </c>
    </row>
    <row r="505" spans="1:26" x14ac:dyDescent="0.25">
      <c r="A505" s="57" t="s">
        <v>1198</v>
      </c>
    </row>
    <row r="506" spans="1:26" x14ac:dyDescent="0.25">
      <c r="A506" s="11" t="s">
        <v>1187</v>
      </c>
      <c r="Q506" s="21">
        <f t="shared" ref="Q506:Z506" ca="1" si="294">Q$500</f>
        <v>11.931283806184531</v>
      </c>
      <c r="R506" s="21">
        <f t="shared" ca="1" si="294"/>
        <v>10.482813028564381</v>
      </c>
      <c r="S506" s="21">
        <f t="shared" ca="1" si="294"/>
        <v>9.9741178638416894</v>
      </c>
      <c r="T506" s="21">
        <f t="shared" ca="1" si="294"/>
        <v>9.7874996041822104</v>
      </c>
      <c r="U506" s="21">
        <f t="shared" ca="1" si="294"/>
        <v>9.6411940236321438</v>
      </c>
      <c r="V506" s="21">
        <f t="shared" ca="1" si="294"/>
        <v>9.5837935977983069</v>
      </c>
      <c r="W506" s="21">
        <f t="shared" ca="1" si="294"/>
        <v>9.5370065939116255</v>
      </c>
      <c r="X506" s="21">
        <f t="shared" ca="1" si="294"/>
        <v>9.4668688234673439</v>
      </c>
      <c r="Y506" s="21">
        <f t="shared" ca="1" si="294"/>
        <v>9.4193394125490304</v>
      </c>
      <c r="Z506" s="21">
        <f t="shared" ca="1" si="294"/>
        <v>9.3305025226414955</v>
      </c>
    </row>
    <row r="507" spans="1:26" x14ac:dyDescent="0.25">
      <c r="A507" s="11" t="s">
        <v>880</v>
      </c>
      <c r="Q507" s="21">
        <f t="shared" ref="Q507:Z507" ca="1" si="295">Q$333</f>
        <v>7.14676994238296</v>
      </c>
      <c r="R507" s="21">
        <f t="shared" ca="1" si="295"/>
        <v>7.5909943092414061</v>
      </c>
      <c r="S507" s="21">
        <f t="shared" ca="1" si="295"/>
        <v>8.0536939626018853</v>
      </c>
      <c r="T507" s="21">
        <f t="shared" ca="1" si="295"/>
        <v>8.5356870366084792</v>
      </c>
      <c r="U507" s="21">
        <f t="shared" ca="1" si="295"/>
        <v>9.0369976447940612</v>
      </c>
      <c r="V507" s="21">
        <f t="shared" ca="1" si="295"/>
        <v>9.5580552593842008</v>
      </c>
      <c r="W507" s="21">
        <f t="shared" ca="1" si="295"/>
        <v>10.103015938972028</v>
      </c>
      <c r="X507" s="21">
        <f t="shared" ca="1" si="295"/>
        <v>10.677265252733729</v>
      </c>
      <c r="Y507" s="21">
        <f t="shared" ca="1" si="295"/>
        <v>11.287227519149274</v>
      </c>
      <c r="Z507" s="21">
        <f t="shared" ca="1" si="295"/>
        <v>11.940036356284908</v>
      </c>
    </row>
    <row r="508" spans="1:26" x14ac:dyDescent="0.25">
      <c r="A508" s="12" t="s">
        <v>1421</v>
      </c>
      <c r="Q508" s="20">
        <f t="shared" ref="Q508:Z508" ca="1" si="296">SUM(Q$215,Q$219)</f>
        <v>3.158094136181139</v>
      </c>
      <c r="R508" s="20">
        <f t="shared" ca="1" si="296"/>
        <v>3.158094136181139</v>
      </c>
      <c r="S508" s="20">
        <f t="shared" ca="1" si="296"/>
        <v>3.158094136181139</v>
      </c>
      <c r="T508" s="20">
        <f t="shared" ca="1" si="296"/>
        <v>3.158094136181139</v>
      </c>
      <c r="U508" s="20">
        <f t="shared" ca="1" si="296"/>
        <v>3.158094136181139</v>
      </c>
      <c r="V508" s="20">
        <f t="shared" ca="1" si="296"/>
        <v>3.158094136181139</v>
      </c>
      <c r="W508" s="20">
        <f t="shared" ca="1" si="296"/>
        <v>3.158094136181139</v>
      </c>
      <c r="X508" s="20">
        <f t="shared" ca="1" si="296"/>
        <v>3.158094136181139</v>
      </c>
      <c r="Y508" s="20">
        <f t="shared" ca="1" si="296"/>
        <v>3.158094136181139</v>
      </c>
      <c r="Z508" s="20">
        <f t="shared" ca="1" si="296"/>
        <v>3.158094136181139</v>
      </c>
    </row>
    <row r="509" spans="1:26" x14ac:dyDescent="0.25">
      <c r="A509" s="12" t="s">
        <v>1422</v>
      </c>
      <c r="Q509" s="20">
        <f t="shared" ref="Q509:Z509" si="297">Q$402</f>
        <v>0.91100000000000003</v>
      </c>
      <c r="R509" s="20">
        <f t="shared" si="297"/>
        <v>0.93799999999999994</v>
      </c>
      <c r="S509" s="20">
        <f t="shared" si="297"/>
        <v>0.96199999999999997</v>
      </c>
      <c r="T509" s="20">
        <f t="shared" si="297"/>
        <v>0.98499999999999999</v>
      </c>
      <c r="U509" s="20">
        <f t="shared" si="297"/>
        <v>1.006</v>
      </c>
      <c r="V509" s="20">
        <f t="shared" si="297"/>
        <v>1.0249999999999999</v>
      </c>
      <c r="W509" s="20">
        <f t="shared" si="297"/>
        <v>1.046</v>
      </c>
      <c r="X509" s="20">
        <f t="shared" si="297"/>
        <v>1.0669999999999999</v>
      </c>
      <c r="Y509" s="20">
        <f t="shared" si="297"/>
        <v>1.0880000000000001</v>
      </c>
      <c r="Z509" s="20">
        <f t="shared" si="297"/>
        <v>1.109</v>
      </c>
    </row>
    <row r="510" spans="1:26" x14ac:dyDescent="0.25">
      <c r="A510" s="12" t="s">
        <v>1423</v>
      </c>
      <c r="Q510" s="20">
        <f t="shared" ref="Q510:Z510" ca="1" si="298">Q$457-P$457</f>
        <v>-2E-3</v>
      </c>
      <c r="R510" s="20">
        <f t="shared" ca="1" si="298"/>
        <v>0</v>
      </c>
      <c r="S510" s="20">
        <f t="shared" ca="1" si="298"/>
        <v>0</v>
      </c>
      <c r="T510" s="20">
        <f t="shared" ca="1" si="298"/>
        <v>0</v>
      </c>
      <c r="U510" s="20">
        <f t="shared" ca="1" si="298"/>
        <v>0</v>
      </c>
      <c r="V510" s="20">
        <f t="shared" ca="1" si="298"/>
        <v>0</v>
      </c>
      <c r="W510" s="20">
        <f t="shared" ca="1" si="298"/>
        <v>0</v>
      </c>
      <c r="X510" s="20">
        <f t="shared" ca="1" si="298"/>
        <v>0</v>
      </c>
      <c r="Y510" s="20">
        <f t="shared" ca="1" si="298"/>
        <v>0</v>
      </c>
      <c r="Z510" s="20">
        <f t="shared" ca="1" si="298"/>
        <v>0</v>
      </c>
    </row>
    <row r="511" spans="1:26" x14ac:dyDescent="0.25">
      <c r="A511" s="12" t="s">
        <v>769</v>
      </c>
      <c r="Q511" s="20">
        <f t="shared" ref="Q511:Z511" ca="1" si="299">-Q$340</f>
        <v>-1.0435308893054404E-2</v>
      </c>
      <c r="R511" s="20">
        <f t="shared" ca="1" si="299"/>
        <v>-1.0879489201897944E-2</v>
      </c>
      <c r="S511" s="20">
        <f t="shared" ca="1" si="299"/>
        <v>-1.1335437084572445E-2</v>
      </c>
      <c r="T511" s="20">
        <f t="shared" ca="1" si="299"/>
        <v>-1.1802086073035397E-2</v>
      </c>
      <c r="U511" s="20">
        <f t="shared" ca="1" si="299"/>
        <v>-1.2285007456109151E-2</v>
      </c>
      <c r="V511" s="20">
        <f t="shared" ca="1" si="299"/>
        <v>-1.2784372979015064E-2</v>
      </c>
      <c r="W511" s="20">
        <f t="shared" ca="1" si="299"/>
        <v>-1.3297663350946046E-2</v>
      </c>
      <c r="X511" s="20">
        <f t="shared" ca="1" si="299"/>
        <v>-1.3825734358114281E-2</v>
      </c>
      <c r="Y511" s="20">
        <f t="shared" ca="1" si="299"/>
        <v>-1.4371347480635113E-2</v>
      </c>
      <c r="Z511" s="20">
        <f t="shared" ca="1" si="299"/>
        <v>-1.4934643440266305E-2</v>
      </c>
    </row>
    <row r="512" spans="1:26" x14ac:dyDescent="0.25">
      <c r="A512" s="11" t="s">
        <v>1201</v>
      </c>
      <c r="Q512" s="96">
        <f t="shared" ref="Q512:Z512" ca="1" si="300">-SUM(Q$508:Q$511)</f>
        <v>-4.0566588272880848</v>
      </c>
      <c r="R512" s="96">
        <f t="shared" ca="1" si="300"/>
        <v>-4.0852146469792414</v>
      </c>
      <c r="S512" s="96">
        <f t="shared" ca="1" si="300"/>
        <v>-4.1087586990965663</v>
      </c>
      <c r="T512" s="96">
        <f t="shared" ca="1" si="300"/>
        <v>-4.1312920501081036</v>
      </c>
      <c r="U512" s="96">
        <f t="shared" ca="1" si="300"/>
        <v>-4.1518091287250298</v>
      </c>
      <c r="V512" s="96">
        <f t="shared" ca="1" si="300"/>
        <v>-4.1703097632021242</v>
      </c>
      <c r="W512" s="96">
        <f t="shared" ca="1" si="300"/>
        <v>-4.1907964728301925</v>
      </c>
      <c r="X512" s="96">
        <f t="shared" ca="1" si="300"/>
        <v>-4.2112684018230242</v>
      </c>
      <c r="Y512" s="96">
        <f t="shared" ca="1" si="300"/>
        <v>-4.2317227887005036</v>
      </c>
      <c r="Z512" s="96">
        <f t="shared" ca="1" si="300"/>
        <v>-4.2521594927408728</v>
      </c>
    </row>
    <row r="513" spans="1:26" x14ac:dyDescent="0.25">
      <c r="A513" s="12" t="s">
        <v>932</v>
      </c>
      <c r="Q513" s="20">
        <f t="shared" ref="Q513:Z513" ca="1" si="301">Q$353-P$353</f>
        <v>2.0661762245445985</v>
      </c>
      <c r="R513" s="20">
        <f t="shared" ca="1" si="301"/>
        <v>1.4600176332306631</v>
      </c>
      <c r="S513" s="20">
        <f t="shared" ca="1" si="301"/>
        <v>1.5263917121380999</v>
      </c>
      <c r="T513" s="20">
        <f t="shared" ca="1" si="301"/>
        <v>1.6149352938287009</v>
      </c>
      <c r="U513" s="20">
        <f t="shared" ca="1" si="301"/>
        <v>1.6834669547481838</v>
      </c>
      <c r="V513" s="20">
        <f t="shared" ca="1" si="301"/>
        <v>1.7381131977647186</v>
      </c>
      <c r="W513" s="20">
        <f t="shared" ca="1" si="301"/>
        <v>1.7878752867330405</v>
      </c>
      <c r="X513" s="20">
        <f t="shared" ca="1" si="301"/>
        <v>1.8422492730019542</v>
      </c>
      <c r="Y513" s="20">
        <f t="shared" ca="1" si="301"/>
        <v>1.9064132360937975</v>
      </c>
      <c r="Z513" s="20">
        <f t="shared" ca="1" si="301"/>
        <v>1.9732144013817177</v>
      </c>
    </row>
    <row r="514" spans="1:26" x14ac:dyDescent="0.25">
      <c r="A514" s="12" t="s">
        <v>933</v>
      </c>
      <c r="Q514" s="20">
        <f t="shared" ref="Q514:Z514" ca="1" si="302">Q$404-Q$332</f>
        <v>0.70568000000000031</v>
      </c>
      <c r="R514" s="20">
        <f t="shared" ca="1" si="302"/>
        <v>0.74441360000000034</v>
      </c>
      <c r="S514" s="20">
        <f t="shared" ca="1" si="302"/>
        <v>0.78120187200000035</v>
      </c>
      <c r="T514" s="20">
        <f t="shared" ca="1" si="302"/>
        <v>0.81504590944000044</v>
      </c>
      <c r="U514" s="20">
        <f t="shared" ca="1" si="302"/>
        <v>0.84694682762880036</v>
      </c>
      <c r="V514" s="20">
        <f t="shared" ca="1" si="302"/>
        <v>0.87990576418137634</v>
      </c>
      <c r="W514" s="20">
        <f t="shared" ca="1" si="302"/>
        <v>0.91292387946500386</v>
      </c>
      <c r="X514" s="20">
        <f t="shared" ca="1" si="302"/>
        <v>0.94800235705430402</v>
      </c>
      <c r="Y514" s="20">
        <f t="shared" ca="1" si="302"/>
        <v>0.98414240419539001</v>
      </c>
      <c r="Z514" s="20">
        <f t="shared" ca="1" si="302"/>
        <v>1.020345252279298</v>
      </c>
    </row>
    <row r="515" spans="1:26" x14ac:dyDescent="0.25">
      <c r="A515" s="12" t="s">
        <v>934</v>
      </c>
      <c r="Q515" s="20">
        <f t="shared" ref="Q515:Z515" ca="1" si="303">Q$409-P$409</f>
        <v>3.2200000000000006E-2</v>
      </c>
      <c r="R515" s="20">
        <f t="shared" ca="1" si="303"/>
        <v>3.2844000000000095E-2</v>
      </c>
      <c r="S515" s="20">
        <f t="shared" ca="1" si="303"/>
        <v>3.3500880000000066E-2</v>
      </c>
      <c r="T515" s="20">
        <f t="shared" ca="1" si="303"/>
        <v>3.4170897600000139E-2</v>
      </c>
      <c r="U515" s="20">
        <f t="shared" ca="1" si="303"/>
        <v>3.4854315552000026E-2</v>
      </c>
      <c r="V515" s="20">
        <f t="shared" ca="1" si="303"/>
        <v>3.5551401863040066E-2</v>
      </c>
      <c r="W515" s="20">
        <f t="shared" ca="1" si="303"/>
        <v>3.626242990030093E-2</v>
      </c>
      <c r="X515" s="20">
        <f t="shared" ca="1" si="303"/>
        <v>3.6987678498306753E-2</v>
      </c>
      <c r="Y515" s="20">
        <f t="shared" ca="1" si="303"/>
        <v>3.7727432068273004E-2</v>
      </c>
      <c r="Z515" s="20">
        <f t="shared" ca="1" si="303"/>
        <v>3.8481980709638375E-2</v>
      </c>
    </row>
    <row r="516" spans="1:26" x14ac:dyDescent="0.25">
      <c r="A516" s="12" t="s">
        <v>935</v>
      </c>
      <c r="Q516" s="20">
        <f t="shared" ref="Q516:Z516" ca="1" si="304">Q$413-P$413</f>
        <v>5.5760000000000254E-2</v>
      </c>
      <c r="R516" s="20">
        <f t="shared" ca="1" si="304"/>
        <v>5.6875199999999904E-2</v>
      </c>
      <c r="S516" s="20">
        <f t="shared" ca="1" si="304"/>
        <v>5.8012704000000248E-2</v>
      </c>
      <c r="T516" s="20">
        <f t="shared" ca="1" si="304"/>
        <v>5.9172958080000004E-2</v>
      </c>
      <c r="U516" s="20">
        <f t="shared" ca="1" si="304"/>
        <v>6.0356417241600013E-2</v>
      </c>
      <c r="V516" s="20">
        <f t="shared" ca="1" si="304"/>
        <v>6.1563545586432067E-2</v>
      </c>
      <c r="W516" s="20">
        <f t="shared" ca="1" si="304"/>
        <v>6.2794816498160877E-2</v>
      </c>
      <c r="X516" s="20">
        <f t="shared" ca="1" si="304"/>
        <v>6.4050712828124023E-2</v>
      </c>
      <c r="Y516" s="20">
        <f t="shared" ca="1" si="304"/>
        <v>6.5331727084686264E-2</v>
      </c>
      <c r="Z516" s="20">
        <f t="shared" ca="1" si="304"/>
        <v>6.6638361626380149E-2</v>
      </c>
    </row>
    <row r="517" spans="1:26" x14ac:dyDescent="0.25">
      <c r="A517" s="12" t="s">
        <v>1424</v>
      </c>
      <c r="Q517" s="20">
        <f t="shared" ref="Q517:Z517" ca="1" si="305">Q$449-P$449</f>
        <v>8.796000000000026E-2</v>
      </c>
      <c r="R517" s="20">
        <f t="shared" ca="1" si="305"/>
        <v>8.9719199999999999E-2</v>
      </c>
      <c r="S517" s="20">
        <f t="shared" ca="1" si="305"/>
        <v>9.1513584000000314E-2</v>
      </c>
      <c r="T517" s="20">
        <f t="shared" ca="1" si="305"/>
        <v>9.3343855680000143E-2</v>
      </c>
      <c r="U517" s="20">
        <f t="shared" ca="1" si="305"/>
        <v>9.5210732793600039E-2</v>
      </c>
      <c r="V517" s="20">
        <f t="shared" ca="1" si="305"/>
        <v>9.7114947449472133E-2</v>
      </c>
      <c r="W517" s="20">
        <f t="shared" ca="1" si="305"/>
        <v>9.9057246398461807E-2</v>
      </c>
      <c r="X517" s="20">
        <f t="shared" ca="1" si="305"/>
        <v>0.10103839132643078</v>
      </c>
      <c r="Y517" s="20">
        <f t="shared" ca="1" si="305"/>
        <v>0.10305915915295927</v>
      </c>
      <c r="Z517" s="20">
        <f t="shared" ca="1" si="305"/>
        <v>0.10512034233601852</v>
      </c>
    </row>
    <row r="518" spans="1:26" x14ac:dyDescent="0.25">
      <c r="A518" s="12" t="s">
        <v>1425</v>
      </c>
      <c r="Q518" s="20">
        <f t="shared" ref="Q518:Z518" ca="1" si="306">SUM(Q$445-P$445,Q$453-P$453,Q$470-P$470)</f>
        <v>1.3021319609048261</v>
      </c>
      <c r="R518" s="20">
        <f t="shared" ca="1" si="306"/>
        <v>0.72576436882820339</v>
      </c>
      <c r="S518" s="20">
        <f t="shared" ca="1" si="306"/>
        <v>0.78466556332240245</v>
      </c>
      <c r="T518" s="20">
        <f t="shared" ca="1" si="306"/>
        <v>0.84542571045022452</v>
      </c>
      <c r="U518" s="20">
        <f t="shared" ca="1" si="306"/>
        <v>0.87499685539716854</v>
      </c>
      <c r="V518" s="20">
        <f t="shared" ca="1" si="306"/>
        <v>0.90101483077512068</v>
      </c>
      <c r="W518" s="20">
        <f t="shared" ca="1" si="306"/>
        <v>0.92678489200126446</v>
      </c>
      <c r="X518" s="20">
        <f t="shared" ca="1" si="306"/>
        <v>0.95538415760039275</v>
      </c>
      <c r="Y518" s="20">
        <f t="shared" ca="1" si="306"/>
        <v>0.9888911176477917</v>
      </c>
      <c r="Z518" s="20">
        <f t="shared" ca="1" si="306"/>
        <v>1.0248805675749617</v>
      </c>
    </row>
    <row r="519" spans="1:26" x14ac:dyDescent="0.25">
      <c r="A519" s="12" t="s">
        <v>1426</v>
      </c>
      <c r="Q519" s="20">
        <f t="shared" ref="Q519:Z519" si="307">Q$463-P$463</f>
        <v>-0.17211321626617426</v>
      </c>
      <c r="R519" s="20">
        <f t="shared" si="307"/>
        <v>-0.17596649722735647</v>
      </c>
      <c r="S519" s="20">
        <f t="shared" si="307"/>
        <v>-0.17725092421441779</v>
      </c>
      <c r="T519" s="20">
        <f t="shared" si="307"/>
        <v>-0.17767906654343824</v>
      </c>
      <c r="U519" s="20">
        <f t="shared" si="307"/>
        <v>-0.17168507393715338</v>
      </c>
      <c r="V519" s="20">
        <f t="shared" si="307"/>
        <v>-0.16954436229205205</v>
      </c>
      <c r="W519" s="20">
        <f t="shared" si="307"/>
        <v>-0.1669755083179294</v>
      </c>
      <c r="X519" s="20">
        <f t="shared" si="307"/>
        <v>-0.16397851201478764</v>
      </c>
      <c r="Y519" s="20">
        <f t="shared" si="307"/>
        <v>-0.1596970887245841</v>
      </c>
      <c r="Z519" s="20">
        <f t="shared" si="307"/>
        <v>-0.15584380776340101</v>
      </c>
    </row>
    <row r="520" spans="1:26" x14ac:dyDescent="0.25">
      <c r="A520" s="11" t="s">
        <v>938</v>
      </c>
      <c r="Q520" s="96">
        <f t="shared" ref="Q520:Z520" ca="1" si="308">SUM(Q$513:Q$516)-SUM(Q$517:Q$519)</f>
        <v>1.6418374799059468</v>
      </c>
      <c r="R520" s="96">
        <f t="shared" ca="1" si="308"/>
        <v>1.6546333616298166</v>
      </c>
      <c r="S520" s="96">
        <f t="shared" ca="1" si="308"/>
        <v>1.7001789450301157</v>
      </c>
      <c r="T520" s="96">
        <f t="shared" ca="1" si="308"/>
        <v>1.7622345593619149</v>
      </c>
      <c r="U520" s="96">
        <f t="shared" ca="1" si="308"/>
        <v>1.8271020009169685</v>
      </c>
      <c r="V520" s="96">
        <f t="shared" ca="1" si="308"/>
        <v>1.8865484934630263</v>
      </c>
      <c r="W520" s="96">
        <f t="shared" ca="1" si="308"/>
        <v>1.9409897825147095</v>
      </c>
      <c r="X520" s="96">
        <f t="shared" ca="1" si="308"/>
        <v>1.9988459844706532</v>
      </c>
      <c r="Y520" s="96">
        <f t="shared" ca="1" si="308"/>
        <v>2.0613616113659798</v>
      </c>
      <c r="Z520" s="96">
        <f t="shared" ca="1" si="308"/>
        <v>2.1245228938494547</v>
      </c>
    </row>
    <row r="521" spans="1:26" x14ac:dyDescent="0.25">
      <c r="A521" s="11" t="s">
        <v>1204</v>
      </c>
      <c r="Q521" s="96">
        <f t="shared" ref="Q521:Z521" ca="1" si="309">SUM(Q$506,Q$507,Q$512,Q$520)</f>
        <v>16.663232401185354</v>
      </c>
      <c r="R521" s="96">
        <f t="shared" ca="1" si="309"/>
        <v>15.643226052456363</v>
      </c>
      <c r="S521" s="96">
        <f t="shared" ca="1" si="309"/>
        <v>15.619232072377125</v>
      </c>
      <c r="T521" s="96">
        <f t="shared" ca="1" si="309"/>
        <v>15.954129150044498</v>
      </c>
      <c r="U521" s="96">
        <f t="shared" ca="1" si="309"/>
        <v>16.353484540618144</v>
      </c>
      <c r="V521" s="96">
        <f t="shared" ca="1" si="309"/>
        <v>16.858087587443414</v>
      </c>
      <c r="W521" s="96">
        <f t="shared" ca="1" si="309"/>
        <v>17.390215842568171</v>
      </c>
      <c r="X521" s="96">
        <f t="shared" ca="1" si="309"/>
        <v>17.931711658848702</v>
      </c>
      <c r="Y521" s="96">
        <f t="shared" ca="1" si="309"/>
        <v>18.536205754363785</v>
      </c>
      <c r="Z521" s="96">
        <f t="shared" ca="1" si="309"/>
        <v>19.142902280034985</v>
      </c>
    </row>
    <row r="522" spans="1:26" x14ac:dyDescent="0.25">
      <c r="A522" s="60" t="s">
        <v>1427</v>
      </c>
      <c r="Q522" s="97" t="str">
        <f t="shared" ref="Q522:Z522" ca="1" si="310">IF(ROUND(Q$49-Q$521,3)=0,"OK","ERROR")</f>
        <v>OK</v>
      </c>
      <c r="R522" s="97" t="str">
        <f t="shared" ca="1" si="310"/>
        <v>OK</v>
      </c>
      <c r="S522" s="97" t="str">
        <f t="shared" ca="1" si="310"/>
        <v>OK</v>
      </c>
      <c r="T522" s="97" t="str">
        <f t="shared" ca="1" si="310"/>
        <v>OK</v>
      </c>
      <c r="U522" s="97" t="str">
        <f t="shared" ca="1" si="310"/>
        <v>OK</v>
      </c>
      <c r="V522" s="97" t="str">
        <f t="shared" ca="1" si="310"/>
        <v>OK</v>
      </c>
      <c r="W522" s="97" t="str">
        <f t="shared" ca="1" si="310"/>
        <v>OK</v>
      </c>
      <c r="X522" s="97" t="str">
        <f t="shared" ca="1" si="310"/>
        <v>OK</v>
      </c>
      <c r="Y522" s="97" t="str">
        <f t="shared" ca="1" si="310"/>
        <v>OK</v>
      </c>
      <c r="Z522" s="97" t="str">
        <f t="shared" ca="1" si="310"/>
        <v>OK</v>
      </c>
    </row>
    <row r="524" spans="1:26" x14ac:dyDescent="0.25">
      <c r="A524" s="11" t="s">
        <v>1428</v>
      </c>
    </row>
    <row r="525" spans="1:26" x14ac:dyDescent="0.25">
      <c r="A525" s="12" t="s">
        <v>1429</v>
      </c>
      <c r="B525" s="14" t="str">
        <f>$B$38</f>
        <v>From Fiscal Forecasts</v>
      </c>
      <c r="D525" s="50">
        <f>Exogenous!$B$81*'Fiscal Forecasts'!D$58</f>
        <v>3.3978480000000002</v>
      </c>
      <c r="E525" s="50">
        <f>Exogenous!$B$81*'Fiscal Forecasts'!E$58</f>
        <v>3.6997259999999996</v>
      </c>
      <c r="F525" s="50">
        <f>Exogenous!$B$81*'Fiscal Forecasts'!F$58</f>
        <v>4.2378239999999998</v>
      </c>
      <c r="G525" s="50">
        <f>Exogenous!$B$81*'Fiscal Forecasts'!G$58</f>
        <v>5.1672659999999997</v>
      </c>
      <c r="H525" s="50">
        <f>Exogenous!$B$81*'Fiscal Forecasts'!H$58</f>
        <v>5.2989540000000002</v>
      </c>
      <c r="I525" s="50">
        <f>Exogenous!$B$81*'Fiscal Forecasts'!I$58</f>
        <v>5.5798139999999998</v>
      </c>
      <c r="J525" s="50">
        <f>Exogenous!$B$81*'Fiscal Forecasts'!J$58</f>
        <v>5.6378459999999997</v>
      </c>
      <c r="K525" s="50">
        <f>Exogenous!$B$81*'Fiscal Forecasts'!K$58</f>
        <v>6.1225620000000003</v>
      </c>
      <c r="L525" s="48">
        <f>Exogenous!$B$81*('Fiscal Forecasts'!L$58+Allocation!C$11)</f>
        <v>6.3194355599999996</v>
      </c>
      <c r="M525" s="48">
        <f>Exogenous!$B$81*('Fiscal Forecasts'!M$58+Allocation!D$11)</f>
        <v>6.4906857599999999</v>
      </c>
      <c r="N525" s="48">
        <f>Exogenous!$B$81*('Fiscal Forecasts'!N$58+Allocation!E$11)</f>
        <v>6.6639615000000001</v>
      </c>
      <c r="O525" s="48">
        <f>Exogenous!$B$81*('Fiscal Forecasts'!O$58+Allocation!F$11)</f>
        <v>6.8695770599999992</v>
      </c>
      <c r="P525" s="48">
        <f>Exogenous!$B$81*('Fiscal Forecasts'!P$58+Allocation!G$11)</f>
        <v>7.0595221199999996</v>
      </c>
      <c r="Q525" s="20">
        <f ca="1">P$525*(1+SUMPRODUCT(Exogenous!$B$84:$B$101,'Population Treasury'!AB$239:AB$256)/('Population Treasury'!AB$275/'Population Treasury'!AA$275)+SUMPRODUCT(Exogenous!$C$84:$C$101,'Population Treasury'!AB$257:AB$274)/('Population Treasury'!AB$277/'Population Treasury'!AA$277))*(1+Q$25)*(1+Q$29)*(1+OFFSET(Assumptions!$B$62,0,$C$1))</f>
        <v>7.4289136356005177</v>
      </c>
      <c r="R525" s="20">
        <f ca="1">Q$525*(1+SUMPRODUCT(Exogenous!$B$84:$B$101,'Population Treasury'!AC$239:AC$256)/('Population Treasury'!AC$275/'Population Treasury'!AB$275)+SUMPRODUCT(Exogenous!$C$84:$C$101,'Population Treasury'!AC$257:AC$274)/('Population Treasury'!AC$277/'Population Treasury'!AB$277))*(1+R$25)*(1+R$29)*(1+OFFSET(Assumptions!$B$62,0,$C$1))</f>
        <v>7.8089864545948906</v>
      </c>
      <c r="S525" s="20">
        <f ca="1">R$525*(1+SUMPRODUCT(Exogenous!$B$84:$B$101,'Population Treasury'!AD$239:AD$256)/('Population Treasury'!AD$275/'Population Treasury'!AC$275)+SUMPRODUCT(Exogenous!$C$84:$C$101,'Population Treasury'!AD$257:AD$274)/('Population Treasury'!AD$277/'Population Treasury'!AC$277))*(1+S$25)*(1+S$29)*(1+OFFSET(Assumptions!$B$62,0,$C$1))</f>
        <v>8.2004967158157598</v>
      </c>
      <c r="T525" s="20">
        <f ca="1">S$525*(1+SUMPRODUCT(Exogenous!$B$84:$B$101,'Population Treasury'!AE$239:AE$256)/('Population Treasury'!AE$275/'Population Treasury'!AD$275)+SUMPRODUCT(Exogenous!$C$84:$C$101,'Population Treasury'!AE$257:AE$274)/('Population Treasury'!AE$277/'Population Treasury'!AD$277))*(1+T$25)*(1+T$29)*(1+OFFSET(Assumptions!$B$62,0,$C$1))</f>
        <v>8.6077692084863369</v>
      </c>
      <c r="U525" s="20">
        <f ca="1">T$525*(1+SUMPRODUCT(Exogenous!$B$84:$B$101,'Population Treasury'!AF$239:AF$256)/('Population Treasury'!AF$275/'Population Treasury'!AE$275)+SUMPRODUCT(Exogenous!$C$84:$C$101,'Population Treasury'!AF$257:AF$274)/('Population Treasury'!AF$277/'Population Treasury'!AE$277))*(1+U$25)*(1+U$29)*(1+OFFSET(Assumptions!$B$62,0,$C$1))</f>
        <v>9.0327962198194633</v>
      </c>
      <c r="V525" s="20">
        <f ca="1">U$525*(1+SUMPRODUCT(Exogenous!$B$84:$B$101,'Population Treasury'!AG$239:AG$256)/('Population Treasury'!AG$275/'Population Treasury'!AF$275)+SUMPRODUCT(Exogenous!$C$84:$C$101,'Population Treasury'!AG$257:AG$274)/('Population Treasury'!AG$277/'Population Treasury'!AF$277))*(1+V$25)*(1+V$29)*(1+OFFSET(Assumptions!$B$62,0,$C$1))</f>
        <v>9.4765936735039134</v>
      </c>
      <c r="W525" s="20">
        <f ca="1">V$525*(1+SUMPRODUCT(Exogenous!$B$84:$B$101,'Population Treasury'!AH$239:AH$256)/('Population Treasury'!AH$275/'Population Treasury'!AG$275)+SUMPRODUCT(Exogenous!$C$84:$C$101,'Population Treasury'!AH$257:AH$274)/('Population Treasury'!AH$277/'Population Treasury'!AG$277))*(1+W$25)*(1+W$29)*(1+OFFSET(Assumptions!$B$62,0,$C$1))</f>
        <v>9.9379445038904652</v>
      </c>
      <c r="X525" s="20">
        <f ca="1">W$525*(1+SUMPRODUCT(Exogenous!$B$84:$B$101,'Population Treasury'!AI$239:AI$256)/('Population Treasury'!AI$275/'Population Treasury'!AH$275)+SUMPRODUCT(Exogenous!$C$84:$C$101,'Population Treasury'!AI$257:AI$274)/('Population Treasury'!AI$277/'Population Treasury'!AH$277))*(1+X$25)*(1+X$29)*(1+OFFSET(Assumptions!$B$62,0,$C$1))</f>
        <v>10.418112207876447</v>
      </c>
      <c r="Y525" s="20">
        <f ca="1">X$525*(1+SUMPRODUCT(Exogenous!$B$84:$B$101,'Population Treasury'!AJ$239:AJ$256)/('Population Treasury'!AJ$275/'Population Treasury'!AI$275)+SUMPRODUCT(Exogenous!$C$84:$C$101,'Population Treasury'!AJ$257:AJ$274)/('Population Treasury'!AJ$277/'Population Treasury'!AI$277))*(1+Y$25)*(1+Y$29)*(1+OFFSET(Assumptions!$B$62,0,$C$1))</f>
        <v>10.920632978553819</v>
      </c>
      <c r="Z525" s="20">
        <f ca="1">Y$525*(1+SUMPRODUCT(Exogenous!$B$84:$B$101,'Population Treasury'!AK$239:AK$256)/('Population Treasury'!AK$275/'Population Treasury'!AJ$275)+SUMPRODUCT(Exogenous!$C$84:$C$101,'Population Treasury'!AK$257:AK$274)/('Population Treasury'!AK$277/'Population Treasury'!AJ$277))*(1+Z$25)*(1+Z$29)*(1+OFFSET(Assumptions!$B$62,0,$C$1))</f>
        <v>11.444226989175426</v>
      </c>
    </row>
    <row r="526" spans="1:26" x14ac:dyDescent="0.25">
      <c r="A526" s="12" t="s">
        <v>1430</v>
      </c>
      <c r="B526" s="14" t="str">
        <f>$B$38</f>
        <v>From Fiscal Forecasts</v>
      </c>
      <c r="D526" s="50">
        <f>Exogenous!$E$81*'Fiscal Forecasts'!D$58</f>
        <v>10.540635999999999</v>
      </c>
      <c r="E526" s="50">
        <f>Exogenous!$E$81*'Fiscal Forecasts'!E$58</f>
        <v>11.477106999999998</v>
      </c>
      <c r="F526" s="50">
        <f>Exogenous!$E$81*'Fiscal Forecasts'!F$58</f>
        <v>13.146367999999999</v>
      </c>
      <c r="G526" s="50">
        <f>Exogenous!$E$81*'Fiscal Forecasts'!G$58</f>
        <v>16.029636999999997</v>
      </c>
      <c r="H526" s="50">
        <f>Exogenous!$E$81*'Fiscal Forecasts'!H$58</f>
        <v>16.438153</v>
      </c>
      <c r="I526" s="50">
        <f>Exogenous!$E$81*'Fiscal Forecasts'!I$58</f>
        <v>17.309422999999999</v>
      </c>
      <c r="J526" s="50">
        <f>Exogenous!$E$81*'Fiscal Forecasts'!J$58</f>
        <v>17.489446999999998</v>
      </c>
      <c r="K526" s="50">
        <f>Exogenous!$E$81*'Fiscal Forecasts'!K$58</f>
        <v>18.993109</v>
      </c>
      <c r="L526" s="48">
        <f>Exogenous!$E$81*('Fiscal Forecasts'!L$58+Allocation!C$11)</f>
        <v>19.603840419999997</v>
      </c>
      <c r="M526" s="48">
        <f>Exogenous!$E$81*('Fiscal Forecasts'!M$58+Allocation!D$11)</f>
        <v>20.135084320000001</v>
      </c>
      <c r="N526" s="48">
        <f>Exogenous!$E$81*('Fiscal Forecasts'!N$58+Allocation!E$11)</f>
        <v>20.672611749999998</v>
      </c>
      <c r="O526" s="48">
        <f>Exogenous!$E$81*('Fiscal Forecasts'!O$58+Allocation!F$11)</f>
        <v>21.310462169999997</v>
      </c>
      <c r="P526" s="48">
        <f>Exogenous!$E$81*('Fiscal Forecasts'!P$58+Allocation!G$11)</f>
        <v>21.899700339999999</v>
      </c>
      <c r="Q526" s="20">
        <f ca="1">P$526*(1+SUMPRODUCT(Exogenous!$E$84:$E$101,'Population Treasury'!AB$239:AB$256)/('Population Treasury'!AB$275/'Population Treasury'!AA$275)+SUMPRODUCT(Exogenous!$F$84:$F$101,'Population Treasury'!AB$257:AB$274)/('Population Treasury'!AB$277/'Population Treasury'!AA$277))*(1+Q$25)*(1+Q$29)*(1+OFFSET(Assumptions!$B$62,0,$C$1))</f>
        <v>23.052601947296143</v>
      </c>
      <c r="R526" s="20">
        <f ca="1">Q$526*(1+SUMPRODUCT(Exogenous!$E$84:$E$101,'Population Treasury'!AC$239:AC$256)/('Population Treasury'!AC$275/'Population Treasury'!AB$275)+SUMPRODUCT(Exogenous!$F$84:$F$101,'Population Treasury'!AC$257:AC$274)/('Population Treasury'!AC$277/'Population Treasury'!AB$277))*(1+R$25)*(1+R$29)*(1+OFFSET(Assumptions!$B$62,0,$C$1))</f>
        <v>24.234511086806748</v>
      </c>
      <c r="S526" s="20">
        <f ca="1">R$526*(1+SUMPRODUCT(Exogenous!$E$84:$E$101,'Population Treasury'!AD$239:AD$256)/('Population Treasury'!AD$275/'Population Treasury'!AC$275)+SUMPRODUCT(Exogenous!$F$84:$F$101,'Population Treasury'!AD$257:AD$274)/('Population Treasury'!AD$277/'Population Treasury'!AC$277))*(1+S$25)*(1+S$29)*(1+OFFSET(Assumptions!$B$62,0,$C$1))</f>
        <v>25.451344799096869</v>
      </c>
      <c r="T526" s="20">
        <f ca="1">S$526*(1+SUMPRODUCT(Exogenous!$E$84:$E$101,'Population Treasury'!AE$239:AE$256)/('Population Treasury'!AE$275/'Population Treasury'!AD$275)+SUMPRODUCT(Exogenous!$F$84:$F$101,'Population Treasury'!AE$257:AE$274)/('Population Treasury'!AE$277/'Population Treasury'!AD$277))*(1+T$25)*(1+T$29)*(1+OFFSET(Assumptions!$B$62,0,$C$1))</f>
        <v>26.712076249096864</v>
      </c>
      <c r="U526" s="20">
        <f ca="1">T$526*(1+SUMPRODUCT(Exogenous!$E$84:$E$101,'Population Treasury'!AF$239:AF$256)/('Population Treasury'!AF$275/'Population Treasury'!AE$275)+SUMPRODUCT(Exogenous!$F$84:$F$101,'Population Treasury'!AF$257:AF$274)/('Population Treasury'!AF$277/'Population Treasury'!AE$277))*(1+U$25)*(1+U$29)*(1+OFFSET(Assumptions!$B$62,0,$C$1))</f>
        <v>28.029342885296561</v>
      </c>
      <c r="V526" s="20">
        <f ca="1">U$526*(1+SUMPRODUCT(Exogenous!$E$84:$E$101,'Population Treasury'!AG$239:AG$256)/('Population Treasury'!AG$275/'Population Treasury'!AF$275)+SUMPRODUCT(Exogenous!$F$84:$F$101,'Population Treasury'!AG$257:AG$274)/('Population Treasury'!AG$277/'Population Treasury'!AF$277))*(1+V$25)*(1+V$29)*(1+OFFSET(Assumptions!$B$62,0,$C$1))</f>
        <v>29.410650097994946</v>
      </c>
      <c r="W526" s="20">
        <f ca="1">V$526*(1+SUMPRODUCT(Exogenous!$E$84:$E$101,'Population Treasury'!AH$239:AH$256)/('Population Treasury'!AH$275/'Population Treasury'!AG$275)+SUMPRODUCT(Exogenous!$F$84:$F$101,'Population Treasury'!AH$257:AH$274)/('Population Treasury'!AH$277/'Population Treasury'!AG$277))*(1+W$25)*(1+W$29)*(1+OFFSET(Assumptions!$B$62,0,$C$1))</f>
        <v>30.84858233451013</v>
      </c>
      <c r="X526" s="20">
        <f ca="1">W$526*(1+SUMPRODUCT(Exogenous!$E$84:$E$101,'Population Treasury'!AI$239:AI$256)/('Population Treasury'!AI$275/'Population Treasury'!AH$275)+SUMPRODUCT(Exogenous!$F$84:$F$101,'Population Treasury'!AI$257:AI$274)/('Population Treasury'!AI$277/'Population Treasury'!AH$277))*(1+X$25)*(1+X$29)*(1+OFFSET(Assumptions!$B$62,0,$C$1))</f>
        <v>32.348987844377653</v>
      </c>
      <c r="Y526" s="20">
        <f ca="1">X$526*(1+SUMPRODUCT(Exogenous!$E$84:$E$101,'Population Treasury'!AJ$239:AJ$256)/('Population Treasury'!AJ$275/'Population Treasury'!AI$275)+SUMPRODUCT(Exogenous!$F$84:$F$101,'Population Treasury'!AJ$257:AJ$274)/('Population Treasury'!AJ$277/'Population Treasury'!AI$277))*(1+Y$25)*(1+Y$29)*(1+OFFSET(Assumptions!$B$62,0,$C$1))</f>
        <v>33.915625471157881</v>
      </c>
      <c r="Z526" s="20">
        <f ca="1">Y$526*(1+SUMPRODUCT(Exogenous!$E$84:$E$101,'Population Treasury'!AK$239:AK$256)/('Population Treasury'!AK$275/'Population Treasury'!AJ$275)+SUMPRODUCT(Exogenous!$F$84:$F$101,'Population Treasury'!AK$257:AK$274)/('Population Treasury'!AK$277/'Population Treasury'!AJ$277))*(1+Z$25)*(1+Z$29)*(1+OFFSET(Assumptions!$B$62,0,$C$1))</f>
        <v>35.551773266129644</v>
      </c>
    </row>
    <row r="527" spans="1:26" x14ac:dyDescent="0.25">
      <c r="A527" s="12" t="s">
        <v>1431</v>
      </c>
      <c r="B527" s="14" t="str">
        <f>$B$38</f>
        <v>From Fiscal Forecasts</v>
      </c>
      <c r="D527" s="50">
        <f>Exogenous!$H$81*'Fiscal Forecasts'!D$58</f>
        <v>1.6806559999999999</v>
      </c>
      <c r="E527" s="50">
        <f>Exogenous!$H$81*'Fiscal Forecasts'!E$58</f>
        <v>1.8299719999999997</v>
      </c>
      <c r="F527" s="50">
        <f>Exogenous!$H$81*'Fiscal Forecasts'!F$58</f>
        <v>2.0961279999999998</v>
      </c>
      <c r="G527" s="50">
        <f>Exogenous!$H$81*'Fiscal Forecasts'!G$58</f>
        <v>2.5558519999999998</v>
      </c>
      <c r="H527" s="50">
        <f>Exogenous!$H$81*'Fiscal Forecasts'!H$58</f>
        <v>2.6209880000000001</v>
      </c>
      <c r="I527" s="50">
        <f>Exogenous!$H$81*'Fiscal Forecasts'!I$58</f>
        <v>2.7599079999999998</v>
      </c>
      <c r="J527" s="50">
        <f>Exogenous!$H$81*'Fiscal Forecasts'!J$58</f>
        <v>2.7886120000000001</v>
      </c>
      <c r="K527" s="50">
        <f>Exogenous!$H$81*'Fiscal Forecasts'!K$58</f>
        <v>3.0283640000000003</v>
      </c>
      <c r="L527" s="48">
        <f>Exogenous!$H$81*('Fiscal Forecasts'!L$58+Allocation!C$11)</f>
        <v>3.1257423199999996</v>
      </c>
      <c r="M527" s="48">
        <f>Exogenous!$H$81*('Fiscal Forecasts'!M$58+Allocation!D$11)</f>
        <v>3.2104467200000002</v>
      </c>
      <c r="N527" s="48">
        <f>Exogenous!$H$81*('Fiscal Forecasts'!N$58+Allocation!E$11)</f>
        <v>3.2961529999999999</v>
      </c>
      <c r="O527" s="48">
        <f>Exogenous!$H$81*('Fiscal Forecasts'!O$58+Allocation!F$11)</f>
        <v>3.3978553199999997</v>
      </c>
      <c r="P527" s="48">
        <f>Exogenous!$H$81*('Fiscal Forecasts'!P$58+Allocation!G$11)</f>
        <v>3.4918066399999996</v>
      </c>
      <c r="Q527" s="20">
        <f ca="1">P$527*(1+SUMPRODUCT(Exogenous!$H$84:$H$101,'Population Treasury'!AB$239:AB$256)/('Population Treasury'!AB$275/'Population Treasury'!AA$275)+SUMPRODUCT(Exogenous!$I$84:$I$101,'Population Treasury'!AB$257:AB$274)/('Population Treasury'!AB$277/'Population Treasury'!AA$277))*(1+Q$25)*(1+Q$29)*(1+OFFSET(Assumptions!$B$62,0,$C$1))</f>
        <v>3.6537129003716093</v>
      </c>
      <c r="R527" s="20">
        <f ca="1">Q$527*(1+SUMPRODUCT(Exogenous!$H$84:$H$101,'Population Treasury'!AC$239:AC$256)/('Population Treasury'!AC$275/'Population Treasury'!AB$275)+SUMPRODUCT(Exogenous!$I$84:$I$101,'Population Treasury'!AC$257:AC$274)/('Population Treasury'!AC$277/'Population Treasury'!AB$277))*(1+R$25)*(1+R$29)*(1+OFFSET(Assumptions!$B$62,0,$C$1))</f>
        <v>3.8193038881661181</v>
      </c>
      <c r="S527" s="20">
        <f ca="1">R$527*(1+SUMPRODUCT(Exogenous!$H$84:$H$101,'Population Treasury'!AD$239:AD$256)/('Population Treasury'!AD$275/'Population Treasury'!AC$275)+SUMPRODUCT(Exogenous!$I$84:$I$101,'Population Treasury'!AD$257:AD$274)/('Population Treasury'!AD$277/'Population Treasury'!AC$277))*(1+S$25)*(1+S$29)*(1+OFFSET(Assumptions!$B$62,0,$C$1))</f>
        <v>3.9901051321366552</v>
      </c>
      <c r="T527" s="20">
        <f ca="1">S$527*(1+SUMPRODUCT(Exogenous!$H$84:$H$101,'Population Treasury'!AE$239:AE$256)/('Population Treasury'!AE$275/'Population Treasury'!AD$275)+SUMPRODUCT(Exogenous!$I$84:$I$101,'Population Treasury'!AE$257:AE$274)/('Population Treasury'!AE$277/'Population Treasury'!AD$277))*(1+T$25)*(1+T$29)*(1+OFFSET(Assumptions!$B$62,0,$C$1))</f>
        <v>4.1671390190779007</v>
      </c>
      <c r="U527" s="20">
        <f ca="1">T$527*(1+SUMPRODUCT(Exogenous!$H$84:$H$101,'Population Treasury'!AF$239:AF$256)/('Population Treasury'!AF$275/'Population Treasury'!AE$275)+SUMPRODUCT(Exogenous!$I$84:$I$101,'Population Treasury'!AF$257:AF$274)/('Population Treasury'!AF$277/'Population Treasury'!AE$277))*(1+U$25)*(1+U$29)*(1+OFFSET(Assumptions!$B$62,0,$C$1))</f>
        <v>4.3519758878716051</v>
      </c>
      <c r="V527" s="20">
        <f ca="1">U$527*(1+SUMPRODUCT(Exogenous!$H$84:$H$101,'Population Treasury'!AG$239:AG$256)/('Population Treasury'!AG$275/'Population Treasury'!AF$275)+SUMPRODUCT(Exogenous!$I$84:$I$101,'Population Treasury'!AG$257:AG$274)/('Population Treasury'!AG$277/'Population Treasury'!AF$277))*(1+V$25)*(1+V$29)*(1+OFFSET(Assumptions!$B$62,0,$C$1))</f>
        <v>4.545102903131367</v>
      </c>
      <c r="W527" s="20">
        <f ca="1">V$527*(1+SUMPRODUCT(Exogenous!$H$84:$H$101,'Population Treasury'!AH$239:AH$256)/('Population Treasury'!AH$275/'Population Treasury'!AG$275)+SUMPRODUCT(Exogenous!$I$84:$I$101,'Population Treasury'!AH$257:AH$274)/('Population Treasury'!AH$277/'Population Treasury'!AG$277))*(1+W$25)*(1+W$29)*(1+OFFSET(Assumptions!$B$62,0,$C$1))</f>
        <v>4.7428816365340367</v>
      </c>
      <c r="X527" s="20">
        <f ca="1">W$527*(1+SUMPRODUCT(Exogenous!$H$84:$H$101,'Population Treasury'!AI$239:AI$256)/('Population Treasury'!AI$275/'Population Treasury'!AH$275)+SUMPRODUCT(Exogenous!$I$84:$I$101,'Population Treasury'!AI$257:AI$274)/('Population Treasury'!AI$277/'Population Treasury'!AH$277))*(1+X$25)*(1+X$29)*(1+OFFSET(Assumptions!$B$62,0,$C$1))</f>
        <v>4.9484375652464072</v>
      </c>
      <c r="Y527" s="20">
        <f ca="1">X$527*(1+SUMPRODUCT(Exogenous!$H$84:$H$101,'Population Treasury'!AJ$239:AJ$256)/('Population Treasury'!AJ$275/'Population Treasury'!AI$275)+SUMPRODUCT(Exogenous!$I$84:$I$101,'Population Treasury'!AJ$257:AJ$274)/('Population Treasury'!AJ$277/'Population Treasury'!AI$277))*(1+Y$25)*(1+Y$29)*(1+OFFSET(Assumptions!$B$62,0,$C$1))</f>
        <v>5.1636257897273579</v>
      </c>
      <c r="Z527" s="20">
        <f ca="1">Y$527*(1+SUMPRODUCT(Exogenous!$H$84:$H$101,'Population Treasury'!AK$239:AK$256)/('Population Treasury'!AK$275/'Population Treasury'!AJ$275)+SUMPRODUCT(Exogenous!$I$84:$I$101,'Population Treasury'!AK$257:AK$274)/('Population Treasury'!AK$277/'Population Treasury'!AJ$277))*(1+Z$25)*(1+Z$29)*(1+OFFSET(Assumptions!$B$62,0,$C$1))</f>
        <v>5.3870590363441053</v>
      </c>
    </row>
    <row r="528" spans="1:26" x14ac:dyDescent="0.25">
      <c r="A528" s="12" t="s">
        <v>1432</v>
      </c>
      <c r="B528" s="14" t="str">
        <f>$B$38</f>
        <v>From Fiscal Forecasts</v>
      </c>
      <c r="D528" s="50">
        <f>Exogenous!$K$81*'Fiscal Forecasts'!D$58</f>
        <v>1.3701000000000001</v>
      </c>
      <c r="E528" s="50">
        <f>Exogenous!$K$81*'Fiscal Forecasts'!E$58</f>
        <v>1.4918249999999997</v>
      </c>
      <c r="F528" s="50">
        <f>Exogenous!$K$81*'Fiscal Forecasts'!F$58</f>
        <v>1.7087999999999999</v>
      </c>
      <c r="G528" s="50">
        <f>Exogenous!$K$81*'Fiscal Forecasts'!G$58</f>
        <v>2.0835749999999997</v>
      </c>
      <c r="H528" s="50">
        <f>Exogenous!$K$81*'Fiscal Forecasts'!H$58</f>
        <v>2.1366749999999999</v>
      </c>
      <c r="I528" s="50">
        <f>Exogenous!$K$81*'Fiscal Forecasts'!I$58</f>
        <v>2.2499249999999997</v>
      </c>
      <c r="J528" s="50">
        <f>Exogenous!$K$81*'Fiscal Forecasts'!J$58</f>
        <v>2.2733249999999998</v>
      </c>
      <c r="K528" s="50">
        <f>Exogenous!$K$81*'Fiscal Forecasts'!K$58</f>
        <v>2.4687749999999999</v>
      </c>
      <c r="L528" s="48">
        <f>Exogenous!$K$81*('Fiscal Forecasts'!L$58+Allocation!C$11)</f>
        <v>2.5481594999999997</v>
      </c>
      <c r="M528" s="48">
        <f>Exogenous!$K$81*('Fiscal Forecasts'!M$58+Allocation!D$11)</f>
        <v>2.6172119999999999</v>
      </c>
      <c r="N528" s="48">
        <f>Exogenous!$K$81*('Fiscal Forecasts'!N$58+Allocation!E$11)</f>
        <v>2.6870812499999999</v>
      </c>
      <c r="O528" s="48">
        <f>Exogenous!$K$81*('Fiscal Forecasts'!O$58+Allocation!F$11)</f>
        <v>2.7699907499999994</v>
      </c>
      <c r="P528" s="48">
        <f>Exogenous!$K$81*('Fiscal Forecasts'!P$58+Allocation!G$11)</f>
        <v>2.8465814999999997</v>
      </c>
      <c r="Q528" s="20">
        <f ca="1">P$528*(1+SUMPRODUCT(Exogenous!$K$84:$K$101,'Population Treasury'!AB$239:AB$256)/('Population Treasury'!AB$276/'Population Treasury'!AA$276)+SUMPRODUCT(Exogenous!$L$84:$L$101,'Population Treasury'!AB$257:AB$274)/('Population Treasury'!AB$278/'Population Treasury'!AA$278))*(1+Q$25)*(1+Q$29)*(1+OFFSET(Assumptions!$B$62,0,$C$1))</f>
        <v>3.0874855282296045</v>
      </c>
      <c r="R528" s="20">
        <f ca="1">Q$528*(1+SUMPRODUCT(Exogenous!$K$84:$K$101,'Population Treasury'!AC$239:AC$256)/('Population Treasury'!AC$276/'Population Treasury'!AB$276)+SUMPRODUCT(Exogenous!$L$84:$L$101,'Population Treasury'!AC$257:AC$274)/('Population Treasury'!AC$278/'Population Treasury'!AB$278))*(1+R$25)*(1+R$29)*(1+OFFSET(Assumptions!$B$62,0,$C$1))</f>
        <v>3.3319428592428166</v>
      </c>
      <c r="S528" s="20">
        <f ca="1">R$528*(1+SUMPRODUCT(Exogenous!$K$84:$K$101,'Population Treasury'!AD$239:AD$256)/('Population Treasury'!AD$276/'Population Treasury'!AC$276)+SUMPRODUCT(Exogenous!$L$84:$L$101,'Population Treasury'!AD$257:AD$274)/('Population Treasury'!AD$278/'Population Treasury'!AC$278))*(1+S$25)*(1+S$29)*(1+OFFSET(Assumptions!$B$62,0,$C$1))</f>
        <v>3.5790959442523009</v>
      </c>
      <c r="T528" s="20">
        <f ca="1">S$528*(1+SUMPRODUCT(Exogenous!$K$84:$K$101,'Population Treasury'!AE$239:AE$256)/('Population Treasury'!AE$276/'Population Treasury'!AD$276)+SUMPRODUCT(Exogenous!$L$84:$L$101,'Population Treasury'!AE$257:AE$274)/('Population Treasury'!AE$278/'Population Treasury'!AD$278))*(1+T$25)*(1+T$29)*(1+OFFSET(Assumptions!$B$62,0,$C$1))</f>
        <v>3.8385640344022876</v>
      </c>
      <c r="U528" s="20">
        <f ca="1">T$528*(1+SUMPRODUCT(Exogenous!$K$84:$K$101,'Population Treasury'!AF$239:AF$256)/('Population Treasury'!AF$276/'Population Treasury'!AE$276)+SUMPRODUCT(Exogenous!$L$84:$L$101,'Population Treasury'!AF$257:AF$274)/('Population Treasury'!AF$278/'Population Treasury'!AE$278))*(1+U$25)*(1+U$29)*(1+OFFSET(Assumptions!$B$62,0,$C$1))</f>
        <v>4.1054307609820002</v>
      </c>
      <c r="V528" s="20">
        <f ca="1">U$528*(1+SUMPRODUCT(Exogenous!$K$84:$K$101,'Population Treasury'!AG$239:AG$256)/('Population Treasury'!AG$276/'Population Treasury'!AF$276)+SUMPRODUCT(Exogenous!$L$84:$L$101,'Population Treasury'!AG$257:AG$274)/('Population Treasury'!AG$278/'Population Treasury'!AF$278))*(1+V$25)*(1+V$29)*(1+OFFSET(Assumptions!$B$62,0,$C$1))</f>
        <v>4.3871140108467168</v>
      </c>
      <c r="W528" s="20">
        <f ca="1">V$528*(1+SUMPRODUCT(Exogenous!$K$84:$K$101,'Population Treasury'!AH$239:AH$256)/('Population Treasury'!AH$276/'Population Treasury'!AG$276)+SUMPRODUCT(Exogenous!$L$84:$L$101,'Population Treasury'!AH$257:AH$274)/('Population Treasury'!AH$278/'Population Treasury'!AG$278))*(1+W$25)*(1+W$29)*(1+OFFSET(Assumptions!$B$62,0,$C$1))</f>
        <v>4.6806104282027867</v>
      </c>
      <c r="X528" s="20">
        <f ca="1">W$528*(1+SUMPRODUCT(Exogenous!$K$84:$K$101,'Population Treasury'!AI$239:AI$256)/('Population Treasury'!AI$276/'Population Treasury'!AH$276)+SUMPRODUCT(Exogenous!$L$84:$L$101,'Population Treasury'!AI$257:AI$274)/('Population Treasury'!AI$278/'Population Treasury'!AH$278))*(1+X$25)*(1+X$29)*(1+OFFSET(Assumptions!$B$62,0,$C$1))</f>
        <v>4.9923185868644184</v>
      </c>
      <c r="Y528" s="20">
        <f ca="1">X$528*(1+SUMPRODUCT(Exogenous!$K$84:$K$101,'Population Treasury'!AJ$239:AJ$256)/('Population Treasury'!AJ$276/'Population Treasury'!AI$276)+SUMPRODUCT(Exogenous!$L$84:$L$101,'Population Treasury'!AJ$257:AJ$274)/('Population Treasury'!AJ$278/'Population Treasury'!AI$278))*(1+Y$25)*(1+Y$29)*(1+OFFSET(Assumptions!$B$62,0,$C$1))</f>
        <v>5.3166139956171197</v>
      </c>
      <c r="Z528" s="20">
        <f ca="1">Y$528*(1+SUMPRODUCT(Exogenous!$K$84:$K$101,'Population Treasury'!AK$239:AK$256)/('Population Treasury'!AK$276/'Population Treasury'!AJ$276)+SUMPRODUCT(Exogenous!$L$84:$L$101,'Population Treasury'!AK$257:AK$274)/('Population Treasury'!AK$278/'Population Treasury'!AJ$278))*(1+Z$25)*(1+Z$29)*(1+OFFSET(Assumptions!$B$62,0,$C$1))</f>
        <v>5.6609245870496947</v>
      </c>
    </row>
    <row r="529" spans="1:26" x14ac:dyDescent="0.25">
      <c r="A529" s="12" t="s">
        <v>1433</v>
      </c>
      <c r="B529" s="14" t="str">
        <f>$B$38</f>
        <v>From Fiscal Forecasts</v>
      </c>
      <c r="D529" s="50">
        <f>Exogenous!$N$81*'Fiscal Forecasts'!D$58</f>
        <v>1.2787600000000001</v>
      </c>
      <c r="E529" s="50">
        <f>Exogenous!$N$81*'Fiscal Forecasts'!E$58</f>
        <v>1.3923700000000001</v>
      </c>
      <c r="F529" s="50">
        <f>Exogenous!$N$81*'Fiscal Forecasts'!F$58</f>
        <v>1.5948800000000001</v>
      </c>
      <c r="G529" s="50">
        <f>Exogenous!$N$81*'Fiscal Forecasts'!G$58</f>
        <v>1.9446700000000001</v>
      </c>
      <c r="H529" s="50">
        <f>Exogenous!$N$81*'Fiscal Forecasts'!H$58</f>
        <v>1.9942300000000002</v>
      </c>
      <c r="I529" s="50">
        <f>Exogenous!$N$81*'Fiscal Forecasts'!I$58</f>
        <v>2.0999300000000001</v>
      </c>
      <c r="J529" s="50">
        <f>Exogenous!$N$81*'Fiscal Forecasts'!J$58</f>
        <v>2.1217700000000002</v>
      </c>
      <c r="K529" s="50">
        <f>Exogenous!$N$81*'Fiscal Forecasts'!K$58</f>
        <v>2.3041900000000002</v>
      </c>
      <c r="L529" s="48">
        <f>Exogenous!$N$81*('Fiscal Forecasts'!L$58+Allocation!C$11)</f>
        <v>2.3782822000000001</v>
      </c>
      <c r="M529" s="48">
        <f>Exogenous!$N$81*('Fiscal Forecasts'!M$58+Allocation!D$11)</f>
        <v>2.4427312000000003</v>
      </c>
      <c r="N529" s="48">
        <f>Exogenous!$N$81*('Fiscal Forecasts'!N$58+Allocation!E$11)</f>
        <v>2.5079425000000004</v>
      </c>
      <c r="O529" s="48">
        <f>Exogenous!$N$81*('Fiscal Forecasts'!O$58+Allocation!F$11)</f>
        <v>2.5853247000000001</v>
      </c>
      <c r="P529" s="48">
        <f>Exogenous!$N$81*('Fiscal Forecasts'!P$58+Allocation!G$11)</f>
        <v>2.6568094000000002</v>
      </c>
      <c r="Q529" s="20">
        <f ca="1">P$529*(1+SUMPRODUCT(Exogenous!$N$84:$N$101,'Population Treasury'!AB$239:AB$256)/('Population Treasury'!AB$276/'Population Treasury'!AA$276)+SUMPRODUCT(Exogenous!$O$84:$O$101,'Population Treasury'!AB$257:AB$274)/('Population Treasury'!AB$278/'Population Treasury'!AA$278))*(1+Q$25)*(1+Q$29)*(1+OFFSET(Assumptions!$B$62,0,$C$1))</f>
        <v>2.860532667525741</v>
      </c>
      <c r="R529" s="20">
        <f ca="1">Q$529*(1+SUMPRODUCT(Exogenous!$N$84:$N$101,'Population Treasury'!AC$239:AC$256)/('Population Treasury'!AC$276/'Population Treasury'!AB$276)+SUMPRODUCT(Exogenous!$O$84:$O$101,'Population Treasury'!AC$257:AC$274)/('Population Treasury'!AC$278/'Population Treasury'!AB$278))*(1+R$25)*(1+R$29)*(1+OFFSET(Assumptions!$B$62,0,$C$1))</f>
        <v>3.0681927900839883</v>
      </c>
      <c r="S529" s="20">
        <f ca="1">R$529*(1+SUMPRODUCT(Exogenous!$N$84:$N$101,'Population Treasury'!AD$239:AD$256)/('Population Treasury'!AD$276/'Population Treasury'!AC$276)+SUMPRODUCT(Exogenous!$O$84:$O$101,'Population Treasury'!AD$257:AD$274)/('Population Treasury'!AD$278/'Population Treasury'!AC$278))*(1+S$25)*(1+S$29)*(1+OFFSET(Assumptions!$B$62,0,$C$1))</f>
        <v>3.2799278302759483</v>
      </c>
      <c r="T529" s="20">
        <f ca="1">S$529*(1+SUMPRODUCT(Exogenous!$N$84:$N$101,'Population Treasury'!AE$239:AE$256)/('Population Treasury'!AE$276/'Population Treasury'!AD$276)+SUMPRODUCT(Exogenous!$O$84:$O$101,'Population Treasury'!AE$257:AE$274)/('Population Treasury'!AE$278/'Population Treasury'!AD$278))*(1+T$25)*(1+T$29)*(1+OFFSET(Assumptions!$B$62,0,$C$1))</f>
        <v>3.5003944589464093</v>
      </c>
      <c r="U529" s="20">
        <f ca="1">T$529*(1+SUMPRODUCT(Exogenous!$N$84:$N$101,'Population Treasury'!AF$239:AF$256)/('Population Treasury'!AF$276/'Population Treasury'!AE$276)+SUMPRODUCT(Exogenous!$O$84:$O$101,'Population Treasury'!AF$257:AF$274)/('Population Treasury'!AF$278/'Population Treasury'!AE$278))*(1+U$25)*(1+U$29)*(1+OFFSET(Assumptions!$B$62,0,$C$1))</f>
        <v>3.7290545008005065</v>
      </c>
      <c r="V529" s="20">
        <f ca="1">U$529*(1+SUMPRODUCT(Exogenous!$N$84:$N$101,'Population Treasury'!AG$239:AG$256)/('Population Treasury'!AG$276/'Population Treasury'!AF$276)+SUMPRODUCT(Exogenous!$O$84:$O$101,'Population Treasury'!AG$257:AG$274)/('Population Treasury'!AG$278/'Population Treasury'!AF$278))*(1+V$25)*(1+V$29)*(1+OFFSET(Assumptions!$B$62,0,$C$1))</f>
        <v>3.9690540100741778</v>
      </c>
      <c r="W529" s="20">
        <f ca="1">V$529*(1+SUMPRODUCT(Exogenous!$N$84:$N$101,'Population Treasury'!AH$239:AH$256)/('Population Treasury'!AH$276/'Population Treasury'!AG$276)+SUMPRODUCT(Exogenous!$O$84:$O$101,'Population Treasury'!AH$257:AH$274)/('Population Treasury'!AH$278/'Population Treasury'!AG$278))*(1+W$25)*(1+W$29)*(1+OFFSET(Assumptions!$B$62,0,$C$1))</f>
        <v>4.2183855861107116</v>
      </c>
      <c r="X529" s="20">
        <f ca="1">W$529*(1+SUMPRODUCT(Exogenous!$N$84:$N$101,'Population Treasury'!AI$239:AI$256)/('Population Treasury'!AI$276/'Population Treasury'!AH$276)+SUMPRODUCT(Exogenous!$O$84:$O$101,'Population Treasury'!AI$257:AI$274)/('Population Treasury'!AI$278/'Population Treasury'!AH$278))*(1+X$25)*(1+X$29)*(1+OFFSET(Assumptions!$B$62,0,$C$1))</f>
        <v>4.4808322631300177</v>
      </c>
      <c r="Y529" s="20">
        <f ca="1">X$529*(1+SUMPRODUCT(Exogenous!$N$84:$N$101,'Population Treasury'!AJ$239:AJ$256)/('Population Treasury'!AJ$276/'Population Treasury'!AI$276)+SUMPRODUCT(Exogenous!$O$84:$O$101,'Population Treasury'!AJ$257:AJ$274)/('Population Treasury'!AJ$278/'Population Treasury'!AI$278))*(1+Y$25)*(1+Y$29)*(1+OFFSET(Assumptions!$B$62,0,$C$1))</f>
        <v>4.7521146106172338</v>
      </c>
      <c r="Z529" s="20">
        <f ca="1">Y$529*(1+SUMPRODUCT(Exogenous!$N$84:$N$101,'Population Treasury'!AK$239:AK$256)/('Population Treasury'!AK$276/'Population Treasury'!AJ$276)+SUMPRODUCT(Exogenous!$O$84:$O$101,'Population Treasury'!AK$257:AK$274)/('Population Treasury'!AK$278/'Population Treasury'!AJ$278))*(1+Z$25)*(1+Z$29)*(1+OFFSET(Assumptions!$B$62,0,$C$1))</f>
        <v>5.0381418012433974</v>
      </c>
    </row>
    <row r="530" spans="1:26" x14ac:dyDescent="0.25">
      <c r="A530" s="11" t="s">
        <v>1275</v>
      </c>
      <c r="D530" s="94">
        <f t="shared" ref="D530:Z530" si="311">SUM(D$525:D$529)</f>
        <v>18.268000000000001</v>
      </c>
      <c r="E530" s="94">
        <f t="shared" si="311"/>
        <v>19.890999999999998</v>
      </c>
      <c r="F530" s="94">
        <f t="shared" si="311"/>
        <v>22.783999999999999</v>
      </c>
      <c r="G530" s="94">
        <f t="shared" si="311"/>
        <v>27.780999999999999</v>
      </c>
      <c r="H530" s="94">
        <f t="shared" si="311"/>
        <v>28.489000000000004</v>
      </c>
      <c r="I530" s="94">
        <f t="shared" si="311"/>
        <v>29.998999999999999</v>
      </c>
      <c r="J530" s="94">
        <f t="shared" si="311"/>
        <v>30.311</v>
      </c>
      <c r="K530" s="94">
        <f t="shared" si="311"/>
        <v>32.917000000000002</v>
      </c>
      <c r="L530" s="95">
        <f t="shared" si="311"/>
        <v>33.975459999999998</v>
      </c>
      <c r="M530" s="95">
        <f t="shared" si="311"/>
        <v>34.896160000000002</v>
      </c>
      <c r="N530" s="95">
        <f t="shared" si="311"/>
        <v>35.827749999999995</v>
      </c>
      <c r="O530" s="95">
        <f t="shared" si="311"/>
        <v>36.933209999999995</v>
      </c>
      <c r="P530" s="95">
        <f t="shared" si="311"/>
        <v>37.954419999999999</v>
      </c>
      <c r="Q530" s="96">
        <f t="shared" ca="1" si="311"/>
        <v>40.083246679023617</v>
      </c>
      <c r="R530" s="96">
        <f t="shared" ca="1" si="311"/>
        <v>42.262937078894559</v>
      </c>
      <c r="S530" s="96">
        <f t="shared" ca="1" si="311"/>
        <v>44.500970421577534</v>
      </c>
      <c r="T530" s="96">
        <f t="shared" ca="1" si="311"/>
        <v>46.825942970009798</v>
      </c>
      <c r="U530" s="96">
        <f t="shared" ca="1" si="311"/>
        <v>49.248600254770139</v>
      </c>
      <c r="V530" s="96">
        <f t="shared" ca="1" si="311"/>
        <v>51.788514695551115</v>
      </c>
      <c r="W530" s="96">
        <f t="shared" ca="1" si="311"/>
        <v>54.428404489248138</v>
      </c>
      <c r="X530" s="96">
        <f t="shared" ca="1" si="311"/>
        <v>57.188688467494948</v>
      </c>
      <c r="Y530" s="96">
        <f t="shared" ca="1" si="311"/>
        <v>60.068612845673407</v>
      </c>
      <c r="Z530" s="96">
        <f t="shared" ca="1" si="311"/>
        <v>63.082125679942266</v>
      </c>
    </row>
    <row r="532" spans="1:26" x14ac:dyDescent="0.25">
      <c r="A532" s="11" t="s">
        <v>1277</v>
      </c>
    </row>
    <row r="533" spans="1:26" x14ac:dyDescent="0.25">
      <c r="A533" s="12" t="s">
        <v>728</v>
      </c>
      <c r="B533" s="14" t="str">
        <f>$B$38</f>
        <v>From Fiscal Forecasts</v>
      </c>
      <c r="D533" s="50">
        <f>'Fiscal Forecasts'!D$408</f>
        <v>1.8959999999999999</v>
      </c>
      <c r="E533" s="50">
        <f>'Fiscal Forecasts'!E$408</f>
        <v>2.0070000000000001</v>
      </c>
      <c r="F533" s="50">
        <f>'Fiscal Forecasts'!F$408</f>
        <v>2.1320000000000001</v>
      </c>
      <c r="G533" s="50">
        <f>'Fiscal Forecasts'!G$408</f>
        <v>2.2469999999999999</v>
      </c>
      <c r="H533" s="50">
        <f>'Fiscal Forecasts'!H$408</f>
        <v>2.355</v>
      </c>
      <c r="I533" s="50">
        <f>'Fiscal Forecasts'!I$408</f>
        <v>2.71</v>
      </c>
      <c r="J533" s="50">
        <f>'Fiscal Forecasts'!J$408</f>
        <v>3.0739999999999998</v>
      </c>
      <c r="K533" s="50">
        <f>'Fiscal Forecasts'!K$408</f>
        <v>3.0179999999999998</v>
      </c>
      <c r="L533" s="48">
        <f>'Fiscal Forecasts'!L$408+Allocation!C$24</f>
        <v>3.05780165</v>
      </c>
      <c r="M533" s="48">
        <f>'Fiscal Forecasts'!M$408+Allocation!D$24</f>
        <v>3.2386334000000003</v>
      </c>
      <c r="N533" s="48">
        <f>'Fiscal Forecasts'!N$408+Allocation!E$24</f>
        <v>3.3726093750000001</v>
      </c>
      <c r="O533" s="48">
        <f>'Fiscal Forecasts'!O$408+Allocation!F$24</f>
        <v>3.5015535249999998</v>
      </c>
      <c r="P533" s="48">
        <f>'Fiscal Forecasts'!P$408+Allocation!G$24</f>
        <v>3.6058670499999996</v>
      </c>
      <c r="Q533" s="20">
        <f ca="1">P$533*(1+SUMPRODUCT(Exogenous!$B$67:$B$72,'Population Treasury'!AB$280:AB$285)+SUMPRODUCT(Exogenous!$C$67:$C$72,'Population Treasury'!AB$304:AB$309))*(1+Q$25)*(1+Q$29)*(1+OFFSET(Assumptions!$B$63,0,$C$1))</f>
        <v>3.7381593928494494</v>
      </c>
      <c r="R533" s="20">
        <f ca="1">Q$533*(1+SUMPRODUCT(Exogenous!$B$67:$B$72,'Population Treasury'!AC$280:AC$285)+SUMPRODUCT(Exogenous!$C$67:$C$72,'Population Treasury'!AC$304:AC$309))*(1+R$25)*(1+R$29)*(1+OFFSET(Assumptions!$B$63,0,$C$1))</f>
        <v>3.8735749199424725</v>
      </c>
      <c r="S533" s="20">
        <f ca="1">R$533*(1+SUMPRODUCT(Exogenous!$B$67:$B$72,'Population Treasury'!AD$280:AD$285)+SUMPRODUCT(Exogenous!$C$67:$C$72,'Population Treasury'!AD$304:AD$309))*(1+S$25)*(1+S$29)*(1+OFFSET(Assumptions!$B$63,0,$C$1))</f>
        <v>4.0135175292436447</v>
      </c>
      <c r="T533" s="20">
        <f ca="1">S$533*(1+SUMPRODUCT(Exogenous!$B$67:$B$72,'Population Treasury'!AE$280:AE$285)+SUMPRODUCT(Exogenous!$C$67:$C$72,'Population Treasury'!AE$304:AE$309))*(1+T$25)*(1+T$29)*(1+OFFSET(Assumptions!$B$63,0,$C$1))</f>
        <v>4.1606999679535024</v>
      </c>
      <c r="U533" s="20">
        <f ca="1">T$533*(1+SUMPRODUCT(Exogenous!$B$67:$B$72,'Population Treasury'!AF$280:AF$285)+SUMPRODUCT(Exogenous!$C$67:$C$72,'Population Treasury'!AF$304:AF$309))*(1+U$25)*(1+U$29)*(1+OFFSET(Assumptions!$B$63,0,$C$1))</f>
        <v>4.3172500258791429</v>
      </c>
      <c r="V533" s="20">
        <f ca="1">U$533*(1+SUMPRODUCT(Exogenous!$B$67:$B$72,'Population Treasury'!AG$280:AG$285)+SUMPRODUCT(Exogenous!$C$67:$C$72,'Population Treasury'!AG$304:AG$309))*(1+V$25)*(1+V$29)*(1+OFFSET(Assumptions!$B$63,0,$C$1))</f>
        <v>4.484471206476095</v>
      </c>
      <c r="W533" s="20">
        <f ca="1">V$533*(1+SUMPRODUCT(Exogenous!$B$67:$B$72,'Population Treasury'!AH$280:AH$285)+SUMPRODUCT(Exogenous!$C$67:$C$72,'Population Treasury'!AH$304:AH$309))*(1+W$25)*(1+W$29)*(1+OFFSET(Assumptions!$B$63,0,$C$1))</f>
        <v>4.6628813449209119</v>
      </c>
      <c r="X533" s="20">
        <f ca="1">W$533*(1+SUMPRODUCT(Exogenous!$B$67:$B$72,'Population Treasury'!AI$280:AI$285)+SUMPRODUCT(Exogenous!$C$67:$C$72,'Population Treasury'!AI$304:AI$309))*(1+X$25)*(1+X$29)*(1+OFFSET(Assumptions!$B$63,0,$C$1))</f>
        <v>4.8527621000834378</v>
      </c>
      <c r="Y533" s="20">
        <f ca="1">X$533*(1+SUMPRODUCT(Exogenous!$B$67:$B$72,'Population Treasury'!AJ$280:AJ$285)+SUMPRODUCT(Exogenous!$C$67:$C$72,'Population Treasury'!AJ$304:AJ$309))*(1+Y$25)*(1+Y$29)*(1+OFFSET(Assumptions!$B$63,0,$C$1))</f>
        <v>5.0545512941973714</v>
      </c>
      <c r="Z533" s="20">
        <f ca="1">Y$533*(1+SUMPRODUCT(Exogenous!$B$67:$B$72,'Population Treasury'!AK$280:AK$285)+SUMPRODUCT(Exogenous!$C$67:$C$72,'Population Treasury'!AK$304:AK$309))*(1+Z$25)*(1+Z$29)*(1+OFFSET(Assumptions!$B$63,0,$C$1))</f>
        <v>5.2672900103709868</v>
      </c>
    </row>
    <row r="534" spans="1:26" x14ac:dyDescent="0.25">
      <c r="A534" s="12" t="s">
        <v>1434</v>
      </c>
      <c r="B534" s="14" t="str">
        <f t="shared" ref="B534:B539" si="312">$B$38</f>
        <v>From Fiscal Forecasts</v>
      </c>
      <c r="D534" s="50">
        <f>'Fiscal Forecasts'!D$409</f>
        <v>3.835</v>
      </c>
      <c r="E534" s="50">
        <f>'Fiscal Forecasts'!E$409</f>
        <v>4.0129999999999999</v>
      </c>
      <c r="F534" s="50">
        <f>'Fiscal Forecasts'!F$409</f>
        <v>4.6470000000000002</v>
      </c>
      <c r="G534" s="50">
        <f>'Fiscal Forecasts'!G$409</f>
        <v>4.7329999999999997</v>
      </c>
      <c r="H534" s="50">
        <f>'Fiscal Forecasts'!H$409</f>
        <v>4.7789999999999999</v>
      </c>
      <c r="I534" s="50">
        <f>'Fiscal Forecasts'!I$409</f>
        <v>5.39</v>
      </c>
      <c r="J534" s="50">
        <f>'Fiscal Forecasts'!J$409</f>
        <v>5.5259999999999998</v>
      </c>
      <c r="K534" s="50">
        <f>'Fiscal Forecasts'!K$409</f>
        <v>5.6630000000000003</v>
      </c>
      <c r="L534" s="48">
        <f>'Fiscal Forecasts'!L$409+Allocation!C$25</f>
        <v>6.1281812000000002</v>
      </c>
      <c r="M534" s="48">
        <f>'Fiscal Forecasts'!M$409+Allocation!D$25</f>
        <v>6.4117951999999994</v>
      </c>
      <c r="N534" s="48">
        <f>'Fiscal Forecasts'!N$409+Allocation!E$25</f>
        <v>6.4693750000000003</v>
      </c>
      <c r="O534" s="48">
        <f>'Fiscal Forecasts'!O$409+Allocation!F$25</f>
        <v>6.6502961999999997</v>
      </c>
      <c r="P534" s="48">
        <f>'Fiscal Forecasts'!P$409+Allocation!G$25</f>
        <v>6.8068724000000005</v>
      </c>
      <c r="Q534" s="20">
        <f ca="1">P$534*(1+SUMPRODUCT(Exogenous!$G$67:$G$75,'Population Treasury'!AB$285:AB$293)+SUMPRODUCT(Exogenous!$H$67:$H$75,'Population Treasury'!AB$309:AB$317))*(1+Q$25)*(1+Q$29)*(1+OFFSET(Assumptions!$B$63,0,$C$1))</f>
        <v>7.0213923532428204</v>
      </c>
      <c r="R534" s="20">
        <f ca="1">Q$534*(1+SUMPRODUCT(Exogenous!$G$67:$G$75,'Population Treasury'!AC$285:AC$293)+SUMPRODUCT(Exogenous!$H$67:$H$75,'Population Treasury'!AC$309:AC$317))*(1+R$25)*(1+R$29)*(1+OFFSET(Assumptions!$B$63,0,$C$1))</f>
        <v>7.2434910204359726</v>
      </c>
      <c r="S534" s="20">
        <f ca="1">R$534*(1+SUMPRODUCT(Exogenous!$G$67:$G$75,'Population Treasury'!AD$285:AD$293)+SUMPRODUCT(Exogenous!$H$67:$H$75,'Population Treasury'!AD$309:AD$317))*(1+S$25)*(1+S$29)*(1+OFFSET(Assumptions!$B$63,0,$C$1))</f>
        <v>7.4698970476595266</v>
      </c>
      <c r="T534" s="20">
        <f ca="1">S$534*(1+SUMPRODUCT(Exogenous!$G$67:$G$75,'Population Treasury'!AE$285:AE$293)+SUMPRODUCT(Exogenous!$H$67:$H$75,'Population Treasury'!AE$309:AE$317))*(1+T$25)*(1+T$29)*(1+OFFSET(Assumptions!$B$63,0,$C$1))</f>
        <v>7.7000963704380743</v>
      </c>
      <c r="U534" s="20">
        <f ca="1">T$534*(1+SUMPRODUCT(Exogenous!$G$67:$G$75,'Population Treasury'!AF$285:AF$293)+SUMPRODUCT(Exogenous!$H$67:$H$75,'Population Treasury'!AF$309:AF$317))*(1+U$25)*(1+U$29)*(1+OFFSET(Assumptions!$B$63,0,$C$1))</f>
        <v>7.968115934886363</v>
      </c>
      <c r="V534" s="20">
        <f ca="1">U$534*(1+SUMPRODUCT(Exogenous!$G$67:$G$75,'Population Treasury'!AG$285:AG$293)+SUMPRODUCT(Exogenous!$H$67:$H$75,'Population Treasury'!AG$309:AG$317))*(1+V$25)*(1+V$29)*(1+OFFSET(Assumptions!$B$63,0,$C$1))</f>
        <v>8.2717781950830123</v>
      </c>
      <c r="W534" s="20">
        <f ca="1">V$534*(1+SUMPRODUCT(Exogenous!$G$67:$G$75,'Population Treasury'!AH$285:AH$293)+SUMPRODUCT(Exogenous!$H$67:$H$75,'Population Treasury'!AH$309:AH$317))*(1+W$25)*(1+W$29)*(1+OFFSET(Assumptions!$B$63,0,$C$1))</f>
        <v>8.5801378433312792</v>
      </c>
      <c r="X534" s="20">
        <f ca="1">W$534*(1+SUMPRODUCT(Exogenous!$G$67:$G$75,'Population Treasury'!AI$285:AI$293)+SUMPRODUCT(Exogenous!$H$67:$H$75,'Population Treasury'!AI$309:AI$317))*(1+X$25)*(1+X$29)*(1+OFFSET(Assumptions!$B$63,0,$C$1))</f>
        <v>8.8936625059541523</v>
      </c>
      <c r="Y534" s="20">
        <f ca="1">X$534*(1+SUMPRODUCT(Exogenous!$G$67:$G$75,'Population Treasury'!AJ$285:AJ$293)+SUMPRODUCT(Exogenous!$H$67:$H$75,'Population Treasury'!AJ$309:AJ$317))*(1+Y$25)*(1+Y$29)*(1+OFFSET(Assumptions!$B$63,0,$C$1))</f>
        <v>9.221137254313188</v>
      </c>
      <c r="Z534" s="20">
        <f ca="1">Y$534*(1+SUMPRODUCT(Exogenous!$G$67:$G$75,'Population Treasury'!AK$285:AK$293)+SUMPRODUCT(Exogenous!$H$67:$H$75,'Population Treasury'!AK$309:AK$317))*(1+Z$25)*(1+Z$29)*(1+OFFSET(Assumptions!$B$63,0,$C$1))</f>
        <v>9.5655850701206955</v>
      </c>
    </row>
    <row r="535" spans="1:26" x14ac:dyDescent="0.25">
      <c r="A535" s="12" t="s">
        <v>1435</v>
      </c>
      <c r="B535" s="14" t="str">
        <f t="shared" si="312"/>
        <v>From Fiscal Forecasts</v>
      </c>
      <c r="D535" s="50">
        <f>'Fiscal Forecasts'!D$410</f>
        <v>2.988</v>
      </c>
      <c r="E535" s="50">
        <f>'Fiscal Forecasts'!E$410</f>
        <v>3.0950000000000002</v>
      </c>
      <c r="F535" s="50">
        <f>'Fiscal Forecasts'!F$410</f>
        <v>3.5830000000000002</v>
      </c>
      <c r="G535" s="50">
        <f>'Fiscal Forecasts'!G$410</f>
        <v>3.7450000000000001</v>
      </c>
      <c r="H535" s="50">
        <f>'Fiscal Forecasts'!H$410</f>
        <v>3.8370000000000002</v>
      </c>
      <c r="I535" s="50">
        <f>'Fiscal Forecasts'!I$410</f>
        <v>4.351</v>
      </c>
      <c r="J535" s="50">
        <f>'Fiscal Forecasts'!J$410</f>
        <v>4.4240000000000004</v>
      </c>
      <c r="K535" s="50">
        <f>'Fiscal Forecasts'!K$410</f>
        <v>4.5599999999999996</v>
      </c>
      <c r="L535" s="48">
        <f>'Fiscal Forecasts'!L$410+Allocation!C$26</f>
        <v>4.9147138000000004</v>
      </c>
      <c r="M535" s="48">
        <f>'Fiscal Forecasts'!M$410+Allocation!D$26</f>
        <v>5.1386248000000005</v>
      </c>
      <c r="N535" s="48">
        <f>'Fiscal Forecasts'!N$410+Allocation!E$26</f>
        <v>5.1814375000000004</v>
      </c>
      <c r="O535" s="48">
        <f>'Fiscal Forecasts'!O$410+Allocation!F$26</f>
        <v>5.3241613000000001</v>
      </c>
      <c r="P535" s="48">
        <f>'Fiscal Forecasts'!P$410+Allocation!G$26</f>
        <v>5.4460426000000002</v>
      </c>
      <c r="Q535" s="20">
        <f ca="1">P$535*(1+SUMPRODUCT(Exogenous!$L$67:$L$73,'Population Treasury'!AB$293:AB$299)+SUMPRODUCT(Exogenous!$M$67:$M$73,'Population Treasury'!AB$317:AB$323))*(1+Q$25)*(1+Q$29)*(1+OFFSET(Assumptions!$B$63,0,$C$1))</f>
        <v>5.6304125364865794</v>
      </c>
      <c r="R535" s="20">
        <f ca="1">Q$535*(1+SUMPRODUCT(Exogenous!$L$67:$L$73,'Population Treasury'!AC$293:AC$299)+SUMPRODUCT(Exogenous!$M$67:$M$73,'Population Treasury'!AC$317:AC$323))*(1+R$25)*(1+R$29)*(1+OFFSET(Assumptions!$B$63,0,$C$1))</f>
        <v>5.8114915747315221</v>
      </c>
      <c r="S535" s="20">
        <f ca="1">R$535*(1+SUMPRODUCT(Exogenous!$L$67:$L$73,'Population Treasury'!AD$293:AD$299)+SUMPRODUCT(Exogenous!$M$67:$M$73,'Population Treasury'!AD$317:AD$323))*(1+S$25)*(1+S$29)*(1+OFFSET(Assumptions!$B$63,0,$C$1))</f>
        <v>6.0024096194187493</v>
      </c>
      <c r="T535" s="20">
        <f ca="1">S$535*(1+SUMPRODUCT(Exogenous!$L$67:$L$73,'Population Treasury'!AE$293:AE$299)+SUMPRODUCT(Exogenous!$M$67:$M$73,'Population Treasury'!AE$317:AE$323))*(1+T$25)*(1+T$29)*(1+OFFSET(Assumptions!$B$63,0,$C$1))</f>
        <v>6.2003281633263878</v>
      </c>
      <c r="U535" s="20">
        <f ca="1">T$535*(1+SUMPRODUCT(Exogenous!$L$67:$L$73,'Population Treasury'!AF$293:AF$299)+SUMPRODUCT(Exogenous!$M$67:$M$73,'Population Treasury'!AF$317:AF$323))*(1+U$25)*(1+U$29)*(1+OFFSET(Assumptions!$B$63,0,$C$1))</f>
        <v>6.373706012087184</v>
      </c>
      <c r="V535" s="20">
        <f ca="1">U$535*(1+SUMPRODUCT(Exogenous!$L$67:$L$73,'Population Treasury'!AG$293:AG$299)+SUMPRODUCT(Exogenous!$M$67:$M$73,'Population Treasury'!AG$317:AG$323))*(1+V$25)*(1+V$29)*(1+OFFSET(Assumptions!$B$63,0,$C$1))</f>
        <v>6.5114889765022825</v>
      </c>
      <c r="W535" s="20">
        <f ca="1">V$535*(1+SUMPRODUCT(Exogenous!$L$67:$L$73,'Population Treasury'!AH$293:AH$299)+SUMPRODUCT(Exogenous!$M$67:$M$73,'Population Treasury'!AH$317:AH$323))*(1+W$25)*(1+W$29)*(1+OFFSET(Assumptions!$B$63,0,$C$1))</f>
        <v>6.6685362998528506</v>
      </c>
      <c r="X535" s="20">
        <f ca="1">W$535*(1+SUMPRODUCT(Exogenous!$L$67:$L$73,'Population Treasury'!AI$293:AI$299)+SUMPRODUCT(Exogenous!$M$67:$M$73,'Population Treasury'!AI$317:AI$323))*(1+X$25)*(1+X$29)*(1+OFFSET(Assumptions!$B$63,0,$C$1))</f>
        <v>6.8454207260889373</v>
      </c>
      <c r="Y535" s="20">
        <f ca="1">X$535*(1+SUMPRODUCT(Exogenous!$L$67:$L$73,'Population Treasury'!AJ$293:AJ$299)+SUMPRODUCT(Exogenous!$M$67:$M$73,'Population Treasury'!AJ$317:AJ$323))*(1+Y$25)*(1+Y$29)*(1+OFFSET(Assumptions!$B$63,0,$C$1))</f>
        <v>7.0508573342863441</v>
      </c>
      <c r="Z535" s="20">
        <f ca="1">Y$535*(1+SUMPRODUCT(Exogenous!$L$67:$L$73,'Population Treasury'!AK$293:AK$299)+SUMPRODUCT(Exogenous!$M$67:$M$73,'Population Treasury'!AK$317:AK$323))*(1+Z$25)*(1+Z$29)*(1+OFFSET(Assumptions!$B$63,0,$C$1))</f>
        <v>7.3195185114415509</v>
      </c>
    </row>
    <row r="536" spans="1:26" x14ac:dyDescent="0.25">
      <c r="A536" s="12" t="s">
        <v>1436</v>
      </c>
      <c r="B536" s="14" t="str">
        <f t="shared" si="312"/>
        <v>From Fiscal Forecasts</v>
      </c>
      <c r="D536" s="50">
        <f>'Fiscal Forecasts'!D$411</f>
        <v>2.9660000000000002</v>
      </c>
      <c r="E536" s="50">
        <f>'Fiscal Forecasts'!E$411</f>
        <v>4.548</v>
      </c>
      <c r="F536" s="50">
        <f>'Fiscal Forecasts'!F$411</f>
        <v>2.7170000000000001</v>
      </c>
      <c r="G536" s="50">
        <f>'Fiscal Forecasts'!G$411</f>
        <v>3.96</v>
      </c>
      <c r="H536" s="50">
        <f>'Fiscal Forecasts'!H$411</f>
        <v>3.8639999999999999</v>
      </c>
      <c r="I536" s="50">
        <f>'Fiscal Forecasts'!I$411</f>
        <v>3.8849999999999998</v>
      </c>
      <c r="J536" s="50">
        <f>'Fiscal Forecasts'!J$411</f>
        <v>3.9209999999999998</v>
      </c>
      <c r="K536" s="50">
        <f>'Fiscal Forecasts'!K$411</f>
        <v>3.8889999999999998</v>
      </c>
      <c r="L536" s="48">
        <f>'Fiscal Forecasts'!L$411+Allocation!C$27</f>
        <v>3.8792917</v>
      </c>
      <c r="M536" s="48">
        <f>'Fiscal Forecasts'!M$411+Allocation!D$27</f>
        <v>3.9521532000000001</v>
      </c>
      <c r="N536" s="48">
        <f>'Fiscal Forecasts'!N$411+Allocation!E$27</f>
        <v>3.9805937500000002</v>
      </c>
      <c r="O536" s="48">
        <f>'Fiscal Forecasts'!O$411+Allocation!F$27</f>
        <v>4.1443504500000001</v>
      </c>
      <c r="P536" s="48">
        <f>'Fiscal Forecasts'!P$411+Allocation!G$27</f>
        <v>4.2821809000000002</v>
      </c>
      <c r="Q536" s="20">
        <f ca="1">P$536*(1+Exogenous!$Q$67*'Population Treasury'!AB$297+SUMPRODUCT(Exogenous!$Q$68:$Q$71,'Population Treasury'!AB$300:AB$303)+Exogenous!$R$67*'Population Treasury'!AB$321+SUMPRODUCT(Exogenous!$R$68:$R$71,'Population Treasury'!AB$324:AB$327))*(1+Q$25)*(1+Q$29)*(1+OFFSET(Assumptions!$B$63,0,$C$1))</f>
        <v>4.4712945393024457</v>
      </c>
      <c r="R536" s="20">
        <f ca="1">Q$536*(1+Exogenous!$Q$67*'Population Treasury'!AC$297+SUMPRODUCT(Exogenous!$Q$68:$Q$71,'Population Treasury'!AC$300:AC$303)+Exogenous!$R$67*'Population Treasury'!AC$321+SUMPRODUCT(Exogenous!$R$68:$R$71,'Population Treasury'!AC$324:AC$327))*(1+R$25)*(1+R$29)*(1+OFFSET(Assumptions!$B$63,0,$C$1))</f>
        <v>4.6554585671214923</v>
      </c>
      <c r="S536" s="20">
        <f ca="1">R$536*(1+Exogenous!$Q$67*'Population Treasury'!AD$297+SUMPRODUCT(Exogenous!$Q$68:$Q$71,'Population Treasury'!AD$300:AD$303)+Exogenous!$R$67*'Population Treasury'!AD$321+SUMPRODUCT(Exogenous!$R$68:$R$71,'Population Treasury'!AD$324:AD$327))*(1+S$25)*(1+S$29)*(1+OFFSET(Assumptions!$B$63,0,$C$1))</f>
        <v>4.8443374941630992</v>
      </c>
      <c r="T536" s="20">
        <f ca="1">S$536*(1+Exogenous!$Q$67*'Population Treasury'!AE$297+SUMPRODUCT(Exogenous!$Q$68:$Q$71,'Population Treasury'!AE$300:AE$303)+Exogenous!$R$67*'Population Treasury'!AE$321+SUMPRODUCT(Exogenous!$R$68:$R$71,'Population Treasury'!AE$324:AE$327))*(1+T$25)*(1+T$29)*(1+OFFSET(Assumptions!$B$63,0,$C$1))</f>
        <v>5.0327257906779934</v>
      </c>
      <c r="U536" s="20">
        <f ca="1">T$536*(1+Exogenous!$Q$67*'Population Treasury'!AF$297+SUMPRODUCT(Exogenous!$Q$68:$Q$71,'Population Treasury'!AF$300:AF$303)+Exogenous!$R$67*'Population Treasury'!AF$321+SUMPRODUCT(Exogenous!$R$68:$R$71,'Population Treasury'!AF$324:AF$327))*(1+U$25)*(1+U$29)*(1+OFFSET(Assumptions!$B$63,0,$C$1))</f>
        <v>5.2254430833794805</v>
      </c>
      <c r="V536" s="20">
        <f ca="1">U$536*(1+Exogenous!$Q$67*'Population Treasury'!AG$297+SUMPRODUCT(Exogenous!$Q$68:$Q$71,'Population Treasury'!AG$300:AG$303)+Exogenous!$R$67*'Population Treasury'!AG$321+SUMPRODUCT(Exogenous!$R$68:$R$71,'Population Treasury'!AG$324:AG$327))*(1+V$25)*(1+V$29)*(1+OFFSET(Assumptions!$B$63,0,$C$1))</f>
        <v>5.4228220255260826</v>
      </c>
      <c r="W536" s="20">
        <f ca="1">V$536*(1+Exogenous!$Q$67*'Population Treasury'!AH$297+SUMPRODUCT(Exogenous!$Q$68:$Q$71,'Population Treasury'!AH$300:AH$303)+Exogenous!$R$67*'Population Treasury'!AH$321+SUMPRODUCT(Exogenous!$R$68:$R$71,'Population Treasury'!AH$324:AH$327))*(1+W$25)*(1+W$29)*(1+OFFSET(Assumptions!$B$63,0,$C$1))</f>
        <v>5.6243492347034856</v>
      </c>
      <c r="X536" s="20">
        <f ca="1">W$536*(1+Exogenous!$Q$67*'Population Treasury'!AI$297+SUMPRODUCT(Exogenous!$Q$68:$Q$71,'Population Treasury'!AI$300:AI$303)+Exogenous!$R$67*'Population Treasury'!AI$321+SUMPRODUCT(Exogenous!$R$68:$R$71,'Population Treasury'!AI$324:AI$327))*(1+X$25)*(1+X$29)*(1+OFFSET(Assumptions!$B$63,0,$C$1))</f>
        <v>5.8410173890930386</v>
      </c>
      <c r="Y536" s="20">
        <f ca="1">X$536*(1+Exogenous!$Q$67*'Population Treasury'!AJ$297+SUMPRODUCT(Exogenous!$Q$68:$Q$71,'Population Treasury'!AJ$300:AJ$303)+Exogenous!$R$67*'Population Treasury'!AJ$321+SUMPRODUCT(Exogenous!$R$68:$R$71,'Population Treasury'!AJ$324:AJ$327))*(1+Y$25)*(1+Y$29)*(1+OFFSET(Assumptions!$B$63,0,$C$1))</f>
        <v>6.0531752151494453</v>
      </c>
      <c r="Z536" s="20">
        <f ca="1">Y$536*(1+Exogenous!$Q$67*'Population Treasury'!AK$297+SUMPRODUCT(Exogenous!$Q$68:$Q$71,'Population Treasury'!AK$300:AK$303)+Exogenous!$R$67*'Population Treasury'!AK$321+SUMPRODUCT(Exogenous!$R$68:$R$71,'Population Treasury'!AK$324:AK$327))*(1+Z$25)*(1+Z$29)*(1+OFFSET(Assumptions!$B$63,0,$C$1))</f>
        <v>6.2502142583243172</v>
      </c>
    </row>
    <row r="537" spans="1:26" x14ac:dyDescent="0.25">
      <c r="A537" s="12" t="s">
        <v>693</v>
      </c>
      <c r="B537" s="14" t="str">
        <f t="shared" si="312"/>
        <v>From Fiscal Forecasts</v>
      </c>
      <c r="D537" s="50">
        <f>'Fiscal Forecasts'!D$412</f>
        <v>0.58299999999999996</v>
      </c>
      <c r="E537" s="50">
        <f>'Fiscal Forecasts'!E$412</f>
        <v>0.56699999999999995</v>
      </c>
      <c r="F537" s="50">
        <f>'Fiscal Forecasts'!F$412</f>
        <v>0.59</v>
      </c>
      <c r="G537" s="50">
        <f>'Fiscal Forecasts'!G$412</f>
        <v>0.55600000000000005</v>
      </c>
      <c r="H537" s="50">
        <f>'Fiscal Forecasts'!H$412</f>
        <v>0.52500000000000002</v>
      </c>
      <c r="I537" s="50">
        <f>'Fiscal Forecasts'!I$412</f>
        <v>0.52600000000000002</v>
      </c>
      <c r="J537" s="50">
        <f>'Fiscal Forecasts'!J$412</f>
        <v>0.57399999999999995</v>
      </c>
      <c r="K537" s="50">
        <f>'Fiscal Forecasts'!K$412</f>
        <v>0.64100000000000001</v>
      </c>
      <c r="L537" s="48">
        <f>'Fiscal Forecasts'!L$412</f>
        <v>0.70399999999999996</v>
      </c>
      <c r="M537" s="48">
        <f>'Fiscal Forecasts'!M$412</f>
        <v>0.71499999999999997</v>
      </c>
      <c r="N537" s="48">
        <f>'Fiscal Forecasts'!N$412</f>
        <v>0.69899999999999995</v>
      </c>
      <c r="O537" s="48">
        <f>'Fiscal Forecasts'!O$412</f>
        <v>0.68899999999999995</v>
      </c>
      <c r="P537" s="48">
        <f>'Fiscal Forecasts'!P$412</f>
        <v>0.68899999999999995</v>
      </c>
      <c r="Q537" s="20">
        <f t="shared" ref="Q537:Z537" ca="1" si="313">Q$190</f>
        <v>0.7042704052526918</v>
      </c>
      <c r="R537" s="20">
        <f t="shared" ca="1" si="313"/>
        <v>0.7200817868108712</v>
      </c>
      <c r="S537" s="20">
        <f t="shared" ca="1" si="313"/>
        <v>0.7364441451154754</v>
      </c>
      <c r="T537" s="20">
        <f t="shared" ca="1" si="313"/>
        <v>0.75426820881386147</v>
      </c>
      <c r="U537" s="20">
        <f t="shared" ca="1" si="313"/>
        <v>0.77251950077583986</v>
      </c>
      <c r="V537" s="20">
        <f t="shared" ca="1" si="313"/>
        <v>0.79212822197401689</v>
      </c>
      <c r="W537" s="20">
        <f t="shared" ca="1" si="313"/>
        <v>0.81256650909083683</v>
      </c>
      <c r="X537" s="20">
        <f t="shared" ca="1" si="313"/>
        <v>0.834167094857449</v>
      </c>
      <c r="Y537" s="20">
        <f t="shared" ca="1" si="313"/>
        <v>0.85705810709086938</v>
      </c>
      <c r="Z537" s="20">
        <f t="shared" ca="1" si="313"/>
        <v>0.87732856685740601</v>
      </c>
    </row>
    <row r="538" spans="1:26" x14ac:dyDescent="0.25">
      <c r="A538" s="12" t="s">
        <v>1278</v>
      </c>
      <c r="B538" s="14" t="str">
        <f t="shared" si="312"/>
        <v>From Fiscal Forecasts</v>
      </c>
      <c r="D538" s="50">
        <f>'Fiscal Forecasts'!D$413</f>
        <v>0.56299999999999994</v>
      </c>
      <c r="E538" s="50">
        <f>'Fiscal Forecasts'!E$413</f>
        <v>0.50600000000000001</v>
      </c>
      <c r="F538" s="50">
        <f>'Fiscal Forecasts'!F$413</f>
        <v>0.21199999999999999</v>
      </c>
      <c r="G538" s="50">
        <f>'Fiscal Forecasts'!G$413</f>
        <v>0.28799999999999998</v>
      </c>
      <c r="H538" s="50">
        <f>'Fiscal Forecasts'!H$413</f>
        <v>0.27400000000000002</v>
      </c>
      <c r="I538" s="50">
        <f>'Fiscal Forecasts'!I$413</f>
        <v>0.60299999999999998</v>
      </c>
      <c r="J538" s="50">
        <f>'Fiscal Forecasts'!J$413</f>
        <v>0.67600000000000005</v>
      </c>
      <c r="K538" s="50">
        <f>'Fiscal Forecasts'!K$413</f>
        <v>0.76300000000000001</v>
      </c>
      <c r="L538" s="48">
        <f>'Fiscal Forecasts'!L$413</f>
        <v>0.72399999999999998</v>
      </c>
      <c r="M538" s="48">
        <f>'Fiscal Forecasts'!M$413</f>
        <v>0.78600000000000003</v>
      </c>
      <c r="N538" s="48">
        <f>'Fiscal Forecasts'!N$413</f>
        <v>0.82099999999999995</v>
      </c>
      <c r="O538" s="48">
        <f>'Fiscal Forecasts'!O$413</f>
        <v>0.85299999999999998</v>
      </c>
      <c r="P538" s="48">
        <f>'Fiscal Forecasts'!P$413</f>
        <v>0.88300000000000001</v>
      </c>
      <c r="Q538" s="20">
        <f t="shared" ref="Q538:Z538" si="314">Q$402</f>
        <v>0.91100000000000003</v>
      </c>
      <c r="R538" s="20">
        <f t="shared" si="314"/>
        <v>0.93799999999999994</v>
      </c>
      <c r="S538" s="20">
        <f t="shared" si="314"/>
        <v>0.96199999999999997</v>
      </c>
      <c r="T538" s="20">
        <f t="shared" si="314"/>
        <v>0.98499999999999999</v>
      </c>
      <c r="U538" s="20">
        <f t="shared" si="314"/>
        <v>1.006</v>
      </c>
      <c r="V538" s="20">
        <f t="shared" si="314"/>
        <v>1.0249999999999999</v>
      </c>
      <c r="W538" s="20">
        <f t="shared" si="314"/>
        <v>1.046</v>
      </c>
      <c r="X538" s="20">
        <f t="shared" si="314"/>
        <v>1.0669999999999999</v>
      </c>
      <c r="Y538" s="20">
        <f t="shared" si="314"/>
        <v>1.0880000000000001</v>
      </c>
      <c r="Z538" s="20">
        <f t="shared" si="314"/>
        <v>1.109</v>
      </c>
    </row>
    <row r="539" spans="1:26" x14ac:dyDescent="0.25">
      <c r="A539" s="12" t="s">
        <v>1437</v>
      </c>
      <c r="B539" s="14" t="str">
        <f t="shared" si="312"/>
        <v>From Fiscal Forecasts</v>
      </c>
      <c r="C539" s="100" cm="1">
        <f t="array" aca="1" ref="C539" ca="1">SUMPRODUCT(OFFSET($P$539,0,0,1,-OFFSET(Assumptions!$B$60,0,$C$1))/OFFSET($P$13,0,0,1,-OFFSET(Assumptions!$B$60,0,$C$1)))/OFFSET(Assumptions!$B$60,0,$C$1)</f>
        <v>5.6224178894803091E-3</v>
      </c>
      <c r="D539" s="50">
        <f>'Fiscal Forecasts'!D$414</f>
        <v>1.462</v>
      </c>
      <c r="E539" s="50">
        <f>'Fiscal Forecasts'!E$414</f>
        <v>1.5860000000000001</v>
      </c>
      <c r="F539" s="50">
        <f>'Fiscal Forecasts'!F$414</f>
        <v>2.1579999999999999</v>
      </c>
      <c r="G539" s="50">
        <f>'Fiscal Forecasts'!G$414</f>
        <v>2.4940000000000002</v>
      </c>
      <c r="H539" s="50">
        <f>'Fiscal Forecasts'!H$414</f>
        <v>2.7690000000000001</v>
      </c>
      <c r="I539" s="50">
        <f>'Fiscal Forecasts'!I$414</f>
        <v>2.758</v>
      </c>
      <c r="J539" s="50">
        <f>'Fiscal Forecasts'!J$414</f>
        <v>2.7</v>
      </c>
      <c r="K539" s="50">
        <f>'Fiscal Forecasts'!K$414</f>
        <v>2.6720000000000002</v>
      </c>
      <c r="L539" s="48">
        <f>'Fiscal Forecasts'!L$414+Allocation!C$28</f>
        <v>2.43680165</v>
      </c>
      <c r="M539" s="48">
        <f>'Fiscal Forecasts'!M$414+Allocation!D$28</f>
        <v>2.3796334000000003</v>
      </c>
      <c r="N539" s="48">
        <f>'Fiscal Forecasts'!N$414+Allocation!E$28</f>
        <v>2.5396093749999999</v>
      </c>
      <c r="O539" s="48">
        <f>'Fiscal Forecasts'!O$414+Allocation!F$28</f>
        <v>2.608553525</v>
      </c>
      <c r="P539" s="48">
        <f>'Fiscal Forecasts'!P$414+Allocation!G$28</f>
        <v>2.71986705</v>
      </c>
      <c r="Q539" s="20">
        <f ca="1">(P$539/P$13+MIN(ABS($C$539-P$539/P$13),OFFSET(Assumptions!$B$61,0,$C$1))*SIGN($C$539-P$539/P$13))*Q$13</f>
        <v>3.142119562295921</v>
      </c>
      <c r="R539" s="20">
        <f ca="1">(Q$539/Q$13+MIN(ABS($C$539-Q$539/Q$13),OFFSET(Assumptions!$B$61,0,$C$1))*SIGN($C$539-Q$539/Q$13))*R$13</f>
        <v>3.5622276719812782</v>
      </c>
      <c r="S539" s="20">
        <f ca="1">(R$539/R$13+MIN(ABS($C$539-R$539/R$13),OFFSET(Assumptions!$B$61,0,$C$1))*SIGN($C$539-R$539/R$13))*S$13</f>
        <v>3.7115168651137136</v>
      </c>
      <c r="T539" s="20">
        <f ca="1">(S$539/S$13+MIN(ABS($C$539-S$539/S$13),OFFSET(Assumptions!$B$61,0,$C$1))*SIGN($C$539-S$539/S$13))*T$13</f>
        <v>3.8643098785499337</v>
      </c>
      <c r="U539" s="20">
        <f ca="1">(T$539/T$13+MIN(ABS($C$539-T$539/T$13),OFFSET(Assumptions!$B$61,0,$C$1))*SIGN($C$539-T$539/T$13))*U$13</f>
        <v>4.0224308971246572</v>
      </c>
      <c r="V539" s="20">
        <f ca="1">(U$539/U$13+MIN(ABS($C$539-U$539/U$13),OFFSET(Assumptions!$B$61,0,$C$1))*SIGN($C$539-U$539/U$13))*V$13</f>
        <v>4.1859361546893705</v>
      </c>
      <c r="W539" s="20">
        <f ca="1">(V$539/V$13+MIN(ABS($C$539-V$539/V$13),OFFSET(Assumptions!$B$61,0,$C$1))*SIGN($C$539-V$539/V$13))*W$13</f>
        <v>4.3540007699228811</v>
      </c>
      <c r="X539" s="20">
        <f ca="1">(W$539/W$13+MIN(ABS($C$539-W$539/W$13),OFFSET(Assumptions!$B$61,0,$C$1))*SIGN($C$539-W$539/W$13))*X$13</f>
        <v>4.5269049494846891</v>
      </c>
      <c r="Y539" s="20">
        <f ca="1">(X$539/X$13+MIN(ABS($C$539-X$539/X$13),OFFSET(Assumptions!$B$61,0,$C$1))*SIGN($C$539-X$539/X$13))*Y$13</f>
        <v>4.7055528737733363</v>
      </c>
      <c r="Z539" s="20">
        <f ca="1">(Y$539/Y$13+MIN(ABS($C$539-Y$539/Y$13),OFFSET(Assumptions!$B$61,0,$C$1))*SIGN($C$539-Y$539/Y$13))*Z$13</f>
        <v>4.8899906187516047</v>
      </c>
    </row>
    <row r="540" spans="1:26" x14ac:dyDescent="0.25">
      <c r="A540" s="11" t="s">
        <v>1128</v>
      </c>
      <c r="D540" s="94">
        <f>SUM(D$533:D$539)</f>
        <v>14.292999999999999</v>
      </c>
      <c r="E540" s="94">
        <f t="shared" ref="E540:Z540" si="315">SUM(E$533:E$539)</f>
        <v>16.321999999999999</v>
      </c>
      <c r="F540" s="94">
        <f t="shared" si="315"/>
        <v>16.039000000000001</v>
      </c>
      <c r="G540" s="94">
        <f t="shared" si="315"/>
        <v>18.023</v>
      </c>
      <c r="H540" s="94">
        <f t="shared" si="315"/>
        <v>18.402999999999999</v>
      </c>
      <c r="I540" s="94">
        <f t="shared" si="315"/>
        <v>20.222999999999999</v>
      </c>
      <c r="J540" s="94">
        <f t="shared" si="315"/>
        <v>20.895</v>
      </c>
      <c r="K540" s="94">
        <f t="shared" si="315"/>
        <v>21.206000000000003</v>
      </c>
      <c r="L540" s="95">
        <f t="shared" si="315"/>
        <v>21.84479</v>
      </c>
      <c r="M540" s="95">
        <f t="shared" si="315"/>
        <v>22.621840000000002</v>
      </c>
      <c r="N540" s="95">
        <f t="shared" si="315"/>
        <v>23.063625000000005</v>
      </c>
      <c r="O540" s="95">
        <f t="shared" si="315"/>
        <v>23.770915000000002</v>
      </c>
      <c r="P540" s="95">
        <f t="shared" si="315"/>
        <v>24.432830000000003</v>
      </c>
      <c r="Q540" s="96">
        <f t="shared" ca="1" si="315"/>
        <v>25.618648789429912</v>
      </c>
      <c r="R540" s="96">
        <f t="shared" ca="1" si="315"/>
        <v>26.804325541023612</v>
      </c>
      <c r="S540" s="96">
        <f t="shared" ca="1" si="315"/>
        <v>27.74012270071421</v>
      </c>
      <c r="T540" s="96">
        <f t="shared" ca="1" si="315"/>
        <v>28.697428379759749</v>
      </c>
      <c r="U540" s="96">
        <f t="shared" ca="1" si="315"/>
        <v>29.685465454132668</v>
      </c>
      <c r="V540" s="96">
        <f t="shared" ca="1" si="315"/>
        <v>30.693624780250857</v>
      </c>
      <c r="W540" s="96">
        <f t="shared" ca="1" si="315"/>
        <v>31.74847200182224</v>
      </c>
      <c r="X540" s="96">
        <f t="shared" ca="1" si="315"/>
        <v>32.860934765561701</v>
      </c>
      <c r="Y540" s="96">
        <f t="shared" ca="1" si="315"/>
        <v>34.030332078810552</v>
      </c>
      <c r="Z540" s="96">
        <f t="shared" ca="1" si="315"/>
        <v>35.278927035866559</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7889" r:id="rId4" name="Drop Down 1">
              <controlPr defaultSize="0" autoLine="0" autoPict="0">
                <anchor moveWithCells="1">
                  <from>
                    <xdr:col>0</xdr:col>
                    <xdr:colOff>47625</xdr:colOff>
                    <xdr:row>6</xdr:row>
                    <xdr:rowOff>0</xdr:rowOff>
                  </from>
                  <to>
                    <xdr:col>0</xdr:col>
                    <xdr:colOff>5629275</xdr:colOff>
                    <xdr:row>7</xdr:row>
                    <xdr:rowOff>9525</xdr:rowOff>
                  </to>
                </anchor>
              </controlPr>
            </control>
          </mc:Choice>
        </mc:AlternateContent>
        <mc:AlternateContent xmlns:mc="http://schemas.openxmlformats.org/markup-compatibility/2006">
          <mc:Choice Requires="x14">
            <control shapeId="37890" r:id="rId5" name="Drop Down 2">
              <controlPr defaultSize="0" autoLine="0" autoPict="0">
                <anchor moveWithCells="1">
                  <from>
                    <xdr:col>0</xdr:col>
                    <xdr:colOff>47625</xdr:colOff>
                    <xdr:row>6</xdr:row>
                    <xdr:rowOff>0</xdr:rowOff>
                  </from>
                  <to>
                    <xdr:col>1</xdr:col>
                    <xdr:colOff>19050</xdr:colOff>
                    <xdr:row>7</xdr:row>
                    <xdr:rowOff>9525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7CE11-0928-42AD-B12D-F6A55A462033}">
  <dimension ref="A1:Z540"/>
  <sheetViews>
    <sheetView zoomScaleNormal="100" workbookViewId="0">
      <pane xSplit="2" ySplit="8" topLeftCell="J119" activePane="bottomRight" state="frozen"/>
      <selection pane="topRight" activeCell="C1" sqref="C1"/>
      <selection pane="bottomLeft" activeCell="A9" sqref="A9"/>
      <selection pane="bottomRight"/>
    </sheetView>
  </sheetViews>
  <sheetFormatPr defaultRowHeight="15" x14ac:dyDescent="0.25"/>
  <cols>
    <col min="1" max="1" width="85.7109375" customWidth="1"/>
    <col min="2" max="2" width="25.7109375" customWidth="1"/>
    <col min="3" max="3" width="7.7109375" customWidth="1"/>
    <col min="4" max="26" width="10.7109375" customWidth="1"/>
  </cols>
  <sheetData>
    <row r="1" spans="1:26" x14ac:dyDescent="0.25">
      <c r="A1" s="11" t="s">
        <v>1133</v>
      </c>
      <c r="B1" s="15" t="s">
        <v>801</v>
      </c>
      <c r="C1" s="15">
        <f>MATCH($B$1,Assumptions!$C$7:$K$7,0)</f>
        <v>4</v>
      </c>
      <c r="D1" s="14" t="s">
        <v>1134</v>
      </c>
      <c r="E1" s="12"/>
      <c r="F1" s="12"/>
      <c r="G1" s="12"/>
      <c r="H1" s="12"/>
      <c r="I1" s="12"/>
      <c r="J1" s="12"/>
      <c r="K1" s="12"/>
      <c r="L1" s="12"/>
      <c r="M1" s="12"/>
      <c r="N1" s="12"/>
      <c r="O1" s="12"/>
      <c r="P1" s="12"/>
    </row>
    <row r="2" spans="1:26" x14ac:dyDescent="0.25">
      <c r="A2" s="14" t="s">
        <v>709</v>
      </c>
      <c r="B2" s="15"/>
      <c r="C2" s="15"/>
      <c r="D2" s="14"/>
      <c r="E2" s="12"/>
      <c r="F2" s="12"/>
      <c r="G2" s="12"/>
      <c r="H2" s="12"/>
      <c r="I2" s="12"/>
      <c r="J2" s="12"/>
      <c r="K2" s="83" t="s">
        <v>1458</v>
      </c>
      <c r="L2" s="12"/>
      <c r="M2" s="12"/>
      <c r="N2" s="12"/>
      <c r="O2" s="12"/>
      <c r="P2" s="12"/>
      <c r="Q2" s="12"/>
      <c r="R2" s="12"/>
      <c r="S2" s="12"/>
      <c r="T2" s="12"/>
      <c r="U2" s="12"/>
    </row>
    <row r="3" spans="1:26" x14ac:dyDescent="0.25">
      <c r="A3" s="14"/>
      <c r="B3" s="14"/>
      <c r="C3" s="15"/>
      <c r="D3" s="83" t="s">
        <v>1135</v>
      </c>
      <c r="E3" s="83" t="s">
        <v>1135</v>
      </c>
      <c r="F3" s="83" t="s">
        <v>1135</v>
      </c>
      <c r="G3" s="83" t="s">
        <v>1135</v>
      </c>
      <c r="H3" s="83" t="s">
        <v>1135</v>
      </c>
      <c r="I3" s="83" t="s">
        <v>1135</v>
      </c>
      <c r="J3" s="83" t="s">
        <v>1135</v>
      </c>
      <c r="K3" s="83" t="s">
        <v>1135</v>
      </c>
      <c r="L3" s="64" t="s">
        <v>1455</v>
      </c>
      <c r="M3" s="12"/>
      <c r="N3" s="12"/>
      <c r="O3" s="12"/>
      <c r="P3" s="12"/>
      <c r="Q3" s="11" t="s">
        <v>1454</v>
      </c>
    </row>
    <row r="4" spans="1:26" x14ac:dyDescent="0.25">
      <c r="A4" s="12"/>
      <c r="B4" s="12"/>
      <c r="C4" s="15"/>
      <c r="D4" s="83" t="s">
        <v>1136</v>
      </c>
      <c r="E4" s="83" t="s">
        <v>1136</v>
      </c>
      <c r="F4" s="83" t="s">
        <v>1136</v>
      </c>
      <c r="G4" s="83" t="s">
        <v>1136</v>
      </c>
      <c r="H4" s="83" t="s">
        <v>1136</v>
      </c>
      <c r="I4" s="83" t="s">
        <v>1136</v>
      </c>
      <c r="J4" s="83" t="s">
        <v>1136</v>
      </c>
      <c r="K4" s="83" t="s">
        <v>1136</v>
      </c>
      <c r="L4" s="84" t="s">
        <v>1137</v>
      </c>
      <c r="M4" s="12"/>
      <c r="N4" s="12"/>
      <c r="O4" s="12"/>
      <c r="P4" s="12"/>
      <c r="Q4" s="12" t="s">
        <v>1138</v>
      </c>
    </row>
    <row r="5" spans="1:26" x14ac:dyDescent="0.25">
      <c r="A5" s="11" t="s">
        <v>739</v>
      </c>
      <c r="B5" s="11"/>
      <c r="C5" s="15"/>
      <c r="D5" s="85" t="s">
        <v>355</v>
      </c>
      <c r="E5" s="85" t="s">
        <v>356</v>
      </c>
      <c r="F5" s="85" t="s">
        <v>357</v>
      </c>
      <c r="G5" s="85" t="s">
        <v>358</v>
      </c>
      <c r="H5" s="85" t="s">
        <v>359</v>
      </c>
      <c r="I5" s="85" t="s">
        <v>360</v>
      </c>
      <c r="J5" s="85" t="s">
        <v>1139</v>
      </c>
      <c r="K5" s="85" t="s">
        <v>362</v>
      </c>
      <c r="L5" s="65" t="s">
        <v>363</v>
      </c>
      <c r="M5" s="65" t="s">
        <v>364</v>
      </c>
      <c r="N5" s="65" t="s">
        <v>365</v>
      </c>
      <c r="O5" s="65" t="s">
        <v>366</v>
      </c>
      <c r="P5" s="65" t="s">
        <v>367</v>
      </c>
      <c r="Q5" s="15" t="s">
        <v>368</v>
      </c>
      <c r="R5" s="15" t="s">
        <v>369</v>
      </c>
      <c r="S5" s="15" t="s">
        <v>370</v>
      </c>
      <c r="T5" s="15" t="s">
        <v>371</v>
      </c>
      <c r="U5" s="15" t="s">
        <v>372</v>
      </c>
      <c r="V5" s="15" t="s">
        <v>373</v>
      </c>
      <c r="W5" s="15" t="s">
        <v>374</v>
      </c>
      <c r="X5" s="15" t="s">
        <v>375</v>
      </c>
      <c r="Y5" s="15" t="s">
        <v>376</v>
      </c>
      <c r="Z5" s="15" t="s">
        <v>1451</v>
      </c>
    </row>
    <row r="6" spans="1:26" x14ac:dyDescent="0.25">
      <c r="A6" s="12"/>
      <c r="B6" s="12"/>
      <c r="C6" s="15"/>
      <c r="D6" s="83">
        <v>2019</v>
      </c>
      <c r="E6" s="83">
        <v>2020</v>
      </c>
      <c r="F6" s="83">
        <v>2021</v>
      </c>
      <c r="G6" s="83">
        <v>2022</v>
      </c>
      <c r="H6" s="83">
        <v>2023</v>
      </c>
      <c r="I6" s="83">
        <v>2024</v>
      </c>
      <c r="J6" s="83">
        <v>2025</v>
      </c>
      <c r="K6" s="83">
        <v>2026</v>
      </c>
      <c r="L6" s="64">
        <v>2027</v>
      </c>
      <c r="M6" s="64">
        <v>2028</v>
      </c>
      <c r="N6" s="64">
        <v>2029</v>
      </c>
      <c r="O6" s="64">
        <v>2030</v>
      </c>
      <c r="P6" s="64">
        <v>2031</v>
      </c>
      <c r="Q6" s="11">
        <v>2032</v>
      </c>
      <c r="R6" s="11">
        <v>2033</v>
      </c>
      <c r="S6" s="11">
        <v>2034</v>
      </c>
      <c r="T6" s="11">
        <v>2035</v>
      </c>
      <c r="U6" s="11">
        <v>2036</v>
      </c>
      <c r="V6" s="11">
        <v>2037</v>
      </c>
      <c r="W6" s="11">
        <v>2038</v>
      </c>
      <c r="X6" s="11">
        <v>2039</v>
      </c>
      <c r="Y6" s="11">
        <v>2040</v>
      </c>
      <c r="Z6" s="11">
        <v>2041</v>
      </c>
    </row>
    <row r="7" spans="1:26" x14ac:dyDescent="0.25">
      <c r="A7" s="12"/>
      <c r="B7" s="12"/>
      <c r="C7" s="15"/>
      <c r="D7" s="51">
        <f ca="1">OFFSET(D$1,Display!$C$1-1,0)</f>
        <v>57.736000000000004</v>
      </c>
      <c r="E7" s="51">
        <f ca="1">OFFSET(E$1,Display!$C$1-1,0)</f>
        <v>83.375</v>
      </c>
      <c r="F7" s="51">
        <f ca="1">OFFSET(F$1,Display!$C$1-1,0)</f>
        <v>102.08000000000001</v>
      </c>
      <c r="G7" s="51">
        <f ca="1">OFFSET(G$1,Display!$C$1-1,0)</f>
        <v>128.87299999999996</v>
      </c>
      <c r="H7" s="51">
        <f ca="1">OFFSET(H$1,Display!$C$1-1,0)</f>
        <v>155.27300000000002</v>
      </c>
      <c r="I7" s="51">
        <f ca="1">OFFSET(I$1,Display!$C$1-1,0)</f>
        <v>175.46399999999997</v>
      </c>
      <c r="J7" s="51">
        <f ca="1">OFFSET(J$1,Display!$C$1-1,0)</f>
        <v>182.17099999999996</v>
      </c>
      <c r="K7" s="51">
        <f ca="1">OFFSET(K$1,Display!$C$1-1,0)</f>
        <v>186.70299999999995</v>
      </c>
      <c r="L7" s="47">
        <f ca="1">OFFSET(L$1,Display!$C$1-1,0)</f>
        <v>209.63100000000003</v>
      </c>
      <c r="M7" s="47">
        <f ca="1">OFFSET(M$1,Display!$C$1-1,0)</f>
        <v>222.95499999999998</v>
      </c>
      <c r="N7" s="47">
        <f ca="1">OFFSET(N$1,Display!$C$1-1,0)</f>
        <v>230.53400000000005</v>
      </c>
      <c r="O7" s="47">
        <f ca="1">OFFSET(O$1,Display!$C$1-1,0)</f>
        <v>232.76300000000001</v>
      </c>
      <c r="P7" s="47">
        <f ca="1">OFFSET(P$1,Display!$C$1-1,0)</f>
        <v>229.76900000000003</v>
      </c>
      <c r="Q7" s="21">
        <f ca="1">OFFSET(Q$1,Display!$C$1-1,0)</f>
        <v>228.01003197993583</v>
      </c>
      <c r="R7" s="21">
        <f ca="1">OFFSET(R$1,Display!$C$1-1,0)</f>
        <v>228.59987953825271</v>
      </c>
      <c r="S7" s="21">
        <f ca="1">OFFSET(S$1,Display!$C$1-1,0)</f>
        <v>230.29223912819987</v>
      </c>
      <c r="T7" s="21">
        <f ca="1">OFFSET(T$1,Display!$C$1-1,0)</f>
        <v>232.44607781649535</v>
      </c>
      <c r="U7" s="21">
        <f ca="1">OFFSET(U$1,Display!$C$1-1,0)</f>
        <v>235.06737672039606</v>
      </c>
      <c r="V7" s="21">
        <f ca="1">OFFSET(V$1,Display!$C$1-1,0)</f>
        <v>238.13789275049288</v>
      </c>
      <c r="W7" s="21">
        <f ca="1">OFFSET(W$1,Display!$C$1-1,0)</f>
        <v>241.74929466615538</v>
      </c>
      <c r="X7" s="21">
        <f ca="1">OFFSET(X$1,Display!$C$1-1,0)</f>
        <v>246.03357788388126</v>
      </c>
      <c r="Y7" s="21">
        <f ca="1">OFFSET(Y$1,Display!$C$1-1,0)</f>
        <v>251.10828485017441</v>
      </c>
      <c r="Z7" s="21">
        <f ca="1">OFFSET(Z$1,Display!$C$1-1,0)</f>
        <v>257.13095295857499</v>
      </c>
    </row>
    <row r="8" spans="1:26" x14ac:dyDescent="0.25">
      <c r="A8" s="62" t="s">
        <v>1140</v>
      </c>
      <c r="B8" s="12"/>
      <c r="C8" s="15"/>
      <c r="D8" s="86">
        <f t="shared" ref="D8:Z8" ca="1" si="0">D$7/D$13</f>
        <v>0.18614068232669406</v>
      </c>
      <c r="E8" s="86">
        <f t="shared" ca="1" si="0"/>
        <v>0.26228863546991743</v>
      </c>
      <c r="F8" s="86">
        <f t="shared" ca="1" si="0"/>
        <v>0.2969695030240968</v>
      </c>
      <c r="G8" s="86">
        <f t="shared" ca="1" si="0"/>
        <v>0.35278288767711269</v>
      </c>
      <c r="H8" s="86">
        <f t="shared" ca="1" si="0"/>
        <v>0.38641753789566163</v>
      </c>
      <c r="I8" s="86">
        <f t="shared" ca="1" si="0"/>
        <v>0.41691972114109738</v>
      </c>
      <c r="J8" s="86">
        <f t="shared" ca="1" si="0"/>
        <v>0.41871556596509524</v>
      </c>
      <c r="K8" s="86">
        <f t="shared" ca="1" si="0"/>
        <v>0.40954238158119854</v>
      </c>
      <c r="L8" s="87">
        <f t="shared" ca="1" si="0"/>
        <v>0.43662300388028802</v>
      </c>
      <c r="M8" s="87">
        <f t="shared" ca="1" si="0"/>
        <v>0.43931933139048002</v>
      </c>
      <c r="N8" s="87">
        <f t="shared" ca="1" si="0"/>
        <v>0.43305212577510543</v>
      </c>
      <c r="O8" s="87">
        <f t="shared" ca="1" si="0"/>
        <v>0.41762372364990824</v>
      </c>
      <c r="P8" s="87">
        <f t="shared" ca="1" si="0"/>
        <v>0.39454940088399243</v>
      </c>
      <c r="Q8" s="88">
        <f t="shared" ca="1" si="0"/>
        <v>0.3751963463651537</v>
      </c>
      <c r="R8" s="88">
        <f t="shared" ca="1" si="0"/>
        <v>0.36080906966119114</v>
      </c>
      <c r="S8" s="88">
        <f t="shared" ca="1" si="0"/>
        <v>0.34885984683332377</v>
      </c>
      <c r="T8" s="88">
        <f t="shared" ca="1" si="0"/>
        <v>0.33819984093651612</v>
      </c>
      <c r="U8" s="88">
        <f t="shared" ca="1" si="0"/>
        <v>0.32856923037527164</v>
      </c>
      <c r="V8" s="88">
        <f t="shared" ca="1" si="0"/>
        <v>0.31985933346440926</v>
      </c>
      <c r="W8" s="88">
        <f t="shared" ca="1" si="0"/>
        <v>0.31217623306123427</v>
      </c>
      <c r="X8" s="88">
        <f t="shared" ca="1" si="0"/>
        <v>0.30557380928986516</v>
      </c>
      <c r="Y8" s="88">
        <f t="shared" ca="1" si="0"/>
        <v>0.30003609582357127</v>
      </c>
      <c r="Z8" s="88">
        <f t="shared" ca="1" si="0"/>
        <v>0.29564426244696818</v>
      </c>
    </row>
    <row r="9" spans="1:26" ht="16.5" x14ac:dyDescent="0.25">
      <c r="A9" s="63" t="s">
        <v>1141</v>
      </c>
      <c r="B9" s="11"/>
      <c r="C9" s="15"/>
      <c r="K9" s="91"/>
      <c r="N9" s="21"/>
      <c r="O9" s="21"/>
      <c r="P9" s="21"/>
    </row>
    <row r="10" spans="1:26" x14ac:dyDescent="0.25">
      <c r="A10" s="57" t="s">
        <v>1142</v>
      </c>
      <c r="B10" s="11"/>
      <c r="C10" s="15"/>
      <c r="K10" s="91"/>
    </row>
    <row r="11" spans="1:26" x14ac:dyDescent="0.25">
      <c r="A11" s="11" t="s">
        <v>1143</v>
      </c>
      <c r="B11" s="11"/>
      <c r="C11" s="15"/>
      <c r="D11" s="50">
        <f>'Economic Forecasts'!Q$6</f>
        <v>254.292</v>
      </c>
      <c r="E11" s="50">
        <f>'Economic Forecasts'!R$6</f>
        <v>252.36600000000001</v>
      </c>
      <c r="F11" s="50">
        <f>'Economic Forecasts'!S$6</f>
        <v>268.197</v>
      </c>
      <c r="G11" s="50">
        <f>'Economic Forecasts'!T$6</f>
        <v>269.44099999999997</v>
      </c>
      <c r="H11" s="50">
        <f>'Economic Forecasts'!U$6</f>
        <v>280.19900000000001</v>
      </c>
      <c r="I11" s="50">
        <f>'Economic Forecasts'!V$6</f>
        <v>283.19900000000001</v>
      </c>
      <c r="J11" s="50">
        <f>'Economic Forecasts'!W$6</f>
        <v>280.02600000000001</v>
      </c>
      <c r="K11" s="50">
        <f>'Economic Forecasts'!X$6</f>
        <v>284.452</v>
      </c>
      <c r="L11" s="48">
        <f>'Economic Forecasts'!Y$6</f>
        <v>290.95600000000002</v>
      </c>
      <c r="M11" s="48">
        <f>'Economic Forecasts'!Z$6</f>
        <v>299.44799999999998</v>
      </c>
      <c r="N11" s="48">
        <f>'Economic Forecasts'!AA$6</f>
        <v>307.44</v>
      </c>
      <c r="O11" s="48">
        <f>'Economic Forecasts'!AB$6</f>
        <v>315.48</v>
      </c>
      <c r="P11" s="48">
        <f>'Economic Forecasts'!AC$6</f>
        <v>323.28500000000003</v>
      </c>
      <c r="Q11" s="20">
        <f t="shared" ref="Q11:Z11" ca="1" si="1">P$11*Q$16*(1-Q$23)*Q$24/(P$16*(1-P$23)*P$24)*(1+Q$25)</f>
        <v>330.74302308733979</v>
      </c>
      <c r="R11" s="20">
        <f t="shared" ca="1" si="1"/>
        <v>338.05994488997879</v>
      </c>
      <c r="S11" s="20">
        <f t="shared" ca="1" si="1"/>
        <v>345.32125444641918</v>
      </c>
      <c r="T11" s="20">
        <f t="shared" ca="1" si="1"/>
        <v>352.4874386696892</v>
      </c>
      <c r="U11" s="20">
        <f t="shared" ca="1" si="1"/>
        <v>359.71630191712956</v>
      </c>
      <c r="V11" s="20">
        <f t="shared" ca="1" si="1"/>
        <v>366.99821871357733</v>
      </c>
      <c r="W11" s="20">
        <f t="shared" ca="1" si="1"/>
        <v>374.24817053805771</v>
      </c>
      <c r="X11" s="20">
        <f t="shared" ca="1" si="1"/>
        <v>381.4805398595646</v>
      </c>
      <c r="Y11" s="20">
        <f t="shared" ca="1" si="1"/>
        <v>388.75993310147635</v>
      </c>
      <c r="Z11" s="20">
        <f t="shared" ca="1" si="1"/>
        <v>396.07615304809468</v>
      </c>
    </row>
    <row r="12" spans="1:26" x14ac:dyDescent="0.25">
      <c r="A12" s="14" t="s">
        <v>741</v>
      </c>
      <c r="B12" s="11"/>
      <c r="C12" s="15"/>
      <c r="D12" s="50"/>
      <c r="E12" s="89">
        <f t="shared" ref="E12:Z12" si="2">E$11/D$11-1</f>
        <v>-7.5739700816384037E-3</v>
      </c>
      <c r="F12" s="89">
        <f t="shared" si="2"/>
        <v>6.2730320249161808E-2</v>
      </c>
      <c r="G12" s="89">
        <f t="shared" si="2"/>
        <v>4.6383814882342556E-3</v>
      </c>
      <c r="H12" s="89">
        <f t="shared" si="2"/>
        <v>3.9927108346539786E-2</v>
      </c>
      <c r="I12" s="89">
        <f t="shared" si="2"/>
        <v>1.0706676326468045E-2</v>
      </c>
      <c r="J12" s="89">
        <f t="shared" si="2"/>
        <v>-1.1204135607823518E-2</v>
      </c>
      <c r="K12" s="89">
        <f t="shared" si="2"/>
        <v>1.5805675187303914E-2</v>
      </c>
      <c r="L12" s="66">
        <f t="shared" si="2"/>
        <v>2.2865017647968777E-2</v>
      </c>
      <c r="M12" s="66">
        <f t="shared" si="2"/>
        <v>2.9186543669833087E-2</v>
      </c>
      <c r="N12" s="66">
        <f t="shared" si="2"/>
        <v>2.6689107958643987E-2</v>
      </c>
      <c r="O12" s="66">
        <f t="shared" si="2"/>
        <v>2.615144418423121E-2</v>
      </c>
      <c r="P12" s="66">
        <f t="shared" si="2"/>
        <v>2.474007861037153E-2</v>
      </c>
      <c r="Q12" s="17">
        <f t="shared" ca="1" si="2"/>
        <v>2.3069499318990161E-2</v>
      </c>
      <c r="R12" s="17">
        <f t="shared" ca="1" si="2"/>
        <v>2.2122679215841767E-2</v>
      </c>
      <c r="S12" s="17">
        <f t="shared" ca="1" si="2"/>
        <v>2.1479354967071096E-2</v>
      </c>
      <c r="T12" s="17">
        <f t="shared" ca="1" si="2"/>
        <v>2.0752224576382039E-2</v>
      </c>
      <c r="U12" s="17">
        <f t="shared" ca="1" si="2"/>
        <v>2.0508144275218854E-2</v>
      </c>
      <c r="V12" s="17">
        <f t="shared" ca="1" si="2"/>
        <v>2.0243499551280797E-2</v>
      </c>
      <c r="W12" s="17">
        <f t="shared" ca="1" si="2"/>
        <v>1.9754733006316361E-2</v>
      </c>
      <c r="X12" s="17">
        <f t="shared" ca="1" si="2"/>
        <v>1.9325062594451436E-2</v>
      </c>
      <c r="Y12" s="17">
        <f t="shared" ca="1" si="2"/>
        <v>1.9081951715260503E-2</v>
      </c>
      <c r="Z12" s="17">
        <f t="shared" ca="1" si="2"/>
        <v>1.8819377522396596E-2</v>
      </c>
    </row>
    <row r="13" spans="1:26" x14ac:dyDescent="0.25">
      <c r="A13" s="11" t="s">
        <v>1144</v>
      </c>
      <c r="B13" s="11"/>
      <c r="C13" s="15"/>
      <c r="D13" s="51">
        <f>'Economic Forecasts'!Q$7</f>
        <v>310.17399999999998</v>
      </c>
      <c r="E13" s="51">
        <f>'Economic Forecasts'!R$7</f>
        <v>317.875</v>
      </c>
      <c r="F13" s="51">
        <f>'Economic Forecasts'!S$7</f>
        <v>343.73899999999998</v>
      </c>
      <c r="G13" s="51">
        <f>'Economic Forecasts'!T$7</f>
        <v>365.30399999999997</v>
      </c>
      <c r="H13" s="51">
        <f>'Economic Forecasts'!U$7</f>
        <v>401.827</v>
      </c>
      <c r="I13" s="51">
        <f>'Economic Forecasts'!V$7</f>
        <v>420.858</v>
      </c>
      <c r="J13" s="51">
        <f>'Economic Forecasts'!W$7</f>
        <v>435.07100000000003</v>
      </c>
      <c r="K13" s="51">
        <f>'Economic Forecasts'!X$7</f>
        <v>455.88200000000001</v>
      </c>
      <c r="L13" s="47">
        <f>'Economic Forecasts'!Y$7</f>
        <v>480.11900000000003</v>
      </c>
      <c r="M13" s="47">
        <f>'Economic Forecasts'!Z$7</f>
        <v>507.50099999999998</v>
      </c>
      <c r="N13" s="47">
        <f>'Economic Forecasts'!AA$7</f>
        <v>532.34699999999998</v>
      </c>
      <c r="O13" s="47">
        <f>'Economic Forecasts'!AB$7</f>
        <v>557.351</v>
      </c>
      <c r="P13" s="47">
        <f>'Economic Forecasts'!AC$7</f>
        <v>582.35799999999995</v>
      </c>
      <c r="Q13" s="21">
        <f t="shared" ref="Q13:Z13" ca="1" si="3">P$13*Q$11/P$11*(1+Q$29)</f>
        <v>607.70856163409655</v>
      </c>
      <c r="R13" s="21">
        <f t="shared" ca="1" si="3"/>
        <v>633.57575726384539</v>
      </c>
      <c r="S13" s="21">
        <f t="shared" ca="1" si="3"/>
        <v>660.12824696969938</v>
      </c>
      <c r="T13" s="21">
        <f t="shared" ca="1" si="3"/>
        <v>687.30392413202844</v>
      </c>
      <c r="U13" s="21">
        <f t="shared" ca="1" si="3"/>
        <v>715.42723721243317</v>
      </c>
      <c r="V13" s="21">
        <f t="shared" ca="1" si="3"/>
        <v>744.50818793127542</v>
      </c>
      <c r="W13" s="21">
        <f t="shared" ca="1" si="3"/>
        <v>774.40006337297166</v>
      </c>
      <c r="X13" s="21">
        <f t="shared" ca="1" si="3"/>
        <v>805.1527009322175</v>
      </c>
      <c r="Y13" s="21">
        <f t="shared" ca="1" si="3"/>
        <v>836.92691761271408</v>
      </c>
      <c r="Z13" s="21">
        <f t="shared" ca="1" si="3"/>
        <v>869.73090845860202</v>
      </c>
    </row>
    <row r="14" spans="1:26" x14ac:dyDescent="0.25">
      <c r="A14" s="14" t="str">
        <f>$A$12</f>
        <v>Annual percentage growth</v>
      </c>
      <c r="B14" s="11"/>
      <c r="C14" s="15"/>
      <c r="D14" s="89"/>
      <c r="E14" s="89">
        <f t="shared" ref="E14:Z14" si="4">E$13/D$13-1</f>
        <v>2.48279997678722E-2</v>
      </c>
      <c r="F14" s="89">
        <f t="shared" si="4"/>
        <v>8.13653165552497E-2</v>
      </c>
      <c r="G14" s="89">
        <f t="shared" si="4"/>
        <v>6.2736553024242303E-2</v>
      </c>
      <c r="H14" s="89">
        <f t="shared" si="4"/>
        <v>9.9979742899064972E-2</v>
      </c>
      <c r="I14" s="89">
        <f t="shared" si="4"/>
        <v>4.73611778203058E-2</v>
      </c>
      <c r="J14" s="89">
        <f t="shared" si="4"/>
        <v>3.3771485869343199E-2</v>
      </c>
      <c r="K14" s="89">
        <f t="shared" si="4"/>
        <v>4.7833571991697799E-2</v>
      </c>
      <c r="L14" s="66">
        <f t="shared" si="4"/>
        <v>5.3165073418121489E-2</v>
      </c>
      <c r="M14" s="66">
        <f t="shared" si="4"/>
        <v>5.7031694225806451E-2</v>
      </c>
      <c r="N14" s="66">
        <f t="shared" si="4"/>
        <v>4.8957538999923056E-2</v>
      </c>
      <c r="O14" s="66">
        <f t="shared" si="4"/>
        <v>4.6969363967487299E-2</v>
      </c>
      <c r="P14" s="66">
        <f t="shared" si="4"/>
        <v>4.486759690033737E-2</v>
      </c>
      <c r="Q14" s="17">
        <f t="shared" ca="1" si="4"/>
        <v>4.3530889305369858E-2</v>
      </c>
      <c r="R14" s="17">
        <f t="shared" ca="1" si="4"/>
        <v>4.2565132800158834E-2</v>
      </c>
      <c r="S14" s="17">
        <f t="shared" ca="1" si="4"/>
        <v>4.1908942066412491E-2</v>
      </c>
      <c r="T14" s="17">
        <f t="shared" ca="1" si="4"/>
        <v>4.1167269067909462E-2</v>
      </c>
      <c r="U14" s="17">
        <f t="shared" ca="1" si="4"/>
        <v>4.0918307160723089E-2</v>
      </c>
      <c r="V14" s="17">
        <f t="shared" ca="1" si="4"/>
        <v>4.0648369542306328E-2</v>
      </c>
      <c r="W14" s="17">
        <f t="shared" ca="1" si="4"/>
        <v>4.0149827666442706E-2</v>
      </c>
      <c r="X14" s="17">
        <f t="shared" ca="1" si="4"/>
        <v>3.9711563846340336E-2</v>
      </c>
      <c r="Y14" s="17">
        <f t="shared" ca="1" si="4"/>
        <v>3.9463590749565736E-2</v>
      </c>
      <c r="Z14" s="17">
        <f t="shared" ca="1" si="4"/>
        <v>3.9195765072844724E-2</v>
      </c>
    </row>
    <row r="15" spans="1:26" x14ac:dyDescent="0.25">
      <c r="A15" s="57" t="s">
        <v>1145</v>
      </c>
      <c r="B15" s="11"/>
      <c r="C15" s="15"/>
      <c r="D15" s="50"/>
      <c r="K15" s="91"/>
    </row>
    <row r="16" spans="1:26" x14ac:dyDescent="0.25">
      <c r="A16" s="11" t="s">
        <v>1146</v>
      </c>
      <c r="B16" s="11"/>
      <c r="C16" s="15"/>
      <c r="D16" s="50">
        <f>'Economic Forecasts'!Q$8</f>
        <v>2.7928000000000002</v>
      </c>
      <c r="E16" s="50">
        <f>'Economic Forecasts'!R$8</f>
        <v>2.831</v>
      </c>
      <c r="F16" s="50">
        <f>'Economic Forecasts'!S$8</f>
        <v>2.8598000000000003</v>
      </c>
      <c r="G16" s="50">
        <f>'Economic Forecasts'!T$8</f>
        <v>2.8898000000000001</v>
      </c>
      <c r="H16" s="50">
        <f>'Economic Forecasts'!U$8</f>
        <v>2.9653</v>
      </c>
      <c r="I16" s="50">
        <f>'Economic Forecasts'!V$8</f>
        <v>3.0393000000000003</v>
      </c>
      <c r="J16" s="50">
        <f>'Economic Forecasts'!W$8</f>
        <v>3.0343</v>
      </c>
      <c r="K16" s="50">
        <f>'Economic Forecasts'!X$8</f>
        <v>3.0533000000000001</v>
      </c>
      <c r="L16" s="48">
        <f>'Economic Forecasts'!Y$8</f>
        <v>3.1035999999999997</v>
      </c>
      <c r="M16" s="48">
        <f>'Economic Forecasts'!Z$8</f>
        <v>3.1566999999999998</v>
      </c>
      <c r="N16" s="48">
        <f>'Economic Forecasts'!AA$8</f>
        <v>3.2050000000000001</v>
      </c>
      <c r="O16" s="48">
        <f>'Economic Forecasts'!AB$8</f>
        <v>3.2505999999999999</v>
      </c>
      <c r="P16" s="48">
        <f>'Economic Forecasts'!AC$8</f>
        <v>3.2938000000000001</v>
      </c>
      <c r="Q16" s="20">
        <f>P$16*'Labour Force Treasury'!J$4/'Labour Force Treasury'!I$4</f>
        <v>3.3335325529278124</v>
      </c>
      <c r="R16" s="20">
        <f>Q$16*'Labour Force Treasury'!K$4/'Labour Force Treasury'!J$4</f>
        <v>3.3721792638940307</v>
      </c>
      <c r="S16" s="20">
        <f>R$16*'Labour Force Treasury'!L$4/'Labour Force Treasury'!K$4</f>
        <v>3.4096753280890426</v>
      </c>
      <c r="T16" s="20">
        <f>S$16*'Labour Force Treasury'!M$4/'Labour Force Treasury'!L$4</f>
        <v>3.4459739368614799</v>
      </c>
      <c r="U16" s="20">
        <f>T$16*'Labour Force Treasury'!N$4/'Labour Force Treasury'!M$4</f>
        <v>3.4818262054725535</v>
      </c>
      <c r="V16" s="20">
        <f>U$16*'Labour Force Treasury'!O$4/'Labour Force Treasury'!N$4</f>
        <v>3.5171391610897769</v>
      </c>
      <c r="W16" s="20">
        <f>V$16*'Labour Force Treasury'!P$4/'Labour Force Treasury'!O$4</f>
        <v>3.5511082239239253</v>
      </c>
      <c r="X16" s="20">
        <f>W$16*'Labour Force Treasury'!Q$4/'Labour Force Treasury'!P$4</f>
        <v>3.5838946659712145</v>
      </c>
      <c r="Y16" s="20">
        <f>X$16*'Labour Force Treasury'!R$4/'Labour Force Treasury'!Q$4</f>
        <v>3.6161211593463936</v>
      </c>
      <c r="Z16" s="20">
        <f>Y$16*'Labour Force Treasury'!S$4/'Labour Force Treasury'!R$4</f>
        <v>3.6476973352582767</v>
      </c>
    </row>
    <row r="17" spans="1:26" x14ac:dyDescent="0.25">
      <c r="A17" s="14" t="str">
        <f>$A$12</f>
        <v>Annual percentage growth</v>
      </c>
      <c r="B17" s="11"/>
      <c r="C17" s="15"/>
      <c r="D17" s="90"/>
      <c r="E17" s="89">
        <f t="shared" ref="E17:Z17" si="5">E$16/D$16-1</f>
        <v>1.3678029217988996E-2</v>
      </c>
      <c r="F17" s="89">
        <f t="shared" si="5"/>
        <v>1.0173083716001452E-2</v>
      </c>
      <c r="G17" s="89">
        <f t="shared" si="5"/>
        <v>1.0490244073012134E-2</v>
      </c>
      <c r="H17" s="89">
        <f t="shared" si="5"/>
        <v>2.6126375527718126E-2</v>
      </c>
      <c r="I17" s="89">
        <f t="shared" si="5"/>
        <v>2.495531649411542E-2</v>
      </c>
      <c r="J17" s="89">
        <f t="shared" si="5"/>
        <v>-1.6451156516303911E-3</v>
      </c>
      <c r="K17" s="89">
        <f t="shared" si="5"/>
        <v>6.2617407639324885E-3</v>
      </c>
      <c r="L17" s="66">
        <f t="shared" si="5"/>
        <v>1.6473978973569503E-2</v>
      </c>
      <c r="M17" s="66">
        <f t="shared" si="5"/>
        <v>1.7109163552004203E-2</v>
      </c>
      <c r="N17" s="66">
        <f t="shared" si="5"/>
        <v>1.5300788798428888E-2</v>
      </c>
      <c r="O17" s="66">
        <f t="shared" si="5"/>
        <v>1.4227769110764399E-2</v>
      </c>
      <c r="P17" s="66">
        <f t="shared" si="5"/>
        <v>1.3289854180766669E-2</v>
      </c>
      <c r="Q17" s="17">
        <f t="shared" si="5"/>
        <v>1.2062831054651779E-2</v>
      </c>
      <c r="R17" s="17">
        <f t="shared" si="5"/>
        <v>1.1593320404888585E-2</v>
      </c>
      <c r="S17" s="17">
        <f t="shared" si="5"/>
        <v>1.111923811301585E-2</v>
      </c>
      <c r="T17" s="17">
        <f t="shared" si="5"/>
        <v>1.0645766907308785E-2</v>
      </c>
      <c r="U17" s="17">
        <f t="shared" si="5"/>
        <v>1.0404103242790841E-2</v>
      </c>
      <c r="V17" s="17">
        <f t="shared" si="5"/>
        <v>1.0142078763644369E-2</v>
      </c>
      <c r="W17" s="17">
        <f t="shared" si="5"/>
        <v>9.6581514914022559E-3</v>
      </c>
      <c r="X17" s="17">
        <f t="shared" si="5"/>
        <v>9.2327352420311648E-3</v>
      </c>
      <c r="Y17" s="17">
        <f t="shared" si="5"/>
        <v>8.9920314012481573E-3</v>
      </c>
      <c r="Z17" s="17">
        <f t="shared" si="5"/>
        <v>8.7320569528677172E-3</v>
      </c>
    </row>
    <row r="18" spans="1:26" x14ac:dyDescent="0.25">
      <c r="A18" s="11" t="s">
        <v>1147</v>
      </c>
      <c r="B18" s="11"/>
      <c r="C18" s="15"/>
      <c r="D18" s="50">
        <f>'Economic Forecasts'!Q$9</f>
        <v>3.9419</v>
      </c>
      <c r="E18" s="50">
        <f>'Economic Forecasts'!R$9</f>
        <v>4.0198</v>
      </c>
      <c r="F18" s="50">
        <f>'Economic Forecasts'!S$9</f>
        <v>4.0667</v>
      </c>
      <c r="G18" s="50">
        <f>'Economic Forecasts'!T$9</f>
        <v>4.0703000000000005</v>
      </c>
      <c r="H18" s="50">
        <f>'Economic Forecasts'!U$9</f>
        <v>4.1178999999999997</v>
      </c>
      <c r="I18" s="50">
        <f>'Economic Forecasts'!V$9</f>
        <v>4.2371999999999996</v>
      </c>
      <c r="J18" s="50">
        <f>'Economic Forecasts'!W$9</f>
        <v>4.2868999999999993</v>
      </c>
      <c r="K18" s="50">
        <f>'Economic Forecasts'!X$9</f>
        <v>4.3319999999999999</v>
      </c>
      <c r="L18" s="48">
        <f>'Economic Forecasts'!Y$9</f>
        <v>4.3866999999999994</v>
      </c>
      <c r="M18" s="48">
        <f>'Economic Forecasts'!Z$9</f>
        <v>4.4423000000000004</v>
      </c>
      <c r="N18" s="48">
        <f>'Economic Forecasts'!AA$9</f>
        <v>4.5003000000000002</v>
      </c>
      <c r="O18" s="48">
        <f>'Economic Forecasts'!AB$9</f>
        <v>4.5590000000000002</v>
      </c>
      <c r="P18" s="48">
        <f>'Economic Forecasts'!AC$9</f>
        <v>4.6177999999999999</v>
      </c>
      <c r="Q18" s="20">
        <f>P$18*'Population Treasury'!AB$6/'Population Treasury'!AA$6</f>
        <v>4.6771358808609396</v>
      </c>
      <c r="R18" s="20">
        <f>Q$18*'Population Treasury'!AC$6/'Population Treasury'!AB$6</f>
        <v>4.7345664681015647</v>
      </c>
      <c r="S18" s="20">
        <f>R$18*'Population Treasury'!AD$6/'Population Treasury'!AC$6</f>
        <v>4.7911242127851628</v>
      </c>
      <c r="T18" s="20">
        <f>S$18*'Population Treasury'!AE$6/'Population Treasury'!AD$6</f>
        <v>4.8453742127851633</v>
      </c>
      <c r="U18" s="20">
        <f>T$18*'Population Treasury'!AF$6/'Population Treasury'!AE$6</f>
        <v>4.8998342127851631</v>
      </c>
      <c r="V18" s="20">
        <f>U$18*'Population Treasury'!AG$6/'Population Treasury'!AF$6</f>
        <v>4.9531442127851628</v>
      </c>
      <c r="W18" s="20">
        <f>V$18*'Population Treasury'!AH$6/'Population Treasury'!AG$6</f>
        <v>5.0015842127851631</v>
      </c>
      <c r="X18" s="20">
        <f>W$18*'Population Treasury'!AI$6/'Population Treasury'!AH$6</f>
        <v>5.0492242127851625</v>
      </c>
      <c r="Y18" s="20">
        <f>X$18*'Population Treasury'!AJ$6/'Population Treasury'!AI$6</f>
        <v>5.0974042127851638</v>
      </c>
      <c r="Z18" s="20">
        <f>Y$18*'Population Treasury'!AK$6/'Population Treasury'!AJ$6</f>
        <v>5.1449142127851628</v>
      </c>
    </row>
    <row r="19" spans="1:26" x14ac:dyDescent="0.25">
      <c r="A19" s="14" t="str">
        <f>$A$12</f>
        <v>Annual percentage growth</v>
      </c>
      <c r="B19" s="11"/>
      <c r="C19" s="15"/>
      <c r="D19" s="89"/>
      <c r="E19" s="89">
        <f t="shared" ref="E19:Z19" si="6">E$18/D$18-1</f>
        <v>1.9762043684517616E-2</v>
      </c>
      <c r="F19" s="89">
        <f t="shared" si="6"/>
        <v>1.1667247126722735E-2</v>
      </c>
      <c r="G19" s="89">
        <f t="shared" si="6"/>
        <v>8.852386455850958E-4</v>
      </c>
      <c r="H19" s="89">
        <f t="shared" si="6"/>
        <v>1.1694469695108234E-2</v>
      </c>
      <c r="I19" s="89">
        <f t="shared" si="6"/>
        <v>2.8971077490954178E-2</v>
      </c>
      <c r="J19" s="89">
        <f t="shared" si="6"/>
        <v>1.1729443972434472E-2</v>
      </c>
      <c r="K19" s="89">
        <f t="shared" si="6"/>
        <v>1.0520422683057751E-2</v>
      </c>
      <c r="L19" s="66">
        <f t="shared" si="6"/>
        <v>1.2626962142197495E-2</v>
      </c>
      <c r="M19" s="66">
        <f t="shared" si="6"/>
        <v>1.2674675724348772E-2</v>
      </c>
      <c r="N19" s="66">
        <f t="shared" si="6"/>
        <v>1.3056299664588211E-2</v>
      </c>
      <c r="O19" s="66">
        <f t="shared" si="6"/>
        <v>1.3043574872786179E-2</v>
      </c>
      <c r="P19" s="66">
        <f t="shared" si="6"/>
        <v>1.2897565255538535E-2</v>
      </c>
      <c r="Q19" s="17">
        <f t="shared" si="6"/>
        <v>1.2849383009428728E-2</v>
      </c>
      <c r="R19" s="17">
        <f t="shared" si="6"/>
        <v>1.2279007645604967E-2</v>
      </c>
      <c r="S19" s="17">
        <f t="shared" si="6"/>
        <v>1.1945707186634236E-2</v>
      </c>
      <c r="T19" s="17">
        <f t="shared" si="6"/>
        <v>1.132302098435134E-2</v>
      </c>
      <c r="U19" s="17">
        <f t="shared" si="6"/>
        <v>1.1239585965579169E-2</v>
      </c>
      <c r="V19" s="17">
        <f t="shared" si="6"/>
        <v>1.0879959950664819E-2</v>
      </c>
      <c r="W19" s="17">
        <f t="shared" si="6"/>
        <v>9.7796466081010447E-3</v>
      </c>
      <c r="X19" s="17">
        <f t="shared" si="6"/>
        <v>9.5249820803218199E-3</v>
      </c>
      <c r="Y19" s="17">
        <f t="shared" si="6"/>
        <v>9.5420599223945413E-3</v>
      </c>
      <c r="Z19" s="17">
        <f t="shared" si="6"/>
        <v>9.3204301673459611E-3</v>
      </c>
    </row>
    <row r="20" spans="1:26" x14ac:dyDescent="0.25">
      <c r="A20" s="11" t="s">
        <v>1148</v>
      </c>
      <c r="B20" s="11"/>
      <c r="C20" s="15"/>
      <c r="D20" s="89">
        <f t="shared" ref="D20:Z20" si="7">D$16/D$18</f>
        <v>0.70849082929551743</v>
      </c>
      <c r="E20" s="89">
        <f t="shared" si="7"/>
        <v>0.70426389372605602</v>
      </c>
      <c r="F20" s="89">
        <f t="shared" si="7"/>
        <v>0.70322374406767163</v>
      </c>
      <c r="G20" s="89">
        <f t="shared" si="7"/>
        <v>0.70997223791858088</v>
      </c>
      <c r="H20" s="89">
        <f t="shared" si="7"/>
        <v>0.72010005099686736</v>
      </c>
      <c r="I20" s="89">
        <f t="shared" si="7"/>
        <v>0.71728971962616839</v>
      </c>
      <c r="J20" s="89">
        <f t="shared" si="7"/>
        <v>0.70780750658984359</v>
      </c>
      <c r="K20" s="89">
        <f t="shared" si="7"/>
        <v>0.7048245614035088</v>
      </c>
      <c r="L20" s="66">
        <f t="shared" si="7"/>
        <v>0.70750222262748763</v>
      </c>
      <c r="M20" s="66">
        <f t="shared" si="7"/>
        <v>0.71060036467595611</v>
      </c>
      <c r="N20" s="66">
        <f t="shared" si="7"/>
        <v>0.7121747439059618</v>
      </c>
      <c r="O20" s="66">
        <f t="shared" si="7"/>
        <v>0.71300723842948011</v>
      </c>
      <c r="P20" s="66">
        <f t="shared" si="7"/>
        <v>0.71328338169691197</v>
      </c>
      <c r="Q20" s="17">
        <f t="shared" si="7"/>
        <v>0.71272946474973808</v>
      </c>
      <c r="R20" s="17">
        <f t="shared" si="7"/>
        <v>0.71224668332646413</v>
      </c>
      <c r="S20" s="17">
        <f t="shared" si="7"/>
        <v>0.71166498230003927</v>
      </c>
      <c r="T20" s="17">
        <f t="shared" si="7"/>
        <v>0.71118840063349908</v>
      </c>
      <c r="U20" s="17">
        <f t="shared" si="7"/>
        <v>0.71060081918433204</v>
      </c>
      <c r="V20" s="17">
        <f t="shared" si="7"/>
        <v>0.71008212359560652</v>
      </c>
      <c r="W20" s="17">
        <f t="shared" si="7"/>
        <v>0.7099966876187952</v>
      </c>
      <c r="X20" s="17">
        <f t="shared" si="7"/>
        <v>0.70979115106364643</v>
      </c>
      <c r="Y20" s="17">
        <f t="shared" si="7"/>
        <v>0.70940443574722634</v>
      </c>
      <c r="Z20" s="17">
        <f t="shared" si="7"/>
        <v>0.70899089555151618</v>
      </c>
    </row>
    <row r="21" spans="1:26" x14ac:dyDescent="0.25">
      <c r="A21" s="11" t="s">
        <v>779</v>
      </c>
      <c r="B21" s="11"/>
      <c r="C21" s="15"/>
      <c r="D21" s="50">
        <f>'Economic Forecasts'!Q$10</f>
        <v>4.9462000000000002</v>
      </c>
      <c r="E21" s="50">
        <f>'Economic Forecasts'!R$10</f>
        <v>5.0406000000000004</v>
      </c>
      <c r="F21" s="50">
        <f>'Economic Forecasts'!S$10</f>
        <v>5.0821000000000005</v>
      </c>
      <c r="G21" s="50">
        <f>'Economic Forecasts'!T$10</f>
        <v>5.0838000000000001</v>
      </c>
      <c r="H21" s="50">
        <f>'Economic Forecasts'!U$10</f>
        <v>5.1452</v>
      </c>
      <c r="I21" s="50">
        <f>'Economic Forecasts'!V$10</f>
        <v>5.2688000000000006</v>
      </c>
      <c r="J21" s="50">
        <f>'Economic Forecasts'!W$10</f>
        <v>5.3117999999999999</v>
      </c>
      <c r="K21" s="50">
        <f>'Economic Forecasts'!X$10</f>
        <v>5.3451000000000004</v>
      </c>
      <c r="L21" s="48">
        <f>'Economic Forecasts'!Y$10</f>
        <v>5.3923000000000005</v>
      </c>
      <c r="M21" s="48">
        <f>'Economic Forecasts'!Z$10</f>
        <v>5.4530000000000003</v>
      </c>
      <c r="N21" s="48">
        <f>'Economic Forecasts'!AA$10</f>
        <v>5.5176999999999996</v>
      </c>
      <c r="O21" s="48">
        <f>'Economic Forecasts'!AB$10</f>
        <v>5.5833999999999993</v>
      </c>
      <c r="P21" s="48">
        <f>'Economic Forecasts'!AC$10</f>
        <v>5.6493000000000002</v>
      </c>
      <c r="Q21" s="20">
        <f>P$21*'Population Treasury'!AB$4/'Population Treasury'!AA$4</f>
        <v>5.7052600060217733</v>
      </c>
      <c r="R21" s="20">
        <f>Q$21*'Population Treasury'!AC$4/'Population Treasury'!AB$4</f>
        <v>5.7601500100362912</v>
      </c>
      <c r="S21" s="20">
        <f>R$21*'Population Treasury'!AD$4/'Population Treasury'!AC$4</f>
        <v>5.8138600117090098</v>
      </c>
      <c r="T21" s="20">
        <f>S$21*'Population Treasury'!AE$4/'Population Treasury'!AD$4</f>
        <v>5.8664900117090104</v>
      </c>
      <c r="U21" s="20">
        <f>T$21*'Population Treasury'!AF$4/'Population Treasury'!AE$4</f>
        <v>5.9189500117090104</v>
      </c>
      <c r="V21" s="20">
        <f>U$21*'Population Treasury'!AG$4/'Population Treasury'!AF$4</f>
        <v>5.9709800117090097</v>
      </c>
      <c r="W21" s="20">
        <f>V$21*'Population Treasury'!AH$4/'Population Treasury'!AG$4</f>
        <v>6.0227600117090105</v>
      </c>
      <c r="X21" s="20">
        <f>W$21*'Population Treasury'!AI$4/'Population Treasury'!AH$4</f>
        <v>6.0742300117090098</v>
      </c>
      <c r="Y21" s="20">
        <f>X$21*'Population Treasury'!AJ$4/'Population Treasury'!AI$4</f>
        <v>6.1255100117090082</v>
      </c>
      <c r="Z21" s="20">
        <f>Y$21*'Population Treasury'!AK$4/'Population Treasury'!AJ$4</f>
        <v>6.1764800117090095</v>
      </c>
    </row>
    <row r="22" spans="1:26" x14ac:dyDescent="0.25">
      <c r="A22" s="14" t="str">
        <f>$A$12</f>
        <v>Annual percentage growth</v>
      </c>
      <c r="B22" s="57"/>
      <c r="C22" s="15"/>
      <c r="D22" s="91"/>
      <c r="E22" s="89">
        <f t="shared" ref="E22:Z22" si="8">E$21/D$21-1</f>
        <v>1.9085358456997437E-2</v>
      </c>
      <c r="F22" s="89">
        <f t="shared" si="8"/>
        <v>8.2331468475975722E-3</v>
      </c>
      <c r="G22" s="89">
        <f t="shared" si="8"/>
        <v>3.3450738867779606E-4</v>
      </c>
      <c r="H22" s="89">
        <f t="shared" si="8"/>
        <v>1.2077579763169366E-2</v>
      </c>
      <c r="I22" s="89">
        <f t="shared" si="8"/>
        <v>2.4022389800202326E-2</v>
      </c>
      <c r="J22" s="89">
        <f t="shared" si="8"/>
        <v>8.1612511387791908E-3</v>
      </c>
      <c r="K22" s="89">
        <f t="shared" si="8"/>
        <v>6.2690613351408242E-3</v>
      </c>
      <c r="L22" s="66">
        <f t="shared" si="8"/>
        <v>8.8305176703897814E-3</v>
      </c>
      <c r="M22" s="66">
        <f t="shared" si="8"/>
        <v>1.1256792092428025E-2</v>
      </c>
      <c r="N22" s="66">
        <f t="shared" si="8"/>
        <v>1.1865028424720148E-2</v>
      </c>
      <c r="O22" s="66">
        <f t="shared" si="8"/>
        <v>1.1907135219384912E-2</v>
      </c>
      <c r="P22" s="66">
        <f t="shared" si="8"/>
        <v>1.1802844145144764E-2</v>
      </c>
      <c r="Q22" s="17">
        <f t="shared" si="8"/>
        <v>9.9056530936174614E-3</v>
      </c>
      <c r="R22" s="17">
        <f t="shared" si="8"/>
        <v>9.6209469781540768E-3</v>
      </c>
      <c r="S22" s="17">
        <f t="shared" si="8"/>
        <v>9.3244102287504127E-3</v>
      </c>
      <c r="T22" s="17">
        <f t="shared" si="8"/>
        <v>9.0525055460579651E-3</v>
      </c>
      <c r="U22" s="17">
        <f t="shared" si="8"/>
        <v>8.9423147223117727E-3</v>
      </c>
      <c r="V22" s="17">
        <f t="shared" si="8"/>
        <v>8.7904104439253672E-3</v>
      </c>
      <c r="W22" s="17">
        <f t="shared" si="8"/>
        <v>8.6719432820845377E-3</v>
      </c>
      <c r="X22" s="17">
        <f t="shared" si="8"/>
        <v>8.5459158093523779E-3</v>
      </c>
      <c r="Y22" s="17">
        <f t="shared" si="8"/>
        <v>8.4422222900923938E-3</v>
      </c>
      <c r="Z22" s="17">
        <f t="shared" si="8"/>
        <v>8.3209397915555705E-3</v>
      </c>
    </row>
    <row r="23" spans="1:26" x14ac:dyDescent="0.25">
      <c r="A23" s="11" t="s">
        <v>780</v>
      </c>
      <c r="B23" s="11"/>
      <c r="C23" s="15"/>
      <c r="D23" s="89">
        <f>'Economic Forecasts'!Q$11</f>
        <v>4.1500000000000002E-2</v>
      </c>
      <c r="E23" s="89">
        <f>'Economic Forecasts'!R$11</f>
        <v>4.1299999999999996E-2</v>
      </c>
      <c r="F23" s="89">
        <f>'Economic Forecasts'!S$11</f>
        <v>4.6799999999999994E-2</v>
      </c>
      <c r="G23" s="89">
        <f>'Economic Forecasts'!T$11</f>
        <v>3.2799999999999996E-2</v>
      </c>
      <c r="H23" s="89">
        <f>'Economic Forecasts'!U$11</f>
        <v>3.4799999999999998E-2</v>
      </c>
      <c r="I23" s="89">
        <f>'Economic Forecasts'!V$11</f>
        <v>4.2500000000000003E-2</v>
      </c>
      <c r="J23" s="89">
        <f>'Economic Forecasts'!W$11</f>
        <v>5.0999999999999997E-2</v>
      </c>
      <c r="K23" s="89">
        <f>'Economic Forecasts'!X$11</f>
        <v>5.4299999999999994E-2</v>
      </c>
      <c r="L23" s="66">
        <f>'Economic Forecasts'!Y$11</f>
        <v>5.4199999999999998E-2</v>
      </c>
      <c r="M23" s="66">
        <f>'Economic Forecasts'!Z$11</f>
        <v>4.87E-2</v>
      </c>
      <c r="N23" s="66">
        <f>'Economic Forecasts'!AA$11</f>
        <v>4.5599999999999995E-2</v>
      </c>
      <c r="O23" s="66">
        <f>'Economic Forecasts'!AB$11</f>
        <v>4.3499999999999997E-2</v>
      </c>
      <c r="P23" s="66">
        <f>'Economic Forecasts'!AC$11</f>
        <v>4.3200000000000002E-2</v>
      </c>
      <c r="Q23" s="17">
        <f ca="1">P$23+IF(Q$6&lt;OFFSET(Assumptions!$B$8,0,$C$1)+OFFSET(Assumptions!$B$18,0,$C$1),(OFFSET(Assumptions!$B$12,0,$C$1)-P$23)/(OFFSET(Assumptions!$B$8,0,$C$1)+OFFSET(Assumptions!$B$18,0,$C$1)-Q$6),0)</f>
        <v>4.2966666666666667E-2</v>
      </c>
      <c r="R23" s="17">
        <f ca="1">Q$23+IF(R$6&lt;OFFSET(Assumptions!$B$8,0,$C$1)+OFFSET(Assumptions!$B$18,0,$C$1),(OFFSET(Assumptions!$B$12,0,$C$1)-Q$23)/(OFFSET(Assumptions!$B$8,0,$C$1)+OFFSET(Assumptions!$B$18,0,$C$1)-R$6),0)</f>
        <v>4.2733333333333332E-2</v>
      </c>
      <c r="S23" s="17">
        <f ca="1">R$23+IF(S$6&lt;OFFSET(Assumptions!$B$8,0,$C$1)+OFFSET(Assumptions!$B$18,0,$C$1),(OFFSET(Assumptions!$B$12,0,$C$1)-R$23)/(OFFSET(Assumptions!$B$8,0,$C$1)+OFFSET(Assumptions!$B$18,0,$C$1)-S$6),0)</f>
        <v>4.2500000000000003E-2</v>
      </c>
      <c r="T23" s="17">
        <f ca="1">S$23+IF(T$6&lt;OFFSET(Assumptions!$B$8,0,$C$1)+OFFSET(Assumptions!$B$18,0,$C$1),(OFFSET(Assumptions!$B$12,0,$C$1)-S$23)/(OFFSET(Assumptions!$B$8,0,$C$1)+OFFSET(Assumptions!$B$18,0,$C$1)-T$6),0)</f>
        <v>4.2500000000000003E-2</v>
      </c>
      <c r="U23" s="17">
        <f ca="1">T$23+IF(U$6&lt;OFFSET(Assumptions!$B$8,0,$C$1)+OFFSET(Assumptions!$B$18,0,$C$1),(OFFSET(Assumptions!$B$12,0,$C$1)-T$23)/(OFFSET(Assumptions!$B$8,0,$C$1)+OFFSET(Assumptions!$B$18,0,$C$1)-U$6),0)</f>
        <v>4.2500000000000003E-2</v>
      </c>
      <c r="V23" s="17">
        <f ca="1">U$23+IF(V$6&lt;OFFSET(Assumptions!$B$8,0,$C$1)+OFFSET(Assumptions!$B$18,0,$C$1),(OFFSET(Assumptions!$B$12,0,$C$1)-U$23)/(OFFSET(Assumptions!$B$8,0,$C$1)+OFFSET(Assumptions!$B$18,0,$C$1)-V$6),0)</f>
        <v>4.2500000000000003E-2</v>
      </c>
      <c r="W23" s="17">
        <f ca="1">V$23+IF(W$6&lt;OFFSET(Assumptions!$B$8,0,$C$1)+OFFSET(Assumptions!$B$18,0,$C$1),(OFFSET(Assumptions!$B$12,0,$C$1)-V$23)/(OFFSET(Assumptions!$B$8,0,$C$1)+OFFSET(Assumptions!$B$18,0,$C$1)-W$6),0)</f>
        <v>4.2500000000000003E-2</v>
      </c>
      <c r="X23" s="17">
        <f ca="1">W$23+IF(X$6&lt;OFFSET(Assumptions!$B$8,0,$C$1)+OFFSET(Assumptions!$B$18,0,$C$1),(OFFSET(Assumptions!$B$12,0,$C$1)-W$23)/(OFFSET(Assumptions!$B$8,0,$C$1)+OFFSET(Assumptions!$B$18,0,$C$1)-X$6),0)</f>
        <v>4.2500000000000003E-2</v>
      </c>
      <c r="Y23" s="17">
        <f ca="1">X$23+IF(Y$6&lt;OFFSET(Assumptions!$B$8,0,$C$1)+OFFSET(Assumptions!$B$18,0,$C$1),(OFFSET(Assumptions!$B$12,0,$C$1)-X$23)/(OFFSET(Assumptions!$B$8,0,$C$1)+OFFSET(Assumptions!$B$18,0,$C$1)-Y$6),0)</f>
        <v>4.2500000000000003E-2</v>
      </c>
      <c r="Z23" s="17">
        <f ca="1">Y$23+IF(Z$6&lt;OFFSET(Assumptions!$B$8,0,$C$1)+OFFSET(Assumptions!$B$18,0,$C$1),(OFFSET(Assumptions!$B$12,0,$C$1)-Y$23)/(OFFSET(Assumptions!$B$8,0,$C$1)+OFFSET(Assumptions!$B$18,0,$C$1)-Z$6),0)</f>
        <v>4.2500000000000003E-2</v>
      </c>
    </row>
    <row r="24" spans="1:26" x14ac:dyDescent="0.25">
      <c r="A24" s="11" t="s">
        <v>781</v>
      </c>
      <c r="B24" s="11"/>
      <c r="C24" s="15"/>
      <c r="D24" s="92">
        <f>'Economic Forecasts'!Q$12</f>
        <v>34.11</v>
      </c>
      <c r="E24" s="92">
        <f>'Economic Forecasts'!R$12</f>
        <v>33.18</v>
      </c>
      <c r="F24" s="92">
        <f>'Economic Forecasts'!S$12</f>
        <v>34.119999999999997</v>
      </c>
      <c r="G24" s="92">
        <f>'Economic Forecasts'!T$12</f>
        <v>32.94</v>
      </c>
      <c r="H24" s="92">
        <f>'Economic Forecasts'!U$12</f>
        <v>33.72</v>
      </c>
      <c r="I24" s="92">
        <f>'Economic Forecasts'!V$12</f>
        <v>33.549999999999997</v>
      </c>
      <c r="J24" s="92">
        <f>'Economic Forecasts'!W$12</f>
        <v>33.03</v>
      </c>
      <c r="K24" s="92">
        <f>'Economic Forecasts'!X$12</f>
        <v>33.299999999999997</v>
      </c>
      <c r="L24" s="68">
        <f>'Economic Forecasts'!Y$12</f>
        <v>33.28</v>
      </c>
      <c r="M24" s="68">
        <f>'Economic Forecasts'!Z$12</f>
        <v>33.26</v>
      </c>
      <c r="N24" s="68">
        <f>'Economic Forecasts'!AA$12</f>
        <v>33.25</v>
      </c>
      <c r="O24" s="68">
        <f>'Economic Forecasts'!AB$12</f>
        <v>33.229999999999997</v>
      </c>
      <c r="P24" s="68">
        <f>'Economic Forecasts'!AC$12</f>
        <v>33.22</v>
      </c>
      <c r="Q24" s="67">
        <f ca="1">P$24+IF(Q$6&lt;OFFSET(Assumptions!$B$8,0,$C$1)+OFFSET(Assumptions!$B$19,0,$C$1),(OFFSET(Assumptions!$B$13,0,$C$1)-P$24)/(OFFSET(Assumptions!$B$8,0,$C$1)+OFFSET(Assumptions!$B$19,0,$C$1)-Q$6),0)</f>
        <v>33.21</v>
      </c>
      <c r="R24" s="67">
        <f ca="1">Q$24+IF(R$6&lt;OFFSET(Assumptions!$B$8,0,$C$1)+OFFSET(Assumptions!$B$19,0,$C$1),(OFFSET(Assumptions!$B$13,0,$C$1)-Q$24)/(OFFSET(Assumptions!$B$8,0,$C$1)+OFFSET(Assumptions!$B$19,0,$C$1)-R$6),0)</f>
        <v>33.200000000000003</v>
      </c>
      <c r="S24" s="67">
        <f ca="1">R$24+IF(S$6&lt;OFFSET(Assumptions!$B$8,0,$C$1)+OFFSET(Assumptions!$B$19,0,$C$1),(OFFSET(Assumptions!$B$13,0,$C$1)-R$24)/(OFFSET(Assumptions!$B$8,0,$C$1)+OFFSET(Assumptions!$B$19,0,$C$1)-S$6),0)</f>
        <v>33.200000000000003</v>
      </c>
      <c r="T24" s="67">
        <f ca="1">S$24+IF(T$6&lt;OFFSET(Assumptions!$B$8,0,$C$1)+OFFSET(Assumptions!$B$19,0,$C$1),(OFFSET(Assumptions!$B$13,0,$C$1)-S$24)/(OFFSET(Assumptions!$B$8,0,$C$1)+OFFSET(Assumptions!$B$19,0,$C$1)-T$6),0)</f>
        <v>33.200000000000003</v>
      </c>
      <c r="U24" s="67">
        <f ca="1">T$24+IF(U$6&lt;OFFSET(Assumptions!$B$8,0,$C$1)+OFFSET(Assumptions!$B$19,0,$C$1),(OFFSET(Assumptions!$B$13,0,$C$1)-T$24)/(OFFSET(Assumptions!$B$8,0,$C$1)+OFFSET(Assumptions!$B$19,0,$C$1)-U$6),0)</f>
        <v>33.200000000000003</v>
      </c>
      <c r="V24" s="67">
        <f ca="1">U$24+IF(V$6&lt;OFFSET(Assumptions!$B$8,0,$C$1)+OFFSET(Assumptions!$B$19,0,$C$1),(OFFSET(Assumptions!$B$13,0,$C$1)-U$24)/(OFFSET(Assumptions!$B$8,0,$C$1)+OFFSET(Assumptions!$B$19,0,$C$1)-V$6),0)</f>
        <v>33.200000000000003</v>
      </c>
      <c r="W24" s="67">
        <f ca="1">V$24+IF(W$6&lt;OFFSET(Assumptions!$B$8,0,$C$1)+OFFSET(Assumptions!$B$19,0,$C$1),(OFFSET(Assumptions!$B$13,0,$C$1)-V$24)/(OFFSET(Assumptions!$B$8,0,$C$1)+OFFSET(Assumptions!$B$19,0,$C$1)-W$6),0)</f>
        <v>33.200000000000003</v>
      </c>
      <c r="X24" s="67">
        <f ca="1">W$24+IF(X$6&lt;OFFSET(Assumptions!$B$8,0,$C$1)+OFFSET(Assumptions!$B$19,0,$C$1),(OFFSET(Assumptions!$B$13,0,$C$1)-W$24)/(OFFSET(Assumptions!$B$8,0,$C$1)+OFFSET(Assumptions!$B$19,0,$C$1)-X$6),0)</f>
        <v>33.200000000000003</v>
      </c>
      <c r="Y24" s="67">
        <f ca="1">X$24+IF(Y$6&lt;OFFSET(Assumptions!$B$8,0,$C$1)+OFFSET(Assumptions!$B$19,0,$C$1),(OFFSET(Assumptions!$B$13,0,$C$1)-X$24)/(OFFSET(Assumptions!$B$8,0,$C$1)+OFFSET(Assumptions!$B$19,0,$C$1)-Y$6),0)</f>
        <v>33.200000000000003</v>
      </c>
      <c r="Z24" s="67">
        <f ca="1">Y$24+IF(Z$6&lt;OFFSET(Assumptions!$B$8,0,$C$1)+OFFSET(Assumptions!$B$19,0,$C$1),(OFFSET(Assumptions!$B$13,0,$C$1)-Y$24)/(OFFSET(Assumptions!$B$8,0,$C$1)+OFFSET(Assumptions!$B$19,0,$C$1)-Z$6),0)</f>
        <v>33.200000000000003</v>
      </c>
    </row>
    <row r="25" spans="1:26" x14ac:dyDescent="0.25">
      <c r="A25" s="11" t="s">
        <v>782</v>
      </c>
      <c r="B25" s="11"/>
      <c r="C25" s="15"/>
      <c r="D25" s="89">
        <f>'Economic Forecasts'!Q$13</f>
        <v>6.7000000000000002E-3</v>
      </c>
      <c r="E25" s="89">
        <f>'Economic Forecasts'!R$13</f>
        <v>6.4000000000000003E-3</v>
      </c>
      <c r="F25" s="89">
        <f>'Economic Forecasts'!S$13</f>
        <v>2.93E-2</v>
      </c>
      <c r="G25" s="89">
        <f>'Economic Forecasts'!T$13</f>
        <v>1.49E-2</v>
      </c>
      <c r="H25" s="89">
        <f>'Economic Forecasts'!U$13</f>
        <v>-8.6E-3</v>
      </c>
      <c r="I25" s="89">
        <f>'Economic Forecasts'!V$13</f>
        <v>-2.9999999999999997E-4</v>
      </c>
      <c r="J25" s="89">
        <f>'Economic Forecasts'!W$13</f>
        <v>1.46E-2</v>
      </c>
      <c r="K25" s="89">
        <f>'Economic Forecasts'!X$13</f>
        <v>4.7000000000000002E-3</v>
      </c>
      <c r="L25" s="66">
        <f>'Economic Forecasts'!Y$13</f>
        <v>7.1000000000000004E-3</v>
      </c>
      <c r="M25" s="66">
        <f>'Economic Forecasts'!Z$13</f>
        <v>6.4999999999999997E-3</v>
      </c>
      <c r="N25" s="66">
        <f>'Economic Forecasts'!AA$13</f>
        <v>8.3000000000000001E-3</v>
      </c>
      <c r="O25" s="66">
        <f>'Economic Forecasts'!AB$13</f>
        <v>9.9000000000000008E-3</v>
      </c>
      <c r="P25" s="66">
        <f>'Economic Forecasts'!AC$13</f>
        <v>1.14E-2</v>
      </c>
      <c r="Q25" s="17">
        <f ca="1">P$25+IF(Q$6&lt;OFFSET(Assumptions!$B$8,0,$C$1)+OFFSET(Assumptions!$B$20,0,$C$1),(OFFSET(Assumptions!$B$14,0,$C$1)-P$25)/(OFFSET(Assumptions!$B$8,0,$C$1)+OFFSET(Assumptions!$B$20,0,$C$1)-Q$6),0)</f>
        <v>1.0933333333333333E-2</v>
      </c>
      <c r="R25" s="17">
        <f ca="1">Q$25+IF(R$6&lt;OFFSET(Assumptions!$B$8,0,$C$1)+OFFSET(Assumptions!$B$20,0,$C$1),(OFFSET(Assumptions!$B$14,0,$C$1)-Q$25)/(OFFSET(Assumptions!$B$8,0,$C$1)+OFFSET(Assumptions!$B$20,0,$C$1)-R$6),0)</f>
        <v>1.0466666666666666E-2</v>
      </c>
      <c r="S25" s="17">
        <f ca="1">R$25+IF(S$6&lt;OFFSET(Assumptions!$B$8,0,$C$1)+OFFSET(Assumptions!$B$20,0,$C$1),(OFFSET(Assumptions!$B$14,0,$C$1)-R$25)/(OFFSET(Assumptions!$B$8,0,$C$1)+OFFSET(Assumptions!$B$20,0,$C$1)-S$6),0)</f>
        <v>0.01</v>
      </c>
      <c r="T25" s="17">
        <f ca="1">S$25+IF(T$6&lt;OFFSET(Assumptions!$B$8,0,$C$1)+OFFSET(Assumptions!$B$20,0,$C$1),(OFFSET(Assumptions!$B$14,0,$C$1)-S$25)/(OFFSET(Assumptions!$B$8,0,$C$1)+OFFSET(Assumptions!$B$20,0,$C$1)-T$6),0)</f>
        <v>0.01</v>
      </c>
      <c r="U25" s="17">
        <f ca="1">T$25+IF(U$6&lt;OFFSET(Assumptions!$B$8,0,$C$1)+OFFSET(Assumptions!$B$20,0,$C$1),(OFFSET(Assumptions!$B$14,0,$C$1)-T$25)/(OFFSET(Assumptions!$B$8,0,$C$1)+OFFSET(Assumptions!$B$20,0,$C$1)-U$6),0)</f>
        <v>0.01</v>
      </c>
      <c r="V25" s="17">
        <f ca="1">U$25+IF(V$6&lt;OFFSET(Assumptions!$B$8,0,$C$1)+OFFSET(Assumptions!$B$20,0,$C$1),(OFFSET(Assumptions!$B$14,0,$C$1)-U$25)/(OFFSET(Assumptions!$B$8,0,$C$1)+OFFSET(Assumptions!$B$20,0,$C$1)-V$6),0)</f>
        <v>0.01</v>
      </c>
      <c r="W25" s="17">
        <f ca="1">V$25+IF(W$6&lt;OFFSET(Assumptions!$B$8,0,$C$1)+OFFSET(Assumptions!$B$20,0,$C$1),(OFFSET(Assumptions!$B$14,0,$C$1)-V$25)/(OFFSET(Assumptions!$B$8,0,$C$1)+OFFSET(Assumptions!$B$20,0,$C$1)-W$6),0)</f>
        <v>0.01</v>
      </c>
      <c r="X25" s="17">
        <f ca="1">W$25+IF(X$6&lt;OFFSET(Assumptions!$B$8,0,$C$1)+OFFSET(Assumptions!$B$20,0,$C$1),(OFFSET(Assumptions!$B$14,0,$C$1)-W$25)/(OFFSET(Assumptions!$B$8,0,$C$1)+OFFSET(Assumptions!$B$20,0,$C$1)-X$6),0)</f>
        <v>0.01</v>
      </c>
      <c r="Y25" s="17">
        <f ca="1">X$25+IF(Y$6&lt;OFFSET(Assumptions!$B$8,0,$C$1)+OFFSET(Assumptions!$B$20,0,$C$1),(OFFSET(Assumptions!$B$14,0,$C$1)-X$25)/(OFFSET(Assumptions!$B$8,0,$C$1)+OFFSET(Assumptions!$B$20,0,$C$1)-Y$6),0)</f>
        <v>0.01</v>
      </c>
      <c r="Z25" s="17">
        <f ca="1">Y$25+IF(Z$6&lt;OFFSET(Assumptions!$B$8,0,$C$1)+OFFSET(Assumptions!$B$20,0,$C$1),(OFFSET(Assumptions!$B$14,0,$C$1)-Y$25)/(OFFSET(Assumptions!$B$8,0,$C$1)+OFFSET(Assumptions!$B$20,0,$C$1)-Z$6),0)</f>
        <v>0.01</v>
      </c>
    </row>
    <row r="26" spans="1:26" x14ac:dyDescent="0.25">
      <c r="A26" s="11" t="s">
        <v>784</v>
      </c>
      <c r="B26" s="57"/>
      <c r="C26" s="15"/>
      <c r="D26" s="89">
        <f>'Economic Forecasts'!Q$15</f>
        <v>3.3700000000000001E-2</v>
      </c>
      <c r="E26" s="89">
        <f>'Economic Forecasts'!R$15</f>
        <v>3.3300000000000003E-2</v>
      </c>
      <c r="F26" s="89">
        <f>'Economic Forecasts'!S$15</f>
        <v>4.1200000000000001E-2</v>
      </c>
      <c r="G26" s="89">
        <f>'Economic Forecasts'!T$15</f>
        <v>4.5999999999999999E-2</v>
      </c>
      <c r="H26" s="89">
        <f>'Economic Forecasts'!U$15</f>
        <v>7.2900000000000006E-2</v>
      </c>
      <c r="I26" s="89">
        <f>'Economic Forecasts'!V$15</f>
        <v>5.96E-2</v>
      </c>
      <c r="J26" s="89">
        <f>'Economic Forecasts'!W$15</f>
        <v>4.2799999999999998E-2</v>
      </c>
      <c r="K26" s="89">
        <f>'Economic Forecasts'!X$15</f>
        <v>3.2800000000000003E-2</v>
      </c>
      <c r="L26" s="66">
        <f>'Economic Forecasts'!Y$15</f>
        <v>3.1600000000000003E-2</v>
      </c>
      <c r="M26" s="66">
        <f>'Economic Forecasts'!Z$15</f>
        <v>3.09E-2</v>
      </c>
      <c r="N26" s="66">
        <f>'Economic Forecasts'!AA$15</f>
        <v>3.2800000000000003E-2</v>
      </c>
      <c r="O26" s="66">
        <f>'Economic Forecasts'!AB$15</f>
        <v>3.4200000000000001E-2</v>
      </c>
      <c r="P26" s="66">
        <f>'Economic Forecasts'!AC$15</f>
        <v>3.5099999999999999E-2</v>
      </c>
      <c r="Q26" s="17">
        <f t="shared" ref="Q26:Z26" ca="1" si="9">(1+Q$25)*(1+Q$29)-1</f>
        <v>3.1151999999999846E-2</v>
      </c>
      <c r="R26" s="17">
        <f t="shared" ca="1" si="9"/>
        <v>3.0675999999999926E-2</v>
      </c>
      <c r="S26" s="17">
        <f t="shared" ca="1" si="9"/>
        <v>3.0200000000000005E-2</v>
      </c>
      <c r="T26" s="17">
        <f t="shared" ca="1" si="9"/>
        <v>3.0200000000000005E-2</v>
      </c>
      <c r="U26" s="17">
        <f t="shared" ca="1" si="9"/>
        <v>3.0200000000000005E-2</v>
      </c>
      <c r="V26" s="17">
        <f t="shared" ca="1" si="9"/>
        <v>3.0200000000000005E-2</v>
      </c>
      <c r="W26" s="17">
        <f t="shared" ca="1" si="9"/>
        <v>3.0200000000000005E-2</v>
      </c>
      <c r="X26" s="17">
        <f t="shared" ca="1" si="9"/>
        <v>3.0200000000000005E-2</v>
      </c>
      <c r="Y26" s="17">
        <f t="shared" ca="1" si="9"/>
        <v>3.0200000000000005E-2</v>
      </c>
      <c r="Z26" s="17">
        <f t="shared" ca="1" si="9"/>
        <v>3.0200000000000005E-2</v>
      </c>
    </row>
    <row r="27" spans="1:26" x14ac:dyDescent="0.25">
      <c r="A27" s="57" t="s">
        <v>1149</v>
      </c>
      <c r="B27" s="11"/>
      <c r="C27" s="15"/>
      <c r="K27" s="91"/>
    </row>
    <row r="28" spans="1:26" x14ac:dyDescent="0.25">
      <c r="A28" s="11" t="s">
        <v>1150</v>
      </c>
      <c r="B28" s="11"/>
      <c r="C28" s="15"/>
      <c r="D28" s="27">
        <f>'Economic Forecasts'!Q$14</f>
        <v>1032</v>
      </c>
      <c r="E28" s="27">
        <f>'Economic Forecasts'!R$14</f>
        <v>1047</v>
      </c>
      <c r="F28" s="27">
        <f>'Economic Forecasts'!S$14</f>
        <v>1082</v>
      </c>
      <c r="G28" s="27">
        <f>'Economic Forecasts'!T$14</f>
        <v>1161</v>
      </c>
      <c r="H28" s="27">
        <f>'Economic Forecasts'!U$14</f>
        <v>1231</v>
      </c>
      <c r="I28" s="27">
        <f>'Economic Forecasts'!V$14</f>
        <v>1272</v>
      </c>
      <c r="J28" s="27">
        <f>'Economic Forecasts'!W$14</f>
        <v>1306</v>
      </c>
      <c r="K28" s="27">
        <f>'Economic Forecasts'!X$14</f>
        <v>1359</v>
      </c>
      <c r="L28" s="28">
        <f>'Economic Forecasts'!Y$14</f>
        <v>1384.2</v>
      </c>
      <c r="M28" s="28">
        <f>'Economic Forecasts'!Z$14</f>
        <v>1411.8</v>
      </c>
      <c r="N28" s="28">
        <f>'Economic Forecasts'!AA$14</f>
        <v>1441.3</v>
      </c>
      <c r="O28" s="28">
        <f>'Economic Forecasts'!AB$14</f>
        <v>1471.1</v>
      </c>
      <c r="P28" s="28">
        <f>'Economic Forecasts'!AC$14</f>
        <v>1500.7</v>
      </c>
      <c r="Q28" s="18">
        <f t="shared" ref="Q28:Z28" ca="1" si="10">P$28*(1+Q$29)</f>
        <v>1530.7140000000002</v>
      </c>
      <c r="R28" s="18">
        <f t="shared" ca="1" si="10"/>
        <v>1561.3282800000002</v>
      </c>
      <c r="S28" s="18">
        <f t="shared" ca="1" si="10"/>
        <v>1592.5548456000001</v>
      </c>
      <c r="T28" s="18">
        <f t="shared" ca="1" si="10"/>
        <v>1624.4059425120001</v>
      </c>
      <c r="U28" s="18">
        <f t="shared" ca="1" si="10"/>
        <v>1656.8940613622401</v>
      </c>
      <c r="V28" s="18">
        <f t="shared" ca="1" si="10"/>
        <v>1690.031942589485</v>
      </c>
      <c r="W28" s="18">
        <f t="shared" ca="1" si="10"/>
        <v>1723.8325814412747</v>
      </c>
      <c r="X28" s="18">
        <f t="shared" ca="1" si="10"/>
        <v>1758.3092330701002</v>
      </c>
      <c r="Y28" s="18">
        <f t="shared" ca="1" si="10"/>
        <v>1793.4754177315021</v>
      </c>
      <c r="Z28" s="18">
        <f t="shared" ca="1" si="10"/>
        <v>1829.3449260861323</v>
      </c>
    </row>
    <row r="29" spans="1:26" x14ac:dyDescent="0.25">
      <c r="A29" s="14" t="str">
        <f>$A$12</f>
        <v>Annual percentage growth</v>
      </c>
      <c r="B29" s="11"/>
      <c r="C29" s="15"/>
      <c r="D29" s="93"/>
      <c r="E29" s="89">
        <f t="shared" ref="E29:P29" si="11">E$28/D$28-1</f>
        <v>1.4534883720930258E-2</v>
      </c>
      <c r="F29" s="89">
        <f t="shared" si="11"/>
        <v>3.3428844317096473E-2</v>
      </c>
      <c r="G29" s="89">
        <f t="shared" si="11"/>
        <v>7.3012939001848354E-2</v>
      </c>
      <c r="H29" s="89">
        <f t="shared" si="11"/>
        <v>6.0292850990525393E-2</v>
      </c>
      <c r="I29" s="89">
        <f t="shared" si="11"/>
        <v>3.3306255077172997E-2</v>
      </c>
      <c r="J29" s="89">
        <f t="shared" si="11"/>
        <v>2.6729559748427612E-2</v>
      </c>
      <c r="K29" s="89">
        <f t="shared" si="11"/>
        <v>4.058192955589579E-2</v>
      </c>
      <c r="L29" s="66">
        <f t="shared" si="11"/>
        <v>1.8543046357615944E-2</v>
      </c>
      <c r="M29" s="66">
        <f t="shared" si="11"/>
        <v>1.9939315127871726E-2</v>
      </c>
      <c r="N29" s="66">
        <f t="shared" si="11"/>
        <v>2.0895310950559631E-2</v>
      </c>
      <c r="O29" s="66">
        <f t="shared" si="11"/>
        <v>2.0675778810795853E-2</v>
      </c>
      <c r="P29" s="66">
        <f t="shared" si="11"/>
        <v>2.0120997892733472E-2</v>
      </c>
      <c r="Q29" s="17">
        <f ca="1">P$29+IF(Q$6&lt;OFFSET(Assumptions!$B$8,0,$C$1)+OFFSET(Assumptions!$B$21,0,$C$1),(OFFSET(Assumptions!$B$15,0,$C$1)-P$29)/(OFFSET(Assumptions!$B$8,0,$C$1)+OFFSET(Assumptions!$B$21,0,$C$1)-Q$6),0)</f>
        <v>0.02</v>
      </c>
      <c r="R29" s="17">
        <f ca="1">Q$29+IF(R$6&lt;OFFSET(Assumptions!$B$8,0,$C$1)+OFFSET(Assumptions!$B$21,0,$C$1),(OFFSET(Assumptions!$B$15,0,$C$1)-Q$29)/(OFFSET(Assumptions!$B$8,0,$C$1)+OFFSET(Assumptions!$B$21,0,$C$1)-R$6),0)</f>
        <v>0.02</v>
      </c>
      <c r="S29" s="17">
        <f ca="1">R$29+IF(S$6&lt;OFFSET(Assumptions!$B$8,0,$C$1)+OFFSET(Assumptions!$B$21,0,$C$1),(OFFSET(Assumptions!$B$15,0,$C$1)-R$29)/(OFFSET(Assumptions!$B$8,0,$C$1)+OFFSET(Assumptions!$B$21,0,$C$1)-S$6),0)</f>
        <v>0.02</v>
      </c>
      <c r="T29" s="17">
        <f ca="1">S$29+IF(T$6&lt;OFFSET(Assumptions!$B$8,0,$C$1)+OFFSET(Assumptions!$B$21,0,$C$1),(OFFSET(Assumptions!$B$15,0,$C$1)-S$29)/(OFFSET(Assumptions!$B$8,0,$C$1)+OFFSET(Assumptions!$B$21,0,$C$1)-T$6),0)</f>
        <v>0.02</v>
      </c>
      <c r="U29" s="17">
        <f ca="1">T$29+IF(U$6&lt;OFFSET(Assumptions!$B$8,0,$C$1)+OFFSET(Assumptions!$B$21,0,$C$1),(OFFSET(Assumptions!$B$15,0,$C$1)-T$29)/(OFFSET(Assumptions!$B$8,0,$C$1)+OFFSET(Assumptions!$B$21,0,$C$1)-U$6),0)</f>
        <v>0.02</v>
      </c>
      <c r="V29" s="17">
        <f ca="1">U$29+IF(V$6&lt;OFFSET(Assumptions!$B$8,0,$C$1)+OFFSET(Assumptions!$B$21,0,$C$1),(OFFSET(Assumptions!$B$15,0,$C$1)-U$29)/(OFFSET(Assumptions!$B$8,0,$C$1)+OFFSET(Assumptions!$B$21,0,$C$1)-V$6),0)</f>
        <v>0.02</v>
      </c>
      <c r="W29" s="17">
        <f ca="1">V$29+IF(W$6&lt;OFFSET(Assumptions!$B$8,0,$C$1)+OFFSET(Assumptions!$B$21,0,$C$1),(OFFSET(Assumptions!$B$15,0,$C$1)-V$29)/(OFFSET(Assumptions!$B$8,0,$C$1)+OFFSET(Assumptions!$B$21,0,$C$1)-W$6),0)</f>
        <v>0.02</v>
      </c>
      <c r="X29" s="17">
        <f ca="1">W$29+IF(X$6&lt;OFFSET(Assumptions!$B$8,0,$C$1)+OFFSET(Assumptions!$B$21,0,$C$1),(OFFSET(Assumptions!$B$15,0,$C$1)-W$29)/(OFFSET(Assumptions!$B$8,0,$C$1)+OFFSET(Assumptions!$B$21,0,$C$1)-X$6),0)</f>
        <v>0.02</v>
      </c>
      <c r="Y29" s="17">
        <f ca="1">X$29+IF(Y$6&lt;OFFSET(Assumptions!$B$8,0,$C$1)+OFFSET(Assumptions!$B$21,0,$C$1),(OFFSET(Assumptions!$B$15,0,$C$1)-X$29)/(OFFSET(Assumptions!$B$8,0,$C$1)+OFFSET(Assumptions!$B$21,0,$C$1)-Y$6),0)</f>
        <v>0.02</v>
      </c>
      <c r="Z29" s="17">
        <f ca="1">Y$29+IF(Z$6&lt;OFFSET(Assumptions!$B$8,0,$C$1)+OFFSET(Assumptions!$B$21,0,$C$1),(OFFSET(Assumptions!$B$15,0,$C$1)-Y$29)/(OFFSET(Assumptions!$B$8,0,$C$1)+OFFSET(Assumptions!$B$21,0,$C$1)-Z$6),0)</f>
        <v>0.02</v>
      </c>
    </row>
    <row r="30" spans="1:26" x14ac:dyDescent="0.25">
      <c r="A30" s="11" t="s">
        <v>785</v>
      </c>
      <c r="B30" s="11"/>
      <c r="C30" s="15"/>
      <c r="D30" s="89">
        <f>'Economic Forecasts'!Q$16</f>
        <v>2.3099999999999999E-2</v>
      </c>
      <c r="E30" s="89">
        <f>'Economic Forecasts'!R$16</f>
        <v>1.1899999999999999E-2</v>
      </c>
      <c r="F30" s="89">
        <f>'Economic Forecasts'!S$16</f>
        <v>1.1599999999999999E-2</v>
      </c>
      <c r="G30" s="89">
        <f>'Economic Forecasts'!T$16</f>
        <v>2.6499999999999999E-2</v>
      </c>
      <c r="H30" s="89">
        <f>'Economic Forecasts'!U$16</f>
        <v>4.1500000000000002E-2</v>
      </c>
      <c r="I30" s="89">
        <f>'Economic Forecasts'!V$16</f>
        <v>4.8499999999999995E-2</v>
      </c>
      <c r="J30" s="89">
        <f>'Economic Forecasts'!W$16</f>
        <v>4.4999999999999998E-2</v>
      </c>
      <c r="K30" s="89">
        <f>'Economic Forecasts'!X$16</f>
        <v>4.4600000000000001E-2</v>
      </c>
      <c r="L30" s="66">
        <f>'Economic Forecasts'!Y$16</f>
        <v>4.7E-2</v>
      </c>
      <c r="M30" s="66">
        <f>'Economic Forecasts'!Z$16</f>
        <v>4.7E-2</v>
      </c>
      <c r="N30" s="66">
        <f>'Economic Forecasts'!AA$16</f>
        <v>4.7E-2</v>
      </c>
      <c r="O30" s="66">
        <f>'Economic Forecasts'!AB$16</f>
        <v>4.7E-2</v>
      </c>
      <c r="P30" s="66">
        <f>'Economic Forecasts'!AC$16</f>
        <v>4.7E-2</v>
      </c>
      <c r="Q30" s="17">
        <f ca="1">P$30+IF(Q$6&lt;OFFSET(Assumptions!$B$8,0,$C$1)+OFFSET(Assumptions!$B$22,0,$C$1),(OFFSET(Assumptions!$B$16,0,$C$1)-P$30)/(OFFSET(Assumptions!$B$8,0,$C$1)+OFFSET(Assumptions!$B$22,0,$C$1)-Q$6),0)</f>
        <v>4.7E-2</v>
      </c>
      <c r="R30" s="17">
        <f ca="1">Q$30+IF(R$6&lt;OFFSET(Assumptions!$B$8,0,$C$1)+OFFSET(Assumptions!$B$22,0,$C$1),(OFFSET(Assumptions!$B$16,0,$C$1)-Q$30)/(OFFSET(Assumptions!$B$8,0,$C$1)+OFFSET(Assumptions!$B$22,0,$C$1)-R$6),0)</f>
        <v>4.7E-2</v>
      </c>
      <c r="S30" s="17">
        <f ca="1">R$30+IF(S$6&lt;OFFSET(Assumptions!$B$8,0,$C$1)+OFFSET(Assumptions!$B$22,0,$C$1),(OFFSET(Assumptions!$B$16,0,$C$1)-R$30)/(OFFSET(Assumptions!$B$8,0,$C$1)+OFFSET(Assumptions!$B$22,0,$C$1)-S$6),0)</f>
        <v>4.7E-2</v>
      </c>
      <c r="T30" s="17">
        <f ca="1">S$30+IF(T$6&lt;OFFSET(Assumptions!$B$8,0,$C$1)+OFFSET(Assumptions!$B$22,0,$C$1),(OFFSET(Assumptions!$B$16,0,$C$1)-S$30)/(OFFSET(Assumptions!$B$8,0,$C$1)+OFFSET(Assumptions!$B$22,0,$C$1)-T$6),0)</f>
        <v>4.7E-2</v>
      </c>
      <c r="U30" s="17">
        <f ca="1">T$30+IF(U$6&lt;OFFSET(Assumptions!$B$8,0,$C$1)+OFFSET(Assumptions!$B$22,0,$C$1),(OFFSET(Assumptions!$B$16,0,$C$1)-T$30)/(OFFSET(Assumptions!$B$8,0,$C$1)+OFFSET(Assumptions!$B$22,0,$C$1)-U$6),0)</f>
        <v>4.7E-2</v>
      </c>
      <c r="V30" s="17">
        <f ca="1">U$30+IF(V$6&lt;OFFSET(Assumptions!$B$8,0,$C$1)+OFFSET(Assumptions!$B$22,0,$C$1),(OFFSET(Assumptions!$B$16,0,$C$1)-U$30)/(OFFSET(Assumptions!$B$8,0,$C$1)+OFFSET(Assumptions!$B$22,0,$C$1)-V$6),0)</f>
        <v>4.7E-2</v>
      </c>
      <c r="W30" s="17">
        <f ca="1">V$30+IF(W$6&lt;OFFSET(Assumptions!$B$8,0,$C$1)+OFFSET(Assumptions!$B$22,0,$C$1),(OFFSET(Assumptions!$B$16,0,$C$1)-V$30)/(OFFSET(Assumptions!$B$8,0,$C$1)+OFFSET(Assumptions!$B$22,0,$C$1)-W$6),0)</f>
        <v>4.7E-2</v>
      </c>
      <c r="X30" s="17">
        <f ca="1">W$30+IF(X$6&lt;OFFSET(Assumptions!$B$8,0,$C$1)+OFFSET(Assumptions!$B$22,0,$C$1),(OFFSET(Assumptions!$B$16,0,$C$1)-W$30)/(OFFSET(Assumptions!$B$8,0,$C$1)+OFFSET(Assumptions!$B$22,0,$C$1)-X$6),0)</f>
        <v>4.7E-2</v>
      </c>
      <c r="Y30" s="17">
        <f ca="1">X$30+IF(Y$6&lt;OFFSET(Assumptions!$B$8,0,$C$1)+OFFSET(Assumptions!$B$22,0,$C$1),(OFFSET(Assumptions!$B$16,0,$C$1)-X$30)/(OFFSET(Assumptions!$B$8,0,$C$1)+OFFSET(Assumptions!$B$22,0,$C$1)-Y$6),0)</f>
        <v>4.7E-2</v>
      </c>
      <c r="Z30" s="17">
        <f ca="1">Y$30+IF(Z$6&lt;OFFSET(Assumptions!$B$8,0,$C$1)+OFFSET(Assumptions!$B$22,0,$C$1),(OFFSET(Assumptions!$B$16,0,$C$1)-Y$30)/(OFFSET(Assumptions!$B$8,0,$C$1)+OFFSET(Assumptions!$B$22,0,$C$1)-Z$6),0)</f>
        <v>4.7E-2</v>
      </c>
    </row>
    <row r="31" spans="1:26" x14ac:dyDescent="0.25">
      <c r="A31" s="11"/>
      <c r="B31" s="11"/>
      <c r="C31" s="15"/>
      <c r="D31" s="89"/>
      <c r="E31" s="89"/>
      <c r="F31" s="89"/>
      <c r="G31" s="89"/>
      <c r="H31" s="89"/>
      <c r="I31" s="89"/>
      <c r="J31" s="89"/>
      <c r="K31" s="89"/>
      <c r="L31" s="66"/>
      <c r="M31" s="66"/>
      <c r="N31" s="17"/>
      <c r="O31" s="17"/>
      <c r="P31" s="17"/>
      <c r="Q31" s="17"/>
      <c r="R31" s="17"/>
      <c r="S31" s="17"/>
      <c r="T31" s="17"/>
      <c r="U31" s="17"/>
      <c r="V31" s="17"/>
      <c r="W31" s="17"/>
      <c r="X31" s="17"/>
      <c r="Y31" s="17"/>
      <c r="Z31" s="17"/>
    </row>
    <row r="32" spans="1:26" ht="16.5" x14ac:dyDescent="0.25">
      <c r="A32" s="63" t="s">
        <v>1151</v>
      </c>
      <c r="B32" s="11"/>
      <c r="C32" s="15"/>
      <c r="D32" s="89"/>
      <c r="E32" s="89"/>
      <c r="F32" s="89"/>
      <c r="G32" s="89"/>
      <c r="H32" s="89"/>
      <c r="I32" s="89"/>
      <c r="J32" s="89"/>
      <c r="K32" s="89"/>
      <c r="L32" s="66"/>
      <c r="M32" s="66"/>
      <c r="N32" s="17"/>
      <c r="O32" s="17"/>
      <c r="P32" s="17"/>
      <c r="Q32" s="17"/>
      <c r="R32" s="17"/>
      <c r="S32" s="17"/>
      <c r="T32" s="17"/>
      <c r="U32" s="17"/>
      <c r="V32" s="17"/>
      <c r="W32" s="17"/>
      <c r="X32" s="17"/>
      <c r="Y32" s="17"/>
      <c r="Z32" s="17"/>
    </row>
    <row r="33" spans="1:26" x14ac:dyDescent="0.25">
      <c r="A33" s="57" t="s">
        <v>1152</v>
      </c>
      <c r="B33" s="11"/>
      <c r="C33" s="15"/>
      <c r="D33" s="89"/>
      <c r="E33" s="89"/>
      <c r="F33" s="89"/>
      <c r="G33" s="89"/>
      <c r="H33" s="89"/>
      <c r="I33" s="89"/>
      <c r="J33" s="89"/>
      <c r="K33" s="89"/>
      <c r="L33" s="66"/>
      <c r="M33" s="66"/>
      <c r="N33" s="17"/>
      <c r="O33" s="17"/>
      <c r="P33" s="17"/>
      <c r="Q33" s="17"/>
      <c r="R33" s="17"/>
      <c r="S33" s="17"/>
      <c r="T33" s="17"/>
      <c r="U33" s="17"/>
      <c r="V33" s="17"/>
      <c r="W33" s="17"/>
      <c r="X33" s="17"/>
      <c r="Y33" s="17"/>
      <c r="Z33" s="17"/>
    </row>
    <row r="34" spans="1:26" x14ac:dyDescent="0.25">
      <c r="A34" s="11" t="s">
        <v>1153</v>
      </c>
      <c r="B34" s="11"/>
      <c r="C34" s="15"/>
      <c r="D34" s="51">
        <f t="shared" ref="D34:Z34" ca="1" si="12">SUM(D$140,D$150,D$155,D$165,D$173,D$179)</f>
        <v>119.142</v>
      </c>
      <c r="E34" s="51">
        <f t="shared" ca="1" si="12"/>
        <v>116.003</v>
      </c>
      <c r="F34" s="51">
        <f t="shared" ca="1" si="12"/>
        <v>129.33500000000001</v>
      </c>
      <c r="G34" s="51">
        <f t="shared" ca="1" si="12"/>
        <v>141.62700000000001</v>
      </c>
      <c r="H34" s="51">
        <f t="shared" ca="1" si="12"/>
        <v>153.011</v>
      </c>
      <c r="I34" s="51">
        <f t="shared" ca="1" si="12"/>
        <v>167.34699999999998</v>
      </c>
      <c r="J34" s="51">
        <f t="shared" ca="1" si="12"/>
        <v>169.81099999999998</v>
      </c>
      <c r="K34" s="51">
        <f t="shared" ca="1" si="12"/>
        <v>172.334</v>
      </c>
      <c r="L34" s="47">
        <f t="shared" ca="1" si="12"/>
        <v>185.85700000000003</v>
      </c>
      <c r="M34" s="47">
        <f t="shared" ca="1" si="12"/>
        <v>195.21899999999999</v>
      </c>
      <c r="N34" s="47">
        <f t="shared" ca="1" si="12"/>
        <v>205.63200000000003</v>
      </c>
      <c r="O34" s="47">
        <f t="shared" ca="1" si="12"/>
        <v>216.68100000000001</v>
      </c>
      <c r="P34" s="47">
        <f t="shared" ca="1" si="12"/>
        <v>226.12200000000001</v>
      </c>
      <c r="Q34" s="21">
        <f t="shared" ca="1" si="12"/>
        <v>235.4463991577525</v>
      </c>
      <c r="R34" s="21">
        <f t="shared" ca="1" si="12"/>
        <v>244.74843760533881</v>
      </c>
      <c r="S34" s="21">
        <f t="shared" ca="1" si="12"/>
        <v>254.47520584078205</v>
      </c>
      <c r="T34" s="21">
        <f t="shared" ca="1" si="12"/>
        <v>264.80119566754439</v>
      </c>
      <c r="U34" s="21">
        <f t="shared" ca="1" si="12"/>
        <v>275.56837207368267</v>
      </c>
      <c r="V34" s="21">
        <f t="shared" ca="1" si="12"/>
        <v>286.45725588281186</v>
      </c>
      <c r="W34" s="21">
        <f t="shared" ca="1" si="12"/>
        <v>297.64206322196281</v>
      </c>
      <c r="X34" s="21">
        <f t="shared" ca="1" si="12"/>
        <v>309.12937859444685</v>
      </c>
      <c r="Y34" s="21">
        <f t="shared" ca="1" si="12"/>
        <v>321.00325354924536</v>
      </c>
      <c r="Z34" s="21">
        <f t="shared" ca="1" si="12"/>
        <v>333.25228364674138</v>
      </c>
    </row>
    <row r="35" spans="1:26" x14ac:dyDescent="0.25">
      <c r="A35" s="11" t="s">
        <v>1154</v>
      </c>
      <c r="B35" s="11"/>
      <c r="C35" s="15"/>
      <c r="D35" s="51">
        <f t="shared" ref="D35:Z35" si="13">SUM(D$194,D$212,D$218,D$227,D$234,D$241,D$246,D$249)</f>
        <v>111.376</v>
      </c>
      <c r="E35" s="51">
        <f t="shared" si="13"/>
        <v>138.91599999999997</v>
      </c>
      <c r="F35" s="51">
        <f t="shared" si="13"/>
        <v>133.72200000000004</v>
      </c>
      <c r="G35" s="51">
        <f t="shared" si="13"/>
        <v>150.95599999999999</v>
      </c>
      <c r="H35" s="51">
        <f t="shared" si="13"/>
        <v>161.822</v>
      </c>
      <c r="I35" s="51">
        <f t="shared" si="13"/>
        <v>180.06100000000001</v>
      </c>
      <c r="J35" s="51">
        <f t="shared" si="13"/>
        <v>183.50200000000001</v>
      </c>
      <c r="K35" s="51">
        <f t="shared" si="13"/>
        <v>182.691</v>
      </c>
      <c r="L35" s="47">
        <f t="shared" ca="1" si="13"/>
        <v>194.47299999999998</v>
      </c>
      <c r="M35" s="47">
        <f t="shared" ca="1" si="13"/>
        <v>197.73099999999999</v>
      </c>
      <c r="N35" s="47">
        <f t="shared" ca="1" si="13"/>
        <v>203.18200000000002</v>
      </c>
      <c r="O35" s="47">
        <f t="shared" ca="1" si="13"/>
        <v>209.95</v>
      </c>
      <c r="P35" s="47">
        <f t="shared" ca="1" si="13"/>
        <v>216.69900000000001</v>
      </c>
      <c r="Q35" s="21">
        <f t="shared" ca="1" si="13"/>
        <v>227.85204679882395</v>
      </c>
      <c r="R35" s="21">
        <f t="shared" ca="1" si="13"/>
        <v>238.55519691458716</v>
      </c>
      <c r="S35" s="21">
        <f t="shared" ca="1" si="13"/>
        <v>248.68275100915514</v>
      </c>
      <c r="T35" s="21">
        <f t="shared" ca="1" si="13"/>
        <v>258.96808989478677</v>
      </c>
      <c r="U35" s="21">
        <f t="shared" ca="1" si="13"/>
        <v>269.68577171395509</v>
      </c>
      <c r="V35" s="21">
        <f t="shared" ca="1" si="13"/>
        <v>280.78416835116286</v>
      </c>
      <c r="W35" s="21">
        <f t="shared" ca="1" si="13"/>
        <v>292.22774510806971</v>
      </c>
      <c r="X35" s="21">
        <f t="shared" ca="1" si="13"/>
        <v>304.03093656090181</v>
      </c>
      <c r="Y35" s="21">
        <f t="shared" ca="1" si="13"/>
        <v>316.16146992379635</v>
      </c>
      <c r="Z35" s="21">
        <f t="shared" ca="1" si="13"/>
        <v>328.75405589388322</v>
      </c>
    </row>
    <row r="36" spans="1:26" x14ac:dyDescent="0.25">
      <c r="A36" s="12" t="s">
        <v>1155</v>
      </c>
      <c r="B36" s="11"/>
      <c r="C36" s="15"/>
      <c r="D36" s="50">
        <f t="shared" ref="D36:Z36" si="14">D$337</f>
        <v>-7.1309999999999993</v>
      </c>
      <c r="E36" s="50">
        <f t="shared" si="14"/>
        <v>-8.7219999999999995</v>
      </c>
      <c r="F36" s="50">
        <f t="shared" si="14"/>
        <v>21.023</v>
      </c>
      <c r="G36" s="50">
        <f t="shared" si="14"/>
        <v>-6.7219999999999995</v>
      </c>
      <c r="H36" s="50">
        <f t="shared" si="14"/>
        <v>14.658000000000001</v>
      </c>
      <c r="I36" s="50">
        <f t="shared" si="14"/>
        <v>4.6669999999999998</v>
      </c>
      <c r="J36" s="50">
        <f t="shared" si="14"/>
        <v>8.870000000000001</v>
      </c>
      <c r="K36" s="50">
        <f t="shared" si="14"/>
        <v>11.251999999999999</v>
      </c>
      <c r="L36" s="48">
        <f t="shared" si="14"/>
        <v>5.5949999999999998</v>
      </c>
      <c r="M36" s="48">
        <f t="shared" si="14"/>
        <v>6.1859999999999999</v>
      </c>
      <c r="N36" s="48">
        <f t="shared" si="14"/>
        <v>6.67</v>
      </c>
      <c r="O36" s="48">
        <f t="shared" si="14"/>
        <v>7.1619999999999999</v>
      </c>
      <c r="P36" s="48">
        <f t="shared" si="14"/>
        <v>7.8049999999999997</v>
      </c>
      <c r="Q36" s="20">
        <f t="shared" ca="1" si="14"/>
        <v>8.1893578666957438</v>
      </c>
      <c r="R36" s="20">
        <f t="shared" ca="1" si="14"/>
        <v>8.6778170884748373</v>
      </c>
      <c r="S36" s="20">
        <f t="shared" ca="1" si="14"/>
        <v>9.1935424145827049</v>
      </c>
      <c r="T36" s="20">
        <f t="shared" ca="1" si="14"/>
        <v>9.7397335211931519</v>
      </c>
      <c r="U36" s="20">
        <f t="shared" ca="1" si="14"/>
        <v>10.315927609072595</v>
      </c>
      <c r="V36" s="20">
        <f t="shared" ca="1" si="14"/>
        <v>10.915288094060537</v>
      </c>
      <c r="W36" s="20">
        <f t="shared" ca="1" si="14"/>
        <v>11.541113549028129</v>
      </c>
      <c r="X36" s="20">
        <f t="shared" ca="1" si="14"/>
        <v>12.198297499928369</v>
      </c>
      <c r="Y36" s="20">
        <f t="shared" ca="1" si="14"/>
        <v>12.89401253208573</v>
      </c>
      <c r="Z36" s="20">
        <f t="shared" ca="1" si="14"/>
        <v>13.634820401576503</v>
      </c>
    </row>
    <row r="37" spans="1:26" x14ac:dyDescent="0.25">
      <c r="A37" s="12" t="s">
        <v>881</v>
      </c>
      <c r="B37" s="14"/>
      <c r="C37" s="15"/>
      <c r="D37" s="50">
        <f t="shared" ref="D37:Z37" si="15">D$341</f>
        <v>0.20599999999999999</v>
      </c>
      <c r="E37" s="50">
        <f t="shared" si="15"/>
        <v>1.1930000000000001</v>
      </c>
      <c r="F37" s="50">
        <f t="shared" si="15"/>
        <v>-0.36</v>
      </c>
      <c r="G37" s="50">
        <f t="shared" si="15"/>
        <v>-0.126</v>
      </c>
      <c r="H37" s="50">
        <f t="shared" si="15"/>
        <v>2.9000000000000001E-2</v>
      </c>
      <c r="I37" s="50">
        <f t="shared" si="15"/>
        <v>0.12</v>
      </c>
      <c r="J37" s="50">
        <f t="shared" si="15"/>
        <v>0.214</v>
      </c>
      <c r="K37" s="50">
        <f t="shared" si="15"/>
        <v>0.27400000000000002</v>
      </c>
      <c r="L37" s="48">
        <f t="shared" si="15"/>
        <v>0.26500000000000001</v>
      </c>
      <c r="M37" s="48">
        <f t="shared" si="15"/>
        <v>0.252</v>
      </c>
      <c r="N37" s="48">
        <f t="shared" si="15"/>
        <v>0.22</v>
      </c>
      <c r="O37" s="48">
        <f t="shared" si="15"/>
        <v>0.127</v>
      </c>
      <c r="P37" s="48">
        <f t="shared" si="15"/>
        <v>7.0000000000000007E-2</v>
      </c>
      <c r="Q37" s="20">
        <f t="shared" ca="1" si="15"/>
        <v>7.3047162251375891E-2</v>
      </c>
      <c r="R37" s="20">
        <f t="shared" ca="1" si="15"/>
        <v>7.6156424413280466E-2</v>
      </c>
      <c r="S37" s="20">
        <f t="shared" ca="1" si="15"/>
        <v>7.9348059592001752E-2</v>
      </c>
      <c r="T37" s="20">
        <f t="shared" ca="1" si="15"/>
        <v>8.2614602511242197E-2</v>
      </c>
      <c r="U37" s="20">
        <f t="shared" ca="1" si="15"/>
        <v>8.5995052192758242E-2</v>
      </c>
      <c r="V37" s="20">
        <f t="shared" ca="1" si="15"/>
        <v>8.9490610853099395E-2</v>
      </c>
      <c r="W37" s="20">
        <f t="shared" ca="1" si="15"/>
        <v>9.308364345661603E-2</v>
      </c>
      <c r="X37" s="20">
        <f t="shared" ca="1" si="15"/>
        <v>9.6780140506793413E-2</v>
      </c>
      <c r="Y37" s="20">
        <f t="shared" ca="1" si="15"/>
        <v>0.10059943236443897</v>
      </c>
      <c r="Z37" s="20">
        <f t="shared" ca="1" si="15"/>
        <v>0.10454250408185706</v>
      </c>
    </row>
    <row r="38" spans="1:26" x14ac:dyDescent="0.25">
      <c r="A38" s="12" t="s">
        <v>1156</v>
      </c>
      <c r="B38" s="14" t="s">
        <v>1157</v>
      </c>
      <c r="C38" s="15"/>
      <c r="D38" s="50">
        <f>'Fiscal Forecasts'!D$28</f>
        <v>0.45200000000000001</v>
      </c>
      <c r="E38" s="50">
        <f>'Fiscal Forecasts'!E$28</f>
        <v>-0.40200000000000002</v>
      </c>
      <c r="F38" s="50">
        <f>'Fiscal Forecasts'!F$28</f>
        <v>0.11700000000000001</v>
      </c>
      <c r="G38" s="50">
        <f>'Fiscal Forecasts'!G$28</f>
        <v>0.755</v>
      </c>
      <c r="H38" s="50">
        <f>'Fiscal Forecasts'!H$28</f>
        <v>0.55500000000000005</v>
      </c>
      <c r="I38" s="50">
        <f>'Fiscal Forecasts'!I$28</f>
        <v>0.438</v>
      </c>
      <c r="J38" s="50">
        <f>'Fiscal Forecasts'!J$28</f>
        <v>-0.20699999999999999</v>
      </c>
      <c r="K38" s="50">
        <f>'Fiscal Forecasts'!K$28</f>
        <v>3.3000000000000002E-2</v>
      </c>
      <c r="L38" s="48">
        <f>'Fiscal Forecasts'!L$28</f>
        <v>0.20699999999999999</v>
      </c>
      <c r="M38" s="48">
        <f>'Fiscal Forecasts'!M$28</f>
        <v>0.44900000000000001</v>
      </c>
      <c r="N38" s="48">
        <f>'Fiscal Forecasts'!N$28</f>
        <v>0.438</v>
      </c>
      <c r="O38" s="48">
        <f>'Fiscal Forecasts'!O$28</f>
        <v>0.47699999999999998</v>
      </c>
      <c r="P38" s="48">
        <f>'Fiscal Forecasts'!P$28</f>
        <v>0.60499999999999998</v>
      </c>
      <c r="Q38" s="20">
        <f t="shared" ref="Q38:Z38" si="16">P$38*P$59/O$59</f>
        <v>0.6051259367194004</v>
      </c>
      <c r="R38" s="20">
        <f t="shared" ca="1" si="16"/>
        <v>0.60128038076518797</v>
      </c>
      <c r="S38" s="20">
        <f t="shared" ca="1" si="16"/>
        <v>0.5982221269440261</v>
      </c>
      <c r="T38" s="20">
        <f t="shared" ca="1" si="16"/>
        <v>0.59625993199738336</v>
      </c>
      <c r="U38" s="20">
        <f t="shared" ca="1" si="16"/>
        <v>0.59605801996716634</v>
      </c>
      <c r="V38" s="20">
        <f t="shared" ca="1" si="16"/>
        <v>0.59757125817594026</v>
      </c>
      <c r="W38" s="20">
        <f t="shared" ca="1" si="16"/>
        <v>0.59918716695355223</v>
      </c>
      <c r="X38" s="20">
        <f t="shared" ca="1" si="16"/>
        <v>0.60072007493924884</v>
      </c>
      <c r="Y38" s="20">
        <f t="shared" ca="1" si="16"/>
        <v>0.60206254716912189</v>
      </c>
      <c r="Z38" s="20">
        <f t="shared" ca="1" si="16"/>
        <v>0.60345180187650993</v>
      </c>
    </row>
    <row r="39" spans="1:26" x14ac:dyDescent="0.25">
      <c r="A39" s="11" t="s">
        <v>755</v>
      </c>
      <c r="B39" s="11"/>
      <c r="C39" s="15"/>
      <c r="D39" s="94">
        <f t="shared" ref="D39:Z39" ca="1" si="17">SUM(D$34,D$36,D$37)-SUM(D$35,D$38)</f>
        <v>0.38899999999999579</v>
      </c>
      <c r="E39" s="94">
        <f t="shared" ca="1" si="17"/>
        <v>-30.039999999999978</v>
      </c>
      <c r="F39" s="94">
        <f t="shared" ca="1" si="17"/>
        <v>16.158999999999963</v>
      </c>
      <c r="G39" s="94">
        <f t="shared" ca="1" si="17"/>
        <v>-16.931999999999988</v>
      </c>
      <c r="H39" s="94">
        <f t="shared" ca="1" si="17"/>
        <v>5.3209999999999695</v>
      </c>
      <c r="I39" s="94">
        <f t="shared" ca="1" si="17"/>
        <v>-8.3650000000000091</v>
      </c>
      <c r="J39" s="94">
        <f t="shared" ca="1" si="17"/>
        <v>-4.4000000000000341</v>
      </c>
      <c r="K39" s="94">
        <f t="shared" ca="1" si="17"/>
        <v>1.1360000000000241</v>
      </c>
      <c r="L39" s="95">
        <f t="shared" ca="1" si="17"/>
        <v>-2.9629999999999654</v>
      </c>
      <c r="M39" s="95">
        <f t="shared" ca="1" si="17"/>
        <v>3.4770000000000039</v>
      </c>
      <c r="N39" s="95">
        <f t="shared" ca="1" si="17"/>
        <v>8.9020000000000152</v>
      </c>
      <c r="O39" s="95">
        <f t="shared" ca="1" si="17"/>
        <v>13.543000000000035</v>
      </c>
      <c r="P39" s="95">
        <f t="shared" ca="1" si="17"/>
        <v>16.693000000000012</v>
      </c>
      <c r="Q39" s="96">
        <f t="shared" ca="1" si="17"/>
        <v>15.2516314511563</v>
      </c>
      <c r="R39" s="96">
        <f t="shared" ca="1" si="17"/>
        <v>14.345933822874571</v>
      </c>
      <c r="S39" s="96">
        <f t="shared" ca="1" si="17"/>
        <v>14.467123178857577</v>
      </c>
      <c r="T39" s="96">
        <f t="shared" ca="1" si="17"/>
        <v>15.059193964464612</v>
      </c>
      <c r="U39" s="96">
        <f t="shared" ca="1" si="17"/>
        <v>15.688465001025747</v>
      </c>
      <c r="V39" s="96">
        <f t="shared" ca="1" si="17"/>
        <v>16.080294978386689</v>
      </c>
      <c r="W39" s="96">
        <f t="shared" ca="1" si="17"/>
        <v>16.449328139424324</v>
      </c>
      <c r="X39" s="96">
        <f t="shared" ca="1" si="17"/>
        <v>16.792799599040904</v>
      </c>
      <c r="Y39" s="96">
        <f t="shared" ca="1" si="17"/>
        <v>17.2343330427301</v>
      </c>
      <c r="Z39" s="96">
        <f t="shared" ca="1" si="17"/>
        <v>17.634138856639993</v>
      </c>
    </row>
    <row r="40" spans="1:26" x14ac:dyDescent="0.25">
      <c r="A40" s="12" t="s">
        <v>886</v>
      </c>
      <c r="B40" s="14" t="str">
        <f>$B$38</f>
        <v>From Fiscal Forecasts</v>
      </c>
      <c r="C40" s="15"/>
      <c r="D40" s="50">
        <f>'Fiscal Forecasts'!D$32</f>
        <v>0.115</v>
      </c>
      <c r="E40" s="50">
        <f>'Fiscal Forecasts'!E$32</f>
        <v>-0.54600000000000004</v>
      </c>
      <c r="F40" s="50">
        <f>'Fiscal Forecasts'!F$32</f>
        <v>-5.6000000000000001E-2</v>
      </c>
      <c r="G40" s="50">
        <f>'Fiscal Forecasts'!G$32</f>
        <v>0.39300000000000002</v>
      </c>
      <c r="H40" s="50">
        <f>'Fiscal Forecasts'!H$32</f>
        <v>-0.08</v>
      </c>
      <c r="I40" s="50">
        <f>'Fiscal Forecasts'!I$32</f>
        <v>0.29799999999999999</v>
      </c>
      <c r="J40" s="50">
        <f>'Fiscal Forecasts'!J$32</f>
        <v>-0.48899999999999999</v>
      </c>
      <c r="K40" s="50">
        <f>'Fiscal Forecasts'!K$32</f>
        <v>-0.34899999999999998</v>
      </c>
      <c r="L40" s="48">
        <f>'Fiscal Forecasts'!L$32</f>
        <v>9.2999999999999999E-2</v>
      </c>
      <c r="M40" s="48">
        <f>'Fiscal Forecasts'!M$32</f>
        <v>2.3E-2</v>
      </c>
      <c r="N40" s="48">
        <f>'Fiscal Forecasts'!N$32</f>
        <v>0.05</v>
      </c>
      <c r="O40" s="48">
        <f>'Fiscal Forecasts'!O$32</f>
        <v>5.6000000000000001E-2</v>
      </c>
      <c r="P40" s="48">
        <f>'Fiscal Forecasts'!P$32</f>
        <v>6.0999999999999999E-2</v>
      </c>
      <c r="Q40" s="20">
        <f t="shared" ref="Q40:Z40" si="18">P$40*Q$38/P$38</f>
        <v>6.1012697751873436E-2</v>
      </c>
      <c r="R40" s="20">
        <f t="shared" ca="1" si="18"/>
        <v>6.0624964011035488E-2</v>
      </c>
      <c r="S40" s="20">
        <f t="shared" ca="1" si="18"/>
        <v>6.0316611146422471E-2</v>
      </c>
      <c r="T40" s="20">
        <f t="shared" ca="1" si="18"/>
        <v>6.0118770003041964E-2</v>
      </c>
      <c r="U40" s="20">
        <f t="shared" ca="1" si="18"/>
        <v>6.0098411930573803E-2</v>
      </c>
      <c r="V40" s="20">
        <f t="shared" ca="1" si="18"/>
        <v>6.0250986361541088E-2</v>
      </c>
      <c r="W40" s="20">
        <f t="shared" ca="1" si="18"/>
        <v>6.0413912701101968E-2</v>
      </c>
      <c r="X40" s="20">
        <f t="shared" ca="1" si="18"/>
        <v>6.0568470365775506E-2</v>
      </c>
      <c r="Y40" s="20">
        <f t="shared" ca="1" si="18"/>
        <v>6.0703827069944517E-2</v>
      </c>
      <c r="Z40" s="20">
        <f t="shared" ca="1" si="18"/>
        <v>6.0843900685069598E-2</v>
      </c>
    </row>
    <row r="41" spans="1:26" x14ac:dyDescent="0.25">
      <c r="A41" s="11" t="s">
        <v>1158</v>
      </c>
      <c r="B41" s="11"/>
      <c r="C41" s="15"/>
      <c r="D41" s="94">
        <f t="shared" ref="D41:Z41" ca="1" si="19">D$34-D$35-(D$38-D$40)</f>
        <v>7.4289999999999914</v>
      </c>
      <c r="E41" s="94">
        <f t="shared" ca="1" si="19"/>
        <v>-23.056999999999967</v>
      </c>
      <c r="F41" s="94">
        <f t="shared" ca="1" si="19"/>
        <v>-4.5600000000000289</v>
      </c>
      <c r="G41" s="94">
        <f t="shared" ca="1" si="19"/>
        <v>-9.6909999999999794</v>
      </c>
      <c r="H41" s="94">
        <f t="shared" ca="1" si="19"/>
        <v>-9.4460000000000068</v>
      </c>
      <c r="I41" s="94">
        <f t="shared" ca="1" si="19"/>
        <v>-12.854000000000028</v>
      </c>
      <c r="J41" s="94">
        <f t="shared" ca="1" si="19"/>
        <v>-13.973000000000031</v>
      </c>
      <c r="K41" s="94">
        <f t="shared" ca="1" si="19"/>
        <v>-10.738999999999999</v>
      </c>
      <c r="L41" s="95">
        <f t="shared" ca="1" si="19"/>
        <v>-8.7299999999999578</v>
      </c>
      <c r="M41" s="95">
        <f t="shared" ca="1" si="19"/>
        <v>-2.9380000000000006</v>
      </c>
      <c r="N41" s="95">
        <f t="shared" ca="1" si="19"/>
        <v>2.0620000000000172</v>
      </c>
      <c r="O41" s="95">
        <f t="shared" ca="1" si="19"/>
        <v>6.3100000000000227</v>
      </c>
      <c r="P41" s="95">
        <f t="shared" ca="1" si="19"/>
        <v>8.8790000000000013</v>
      </c>
      <c r="Q41" s="96">
        <f t="shared" ca="1" si="19"/>
        <v>7.0502391199610193</v>
      </c>
      <c r="R41" s="96">
        <f t="shared" ca="1" si="19"/>
        <v>5.6525852739974987</v>
      </c>
      <c r="S41" s="96">
        <f t="shared" ca="1" si="19"/>
        <v>5.2545493158293084</v>
      </c>
      <c r="T41" s="96">
        <f t="shared" ca="1" si="19"/>
        <v>5.2969646107632782</v>
      </c>
      <c r="U41" s="96">
        <f t="shared" ca="1" si="19"/>
        <v>5.3466407516909831</v>
      </c>
      <c r="V41" s="96">
        <f t="shared" ca="1" si="19"/>
        <v>5.135767259834604</v>
      </c>
      <c r="W41" s="96">
        <f t="shared" ca="1" si="19"/>
        <v>4.8755448596406525</v>
      </c>
      <c r="X41" s="96">
        <f t="shared" ca="1" si="19"/>
        <v>4.5582904289715671</v>
      </c>
      <c r="Y41" s="96">
        <f t="shared" ca="1" si="19"/>
        <v>4.3004249053498338</v>
      </c>
      <c r="Z41" s="96">
        <f t="shared" ca="1" si="19"/>
        <v>3.9556198516667158</v>
      </c>
    </row>
    <row r="42" spans="1:26" x14ac:dyDescent="0.25">
      <c r="A42" s="60" t="s">
        <v>1159</v>
      </c>
      <c r="B42" s="14" t="s">
        <v>1160</v>
      </c>
      <c r="C42" s="15"/>
      <c r="D42" s="97" t="str">
        <f ca="1">IF(ROUND('Fiscal Forecasts'!D$33-D$41,3)=0,"OK","ERROR")</f>
        <v>OK</v>
      </c>
      <c r="E42" s="97" t="str">
        <f ca="1">IF(ROUND('Fiscal Forecasts'!E$33-E$41,3)=0,"OK","ERROR")</f>
        <v>OK</v>
      </c>
      <c r="F42" s="97" t="str">
        <f ca="1">IF(ROUND('Fiscal Forecasts'!F$33-F$41,3)=0,"OK","ERROR")</f>
        <v>OK</v>
      </c>
      <c r="G42" s="97" t="str">
        <f ca="1">IF(ROUND('Fiscal Forecasts'!G$33-G$41,3)=0,"OK","ERROR")</f>
        <v>OK</v>
      </c>
      <c r="H42" s="97" t="str">
        <f ca="1">IF(ROUND('Fiscal Forecasts'!H$33-H$41,3)=0,"OK","ERROR")</f>
        <v>OK</v>
      </c>
      <c r="I42" s="97" t="str">
        <f ca="1">IF(ROUND('Fiscal Forecasts'!I$33-I$41,3)=0,"OK","ERROR")</f>
        <v>OK</v>
      </c>
      <c r="J42" s="97" t="str">
        <f ca="1">IF(ROUND('Fiscal Forecasts'!J$33-J$41,3)=0,"OK","ERROR")</f>
        <v>OK</v>
      </c>
      <c r="K42" s="97" t="str">
        <f ca="1">IF(ROUND('Fiscal Forecasts'!K$33-K$41,3)=0,"OK","ERROR")</f>
        <v>OK</v>
      </c>
      <c r="L42" s="97" t="str">
        <f ca="1">IF(ROUND('Fiscal Forecasts'!L$33-L$41,3)=0,"OK","ERROR")</f>
        <v>OK</v>
      </c>
      <c r="M42" s="97" t="str">
        <f ca="1">IF(ROUND('Fiscal Forecasts'!M$33-M$41,3)=0,"OK","ERROR")</f>
        <v>OK</v>
      </c>
      <c r="N42" s="97" t="str">
        <f ca="1">IF(ROUND('Fiscal Forecasts'!N$33-N$41,3)=0,"OK","ERROR")</f>
        <v>OK</v>
      </c>
      <c r="O42" s="97" t="str">
        <f ca="1">IF(ROUND('Fiscal Forecasts'!O$33-O$41,3)=0,"OK","ERROR")</f>
        <v>OK</v>
      </c>
      <c r="P42" s="97" t="str">
        <f ca="1">IF(ROUND('Fiscal Forecasts'!P$33-P$41,3)=0,"OK","ERROR")</f>
        <v>OK</v>
      </c>
      <c r="Q42" s="17"/>
      <c r="R42" s="17"/>
      <c r="S42" s="17"/>
      <c r="T42" s="17"/>
      <c r="U42" s="17"/>
      <c r="V42" s="17"/>
      <c r="W42" s="17"/>
      <c r="X42" s="17"/>
      <c r="Y42" s="17"/>
      <c r="Z42" s="17"/>
    </row>
    <row r="43" spans="1:26" x14ac:dyDescent="0.25">
      <c r="A43" s="12" t="s">
        <v>889</v>
      </c>
      <c r="B43" s="14" t="str">
        <f>$B$38</f>
        <v>From Fiscal Forecasts</v>
      </c>
      <c r="C43" s="15"/>
      <c r="D43" s="50">
        <f>'Fiscal Forecasts'!D$35</f>
        <v>5.827</v>
      </c>
      <c r="E43" s="50">
        <f>'Fiscal Forecasts'!E$35</f>
        <v>5.73</v>
      </c>
      <c r="F43" s="50">
        <f>'Fiscal Forecasts'!F$35</f>
        <v>6.1950000000000003</v>
      </c>
      <c r="G43" s="50">
        <f>'Fiscal Forecasts'!G$35</f>
        <v>6.625</v>
      </c>
      <c r="H43" s="50">
        <f>'Fiscal Forecasts'!H$35</f>
        <v>7.39</v>
      </c>
      <c r="I43" s="50">
        <f>'Fiscal Forecasts'!I$35</f>
        <v>7.9290000000000003</v>
      </c>
      <c r="J43" s="50">
        <f>'Fiscal Forecasts'!J$35</f>
        <v>8.548</v>
      </c>
      <c r="K43" s="50">
        <f>'Fiscal Forecasts'!K$35</f>
        <v>8.9429999999999996</v>
      </c>
      <c r="L43" s="48">
        <f>'Fiscal Forecasts'!L$35</f>
        <v>9.5489999999999995</v>
      </c>
      <c r="M43" s="48">
        <f>'Fiscal Forecasts'!M$35</f>
        <v>10.170999999999999</v>
      </c>
      <c r="N43" s="48">
        <f>'Fiscal Forecasts'!N$35</f>
        <v>10.502000000000001</v>
      </c>
      <c r="O43" s="48">
        <f>'Fiscal Forecasts'!O$35</f>
        <v>11.176</v>
      </c>
      <c r="P43" s="48">
        <f>'Fiscal Forecasts'!P$35</f>
        <v>11.611000000000001</v>
      </c>
      <c r="Q43" s="20">
        <f>Q$148+(P$43-P$148)*(1+Exogenous!AB$31)</f>
        <v>12.429790158081012</v>
      </c>
      <c r="R43" s="20">
        <f>R$148+(Q$43-Q$148)*(1+Exogenous!AC$31)</f>
        <v>13.300830576338702</v>
      </c>
      <c r="S43" s="20">
        <f>S$148+(R$43-R$148)*(1+Exogenous!AD$31)</f>
        <v>14.211158217037488</v>
      </c>
      <c r="T43" s="20">
        <f>T$148+(S$43-S$148)*(1+Exogenous!AE$31)</f>
        <v>15.195726727748877</v>
      </c>
      <c r="U43" s="20">
        <f>U$148+(T$43-T$148)*(1+Exogenous!AF$31)</f>
        <v>16.183131105132009</v>
      </c>
      <c r="V43" s="20">
        <f>V$148+(U$43-U$148)*(1+Exogenous!AG$31)</f>
        <v>16.974959533771454</v>
      </c>
      <c r="W43" s="20">
        <f>W$148+(V$43-V$148)*(1+Exogenous!AH$31)</f>
        <v>17.803401698346804</v>
      </c>
      <c r="X43" s="20">
        <f>X$148+(W$43-W$148)*(1+Exogenous!AI$31)</f>
        <v>18.645891159817143</v>
      </c>
      <c r="Y43" s="20">
        <f>Y$148+(X$43-X$148)*(1+Exogenous!AJ$31)</f>
        <v>19.530079533294185</v>
      </c>
      <c r="Z43" s="20">
        <f>Z$148+(Y$43-Y$148)*(1+Exogenous!AK$31)</f>
        <v>20.444610791103781</v>
      </c>
    </row>
    <row r="44" spans="1:26" x14ac:dyDescent="0.25">
      <c r="A44" s="12" t="s">
        <v>890</v>
      </c>
      <c r="B44" s="14" t="str">
        <f>$B$38</f>
        <v>From Fiscal Forecasts</v>
      </c>
      <c r="C44" s="15"/>
      <c r="D44" s="50">
        <f>'Fiscal Forecasts'!D$36</f>
        <v>6.9020000000000001</v>
      </c>
      <c r="E44" s="50">
        <f>'Fiscal Forecasts'!E$36</f>
        <v>7.8849999999999998</v>
      </c>
      <c r="F44" s="50">
        <f>'Fiscal Forecasts'!F$36</f>
        <v>8.1959999999999997</v>
      </c>
      <c r="G44" s="50">
        <f>'Fiscal Forecasts'!G$36</f>
        <v>7.6520000000000001</v>
      </c>
      <c r="H44" s="50">
        <f>'Fiscal Forecasts'!H$36</f>
        <v>9.6370000000000005</v>
      </c>
      <c r="I44" s="50">
        <f>'Fiscal Forecasts'!I$36</f>
        <v>12.01</v>
      </c>
      <c r="J44" s="50">
        <f>'Fiscal Forecasts'!J$36</f>
        <v>13.215</v>
      </c>
      <c r="K44" s="50">
        <f>'Fiscal Forecasts'!K$36</f>
        <v>11.041</v>
      </c>
      <c r="L44" s="48">
        <f>'Fiscal Forecasts'!L$36</f>
        <v>11.529</v>
      </c>
      <c r="M44" s="48">
        <f>'Fiscal Forecasts'!M$36</f>
        <v>12.275</v>
      </c>
      <c r="N44" s="48">
        <f>'Fiscal Forecasts'!N$36</f>
        <v>12.456</v>
      </c>
      <c r="O44" s="48">
        <f>'Fiscal Forecasts'!O$36</f>
        <v>12.923</v>
      </c>
      <c r="P44" s="48">
        <f>'Fiscal Forecasts'!P$36</f>
        <v>14.425000000000001</v>
      </c>
      <c r="Q44" s="20">
        <f t="shared" ref="Q44:Z44" ca="1" si="20">Q$242+(P$44-P$242)*(1+Q$19)*(1+Q$29)</f>
        <v>15.132542110116781</v>
      </c>
      <c r="R44" s="20">
        <f t="shared" ca="1" si="20"/>
        <v>15.886093201540325</v>
      </c>
      <c r="S44" s="20">
        <f t="shared" ca="1" si="20"/>
        <v>16.639967033436427</v>
      </c>
      <c r="T44" s="20">
        <f t="shared" ca="1" si="20"/>
        <v>17.371953061124131</v>
      </c>
      <c r="U44" s="20">
        <f t="shared" ca="1" si="20"/>
        <v>18.14517403221479</v>
      </c>
      <c r="V44" s="20">
        <f t="shared" ca="1" si="20"/>
        <v>18.928661563922116</v>
      </c>
      <c r="W44" s="20">
        <f t="shared" ca="1" si="20"/>
        <v>19.736878867253129</v>
      </c>
      <c r="X44" s="20">
        <f t="shared" ca="1" si="20"/>
        <v>20.577209601100702</v>
      </c>
      <c r="Y44" s="20">
        <f t="shared" ca="1" si="20"/>
        <v>21.418673055638067</v>
      </c>
      <c r="Z44" s="20">
        <f t="shared" ca="1" si="20"/>
        <v>22.305541646289182</v>
      </c>
    </row>
    <row r="45" spans="1:26" x14ac:dyDescent="0.25">
      <c r="A45" s="11" t="s">
        <v>891</v>
      </c>
      <c r="B45" s="14"/>
      <c r="C45" s="15"/>
      <c r="D45" s="94">
        <f t="shared" ref="D45:Z45" ca="1" si="21">D$41-(D$43-D$44)</f>
        <v>8.5039999999999907</v>
      </c>
      <c r="E45" s="94">
        <f t="shared" ca="1" si="21"/>
        <v>-20.901999999999965</v>
      </c>
      <c r="F45" s="94">
        <f t="shared" ca="1" si="21"/>
        <v>-2.5590000000000295</v>
      </c>
      <c r="G45" s="94">
        <f t="shared" ca="1" si="21"/>
        <v>-8.6639999999999802</v>
      </c>
      <c r="H45" s="94">
        <f t="shared" ca="1" si="21"/>
        <v>-7.1990000000000061</v>
      </c>
      <c r="I45" s="94">
        <f t="shared" ca="1" si="21"/>
        <v>-8.7730000000000281</v>
      </c>
      <c r="J45" s="94">
        <f t="shared" ca="1" si="21"/>
        <v>-9.3060000000000311</v>
      </c>
      <c r="K45" s="94">
        <f t="shared" ca="1" si="21"/>
        <v>-8.6409999999999982</v>
      </c>
      <c r="L45" s="95">
        <f t="shared" ca="1" si="21"/>
        <v>-6.7499999999999574</v>
      </c>
      <c r="M45" s="95">
        <f t="shared" ca="1" si="21"/>
        <v>-0.83399999999999963</v>
      </c>
      <c r="N45" s="95">
        <f t="shared" ca="1" si="21"/>
        <v>4.016000000000016</v>
      </c>
      <c r="O45" s="95">
        <f t="shared" ca="1" si="21"/>
        <v>8.0570000000000235</v>
      </c>
      <c r="P45" s="95">
        <f t="shared" ca="1" si="21"/>
        <v>11.693000000000001</v>
      </c>
      <c r="Q45" s="96">
        <f t="shared" ca="1" si="21"/>
        <v>9.7529910719967887</v>
      </c>
      <c r="R45" s="96">
        <f t="shared" ca="1" si="21"/>
        <v>8.2378478991991209</v>
      </c>
      <c r="S45" s="96">
        <f t="shared" ca="1" si="21"/>
        <v>7.683358132228248</v>
      </c>
      <c r="T45" s="96">
        <f t="shared" ca="1" si="21"/>
        <v>7.4731909441385325</v>
      </c>
      <c r="U45" s="96">
        <f t="shared" ca="1" si="21"/>
        <v>7.3086836787737637</v>
      </c>
      <c r="V45" s="96">
        <f t="shared" ca="1" si="21"/>
        <v>7.0894692899852663</v>
      </c>
      <c r="W45" s="96">
        <f t="shared" ca="1" si="21"/>
        <v>6.8090220285469778</v>
      </c>
      <c r="X45" s="96">
        <f t="shared" ca="1" si="21"/>
        <v>6.4896088702551253</v>
      </c>
      <c r="Y45" s="96">
        <f t="shared" ca="1" si="21"/>
        <v>6.1890184276937159</v>
      </c>
      <c r="Z45" s="96">
        <f t="shared" ca="1" si="21"/>
        <v>5.8165507068521176</v>
      </c>
    </row>
    <row r="46" spans="1:26" x14ac:dyDescent="0.25">
      <c r="A46" s="60" t="s">
        <v>1161</v>
      </c>
      <c r="B46" s="11"/>
      <c r="C46" s="15"/>
      <c r="D46" s="97" t="str">
        <f t="shared" ref="D46:Z46" si="22">IF(ROUND(D$35-SUM(D$200,D$234,D$246,D$249,D$253,D$259,D$268,D$276,D$280,D$287,D$294,D$298,D$302,D$306,D$310,D$316,D$320),3)=0,"OK","ERROR")</f>
        <v>OK</v>
      </c>
      <c r="E46" s="97" t="str">
        <f t="shared" si="22"/>
        <v>OK</v>
      </c>
      <c r="F46" s="97" t="str">
        <f t="shared" si="22"/>
        <v>OK</v>
      </c>
      <c r="G46" s="97" t="str">
        <f t="shared" si="22"/>
        <v>OK</v>
      </c>
      <c r="H46" s="97" t="str">
        <f t="shared" si="22"/>
        <v>OK</v>
      </c>
      <c r="I46" s="97" t="str">
        <f t="shared" si="22"/>
        <v>OK</v>
      </c>
      <c r="J46" s="97" t="str">
        <f t="shared" si="22"/>
        <v>OK</v>
      </c>
      <c r="K46" s="97" t="str">
        <f t="shared" si="22"/>
        <v>OK</v>
      </c>
      <c r="L46" s="97" t="str">
        <f t="shared" ca="1" si="22"/>
        <v>OK</v>
      </c>
      <c r="M46" s="97" t="str">
        <f t="shared" ca="1" si="22"/>
        <v>OK</v>
      </c>
      <c r="N46" s="97" t="str">
        <f t="shared" ca="1" si="22"/>
        <v>OK</v>
      </c>
      <c r="O46" s="97" t="str">
        <f t="shared" ca="1" si="22"/>
        <v>OK</v>
      </c>
      <c r="P46" s="97" t="str">
        <f t="shared" ca="1" si="22"/>
        <v>OK</v>
      </c>
      <c r="Q46" s="97" t="str">
        <f t="shared" ca="1" si="22"/>
        <v>OK</v>
      </c>
      <c r="R46" s="97" t="str">
        <f t="shared" ca="1" si="22"/>
        <v>OK</v>
      </c>
      <c r="S46" s="97" t="str">
        <f t="shared" ca="1" si="22"/>
        <v>OK</v>
      </c>
      <c r="T46" s="97" t="str">
        <f t="shared" ca="1" si="22"/>
        <v>OK</v>
      </c>
      <c r="U46" s="97" t="str">
        <f t="shared" ca="1" si="22"/>
        <v>OK</v>
      </c>
      <c r="V46" s="97" t="str">
        <f t="shared" ca="1" si="22"/>
        <v>OK</v>
      </c>
      <c r="W46" s="97" t="str">
        <f t="shared" ca="1" si="22"/>
        <v>OK</v>
      </c>
      <c r="X46" s="97" t="str">
        <f t="shared" ca="1" si="22"/>
        <v>OK</v>
      </c>
      <c r="Y46" s="97" t="str">
        <f t="shared" ca="1" si="22"/>
        <v>OK</v>
      </c>
      <c r="Z46" s="97" t="str">
        <f t="shared" ca="1" si="22"/>
        <v>OK</v>
      </c>
    </row>
    <row r="47" spans="1:26" x14ac:dyDescent="0.25">
      <c r="A47" s="11" t="s">
        <v>1162</v>
      </c>
      <c r="B47" s="11"/>
      <c r="C47" s="15"/>
      <c r="D47" s="51">
        <f t="shared" ref="D47:Z47" ca="1" si="23">SUM(D$142,D$147,D$154,D$161,D$170,D$178)</f>
        <v>93.474000000000004</v>
      </c>
      <c r="E47" s="51">
        <f t="shared" ca="1" si="23"/>
        <v>91.923000000000002</v>
      </c>
      <c r="F47" s="51">
        <f t="shared" ca="1" si="23"/>
        <v>104.968</v>
      </c>
      <c r="G47" s="51">
        <f t="shared" ca="1" si="23"/>
        <v>117.515</v>
      </c>
      <c r="H47" s="51">
        <f t="shared" ca="1" si="23"/>
        <v>123.398</v>
      </c>
      <c r="I47" s="51">
        <f t="shared" ca="1" si="23"/>
        <v>133.22</v>
      </c>
      <c r="J47" s="51">
        <f t="shared" ca="1" si="23"/>
        <v>134.41100000000003</v>
      </c>
      <c r="K47" s="51">
        <f t="shared" ca="1" si="23"/>
        <v>138.64900000000003</v>
      </c>
      <c r="L47" s="47">
        <f t="shared" ca="1" si="23"/>
        <v>150.47</v>
      </c>
      <c r="M47" s="47">
        <f t="shared" ca="1" si="23"/>
        <v>158.43299999999999</v>
      </c>
      <c r="N47" s="47">
        <f t="shared" ca="1" si="23"/>
        <v>167.75700000000003</v>
      </c>
      <c r="O47" s="47">
        <f t="shared" ca="1" si="23"/>
        <v>176.803</v>
      </c>
      <c r="P47" s="47">
        <f t="shared" ca="1" si="23"/>
        <v>185.00899999999999</v>
      </c>
      <c r="Q47" s="21">
        <f t="shared" ca="1" si="23"/>
        <v>192.38988432300397</v>
      </c>
      <c r="R47" s="21">
        <f t="shared" ca="1" si="23"/>
        <v>199.74055400068707</v>
      </c>
      <c r="S47" s="21">
        <f t="shared" ca="1" si="23"/>
        <v>207.46099471815756</v>
      </c>
      <c r="T47" s="21">
        <f t="shared" ca="1" si="23"/>
        <v>215.69499355858161</v>
      </c>
      <c r="U47" s="21">
        <f t="shared" ca="1" si="23"/>
        <v>224.33953929085504</v>
      </c>
      <c r="V47" s="21">
        <f t="shared" ca="1" si="23"/>
        <v>233.27232292469745</v>
      </c>
      <c r="W47" s="21">
        <f t="shared" ca="1" si="23"/>
        <v>242.44267328967234</v>
      </c>
      <c r="X47" s="21">
        <f t="shared" ca="1" si="23"/>
        <v>251.87855920929184</v>
      </c>
      <c r="Y47" s="21">
        <f t="shared" ca="1" si="23"/>
        <v>261.63033386193848</v>
      </c>
      <c r="Z47" s="21">
        <f t="shared" ca="1" si="23"/>
        <v>271.69866823678757</v>
      </c>
    </row>
    <row r="48" spans="1:26" x14ac:dyDescent="0.25">
      <c r="A48" s="11" t="s">
        <v>1163</v>
      </c>
      <c r="B48" s="11"/>
      <c r="C48" s="15"/>
      <c r="D48" s="51">
        <f t="shared" ref="D48:Z48" si="24">SUM(D$195,D$208,D$215,D$223,D$230,D$238,D$246,D$249)</f>
        <v>86.959000000000003</v>
      </c>
      <c r="E48" s="51">
        <f t="shared" si="24"/>
        <v>108.83199999999999</v>
      </c>
      <c r="F48" s="51">
        <f t="shared" si="24"/>
        <v>107.76400000000001</v>
      </c>
      <c r="G48" s="51">
        <f t="shared" si="24"/>
        <v>125.64100000000001</v>
      </c>
      <c r="H48" s="51">
        <f t="shared" si="24"/>
        <v>127.57400000000001</v>
      </c>
      <c r="I48" s="51">
        <f t="shared" si="24"/>
        <v>138.99800000000002</v>
      </c>
      <c r="J48" s="51">
        <f t="shared" si="24"/>
        <v>141.67499999999998</v>
      </c>
      <c r="K48" s="51">
        <f t="shared" si="24"/>
        <v>146.21899999999999</v>
      </c>
      <c r="L48" s="47">
        <f ca="1">SUM(L$195,L$208,L$215,L$223,L$230,L$238,L$246,L$249)</f>
        <v>154.60899999999998</v>
      </c>
      <c r="M48" s="47">
        <f ca="1">SUM(M$195,M$208,M$215,M$223,M$230,M$238,M$246,M$249)</f>
        <v>158.30799999999999</v>
      </c>
      <c r="N48" s="47">
        <f ca="1">SUM(N$195,N$208,N$215,N$223,N$230,N$238,N$246,N$249)</f>
        <v>163.238</v>
      </c>
      <c r="O48" s="47">
        <f ca="1">SUM(O$195,O$208,O$215,O$223,O$230,O$238,O$246,O$249)</f>
        <v>168.642</v>
      </c>
      <c r="P48" s="47">
        <f ca="1">SUM(P$195,P$208,P$215,P$223,P$230,P$238,P$246,P$249)</f>
        <v>173.66799999999998</v>
      </c>
      <c r="Q48" s="21">
        <f t="shared" ca="1" si="24"/>
        <v>182.90027621165046</v>
      </c>
      <c r="R48" s="21">
        <f t="shared" ca="1" si="24"/>
        <v>191.76690608092295</v>
      </c>
      <c r="S48" s="21">
        <f t="shared" ca="1" si="24"/>
        <v>200.05755274660848</v>
      </c>
      <c r="T48" s="21">
        <f t="shared" ca="1" si="24"/>
        <v>208.54554666680684</v>
      </c>
      <c r="U48" s="21">
        <f t="shared" ca="1" si="24"/>
        <v>217.41518840137147</v>
      </c>
      <c r="V48" s="21">
        <f t="shared" ca="1" si="24"/>
        <v>226.49727910780086</v>
      </c>
      <c r="W48" s="21">
        <f t="shared" ca="1" si="24"/>
        <v>235.82540215151423</v>
      </c>
      <c r="X48" s="21">
        <f t="shared" ca="1" si="24"/>
        <v>245.45193673060305</v>
      </c>
      <c r="Y48" s="21">
        <f t="shared" ca="1" si="24"/>
        <v>255.38095464269131</v>
      </c>
      <c r="Z48" s="21">
        <f t="shared" ca="1" si="24"/>
        <v>265.68203810317709</v>
      </c>
    </row>
    <row r="49" spans="1:26" x14ac:dyDescent="0.25">
      <c r="A49" s="11" t="s">
        <v>752</v>
      </c>
      <c r="B49" s="11"/>
      <c r="C49" s="15"/>
      <c r="D49" s="51">
        <f t="shared" ref="D49:Z49" ca="1" si="25">SUM(D$47,-D$48,D$333,D$340)</f>
        <v>9.7070000000000007</v>
      </c>
      <c r="E49" s="51">
        <f t="shared" ca="1" si="25"/>
        <v>-20.882999999999992</v>
      </c>
      <c r="F49" s="51">
        <f t="shared" ca="1" si="25"/>
        <v>4.7039999999999935</v>
      </c>
      <c r="G49" s="51">
        <f t="shared" ca="1" si="25"/>
        <v>-19.532000000000004</v>
      </c>
      <c r="H49" s="51">
        <f t="shared" ca="1" si="25"/>
        <v>8.2929999999999833</v>
      </c>
      <c r="I49" s="51">
        <f t="shared" ca="1" si="25"/>
        <v>2.1059999999999803</v>
      </c>
      <c r="J49" s="51">
        <f t="shared" ca="1" si="25"/>
        <v>0.42300000000004712</v>
      </c>
      <c r="K49" s="51">
        <f t="shared" ca="1" si="25"/>
        <v>4.4070000000000356</v>
      </c>
      <c r="L49" s="47">
        <f t="shared" ca="1" si="25"/>
        <v>1.038000000000018</v>
      </c>
      <c r="M49" s="47">
        <f t="shared" ca="1" si="25"/>
        <v>5.6689999999999996</v>
      </c>
      <c r="N49" s="47">
        <f t="shared" ca="1" si="25"/>
        <v>10.416000000000034</v>
      </c>
      <c r="O49" s="47">
        <f t="shared" ca="1" si="25"/>
        <v>14.500000000000002</v>
      </c>
      <c r="P49" s="47">
        <f t="shared" ca="1" si="25"/>
        <v>18.150000000000009</v>
      </c>
      <c r="Q49" s="21">
        <f t="shared" ca="1" si="25"/>
        <v>16.646813362629519</v>
      </c>
      <c r="R49" s="21">
        <f t="shared" ca="1" si="25"/>
        <v>15.575521718207423</v>
      </c>
      <c r="S49" s="21">
        <f t="shared" ca="1" si="25"/>
        <v>15.468471371235543</v>
      </c>
      <c r="T49" s="21">
        <f t="shared" ca="1" si="25"/>
        <v>15.696936014456288</v>
      </c>
      <c r="U49" s="21">
        <f t="shared" ca="1" si="25"/>
        <v>15.973633541733747</v>
      </c>
      <c r="V49" s="21">
        <f t="shared" ca="1" si="25"/>
        <v>16.345883449259802</v>
      </c>
      <c r="W49" s="21">
        <f t="shared" ca="1" si="25"/>
        <v>16.733584740481092</v>
      </c>
      <c r="X49" s="21">
        <f t="shared" ca="1" si="25"/>
        <v>17.117713465780628</v>
      </c>
      <c r="Y49" s="21">
        <f t="shared" ca="1" si="25"/>
        <v>17.550978085877087</v>
      </c>
      <c r="Z49" s="21">
        <f t="shared" ca="1" si="25"/>
        <v>17.97160113333565</v>
      </c>
    </row>
    <row r="50" spans="1:26" x14ac:dyDescent="0.25">
      <c r="A50" s="11" t="s">
        <v>857</v>
      </c>
      <c r="B50" s="11"/>
      <c r="C50" s="15"/>
      <c r="D50" s="51">
        <f t="shared" ref="D50:Z50" ca="1" si="26">(D$47-D$161)-(D$48-D$230)</f>
        <v>9.144999999999996</v>
      </c>
      <c r="E50" s="51">
        <f t="shared" ca="1" si="26"/>
        <v>-14.530999999999992</v>
      </c>
      <c r="F50" s="51">
        <f t="shared" ca="1" si="26"/>
        <v>-1.5939999999999941</v>
      </c>
      <c r="G50" s="51">
        <f t="shared" ca="1" si="26"/>
        <v>-6.1000000000000085</v>
      </c>
      <c r="H50" s="51">
        <f t="shared" ca="1" si="26"/>
        <v>-0.4690000000000083</v>
      </c>
      <c r="I50" s="51">
        <f t="shared" ca="1" si="26"/>
        <v>-1.2760000000000105</v>
      </c>
      <c r="J50" s="51">
        <f t="shared" ca="1" si="26"/>
        <v>-2.5909999999999513</v>
      </c>
      <c r="K50" s="51">
        <f t="shared" ca="1" si="26"/>
        <v>-2.0319999999999823</v>
      </c>
      <c r="L50" s="47">
        <f t="shared" ca="1" si="26"/>
        <v>2.1230000000000189</v>
      </c>
      <c r="M50" s="47">
        <f t="shared" ca="1" si="26"/>
        <v>7.0650000000000261</v>
      </c>
      <c r="N50" s="47">
        <f t="shared" ca="1" si="26"/>
        <v>12.291000000000025</v>
      </c>
      <c r="O50" s="47">
        <f t="shared" ca="1" si="26"/>
        <v>16.460000000000008</v>
      </c>
      <c r="P50" s="47">
        <f t="shared" ca="1" si="26"/>
        <v>19.782000000000011</v>
      </c>
      <c r="Q50" s="21">
        <f t="shared" ca="1" si="26"/>
        <v>17.757114476518922</v>
      </c>
      <c r="R50" s="21">
        <f t="shared" ca="1" si="26"/>
        <v>16.266425684231365</v>
      </c>
      <c r="S50" s="21">
        <f t="shared" ca="1" si="26"/>
        <v>15.809225501239411</v>
      </c>
      <c r="T50" s="21">
        <f t="shared" ca="1" si="26"/>
        <v>15.710046294130478</v>
      </c>
      <c r="U50" s="21">
        <f t="shared" ca="1" si="26"/>
        <v>15.667100481921096</v>
      </c>
      <c r="V50" s="21">
        <f t="shared" ca="1" si="26"/>
        <v>15.63125298452124</v>
      </c>
      <c r="W50" s="21">
        <f t="shared" ca="1" si="26"/>
        <v>15.610578605875872</v>
      </c>
      <c r="X50" s="21">
        <f t="shared" ca="1" si="26"/>
        <v>15.583085149796972</v>
      </c>
      <c r="Y50" s="21">
        <f t="shared" ca="1" si="26"/>
        <v>15.601748353094848</v>
      </c>
      <c r="Z50" s="21">
        <f t="shared" ca="1" si="26"/>
        <v>15.604806089733557</v>
      </c>
    </row>
    <row r="51" spans="1:26" x14ac:dyDescent="0.25">
      <c r="A51" s="11" t="s">
        <v>749</v>
      </c>
      <c r="B51" s="11"/>
      <c r="C51" s="15"/>
      <c r="D51" s="51">
        <f t="shared" ref="D51:Z51" si="27">D$489</f>
        <v>-0.7100000000000124</v>
      </c>
      <c r="E51" s="51">
        <f t="shared" si="27"/>
        <v>-23.692000000000007</v>
      </c>
      <c r="F51" s="51">
        <f t="shared" si="27"/>
        <v>-13.766999999999978</v>
      </c>
      <c r="G51" s="51">
        <f t="shared" si="27"/>
        <v>-27.042999999999999</v>
      </c>
      <c r="H51" s="51">
        <f t="shared" si="27"/>
        <v>-25.648000000000007</v>
      </c>
      <c r="I51" s="51">
        <f t="shared" si="27"/>
        <v>-19.302000000000007</v>
      </c>
      <c r="J51" s="51">
        <f t="shared" si="27"/>
        <v>-5.9959999999999782</v>
      </c>
      <c r="K51" s="51">
        <f t="shared" si="27"/>
        <v>-4.8919999999999959</v>
      </c>
      <c r="L51" s="47">
        <f t="shared" ca="1" si="27"/>
        <v>-21.985000000000007</v>
      </c>
      <c r="M51" s="47">
        <f t="shared" ca="1" si="27"/>
        <v>-13.534999999999954</v>
      </c>
      <c r="N51" s="47">
        <f t="shared" ca="1" si="27"/>
        <v>-7.2850000000000037</v>
      </c>
      <c r="O51" s="47">
        <f t="shared" ca="1" si="27"/>
        <v>-1.7820000000000231</v>
      </c>
      <c r="P51" s="47">
        <f t="shared" ca="1" si="27"/>
        <v>3.2980000000000373</v>
      </c>
      <c r="Q51" s="21">
        <f t="shared" ca="1" si="27"/>
        <v>1.5548880200641904</v>
      </c>
      <c r="R51" s="21">
        <f t="shared" ca="1" si="27"/>
        <v>-0.79800915831687647</v>
      </c>
      <c r="S51" s="21">
        <f t="shared" ca="1" si="27"/>
        <v>-1.9046844219471808</v>
      </c>
      <c r="T51" s="21">
        <f t="shared" ca="1" si="27"/>
        <v>-2.3704100169354838</v>
      </c>
      <c r="U51" s="21">
        <f t="shared" ca="1" si="27"/>
        <v>-2.8422016591134458</v>
      </c>
      <c r="V51" s="21">
        <f t="shared" ca="1" si="27"/>
        <v>-3.2958368404139051</v>
      </c>
      <c r="W51" s="21">
        <f t="shared" ca="1" si="27"/>
        <v>-3.8412291421858118</v>
      </c>
      <c r="X51" s="21">
        <f t="shared" ca="1" si="27"/>
        <v>-4.5187069887797726</v>
      </c>
      <c r="Y51" s="21">
        <f t="shared" ca="1" si="27"/>
        <v>-5.3138192127681538</v>
      </c>
      <c r="Z51" s="21">
        <f t="shared" ca="1" si="27"/>
        <v>-6.266562599805038</v>
      </c>
    </row>
    <row r="52" spans="1:26" x14ac:dyDescent="0.25">
      <c r="A52" s="60" t="s">
        <v>1164</v>
      </c>
      <c r="B52" s="14" t="str">
        <f>$B$42</f>
        <v>Outturn &amp; Forecast only</v>
      </c>
      <c r="C52" s="15"/>
      <c r="D52" s="97" t="str">
        <f ca="1">IF(ROUND('Fiscal Forecasts'!D$178-D$49,3)=0,"OK","ERROR")</f>
        <v>OK</v>
      </c>
      <c r="E52" s="97" t="str">
        <f ca="1">IF(ROUND('Fiscal Forecasts'!E$178-E$49,3)=0,"OK","ERROR")</f>
        <v>OK</v>
      </c>
      <c r="F52" s="97" t="str">
        <f ca="1">IF(ROUND('Fiscal Forecasts'!F$178-F$49,3)=0,"OK","ERROR")</f>
        <v>OK</v>
      </c>
      <c r="G52" s="97" t="str">
        <f ca="1">IF(ROUND('Fiscal Forecasts'!G$178-G$49,3)=0,"OK","ERROR")</f>
        <v>OK</v>
      </c>
      <c r="H52" s="97" t="str">
        <f ca="1">IF(ROUND('Fiscal Forecasts'!H$178-H$49,3)=0,"OK","ERROR")</f>
        <v>OK</v>
      </c>
      <c r="I52" s="97" t="str">
        <f ca="1">IF(ROUND('Fiscal Forecasts'!I$178-I$49,3)=0,"OK","ERROR")</f>
        <v>OK</v>
      </c>
      <c r="J52" s="97" t="str">
        <f ca="1">IF(ROUND('Fiscal Forecasts'!J$178-J$49,3)=0,"OK","ERROR")</f>
        <v>OK</v>
      </c>
      <c r="K52" s="97" t="str">
        <f ca="1">IF(ROUND('Fiscal Forecasts'!K$178-K$49,3)=0,"OK","ERROR")</f>
        <v>OK</v>
      </c>
      <c r="L52" s="97" t="str">
        <f ca="1">IF(ROUND('Fiscal Forecasts'!L$178-L$49,3)=0,"OK","ERROR")</f>
        <v>OK</v>
      </c>
      <c r="M52" s="97" t="str">
        <f ca="1">IF(ROUND('Fiscal Forecasts'!M$178-M$49,3)=0,"OK","ERROR")</f>
        <v>OK</v>
      </c>
      <c r="N52" s="97" t="str">
        <f ca="1">IF(ROUND('Fiscal Forecasts'!N$178-N$49,3)=0,"OK","ERROR")</f>
        <v>OK</v>
      </c>
      <c r="O52" s="97" t="str">
        <f ca="1">IF(ROUND('Fiscal Forecasts'!O$178-O$49,3)=0,"OK","ERROR")</f>
        <v>OK</v>
      </c>
      <c r="P52" s="97" t="str">
        <f ca="1">IF(ROUND('Fiscal Forecasts'!P$178-P$49,3)=0,"OK","ERROR")</f>
        <v>OK</v>
      </c>
      <c r="Q52" s="17"/>
      <c r="R52" s="17"/>
      <c r="S52" s="17"/>
      <c r="T52" s="17"/>
      <c r="U52" s="17"/>
      <c r="V52" s="17"/>
      <c r="W52" s="17"/>
      <c r="X52" s="17"/>
      <c r="Y52" s="17"/>
      <c r="Z52" s="17"/>
    </row>
    <row r="53" spans="1:26" x14ac:dyDescent="0.25">
      <c r="A53" s="60" t="s">
        <v>1165</v>
      </c>
      <c r="B53" s="11"/>
      <c r="C53" s="15"/>
      <c r="D53" s="97" t="str">
        <f>IF(ROUND(D$48-SUM(D$197,D$230,D$246,D$249,D$252,D$256,D$265,D$275,D$279,D$283,D$293,D$297,D$301,D$305,D$309,D$315,D$319),3)=0,"OK","ERROR")</f>
        <v>OK</v>
      </c>
      <c r="E53" s="97" t="str">
        <f t="shared" ref="E53:Z53" si="28">IF(ROUND(E$48-SUM(E$197,E$230,E$246,E$249,E$252,E$256,E$265,E$275,E$279,E$283,E$293,E$297,E$301,E$305,E$309,E$315,E$319),3)=0,"OK","ERROR")</f>
        <v>OK</v>
      </c>
      <c r="F53" s="97" t="str">
        <f t="shared" si="28"/>
        <v>OK</v>
      </c>
      <c r="G53" s="97" t="str">
        <f t="shared" si="28"/>
        <v>OK</v>
      </c>
      <c r="H53" s="97" t="str">
        <f t="shared" si="28"/>
        <v>OK</v>
      </c>
      <c r="I53" s="97" t="str">
        <f t="shared" si="28"/>
        <v>OK</v>
      </c>
      <c r="J53" s="97" t="str">
        <f t="shared" si="28"/>
        <v>OK</v>
      </c>
      <c r="K53" s="97" t="str">
        <f t="shared" si="28"/>
        <v>OK</v>
      </c>
      <c r="L53" s="97" t="str">
        <f t="shared" ca="1" si="28"/>
        <v>OK</v>
      </c>
      <c r="M53" s="97" t="str">
        <f t="shared" ca="1" si="28"/>
        <v>OK</v>
      </c>
      <c r="N53" s="97" t="str">
        <f t="shared" ca="1" si="28"/>
        <v>OK</v>
      </c>
      <c r="O53" s="97" t="str">
        <f t="shared" ca="1" si="28"/>
        <v>OK</v>
      </c>
      <c r="P53" s="97" t="str">
        <f t="shared" ca="1" si="28"/>
        <v>OK</v>
      </c>
      <c r="Q53" s="97" t="str">
        <f t="shared" ca="1" si="28"/>
        <v>OK</v>
      </c>
      <c r="R53" s="97" t="str">
        <f t="shared" ca="1" si="28"/>
        <v>OK</v>
      </c>
      <c r="S53" s="97" t="str">
        <f t="shared" ca="1" si="28"/>
        <v>OK</v>
      </c>
      <c r="T53" s="97" t="str">
        <f t="shared" ca="1" si="28"/>
        <v>OK</v>
      </c>
      <c r="U53" s="97" t="str">
        <f t="shared" ca="1" si="28"/>
        <v>OK</v>
      </c>
      <c r="V53" s="97" t="str">
        <f t="shared" ca="1" si="28"/>
        <v>OK</v>
      </c>
      <c r="W53" s="97" t="str">
        <f t="shared" ca="1" si="28"/>
        <v>OK</v>
      </c>
      <c r="X53" s="97" t="str">
        <f t="shared" ca="1" si="28"/>
        <v>OK</v>
      </c>
      <c r="Y53" s="97" t="str">
        <f t="shared" ca="1" si="28"/>
        <v>OK</v>
      </c>
      <c r="Z53" s="97" t="str">
        <f t="shared" ca="1" si="28"/>
        <v>OK</v>
      </c>
    </row>
    <row r="54" spans="1:26" x14ac:dyDescent="0.25">
      <c r="A54" s="11"/>
      <c r="B54" s="11"/>
      <c r="C54" s="15"/>
      <c r="D54" s="15"/>
      <c r="E54" s="15"/>
      <c r="F54" s="15"/>
      <c r="G54" s="15"/>
      <c r="H54" s="15"/>
      <c r="I54" s="15"/>
      <c r="J54" s="15"/>
      <c r="K54" s="15"/>
      <c r="L54" s="15"/>
      <c r="M54" s="15"/>
      <c r="N54" s="15"/>
      <c r="O54" s="15"/>
      <c r="P54" s="15"/>
      <c r="Q54" s="51"/>
      <c r="R54" s="51"/>
      <c r="S54" s="51"/>
      <c r="T54" s="51"/>
      <c r="U54" s="51"/>
      <c r="V54" s="51"/>
      <c r="W54" s="51"/>
      <c r="X54" s="51"/>
      <c r="Y54" s="51"/>
      <c r="Z54" s="51"/>
    </row>
    <row r="55" spans="1:26" x14ac:dyDescent="0.25">
      <c r="A55" s="57" t="s">
        <v>1166</v>
      </c>
      <c r="B55" s="11"/>
      <c r="C55" s="15"/>
      <c r="D55" s="98"/>
      <c r="E55" s="98"/>
      <c r="F55" s="98"/>
      <c r="G55" s="98"/>
      <c r="H55" s="98"/>
      <c r="I55" s="98"/>
      <c r="J55" s="98"/>
      <c r="K55" s="98"/>
      <c r="L55" s="98"/>
      <c r="M55" s="98"/>
      <c r="N55" s="98"/>
      <c r="O55" s="98"/>
      <c r="P55" s="98"/>
      <c r="Q55" s="17"/>
      <c r="R55" s="17"/>
      <c r="S55" s="17"/>
      <c r="T55" s="17"/>
      <c r="U55" s="17"/>
      <c r="V55" s="17"/>
      <c r="W55" s="17"/>
      <c r="X55" s="17"/>
      <c r="Y55" s="17"/>
      <c r="Z55" s="17"/>
    </row>
    <row r="56" spans="1:26" x14ac:dyDescent="0.25">
      <c r="A56" s="11" t="s">
        <v>1167</v>
      </c>
      <c r="B56" s="11"/>
      <c r="C56" s="15"/>
      <c r="D56" s="51">
        <f t="shared" ref="D56:Z56" ca="1" si="29">SUM(D$347,D$354,D$363,D$372,D$388,D$397,D$410,D$414,D$420,D$424,D$429,D$432,D$435)</f>
        <v>364.65199999999999</v>
      </c>
      <c r="E56" s="51">
        <f t="shared" ca="1" si="29"/>
        <v>393.4</v>
      </c>
      <c r="F56" s="51">
        <f t="shared" ca="1" si="29"/>
        <v>438.59599999999995</v>
      </c>
      <c r="G56" s="51">
        <f t="shared" ca="1" si="29"/>
        <v>501.84400000000005</v>
      </c>
      <c r="H56" s="51">
        <f t="shared" ca="1" si="29"/>
        <v>536.66599999999994</v>
      </c>
      <c r="I56" s="51">
        <f t="shared" ca="1" si="29"/>
        <v>570.86799999999994</v>
      </c>
      <c r="J56" s="51">
        <f t="shared" ca="1" si="29"/>
        <v>597.97599999999989</v>
      </c>
      <c r="K56" s="51">
        <f t="shared" ca="1" si="29"/>
        <v>619.56499999999994</v>
      </c>
      <c r="L56" s="47">
        <f t="shared" ca="1" si="29"/>
        <v>635.06700000000001</v>
      </c>
      <c r="M56" s="47">
        <f t="shared" ca="1" si="29"/>
        <v>662.04300000000001</v>
      </c>
      <c r="N56" s="47">
        <f t="shared" ca="1" si="29"/>
        <v>687.68299999999988</v>
      </c>
      <c r="O56" s="47">
        <f t="shared" ca="1" si="29"/>
        <v>712.327</v>
      </c>
      <c r="P56" s="47">
        <f t="shared" ca="1" si="29"/>
        <v>734.56700000000001</v>
      </c>
      <c r="Q56" s="21">
        <f t="shared" ca="1" si="29"/>
        <v>762.0101231272705</v>
      </c>
      <c r="R56" s="21">
        <f t="shared" ca="1" si="29"/>
        <v>790.63889892244561</v>
      </c>
      <c r="S56" s="21">
        <f t="shared" ca="1" si="29"/>
        <v>820.76799795919089</v>
      </c>
      <c r="T56" s="21">
        <f t="shared" ca="1" si="29"/>
        <v>852.12621228030173</v>
      </c>
      <c r="U56" s="21">
        <f t="shared" ca="1" si="29"/>
        <v>884.81961020782796</v>
      </c>
      <c r="V56" s="21">
        <f t="shared" ca="1" si="29"/>
        <v>918.77825426559491</v>
      </c>
      <c r="W56" s="21">
        <f t="shared" ca="1" si="29"/>
        <v>954.05676510594651</v>
      </c>
      <c r="X56" s="21">
        <f t="shared" ca="1" si="29"/>
        <v>990.79604202440078</v>
      </c>
      <c r="Y56" s="21">
        <f t="shared" ca="1" si="29"/>
        <v>1029.2338474029996</v>
      </c>
      <c r="Z56" s="21">
        <f t="shared" ca="1" si="29"/>
        <v>1069.5143084140484</v>
      </c>
    </row>
    <row r="57" spans="1:26" x14ac:dyDescent="0.25">
      <c r="A57" s="11" t="s">
        <v>1168</v>
      </c>
      <c r="B57" s="11"/>
      <c r="C57" s="15"/>
      <c r="D57" s="51">
        <f t="shared" ref="D57:Z57" si="30">SUM(D$70,D$439,D$446,D$450,D$454,D$460,D$465,D$471)</f>
        <v>221.31299999999999</v>
      </c>
      <c r="E57" s="51">
        <f t="shared" si="30"/>
        <v>277.45699999999999</v>
      </c>
      <c r="F57" s="51">
        <f t="shared" si="30"/>
        <v>281.40300000000002</v>
      </c>
      <c r="G57" s="51">
        <f t="shared" si="30"/>
        <v>327.52500000000003</v>
      </c>
      <c r="H57" s="51">
        <f t="shared" si="30"/>
        <v>345.19400000000002</v>
      </c>
      <c r="I57" s="51">
        <f t="shared" si="30"/>
        <v>379.81899999999996</v>
      </c>
      <c r="J57" s="51">
        <f t="shared" si="30"/>
        <v>408.84799999999996</v>
      </c>
      <c r="K57" s="51">
        <f t="shared" si="30"/>
        <v>431.851</v>
      </c>
      <c r="L57" s="47">
        <f t="shared" si="30"/>
        <v>438.512</v>
      </c>
      <c r="M57" s="47">
        <f t="shared" si="30"/>
        <v>461.971</v>
      </c>
      <c r="N57" s="47">
        <f t="shared" si="30"/>
        <v>478.56200000000001</v>
      </c>
      <c r="O57" s="47">
        <f t="shared" si="30"/>
        <v>489.92400000000004</v>
      </c>
      <c r="P57" s="47">
        <f t="shared" si="30"/>
        <v>495.339</v>
      </c>
      <c r="Q57" s="21">
        <f t="shared" ca="1" si="30"/>
        <v>506.92536573939481</v>
      </c>
      <c r="R57" s="21">
        <f t="shared" ca="1" si="30"/>
        <v>520.60692733093015</v>
      </c>
      <c r="S57" s="21">
        <f t="shared" ca="1" si="30"/>
        <v>535.67068106187367</v>
      </c>
      <c r="T57" s="21">
        <f t="shared" ca="1" si="30"/>
        <v>551.37344148652267</v>
      </c>
      <c r="U57" s="21">
        <f t="shared" ca="1" si="30"/>
        <v>567.78231639305591</v>
      </c>
      <c r="V57" s="21">
        <f t="shared" ca="1" si="30"/>
        <v>585.0630942142601</v>
      </c>
      <c r="W57" s="21">
        <f t="shared" ca="1" si="30"/>
        <v>603.2930897482338</v>
      </c>
      <c r="X57" s="21">
        <f t="shared" ca="1" si="30"/>
        <v>622.63884699270761</v>
      </c>
      <c r="Y57" s="21">
        <f t="shared" ca="1" si="30"/>
        <v>643.24025678140754</v>
      </c>
      <c r="Z57" s="21">
        <f t="shared" ca="1" si="30"/>
        <v>665.28312713393984</v>
      </c>
    </row>
    <row r="58" spans="1:26" x14ac:dyDescent="0.25">
      <c r="A58" s="11" t="s">
        <v>759</v>
      </c>
      <c r="B58" s="11"/>
      <c r="C58" s="15"/>
      <c r="D58" s="94">
        <f t="shared" ref="D58:Z58" ca="1" si="31">D$56-D$57</f>
        <v>143.339</v>
      </c>
      <c r="E58" s="94">
        <f t="shared" ca="1" si="31"/>
        <v>115.94299999999998</v>
      </c>
      <c r="F58" s="94">
        <f t="shared" ca="1" si="31"/>
        <v>157.19299999999993</v>
      </c>
      <c r="G58" s="94">
        <f t="shared" ca="1" si="31"/>
        <v>174.31900000000002</v>
      </c>
      <c r="H58" s="94">
        <f t="shared" ca="1" si="31"/>
        <v>191.47199999999992</v>
      </c>
      <c r="I58" s="94">
        <f t="shared" ca="1" si="31"/>
        <v>191.04899999999998</v>
      </c>
      <c r="J58" s="94">
        <f t="shared" ca="1" si="31"/>
        <v>189.12799999999993</v>
      </c>
      <c r="K58" s="94">
        <f t="shared" ca="1" si="31"/>
        <v>187.71399999999994</v>
      </c>
      <c r="L58" s="95">
        <f t="shared" ca="1" si="31"/>
        <v>196.55500000000001</v>
      </c>
      <c r="M58" s="95">
        <f t="shared" ca="1" si="31"/>
        <v>200.072</v>
      </c>
      <c r="N58" s="95">
        <f t="shared" ca="1" si="31"/>
        <v>209.12099999999987</v>
      </c>
      <c r="O58" s="95">
        <f t="shared" ca="1" si="31"/>
        <v>222.40299999999996</v>
      </c>
      <c r="P58" s="95">
        <f t="shared" ca="1" si="31"/>
        <v>239.22800000000001</v>
      </c>
      <c r="Q58" s="96">
        <f t="shared" ca="1" si="31"/>
        <v>255.0847573878757</v>
      </c>
      <c r="R58" s="96">
        <f t="shared" ca="1" si="31"/>
        <v>270.03197159151546</v>
      </c>
      <c r="S58" s="96">
        <f t="shared" ca="1" si="31"/>
        <v>285.09731689731723</v>
      </c>
      <c r="T58" s="96">
        <f t="shared" ca="1" si="31"/>
        <v>300.75277079377906</v>
      </c>
      <c r="U58" s="96">
        <f t="shared" ca="1" si="31"/>
        <v>317.03729381477206</v>
      </c>
      <c r="V58" s="96">
        <f t="shared" ca="1" si="31"/>
        <v>333.71516005133481</v>
      </c>
      <c r="W58" s="96">
        <f t="shared" ca="1" si="31"/>
        <v>350.76367535771271</v>
      </c>
      <c r="X58" s="96">
        <f t="shared" ca="1" si="31"/>
        <v>368.15719503169316</v>
      </c>
      <c r="Y58" s="96">
        <f t="shared" ca="1" si="31"/>
        <v>385.99359062159203</v>
      </c>
      <c r="Z58" s="96">
        <f t="shared" ca="1" si="31"/>
        <v>404.23118128010856</v>
      </c>
    </row>
    <row r="59" spans="1:26" x14ac:dyDescent="0.25">
      <c r="A59" s="12" t="s">
        <v>1169</v>
      </c>
      <c r="B59" s="14" t="str">
        <f>$B$38</f>
        <v>From Fiscal Forecasts</v>
      </c>
      <c r="C59" s="15"/>
      <c r="D59" s="50">
        <f>'Fiscal Forecasts'!D$145</f>
        <v>6.39</v>
      </c>
      <c r="E59" s="50">
        <f>'Fiscal Forecasts'!E$145</f>
        <v>5.6230000000000002</v>
      </c>
      <c r="F59" s="50">
        <f>'Fiscal Forecasts'!F$145</f>
        <v>5.7240000000000002</v>
      </c>
      <c r="G59" s="50">
        <f>'Fiscal Forecasts'!G$145</f>
        <v>7.2830000000000004</v>
      </c>
      <c r="H59" s="50">
        <f>'Fiscal Forecasts'!H$145</f>
        <v>7.9580000000000002</v>
      </c>
      <c r="I59" s="50">
        <f>'Fiscal Forecasts'!I$145</f>
        <v>9.2309999999999999</v>
      </c>
      <c r="J59" s="50">
        <f>'Fiscal Forecasts'!J$145</f>
        <v>9.8680000000000003</v>
      </c>
      <c r="K59" s="50">
        <f>'Fiscal Forecasts'!K$145</f>
        <v>10.510999999999999</v>
      </c>
      <c r="L59" s="48">
        <f>'Fiscal Forecasts'!L$145</f>
        <v>10.034000000000001</v>
      </c>
      <c r="M59" s="48">
        <f>'Fiscal Forecasts'!M$145</f>
        <v>9.9979999999999993</v>
      </c>
      <c r="N59" s="48">
        <f>'Fiscal Forecasts'!N$145</f>
        <v>9.9629999999999992</v>
      </c>
      <c r="O59" s="48">
        <f>'Fiscal Forecasts'!O$145</f>
        <v>9.6080000000000005</v>
      </c>
      <c r="P59" s="48">
        <f>'Fiscal Forecasts'!P$145</f>
        <v>9.61</v>
      </c>
      <c r="Q59" s="20">
        <f t="shared" ref="Q59:Z59" ca="1" si="32">P$59*(Q$58-Q$65)/(P$58-P$65)</f>
        <v>9.5489287576726056</v>
      </c>
      <c r="R59" s="20">
        <f t="shared" ca="1" si="32"/>
        <v>9.5003606540135586</v>
      </c>
      <c r="S59" s="20">
        <f t="shared" ca="1" si="32"/>
        <v>9.4691990522824128</v>
      </c>
      <c r="T59" s="20">
        <f t="shared" ca="1" si="32"/>
        <v>9.4659924889992304</v>
      </c>
      <c r="U59" s="20">
        <f t="shared" ca="1" si="32"/>
        <v>9.4900242124866683</v>
      </c>
      <c r="V59" s="20">
        <f t="shared" ca="1" si="32"/>
        <v>9.5156864464293065</v>
      </c>
      <c r="W59" s="20">
        <f t="shared" ca="1" si="32"/>
        <v>9.5400305454814927</v>
      </c>
      <c r="X59" s="20">
        <f t="shared" ca="1" si="32"/>
        <v>9.5613503358692942</v>
      </c>
      <c r="Y59" s="20">
        <f t="shared" ca="1" si="32"/>
        <v>9.5834130783958784</v>
      </c>
      <c r="Z59" s="20">
        <f t="shared" ca="1" si="32"/>
        <v>9.6039740402364977</v>
      </c>
    </row>
    <row r="60" spans="1:26" x14ac:dyDescent="0.25">
      <c r="A60" s="11" t="s">
        <v>760</v>
      </c>
      <c r="B60" s="14"/>
      <c r="C60" s="15"/>
      <c r="D60" s="94">
        <f t="shared" ref="D60:Z60" ca="1" si="33">D$58-D$59</f>
        <v>136.94900000000001</v>
      </c>
      <c r="E60" s="94">
        <f t="shared" ca="1" si="33"/>
        <v>110.31999999999998</v>
      </c>
      <c r="F60" s="94">
        <f t="shared" ca="1" si="33"/>
        <v>151.46899999999994</v>
      </c>
      <c r="G60" s="94">
        <f t="shared" ca="1" si="33"/>
        <v>167.03600000000003</v>
      </c>
      <c r="H60" s="94">
        <f t="shared" ca="1" si="33"/>
        <v>183.51399999999992</v>
      </c>
      <c r="I60" s="94">
        <f t="shared" ca="1" si="33"/>
        <v>181.81799999999998</v>
      </c>
      <c r="J60" s="94">
        <f t="shared" ca="1" si="33"/>
        <v>179.25999999999993</v>
      </c>
      <c r="K60" s="94">
        <f t="shared" ca="1" si="33"/>
        <v>177.20299999999995</v>
      </c>
      <c r="L60" s="95">
        <f t="shared" ca="1" si="33"/>
        <v>186.52100000000002</v>
      </c>
      <c r="M60" s="95">
        <f t="shared" ca="1" si="33"/>
        <v>190.07400000000001</v>
      </c>
      <c r="N60" s="95">
        <f t="shared" ca="1" si="33"/>
        <v>199.15799999999987</v>
      </c>
      <c r="O60" s="95">
        <f t="shared" ca="1" si="33"/>
        <v>212.79499999999996</v>
      </c>
      <c r="P60" s="95">
        <f t="shared" ca="1" si="33"/>
        <v>229.61799999999999</v>
      </c>
      <c r="Q60" s="96">
        <f t="shared" ca="1" si="33"/>
        <v>245.5358286302031</v>
      </c>
      <c r="R60" s="96">
        <f t="shared" ca="1" si="33"/>
        <v>260.53161093750191</v>
      </c>
      <c r="S60" s="96">
        <f t="shared" ca="1" si="33"/>
        <v>275.62811784503481</v>
      </c>
      <c r="T60" s="96">
        <f t="shared" ca="1" si="33"/>
        <v>291.28677830477983</v>
      </c>
      <c r="U60" s="96">
        <f t="shared" ca="1" si="33"/>
        <v>307.54726960228538</v>
      </c>
      <c r="V60" s="96">
        <f t="shared" ca="1" si="33"/>
        <v>324.19947360490551</v>
      </c>
      <c r="W60" s="96">
        <f t="shared" ca="1" si="33"/>
        <v>341.22364481223121</v>
      </c>
      <c r="X60" s="96">
        <f t="shared" ca="1" si="33"/>
        <v>358.59584469582387</v>
      </c>
      <c r="Y60" s="96">
        <f t="shared" ca="1" si="33"/>
        <v>376.41017754319614</v>
      </c>
      <c r="Z60" s="96">
        <f t="shared" ca="1" si="33"/>
        <v>394.62720723987206</v>
      </c>
    </row>
    <row r="61" spans="1:26" x14ac:dyDescent="0.25">
      <c r="A61" s="60" t="s">
        <v>1170</v>
      </c>
      <c r="B61" s="14" t="str">
        <f>$B$42</f>
        <v>Outturn &amp; Forecast only</v>
      </c>
      <c r="C61" s="15"/>
      <c r="D61" s="97" t="str">
        <f ca="1">IF(ROUND('Fiscal Forecasts'!D$143-D$58,3)=0,"OK","ERROR")</f>
        <v>OK</v>
      </c>
      <c r="E61" s="97" t="str">
        <f ca="1">IF(ROUND('Fiscal Forecasts'!E$143-E$58,3)=0,"OK","ERROR")</f>
        <v>OK</v>
      </c>
      <c r="F61" s="97" t="str">
        <f ca="1">IF(ROUND('Fiscal Forecasts'!F$143-F$58,3)=0,"OK","ERROR")</f>
        <v>OK</v>
      </c>
      <c r="G61" s="97" t="str">
        <f ca="1">IF(ROUND('Fiscal Forecasts'!G$143-G$58,3)=0,"OK","ERROR")</f>
        <v>OK</v>
      </c>
      <c r="H61" s="97" t="str">
        <f ca="1">IF(ROUND('Fiscal Forecasts'!H$143-H$58,3)=0,"OK","ERROR")</f>
        <v>OK</v>
      </c>
      <c r="I61" s="97" t="str">
        <f ca="1">IF(ROUND('Fiscal Forecasts'!I$143-I$58,3)=0,"OK","ERROR")</f>
        <v>OK</v>
      </c>
      <c r="J61" s="97" t="str">
        <f ca="1">IF(ROUND('Fiscal Forecasts'!J$143-J$58,3)=0,"OK","ERROR")</f>
        <v>OK</v>
      </c>
      <c r="K61" s="97" t="str">
        <f ca="1">IF(ROUND('Fiscal Forecasts'!K$143-K$58,3)=0,"OK","ERROR")</f>
        <v>OK</v>
      </c>
      <c r="L61" s="97" t="str">
        <f ca="1">IF(ROUND('Fiscal Forecasts'!L$143-L$58,3)=0,"OK","ERROR")</f>
        <v>OK</v>
      </c>
      <c r="M61" s="97" t="str">
        <f ca="1">IF(ROUND('Fiscal Forecasts'!M$143-M$58,3)=0,"OK","ERROR")</f>
        <v>OK</v>
      </c>
      <c r="N61" s="97" t="str">
        <f ca="1">IF(ROUND('Fiscal Forecasts'!N$143-N$58,3)=0,"OK","ERROR")</f>
        <v>OK</v>
      </c>
      <c r="O61" s="97" t="str">
        <f ca="1">IF(ROUND('Fiscal Forecasts'!O$143-O$58,3)=0,"OK","ERROR")</f>
        <v>OK</v>
      </c>
      <c r="P61" s="97" t="str">
        <f ca="1">IF(ROUND('Fiscal Forecasts'!P$143-P$58,3)=0,"OK","ERROR")</f>
        <v>OK</v>
      </c>
      <c r="Q61" s="17"/>
      <c r="R61" s="17"/>
      <c r="S61" s="17"/>
      <c r="T61" s="17"/>
      <c r="U61" s="17"/>
      <c r="V61" s="17"/>
      <c r="W61" s="17"/>
      <c r="X61" s="17"/>
      <c r="Y61" s="17"/>
      <c r="Z61" s="17"/>
    </row>
    <row r="62" spans="1:26" x14ac:dyDescent="0.25">
      <c r="A62" s="60" t="s">
        <v>1171</v>
      </c>
      <c r="B62" s="14" t="s">
        <v>1172</v>
      </c>
      <c r="C62" s="15"/>
      <c r="D62" s="89"/>
      <c r="E62" s="89"/>
      <c r="F62" s="89"/>
      <c r="G62" s="89"/>
      <c r="H62" s="89"/>
      <c r="I62" s="89"/>
      <c r="J62" s="89"/>
      <c r="K62" s="89"/>
      <c r="L62" s="66"/>
      <c r="M62" s="66"/>
      <c r="N62" s="66"/>
      <c r="O62" s="66"/>
      <c r="P62" s="66"/>
      <c r="Q62" s="97" t="str">
        <f t="shared" ref="Q62:Z62" ca="1" si="34">IF(ROUND(Q$39+Q$38-(Q$58-P$58),3)=0,"OK","ERROR")</f>
        <v>OK</v>
      </c>
      <c r="R62" s="97" t="str">
        <f t="shared" ca="1" si="34"/>
        <v>OK</v>
      </c>
      <c r="S62" s="97" t="str">
        <f t="shared" ca="1" si="34"/>
        <v>OK</v>
      </c>
      <c r="T62" s="97" t="str">
        <f t="shared" ca="1" si="34"/>
        <v>OK</v>
      </c>
      <c r="U62" s="97" t="str">
        <f t="shared" ca="1" si="34"/>
        <v>OK</v>
      </c>
      <c r="V62" s="97" t="str">
        <f t="shared" ca="1" si="34"/>
        <v>OK</v>
      </c>
      <c r="W62" s="97" t="str">
        <f t="shared" ca="1" si="34"/>
        <v>OK</v>
      </c>
      <c r="X62" s="97" t="str">
        <f t="shared" ca="1" si="34"/>
        <v>OK</v>
      </c>
      <c r="Y62" s="97" t="str">
        <f t="shared" ca="1" si="34"/>
        <v>OK</v>
      </c>
      <c r="Z62" s="97" t="str">
        <f t="shared" ca="1" si="34"/>
        <v>OK</v>
      </c>
    </row>
    <row r="63" spans="1:26" x14ac:dyDescent="0.25">
      <c r="A63" s="11" t="s">
        <v>989</v>
      </c>
      <c r="B63" s="11"/>
      <c r="C63" s="15"/>
      <c r="D63" s="51">
        <f t="shared" ref="D63:Z63" ca="1" si="35">SUM(D$346,D$353,D$359,D$368,D$388,D$394,D$409,D$413,D$417,D$423,D$427,D$432,D$435)</f>
        <v>201.42400000000004</v>
      </c>
      <c r="E63" s="51">
        <f t="shared" ca="1" si="35"/>
        <v>219.821</v>
      </c>
      <c r="F63" s="51">
        <f t="shared" ca="1" si="35"/>
        <v>239.35500000000002</v>
      </c>
      <c r="G63" s="51">
        <f t="shared" ca="1" si="35"/>
        <v>269.32</v>
      </c>
      <c r="H63" s="51">
        <f t="shared" ca="1" si="35"/>
        <v>294.69400000000002</v>
      </c>
      <c r="I63" s="51">
        <f t="shared" ca="1" si="35"/>
        <v>326.74099999999999</v>
      </c>
      <c r="J63" s="51">
        <f t="shared" ca="1" si="35"/>
        <v>348.37799999999999</v>
      </c>
      <c r="K63" s="51">
        <f t="shared" ca="1" si="35"/>
        <v>366.68399999999997</v>
      </c>
      <c r="L63" s="47">
        <f t="shared" ca="1" si="35"/>
        <v>381.43200000000002</v>
      </c>
      <c r="M63" s="47">
        <f t="shared" ca="1" si="35"/>
        <v>403.84899999999999</v>
      </c>
      <c r="N63" s="47">
        <f t="shared" ca="1" si="35"/>
        <v>423.62900000000002</v>
      </c>
      <c r="O63" s="47">
        <f t="shared" ca="1" si="35"/>
        <v>441.06700000000006</v>
      </c>
      <c r="P63" s="47">
        <f t="shared" ca="1" si="35"/>
        <v>454.86400000000009</v>
      </c>
      <c r="Q63" s="21">
        <f t="shared" ca="1" si="35"/>
        <v>474.14129850805335</v>
      </c>
      <c r="R63" s="21">
        <f t="shared" ca="1" si="35"/>
        <v>494.29177717220756</v>
      </c>
      <c r="S63" s="21">
        <f t="shared" ca="1" si="35"/>
        <v>515.58851957442664</v>
      </c>
      <c r="T63" s="21">
        <f t="shared" ca="1" si="35"/>
        <v>537.72303907120215</v>
      </c>
      <c r="U63" s="21">
        <f t="shared" ca="1" si="35"/>
        <v>560.75941909629762</v>
      </c>
      <c r="V63" s="21">
        <f t="shared" ca="1" si="35"/>
        <v>584.77084908974371</v>
      </c>
      <c r="W63" s="21">
        <f t="shared" ca="1" si="35"/>
        <v>609.85191221020489</v>
      </c>
      <c r="X63" s="21">
        <f t="shared" ca="1" si="35"/>
        <v>636.14342487481213</v>
      </c>
      <c r="Y63" s="21">
        <f t="shared" ca="1" si="35"/>
        <v>663.84081561195319</v>
      </c>
      <c r="Z63" s="21">
        <f t="shared" ca="1" si="35"/>
        <v>693.09633399093127</v>
      </c>
    </row>
    <row r="64" spans="1:26" x14ac:dyDescent="0.25">
      <c r="A64" s="11" t="s">
        <v>991</v>
      </c>
      <c r="B64" s="11"/>
      <c r="C64" s="15"/>
      <c r="D64" s="51">
        <f t="shared" ref="D64:Z64" si="36">SUM(D$71,D$439,D$445,D$449,D$453,D$457,D$463,D$470)</f>
        <v>132.88</v>
      </c>
      <c r="E64" s="51">
        <f t="shared" si="36"/>
        <v>172.70499999999998</v>
      </c>
      <c r="F64" s="51">
        <f t="shared" si="36"/>
        <v>178.81700000000001</v>
      </c>
      <c r="G64" s="51">
        <f t="shared" si="36"/>
        <v>224.036</v>
      </c>
      <c r="H64" s="51">
        <f t="shared" si="36"/>
        <v>235.35300000000001</v>
      </c>
      <c r="I64" s="51">
        <f t="shared" si="36"/>
        <v>261.70100000000002</v>
      </c>
      <c r="J64" s="51">
        <f t="shared" si="36"/>
        <v>285.43900000000002</v>
      </c>
      <c r="K64" s="51">
        <f t="shared" si="36"/>
        <v>302.02299999999997</v>
      </c>
      <c r="L64" s="47">
        <f t="shared" si="36"/>
        <v>315.57599999999996</v>
      </c>
      <c r="M64" s="47">
        <f t="shared" si="36"/>
        <v>332.22199999999998</v>
      </c>
      <c r="N64" s="47">
        <f t="shared" si="36"/>
        <v>341.49499999999995</v>
      </c>
      <c r="O64" s="47">
        <f t="shared" si="36"/>
        <v>344.36099999999999</v>
      </c>
      <c r="P64" s="47">
        <f t="shared" si="36"/>
        <v>339.95700000000005</v>
      </c>
      <c r="Q64" s="21">
        <f t="shared" ca="1" si="36"/>
        <v>342.58748514542384</v>
      </c>
      <c r="R64" s="21">
        <f t="shared" ca="1" si="36"/>
        <v>347.16244209137051</v>
      </c>
      <c r="S64" s="21">
        <f t="shared" ca="1" si="36"/>
        <v>352.99071312235412</v>
      </c>
      <c r="T64" s="21">
        <f t="shared" ca="1" si="36"/>
        <v>359.42829660467316</v>
      </c>
      <c r="U64" s="21">
        <f t="shared" ca="1" si="36"/>
        <v>366.49104308803493</v>
      </c>
      <c r="V64" s="21">
        <f t="shared" ca="1" si="36"/>
        <v>374.15658963222137</v>
      </c>
      <c r="W64" s="21">
        <f t="shared" ca="1" si="36"/>
        <v>382.50406801220129</v>
      </c>
      <c r="X64" s="21">
        <f t="shared" ca="1" si="36"/>
        <v>391.67786721102806</v>
      </c>
      <c r="Y64" s="21">
        <f t="shared" ca="1" si="36"/>
        <v>401.82427986229186</v>
      </c>
      <c r="Z64" s="21">
        <f t="shared" ca="1" si="36"/>
        <v>413.10819710793425</v>
      </c>
    </row>
    <row r="65" spans="1:26" x14ac:dyDescent="0.25">
      <c r="A65" s="11" t="s">
        <v>761</v>
      </c>
      <c r="B65" s="11"/>
      <c r="C65" s="15"/>
      <c r="D65" s="94">
        <f t="shared" ref="D65:Z65" ca="1" si="37">D$63-D$64</f>
        <v>68.54400000000004</v>
      </c>
      <c r="E65" s="94">
        <f t="shared" ca="1" si="37"/>
        <v>47.116000000000014</v>
      </c>
      <c r="F65" s="94">
        <f t="shared" ca="1" si="37"/>
        <v>60.538000000000011</v>
      </c>
      <c r="G65" s="94">
        <f t="shared" ca="1" si="37"/>
        <v>45.283999999999992</v>
      </c>
      <c r="H65" s="94">
        <f t="shared" ca="1" si="37"/>
        <v>59.341000000000008</v>
      </c>
      <c r="I65" s="94">
        <f t="shared" ca="1" si="37"/>
        <v>65.039999999999964</v>
      </c>
      <c r="J65" s="94">
        <f t="shared" ca="1" si="37"/>
        <v>62.938999999999965</v>
      </c>
      <c r="K65" s="94">
        <f t="shared" ca="1" si="37"/>
        <v>64.661000000000001</v>
      </c>
      <c r="L65" s="95">
        <f t="shared" ca="1" si="37"/>
        <v>65.856000000000051</v>
      </c>
      <c r="M65" s="95">
        <f t="shared" ca="1" si="37"/>
        <v>71.62700000000001</v>
      </c>
      <c r="N65" s="95">
        <f t="shared" ca="1" si="37"/>
        <v>82.134000000000071</v>
      </c>
      <c r="O65" s="95">
        <f t="shared" ca="1" si="37"/>
        <v>96.706000000000074</v>
      </c>
      <c r="P65" s="95">
        <f t="shared" ca="1" si="37"/>
        <v>114.90700000000004</v>
      </c>
      <c r="Q65" s="96">
        <f t="shared" ca="1" si="37"/>
        <v>131.55381336262951</v>
      </c>
      <c r="R65" s="96">
        <f t="shared" ca="1" si="37"/>
        <v>147.12933508083705</v>
      </c>
      <c r="S65" s="96">
        <f t="shared" ca="1" si="37"/>
        <v>162.59780645207252</v>
      </c>
      <c r="T65" s="96">
        <f t="shared" ca="1" si="37"/>
        <v>178.29474246652899</v>
      </c>
      <c r="U65" s="96">
        <f t="shared" ca="1" si="37"/>
        <v>194.26837600826269</v>
      </c>
      <c r="V65" s="96">
        <f t="shared" ca="1" si="37"/>
        <v>210.61425945752234</v>
      </c>
      <c r="W65" s="96">
        <f t="shared" ca="1" si="37"/>
        <v>227.3478441980036</v>
      </c>
      <c r="X65" s="96">
        <f t="shared" ca="1" si="37"/>
        <v>244.46555766378407</v>
      </c>
      <c r="Y65" s="96">
        <f t="shared" ca="1" si="37"/>
        <v>262.01653574966133</v>
      </c>
      <c r="Z65" s="96">
        <f t="shared" ca="1" si="37"/>
        <v>279.98813688299703</v>
      </c>
    </row>
    <row r="66" spans="1:26" x14ac:dyDescent="0.25">
      <c r="A66" s="60" t="s">
        <v>1173</v>
      </c>
      <c r="B66" s="14" t="str">
        <f>$B$42</f>
        <v>Outturn &amp; Forecast only</v>
      </c>
      <c r="C66" s="15"/>
      <c r="D66" s="97" t="str">
        <f ca="1">IF(ROUND('Fiscal Forecasts'!D$200-D$65,3)=0,"OK","ERROR")</f>
        <v>OK</v>
      </c>
      <c r="E66" s="97" t="str">
        <f ca="1">IF(ROUND('Fiscal Forecasts'!E$200-E$65,3)=0,"OK","ERROR")</f>
        <v>OK</v>
      </c>
      <c r="F66" s="97" t="str">
        <f ca="1">IF(ROUND('Fiscal Forecasts'!F$200-F$65,3)=0,"OK","ERROR")</f>
        <v>OK</v>
      </c>
      <c r="G66" s="97" t="str">
        <f ca="1">IF(ROUND('Fiscal Forecasts'!G$200-G$65,3)=0,"OK","ERROR")</f>
        <v>OK</v>
      </c>
      <c r="H66" s="97" t="str">
        <f ca="1">IF(ROUND('Fiscal Forecasts'!H$200-H$65,3)=0,"OK","ERROR")</f>
        <v>OK</v>
      </c>
      <c r="I66" s="97" t="str">
        <f ca="1">IF(ROUND('Fiscal Forecasts'!I$200-I$65,3)=0,"OK","ERROR")</f>
        <v>OK</v>
      </c>
      <c r="J66" s="97" t="str">
        <f ca="1">IF(ROUND('Fiscal Forecasts'!J$200-J$65,3)=0,"OK","ERROR")</f>
        <v>OK</v>
      </c>
      <c r="K66" s="97" t="str">
        <f ca="1">IF(ROUND('Fiscal Forecasts'!K$200-K$65,3)=0,"OK","ERROR")</f>
        <v>OK</v>
      </c>
      <c r="L66" s="97" t="str">
        <f ca="1">IF(ROUND('Fiscal Forecasts'!L$200-L$65,3)=0,"OK","ERROR")</f>
        <v>OK</v>
      </c>
      <c r="M66" s="97" t="str">
        <f ca="1">IF(ROUND('Fiscal Forecasts'!M$200-M$65,3)=0,"OK","ERROR")</f>
        <v>OK</v>
      </c>
      <c r="N66" s="97" t="str">
        <f ca="1">IF(ROUND('Fiscal Forecasts'!N$200-N$65,3)=0,"OK","ERROR")</f>
        <v>OK</v>
      </c>
      <c r="O66" s="97" t="str">
        <f ca="1">IF(ROUND('Fiscal Forecasts'!O$200-O$65,3)=0,"OK","ERROR")</f>
        <v>OK</v>
      </c>
      <c r="P66" s="97" t="str">
        <f ca="1">IF(ROUND('Fiscal Forecasts'!P$200-P$65,3)=0,"OK","ERROR")</f>
        <v>OK</v>
      </c>
      <c r="Q66" s="17"/>
      <c r="R66" s="17"/>
      <c r="S66" s="17"/>
      <c r="T66" s="17"/>
      <c r="U66" s="17"/>
      <c r="V66" s="17"/>
      <c r="W66" s="17"/>
      <c r="X66" s="17"/>
      <c r="Y66" s="17"/>
      <c r="Z66" s="17"/>
    </row>
    <row r="67" spans="1:26" x14ac:dyDescent="0.25">
      <c r="A67" s="60" t="s">
        <v>1174</v>
      </c>
      <c r="B67" s="14" t="str">
        <f>$B$62</f>
        <v>Projected Years only</v>
      </c>
      <c r="C67" s="15"/>
      <c r="D67" s="89"/>
      <c r="E67" s="89"/>
      <c r="F67" s="89"/>
      <c r="G67" s="89"/>
      <c r="H67" s="89"/>
      <c r="I67" s="89"/>
      <c r="J67" s="89"/>
      <c r="K67" s="89"/>
      <c r="L67" s="66"/>
      <c r="M67" s="66"/>
      <c r="N67" s="66"/>
      <c r="O67" s="66"/>
      <c r="P67" s="66"/>
      <c r="Q67" s="97" t="str">
        <f t="shared" ref="Q67:Z67" ca="1" si="38">IF(ROUND(Q$49-(Q$65-P$65),3)=0,"OK","ERROR")</f>
        <v>OK</v>
      </c>
      <c r="R67" s="97" t="str">
        <f t="shared" ca="1" si="38"/>
        <v>OK</v>
      </c>
      <c r="S67" s="97" t="str">
        <f t="shared" ca="1" si="38"/>
        <v>OK</v>
      </c>
      <c r="T67" s="97" t="str">
        <f t="shared" ca="1" si="38"/>
        <v>OK</v>
      </c>
      <c r="U67" s="97" t="str">
        <f t="shared" ca="1" si="38"/>
        <v>OK</v>
      </c>
      <c r="V67" s="97" t="str">
        <f t="shared" ca="1" si="38"/>
        <v>OK</v>
      </c>
      <c r="W67" s="97" t="str">
        <f t="shared" ca="1" si="38"/>
        <v>OK</v>
      </c>
      <c r="X67" s="97" t="str">
        <f t="shared" ca="1" si="38"/>
        <v>OK</v>
      </c>
      <c r="Y67" s="97" t="str">
        <f t="shared" ca="1" si="38"/>
        <v>OK</v>
      </c>
      <c r="Z67" s="97" t="str">
        <f t="shared" ca="1" si="38"/>
        <v>OK</v>
      </c>
    </row>
    <row r="68" spans="1:26" x14ac:dyDescent="0.25">
      <c r="A68" s="11"/>
      <c r="B68" s="11"/>
      <c r="C68" s="15"/>
      <c r="D68" s="89"/>
      <c r="E68" s="89"/>
      <c r="F68" s="89"/>
      <c r="G68" s="89"/>
      <c r="H68" s="89"/>
      <c r="I68" s="89"/>
      <c r="J68" s="89"/>
      <c r="K68" s="89"/>
      <c r="L68" s="66"/>
      <c r="M68" s="66"/>
      <c r="N68" s="66"/>
      <c r="O68" s="66"/>
      <c r="P68" s="66"/>
      <c r="Q68" s="17"/>
      <c r="R68" s="17"/>
      <c r="S68" s="17"/>
      <c r="T68" s="17"/>
      <c r="U68" s="17"/>
      <c r="V68" s="17"/>
      <c r="W68" s="17"/>
      <c r="X68" s="17"/>
      <c r="Y68" s="17"/>
      <c r="Z68" s="17"/>
    </row>
    <row r="69" spans="1:26" x14ac:dyDescent="0.25">
      <c r="A69" s="57" t="s">
        <v>1175</v>
      </c>
      <c r="B69" s="11"/>
      <c r="C69" s="15"/>
      <c r="D69" s="89"/>
      <c r="E69" s="89"/>
      <c r="F69" s="89"/>
      <c r="G69" s="89"/>
      <c r="H69" s="89"/>
      <c r="I69" s="89"/>
      <c r="J69" s="89"/>
      <c r="K69" s="89"/>
      <c r="L69" s="89"/>
      <c r="M69" s="89"/>
      <c r="N69" s="89"/>
      <c r="O69" s="89"/>
      <c r="P69" s="89"/>
      <c r="Q69" s="15"/>
      <c r="R69" s="15"/>
      <c r="S69" s="15"/>
      <c r="T69" s="15"/>
      <c r="U69" s="15"/>
      <c r="V69" s="15"/>
      <c r="W69" s="15"/>
      <c r="X69" s="15"/>
      <c r="Y69" s="15"/>
      <c r="Z69" s="15"/>
    </row>
    <row r="70" spans="1:26" x14ac:dyDescent="0.25">
      <c r="A70" s="11" t="s">
        <v>1176</v>
      </c>
      <c r="B70" s="14" t="str">
        <f t="shared" ref="B70:B77" si="39">$B$38</f>
        <v>From Fiscal Forecasts</v>
      </c>
      <c r="C70" s="15"/>
      <c r="D70" s="51">
        <f>'Fiscal Forecasts'!D$137</f>
        <v>110.248</v>
      </c>
      <c r="E70" s="51">
        <f>'Fiscal Forecasts'!E$137</f>
        <v>152.71700000000001</v>
      </c>
      <c r="F70" s="51">
        <f>'Fiscal Forecasts'!F$137</f>
        <v>162.56</v>
      </c>
      <c r="G70" s="51">
        <f>'Fiscal Forecasts'!G$137</f>
        <v>203.965</v>
      </c>
      <c r="H70" s="51">
        <f>'Fiscal Forecasts'!H$137</f>
        <v>226.755</v>
      </c>
      <c r="I70" s="51">
        <f>'Fiscal Forecasts'!I$137</f>
        <v>250.94300000000001</v>
      </c>
      <c r="J70" s="51">
        <f>'Fiscal Forecasts'!J$137</f>
        <v>272.08499999999998</v>
      </c>
      <c r="K70" s="51">
        <f>'Fiscal Forecasts'!K$137</f>
        <v>293.99900000000002</v>
      </c>
      <c r="L70" s="47">
        <f>'Fiscal Forecasts'!L$137</f>
        <v>314.43099999999998</v>
      </c>
      <c r="M70" s="47">
        <f>'Fiscal Forecasts'!M$137</f>
        <v>335.178</v>
      </c>
      <c r="N70" s="47">
        <f>'Fiscal Forecasts'!N$137</f>
        <v>350.851</v>
      </c>
      <c r="O70" s="47">
        <f>'Fiscal Forecasts'!O$137</f>
        <v>360.36200000000002</v>
      </c>
      <c r="P70" s="47">
        <f>'Fiscal Forecasts'!P$137</f>
        <v>363.75400000000002</v>
      </c>
      <c r="Q70" s="21">
        <f t="shared" ref="Q70:Z70" ca="1" si="40">SUM(P$70,Q$108)</f>
        <v>370.03690466591434</v>
      </c>
      <c r="R70" s="21">
        <f t="shared" ca="1" si="40"/>
        <v>378.79658362811165</v>
      </c>
      <c r="S70" s="21">
        <f t="shared" ca="1" si="40"/>
        <v>388.76948843460775</v>
      </c>
      <c r="T70" s="21">
        <f t="shared" ca="1" si="40"/>
        <v>399.11030195455163</v>
      </c>
      <c r="U70" s="21">
        <f t="shared" ca="1" si="40"/>
        <v>409.92395585323834</v>
      </c>
      <c r="V70" s="21">
        <f t="shared" ca="1" si="40"/>
        <v>421.35995850103529</v>
      </c>
      <c r="W70" s="21">
        <f t="shared" ca="1" si="40"/>
        <v>433.48461580603589</v>
      </c>
      <c r="X70" s="21">
        <f t="shared" ca="1" si="40"/>
        <v>446.49125756607179</v>
      </c>
      <c r="Y70" s="21">
        <f t="shared" ca="1" si="40"/>
        <v>460.46938028786707</v>
      </c>
      <c r="Z70" s="21">
        <f t="shared" ca="1" si="40"/>
        <v>475.65673580132608</v>
      </c>
    </row>
    <row r="71" spans="1:26" x14ac:dyDescent="0.25">
      <c r="A71" s="12" t="s">
        <v>967</v>
      </c>
      <c r="B71" s="14" t="str">
        <f t="shared" si="39"/>
        <v>From Fiscal Forecasts</v>
      </c>
      <c r="C71" s="15"/>
      <c r="D71" s="51">
        <f>'Fiscal Forecasts'!D$147</f>
        <v>91.51</v>
      </c>
      <c r="E71" s="51">
        <f>'Fiscal Forecasts'!E$147</f>
        <v>126.34099999999999</v>
      </c>
      <c r="F71" s="51">
        <f>'Fiscal Forecasts'!F$147</f>
        <v>132.54300000000001</v>
      </c>
      <c r="G71" s="51">
        <f>'Fiscal Forecasts'!G$147</f>
        <v>168.98599999999999</v>
      </c>
      <c r="H71" s="51">
        <f>'Fiscal Forecasts'!H$147</f>
        <v>191.029</v>
      </c>
      <c r="I71" s="51">
        <f>'Fiscal Forecasts'!I$147</f>
        <v>216.34899999999999</v>
      </c>
      <c r="J71" s="51">
        <f>'Fiscal Forecasts'!J$147</f>
        <v>238.96700000000001</v>
      </c>
      <c r="K71" s="51">
        <f>'Fiscal Forecasts'!K$147</f>
        <v>256.83699999999999</v>
      </c>
      <c r="L71" s="47">
        <f>'Fiscal Forecasts'!L$147</f>
        <v>272.78500000000003</v>
      </c>
      <c r="M71" s="47">
        <f>'Fiscal Forecasts'!M$147</f>
        <v>288.827</v>
      </c>
      <c r="N71" s="47">
        <f>'Fiscal Forecasts'!N$147</f>
        <v>299.25400000000002</v>
      </c>
      <c r="O71" s="47">
        <f>'Fiscal Forecasts'!O$147</f>
        <v>302.637</v>
      </c>
      <c r="P71" s="47">
        <f>'Fiscal Forecasts'!P$147</f>
        <v>298.476</v>
      </c>
      <c r="Q71" s="21">
        <f t="shared" ref="Q71:Z71" ca="1" si="41">SUM(P$71,Q$503)</f>
        <v>299.68642640078519</v>
      </c>
      <c r="R71" s="21">
        <f t="shared" ca="1" si="41"/>
        <v>303.41370467513104</v>
      </c>
      <c r="S71" s="21">
        <f t="shared" ca="1" si="41"/>
        <v>308.33072265100662</v>
      </c>
      <c r="T71" s="21">
        <f t="shared" ca="1" si="41"/>
        <v>313.79064430509897</v>
      </c>
      <c r="U71" s="21">
        <f t="shared" ca="1" si="41"/>
        <v>319.83396551899426</v>
      </c>
      <c r="V71" s="21">
        <f t="shared" ca="1" si="41"/>
        <v>326.44560583693107</v>
      </c>
      <c r="W71" s="21">
        <f t="shared" ca="1" si="41"/>
        <v>333.70439036030587</v>
      </c>
      <c r="X71" s="21">
        <f t="shared" ca="1" si="41"/>
        <v>341.75132175116664</v>
      </c>
      <c r="Y71" s="21">
        <f t="shared" ca="1" si="41"/>
        <v>350.72636896787947</v>
      </c>
      <c r="Z71" s="21">
        <f t="shared" ca="1" si="41"/>
        <v>360.7922346199698</v>
      </c>
    </row>
    <row r="72" spans="1:26" x14ac:dyDescent="0.25">
      <c r="A72" s="12" t="s">
        <v>968</v>
      </c>
      <c r="B72" s="14" t="str">
        <f t="shared" si="39"/>
        <v>From Fiscal Forecasts</v>
      </c>
      <c r="C72" s="15"/>
      <c r="D72" s="50">
        <f>'Fiscal Forecasts'!D$148</f>
        <v>0.251</v>
      </c>
      <c r="E72" s="50">
        <f>'Fiscal Forecasts'!E$148</f>
        <v>5.5E-2</v>
      </c>
      <c r="F72" s="50">
        <f>'Fiscal Forecasts'!F$148</f>
        <v>2.1000000000000001E-2</v>
      </c>
      <c r="G72" s="50">
        <f>'Fiscal Forecasts'!G$148</f>
        <v>0.20799999999999999</v>
      </c>
      <c r="H72" s="50">
        <f>'Fiscal Forecasts'!H$148</f>
        <v>0.96199999999999997</v>
      </c>
      <c r="I72" s="50">
        <f>'Fiscal Forecasts'!I$148</f>
        <v>0.84699999999999998</v>
      </c>
      <c r="J72" s="50">
        <f>'Fiscal Forecasts'!J$148</f>
        <v>0.46700000000000003</v>
      </c>
      <c r="K72" s="50">
        <f>'Fiscal Forecasts'!K$148</f>
        <v>0.50700000000000001</v>
      </c>
      <c r="L72" s="48">
        <f>'Fiscal Forecasts'!L$148</f>
        <v>0.42099999999999999</v>
      </c>
      <c r="M72" s="48">
        <f>'Fiscal Forecasts'!M$148</f>
        <v>1.792</v>
      </c>
      <c r="N72" s="48">
        <f>'Fiscal Forecasts'!N$148</f>
        <v>1.0980000000000001</v>
      </c>
      <c r="O72" s="48">
        <f>'Fiscal Forecasts'!O$148</f>
        <v>0.76200000000000001</v>
      </c>
      <c r="P72" s="48">
        <f>'Fiscal Forecasts'!P$148</f>
        <v>0.60799999999999998</v>
      </c>
      <c r="Q72" s="20">
        <f t="shared" ref="Q72:Z72" ca="1" si="42">P$72*(1+Q$29)</f>
        <v>0.62016000000000004</v>
      </c>
      <c r="R72" s="20">
        <f t="shared" ca="1" si="42"/>
        <v>0.6325632000000001</v>
      </c>
      <c r="S72" s="20">
        <f t="shared" ca="1" si="42"/>
        <v>0.64521446400000015</v>
      </c>
      <c r="T72" s="20">
        <f t="shared" ca="1" si="42"/>
        <v>0.65811875328000013</v>
      </c>
      <c r="U72" s="20">
        <f t="shared" ca="1" si="42"/>
        <v>0.67128112834560016</v>
      </c>
      <c r="V72" s="20">
        <f t="shared" ca="1" si="42"/>
        <v>0.68470675091251221</v>
      </c>
      <c r="W72" s="20">
        <f t="shared" ca="1" si="42"/>
        <v>0.69840088593076244</v>
      </c>
      <c r="X72" s="20">
        <f t="shared" ca="1" si="42"/>
        <v>0.71236890364937766</v>
      </c>
      <c r="Y72" s="20">
        <f t="shared" ca="1" si="42"/>
        <v>0.72661628172236525</v>
      </c>
      <c r="Z72" s="20">
        <f t="shared" ca="1" si="42"/>
        <v>0.74114860735681254</v>
      </c>
    </row>
    <row r="73" spans="1:26" x14ac:dyDescent="0.25">
      <c r="A73" s="12" t="s">
        <v>1177</v>
      </c>
      <c r="B73" s="14" t="str">
        <f t="shared" si="39"/>
        <v>From Fiscal Forecasts</v>
      </c>
      <c r="C73" s="15"/>
      <c r="D73" s="50">
        <f>'Fiscal Forecasts'!D$149</f>
        <v>0.90300000000000002</v>
      </c>
      <c r="E73" s="50">
        <f>'Fiscal Forecasts'!E$149</f>
        <v>2.6749999999999998</v>
      </c>
      <c r="F73" s="50">
        <f>'Fiscal Forecasts'!F$149</f>
        <v>2.2170000000000001</v>
      </c>
      <c r="G73" s="50">
        <f>'Fiscal Forecasts'!G$149</f>
        <v>9.99</v>
      </c>
      <c r="H73" s="50">
        <f>'Fiscal Forecasts'!H$149</f>
        <v>3.093</v>
      </c>
      <c r="I73" s="50">
        <f>'Fiscal Forecasts'!I$149</f>
        <v>2.754</v>
      </c>
      <c r="J73" s="50">
        <f>'Fiscal Forecasts'!J$149</f>
        <v>2.7149999999999999</v>
      </c>
      <c r="K73" s="50">
        <f>'Fiscal Forecasts'!K$149</f>
        <v>4.415</v>
      </c>
      <c r="L73" s="48">
        <f>'Fiscal Forecasts'!L$149</f>
        <v>4.3499999999999996</v>
      </c>
      <c r="M73" s="48">
        <f>'Fiscal Forecasts'!M$149</f>
        <v>5.7210000000000001</v>
      </c>
      <c r="N73" s="48">
        <f>'Fiscal Forecasts'!N$149</f>
        <v>5.0469999999999997</v>
      </c>
      <c r="O73" s="48">
        <f>'Fiscal Forecasts'!O$149</f>
        <v>4.7359999999999998</v>
      </c>
      <c r="P73" s="48">
        <f>'Fiscal Forecasts'!P$149</f>
        <v>4.5789999999999997</v>
      </c>
      <c r="Q73" s="20">
        <f ca="1">OFFSET(Assumptions!$B$54,0,$C$1)*Q$385</f>
        <v>4.7568455514746164</v>
      </c>
      <c r="R73" s="20">
        <f ca="1">OFFSET(Assumptions!$B$54,0,$C$1)*R$385</f>
        <v>5.0458367829519233</v>
      </c>
      <c r="S73" s="20">
        <f ca="1">OFFSET(Assumptions!$B$54,0,$C$1)*S$385</f>
        <v>5.3465925868654764</v>
      </c>
      <c r="T73" s="20">
        <f ca="1">OFFSET(Assumptions!$B$54,0,$C$1)*T$385</f>
        <v>5.6601489194473302</v>
      </c>
      <c r="U73" s="20">
        <f ca="1">OFFSET(Assumptions!$B$54,0,$C$1)*U$385</f>
        <v>5.9852929840667644</v>
      </c>
      <c r="V73" s="20">
        <f ca="1">OFFSET(Assumptions!$B$54,0,$C$1)*V$385</f>
        <v>6.3240860466159106</v>
      </c>
      <c r="W73" s="20">
        <f ca="1">OFFSET(Assumptions!$B$54,0,$C$1)*W$385</f>
        <v>6.6798401572095205</v>
      </c>
      <c r="X73" s="20">
        <f ca="1">OFFSET(Assumptions!$B$54,0,$C$1)*X$385</f>
        <v>7.056074575576182</v>
      </c>
      <c r="Y73" s="20">
        <f ca="1">OFFSET(Assumptions!$B$54,0,$C$1)*Y$385</f>
        <v>7.4575069938944782</v>
      </c>
      <c r="Z73" s="20">
        <f ca="1">OFFSET(Assumptions!$B$54,0,$C$1)*Z$385</f>
        <v>7.8884002076615136</v>
      </c>
    </row>
    <row r="74" spans="1:26" x14ac:dyDescent="0.25">
      <c r="A74" s="12" t="s">
        <v>1178</v>
      </c>
      <c r="B74" s="14" t="str">
        <f t="shared" si="39"/>
        <v>From Fiscal Forecasts</v>
      </c>
      <c r="C74" s="15"/>
      <c r="D74" s="50">
        <f>'Fiscal Forecasts'!D$150</f>
        <v>92.590999999999994</v>
      </c>
      <c r="E74" s="50">
        <f>'Fiscal Forecasts'!E$150</f>
        <v>101.77800000000001</v>
      </c>
      <c r="F74" s="50">
        <f>'Fiscal Forecasts'!F$150</f>
        <v>108.423</v>
      </c>
      <c r="G74" s="50">
        <f>'Fiscal Forecasts'!G$150</f>
        <v>121.13800000000001</v>
      </c>
      <c r="H74" s="50">
        <f>'Fiscal Forecasts'!H$150</f>
        <v>135.595</v>
      </c>
      <c r="I74" s="50">
        <f>'Fiscal Forecasts'!I$150</f>
        <v>154.9</v>
      </c>
      <c r="J74" s="50">
        <f>'Fiscal Forecasts'!J$150</f>
        <v>173.536</v>
      </c>
      <c r="K74" s="50">
        <f>'Fiscal Forecasts'!K$150</f>
        <v>187.077</v>
      </c>
      <c r="L74" s="48">
        <f>'Fiscal Forecasts'!L$150</f>
        <v>192.446</v>
      </c>
      <c r="M74" s="48">
        <f>'Fiscal Forecasts'!M$150</f>
        <v>204.63399999999999</v>
      </c>
      <c r="N74" s="48">
        <f>'Fiscal Forecasts'!N$150</f>
        <v>215.44399999999999</v>
      </c>
      <c r="O74" s="48">
        <f>'Fiscal Forecasts'!O$150</f>
        <v>225.17400000000001</v>
      </c>
      <c r="P74" s="48">
        <f>'Fiscal Forecasts'!P$150</f>
        <v>231.40600000000001</v>
      </c>
      <c r="Q74" s="20">
        <f t="shared" ref="Q74:Z74" ca="1" si="43">SUM(Q$346,Q$359,Q$368,Q$388,Q$394)</f>
        <v>242.74716228350877</v>
      </c>
      <c r="R74" s="20">
        <f t="shared" ca="1" si="43"/>
        <v>254.59340411443225</v>
      </c>
      <c r="S74" s="20">
        <f t="shared" ca="1" si="43"/>
        <v>266.86661622051332</v>
      </c>
      <c r="T74" s="20">
        <f t="shared" ca="1" si="43"/>
        <v>279.58555031778002</v>
      </c>
      <c r="U74" s="20">
        <f t="shared" ca="1" si="43"/>
        <v>292.75058109283373</v>
      </c>
      <c r="V74" s="20">
        <f t="shared" ca="1" si="43"/>
        <v>306.42947780044068</v>
      </c>
      <c r="W74" s="20">
        <f t="shared" ca="1" si="43"/>
        <v>320.70143799011407</v>
      </c>
      <c r="X74" s="20">
        <f t="shared" ca="1" si="43"/>
        <v>335.68138407285397</v>
      </c>
      <c r="Y74" s="20">
        <f t="shared" ca="1" si="43"/>
        <v>351.53260955133226</v>
      </c>
      <c r="Z74" s="20">
        <f t="shared" ca="1" si="43"/>
        <v>368.38126568000575</v>
      </c>
    </row>
    <row r="75" spans="1:26" x14ac:dyDescent="0.25">
      <c r="A75" s="12" t="s">
        <v>1179</v>
      </c>
      <c r="B75" s="14" t="str">
        <f t="shared" si="39"/>
        <v>From Fiscal Forecasts</v>
      </c>
      <c r="C75" s="15"/>
      <c r="D75" s="50">
        <f>'Fiscal Forecasts'!D$151</f>
        <v>0.66900000000000004</v>
      </c>
      <c r="E75" s="50">
        <f>'Fiscal Forecasts'!E$151</f>
        <v>1.9E-2</v>
      </c>
      <c r="F75" s="50">
        <f>'Fiscal Forecasts'!F$151</f>
        <v>5.6000000000000001E-2</v>
      </c>
      <c r="G75" s="50">
        <f>'Fiscal Forecasts'!G$151</f>
        <v>0.55100000000000005</v>
      </c>
      <c r="H75" s="50">
        <f>'Fiscal Forecasts'!H$151</f>
        <v>2.5649999999999999</v>
      </c>
      <c r="I75" s="50">
        <f>'Fiscal Forecasts'!I$151</f>
        <v>3.278</v>
      </c>
      <c r="J75" s="50">
        <f>'Fiscal Forecasts'!J$151</f>
        <v>2.2450000000000001</v>
      </c>
      <c r="K75" s="50">
        <f>'Fiscal Forecasts'!K$151</f>
        <v>5.1029999999999998</v>
      </c>
      <c r="L75" s="48">
        <f>'Fiscal Forecasts'!L$151</f>
        <v>2.6880000000000002</v>
      </c>
      <c r="M75" s="48">
        <f>'Fiscal Forecasts'!M$151</f>
        <v>2.7130000000000001</v>
      </c>
      <c r="N75" s="48">
        <f>'Fiscal Forecasts'!N$151</f>
        <v>2.738</v>
      </c>
      <c r="O75" s="48">
        <f>'Fiscal Forecasts'!O$151</f>
        <v>2.7669999999999999</v>
      </c>
      <c r="P75" s="48">
        <f>'Fiscal Forecasts'!P$151</f>
        <v>2.7970000000000002</v>
      </c>
      <c r="Q75" s="20">
        <f t="shared" ref="Q75:Z75" ca="1" si="44">P$75*(1+Q$29)</f>
        <v>2.8529400000000003</v>
      </c>
      <c r="R75" s="20">
        <f t="shared" ca="1" si="44"/>
        <v>2.9099988000000003</v>
      </c>
      <c r="S75" s="20">
        <f t="shared" ca="1" si="44"/>
        <v>2.9681987760000004</v>
      </c>
      <c r="T75" s="20">
        <f t="shared" ca="1" si="44"/>
        <v>3.0275627515200005</v>
      </c>
      <c r="U75" s="20">
        <f t="shared" ca="1" si="44"/>
        <v>3.0881140065504007</v>
      </c>
      <c r="V75" s="20">
        <f t="shared" ca="1" si="44"/>
        <v>3.1498762866814087</v>
      </c>
      <c r="W75" s="20">
        <f t="shared" ca="1" si="44"/>
        <v>3.2128738124150371</v>
      </c>
      <c r="X75" s="20">
        <f t="shared" ca="1" si="44"/>
        <v>3.2771312886633379</v>
      </c>
      <c r="Y75" s="20">
        <f t="shared" ca="1" si="44"/>
        <v>3.3426739144366047</v>
      </c>
      <c r="Z75" s="20">
        <f t="shared" ca="1" si="44"/>
        <v>3.4095273927253369</v>
      </c>
    </row>
    <row r="76" spans="1:26" x14ac:dyDescent="0.25">
      <c r="A76" s="12" t="s">
        <v>972</v>
      </c>
      <c r="B76" s="14" t="str">
        <f t="shared" si="39"/>
        <v>From Fiscal Forecasts</v>
      </c>
      <c r="C76" s="15"/>
      <c r="D76" s="50">
        <f>'Fiscal Forecasts'!D$152</f>
        <v>46.292999999999999</v>
      </c>
      <c r="E76" s="50">
        <f>'Fiscal Forecasts'!E$152</f>
        <v>46.895000000000003</v>
      </c>
      <c r="F76" s="50">
        <f>'Fiscal Forecasts'!F$152</f>
        <v>61.483999999999995</v>
      </c>
      <c r="G76" s="50">
        <f>'Fiscal Forecasts'!G$152</f>
        <v>65.254999999999995</v>
      </c>
      <c r="H76" s="50">
        <f>'Fiscal Forecasts'!H$152</f>
        <v>67.994000000000014</v>
      </c>
      <c r="I76" s="50">
        <f>'Fiscal Forecasts'!I$152</f>
        <v>78.811999999999998</v>
      </c>
      <c r="J76" s="50">
        <f>'Fiscal Forecasts'!J$152</f>
        <v>86.921999999999997</v>
      </c>
      <c r="K76" s="50">
        <f>'Fiscal Forecasts'!K$152</f>
        <v>98.022999999999996</v>
      </c>
      <c r="L76" s="48">
        <f>'Fiscal Forecasts'!L$152</f>
        <v>105.09699999999999</v>
      </c>
      <c r="M76" s="48">
        <f>'Fiscal Forecasts'!M$152</f>
        <v>112.59399999999999</v>
      </c>
      <c r="N76" s="48">
        <f>'Fiscal Forecasts'!N$152</f>
        <v>118.619</v>
      </c>
      <c r="O76" s="48">
        <f>'Fiscal Forecasts'!O$152</f>
        <v>125.54</v>
      </c>
      <c r="P76" s="48">
        <f>'Fiscal Forecasts'!P$152</f>
        <v>133.102</v>
      </c>
      <c r="Q76" s="20">
        <f t="shared" ref="Q76:Z76" ca="1" si="45">SUM(Q$344,Q$357,Q$366,Q$388,Q$391,Q$75-Q$72)</f>
        <v>141.17895341413401</v>
      </c>
      <c r="R76" s="20">
        <f t="shared" ca="1" si="45"/>
        <v>149.69868256050586</v>
      </c>
      <c r="S76" s="20">
        <f t="shared" ca="1" si="45"/>
        <v>158.56431742057208</v>
      </c>
      <c r="T76" s="20">
        <f t="shared" ca="1" si="45"/>
        <v>167.80625672734377</v>
      </c>
      <c r="U76" s="20">
        <f t="shared" ca="1" si="45"/>
        <v>177.38895173659665</v>
      </c>
      <c r="V76" s="20">
        <f t="shared" ca="1" si="45"/>
        <v>187.37287054807871</v>
      </c>
      <c r="W76" s="20">
        <f t="shared" ca="1" si="45"/>
        <v>197.85516263638252</v>
      </c>
      <c r="X76" s="20">
        <f t="shared" ca="1" si="45"/>
        <v>208.93905456801838</v>
      </c>
      <c r="Y76" s="20">
        <f t="shared" ca="1" si="45"/>
        <v>220.76291901013278</v>
      </c>
      <c r="Z76" s="20">
        <f t="shared" ca="1" si="45"/>
        <v>233.4517885405358</v>
      </c>
    </row>
    <row r="77" spans="1:26" x14ac:dyDescent="0.25">
      <c r="A77" s="12" t="s">
        <v>973</v>
      </c>
      <c r="B77" s="14" t="str">
        <f t="shared" si="39"/>
        <v>From Fiscal Forecasts</v>
      </c>
      <c r="C77" s="15"/>
      <c r="D77" s="50">
        <f>'Fiscal Forecasts'!D$153</f>
        <v>13.845000000000001</v>
      </c>
      <c r="E77" s="50">
        <f>'Fiscal Forecasts'!E$153</f>
        <v>14.555999999999999</v>
      </c>
      <c r="F77" s="50">
        <f>'Fiscal Forecasts'!F$153</f>
        <v>18.728000000000002</v>
      </c>
      <c r="G77" s="50">
        <f>'Fiscal Forecasts'!G$153</f>
        <v>26.103000000000002</v>
      </c>
      <c r="H77" s="50">
        <f>'Fiscal Forecasts'!H$153</f>
        <v>36.540999999999997</v>
      </c>
      <c r="I77" s="50">
        <f>'Fiscal Forecasts'!I$153</f>
        <v>40.387999999999998</v>
      </c>
      <c r="J77" s="50">
        <f>'Fiscal Forecasts'!J$153</f>
        <v>34.311</v>
      </c>
      <c r="K77" s="50">
        <f>'Fiscal Forecasts'!K$153</f>
        <v>27.931000000000001</v>
      </c>
      <c r="L77" s="48">
        <f>'Fiscal Forecasts'!L$153</f>
        <v>30.812000000000001</v>
      </c>
      <c r="M77" s="48">
        <f>'Fiscal Forecasts'!M$153</f>
        <v>32.81</v>
      </c>
      <c r="N77" s="48">
        <f>'Fiscal Forecasts'!N$153</f>
        <v>34.792000000000002</v>
      </c>
      <c r="O77" s="48">
        <f>'Fiscal Forecasts'!O$153</f>
        <v>36.500999999999998</v>
      </c>
      <c r="P77" s="48">
        <f>'Fiscal Forecasts'!P$153</f>
        <v>36.365000000000002</v>
      </c>
      <c r="Q77" s="20">
        <f t="shared" ref="Q77:Z77" ca="1" si="46">SUM(Q$392:Q$393)</f>
        <v>36.881439999999998</v>
      </c>
      <c r="R77" s="20">
        <f t="shared" ca="1" si="46"/>
        <v>37.404168800000001</v>
      </c>
      <c r="S77" s="20">
        <f t="shared" ca="1" si="46"/>
        <v>37.933392176000005</v>
      </c>
      <c r="T77" s="20">
        <f t="shared" ca="1" si="46"/>
        <v>38.464320019520002</v>
      </c>
      <c r="U77" s="20">
        <f t="shared" ca="1" si="46"/>
        <v>38.997166419910407</v>
      </c>
      <c r="V77" s="20">
        <f t="shared" ca="1" si="46"/>
        <v>39.538149748308612</v>
      </c>
      <c r="W77" s="20">
        <f t="shared" ca="1" si="46"/>
        <v>40.085492743274791</v>
      </c>
      <c r="X77" s="20">
        <f t="shared" ca="1" si="46"/>
        <v>40.645422598140286</v>
      </c>
      <c r="Y77" s="20">
        <f t="shared" ca="1" si="46"/>
        <v>41.225171050103093</v>
      </c>
      <c r="Z77" s="20">
        <f t="shared" ca="1" si="46"/>
        <v>41.824974471105158</v>
      </c>
    </row>
    <row r="78" spans="1:26" x14ac:dyDescent="0.25">
      <c r="A78" s="11" t="s">
        <v>1180</v>
      </c>
      <c r="B78" s="11"/>
      <c r="C78" s="15"/>
      <c r="D78" s="94">
        <f t="shared" ref="D78:Z78" si="47">SUM(D$71,D$72,D$76,D$77)-SUM(D$73,D$74,D$75)</f>
        <v>57.736000000000004</v>
      </c>
      <c r="E78" s="94">
        <f t="shared" si="47"/>
        <v>83.375</v>
      </c>
      <c r="F78" s="94">
        <f t="shared" si="47"/>
        <v>102.08000000000001</v>
      </c>
      <c r="G78" s="94">
        <f t="shared" si="47"/>
        <v>128.87299999999996</v>
      </c>
      <c r="H78" s="94">
        <f t="shared" si="47"/>
        <v>155.27300000000002</v>
      </c>
      <c r="I78" s="94">
        <f t="shared" si="47"/>
        <v>175.46399999999997</v>
      </c>
      <c r="J78" s="94">
        <f t="shared" si="47"/>
        <v>182.17099999999996</v>
      </c>
      <c r="K78" s="94">
        <f t="shared" si="47"/>
        <v>186.70299999999995</v>
      </c>
      <c r="L78" s="95">
        <f t="shared" si="47"/>
        <v>209.63100000000003</v>
      </c>
      <c r="M78" s="95">
        <f t="shared" si="47"/>
        <v>222.95499999999998</v>
      </c>
      <c r="N78" s="95">
        <f t="shared" si="47"/>
        <v>230.53400000000005</v>
      </c>
      <c r="O78" s="95">
        <f t="shared" si="47"/>
        <v>232.76300000000001</v>
      </c>
      <c r="P78" s="95">
        <f t="shared" si="47"/>
        <v>229.76900000000003</v>
      </c>
      <c r="Q78" s="99">
        <f t="shared" ca="1" si="47"/>
        <v>228.01003197993583</v>
      </c>
      <c r="R78" s="99">
        <f t="shared" ca="1" si="47"/>
        <v>228.59987953825271</v>
      </c>
      <c r="S78" s="99">
        <f t="shared" ca="1" si="47"/>
        <v>230.29223912819987</v>
      </c>
      <c r="T78" s="99">
        <f t="shared" ca="1" si="47"/>
        <v>232.44607781649535</v>
      </c>
      <c r="U78" s="99">
        <f t="shared" ca="1" si="47"/>
        <v>235.06737672039606</v>
      </c>
      <c r="V78" s="99">
        <f t="shared" ca="1" si="47"/>
        <v>238.13789275049288</v>
      </c>
      <c r="W78" s="99">
        <f t="shared" ca="1" si="47"/>
        <v>241.74929466615538</v>
      </c>
      <c r="X78" s="99">
        <f t="shared" ca="1" si="47"/>
        <v>246.03357788388126</v>
      </c>
      <c r="Y78" s="99">
        <f t="shared" ca="1" si="47"/>
        <v>251.10828485017441</v>
      </c>
      <c r="Z78" s="99">
        <f t="shared" ca="1" si="47"/>
        <v>257.13095295857499</v>
      </c>
    </row>
    <row r="79" spans="1:26" x14ac:dyDescent="0.25">
      <c r="A79" s="12" t="s">
        <v>975</v>
      </c>
      <c r="B79" s="14" t="str">
        <f>$B$38</f>
        <v>From Fiscal Forecasts</v>
      </c>
      <c r="C79" s="15"/>
      <c r="D79" s="50">
        <f>'Fiscal Forecasts'!D$155</f>
        <v>6.931</v>
      </c>
      <c r="E79" s="50">
        <f>'Fiscal Forecasts'!E$155</f>
        <v>11.111000000000001</v>
      </c>
      <c r="F79" s="50">
        <f>'Fiscal Forecasts'!F$155</f>
        <v>11.836</v>
      </c>
      <c r="G79" s="50">
        <f>'Fiscal Forecasts'!G$155</f>
        <v>14.345000000000001</v>
      </c>
      <c r="H79" s="50">
        <f>'Fiscal Forecasts'!H$155</f>
        <v>48.11</v>
      </c>
      <c r="I79" s="50">
        <f>'Fiscal Forecasts'!I$155</f>
        <v>56.47</v>
      </c>
      <c r="J79" s="50">
        <f>'Fiscal Forecasts'!J$155</f>
        <v>61.85</v>
      </c>
      <c r="K79" s="50">
        <f>'Fiscal Forecasts'!K$155</f>
        <v>66.849000000000004</v>
      </c>
      <c r="L79" s="48">
        <f>'Fiscal Forecasts'!L$155</f>
        <v>72.600999999999999</v>
      </c>
      <c r="M79" s="48">
        <f>'Fiscal Forecasts'!M$155</f>
        <v>78.403000000000006</v>
      </c>
      <c r="N79" s="48">
        <f>'Fiscal Forecasts'!N$155</f>
        <v>84.54</v>
      </c>
      <c r="O79" s="48">
        <f>'Fiscal Forecasts'!O$155</f>
        <v>91.457999999999998</v>
      </c>
      <c r="P79" s="48">
        <f>'Fiscal Forecasts'!P$155</f>
        <v>97.852999999999994</v>
      </c>
      <c r="Q79" s="20">
        <f t="shared" ref="Q79:Z79" ca="1" si="48">P$79+Q$80-P$80</f>
        <v>100.62866009477827</v>
      </c>
      <c r="R79" s="20">
        <f t="shared" ca="1" si="48"/>
        <v>103.46088699805713</v>
      </c>
      <c r="S79" s="20">
        <f t="shared" ca="1" si="48"/>
        <v>106.36814748235437</v>
      </c>
      <c r="T79" s="20">
        <f t="shared" ca="1" si="48"/>
        <v>109.3436414274905</v>
      </c>
      <c r="U79" s="20">
        <f t="shared" ca="1" si="48"/>
        <v>112.42289304238348</v>
      </c>
      <c r="V79" s="20">
        <f t="shared" ca="1" si="48"/>
        <v>115.60699742608826</v>
      </c>
      <c r="W79" s="20">
        <f t="shared" ca="1" si="48"/>
        <v>118.87989082463154</v>
      </c>
      <c r="X79" s="20">
        <f t="shared" ca="1" si="48"/>
        <v>122.24702998763811</v>
      </c>
      <c r="Y79" s="20">
        <f t="shared" ca="1" si="48"/>
        <v>125.72602294076746</v>
      </c>
      <c r="Z79" s="20">
        <f t="shared" ca="1" si="48"/>
        <v>129.3177669681636</v>
      </c>
    </row>
    <row r="80" spans="1:26" x14ac:dyDescent="0.25">
      <c r="A80" s="12" t="s">
        <v>1181</v>
      </c>
      <c r="B80" s="14" t="str">
        <f>$B$38</f>
        <v>From Fiscal Forecasts</v>
      </c>
      <c r="C80" s="15"/>
      <c r="D80" s="50">
        <f>'Fiscal Forecasts'!D$156</f>
        <v>0</v>
      </c>
      <c r="E80" s="50">
        <f>'Fiscal Forecasts'!E$156</f>
        <v>0</v>
      </c>
      <c r="F80" s="50">
        <f>'Fiscal Forecasts'!F$156</f>
        <v>0</v>
      </c>
      <c r="G80" s="50">
        <f>'Fiscal Forecasts'!G$156</f>
        <v>0</v>
      </c>
      <c r="H80" s="50">
        <f>'Fiscal Forecasts'!H$156</f>
        <v>30.574000000000002</v>
      </c>
      <c r="I80" s="50">
        <f>'Fiscal Forecasts'!I$156</f>
        <v>33.290999999999997</v>
      </c>
      <c r="J80" s="50">
        <f>'Fiscal Forecasts'!J$156</f>
        <v>36.783999999999999</v>
      </c>
      <c r="K80" s="50">
        <f>'Fiscal Forecasts'!K$156</f>
        <v>40.920999999999999</v>
      </c>
      <c r="L80" s="48">
        <f>'Fiscal Forecasts'!L$156</f>
        <v>44.921999999999997</v>
      </c>
      <c r="M80" s="48">
        <f>'Fiscal Forecasts'!M$156</f>
        <v>49.701000000000001</v>
      </c>
      <c r="N80" s="48">
        <f>'Fiscal Forecasts'!N$156</f>
        <v>55.195999999999998</v>
      </c>
      <c r="O80" s="48">
        <f>'Fiscal Forecasts'!O$156</f>
        <v>61.332999999999998</v>
      </c>
      <c r="P80" s="48">
        <f>'Fiscal Forecasts'!P$156</f>
        <v>67.436000000000007</v>
      </c>
      <c r="Q80" s="20">
        <f t="shared" ref="Q80:Z80" ca="1" si="49">P$80+Q$395-P$395</f>
        <v>70.211660094778296</v>
      </c>
      <c r="R80" s="20">
        <f t="shared" ca="1" si="49"/>
        <v>73.043886998057161</v>
      </c>
      <c r="S80" s="20">
        <f t="shared" ca="1" si="49"/>
        <v>75.951147482354401</v>
      </c>
      <c r="T80" s="20">
        <f t="shared" ca="1" si="49"/>
        <v>78.926641427490537</v>
      </c>
      <c r="U80" s="20">
        <f t="shared" ca="1" si="49"/>
        <v>82.005893042383505</v>
      </c>
      <c r="V80" s="20">
        <f t="shared" ca="1" si="49"/>
        <v>85.189997426088283</v>
      </c>
      <c r="W80" s="20">
        <f t="shared" ca="1" si="49"/>
        <v>88.462890824631586</v>
      </c>
      <c r="X80" s="20">
        <f t="shared" ca="1" si="49"/>
        <v>91.830029987638156</v>
      </c>
      <c r="Y80" s="20">
        <f t="shared" ca="1" si="49"/>
        <v>95.30902294076752</v>
      </c>
      <c r="Z80" s="20">
        <f t="shared" ca="1" si="49"/>
        <v>98.900766968163651</v>
      </c>
    </row>
    <row r="81" spans="1:26" x14ac:dyDescent="0.25">
      <c r="A81" s="11" t="s">
        <v>856</v>
      </c>
      <c r="B81" s="11"/>
      <c r="C81" s="15"/>
      <c r="D81" s="94">
        <f t="shared" ref="D81:Z81" si="50">SUM(D$78,D$79)-SUM(D$77,D$80)</f>
        <v>50.822000000000003</v>
      </c>
      <c r="E81" s="94">
        <f t="shared" si="50"/>
        <v>79.930000000000007</v>
      </c>
      <c r="F81" s="94">
        <f t="shared" si="50"/>
        <v>95.188000000000017</v>
      </c>
      <c r="G81" s="94">
        <f t="shared" si="50"/>
        <v>117.11499999999995</v>
      </c>
      <c r="H81" s="94">
        <f t="shared" si="50"/>
        <v>136.26800000000003</v>
      </c>
      <c r="I81" s="94">
        <f t="shared" si="50"/>
        <v>158.25499999999997</v>
      </c>
      <c r="J81" s="94">
        <f t="shared" si="50"/>
        <v>172.92599999999996</v>
      </c>
      <c r="K81" s="94">
        <f t="shared" si="50"/>
        <v>184.69999999999996</v>
      </c>
      <c r="L81" s="95">
        <f t="shared" si="50"/>
        <v>206.49800000000005</v>
      </c>
      <c r="M81" s="95">
        <f t="shared" si="50"/>
        <v>218.84700000000001</v>
      </c>
      <c r="N81" s="95">
        <f t="shared" si="50"/>
        <v>225.08600000000007</v>
      </c>
      <c r="O81" s="95">
        <f t="shared" si="50"/>
        <v>226.387</v>
      </c>
      <c r="P81" s="95">
        <f t="shared" si="50"/>
        <v>223.821</v>
      </c>
      <c r="Q81" s="99">
        <f t="shared" ca="1" si="50"/>
        <v>221.54559197993578</v>
      </c>
      <c r="R81" s="99">
        <f t="shared" ca="1" si="50"/>
        <v>221.6127107382527</v>
      </c>
      <c r="S81" s="99">
        <f t="shared" ca="1" si="50"/>
        <v>222.77584695219986</v>
      </c>
      <c r="T81" s="99">
        <f t="shared" ca="1" si="50"/>
        <v>224.39875779697527</v>
      </c>
      <c r="U81" s="99">
        <f t="shared" ca="1" si="50"/>
        <v>226.4872103004856</v>
      </c>
      <c r="V81" s="99">
        <f t="shared" ca="1" si="50"/>
        <v>229.01674300218423</v>
      </c>
      <c r="W81" s="99">
        <f t="shared" ca="1" si="50"/>
        <v>232.08080192288057</v>
      </c>
      <c r="X81" s="99">
        <f t="shared" ca="1" si="50"/>
        <v>235.80515528574091</v>
      </c>
      <c r="Y81" s="99">
        <f t="shared" ca="1" si="50"/>
        <v>240.30011380007124</v>
      </c>
      <c r="Z81" s="99">
        <f t="shared" ca="1" si="50"/>
        <v>245.72297848746979</v>
      </c>
    </row>
    <row r="82" spans="1:26" x14ac:dyDescent="0.25">
      <c r="A82" s="11" t="s">
        <v>746</v>
      </c>
      <c r="B82" s="11"/>
      <c r="C82" s="15"/>
      <c r="D82" s="94">
        <f t="shared" ref="D82:Z82" si="51">SUM(D$81,D$73)-D$76</f>
        <v>5.4320000000000022</v>
      </c>
      <c r="E82" s="94">
        <f t="shared" si="51"/>
        <v>35.71</v>
      </c>
      <c r="F82" s="94">
        <f t="shared" si="51"/>
        <v>35.921000000000021</v>
      </c>
      <c r="G82" s="94">
        <f t="shared" si="51"/>
        <v>61.849999999999952</v>
      </c>
      <c r="H82" s="94">
        <f t="shared" si="51"/>
        <v>71.367000000000004</v>
      </c>
      <c r="I82" s="94">
        <f t="shared" si="51"/>
        <v>82.19699999999996</v>
      </c>
      <c r="J82" s="94">
        <f t="shared" si="51"/>
        <v>88.718999999999966</v>
      </c>
      <c r="K82" s="94">
        <f t="shared" si="51"/>
        <v>91.091999999999956</v>
      </c>
      <c r="L82" s="95">
        <f t="shared" si="51"/>
        <v>105.75100000000005</v>
      </c>
      <c r="M82" s="95">
        <f t="shared" si="51"/>
        <v>111.97400000000002</v>
      </c>
      <c r="N82" s="95">
        <f t="shared" si="51"/>
        <v>111.51400000000007</v>
      </c>
      <c r="O82" s="95">
        <f t="shared" si="51"/>
        <v>105.58299999999998</v>
      </c>
      <c r="P82" s="95">
        <f t="shared" si="51"/>
        <v>95.298000000000002</v>
      </c>
      <c r="Q82" s="99">
        <f t="shared" ca="1" si="51"/>
        <v>85.123484117276377</v>
      </c>
      <c r="R82" s="99">
        <f t="shared" ca="1" si="51"/>
        <v>76.959864960698781</v>
      </c>
      <c r="S82" s="99">
        <f t="shared" ca="1" si="51"/>
        <v>69.558122118493259</v>
      </c>
      <c r="T82" s="99">
        <f t="shared" ca="1" si="51"/>
        <v>62.252649989078833</v>
      </c>
      <c r="U82" s="99">
        <f t="shared" ca="1" si="51"/>
        <v>55.083551547955722</v>
      </c>
      <c r="V82" s="99">
        <f t="shared" ca="1" si="51"/>
        <v>47.967958500721437</v>
      </c>
      <c r="W82" s="99">
        <f t="shared" ca="1" si="51"/>
        <v>40.905479443707577</v>
      </c>
      <c r="X82" s="99">
        <f t="shared" ca="1" si="51"/>
        <v>33.922175293298721</v>
      </c>
      <c r="Y82" s="99">
        <f t="shared" ca="1" si="51"/>
        <v>26.994701783832937</v>
      </c>
      <c r="Z82" s="99">
        <f t="shared" ca="1" si="51"/>
        <v>20.159590154595492</v>
      </c>
    </row>
    <row r="83" spans="1:26" x14ac:dyDescent="0.25">
      <c r="A83" s="60" t="s">
        <v>1182</v>
      </c>
      <c r="B83" s="14" t="str">
        <f>$B$42</f>
        <v>Outturn &amp; Forecast only</v>
      </c>
      <c r="C83" s="15"/>
      <c r="D83" s="97" t="str">
        <f>IF(ROUND('Fiscal Forecasts'!D$158-D$82,3)=0,"OK","ERROR")</f>
        <v>OK</v>
      </c>
      <c r="E83" s="97" t="str">
        <f>IF(ROUND('Fiscal Forecasts'!E$158-E$82,3)=0,"OK","ERROR")</f>
        <v>OK</v>
      </c>
      <c r="F83" s="97" t="str">
        <f>IF(ROUND('Fiscal Forecasts'!F$158-F$82,3)=0,"OK","ERROR")</f>
        <v>OK</v>
      </c>
      <c r="G83" s="97" t="str">
        <f>IF(ROUND('Fiscal Forecasts'!G$158-G$82,3)=0,"OK","ERROR")</f>
        <v>OK</v>
      </c>
      <c r="H83" s="97" t="str">
        <f>IF(ROUND('Fiscal Forecasts'!H$158-H$82,3)=0,"OK","ERROR")</f>
        <v>OK</v>
      </c>
      <c r="I83" s="97" t="str">
        <f>IF(ROUND('Fiscal Forecasts'!I$158-I$82,3)=0,"OK","ERROR")</f>
        <v>OK</v>
      </c>
      <c r="J83" s="97" t="str">
        <f>IF(ROUND('Fiscal Forecasts'!J$158-J$82,3)=0,"OK","ERROR")</f>
        <v>OK</v>
      </c>
      <c r="K83" s="97" t="str">
        <f>IF(ROUND('Fiscal Forecasts'!K$158-K$82,3)=0,"OK","ERROR")</f>
        <v>OK</v>
      </c>
      <c r="L83" s="97" t="str">
        <f>IF(ROUND('Fiscal Forecasts'!L$158-L$82,3)=0,"OK","ERROR")</f>
        <v>OK</v>
      </c>
      <c r="M83" s="97" t="str">
        <f>IF(ROUND('Fiscal Forecasts'!M$158-M$82,3)=0,"OK","ERROR")</f>
        <v>OK</v>
      </c>
      <c r="N83" s="97" t="str">
        <f>IF(ROUND('Fiscal Forecasts'!N$158-N$82,3)=0,"OK","ERROR")</f>
        <v>OK</v>
      </c>
      <c r="O83" s="97" t="str">
        <f>IF(ROUND('Fiscal Forecasts'!O$158-O$82,3)=0,"OK","ERROR")</f>
        <v>OK</v>
      </c>
      <c r="P83" s="97" t="str">
        <f>IF(ROUND('Fiscal Forecasts'!P$158-P$82,3)=0,"OK","ERROR")</f>
        <v>OK</v>
      </c>
      <c r="Q83" s="17"/>
      <c r="R83" s="17"/>
      <c r="S83" s="17"/>
      <c r="T83" s="17"/>
      <c r="U83" s="17"/>
      <c r="V83" s="17"/>
      <c r="W83" s="17"/>
      <c r="X83" s="17"/>
      <c r="Y83" s="17"/>
      <c r="Z83" s="17"/>
    </row>
    <row r="84" spans="1:26" x14ac:dyDescent="0.25">
      <c r="A84" s="12" t="s">
        <v>1183</v>
      </c>
      <c r="B84" s="14" t="str">
        <f>$B$38</f>
        <v>From Fiscal Forecasts</v>
      </c>
      <c r="C84" s="15"/>
      <c r="D84" s="50">
        <f>'Fiscal Forecasts'!D$160</f>
        <v>6.4809999999999999</v>
      </c>
      <c r="E84" s="50">
        <f>'Fiscal Forecasts'!E$160</f>
        <v>21.887999999999998</v>
      </c>
      <c r="F84" s="50">
        <f>'Fiscal Forecasts'!F$160</f>
        <v>30.420999999999999</v>
      </c>
      <c r="G84" s="50">
        <f>'Fiscal Forecasts'!G$160</f>
        <v>45.088000000000001</v>
      </c>
      <c r="H84" s="50">
        <f>'Fiscal Forecasts'!H$160</f>
        <v>53.109000000000002</v>
      </c>
      <c r="I84" s="50">
        <f>'Fiscal Forecasts'!I$160</f>
        <v>38.475999999999999</v>
      </c>
      <c r="J84" s="50">
        <f>'Fiscal Forecasts'!J$160</f>
        <v>33.030999999999999</v>
      </c>
      <c r="K84" s="50">
        <f>'Fiscal Forecasts'!K$160</f>
        <v>25.481000000000002</v>
      </c>
      <c r="L84" s="48">
        <f>'Fiscal Forecasts'!L$160</f>
        <v>25.431000000000001</v>
      </c>
      <c r="M84" s="48">
        <f>'Fiscal Forecasts'!M$160</f>
        <v>25.486000000000001</v>
      </c>
      <c r="N84" s="48">
        <f>'Fiscal Forecasts'!N$160</f>
        <v>25.486000000000001</v>
      </c>
      <c r="O84" s="48">
        <f>'Fiscal Forecasts'!O$160</f>
        <v>25.486000000000001</v>
      </c>
      <c r="P84" s="48">
        <f>'Fiscal Forecasts'!P$160</f>
        <v>25.486000000000001</v>
      </c>
      <c r="Q84" s="20">
        <f t="shared" ref="Q84:Z84" ca="1" si="52">P$84*(1+Q$29)</f>
        <v>25.995720000000002</v>
      </c>
      <c r="R84" s="20">
        <f t="shared" ca="1" si="52"/>
        <v>26.515634400000003</v>
      </c>
      <c r="S84" s="20">
        <f t="shared" ca="1" si="52"/>
        <v>27.045947088000005</v>
      </c>
      <c r="T84" s="20">
        <f t="shared" ca="1" si="52"/>
        <v>27.586866029760007</v>
      </c>
      <c r="U84" s="20">
        <f t="shared" ca="1" si="52"/>
        <v>28.138603350355208</v>
      </c>
      <c r="V84" s="20">
        <f t="shared" ca="1" si="52"/>
        <v>28.701375417362314</v>
      </c>
      <c r="W84" s="20">
        <f t="shared" ca="1" si="52"/>
        <v>29.27540292570956</v>
      </c>
      <c r="X84" s="20">
        <f t="shared" ca="1" si="52"/>
        <v>29.860910984223754</v>
      </c>
      <c r="Y84" s="20">
        <f t="shared" ca="1" si="52"/>
        <v>30.458129203908229</v>
      </c>
      <c r="Z84" s="20">
        <f t="shared" ca="1" si="52"/>
        <v>31.067291787986395</v>
      </c>
    </row>
    <row r="85" spans="1:26" x14ac:dyDescent="0.25">
      <c r="A85" s="60" t="s">
        <v>756</v>
      </c>
      <c r="B85" s="11"/>
      <c r="C85" s="15"/>
      <c r="D85" s="94">
        <f t="shared" ref="D85:Z85" si="53">SUM(D$71,D$72)-SUM(D$73,D$84)</f>
        <v>84.37700000000001</v>
      </c>
      <c r="E85" s="94">
        <f t="shared" si="53"/>
        <v>101.833</v>
      </c>
      <c r="F85" s="94">
        <f t="shared" si="53"/>
        <v>99.925999999999988</v>
      </c>
      <c r="G85" s="94">
        <f t="shared" si="53"/>
        <v>114.11599999999999</v>
      </c>
      <c r="H85" s="94">
        <f t="shared" si="53"/>
        <v>135.78899999999999</v>
      </c>
      <c r="I85" s="94">
        <f t="shared" si="53"/>
        <v>175.96600000000001</v>
      </c>
      <c r="J85" s="94">
        <f t="shared" si="53"/>
        <v>203.68800000000005</v>
      </c>
      <c r="K85" s="94">
        <f t="shared" si="53"/>
        <v>227.44799999999998</v>
      </c>
      <c r="L85" s="95">
        <f t="shared" si="53"/>
        <v>243.42500000000001</v>
      </c>
      <c r="M85" s="95">
        <f t="shared" si="53"/>
        <v>259.41199999999998</v>
      </c>
      <c r="N85" s="95">
        <f t="shared" si="53"/>
        <v>269.81900000000002</v>
      </c>
      <c r="O85" s="95">
        <f t="shared" si="53"/>
        <v>273.17700000000002</v>
      </c>
      <c r="P85" s="95">
        <f t="shared" si="53"/>
        <v>269.01900000000001</v>
      </c>
      <c r="Q85" s="99">
        <f t="shared" ca="1" si="53"/>
        <v>269.55402084931058</v>
      </c>
      <c r="R85" s="99">
        <f t="shared" ca="1" si="53"/>
        <v>272.48479669217909</v>
      </c>
      <c r="S85" s="99">
        <f t="shared" ca="1" si="53"/>
        <v>276.58339744014114</v>
      </c>
      <c r="T85" s="99">
        <f t="shared" ca="1" si="53"/>
        <v>281.2017481091716</v>
      </c>
      <c r="U85" s="99">
        <f t="shared" ca="1" si="53"/>
        <v>286.3813503129179</v>
      </c>
      <c r="V85" s="99">
        <f t="shared" ca="1" si="53"/>
        <v>292.10485112386539</v>
      </c>
      <c r="W85" s="99">
        <f t="shared" ca="1" si="53"/>
        <v>298.44754816331755</v>
      </c>
      <c r="X85" s="99">
        <f t="shared" ca="1" si="53"/>
        <v>305.54670509501614</v>
      </c>
      <c r="Y85" s="99">
        <f t="shared" ca="1" si="53"/>
        <v>313.53734905179914</v>
      </c>
      <c r="Z85" s="99">
        <f t="shared" ca="1" si="53"/>
        <v>322.57769123167873</v>
      </c>
    </row>
    <row r="86" spans="1:26" x14ac:dyDescent="0.25">
      <c r="A86" s="11"/>
      <c r="B86" s="11"/>
      <c r="C86" s="15"/>
      <c r="D86" s="89"/>
      <c r="E86" s="89"/>
      <c r="F86" s="89"/>
      <c r="G86" s="89"/>
      <c r="H86" s="89"/>
      <c r="I86" s="89"/>
      <c r="J86" s="89"/>
      <c r="K86" s="89"/>
      <c r="L86" s="66"/>
      <c r="M86" s="66"/>
      <c r="N86" s="66"/>
      <c r="O86" s="66"/>
      <c r="P86" s="66"/>
      <c r="Q86" s="17"/>
      <c r="R86" s="17"/>
      <c r="S86" s="17"/>
      <c r="T86" s="17"/>
      <c r="U86" s="17"/>
      <c r="V86" s="17"/>
      <c r="W86" s="17"/>
      <c r="X86" s="17"/>
      <c r="Y86" s="17"/>
      <c r="Z86" s="17"/>
    </row>
    <row r="87" spans="1:26" x14ac:dyDescent="0.25">
      <c r="A87" s="57" t="s">
        <v>1184</v>
      </c>
      <c r="B87" s="11"/>
      <c r="C87" s="15"/>
      <c r="D87" s="89"/>
      <c r="E87" s="89"/>
      <c r="F87" s="89"/>
      <c r="G87" s="89"/>
      <c r="H87" s="89"/>
      <c r="I87" s="89"/>
      <c r="J87" s="89"/>
      <c r="K87" s="89"/>
      <c r="L87" s="66"/>
      <c r="M87" s="66"/>
      <c r="N87" s="66"/>
      <c r="O87" s="66"/>
      <c r="P87" s="66"/>
      <c r="Q87" s="17"/>
      <c r="R87" s="17"/>
      <c r="S87" s="17"/>
      <c r="T87" s="17"/>
      <c r="U87" s="17"/>
      <c r="V87" s="17"/>
      <c r="W87" s="17"/>
      <c r="X87" s="17"/>
      <c r="Y87" s="17"/>
      <c r="Z87" s="17"/>
    </row>
    <row r="88" spans="1:26" x14ac:dyDescent="0.25">
      <c r="A88" s="12" t="s">
        <v>898</v>
      </c>
      <c r="B88" s="14" t="str">
        <f>$B$38</f>
        <v>From Fiscal Forecasts</v>
      </c>
      <c r="C88" s="15"/>
      <c r="D88" s="50">
        <f>'Fiscal Forecasts'!D$74</f>
        <v>83.016999999999996</v>
      </c>
      <c r="E88" s="50">
        <f>'Fiscal Forecasts'!E$74</f>
        <v>83.156000000000006</v>
      </c>
      <c r="F88" s="50">
        <f>'Fiscal Forecasts'!F$74</f>
        <v>95.382000000000005</v>
      </c>
      <c r="G88" s="50">
        <f>'Fiscal Forecasts'!G$74</f>
        <v>102.712</v>
      </c>
      <c r="H88" s="50">
        <f>'Fiscal Forecasts'!H$74</f>
        <v>110.78700000000001</v>
      </c>
      <c r="I88" s="50">
        <f>'Fiscal Forecasts'!I$74</f>
        <v>116.042</v>
      </c>
      <c r="J88" s="50">
        <f>'Fiscal Forecasts'!J$74</f>
        <v>121.18300000000001</v>
      </c>
      <c r="K88" s="50">
        <f>'Fiscal Forecasts'!K$74</f>
        <v>125.98</v>
      </c>
      <c r="L88" s="48">
        <f>'Fiscal Forecasts'!L$74</f>
        <v>131.61600000000001</v>
      </c>
      <c r="M88" s="48">
        <f>'Fiscal Forecasts'!M$74</f>
        <v>141.738</v>
      </c>
      <c r="N88" s="48">
        <f>'Fiscal Forecasts'!N$74</f>
        <v>150.571</v>
      </c>
      <c r="O88" s="48">
        <f>'Fiscal Forecasts'!O$74</f>
        <v>158.84200000000001</v>
      </c>
      <c r="P88" s="48">
        <f>'Fiscal Forecasts'!P$74</f>
        <v>166.84700000000001</v>
      </c>
      <c r="Q88" s="20">
        <f t="shared" ref="Q88:Z88" ca="1" si="54">(Q$474-Q$376+Q$141)</f>
        <v>173.12924827330647</v>
      </c>
      <c r="R88" s="20">
        <f t="shared" ca="1" si="54"/>
        <v>179.87658384902355</v>
      </c>
      <c r="S88" s="20">
        <f t="shared" ca="1" si="54"/>
        <v>186.93968271308654</v>
      </c>
      <c r="T88" s="20">
        <f t="shared" ca="1" si="54"/>
        <v>194.48022028808353</v>
      </c>
      <c r="U88" s="20">
        <f t="shared" ca="1" si="54"/>
        <v>202.40086439859792</v>
      </c>
      <c r="V88" s="20">
        <f t="shared" ca="1" si="54"/>
        <v>210.60135909016944</v>
      </c>
      <c r="W88" s="20">
        <f t="shared" ca="1" si="54"/>
        <v>219.03236087758137</v>
      </c>
      <c r="X88" s="20">
        <f t="shared" ca="1" si="54"/>
        <v>227.70423383533904</v>
      </c>
      <c r="Y88" s="20">
        <f t="shared" ca="1" si="54"/>
        <v>236.65984219626057</v>
      </c>
      <c r="Z88" s="20">
        <f t="shared" ca="1" si="54"/>
        <v>245.90537005603386</v>
      </c>
    </row>
    <row r="89" spans="1:26" x14ac:dyDescent="0.25">
      <c r="A89" s="12" t="s">
        <v>899</v>
      </c>
      <c r="B89" s="14" t="str">
        <f>$B$38</f>
        <v>From Fiscal Forecasts</v>
      </c>
      <c r="C89" s="15"/>
      <c r="D89" s="50">
        <f>'Fiscal Forecasts'!D$75</f>
        <v>5.1870000000000003</v>
      </c>
      <c r="E89" s="50">
        <f>'Fiscal Forecasts'!E$75</f>
        <v>5.2939999999999996</v>
      </c>
      <c r="F89" s="50">
        <f>'Fiscal Forecasts'!F$75</f>
        <v>6.4240000000000004</v>
      </c>
      <c r="G89" s="50">
        <f>'Fiscal Forecasts'!G$75</f>
        <v>7.8029999999999999</v>
      </c>
      <c r="H89" s="50">
        <f>'Fiscal Forecasts'!H$75</f>
        <v>7.6310000000000002</v>
      </c>
      <c r="I89" s="50">
        <f>'Fiscal Forecasts'!I$75</f>
        <v>7.484</v>
      </c>
      <c r="J89" s="50">
        <f>'Fiscal Forecasts'!J$75</f>
        <v>7.8780000000000001</v>
      </c>
      <c r="K89" s="50">
        <f>'Fiscal Forecasts'!K$75</f>
        <v>8.1029999999999998</v>
      </c>
      <c r="L89" s="48">
        <f>'Fiscal Forecasts'!L$75</f>
        <v>8.9359999999999999</v>
      </c>
      <c r="M89" s="48">
        <f>'Fiscal Forecasts'!M$75</f>
        <v>9.6539999999999999</v>
      </c>
      <c r="N89" s="48">
        <f>'Fiscal Forecasts'!N$75</f>
        <v>9.6620000000000008</v>
      </c>
      <c r="O89" s="48">
        <f>'Fiscal Forecasts'!O$75</f>
        <v>10.074999999999999</v>
      </c>
      <c r="P89" s="48">
        <f>'Fiscal Forecasts'!P$75</f>
        <v>10.387</v>
      </c>
      <c r="Q89" s="20">
        <f t="shared" ref="Q89:Z89" ca="1" si="55">SUM(Q$146,Q$148,Q$149,Q$151)</f>
        <v>11.553297982949124</v>
      </c>
      <c r="R89" s="20">
        <f t="shared" ca="1" si="55"/>
        <v>12.239646305928749</v>
      </c>
      <c r="S89" s="20">
        <f t="shared" ca="1" si="55"/>
        <v>12.945963547810056</v>
      </c>
      <c r="T89" s="20">
        <f t="shared" ca="1" si="55"/>
        <v>13.705976175203949</v>
      </c>
      <c r="U89" s="20">
        <f t="shared" ca="1" si="55"/>
        <v>14.450717265864155</v>
      </c>
      <c r="V89" s="20">
        <f t="shared" ca="1" si="55"/>
        <v>14.981290288306871</v>
      </c>
      <c r="W89" s="20">
        <f t="shared" ca="1" si="55"/>
        <v>15.526545436507883</v>
      </c>
      <c r="X89" s="20">
        <f t="shared" ca="1" si="55"/>
        <v>16.065095306135394</v>
      </c>
      <c r="Y89" s="20">
        <f t="shared" ca="1" si="55"/>
        <v>16.624191877468292</v>
      </c>
      <c r="Z89" s="20">
        <f t="shared" ca="1" si="55"/>
        <v>17.190423328909425</v>
      </c>
    </row>
    <row r="90" spans="1:26" x14ac:dyDescent="0.25">
      <c r="A90" s="12" t="s">
        <v>866</v>
      </c>
      <c r="B90" s="14" t="str">
        <f>$B$38</f>
        <v>From Fiscal Forecasts</v>
      </c>
      <c r="C90" s="15"/>
      <c r="D90" s="50">
        <f>'Fiscal Forecasts'!D$76</f>
        <v>19.763999999999999</v>
      </c>
      <c r="E90" s="50">
        <f>'Fiscal Forecasts'!E$76</f>
        <v>18.289000000000001</v>
      </c>
      <c r="F90" s="50">
        <f>'Fiscal Forecasts'!F$76</f>
        <v>17.731999999999999</v>
      </c>
      <c r="G90" s="50">
        <f>'Fiscal Forecasts'!G$76</f>
        <v>17.834</v>
      </c>
      <c r="H90" s="50">
        <f>'Fiscal Forecasts'!H$76</f>
        <v>22.283999999999999</v>
      </c>
      <c r="I90" s="50">
        <f>'Fiscal Forecasts'!I$76</f>
        <v>24.359000000000002</v>
      </c>
      <c r="J90" s="50">
        <f>'Fiscal Forecasts'!J$76</f>
        <v>26.960999999999999</v>
      </c>
      <c r="K90" s="50">
        <f>'Fiscal Forecasts'!K$76</f>
        <v>25.895</v>
      </c>
      <c r="L90" s="48">
        <f>'Fiscal Forecasts'!L$76</f>
        <v>26.574000000000002</v>
      </c>
      <c r="M90" s="48">
        <f>'Fiscal Forecasts'!M$76</f>
        <v>27.469000000000001</v>
      </c>
      <c r="N90" s="48">
        <f>'Fiscal Forecasts'!N$76</f>
        <v>28.12</v>
      </c>
      <c r="O90" s="48">
        <f>'Fiscal Forecasts'!O$76</f>
        <v>29.117000000000001</v>
      </c>
      <c r="P90" s="48">
        <f>'Fiscal Forecasts'!P$76</f>
        <v>29.824999999999999</v>
      </c>
      <c r="Q90" s="20">
        <f t="shared" ref="Q90:Z90" ca="1" si="56">Q$155</f>
        <v>31.082278581469399</v>
      </c>
      <c r="R90" s="20">
        <f t="shared" ca="1" si="56"/>
        <v>32.373817990717384</v>
      </c>
      <c r="S90" s="20">
        <f t="shared" ca="1" si="56"/>
        <v>33.699088373795036</v>
      </c>
      <c r="T90" s="20">
        <f t="shared" ca="1" si="56"/>
        <v>35.054248490549547</v>
      </c>
      <c r="U90" s="20">
        <f t="shared" ca="1" si="56"/>
        <v>36.456020529544169</v>
      </c>
      <c r="V90" s="20">
        <f t="shared" ca="1" si="56"/>
        <v>37.903940016000107</v>
      </c>
      <c r="W90" s="20">
        <f t="shared" ca="1" si="56"/>
        <v>39.388475508708048</v>
      </c>
      <c r="X90" s="20">
        <f t="shared" ca="1" si="56"/>
        <v>40.914908229707805</v>
      </c>
      <c r="Y90" s="20">
        <f t="shared" ca="1" si="56"/>
        <v>42.491722468210163</v>
      </c>
      <c r="Z90" s="20">
        <f t="shared" ca="1" si="56"/>
        <v>44.118425353902772</v>
      </c>
    </row>
    <row r="91" spans="1:26" x14ac:dyDescent="0.25">
      <c r="A91" s="12" t="s">
        <v>900</v>
      </c>
      <c r="B91" s="14" t="str">
        <f>$B$38</f>
        <v>From Fiscal Forecasts</v>
      </c>
      <c r="C91" s="15"/>
      <c r="D91" s="50">
        <f>'Fiscal Forecasts'!D$77</f>
        <v>2.528</v>
      </c>
      <c r="E91" s="50">
        <f>'Fiscal Forecasts'!E$77</f>
        <v>2.3069999999999999</v>
      </c>
      <c r="F91" s="50">
        <f>'Fiscal Forecasts'!F$77</f>
        <v>1.67</v>
      </c>
      <c r="G91" s="50">
        <f>'Fiscal Forecasts'!G$77</f>
        <v>1.9610000000000001</v>
      </c>
      <c r="H91" s="50">
        <f>'Fiscal Forecasts'!H$77</f>
        <v>3.6110000000000002</v>
      </c>
      <c r="I91" s="50">
        <f>'Fiscal Forecasts'!I$77</f>
        <v>5.2830000000000004</v>
      </c>
      <c r="J91" s="50">
        <f>'Fiscal Forecasts'!J$77</f>
        <v>6.7910000000000004</v>
      </c>
      <c r="K91" s="50">
        <f>'Fiscal Forecasts'!K$77</f>
        <v>5.9459999999999997</v>
      </c>
      <c r="L91" s="48">
        <f>'Fiscal Forecasts'!L$77</f>
        <v>4.7480000000000002</v>
      </c>
      <c r="M91" s="48">
        <f>'Fiscal Forecasts'!M$77</f>
        <v>4.3109999999999999</v>
      </c>
      <c r="N91" s="48">
        <f>'Fiscal Forecasts'!N$77</f>
        <v>5.5739999999999998</v>
      </c>
      <c r="O91" s="48">
        <f>'Fiscal Forecasts'!O$77</f>
        <v>6.4790000000000001</v>
      </c>
      <c r="P91" s="48">
        <f>'Fiscal Forecasts'!P$77</f>
        <v>6.8319999999999999</v>
      </c>
      <c r="Q91" s="20">
        <f t="shared" ref="Q91:Z91" ca="1" si="57">SUM(Q$158,Q$160,Q$162:Q$164,Q$332)</f>
        <v>9.0313078971293805</v>
      </c>
      <c r="R91" s="20">
        <f t="shared" ca="1" si="57"/>
        <v>9.3217973383930968</v>
      </c>
      <c r="S91" s="20">
        <f t="shared" ca="1" si="57"/>
        <v>9.6237360051553971</v>
      </c>
      <c r="T91" s="20">
        <f t="shared" ca="1" si="57"/>
        <v>9.9372262172041985</v>
      </c>
      <c r="U91" s="20">
        <f t="shared" ca="1" si="57"/>
        <v>10.261797117490062</v>
      </c>
      <c r="V91" s="20">
        <f t="shared" ca="1" si="57"/>
        <v>10.597302664144683</v>
      </c>
      <c r="W91" s="20">
        <f t="shared" ca="1" si="57"/>
        <v>10.944545930260386</v>
      </c>
      <c r="X91" s="20">
        <f t="shared" ca="1" si="57"/>
        <v>11.304537707368532</v>
      </c>
      <c r="Y91" s="20">
        <f t="shared" ca="1" si="57"/>
        <v>11.678424891753615</v>
      </c>
      <c r="Z91" s="20">
        <f t="shared" ca="1" si="57"/>
        <v>12.067456655131869</v>
      </c>
    </row>
    <row r="92" spans="1:26" x14ac:dyDescent="0.25">
      <c r="A92" s="12" t="s">
        <v>901</v>
      </c>
      <c r="B92" s="14" t="str">
        <f>$B$38</f>
        <v>From Fiscal Forecasts</v>
      </c>
      <c r="C92" s="15"/>
      <c r="D92" s="50">
        <f>'Fiscal Forecasts'!D$78</f>
        <v>4.5629999999999997</v>
      </c>
      <c r="E92" s="50">
        <f>'Fiscal Forecasts'!E$78</f>
        <v>4.5439999999999996</v>
      </c>
      <c r="F92" s="50">
        <f>'Fiscal Forecasts'!F$78</f>
        <v>4.8140000000000001</v>
      </c>
      <c r="G92" s="50">
        <f>'Fiscal Forecasts'!G$78</f>
        <v>4.8019999999999996</v>
      </c>
      <c r="H92" s="50">
        <f>'Fiscal Forecasts'!H$78</f>
        <v>4.9219999999999997</v>
      </c>
      <c r="I92" s="50">
        <f>'Fiscal Forecasts'!I$78</f>
        <v>6.5350000000000001</v>
      </c>
      <c r="J92" s="50">
        <f>'Fiscal Forecasts'!J$78</f>
        <v>6.3719999999999999</v>
      </c>
      <c r="K92" s="50">
        <f>'Fiscal Forecasts'!K$78</f>
        <v>6.8550000000000004</v>
      </c>
      <c r="L92" s="48">
        <f>'Fiscal Forecasts'!L$78</f>
        <v>6.1289999999999996</v>
      </c>
      <c r="M92" s="48">
        <f>'Fiscal Forecasts'!M$78</f>
        <v>6.391</v>
      </c>
      <c r="N92" s="48">
        <f>'Fiscal Forecasts'!N$78</f>
        <v>6.7439999999999998</v>
      </c>
      <c r="O92" s="48">
        <f>'Fiscal Forecasts'!O$78</f>
        <v>6.9459999999999997</v>
      </c>
      <c r="P92" s="48">
        <f>'Fiscal Forecasts'!P$78</f>
        <v>7.1710000000000003</v>
      </c>
      <c r="Q92" s="20">
        <f t="shared" ref="Q92:Z92" ca="1" si="58">SUM(Q$173,Q$179)</f>
        <v>6.2386657328832156</v>
      </c>
      <c r="R92" s="20">
        <f t="shared" ca="1" si="58"/>
        <v>6.4296172485272338</v>
      </c>
      <c r="S92" s="20">
        <f t="shared" ca="1" si="58"/>
        <v>6.6254937147702204</v>
      </c>
      <c r="T92" s="20">
        <f t="shared" ca="1" si="58"/>
        <v>6.8258953983238175</v>
      </c>
      <c r="U92" s="20">
        <f t="shared" ca="1" si="58"/>
        <v>7.0320132210654762</v>
      </c>
      <c r="V92" s="20">
        <f t="shared" ca="1" si="58"/>
        <v>7.2434477304002591</v>
      </c>
      <c r="W92" s="20">
        <f t="shared" ca="1" si="58"/>
        <v>7.4592953303120204</v>
      </c>
      <c r="X92" s="20">
        <f t="shared" ca="1" si="58"/>
        <v>7.6822973328835165</v>
      </c>
      <c r="Y92" s="20">
        <f t="shared" ca="1" si="58"/>
        <v>7.914256210504341</v>
      </c>
      <c r="Z92" s="20">
        <f t="shared" ca="1" si="58"/>
        <v>8.1559397082187939</v>
      </c>
    </row>
    <row r="93" spans="1:26" x14ac:dyDescent="0.25">
      <c r="A93" s="11" t="s">
        <v>902</v>
      </c>
      <c r="B93" s="11"/>
      <c r="C93" s="15"/>
      <c r="D93" s="94">
        <f t="shared" ref="D93:Z93" si="59">SUM(D$88:D$92)</f>
        <v>115.059</v>
      </c>
      <c r="E93" s="94">
        <f t="shared" si="59"/>
        <v>113.59</v>
      </c>
      <c r="F93" s="94">
        <f t="shared" si="59"/>
        <v>126.02200000000002</v>
      </c>
      <c r="G93" s="94">
        <f t="shared" si="59"/>
        <v>135.11199999999999</v>
      </c>
      <c r="H93" s="94">
        <f t="shared" si="59"/>
        <v>149.23499999999999</v>
      </c>
      <c r="I93" s="94">
        <f t="shared" si="59"/>
        <v>159.70299999999997</v>
      </c>
      <c r="J93" s="94">
        <f t="shared" si="59"/>
        <v>169.185</v>
      </c>
      <c r="K93" s="94">
        <f t="shared" si="59"/>
        <v>172.779</v>
      </c>
      <c r="L93" s="95">
        <f t="shared" si="59"/>
        <v>178.00300000000001</v>
      </c>
      <c r="M93" s="95">
        <f t="shared" si="59"/>
        <v>189.56299999999999</v>
      </c>
      <c r="N93" s="95">
        <f t="shared" si="59"/>
        <v>200.67100000000002</v>
      </c>
      <c r="O93" s="95">
        <f t="shared" si="59"/>
        <v>211.459</v>
      </c>
      <c r="P93" s="95">
        <f t="shared" si="59"/>
        <v>221.06199999999998</v>
      </c>
      <c r="Q93" s="99">
        <f t="shared" ca="1" si="59"/>
        <v>231.0347984677376</v>
      </c>
      <c r="R93" s="99">
        <f t="shared" ca="1" si="59"/>
        <v>240.24146273258998</v>
      </c>
      <c r="S93" s="99">
        <f t="shared" ca="1" si="59"/>
        <v>249.83396435461725</v>
      </c>
      <c r="T93" s="99">
        <f t="shared" ca="1" si="59"/>
        <v>260.00356656936503</v>
      </c>
      <c r="U93" s="99">
        <f t="shared" ca="1" si="59"/>
        <v>270.60141253256177</v>
      </c>
      <c r="V93" s="99">
        <f t="shared" ca="1" si="59"/>
        <v>281.32733978902138</v>
      </c>
      <c r="W93" s="99">
        <f t="shared" ca="1" si="59"/>
        <v>292.35122308336975</v>
      </c>
      <c r="X93" s="99">
        <f t="shared" ca="1" si="59"/>
        <v>303.6710724114343</v>
      </c>
      <c r="Y93" s="99">
        <f t="shared" ca="1" si="59"/>
        <v>315.36843764419694</v>
      </c>
      <c r="Z93" s="99">
        <f t="shared" ca="1" si="59"/>
        <v>327.43761510219673</v>
      </c>
    </row>
    <row r="94" spans="1:26" x14ac:dyDescent="0.25">
      <c r="A94" s="12" t="s">
        <v>870</v>
      </c>
      <c r="B94" s="14" t="str">
        <f>$B$38</f>
        <v>From Fiscal Forecasts</v>
      </c>
      <c r="C94" s="15"/>
      <c r="D94" s="50">
        <f>'Fiscal Forecasts'!D$80</f>
        <v>27.981999999999999</v>
      </c>
      <c r="E94" s="50">
        <f>'Fiscal Forecasts'!E$80</f>
        <v>42.945</v>
      </c>
      <c r="F94" s="50">
        <f>'Fiscal Forecasts'!F$80</f>
        <v>35.515000000000001</v>
      </c>
      <c r="G94" s="50">
        <f>'Fiscal Forecasts'!G$80</f>
        <v>44.273000000000003</v>
      </c>
      <c r="H94" s="50">
        <f>'Fiscal Forecasts'!H$80</f>
        <v>39.17</v>
      </c>
      <c r="I94" s="50">
        <f>'Fiscal Forecasts'!I$80</f>
        <v>42.335000000000001</v>
      </c>
      <c r="J94" s="50">
        <f>'Fiscal Forecasts'!J$80</f>
        <v>45.927999999999997</v>
      </c>
      <c r="K94" s="50">
        <f>'Fiscal Forecasts'!K$80</f>
        <v>47.884</v>
      </c>
      <c r="L94" s="48">
        <f>'Fiscal Forecasts'!L$80</f>
        <v>50.165999999999997</v>
      </c>
      <c r="M94" s="48">
        <f>'Fiscal Forecasts'!M$80</f>
        <v>51.54</v>
      </c>
      <c r="N94" s="48">
        <f>'Fiscal Forecasts'!N$80</f>
        <v>52.911999999999999</v>
      </c>
      <c r="O94" s="48">
        <f>'Fiscal Forecasts'!O$80</f>
        <v>54.81</v>
      </c>
      <c r="P94" s="48">
        <f>'Fiscal Forecasts'!P$80</f>
        <v>57.018000000000001</v>
      </c>
      <c r="Q94" s="20">
        <f t="shared" ref="Q94:Z94" ca="1" si="60">Q$194</f>
        <v>59.10456213375442</v>
      </c>
      <c r="R94" s="20">
        <f t="shared" ca="1" si="60"/>
        <v>61.74023700058391</v>
      </c>
      <c r="S94" s="20">
        <f t="shared" ca="1" si="60"/>
        <v>64.469799952134792</v>
      </c>
      <c r="T94" s="20">
        <f t="shared" ca="1" si="60"/>
        <v>67.280230577711919</v>
      </c>
      <c r="U94" s="20">
        <f t="shared" ca="1" si="60"/>
        <v>70.249267855938541</v>
      </c>
      <c r="V94" s="20">
        <f t="shared" ca="1" si="60"/>
        <v>73.285258596479949</v>
      </c>
      <c r="W94" s="20">
        <f t="shared" ca="1" si="60"/>
        <v>76.330855742633858</v>
      </c>
      <c r="X94" s="20">
        <f t="shared" ca="1" si="60"/>
        <v>79.398091511624841</v>
      </c>
      <c r="Y94" s="20">
        <f t="shared" ca="1" si="60"/>
        <v>82.473442912902243</v>
      </c>
      <c r="Z94" s="20">
        <f t="shared" ca="1" si="60"/>
        <v>85.578471046868486</v>
      </c>
    </row>
    <row r="95" spans="1:26" x14ac:dyDescent="0.25">
      <c r="A95" s="12" t="s">
        <v>903</v>
      </c>
      <c r="B95" s="14" t="str">
        <f>$B$38</f>
        <v>From Fiscal Forecasts</v>
      </c>
      <c r="C95" s="15"/>
      <c r="D95" s="50">
        <f>'Fiscal Forecasts'!D$81</f>
        <v>72.078999999999994</v>
      </c>
      <c r="E95" s="50">
        <f>'Fiscal Forecasts'!E$81</f>
        <v>77.191999999999993</v>
      </c>
      <c r="F95" s="50">
        <f>'Fiscal Forecasts'!F$81</f>
        <v>84.256</v>
      </c>
      <c r="G95" s="50">
        <f>'Fiscal Forecasts'!G$81</f>
        <v>92.965000000000003</v>
      </c>
      <c r="H95" s="50">
        <f>'Fiscal Forecasts'!H$81</f>
        <v>99.414000000000001</v>
      </c>
      <c r="I95" s="50">
        <f>'Fiscal Forecasts'!I$81</f>
        <v>111.095</v>
      </c>
      <c r="J95" s="50">
        <f>'Fiscal Forecasts'!J$81</f>
        <v>113.733</v>
      </c>
      <c r="K95" s="50">
        <f>'Fiscal Forecasts'!K$81</f>
        <v>114.075</v>
      </c>
      <c r="L95" s="48">
        <f ca="1">'Fiscal Forecasts'!L$81+IF(OFFSET(Assumptions!$B$57,0,$C$1)="Yes",SUM(Allocation!C$10:C$20),0)</f>
        <v>121.869</v>
      </c>
      <c r="M95" s="48">
        <f ca="1">'Fiscal Forecasts'!M$81+IF(OFFSET(Assumptions!$B$57,0,$C$1)="Yes",SUM(Allocation!D$10:D$20),0)</f>
        <v>119.31299999999999</v>
      </c>
      <c r="N95" s="48">
        <f ca="1">'Fiscal Forecasts'!N$81+IF(OFFSET(Assumptions!$B$57,0,$C$1)="Yes",SUM(Allocation!E$10:E$20),0)</f>
        <v>121.249</v>
      </c>
      <c r="O95" s="48">
        <f ca="1">'Fiscal Forecasts'!O$81+IF(OFFSET(Assumptions!$B$57,0,$C$1)="Yes",SUM(Allocation!F$10:F$20),0)</f>
        <v>123.932</v>
      </c>
      <c r="P95" s="48">
        <f ca="1">'Fiscal Forecasts'!P$81+IF(OFFSET(Assumptions!$B$57,0,$C$1)="Yes",SUM(Allocation!G$10:G$20),0)</f>
        <v>127.298</v>
      </c>
      <c r="Q95" s="20">
        <f t="shared" ref="Q95:Z95" ca="1" si="61">SUM(Q$212,Q$227,Q$241)-SUM(Q$115,Q$263,Q$273,Q$313,Q$460-P$460,Q$465-P$465)</f>
        <v>134.10805022798812</v>
      </c>
      <c r="R95" s="20">
        <f t="shared" ca="1" si="61"/>
        <v>141.3062848698396</v>
      </c>
      <c r="S95" s="20">
        <f t="shared" ca="1" si="61"/>
        <v>147.82699682856037</v>
      </c>
      <c r="T95" s="20">
        <f t="shared" ca="1" si="61"/>
        <v>154.27585665154675</v>
      </c>
      <c r="U95" s="20">
        <f t="shared" ca="1" si="61"/>
        <v>160.97535399471701</v>
      </c>
      <c r="V95" s="20">
        <f t="shared" ca="1" si="61"/>
        <v>168.05412723112974</v>
      </c>
      <c r="W95" s="20">
        <f t="shared" ca="1" si="61"/>
        <v>175.41916442738307</v>
      </c>
      <c r="X95" s="20">
        <f t="shared" ca="1" si="61"/>
        <v>183.10958544901646</v>
      </c>
      <c r="Y95" s="20">
        <f t="shared" ca="1" si="61"/>
        <v>191.02441111468846</v>
      </c>
      <c r="Z95" s="20">
        <f t="shared" ca="1" si="61"/>
        <v>199.368798157318</v>
      </c>
    </row>
    <row r="96" spans="1:26" x14ac:dyDescent="0.25">
      <c r="A96" s="12" t="s">
        <v>904</v>
      </c>
      <c r="B96" s="14" t="str">
        <f>$B$38</f>
        <v>From Fiscal Forecasts</v>
      </c>
      <c r="C96" s="15"/>
      <c r="D96" s="50">
        <f>'Fiscal Forecasts'!D$82</f>
        <v>4.0250000000000004</v>
      </c>
      <c r="E96" s="50">
        <f>'Fiscal Forecasts'!E$82</f>
        <v>3.8490000000000002</v>
      </c>
      <c r="F96" s="50">
        <f>'Fiscal Forecasts'!F$82</f>
        <v>3.1469999999999998</v>
      </c>
      <c r="G96" s="50">
        <f>'Fiscal Forecasts'!G$82</f>
        <v>3.2509999999999999</v>
      </c>
      <c r="H96" s="50">
        <f>'Fiscal Forecasts'!H$82</f>
        <v>6.1260000000000003</v>
      </c>
      <c r="I96" s="50">
        <f>'Fiscal Forecasts'!I$82</f>
        <v>8.5790000000000006</v>
      </c>
      <c r="J96" s="50">
        <f>'Fiscal Forecasts'!J$82</f>
        <v>8.8249999999999993</v>
      </c>
      <c r="K96" s="50">
        <f>'Fiscal Forecasts'!K$82</f>
        <v>8.2880000000000003</v>
      </c>
      <c r="L96" s="48">
        <f>'Fiscal Forecasts'!L$82</f>
        <v>9.7680000000000007</v>
      </c>
      <c r="M96" s="48">
        <f>'Fiscal Forecasts'!M$82</f>
        <v>11.063000000000001</v>
      </c>
      <c r="N96" s="48">
        <f>'Fiscal Forecasts'!N$82</f>
        <v>12.731</v>
      </c>
      <c r="O96" s="48">
        <f>'Fiscal Forecasts'!O$82</f>
        <v>13.933</v>
      </c>
      <c r="P96" s="48">
        <f>'Fiscal Forecasts'!P$82</f>
        <v>14.291</v>
      </c>
      <c r="Q96" s="20">
        <f t="shared" ref="Q96:Z96" ca="1" si="62">(2*P$70-SUM(Q$93,Q$106,Q$107)+SUM(Q$94,Q$95,Q$97,Q$109,Q$347-P$347))/(2/Q$235-1)</f>
        <v>16.829640647405512</v>
      </c>
      <c r="R96" s="20">
        <f t="shared" ca="1" si="62"/>
        <v>17.283305908621593</v>
      </c>
      <c r="S96" s="20">
        <f t="shared" ca="1" si="62"/>
        <v>17.82700403434049</v>
      </c>
      <c r="T96" s="20">
        <f t="shared" ca="1" si="62"/>
        <v>18.413100324923782</v>
      </c>
      <c r="U96" s="20">
        <f t="shared" ca="1" si="62"/>
        <v>19.024900109271922</v>
      </c>
      <c r="V96" s="20">
        <f t="shared" ca="1" si="62"/>
        <v>19.547799013713071</v>
      </c>
      <c r="W96" s="20">
        <f t="shared" ca="1" si="62"/>
        <v>20.101508667691107</v>
      </c>
      <c r="X96" s="20">
        <f t="shared" ca="1" si="62"/>
        <v>20.692126586952007</v>
      </c>
      <c r="Y96" s="20">
        <f t="shared" ca="1" si="62"/>
        <v>21.326296919489895</v>
      </c>
      <c r="Z96" s="20">
        <f t="shared" ca="1" si="62"/>
        <v>22.011715013774037</v>
      </c>
    </row>
    <row r="97" spans="1:26" x14ac:dyDescent="0.25">
      <c r="A97" s="12" t="s">
        <v>1185</v>
      </c>
      <c r="B97" s="11"/>
      <c r="C97" s="15"/>
      <c r="D97" s="50">
        <f t="shared" ref="D97:Z97" si="63">SUM(D$246,D$249)</f>
        <v>0</v>
      </c>
      <c r="E97" s="50">
        <f t="shared" si="63"/>
        <v>0</v>
      </c>
      <c r="F97" s="50">
        <f t="shared" si="63"/>
        <v>0</v>
      </c>
      <c r="G97" s="50">
        <f t="shared" si="63"/>
        <v>0</v>
      </c>
      <c r="H97" s="50">
        <f t="shared" si="63"/>
        <v>0</v>
      </c>
      <c r="I97" s="50">
        <f t="shared" si="63"/>
        <v>0</v>
      </c>
      <c r="J97" s="50">
        <f t="shared" si="63"/>
        <v>0</v>
      </c>
      <c r="K97" s="50">
        <f t="shared" si="63"/>
        <v>0</v>
      </c>
      <c r="L97" s="48">
        <f t="shared" ca="1" si="63"/>
        <v>0</v>
      </c>
      <c r="M97" s="48">
        <f t="shared" ca="1" si="63"/>
        <v>0</v>
      </c>
      <c r="N97" s="48">
        <f t="shared" ca="1" si="63"/>
        <v>0</v>
      </c>
      <c r="O97" s="48">
        <f t="shared" ca="1" si="63"/>
        <v>0</v>
      </c>
      <c r="P97" s="48">
        <f t="shared" ca="1" si="63"/>
        <v>0</v>
      </c>
      <c r="Q97" s="20">
        <f t="shared" ca="1" si="63"/>
        <v>0</v>
      </c>
      <c r="R97" s="20">
        <f t="shared" ca="1" si="63"/>
        <v>0</v>
      </c>
      <c r="S97" s="20">
        <f t="shared" ca="1" si="63"/>
        <v>0</v>
      </c>
      <c r="T97" s="20">
        <f t="shared" ca="1" si="63"/>
        <v>0</v>
      </c>
      <c r="U97" s="20">
        <f t="shared" ca="1" si="63"/>
        <v>0</v>
      </c>
      <c r="V97" s="20">
        <f t="shared" ca="1" si="63"/>
        <v>0</v>
      </c>
      <c r="W97" s="20">
        <f t="shared" ca="1" si="63"/>
        <v>0</v>
      </c>
      <c r="X97" s="20">
        <f t="shared" ca="1" si="63"/>
        <v>0</v>
      </c>
      <c r="Y97" s="20">
        <f t="shared" ca="1" si="63"/>
        <v>0</v>
      </c>
      <c r="Z97" s="20">
        <f t="shared" ca="1" si="63"/>
        <v>0</v>
      </c>
    </row>
    <row r="98" spans="1:26" x14ac:dyDescent="0.25">
      <c r="A98" s="11" t="s">
        <v>1186</v>
      </c>
      <c r="B98" s="11"/>
      <c r="C98" s="15"/>
      <c r="D98" s="94">
        <f t="shared" ref="D98:Z98" si="64">SUM(D$94:D$97)</f>
        <v>104.086</v>
      </c>
      <c r="E98" s="94">
        <f t="shared" si="64"/>
        <v>123.986</v>
      </c>
      <c r="F98" s="94">
        <f t="shared" si="64"/>
        <v>122.91800000000001</v>
      </c>
      <c r="G98" s="94">
        <f t="shared" si="64"/>
        <v>140.489</v>
      </c>
      <c r="H98" s="94">
        <f t="shared" si="64"/>
        <v>144.71</v>
      </c>
      <c r="I98" s="94">
        <f t="shared" si="64"/>
        <v>162.00900000000001</v>
      </c>
      <c r="J98" s="94">
        <f t="shared" si="64"/>
        <v>168.48599999999999</v>
      </c>
      <c r="K98" s="94">
        <f t="shared" si="64"/>
        <v>170.24700000000001</v>
      </c>
      <c r="L98" s="95">
        <f t="shared" ca="1" si="64"/>
        <v>181.803</v>
      </c>
      <c r="M98" s="95">
        <f t="shared" ca="1" si="64"/>
        <v>181.91599999999997</v>
      </c>
      <c r="N98" s="95">
        <f t="shared" ca="1" si="64"/>
        <v>186.892</v>
      </c>
      <c r="O98" s="95">
        <f t="shared" ca="1" si="64"/>
        <v>192.67500000000001</v>
      </c>
      <c r="P98" s="95">
        <f t="shared" ca="1" si="64"/>
        <v>198.607</v>
      </c>
      <c r="Q98" s="99">
        <f t="shared" ca="1" si="64"/>
        <v>210.04225300914806</v>
      </c>
      <c r="R98" s="99">
        <f t="shared" ca="1" si="64"/>
        <v>220.3298277790451</v>
      </c>
      <c r="S98" s="99">
        <f t="shared" ca="1" si="64"/>
        <v>230.12380081503565</v>
      </c>
      <c r="T98" s="99">
        <f t="shared" ca="1" si="64"/>
        <v>239.96918755418244</v>
      </c>
      <c r="U98" s="99">
        <f t="shared" ca="1" si="64"/>
        <v>250.24952195992748</v>
      </c>
      <c r="V98" s="99">
        <f t="shared" ca="1" si="64"/>
        <v>260.88718484132278</v>
      </c>
      <c r="W98" s="99">
        <f t="shared" ca="1" si="64"/>
        <v>271.85152883770803</v>
      </c>
      <c r="X98" s="99">
        <f t="shared" ca="1" si="64"/>
        <v>283.19980354759332</v>
      </c>
      <c r="Y98" s="99">
        <f t="shared" ca="1" si="64"/>
        <v>294.82415094708062</v>
      </c>
      <c r="Z98" s="99">
        <f t="shared" ca="1" si="64"/>
        <v>306.95898421796051</v>
      </c>
    </row>
    <row r="99" spans="1:26" x14ac:dyDescent="0.25">
      <c r="A99" s="11" t="s">
        <v>1187</v>
      </c>
      <c r="B99" s="11"/>
      <c r="C99" s="15"/>
      <c r="D99" s="94">
        <f t="shared" ref="D99:Z99" si="65">D$93-D$98</f>
        <v>10.972999999999999</v>
      </c>
      <c r="E99" s="94">
        <f t="shared" si="65"/>
        <v>-10.396000000000001</v>
      </c>
      <c r="F99" s="94">
        <f t="shared" si="65"/>
        <v>3.1040000000000134</v>
      </c>
      <c r="G99" s="94">
        <f t="shared" si="65"/>
        <v>-5.3770000000000095</v>
      </c>
      <c r="H99" s="94">
        <f t="shared" si="65"/>
        <v>4.5249999999999773</v>
      </c>
      <c r="I99" s="94">
        <f t="shared" si="65"/>
        <v>-2.30600000000004</v>
      </c>
      <c r="J99" s="94">
        <f t="shared" si="65"/>
        <v>0.69900000000001228</v>
      </c>
      <c r="K99" s="94">
        <f t="shared" si="65"/>
        <v>2.5319999999999823</v>
      </c>
      <c r="L99" s="95">
        <f t="shared" ca="1" si="65"/>
        <v>-3.7999999999999829</v>
      </c>
      <c r="M99" s="95">
        <f t="shared" ca="1" si="65"/>
        <v>7.6470000000000198</v>
      </c>
      <c r="N99" s="95">
        <f t="shared" ca="1" si="65"/>
        <v>13.779000000000025</v>
      </c>
      <c r="O99" s="95">
        <f t="shared" ca="1" si="65"/>
        <v>18.783999999999992</v>
      </c>
      <c r="P99" s="95">
        <f t="shared" ca="1" si="65"/>
        <v>22.454999999999984</v>
      </c>
      <c r="Q99" s="99">
        <f t="shared" ca="1" si="65"/>
        <v>20.992545458589547</v>
      </c>
      <c r="R99" s="99">
        <f t="shared" ca="1" si="65"/>
        <v>19.911634953544876</v>
      </c>
      <c r="S99" s="99">
        <f t="shared" ca="1" si="65"/>
        <v>19.7101635395816</v>
      </c>
      <c r="T99" s="99">
        <f t="shared" ca="1" si="65"/>
        <v>20.034379015182594</v>
      </c>
      <c r="U99" s="99">
        <f t="shared" ca="1" si="65"/>
        <v>20.351890572634289</v>
      </c>
      <c r="V99" s="99">
        <f t="shared" ca="1" si="65"/>
        <v>20.440154947698602</v>
      </c>
      <c r="W99" s="99">
        <f t="shared" ca="1" si="65"/>
        <v>20.499694245661715</v>
      </c>
      <c r="X99" s="99">
        <f t="shared" ca="1" si="65"/>
        <v>20.471268863840976</v>
      </c>
      <c r="Y99" s="99">
        <f t="shared" ca="1" si="65"/>
        <v>20.54428669711632</v>
      </c>
      <c r="Z99" s="99">
        <f t="shared" ca="1" si="65"/>
        <v>20.478630884236225</v>
      </c>
    </row>
    <row r="100" spans="1:26" x14ac:dyDescent="0.25">
      <c r="A100" s="12" t="s">
        <v>1188</v>
      </c>
      <c r="B100" s="14" t="str">
        <f>$B$38</f>
        <v>From Fiscal Forecasts</v>
      </c>
      <c r="C100" s="15"/>
      <c r="D100" s="50">
        <f>-'Fiscal Forecasts'!D$85</f>
        <v>8.4640000000000004</v>
      </c>
      <c r="E100" s="50">
        <f>-'Fiscal Forecasts'!E$85</f>
        <v>9.0709999999999997</v>
      </c>
      <c r="F100" s="50">
        <f>-'Fiscal Forecasts'!F$85</f>
        <v>9.3930000000000007</v>
      </c>
      <c r="G100" s="50">
        <f>-'Fiscal Forecasts'!G$85</f>
        <v>10.571999999999999</v>
      </c>
      <c r="H100" s="50">
        <f>-'Fiscal Forecasts'!H$85</f>
        <v>14.271000000000001</v>
      </c>
      <c r="I100" s="50">
        <f>-'Fiscal Forecasts'!I$85</f>
        <v>16.948</v>
      </c>
      <c r="J100" s="50">
        <f>-'Fiscal Forecasts'!J$85</f>
        <v>14.054</v>
      </c>
      <c r="K100" s="50">
        <f>-'Fiscal Forecasts'!K$85</f>
        <v>14.308999999999999</v>
      </c>
      <c r="L100" s="48">
        <f>-'Fiscal Forecasts'!L$85</f>
        <v>16.707000000000001</v>
      </c>
      <c r="M100" s="48">
        <f>-'Fiscal Forecasts'!M$85</f>
        <v>17.111999999999998</v>
      </c>
      <c r="N100" s="48">
        <f>-'Fiscal Forecasts'!N$85</f>
        <v>15.180999999999999</v>
      </c>
      <c r="O100" s="48">
        <f>-'Fiscal Forecasts'!O$85</f>
        <v>13.492000000000001</v>
      </c>
      <c r="P100" s="48">
        <f>-'Fiscal Forecasts'!P$85</f>
        <v>13.242000000000001</v>
      </c>
      <c r="Q100" s="20">
        <f t="shared" ref="Q100:Z100" ca="1" si="66">SUM(Q$420-P$420,Q$218)</f>
        <v>12.80170735316336</v>
      </c>
      <c r="R100" s="20">
        <f t="shared" ca="1" si="66"/>
        <v>12.960241809991984</v>
      </c>
      <c r="S100" s="20">
        <f t="shared" ca="1" si="66"/>
        <v>13.121946955957245</v>
      </c>
      <c r="T100" s="20">
        <f t="shared" ca="1" si="66"/>
        <v>13.286886204841647</v>
      </c>
      <c r="U100" s="20">
        <f t="shared" ca="1" si="66"/>
        <v>13.455124238704002</v>
      </c>
      <c r="V100" s="20">
        <f t="shared" ca="1" si="66"/>
        <v>13.62672703324338</v>
      </c>
      <c r="W100" s="20">
        <f t="shared" ca="1" si="66"/>
        <v>13.801761883673636</v>
      </c>
      <c r="X100" s="20">
        <f t="shared" ca="1" si="66"/>
        <v>13.980297431112486</v>
      </c>
      <c r="Y100" s="20">
        <f t="shared" ca="1" si="66"/>
        <v>14.162403689500188</v>
      </c>
      <c r="Z100" s="20">
        <f t="shared" ca="1" si="66"/>
        <v>14.348152073055465</v>
      </c>
    </row>
    <row r="101" spans="1:26" x14ac:dyDescent="0.25">
      <c r="A101" s="12" t="s">
        <v>1189</v>
      </c>
      <c r="B101" s="14" t="str">
        <f>$B$38</f>
        <v>From Fiscal Forecasts</v>
      </c>
      <c r="C101" s="15"/>
      <c r="D101" s="50">
        <f>-'Fiscal Forecasts'!D$86</f>
        <v>-3.8039999999999998</v>
      </c>
      <c r="E101" s="50">
        <f>-'Fiscal Forecasts'!E$86</f>
        <v>14.148999999999999</v>
      </c>
      <c r="F101" s="50">
        <f>-'Fiscal Forecasts'!F$86</f>
        <v>-4.1890000000000001</v>
      </c>
      <c r="G101" s="50">
        <f>-'Fiscal Forecasts'!G$86</f>
        <v>4.9859999999999998</v>
      </c>
      <c r="H101" s="50">
        <f>-'Fiscal Forecasts'!H$86</f>
        <v>4.9059999999999997</v>
      </c>
      <c r="I101" s="50">
        <f>-'Fiscal Forecasts'!I$86</f>
        <v>10.231999999999999</v>
      </c>
      <c r="J101" s="50">
        <f>-'Fiscal Forecasts'!J$86</f>
        <v>9.7810000000000006</v>
      </c>
      <c r="K101" s="50">
        <f>-'Fiscal Forecasts'!K$86</f>
        <v>3.504</v>
      </c>
      <c r="L101" s="48">
        <f>-'Fiscal Forecasts'!L$86</f>
        <v>-3.746</v>
      </c>
      <c r="M101" s="48">
        <f>-'Fiscal Forecasts'!M$86</f>
        <v>1.909</v>
      </c>
      <c r="N101" s="48">
        <f>-'Fiscal Forecasts'!N$86</f>
        <v>2.5790000000000002</v>
      </c>
      <c r="O101" s="48">
        <f>-'Fiscal Forecasts'!O$86</f>
        <v>2.3109999999999999</v>
      </c>
      <c r="P101" s="48">
        <f>-'Fiscal Forecasts'!P$86</f>
        <v>0.222</v>
      </c>
      <c r="Q101" s="20">
        <f t="shared" ref="Q101:Z101" ca="1" si="67">SUM(Q$363-P$363,Q$372-P$372,Q$388-P$388)-SUM(Q$331,Q$334:Q$336)</f>
        <v>1.9837876892064781</v>
      </c>
      <c r="R101" s="20">
        <f t="shared" ca="1" si="67"/>
        <v>2.6988843835896503</v>
      </c>
      <c r="S101" s="20">
        <f t="shared" ca="1" si="67"/>
        <v>2.7449456672463821</v>
      </c>
      <c r="T101" s="20">
        <f t="shared" ca="1" si="67"/>
        <v>2.8265504614891821</v>
      </c>
      <c r="U101" s="20">
        <f t="shared" ca="1" si="67"/>
        <v>2.8717934592542171</v>
      </c>
      <c r="V101" s="20">
        <f t="shared" ca="1" si="67"/>
        <v>2.8030716584328381</v>
      </c>
      <c r="W101" s="20">
        <f t="shared" ca="1" si="67"/>
        <v>2.7603825830188526</v>
      </c>
      <c r="X101" s="20">
        <f t="shared" ca="1" si="67"/>
        <v>2.7752212758059098</v>
      </c>
      <c r="Y101" s="20">
        <f t="shared" ca="1" si="67"/>
        <v>2.9090510953257844</v>
      </c>
      <c r="Z101" s="20">
        <f t="shared" ca="1" si="67"/>
        <v>3.0999013669731141</v>
      </c>
    </row>
    <row r="102" spans="1:26" x14ac:dyDescent="0.25">
      <c r="A102" s="12" t="s">
        <v>1190</v>
      </c>
      <c r="B102" s="14" t="str">
        <f>$B$38</f>
        <v>From Fiscal Forecasts</v>
      </c>
      <c r="C102" s="15"/>
      <c r="D102" s="50">
        <f>-'Fiscal Forecasts'!D$87</f>
        <v>0.79100000000000004</v>
      </c>
      <c r="E102" s="50">
        <f>-'Fiscal Forecasts'!E$87</f>
        <v>0.85499999999999998</v>
      </c>
      <c r="F102" s="50">
        <f>-'Fiscal Forecasts'!F$87</f>
        <v>0.89800000000000002</v>
      </c>
      <c r="G102" s="50">
        <f>-'Fiscal Forecasts'!G$87</f>
        <v>0.71</v>
      </c>
      <c r="H102" s="50">
        <f>-'Fiscal Forecasts'!H$87</f>
        <v>0.86799999999999999</v>
      </c>
      <c r="I102" s="50">
        <f>-'Fiscal Forecasts'!I$87</f>
        <v>0.86</v>
      </c>
      <c r="J102" s="50">
        <f>-'Fiscal Forecasts'!J$87</f>
        <v>0.65500000000000003</v>
      </c>
      <c r="K102" s="50">
        <f>-'Fiscal Forecasts'!K$87</f>
        <v>0.64300000000000002</v>
      </c>
      <c r="L102" s="48">
        <f>-'Fiscal Forecasts'!L$87</f>
        <v>0.75900000000000001</v>
      </c>
      <c r="M102" s="48">
        <f>-'Fiscal Forecasts'!M$87</f>
        <v>0.73799999999999999</v>
      </c>
      <c r="N102" s="48">
        <f>-'Fiscal Forecasts'!N$87</f>
        <v>0.70799999999999996</v>
      </c>
      <c r="O102" s="48">
        <f>-'Fiscal Forecasts'!O$87</f>
        <v>0.70399999999999996</v>
      </c>
      <c r="P102" s="48">
        <f>-'Fiscal Forecasts'!P$87</f>
        <v>0.68500000000000005</v>
      </c>
      <c r="Q102" s="20">
        <f t="shared" ref="Q102:Z102" ca="1" si="68">SUM(Q$429-P$429,Q$115)</f>
        <v>0.99164146093765448</v>
      </c>
      <c r="R102" s="20">
        <f t="shared" ca="1" si="68"/>
        <v>1.0172626022435238</v>
      </c>
      <c r="S102" s="20">
        <f t="shared" ca="1" si="68"/>
        <v>1.0441580471889353</v>
      </c>
      <c r="T102" s="20">
        <f t="shared" ca="1" si="68"/>
        <v>1.0713842593911125</v>
      </c>
      <c r="U102" s="20">
        <f t="shared" ca="1" si="68"/>
        <v>1.1007231483534818</v>
      </c>
      <c r="V102" s="20">
        <f t="shared" ca="1" si="68"/>
        <v>1.1309755012288574</v>
      </c>
      <c r="W102" s="20">
        <f t="shared" ca="1" si="68"/>
        <v>1.1614050399844456</v>
      </c>
      <c r="X102" s="20">
        <f t="shared" ca="1" si="68"/>
        <v>1.1928126038600233</v>
      </c>
      <c r="Y102" s="20">
        <f t="shared" ca="1" si="68"/>
        <v>1.2257716083638355</v>
      </c>
      <c r="Z102" s="20">
        <f t="shared" ca="1" si="68"/>
        <v>1.2597030479597848</v>
      </c>
    </row>
    <row r="103" spans="1:26" x14ac:dyDescent="0.25">
      <c r="A103" s="12" t="s">
        <v>1191</v>
      </c>
      <c r="B103" s="14" t="str">
        <f>$B$38</f>
        <v>From Fiscal Forecasts</v>
      </c>
      <c r="C103" s="15"/>
      <c r="D103" s="50">
        <f>-'Fiscal Forecasts'!D$88</f>
        <v>1.9019999999999999</v>
      </c>
      <c r="E103" s="50">
        <f>-'Fiscal Forecasts'!E$88</f>
        <v>1.29</v>
      </c>
      <c r="F103" s="50">
        <f>-'Fiscal Forecasts'!F$88</f>
        <v>5.6630000000000003</v>
      </c>
      <c r="G103" s="50">
        <f>-'Fiscal Forecasts'!G$88</f>
        <v>12.958</v>
      </c>
      <c r="H103" s="50">
        <f>-'Fiscal Forecasts'!H$88</f>
        <v>8.2149999999999999</v>
      </c>
      <c r="I103" s="50">
        <f>-'Fiscal Forecasts'!I$88</f>
        <v>-0.151</v>
      </c>
      <c r="J103" s="50">
        <f>-'Fiscal Forecasts'!J$88</f>
        <v>-5.8879999999999999</v>
      </c>
      <c r="K103" s="50">
        <f>-'Fiscal Forecasts'!K$88</f>
        <v>-3.6070000000000002</v>
      </c>
      <c r="L103" s="48">
        <f>-'Fiscal Forecasts'!L$88</f>
        <v>3.653</v>
      </c>
      <c r="M103" s="48">
        <f>-'Fiscal Forecasts'!M$88</f>
        <v>5.1550000000000002</v>
      </c>
      <c r="N103" s="48">
        <f>-'Fiscal Forecasts'!N$88</f>
        <v>5.5149999999999997</v>
      </c>
      <c r="O103" s="48">
        <f>-'Fiscal Forecasts'!O$88</f>
        <v>5.9749999999999996</v>
      </c>
      <c r="P103" s="48">
        <f>-'Fiscal Forecasts'!P$88</f>
        <v>6.2590000000000003</v>
      </c>
      <c r="Q103" s="20">
        <f t="shared" ref="Q103:Z103" ca="1" si="69">SUM(Q$397-P$397,Q$402,-Q$404)</f>
        <v>4.3256040525072459</v>
      </c>
      <c r="R103" s="20">
        <f t="shared" ca="1" si="69"/>
        <v>3.796813452335003</v>
      </c>
      <c r="S103" s="20">
        <f t="shared" ca="1" si="69"/>
        <v>3.8836397704301993</v>
      </c>
      <c r="T103" s="20">
        <f t="shared" ca="1" si="69"/>
        <v>3.9629372065793005</v>
      </c>
      <c r="U103" s="20">
        <f t="shared" ca="1" si="69"/>
        <v>4.0750999071931329</v>
      </c>
      <c r="V103" s="20">
        <f t="shared" ca="1" si="69"/>
        <v>4.1958768417042132</v>
      </c>
      <c r="W103" s="20">
        <f t="shared" ca="1" si="69"/>
        <v>4.3078513858196112</v>
      </c>
      <c r="X103" s="20">
        <f t="shared" ca="1" si="69"/>
        <v>4.4369983310530081</v>
      </c>
      <c r="Y103" s="20">
        <f t="shared" ca="1" si="69"/>
        <v>4.6000964057544325</v>
      </c>
      <c r="Z103" s="20">
        <f t="shared" ca="1" si="69"/>
        <v>4.7734375495032326</v>
      </c>
    </row>
    <row r="104" spans="1:26" x14ac:dyDescent="0.25">
      <c r="A104" s="12" t="s">
        <v>1192</v>
      </c>
      <c r="B104" s="14" t="str">
        <f>$B$38</f>
        <v>From Fiscal Forecasts</v>
      </c>
      <c r="C104" s="15"/>
      <c r="D104" s="50">
        <f>-'Fiscal Forecasts'!D$89</f>
        <v>-0.13600000000000001</v>
      </c>
      <c r="E104" s="50">
        <f>-'Fiscal Forecasts'!E$89</f>
        <v>0.28599999999999998</v>
      </c>
      <c r="F104" s="50">
        <f>-'Fiscal Forecasts'!F$89</f>
        <v>0.39200000000000002</v>
      </c>
      <c r="G104" s="50">
        <f>-'Fiscal Forecasts'!G$89</f>
        <v>0.44800000000000001</v>
      </c>
      <c r="H104" s="50">
        <f>-'Fiscal Forecasts'!H$89</f>
        <v>0.20200000000000001</v>
      </c>
      <c r="I104" s="50">
        <f>-'Fiscal Forecasts'!I$89</f>
        <v>0.39700000000000002</v>
      </c>
      <c r="J104" s="50">
        <f>-'Fiscal Forecasts'!J$89</f>
        <v>0.40400000000000003</v>
      </c>
      <c r="K104" s="50">
        <f>-'Fiscal Forecasts'!K$89</f>
        <v>0.44700000000000001</v>
      </c>
      <c r="L104" s="48">
        <f>-'Fiscal Forecasts'!L$89</f>
        <v>0.30599999999999999</v>
      </c>
      <c r="M104" s="48">
        <f>-'Fiscal Forecasts'!M$89</f>
        <v>0.14399999999999999</v>
      </c>
      <c r="N104" s="48">
        <f>-'Fiscal Forecasts'!N$89</f>
        <v>4.5999999999999999E-2</v>
      </c>
      <c r="O104" s="48">
        <f>-'Fiscal Forecasts'!O$89</f>
        <v>4.5999999999999999E-2</v>
      </c>
      <c r="P104" s="48">
        <f>-'Fiscal Forecasts'!P$89</f>
        <v>4.4999999999999998E-2</v>
      </c>
      <c r="Q104" s="20">
        <f t="shared" ref="Q104:Z104" ca="1" si="70">SUM(Q$424-P$424,-Q$341)</f>
        <v>0.32345283774862377</v>
      </c>
      <c r="R104" s="20">
        <f t="shared" ca="1" si="70"/>
        <v>0.32827357558672093</v>
      </c>
      <c r="S104" s="20">
        <f t="shared" ca="1" si="70"/>
        <v>0.33317054040800032</v>
      </c>
      <c r="T104" s="20">
        <f t="shared" ca="1" si="70"/>
        <v>0.33815436948875899</v>
      </c>
      <c r="U104" s="20">
        <f t="shared" ca="1" si="70"/>
        <v>0.34318929924724173</v>
      </c>
      <c r="V104" s="20">
        <f t="shared" ca="1" si="70"/>
        <v>0.34827742761570046</v>
      </c>
      <c r="W104" s="20">
        <f t="shared" ca="1" si="70"/>
        <v>0.35343975578156162</v>
      </c>
      <c r="X104" s="20">
        <f t="shared" ca="1" si="70"/>
        <v>0.35867372671614572</v>
      </c>
      <c r="Y104" s="20">
        <f t="shared" ca="1" si="70"/>
        <v>0.36396351220295858</v>
      </c>
      <c r="Z104" s="20">
        <f t="shared" ca="1" si="70"/>
        <v>0.36931169937688901</v>
      </c>
    </row>
    <row r="105" spans="1:26" x14ac:dyDescent="0.25">
      <c r="A105" s="12" t="s">
        <v>1193</v>
      </c>
      <c r="B105" s="11"/>
      <c r="C105" s="15"/>
      <c r="D105" s="50">
        <f t="shared" ref="D105:Z105" si="71">SUM(D$432-C$432,D$435-C$435)</f>
        <v>0</v>
      </c>
      <c r="E105" s="50">
        <f t="shared" si="71"/>
        <v>0</v>
      </c>
      <c r="F105" s="50">
        <f t="shared" si="71"/>
        <v>0</v>
      </c>
      <c r="G105" s="50">
        <f t="shared" si="71"/>
        <v>0</v>
      </c>
      <c r="H105" s="50">
        <f t="shared" si="71"/>
        <v>0</v>
      </c>
      <c r="I105" s="50">
        <f t="shared" si="71"/>
        <v>0</v>
      </c>
      <c r="J105" s="50">
        <f t="shared" si="71"/>
        <v>0</v>
      </c>
      <c r="K105" s="50">
        <f t="shared" si="71"/>
        <v>0</v>
      </c>
      <c r="L105" s="48">
        <f t="shared" si="71"/>
        <v>-6.0000000000000053E-3</v>
      </c>
      <c r="M105" s="48">
        <f t="shared" si="71"/>
        <v>2.3870000000000005</v>
      </c>
      <c r="N105" s="48">
        <f t="shared" si="71"/>
        <v>3.628000000000001</v>
      </c>
      <c r="O105" s="48">
        <f t="shared" si="71"/>
        <v>4.3800000000000008</v>
      </c>
      <c r="P105" s="48">
        <f t="shared" si="71"/>
        <v>5.168000000000001</v>
      </c>
      <c r="Q105" s="20">
        <f t="shared" ca="1" si="71"/>
        <v>5.782</v>
      </c>
      <c r="R105" s="20">
        <f t="shared" ca="1" si="71"/>
        <v>6.7545000000000002</v>
      </c>
      <c r="S105" s="20">
        <f t="shared" ca="1" si="71"/>
        <v>7.4056250000000041</v>
      </c>
      <c r="T105" s="20">
        <f t="shared" ca="1" si="71"/>
        <v>7.707306250000002</v>
      </c>
      <c r="U105" s="20">
        <f t="shared" ca="1" si="71"/>
        <v>8.0926715625000014</v>
      </c>
      <c r="V105" s="20">
        <f t="shared" ca="1" si="71"/>
        <v>8.4973051406250022</v>
      </c>
      <c r="W105" s="20">
        <f t="shared" ca="1" si="71"/>
        <v>8.9221703976562452</v>
      </c>
      <c r="X105" s="20">
        <f t="shared" ca="1" si="71"/>
        <v>9.3682789175390724</v>
      </c>
      <c r="Y105" s="20">
        <f t="shared" ca="1" si="71"/>
        <v>9.8366928634160189</v>
      </c>
      <c r="Z105" s="20">
        <f t="shared" ca="1" si="71"/>
        <v>10.328527506586823</v>
      </c>
    </row>
    <row r="106" spans="1:26" x14ac:dyDescent="0.25">
      <c r="A106" s="11" t="s">
        <v>1194</v>
      </c>
      <c r="B106" s="11"/>
      <c r="C106" s="15"/>
      <c r="D106" s="94">
        <f t="shared" ref="D106:Z106" si="72">-SUM(D$100:D$105)</f>
        <v>-7.2170000000000005</v>
      </c>
      <c r="E106" s="94">
        <f t="shared" si="72"/>
        <v>-25.651</v>
      </c>
      <c r="F106" s="94">
        <f t="shared" si="72"/>
        <v>-12.157</v>
      </c>
      <c r="G106" s="94">
        <f t="shared" si="72"/>
        <v>-29.673999999999999</v>
      </c>
      <c r="H106" s="94">
        <f t="shared" si="72"/>
        <v>-28.462</v>
      </c>
      <c r="I106" s="94">
        <f t="shared" si="72"/>
        <v>-28.285999999999998</v>
      </c>
      <c r="J106" s="94">
        <f t="shared" si="72"/>
        <v>-19.006000000000004</v>
      </c>
      <c r="K106" s="94">
        <f t="shared" si="72"/>
        <v>-15.295999999999999</v>
      </c>
      <c r="L106" s="95">
        <f t="shared" si="72"/>
        <v>-17.673000000000002</v>
      </c>
      <c r="M106" s="95">
        <f t="shared" si="72"/>
        <v>-27.444999999999997</v>
      </c>
      <c r="N106" s="95">
        <f t="shared" si="72"/>
        <v>-27.656999999999996</v>
      </c>
      <c r="O106" s="95">
        <f t="shared" si="72"/>
        <v>-26.908000000000001</v>
      </c>
      <c r="P106" s="95">
        <f t="shared" si="72"/>
        <v>-25.621000000000002</v>
      </c>
      <c r="Q106" s="99">
        <f t="shared" ca="1" si="72"/>
        <v>-26.208193393563359</v>
      </c>
      <c r="R106" s="99">
        <f t="shared" ca="1" si="72"/>
        <v>-27.555975823746881</v>
      </c>
      <c r="S106" s="99">
        <f t="shared" ca="1" si="72"/>
        <v>-28.533485981230768</v>
      </c>
      <c r="T106" s="99">
        <f t="shared" ca="1" si="72"/>
        <v>-29.193218751790003</v>
      </c>
      <c r="U106" s="99">
        <f t="shared" ca="1" si="72"/>
        <v>-29.938601615252075</v>
      </c>
      <c r="V106" s="99">
        <f t="shared" ca="1" si="72"/>
        <v>-30.602233602849989</v>
      </c>
      <c r="W106" s="99">
        <f t="shared" ca="1" si="72"/>
        <v>-31.307011045934349</v>
      </c>
      <c r="X106" s="99">
        <f t="shared" ca="1" si="72"/>
        <v>-32.112282286086639</v>
      </c>
      <c r="Y106" s="99">
        <f t="shared" ca="1" si="72"/>
        <v>-33.097979174563221</v>
      </c>
      <c r="Z106" s="99">
        <f t="shared" ca="1" si="72"/>
        <v>-34.179033243455308</v>
      </c>
    </row>
    <row r="107" spans="1:26" x14ac:dyDescent="0.25">
      <c r="A107" s="12" t="s">
        <v>914</v>
      </c>
      <c r="B107" s="14" t="str">
        <f>$B$38</f>
        <v>From Fiscal Forecasts</v>
      </c>
      <c r="C107" s="15"/>
      <c r="D107" s="50">
        <f>'Fiscal Forecasts'!D$92</f>
        <v>0.437</v>
      </c>
      <c r="E107" s="50">
        <f>'Fiscal Forecasts'!E$92</f>
        <v>1.2090000000000001</v>
      </c>
      <c r="F107" s="50">
        <f>'Fiscal Forecasts'!F$92</f>
        <v>0.23400000000000001</v>
      </c>
      <c r="G107" s="50">
        <f>'Fiscal Forecasts'!G$92</f>
        <v>0.80500000000000005</v>
      </c>
      <c r="H107" s="50">
        <f>'Fiscal Forecasts'!H$92</f>
        <v>-5.8999999999999997E-2</v>
      </c>
      <c r="I107" s="50">
        <f>'Fiscal Forecasts'!I$92</f>
        <v>-2.4E-2</v>
      </c>
      <c r="J107" s="50">
        <f>'Fiscal Forecasts'!J$92</f>
        <v>0.17499999999999999</v>
      </c>
      <c r="K107" s="50">
        <f>'Fiscal Forecasts'!K$92</f>
        <v>1.1100000000000001</v>
      </c>
      <c r="L107" s="48">
        <f>'Fiscal Forecasts'!L$92</f>
        <v>-0.45600000000000002</v>
      </c>
      <c r="M107" s="48">
        <f>'Fiscal Forecasts'!M$92</f>
        <v>9.8000000000000004E-2</v>
      </c>
      <c r="N107" s="48">
        <f>'Fiscal Forecasts'!N$92</f>
        <v>9.9000000000000005E-2</v>
      </c>
      <c r="O107" s="48">
        <f>'Fiscal Forecasts'!O$92</f>
        <v>0.1</v>
      </c>
      <c r="P107" s="48">
        <f>'Fiscal Forecasts'!P$92</f>
        <v>0.10100000000000001</v>
      </c>
      <c r="Q107" s="20">
        <f t="shared" ref="Q107:Z107" ca="1" si="73">Q$439-P$439</f>
        <v>0.20407999999999937</v>
      </c>
      <c r="R107" s="20">
        <f t="shared" ca="1" si="73"/>
        <v>0.20816160000000039</v>
      </c>
      <c r="S107" s="20">
        <f t="shared" ca="1" si="73"/>
        <v>0.21232483200000019</v>
      </c>
      <c r="T107" s="20">
        <f t="shared" ca="1" si="73"/>
        <v>0.21657132864000062</v>
      </c>
      <c r="U107" s="20">
        <f t="shared" ca="1" si="73"/>
        <v>0.22090275521279956</v>
      </c>
      <c r="V107" s="20">
        <f t="shared" ca="1" si="73"/>
        <v>0.22532081031705609</v>
      </c>
      <c r="W107" s="20">
        <f t="shared" ca="1" si="73"/>
        <v>0.2298272265233976</v>
      </c>
      <c r="X107" s="20">
        <f t="shared" ca="1" si="73"/>
        <v>0.23442377105386569</v>
      </c>
      <c r="Y107" s="20">
        <f t="shared" ca="1" si="73"/>
        <v>0.23911224647494222</v>
      </c>
      <c r="Z107" s="20">
        <f t="shared" ca="1" si="73"/>
        <v>0.24389449140444164</v>
      </c>
    </row>
    <row r="108" spans="1:26" x14ac:dyDescent="0.25">
      <c r="A108" s="12" t="s">
        <v>1195</v>
      </c>
      <c r="B108" s="14" t="str">
        <f>$B$38</f>
        <v>From Fiscal Forecasts</v>
      </c>
      <c r="C108" s="15"/>
      <c r="D108" s="50">
        <f>SUM('Fiscal Forecasts'!D$93:D$96)</f>
        <v>-2.5789999999999997</v>
      </c>
      <c r="E108" s="50">
        <f>SUM('Fiscal Forecasts'!E$93:E$96)</f>
        <v>36.155999999999999</v>
      </c>
      <c r="F108" s="50">
        <f>SUM('Fiscal Forecasts'!F$93:F$96)</f>
        <v>7.3529999999999998</v>
      </c>
      <c r="G108" s="50">
        <f>SUM('Fiscal Forecasts'!G$93:G$96)</f>
        <v>33.409000000000006</v>
      </c>
      <c r="H108" s="50">
        <f>SUM('Fiscal Forecasts'!H$93:H$96)</f>
        <v>24.929000000000002</v>
      </c>
      <c r="I108" s="50">
        <f>SUM('Fiscal Forecasts'!I$93:I$96)</f>
        <v>28.588000000000001</v>
      </c>
      <c r="J108" s="50">
        <f>SUM('Fiscal Forecasts'!J$93:J$96)</f>
        <v>25.934000000000001</v>
      </c>
      <c r="K108" s="50">
        <f>SUM('Fiscal Forecasts'!K$93:K$96)</f>
        <v>16.634</v>
      </c>
      <c r="L108" s="48">
        <f>SUM('Fiscal Forecasts'!L$93:L$96)</f>
        <v>22.564000000000004</v>
      </c>
      <c r="M108" s="48">
        <f>SUM('Fiscal Forecasts'!M$93:M$96)</f>
        <v>19.970999999999997</v>
      </c>
      <c r="N108" s="48">
        <f>SUM('Fiscal Forecasts'!N$93:N$96)</f>
        <v>14.593</v>
      </c>
      <c r="O108" s="48">
        <f>SUM('Fiscal Forecasts'!O$93:O$96)</f>
        <v>8.2569999999999997</v>
      </c>
      <c r="P108" s="48">
        <f>SUM('Fiscal Forecasts'!P$93:P$96)</f>
        <v>3.2669999999999995</v>
      </c>
      <c r="Q108" s="20">
        <f t="shared" ref="Q108:Z108" ca="1" si="74">Q$347-P$347-SUM(Q$99,Q$106,Q$107)</f>
        <v>6.2829046659143142</v>
      </c>
      <c r="R108" s="20">
        <f t="shared" ca="1" si="74"/>
        <v>8.7596789621973379</v>
      </c>
      <c r="S108" s="20">
        <f t="shared" ca="1" si="74"/>
        <v>9.9729048064960999</v>
      </c>
      <c r="T108" s="20">
        <f t="shared" ca="1" si="74"/>
        <v>10.340813519943868</v>
      </c>
      <c r="U108" s="20">
        <f t="shared" ca="1" si="74"/>
        <v>10.813653898686736</v>
      </c>
      <c r="V108" s="20">
        <f t="shared" ca="1" si="74"/>
        <v>11.436002647796974</v>
      </c>
      <c r="W108" s="20">
        <f t="shared" ca="1" si="74"/>
        <v>12.124657305000579</v>
      </c>
      <c r="X108" s="20">
        <f t="shared" ca="1" si="74"/>
        <v>13.006641760035894</v>
      </c>
      <c r="Y108" s="20">
        <f t="shared" ca="1" si="74"/>
        <v>13.978122721795248</v>
      </c>
      <c r="Z108" s="20">
        <f t="shared" ca="1" si="74"/>
        <v>15.187355513459009</v>
      </c>
    </row>
    <row r="109" spans="1:26" x14ac:dyDescent="0.25">
      <c r="A109" s="12" t="s">
        <v>1196</v>
      </c>
      <c r="B109" s="14" t="str">
        <f>$B$38</f>
        <v>From Fiscal Forecasts</v>
      </c>
      <c r="C109" s="15"/>
      <c r="D109" s="50">
        <f>-'Fiscal Forecasts'!D$97</f>
        <v>0.504</v>
      </c>
      <c r="E109" s="50">
        <f>-'Fiscal Forecasts'!E$97</f>
        <v>0.47899999999999998</v>
      </c>
      <c r="F109" s="50">
        <f>-'Fiscal Forecasts'!F$97</f>
        <v>0.373</v>
      </c>
      <c r="G109" s="50">
        <f>-'Fiscal Forecasts'!G$97</f>
        <v>0.30399999999999999</v>
      </c>
      <c r="H109" s="50">
        <f>-'Fiscal Forecasts'!H$97</f>
        <v>0.372</v>
      </c>
      <c r="I109" s="50">
        <f>-'Fiscal Forecasts'!I$97</f>
        <v>0.505</v>
      </c>
      <c r="J109" s="50">
        <f>-'Fiscal Forecasts'!J$97</f>
        <v>0.40899999999999997</v>
      </c>
      <c r="K109" s="50">
        <f>-'Fiscal Forecasts'!K$97</f>
        <v>0.40600000000000003</v>
      </c>
      <c r="L109" s="48">
        <f>-'Fiscal Forecasts'!L$97</f>
        <v>0.46100000000000002</v>
      </c>
      <c r="M109" s="48">
        <f>-'Fiscal Forecasts'!M$97</f>
        <v>0.49099999999999999</v>
      </c>
      <c r="N109" s="48">
        <f>-'Fiscal Forecasts'!N$97</f>
        <v>0.54100000000000004</v>
      </c>
      <c r="O109" s="48">
        <f>-'Fiscal Forecasts'!O$97</f>
        <v>0.60199999999999998</v>
      </c>
      <c r="P109" s="48">
        <f>-'Fiscal Forecasts'!P$97</f>
        <v>0.63300000000000001</v>
      </c>
      <c r="Q109" s="20">
        <f t="shared" ref="Q109:Z109" si="75">Q$38-Q$40</f>
        <v>0.54411323896752695</v>
      </c>
      <c r="R109" s="20">
        <f t="shared" ca="1" si="75"/>
        <v>0.54065541675415252</v>
      </c>
      <c r="S109" s="20">
        <f t="shared" ca="1" si="75"/>
        <v>0.5379055157976036</v>
      </c>
      <c r="T109" s="20">
        <f t="shared" ca="1" si="75"/>
        <v>0.53614116199434136</v>
      </c>
      <c r="U109" s="20">
        <f t="shared" ca="1" si="75"/>
        <v>0.53595960803659248</v>
      </c>
      <c r="V109" s="20">
        <f t="shared" ca="1" si="75"/>
        <v>0.53732027181439912</v>
      </c>
      <c r="W109" s="20">
        <f t="shared" ca="1" si="75"/>
        <v>0.53877325425245026</v>
      </c>
      <c r="X109" s="20">
        <f t="shared" ca="1" si="75"/>
        <v>0.54015160457347333</v>
      </c>
      <c r="Y109" s="20">
        <f t="shared" ca="1" si="75"/>
        <v>0.5413587200991774</v>
      </c>
      <c r="Z109" s="20">
        <f t="shared" ca="1" si="75"/>
        <v>0.54260790119144031</v>
      </c>
    </row>
    <row r="110" spans="1:26" x14ac:dyDescent="0.25">
      <c r="A110" s="11" t="s">
        <v>1197</v>
      </c>
      <c r="B110" s="11"/>
      <c r="C110" s="15"/>
      <c r="D110" s="94">
        <f t="shared" ref="D110:Z110" si="76">(D$107+D$108-D$109)</f>
        <v>-2.6459999999999999</v>
      </c>
      <c r="E110" s="94">
        <f t="shared" si="76"/>
        <v>36.886000000000003</v>
      </c>
      <c r="F110" s="94">
        <f t="shared" si="76"/>
        <v>7.2139999999999995</v>
      </c>
      <c r="G110" s="94">
        <f t="shared" si="76"/>
        <v>33.910000000000004</v>
      </c>
      <c r="H110" s="94">
        <f t="shared" si="76"/>
        <v>24.498000000000001</v>
      </c>
      <c r="I110" s="94">
        <f t="shared" si="76"/>
        <v>28.059000000000001</v>
      </c>
      <c r="J110" s="94">
        <f t="shared" si="76"/>
        <v>25.700000000000003</v>
      </c>
      <c r="K110" s="94">
        <f t="shared" si="76"/>
        <v>17.338000000000001</v>
      </c>
      <c r="L110" s="95">
        <f t="shared" si="76"/>
        <v>21.647000000000006</v>
      </c>
      <c r="M110" s="95">
        <f t="shared" si="76"/>
        <v>19.577999999999996</v>
      </c>
      <c r="N110" s="95">
        <f t="shared" si="76"/>
        <v>14.151</v>
      </c>
      <c r="O110" s="95">
        <f t="shared" si="76"/>
        <v>7.754999999999999</v>
      </c>
      <c r="P110" s="95">
        <f t="shared" si="76"/>
        <v>2.7349999999999994</v>
      </c>
      <c r="Q110" s="99">
        <f t="shared" ca="1" si="76"/>
        <v>5.9428714269467866</v>
      </c>
      <c r="R110" s="99">
        <f t="shared" ca="1" si="76"/>
        <v>8.4271851454431861</v>
      </c>
      <c r="S110" s="99">
        <f t="shared" ca="1" si="76"/>
        <v>9.647324122698496</v>
      </c>
      <c r="T110" s="99">
        <f t="shared" ca="1" si="76"/>
        <v>10.021243686589527</v>
      </c>
      <c r="U110" s="99">
        <f t="shared" ca="1" si="76"/>
        <v>10.498597045862944</v>
      </c>
      <c r="V110" s="99">
        <f t="shared" ca="1" si="76"/>
        <v>11.12400318629963</v>
      </c>
      <c r="W110" s="99">
        <f t="shared" ca="1" si="76"/>
        <v>11.815711277271525</v>
      </c>
      <c r="X110" s="99">
        <f t="shared" ca="1" si="76"/>
        <v>12.700913926516286</v>
      </c>
      <c r="Y110" s="99">
        <f t="shared" ca="1" si="76"/>
        <v>13.675876248171013</v>
      </c>
      <c r="Z110" s="99">
        <f t="shared" ca="1" si="76"/>
        <v>14.88864210367201</v>
      </c>
    </row>
    <row r="111" spans="1:26" x14ac:dyDescent="0.25">
      <c r="A111" s="11" t="s">
        <v>921</v>
      </c>
      <c r="B111" s="11"/>
      <c r="C111" s="15"/>
      <c r="D111" s="94">
        <f t="shared" ref="D111:Z111" si="77">SUM(D$99,D$106,D$110)</f>
        <v>1.1099999999999985</v>
      </c>
      <c r="E111" s="94">
        <f t="shared" si="77"/>
        <v>0.83900000000000574</v>
      </c>
      <c r="F111" s="94">
        <f t="shared" si="77"/>
        <v>-1.8389999999999871</v>
      </c>
      <c r="G111" s="94">
        <f t="shared" si="77"/>
        <v>-1.1410000000000053</v>
      </c>
      <c r="H111" s="94">
        <f t="shared" si="77"/>
        <v>0.56099999999997863</v>
      </c>
      <c r="I111" s="94">
        <f t="shared" si="77"/>
        <v>-2.5330000000000368</v>
      </c>
      <c r="J111" s="94">
        <f t="shared" si="77"/>
        <v>7.3930000000000113</v>
      </c>
      <c r="K111" s="94">
        <f t="shared" si="77"/>
        <v>4.5739999999999839</v>
      </c>
      <c r="L111" s="95">
        <f t="shared" ca="1" si="77"/>
        <v>0.1740000000000208</v>
      </c>
      <c r="M111" s="95">
        <f t="shared" ca="1" si="77"/>
        <v>-0.2199999999999811</v>
      </c>
      <c r="N111" s="95">
        <f t="shared" ca="1" si="77"/>
        <v>0.27300000000002811</v>
      </c>
      <c r="O111" s="95">
        <f t="shared" ca="1" si="77"/>
        <v>-0.36900000000001043</v>
      </c>
      <c r="P111" s="95">
        <f t="shared" ca="1" si="77"/>
        <v>-0.4310000000000187</v>
      </c>
      <c r="Q111" s="99">
        <f t="shared" ca="1" si="77"/>
        <v>0.72722349197297387</v>
      </c>
      <c r="R111" s="99">
        <f t="shared" ca="1" si="77"/>
        <v>0.78284427524118172</v>
      </c>
      <c r="S111" s="99">
        <f t="shared" ca="1" si="77"/>
        <v>0.82400168104932803</v>
      </c>
      <c r="T111" s="99">
        <f t="shared" ca="1" si="77"/>
        <v>0.86240394998211833</v>
      </c>
      <c r="U111" s="99">
        <f t="shared" ca="1" si="77"/>
        <v>0.91188600324515789</v>
      </c>
      <c r="V111" s="99">
        <f t="shared" ca="1" si="77"/>
        <v>0.96192453114824339</v>
      </c>
      <c r="W111" s="99">
        <f t="shared" ca="1" si="77"/>
        <v>1.0083944769988911</v>
      </c>
      <c r="X111" s="99">
        <f t="shared" ca="1" si="77"/>
        <v>1.0599005042706224</v>
      </c>
      <c r="Y111" s="99">
        <f t="shared" ca="1" si="77"/>
        <v>1.1221837707241118</v>
      </c>
      <c r="Z111" s="99">
        <f t="shared" ca="1" si="77"/>
        <v>1.1882397444529271</v>
      </c>
    </row>
    <row r="112" spans="1:26" x14ac:dyDescent="0.25">
      <c r="A112" s="57" t="s">
        <v>1198</v>
      </c>
      <c r="B112" s="11"/>
      <c r="C112" s="15"/>
      <c r="D112" s="89"/>
      <c r="E112" s="89"/>
      <c r="F112" s="89"/>
      <c r="G112" s="89"/>
      <c r="H112" s="89"/>
      <c r="I112" s="89"/>
      <c r="J112" s="89"/>
      <c r="K112" s="89"/>
      <c r="L112" s="66"/>
      <c r="M112" s="66"/>
      <c r="N112" s="66"/>
      <c r="O112" s="66"/>
      <c r="P112" s="66"/>
      <c r="Q112" s="17"/>
      <c r="R112" s="17"/>
      <c r="S112" s="17"/>
      <c r="T112" s="17"/>
      <c r="U112" s="17"/>
      <c r="V112" s="17"/>
      <c r="W112" s="17"/>
      <c r="X112" s="17"/>
      <c r="Y112" s="17"/>
      <c r="Z112" s="17"/>
    </row>
    <row r="113" spans="1:26" x14ac:dyDescent="0.25">
      <c r="A113" s="11" t="s">
        <v>1199</v>
      </c>
      <c r="B113" s="11"/>
      <c r="C113" s="15"/>
      <c r="D113" s="51">
        <f t="shared" ref="D113:Z113" si="78">SUM(D$337,D$341,-D$38)</f>
        <v>-7.3769999999999989</v>
      </c>
      <c r="E113" s="51">
        <f t="shared" si="78"/>
        <v>-7.1269999999999998</v>
      </c>
      <c r="F113" s="51">
        <f t="shared" si="78"/>
        <v>20.545999999999999</v>
      </c>
      <c r="G113" s="51">
        <f t="shared" si="78"/>
        <v>-7.6029999999999998</v>
      </c>
      <c r="H113" s="51">
        <f t="shared" si="78"/>
        <v>14.132000000000001</v>
      </c>
      <c r="I113" s="51">
        <f t="shared" si="78"/>
        <v>4.3490000000000002</v>
      </c>
      <c r="J113" s="51">
        <f t="shared" si="78"/>
        <v>9.2910000000000021</v>
      </c>
      <c r="K113" s="51">
        <f t="shared" si="78"/>
        <v>11.493</v>
      </c>
      <c r="L113" s="47">
        <f t="shared" si="78"/>
        <v>5.6529999999999996</v>
      </c>
      <c r="M113" s="47">
        <f t="shared" si="78"/>
        <v>5.9889999999999999</v>
      </c>
      <c r="N113" s="47">
        <f t="shared" si="78"/>
        <v>6.452</v>
      </c>
      <c r="O113" s="47">
        <f t="shared" si="78"/>
        <v>6.8119999999999994</v>
      </c>
      <c r="P113" s="47">
        <f t="shared" si="78"/>
        <v>7.27</v>
      </c>
      <c r="Q113" s="21">
        <f t="shared" ca="1" si="78"/>
        <v>7.6572790922277196</v>
      </c>
      <c r="R113" s="21">
        <f t="shared" ca="1" si="78"/>
        <v>8.1526931321229306</v>
      </c>
      <c r="S113" s="21">
        <f t="shared" ca="1" si="78"/>
        <v>8.6746683472306803</v>
      </c>
      <c r="T113" s="21">
        <f t="shared" ca="1" si="78"/>
        <v>9.2260881917070101</v>
      </c>
      <c r="U113" s="21">
        <f t="shared" ca="1" si="78"/>
        <v>9.8058646412981876</v>
      </c>
      <c r="V113" s="21">
        <f t="shared" ca="1" si="78"/>
        <v>10.407207446737697</v>
      </c>
      <c r="W113" s="21">
        <f t="shared" ca="1" si="78"/>
        <v>11.035010025531193</v>
      </c>
      <c r="X113" s="21">
        <f t="shared" ca="1" si="78"/>
        <v>11.694357565495913</v>
      </c>
      <c r="Y113" s="21">
        <f t="shared" ca="1" si="78"/>
        <v>12.392549417281046</v>
      </c>
      <c r="Z113" s="21">
        <f t="shared" ca="1" si="78"/>
        <v>13.135911103781851</v>
      </c>
    </row>
    <row r="114" spans="1:26" x14ac:dyDescent="0.25">
      <c r="A114" s="12" t="s">
        <v>872</v>
      </c>
      <c r="B114" s="14"/>
      <c r="C114" s="15"/>
      <c r="D114" s="50">
        <f t="shared" ref="D114:Z114" si="79">D$218</f>
        <v>4.5540000000000003</v>
      </c>
      <c r="E114" s="50">
        <f t="shared" si="79"/>
        <v>5.2940000000000005</v>
      </c>
      <c r="F114" s="50">
        <f t="shared" si="79"/>
        <v>5.5660000000000007</v>
      </c>
      <c r="G114" s="50">
        <f t="shared" si="79"/>
        <v>6.1520000000000001</v>
      </c>
      <c r="H114" s="50">
        <f t="shared" si="79"/>
        <v>6.6009999999999991</v>
      </c>
      <c r="I114" s="50">
        <f t="shared" si="79"/>
        <v>7.6210000000000004</v>
      </c>
      <c r="J114" s="50">
        <f t="shared" si="79"/>
        <v>8.2940000000000005</v>
      </c>
      <c r="K114" s="50">
        <f t="shared" si="79"/>
        <v>8.6809999999999992</v>
      </c>
      <c r="L114" s="48">
        <f t="shared" si="79"/>
        <v>8.9619999999999997</v>
      </c>
      <c r="M114" s="48">
        <f t="shared" si="79"/>
        <v>9.2749999999999986</v>
      </c>
      <c r="N114" s="48">
        <f t="shared" si="79"/>
        <v>9.4580000000000002</v>
      </c>
      <c r="O114" s="48">
        <f t="shared" si="79"/>
        <v>9.8339999999999996</v>
      </c>
      <c r="P114" s="48">
        <f t="shared" si="79"/>
        <v>9.9480000000000004</v>
      </c>
      <c r="Q114" s="20">
        <f t="shared" ca="1" si="79"/>
        <v>9.7296873531633512</v>
      </c>
      <c r="R114" s="20">
        <f t="shared" ca="1" si="79"/>
        <v>9.8267814099919946</v>
      </c>
      <c r="S114" s="20">
        <f t="shared" ca="1" si="79"/>
        <v>9.92581734795721</v>
      </c>
      <c r="T114" s="20">
        <f t="shared" ca="1" si="79"/>
        <v>10.026834004681728</v>
      </c>
      <c r="U114" s="20">
        <f t="shared" ca="1" si="79"/>
        <v>10.129870994540738</v>
      </c>
      <c r="V114" s="20">
        <f t="shared" ca="1" si="79"/>
        <v>10.234968724196928</v>
      </c>
      <c r="W114" s="20">
        <f t="shared" ca="1" si="79"/>
        <v>10.342168408446243</v>
      </c>
      <c r="X114" s="20">
        <f t="shared" ca="1" si="79"/>
        <v>10.451512086380543</v>
      </c>
      <c r="Y114" s="20">
        <f t="shared" ca="1" si="79"/>
        <v>10.563042637873529</v>
      </c>
      <c r="Z114" s="20">
        <f t="shared" ca="1" si="79"/>
        <v>10.676803800396376</v>
      </c>
    </row>
    <row r="115" spans="1:26" x14ac:dyDescent="0.25">
      <c r="A115" s="12" t="s">
        <v>926</v>
      </c>
      <c r="B115" s="14" t="str">
        <f t="shared" ref="B115:B120" si="80">$B$38</f>
        <v>From Fiscal Forecasts</v>
      </c>
      <c r="C115" s="15"/>
      <c r="D115" s="50">
        <f>-'Fiscal Forecasts'!D$104</f>
        <v>-1.5799999999999996</v>
      </c>
      <c r="E115" s="50">
        <f>-'Fiscal Forecasts'!E$104</f>
        <v>2.726</v>
      </c>
      <c r="F115" s="50">
        <f>-'Fiscal Forecasts'!F$104</f>
        <v>1.0489999999999999</v>
      </c>
      <c r="G115" s="50">
        <f>-'Fiscal Forecasts'!G$104</f>
        <v>-0.26900000000000002</v>
      </c>
      <c r="H115" s="50">
        <f>-'Fiscal Forecasts'!H$104</f>
        <v>0.73399999999999999</v>
      </c>
      <c r="I115" s="50">
        <f>-'Fiscal Forecasts'!I$104</f>
        <v>1.1950000000000001</v>
      </c>
      <c r="J115" s="50">
        <f>-'Fiscal Forecasts'!J$104</f>
        <v>0.97499999999999998</v>
      </c>
      <c r="K115" s="50">
        <f>-'Fiscal Forecasts'!K$104</f>
        <v>1.589</v>
      </c>
      <c r="L115" s="48">
        <f>-'Fiscal Forecasts'!L$104</f>
        <v>0.871</v>
      </c>
      <c r="M115" s="48">
        <f>-'Fiscal Forecasts'!M$104</f>
        <v>0.89200000000000002</v>
      </c>
      <c r="N115" s="48">
        <f>-'Fiscal Forecasts'!N$104</f>
        <v>0.91400000000000003</v>
      </c>
      <c r="O115" s="48">
        <f>-'Fiscal Forecasts'!O$104</f>
        <v>0.878</v>
      </c>
      <c r="P115" s="48">
        <f>-'Fiscal Forecasts'!P$104</f>
        <v>0.85699999999999998</v>
      </c>
      <c r="Q115" s="20">
        <f t="shared" ref="Q115:Z115" ca="1" si="81">SUM(Q$219,Q$220)</f>
        <v>0.87106089756178018</v>
      </c>
      <c r="R115" s="20">
        <f t="shared" ca="1" si="81"/>
        <v>0.89422465669387186</v>
      </c>
      <c r="S115" s="20">
        <f t="shared" ca="1" si="81"/>
        <v>0.91786048368810702</v>
      </c>
      <c r="T115" s="20">
        <f t="shared" ca="1" si="81"/>
        <v>0.9421224895868836</v>
      </c>
      <c r="U115" s="20">
        <f t="shared" ca="1" si="81"/>
        <v>0.96695392524206092</v>
      </c>
      <c r="V115" s="20">
        <f t="shared" ca="1" si="81"/>
        <v>0.99265125138392873</v>
      </c>
      <c r="W115" s="20">
        <f t="shared" ca="1" si="81"/>
        <v>1.0192236069595728</v>
      </c>
      <c r="X115" s="20">
        <f t="shared" ca="1" si="81"/>
        <v>1.0465369348744327</v>
      </c>
      <c r="Y115" s="20">
        <f t="shared" ca="1" si="81"/>
        <v>1.0746367734255748</v>
      </c>
      <c r="Z115" s="20">
        <f t="shared" ca="1" si="81"/>
        <v>1.1036700671419546</v>
      </c>
    </row>
    <row r="116" spans="1:26" x14ac:dyDescent="0.25">
      <c r="A116" s="12" t="s">
        <v>927</v>
      </c>
      <c r="B116" s="14" t="str">
        <f t="shared" si="80"/>
        <v>From Fiscal Forecasts</v>
      </c>
      <c r="C116" s="15"/>
      <c r="D116" s="50">
        <f>-'Fiscal Forecasts'!D$105</f>
        <v>0.76300000000000001</v>
      </c>
      <c r="E116" s="50">
        <f>-'Fiscal Forecasts'!E$105</f>
        <v>1.2789999999999999</v>
      </c>
      <c r="F116" s="50">
        <f>-'Fiscal Forecasts'!F$105</f>
        <v>1.0389999999999999</v>
      </c>
      <c r="G116" s="50">
        <f>-'Fiscal Forecasts'!G$105</f>
        <v>0.85799999999999998</v>
      </c>
      <c r="H116" s="50">
        <f>-'Fiscal Forecasts'!H$105</f>
        <v>0.73799999999999999</v>
      </c>
      <c r="I116" s="50">
        <f>-'Fiscal Forecasts'!I$105</f>
        <v>0.71899999999999997</v>
      </c>
      <c r="J116" s="50">
        <f>-'Fiscal Forecasts'!J$105</f>
        <v>0.66100000000000003</v>
      </c>
      <c r="K116" s="50">
        <f>-'Fiscal Forecasts'!K$105</f>
        <v>0.82699999999999996</v>
      </c>
      <c r="L116" s="48">
        <f>-'Fiscal Forecasts'!L$105</f>
        <v>0.78500000000000003</v>
      </c>
      <c r="M116" s="48">
        <f>-'Fiscal Forecasts'!M$105</f>
        <v>0.84799999999999998</v>
      </c>
      <c r="N116" s="48">
        <f>-'Fiscal Forecasts'!N$105</f>
        <v>0.92200000000000004</v>
      </c>
      <c r="O116" s="48">
        <f>-'Fiscal Forecasts'!O$105</f>
        <v>0.89200000000000002</v>
      </c>
      <c r="P116" s="48">
        <f>-'Fiscal Forecasts'!P$105</f>
        <v>0.92200000000000004</v>
      </c>
      <c r="Q116" s="20">
        <f t="shared" ref="Q116:Z116" si="82">Q$402</f>
        <v>0.91100000000000003</v>
      </c>
      <c r="R116" s="20">
        <f t="shared" si="82"/>
        <v>0.93799999999999994</v>
      </c>
      <c r="S116" s="20">
        <f t="shared" si="82"/>
        <v>0.96199999999999997</v>
      </c>
      <c r="T116" s="20">
        <f t="shared" si="82"/>
        <v>0.98499999999999999</v>
      </c>
      <c r="U116" s="20">
        <f t="shared" si="82"/>
        <v>1.006</v>
      </c>
      <c r="V116" s="20">
        <f t="shared" si="82"/>
        <v>1.0249999999999999</v>
      </c>
      <c r="W116" s="20">
        <f t="shared" si="82"/>
        <v>1.046</v>
      </c>
      <c r="X116" s="20">
        <f t="shared" si="82"/>
        <v>1.0669999999999999</v>
      </c>
      <c r="Y116" s="20">
        <f t="shared" si="82"/>
        <v>1.0880000000000001</v>
      </c>
      <c r="Z116" s="20">
        <f t="shared" si="82"/>
        <v>1.109</v>
      </c>
    </row>
    <row r="117" spans="1:26" x14ac:dyDescent="0.25">
      <c r="A117" s="12" t="s">
        <v>1200</v>
      </c>
      <c r="B117" s="14" t="str">
        <f t="shared" si="80"/>
        <v>From Fiscal Forecasts</v>
      </c>
      <c r="C117" s="15"/>
      <c r="D117" s="50">
        <f>-'Fiscal Forecasts'!D$106</f>
        <v>4.1000000000000002E-2</v>
      </c>
      <c r="E117" s="50">
        <f>-'Fiscal Forecasts'!E$106</f>
        <v>5.2999999999999999E-2</v>
      </c>
      <c r="F117" s="50">
        <f>-'Fiscal Forecasts'!F$106</f>
        <v>1E-3</v>
      </c>
      <c r="G117" s="50">
        <f>-'Fiscal Forecasts'!G$106</f>
        <v>3.7999999999999999E-2</v>
      </c>
      <c r="H117" s="50">
        <f>-'Fiscal Forecasts'!H$106</f>
        <v>9.7000000000000003E-2</v>
      </c>
      <c r="I117" s="50">
        <f>-'Fiscal Forecasts'!I$106</f>
        <v>0.123</v>
      </c>
      <c r="J117" s="50">
        <f>-'Fiscal Forecasts'!J$106</f>
        <v>6.4000000000000001E-2</v>
      </c>
      <c r="K117" s="50">
        <f>-'Fiscal Forecasts'!K$106</f>
        <v>7.6999999999999999E-2</v>
      </c>
      <c r="L117" s="48">
        <f>-'Fiscal Forecasts'!L$106</f>
        <v>-3.3000000000000002E-2</v>
      </c>
      <c r="M117" s="48">
        <f>-'Fiscal Forecasts'!M$106</f>
        <v>3.4000000000000002E-2</v>
      </c>
      <c r="N117" s="48">
        <f>-'Fiscal Forecasts'!N$106</f>
        <v>4.2999999999999997E-2</v>
      </c>
      <c r="O117" s="48">
        <f>-'Fiscal Forecasts'!O$106</f>
        <v>4.5999999999999999E-2</v>
      </c>
      <c r="P117" s="48">
        <f>-'Fiscal Forecasts'!P$106</f>
        <v>5.1999999999999998E-2</v>
      </c>
      <c r="Q117" s="20">
        <f ca="1">IF(Q$6=OFFSET(Assumptions!$B$8,0,$C$1),OFFSET(Assumptions!$B$9,0,$C$1),P$117)</f>
        <v>0</v>
      </c>
      <c r="R117" s="20">
        <f ca="1">IF(R$6=OFFSET(Assumptions!$B$8,0,$C$1),OFFSET(Assumptions!$B$9,0,$C$1),Q$117)</f>
        <v>0</v>
      </c>
      <c r="S117" s="20">
        <f ca="1">IF(S$6=OFFSET(Assumptions!$B$8,0,$C$1),OFFSET(Assumptions!$B$9,0,$C$1),R$117)</f>
        <v>0</v>
      </c>
      <c r="T117" s="20">
        <f ca="1">IF(T$6=OFFSET(Assumptions!$B$8,0,$C$1),OFFSET(Assumptions!$B$9,0,$C$1),S$117)</f>
        <v>0</v>
      </c>
      <c r="U117" s="20">
        <f ca="1">IF(U$6=OFFSET(Assumptions!$B$8,0,$C$1),OFFSET(Assumptions!$B$9,0,$C$1),T$117)</f>
        <v>0</v>
      </c>
      <c r="V117" s="20">
        <f ca="1">IF(V$6=OFFSET(Assumptions!$B$8,0,$C$1),OFFSET(Assumptions!$B$9,0,$C$1),U$117)</f>
        <v>0</v>
      </c>
      <c r="W117" s="20">
        <f ca="1">IF(W$6=OFFSET(Assumptions!$B$8,0,$C$1),OFFSET(Assumptions!$B$9,0,$C$1),V$117)</f>
        <v>0</v>
      </c>
      <c r="X117" s="20">
        <f ca="1">IF(X$6=OFFSET(Assumptions!$B$8,0,$C$1),OFFSET(Assumptions!$B$9,0,$C$1),W$117)</f>
        <v>0</v>
      </c>
      <c r="Y117" s="20">
        <f ca="1">IF(Y$6=OFFSET(Assumptions!$B$8,0,$C$1),OFFSET(Assumptions!$B$9,0,$C$1),X$117)</f>
        <v>0</v>
      </c>
      <c r="Z117" s="20">
        <f ca="1">IF(Z$6=OFFSET(Assumptions!$B$8,0,$C$1),OFFSET(Assumptions!$B$9,0,$C$1),Y$117)</f>
        <v>0</v>
      </c>
    </row>
    <row r="118" spans="1:26" x14ac:dyDescent="0.25">
      <c r="A118" s="12" t="s">
        <v>929</v>
      </c>
      <c r="B118" s="14" t="str">
        <f t="shared" si="80"/>
        <v>From Fiscal Forecasts</v>
      </c>
      <c r="C118" s="15"/>
      <c r="D118" s="50">
        <f>-'Fiscal Forecasts'!D$107</f>
        <v>1.768</v>
      </c>
      <c r="E118" s="50">
        <f>-'Fiscal Forecasts'!E$107</f>
        <v>2.351</v>
      </c>
      <c r="F118" s="50">
        <f>-'Fiscal Forecasts'!F$107</f>
        <v>1.8680000000000001</v>
      </c>
      <c r="G118" s="50">
        <f>-'Fiscal Forecasts'!G$107</f>
        <v>1.696</v>
      </c>
      <c r="H118" s="50">
        <f>-'Fiscal Forecasts'!H$107</f>
        <v>3.5249999999999999</v>
      </c>
      <c r="I118" s="50">
        <f>-'Fiscal Forecasts'!I$107</f>
        <v>3.8380000000000001</v>
      </c>
      <c r="J118" s="50">
        <f>-'Fiscal Forecasts'!J$107</f>
        <v>4.3390000000000004</v>
      </c>
      <c r="K118" s="50">
        <f>-'Fiscal Forecasts'!K$107</f>
        <v>1.9279999999999999</v>
      </c>
      <c r="L118" s="48">
        <f>-'Fiscal Forecasts'!L$107</f>
        <v>1.6359999999999999</v>
      </c>
      <c r="M118" s="48">
        <f>-'Fiscal Forecasts'!M$107</f>
        <v>1.998</v>
      </c>
      <c r="N118" s="48">
        <f>-'Fiscal Forecasts'!N$107</f>
        <v>2.1019999999999999</v>
      </c>
      <c r="O118" s="48">
        <f>-'Fiscal Forecasts'!O$107</f>
        <v>2.2869999999999999</v>
      </c>
      <c r="P118" s="48">
        <f>-'Fiscal Forecasts'!P$107</f>
        <v>2.4569999999999999</v>
      </c>
      <c r="Q118" s="20">
        <f t="shared" ref="Q118:Z118" ca="1" si="83">Q$460-P$460</f>
        <v>3.530282328841821</v>
      </c>
      <c r="R118" s="20">
        <f t="shared" ca="1" si="83"/>
        <v>3.7140215577371549</v>
      </c>
      <c r="S118" s="20">
        <f t="shared" ca="1" si="83"/>
        <v>3.8122098213394651</v>
      </c>
      <c r="T118" s="20">
        <f t="shared" ca="1" si="83"/>
        <v>4.0095513075182794</v>
      </c>
      <c r="U118" s="20">
        <f t="shared" ca="1" si="83"/>
        <v>4.1935672940409034</v>
      </c>
      <c r="V118" s="20">
        <f t="shared" ca="1" si="83"/>
        <v>4.400995933931739</v>
      </c>
      <c r="W118" s="20">
        <f t="shared" ca="1" si="83"/>
        <v>4.618973898877428</v>
      </c>
      <c r="X118" s="20">
        <f t="shared" ca="1" si="83"/>
        <v>4.8066237935115765</v>
      </c>
      <c r="Y118" s="20">
        <f t="shared" ca="1" si="83"/>
        <v>5.0381852717342639</v>
      </c>
      <c r="Z118" s="20">
        <f t="shared" ca="1" si="83"/>
        <v>5.2154521576891852</v>
      </c>
    </row>
    <row r="119" spans="1:26" x14ac:dyDescent="0.25">
      <c r="A119" s="12" t="s">
        <v>1475</v>
      </c>
      <c r="B119" s="14" t="str">
        <f t="shared" si="80"/>
        <v>From Fiscal Forecasts</v>
      </c>
      <c r="C119" s="15"/>
      <c r="D119" s="50">
        <f>-'Fiscal Forecasts'!D$108</f>
        <v>0</v>
      </c>
      <c r="E119" s="50">
        <f>-'Fiscal Forecasts'!E$108</f>
        <v>0</v>
      </c>
      <c r="F119" s="50">
        <f>-'Fiscal Forecasts'!F$108</f>
        <v>0</v>
      </c>
      <c r="G119" s="50">
        <f>-'Fiscal Forecasts'!G$108</f>
        <v>0</v>
      </c>
      <c r="H119" s="50">
        <f>-'Fiscal Forecasts'!H$108</f>
        <v>-0.39500000000000002</v>
      </c>
      <c r="I119" s="50">
        <f>-'Fiscal Forecasts'!I$108</f>
        <v>-0.61399999999999999</v>
      </c>
      <c r="J119" s="50">
        <f>-'Fiscal Forecasts'!J$108</f>
        <v>-0.755</v>
      </c>
      <c r="K119" s="50">
        <f>-'Fiscal Forecasts'!K$108</f>
        <v>-0.41899999999999998</v>
      </c>
      <c r="L119" s="48">
        <f>-'Fiscal Forecasts'!L$108</f>
        <v>-0.63200000000000001</v>
      </c>
      <c r="M119" s="48">
        <f>-'Fiscal Forecasts'!M$108</f>
        <v>-0.57299999999999995</v>
      </c>
      <c r="N119" s="48">
        <f>-'Fiscal Forecasts'!N$108</f>
        <v>-0.46200000000000002</v>
      </c>
      <c r="O119" s="48">
        <f>-'Fiscal Forecasts'!O$108</f>
        <v>-0.35299999999999998</v>
      </c>
      <c r="P119" s="48">
        <f>-'Fiscal Forecasts'!P$108</f>
        <v>-0.21199999999999999</v>
      </c>
      <c r="Q119" s="20">
        <f t="shared" ref="Q119:Z119" ca="1" si="84">Q$454-P$454</f>
        <v>-4.7080000000000233E-2</v>
      </c>
      <c r="R119" s="20">
        <f t="shared" ca="1" si="84"/>
        <v>-1.7581599999999753E-2</v>
      </c>
      <c r="S119" s="20">
        <f t="shared" ca="1" si="84"/>
        <v>1.2506767999999724E-2</v>
      </c>
      <c r="T119" s="20">
        <f t="shared" ca="1" si="84"/>
        <v>3.6999999999999922E-2</v>
      </c>
      <c r="U119" s="20">
        <f t="shared" ca="1" si="84"/>
        <v>3.6999999999999922E-2</v>
      </c>
      <c r="V119" s="20">
        <f t="shared" ca="1" si="84"/>
        <v>3.6999999999999922E-2</v>
      </c>
      <c r="W119" s="20">
        <f t="shared" ca="1" si="84"/>
        <v>3.6999999999999922E-2</v>
      </c>
      <c r="X119" s="20">
        <f t="shared" ca="1" si="84"/>
        <v>3.6999999999999922E-2</v>
      </c>
      <c r="Y119" s="20">
        <f t="shared" ca="1" si="84"/>
        <v>3.6999999999999922E-2</v>
      </c>
      <c r="Z119" s="20">
        <f t="shared" ca="1" si="84"/>
        <v>3.6999999999999922E-2</v>
      </c>
    </row>
    <row r="120" spans="1:26" x14ac:dyDescent="0.25">
      <c r="A120" s="12" t="s">
        <v>930</v>
      </c>
      <c r="B120" s="14" t="str">
        <f t="shared" si="80"/>
        <v>From Fiscal Forecasts</v>
      </c>
      <c r="C120" s="15"/>
      <c r="D120" s="50">
        <f>-'Fiscal Forecasts'!D$109</f>
        <v>-0.57099999999999995</v>
      </c>
      <c r="E120" s="50">
        <f>-'Fiscal Forecasts'!E$109</f>
        <v>0.80400000000000005</v>
      </c>
      <c r="F120" s="50">
        <f>-'Fiscal Forecasts'!F$109</f>
        <v>-0.73299999999999998</v>
      </c>
      <c r="G120" s="50">
        <f>-'Fiscal Forecasts'!G$109</f>
        <v>-0.79</v>
      </c>
      <c r="H120" s="50">
        <f>-'Fiscal Forecasts'!H$109</f>
        <v>-6.0999999999999999E-2</v>
      </c>
      <c r="I120" s="50">
        <f>-'Fiscal Forecasts'!I$109</f>
        <v>-6.0999999999999999E-2</v>
      </c>
      <c r="J120" s="50">
        <f>-'Fiscal Forecasts'!J$109</f>
        <v>4.9000000000000002E-2</v>
      </c>
      <c r="K120" s="50">
        <f>-'Fiscal Forecasts'!K$109</f>
        <v>0.32300000000000001</v>
      </c>
      <c r="L120" s="48">
        <f>-'Fiscal Forecasts'!L$109</f>
        <v>4.5999999999999999E-2</v>
      </c>
      <c r="M120" s="48">
        <f>-'Fiscal Forecasts'!M$109</f>
        <v>4.8000000000000001E-2</v>
      </c>
      <c r="N120" s="48">
        <f>-'Fiscal Forecasts'!N$109</f>
        <v>4.7E-2</v>
      </c>
      <c r="O120" s="48">
        <f>-'Fiscal Forecasts'!O$109</f>
        <v>4.5999999999999999E-2</v>
      </c>
      <c r="P120" s="48">
        <f>-'Fiscal Forecasts'!P$109</f>
        <v>4.4999999999999998E-2</v>
      </c>
      <c r="Q120" s="20">
        <f t="shared" ref="Q120:Z120" ca="1" si="85">Q$465-P$465</f>
        <v>-0.17411321626617449</v>
      </c>
      <c r="R120" s="20">
        <f t="shared" ca="1" si="85"/>
        <v>-0.17596649722735647</v>
      </c>
      <c r="S120" s="20">
        <f t="shared" ca="1" si="85"/>
        <v>-0.17725092421441779</v>
      </c>
      <c r="T120" s="20">
        <f t="shared" ca="1" si="85"/>
        <v>-0.17767906654343824</v>
      </c>
      <c r="U120" s="20">
        <f t="shared" ca="1" si="85"/>
        <v>-0.17168507393715338</v>
      </c>
      <c r="V120" s="20">
        <f t="shared" ca="1" si="85"/>
        <v>-0.16954436229205205</v>
      </c>
      <c r="W120" s="20">
        <f t="shared" ca="1" si="85"/>
        <v>-0.1669755083179294</v>
      </c>
      <c r="X120" s="20">
        <f t="shared" ca="1" si="85"/>
        <v>-0.16397851201478764</v>
      </c>
      <c r="Y120" s="20">
        <f t="shared" ca="1" si="85"/>
        <v>-0.1596970887245841</v>
      </c>
      <c r="Z120" s="20">
        <f t="shared" ca="1" si="85"/>
        <v>-0.15584380776340101</v>
      </c>
    </row>
    <row r="121" spans="1:26" x14ac:dyDescent="0.25">
      <c r="A121" s="11" t="s">
        <v>1201</v>
      </c>
      <c r="B121" s="11"/>
      <c r="C121" s="15"/>
      <c r="D121" s="94">
        <f t="shared" ref="D121:Z121" si="86">-SUM(D$114:D$120)</f>
        <v>-4.9750000000000005</v>
      </c>
      <c r="E121" s="94">
        <f t="shared" si="86"/>
        <v>-12.507</v>
      </c>
      <c r="F121" s="94">
        <f t="shared" si="86"/>
        <v>-8.7899999999999991</v>
      </c>
      <c r="G121" s="94">
        <f t="shared" si="86"/>
        <v>-7.6849999999999996</v>
      </c>
      <c r="H121" s="94">
        <f t="shared" si="86"/>
        <v>-11.238999999999999</v>
      </c>
      <c r="I121" s="94">
        <f t="shared" si="86"/>
        <v>-12.820999999999998</v>
      </c>
      <c r="J121" s="94">
        <f t="shared" si="86"/>
        <v>-13.626999999999999</v>
      </c>
      <c r="K121" s="94">
        <f t="shared" si="86"/>
        <v>-13.006</v>
      </c>
      <c r="L121" s="95">
        <f t="shared" si="86"/>
        <v>-11.635</v>
      </c>
      <c r="M121" s="95">
        <f t="shared" si="86"/>
        <v>-12.521999999999998</v>
      </c>
      <c r="N121" s="95">
        <f t="shared" si="86"/>
        <v>-13.024000000000001</v>
      </c>
      <c r="O121" s="95">
        <f t="shared" si="86"/>
        <v>-13.629999999999997</v>
      </c>
      <c r="P121" s="95">
        <f t="shared" si="86"/>
        <v>-14.069000000000001</v>
      </c>
      <c r="Q121" s="99">
        <f t="shared" ca="1" si="86"/>
        <v>-14.820837363300775</v>
      </c>
      <c r="R121" s="99">
        <f t="shared" ca="1" si="86"/>
        <v>-15.179479527195666</v>
      </c>
      <c r="S121" s="99">
        <f t="shared" ca="1" si="86"/>
        <v>-15.453143496770364</v>
      </c>
      <c r="T121" s="99">
        <f t="shared" ca="1" si="86"/>
        <v>-15.822828735243453</v>
      </c>
      <c r="U121" s="99">
        <f t="shared" ca="1" si="86"/>
        <v>-16.161707139886545</v>
      </c>
      <c r="V121" s="99">
        <f t="shared" ca="1" si="86"/>
        <v>-16.521071547220544</v>
      </c>
      <c r="W121" s="99">
        <f t="shared" ca="1" si="86"/>
        <v>-16.896390405965313</v>
      </c>
      <c r="X121" s="99">
        <f t="shared" ca="1" si="86"/>
        <v>-17.244694302751764</v>
      </c>
      <c r="Y121" s="99">
        <f t="shared" ca="1" si="86"/>
        <v>-17.641167594308783</v>
      </c>
      <c r="Z121" s="99">
        <f t="shared" ca="1" si="86"/>
        <v>-17.986082217464116</v>
      </c>
    </row>
    <row r="122" spans="1:26" x14ac:dyDescent="0.25">
      <c r="A122" s="12" t="s">
        <v>932</v>
      </c>
      <c r="B122" s="14" t="str">
        <f t="shared" ref="B122:B127" si="87">$B$38</f>
        <v>From Fiscal Forecasts</v>
      </c>
      <c r="C122" s="15"/>
      <c r="D122" s="50">
        <f>'Fiscal Forecasts'!D$111</f>
        <v>4.1879999999999997</v>
      </c>
      <c r="E122" s="50">
        <f>'Fiscal Forecasts'!E$111</f>
        <v>0.63100000000000001</v>
      </c>
      <c r="F122" s="50">
        <f>'Fiscal Forecasts'!F$111</f>
        <v>1.4810000000000001</v>
      </c>
      <c r="G122" s="50">
        <f>'Fiscal Forecasts'!G$111</f>
        <v>5.0270000000000001</v>
      </c>
      <c r="H122" s="50">
        <f>'Fiscal Forecasts'!H$111</f>
        <v>1.155</v>
      </c>
      <c r="I122" s="50">
        <f>'Fiscal Forecasts'!I$111</f>
        <v>3.3050000000000002</v>
      </c>
      <c r="J122" s="50">
        <f>'Fiscal Forecasts'!J$111</f>
        <v>-1.62</v>
      </c>
      <c r="K122" s="50">
        <f>'Fiscal Forecasts'!K$111</f>
        <v>-0.81599999999999995</v>
      </c>
      <c r="L122" s="48">
        <f>'Fiscal Forecasts'!L$111</f>
        <v>4.8789999999999996</v>
      </c>
      <c r="M122" s="48">
        <f>'Fiscal Forecasts'!M$111</f>
        <v>1.446</v>
      </c>
      <c r="N122" s="48">
        <f>'Fiscal Forecasts'!N$111</f>
        <v>1.375</v>
      </c>
      <c r="O122" s="48">
        <f>'Fiscal Forecasts'!O$111</f>
        <v>1.5720000000000001</v>
      </c>
      <c r="P122" s="48">
        <f>'Fiscal Forecasts'!P$111</f>
        <v>0.52500000000000002</v>
      </c>
      <c r="Q122" s="20">
        <f t="shared" ref="Q122:Z122" ca="1" si="88">Q$354-P$354</f>
        <v>2.3396562245446049</v>
      </c>
      <c r="R122" s="20">
        <f t="shared" ca="1" si="88"/>
        <v>1.7389672332306674</v>
      </c>
      <c r="S122" s="20">
        <f t="shared" ca="1" si="88"/>
        <v>1.8109203041381008</v>
      </c>
      <c r="T122" s="20">
        <f t="shared" ca="1" si="88"/>
        <v>1.9051544576687078</v>
      </c>
      <c r="U122" s="20">
        <f t="shared" ca="1" si="88"/>
        <v>1.97949050186498</v>
      </c>
      <c r="V122" s="20">
        <f t="shared" ca="1" si="88"/>
        <v>2.0400572158238575</v>
      </c>
      <c r="W122" s="20">
        <f t="shared" ca="1" si="88"/>
        <v>2.0958581851533538</v>
      </c>
      <c r="X122" s="20">
        <f t="shared" ca="1" si="88"/>
        <v>2.1563918293906852</v>
      </c>
      <c r="Y122" s="20">
        <f t="shared" ca="1" si="88"/>
        <v>2.2268386436103</v>
      </c>
      <c r="Z122" s="20">
        <f t="shared" ca="1" si="88"/>
        <v>2.3000483170485424</v>
      </c>
    </row>
    <row r="123" spans="1:26" x14ac:dyDescent="0.25">
      <c r="A123" s="12" t="s">
        <v>933</v>
      </c>
      <c r="B123" s="14" t="str">
        <f t="shared" si="87"/>
        <v>From Fiscal Forecasts</v>
      </c>
      <c r="C123" s="15"/>
      <c r="D123" s="50">
        <f>'Fiscal Forecasts'!D$112</f>
        <v>3.6999999999999998E-2</v>
      </c>
      <c r="E123" s="50">
        <f>'Fiscal Forecasts'!E$112</f>
        <v>2.1000000000000001E-2</v>
      </c>
      <c r="F123" s="50">
        <f>'Fiscal Forecasts'!F$112</f>
        <v>1.1259999999999999</v>
      </c>
      <c r="G123" s="50">
        <f>'Fiscal Forecasts'!G$112</f>
        <v>0.19700000000000001</v>
      </c>
      <c r="H123" s="50">
        <f>'Fiscal Forecasts'!H$112</f>
        <v>0.183</v>
      </c>
      <c r="I123" s="50">
        <f>'Fiscal Forecasts'!I$112</f>
        <v>0.21099999999999999</v>
      </c>
      <c r="J123" s="50">
        <f>'Fiscal Forecasts'!J$112</f>
        <v>-0.98499999999999999</v>
      </c>
      <c r="K123" s="50">
        <f>'Fiscal Forecasts'!K$112</f>
        <v>-1.9179999999999999</v>
      </c>
      <c r="L123" s="48">
        <f>'Fiscal Forecasts'!L$112</f>
        <v>-0.16200000000000001</v>
      </c>
      <c r="M123" s="48">
        <f>'Fiscal Forecasts'!M$112</f>
        <v>0.75700000000000001</v>
      </c>
      <c r="N123" s="48">
        <f>'Fiscal Forecasts'!N$112</f>
        <v>0.33500000000000002</v>
      </c>
      <c r="O123" s="48">
        <f>'Fiscal Forecasts'!O$112</f>
        <v>0.24199999999999999</v>
      </c>
      <c r="P123" s="48">
        <f>'Fiscal Forecasts'!P$112</f>
        <v>0.22800000000000001</v>
      </c>
      <c r="Q123" s="20">
        <f t="shared" ref="Q123:Z123" ca="1" si="89">Q$404-Q$332</f>
        <v>0.70568000000000031</v>
      </c>
      <c r="R123" s="20">
        <f t="shared" ca="1" si="89"/>
        <v>0.74441360000000034</v>
      </c>
      <c r="S123" s="20">
        <f t="shared" ca="1" si="89"/>
        <v>0.78120187200000035</v>
      </c>
      <c r="T123" s="20">
        <f t="shared" ca="1" si="89"/>
        <v>0.81504590944000044</v>
      </c>
      <c r="U123" s="20">
        <f t="shared" ca="1" si="89"/>
        <v>0.84694682762880036</v>
      </c>
      <c r="V123" s="20">
        <f t="shared" ca="1" si="89"/>
        <v>0.87990576418137634</v>
      </c>
      <c r="W123" s="20">
        <f t="shared" ca="1" si="89"/>
        <v>0.91292387946500386</v>
      </c>
      <c r="X123" s="20">
        <f t="shared" ca="1" si="89"/>
        <v>0.94800235705430402</v>
      </c>
      <c r="Y123" s="20">
        <f t="shared" ca="1" si="89"/>
        <v>0.98414240419539001</v>
      </c>
      <c r="Z123" s="20">
        <f t="shared" ca="1" si="89"/>
        <v>1.020345252279298</v>
      </c>
    </row>
    <row r="124" spans="1:26" x14ac:dyDescent="0.25">
      <c r="A124" s="12" t="s">
        <v>934</v>
      </c>
      <c r="B124" s="14" t="str">
        <f t="shared" si="87"/>
        <v>From Fiscal Forecasts</v>
      </c>
      <c r="C124" s="15"/>
      <c r="D124" s="50">
        <f>'Fiscal Forecasts'!D$113</f>
        <v>0.17499999999999999</v>
      </c>
      <c r="E124" s="50">
        <f>'Fiscal Forecasts'!E$113</f>
        <v>0.254</v>
      </c>
      <c r="F124" s="50">
        <f>'Fiscal Forecasts'!F$113</f>
        <v>0.42099999999999999</v>
      </c>
      <c r="G124" s="50">
        <f>'Fiscal Forecasts'!G$113</f>
        <v>0.874</v>
      </c>
      <c r="H124" s="50">
        <f>'Fiscal Forecasts'!H$113</f>
        <v>-2.7E-2</v>
      </c>
      <c r="I124" s="50">
        <f>'Fiscal Forecasts'!I$113</f>
        <v>-0.18</v>
      </c>
      <c r="J124" s="50">
        <f>'Fiscal Forecasts'!J$113</f>
        <v>0.23899999999999999</v>
      </c>
      <c r="K124" s="50">
        <f>'Fiscal Forecasts'!K$113</f>
        <v>0.16500000000000001</v>
      </c>
      <c r="L124" s="48">
        <f>'Fiscal Forecasts'!L$113</f>
        <v>-0.154</v>
      </c>
      <c r="M124" s="48">
        <f>'Fiscal Forecasts'!M$113</f>
        <v>-8.1000000000000003E-2</v>
      </c>
      <c r="N124" s="48">
        <f>'Fiscal Forecasts'!N$113</f>
        <v>0.02</v>
      </c>
      <c r="O124" s="48">
        <f>'Fiscal Forecasts'!O$113</f>
        <v>2.9000000000000001E-2</v>
      </c>
      <c r="P124" s="48">
        <f>'Fiscal Forecasts'!P$113</f>
        <v>-1.2E-2</v>
      </c>
      <c r="Q124" s="20">
        <f t="shared" ref="Q124:Z124" ca="1" si="90">Q$410-P$410</f>
        <v>6.133999999999995E-2</v>
      </c>
      <c r="R124" s="20">
        <f t="shared" ca="1" si="90"/>
        <v>6.2566800000000367E-2</v>
      </c>
      <c r="S124" s="20">
        <f t="shared" ca="1" si="90"/>
        <v>6.3818136000000081E-2</v>
      </c>
      <c r="T124" s="20">
        <f t="shared" ca="1" si="90"/>
        <v>6.5094498720000171E-2</v>
      </c>
      <c r="U124" s="20">
        <f t="shared" ca="1" si="90"/>
        <v>6.6396388694399899E-2</v>
      </c>
      <c r="V124" s="20">
        <f t="shared" ca="1" si="90"/>
        <v>6.7724316468288137E-2</v>
      </c>
      <c r="W124" s="20">
        <f t="shared" ca="1" si="90"/>
        <v>6.9078802797653882E-2</v>
      </c>
      <c r="X124" s="20">
        <f t="shared" ca="1" si="90"/>
        <v>7.0460378853606898E-2</v>
      </c>
      <c r="Y124" s="20">
        <f t="shared" ca="1" si="90"/>
        <v>7.1869586430679089E-2</v>
      </c>
      <c r="Z124" s="20">
        <f t="shared" ca="1" si="90"/>
        <v>7.3306978159292768E-2</v>
      </c>
    </row>
    <row r="125" spans="1:26" x14ac:dyDescent="0.25">
      <c r="A125" s="12" t="s">
        <v>935</v>
      </c>
      <c r="B125" s="14" t="str">
        <f t="shared" si="87"/>
        <v>From Fiscal Forecasts</v>
      </c>
      <c r="C125" s="15"/>
      <c r="D125" s="50">
        <f>'Fiscal Forecasts'!D$114</f>
        <v>3.5999999999999997E-2</v>
      </c>
      <c r="E125" s="50">
        <f>'Fiscal Forecasts'!E$114</f>
        <v>0.108</v>
      </c>
      <c r="F125" s="50">
        <f>'Fiscal Forecasts'!F$114</f>
        <v>6.3E-2</v>
      </c>
      <c r="G125" s="50">
        <f>'Fiscal Forecasts'!G$114</f>
        <v>0.30299999999999999</v>
      </c>
      <c r="H125" s="50">
        <f>'Fiscal Forecasts'!H$114</f>
        <v>0.113</v>
      </c>
      <c r="I125" s="50">
        <f>'Fiscal Forecasts'!I$114</f>
        <v>0.30499999999999999</v>
      </c>
      <c r="J125" s="50">
        <f>'Fiscal Forecasts'!J$114</f>
        <v>0.32800000000000001</v>
      </c>
      <c r="K125" s="50">
        <f>'Fiscal Forecasts'!K$114</f>
        <v>0.183</v>
      </c>
      <c r="L125" s="48">
        <f>'Fiscal Forecasts'!L$114</f>
        <v>0.14699999999999999</v>
      </c>
      <c r="M125" s="48">
        <f>'Fiscal Forecasts'!M$114</f>
        <v>-3.3000000000000002E-2</v>
      </c>
      <c r="N125" s="48">
        <f>'Fiscal Forecasts'!N$114</f>
        <v>0.01</v>
      </c>
      <c r="O125" s="48">
        <f>'Fiscal Forecasts'!O$114</f>
        <v>2E-3</v>
      </c>
      <c r="P125" s="48">
        <f>'Fiscal Forecasts'!P$114</f>
        <v>-6.0000000000000001E-3</v>
      </c>
      <c r="Q125" s="20">
        <f t="shared" ref="Q125:Z125" ca="1" si="91">Q$414-P$414</f>
        <v>0.1062599999999998</v>
      </c>
      <c r="R125" s="20">
        <f t="shared" ca="1" si="91"/>
        <v>0.10838519999999985</v>
      </c>
      <c r="S125" s="20">
        <f t="shared" ca="1" si="91"/>
        <v>0.1105529040000004</v>
      </c>
      <c r="T125" s="20">
        <f t="shared" ca="1" si="91"/>
        <v>0.11276396207999984</v>
      </c>
      <c r="U125" s="20">
        <f t="shared" ca="1" si="91"/>
        <v>0.11501924132160024</v>
      </c>
      <c r="V125" s="20">
        <f t="shared" ca="1" si="91"/>
        <v>0.11731962614803226</v>
      </c>
      <c r="W125" s="20">
        <f t="shared" ca="1" si="91"/>
        <v>0.11966601867099236</v>
      </c>
      <c r="X125" s="20">
        <f t="shared" ca="1" si="91"/>
        <v>0.12205933904441224</v>
      </c>
      <c r="Y125" s="20">
        <f t="shared" ca="1" si="91"/>
        <v>0.12450052582530091</v>
      </c>
      <c r="Z125" s="20">
        <f t="shared" ca="1" si="91"/>
        <v>0.12699053634180668</v>
      </c>
    </row>
    <row r="126" spans="1:26" x14ac:dyDescent="0.25">
      <c r="A126" s="12" t="s">
        <v>1202</v>
      </c>
      <c r="B126" s="14" t="str">
        <f t="shared" si="87"/>
        <v>From Fiscal Forecasts</v>
      </c>
      <c r="C126" s="15"/>
      <c r="D126" s="50">
        <f>-'Fiscal Forecasts'!D$115</f>
        <v>9.7000000000000003E-2</v>
      </c>
      <c r="E126" s="50">
        <f>-'Fiscal Forecasts'!E$115</f>
        <v>6.8000000000000005E-2</v>
      </c>
      <c r="F126" s="50">
        <f>-'Fiscal Forecasts'!F$115</f>
        <v>-0.04</v>
      </c>
      <c r="G126" s="50">
        <f>-'Fiscal Forecasts'!G$115</f>
        <v>0.81899999999999995</v>
      </c>
      <c r="H126" s="50">
        <f>-'Fiscal Forecasts'!H$115</f>
        <v>0.24399999999999999</v>
      </c>
      <c r="I126" s="50">
        <f>-'Fiscal Forecasts'!I$115</f>
        <v>-0.158</v>
      </c>
      <c r="J126" s="50">
        <f>-'Fiscal Forecasts'!J$115</f>
        <v>7.3999999999999996E-2</v>
      </c>
      <c r="K126" s="50">
        <f>-'Fiscal Forecasts'!K$115</f>
        <v>0.27900000000000003</v>
      </c>
      <c r="L126" s="48">
        <f>-'Fiscal Forecasts'!L$115</f>
        <v>-0.10299999999999999</v>
      </c>
      <c r="M126" s="48">
        <f>-'Fiscal Forecasts'!M$115</f>
        <v>-3.9E-2</v>
      </c>
      <c r="N126" s="48">
        <f>-'Fiscal Forecasts'!N$115</f>
        <v>2.9000000000000001E-2</v>
      </c>
      <c r="O126" s="48">
        <f>-'Fiscal Forecasts'!O$115</f>
        <v>5.8000000000000003E-2</v>
      </c>
      <c r="P126" s="48">
        <f>-'Fiscal Forecasts'!P$115</f>
        <v>9.6000000000000002E-2</v>
      </c>
      <c r="Q126" s="20">
        <f t="shared" ref="Q126:Z126" ca="1" si="92">Q$450-P$450</f>
        <v>0.16759999999999975</v>
      </c>
      <c r="R126" s="20">
        <f t="shared" ca="1" si="92"/>
        <v>0.17095200000000066</v>
      </c>
      <c r="S126" s="20">
        <f t="shared" ca="1" si="92"/>
        <v>0.17437104000000048</v>
      </c>
      <c r="T126" s="20">
        <f t="shared" ca="1" si="92"/>
        <v>0.17785846079999956</v>
      </c>
      <c r="U126" s="20">
        <f t="shared" ca="1" si="92"/>
        <v>0.1814156300159997</v>
      </c>
      <c r="V126" s="20">
        <f t="shared" ca="1" si="92"/>
        <v>0.1850439426163204</v>
      </c>
      <c r="W126" s="20">
        <f t="shared" ca="1" si="92"/>
        <v>0.1887448214686458</v>
      </c>
      <c r="X126" s="20">
        <f t="shared" ca="1" si="92"/>
        <v>0.19251971789801914</v>
      </c>
      <c r="Y126" s="20">
        <f t="shared" ca="1" si="92"/>
        <v>0.19637011225598044</v>
      </c>
      <c r="Z126" s="20">
        <f t="shared" ca="1" si="92"/>
        <v>0.20029751450109945</v>
      </c>
    </row>
    <row r="127" spans="1:26" x14ac:dyDescent="0.25">
      <c r="A127" s="12" t="s">
        <v>1203</v>
      </c>
      <c r="B127" s="14" t="str">
        <f t="shared" si="87"/>
        <v>From Fiscal Forecasts</v>
      </c>
      <c r="C127" s="15"/>
      <c r="D127" s="50">
        <f>-'Fiscal Forecasts'!D$116</f>
        <v>2.5710000000000002</v>
      </c>
      <c r="E127" s="50">
        <f>-'Fiscal Forecasts'!E$116</f>
        <v>0.95599999999999996</v>
      </c>
      <c r="F127" s="50">
        <f>-'Fiscal Forecasts'!F$116</f>
        <v>1.8320000000000001</v>
      </c>
      <c r="G127" s="50">
        <f>-'Fiscal Forecasts'!G$116</f>
        <v>1.849</v>
      </c>
      <c r="H127" s="50">
        <f>-'Fiscal Forecasts'!H$116</f>
        <v>3.2770000000000001</v>
      </c>
      <c r="I127" s="50">
        <f>-'Fiscal Forecasts'!I$116</f>
        <v>1.3859999999999999</v>
      </c>
      <c r="J127" s="50">
        <f>-'Fiscal Forecasts'!J$116</f>
        <v>-1.349</v>
      </c>
      <c r="K127" s="50">
        <f>-'Fiscal Forecasts'!K$116</f>
        <v>-2.782</v>
      </c>
      <c r="L127" s="48">
        <f>-'Fiscal Forecasts'!L$116</f>
        <v>-2.0059999999999998</v>
      </c>
      <c r="M127" s="48">
        <f>-'Fiscal Forecasts'!M$116</f>
        <v>-0.23499999999999999</v>
      </c>
      <c r="N127" s="48">
        <f>-'Fiscal Forecasts'!N$116</f>
        <v>1.6E-2</v>
      </c>
      <c r="O127" s="48">
        <f>-'Fiscal Forecasts'!O$116</f>
        <v>0.21</v>
      </c>
      <c r="P127" s="48">
        <f>-'Fiscal Forecasts'!P$116</f>
        <v>-0.39800000000000002</v>
      </c>
      <c r="Q127" s="20">
        <f t="shared" ref="Q127:Z127" ca="1" si="93">SUM(Q$446-P$446,Q$471-P$471)</f>
        <v>1.6226919609048274</v>
      </c>
      <c r="R127" s="20">
        <f t="shared" ca="1" si="93"/>
        <v>1.0222955688282021</v>
      </c>
      <c r="S127" s="20">
        <f t="shared" ca="1" si="93"/>
        <v>1.0566873873224019</v>
      </c>
      <c r="T127" s="20">
        <f t="shared" ca="1" si="93"/>
        <v>1.0986448742902262</v>
      </c>
      <c r="U127" s="20">
        <f t="shared" ca="1" si="93"/>
        <v>1.1340204025139684</v>
      </c>
      <c r="V127" s="20">
        <f t="shared" ca="1" si="93"/>
        <v>1.1659588488342543</v>
      </c>
      <c r="W127" s="20">
        <f t="shared" ca="1" si="93"/>
        <v>1.1977677904215831</v>
      </c>
      <c r="X127" s="20">
        <f t="shared" ca="1" si="93"/>
        <v>1.2325267139891167</v>
      </c>
      <c r="Y127" s="20">
        <f t="shared" ca="1" si="93"/>
        <v>1.2723165251642925</v>
      </c>
      <c r="Z127" s="20">
        <f t="shared" ca="1" si="93"/>
        <v>1.3147144832417936</v>
      </c>
    </row>
    <row r="128" spans="1:26" x14ac:dyDescent="0.25">
      <c r="A128" s="11" t="s">
        <v>938</v>
      </c>
      <c r="B128" s="11"/>
      <c r="C128" s="15"/>
      <c r="D128" s="94">
        <f t="shared" ref="D128:Z128" si="94">SUM(D$122:D$125)-SUM(D$126:D$127)</f>
        <v>1.7679999999999989</v>
      </c>
      <c r="E128" s="94">
        <f t="shared" si="94"/>
        <v>-1.0000000000000009E-2</v>
      </c>
      <c r="F128" s="94">
        <f t="shared" si="94"/>
        <v>1.2990000000000002</v>
      </c>
      <c r="G128" s="94">
        <f t="shared" si="94"/>
        <v>3.7329999999999997</v>
      </c>
      <c r="H128" s="94">
        <f t="shared" si="94"/>
        <v>-2.0969999999999995</v>
      </c>
      <c r="I128" s="94">
        <f t="shared" si="94"/>
        <v>2.4130000000000003</v>
      </c>
      <c r="J128" s="94">
        <f t="shared" si="94"/>
        <v>-0.76300000000000034</v>
      </c>
      <c r="K128" s="94">
        <f t="shared" si="94"/>
        <v>0.11699999999999999</v>
      </c>
      <c r="L128" s="95">
        <f t="shared" si="94"/>
        <v>6.819</v>
      </c>
      <c r="M128" s="95">
        <f t="shared" si="94"/>
        <v>2.363</v>
      </c>
      <c r="N128" s="95">
        <f t="shared" si="94"/>
        <v>1.6950000000000001</v>
      </c>
      <c r="O128" s="95">
        <f t="shared" si="94"/>
        <v>1.577</v>
      </c>
      <c r="P128" s="95">
        <f t="shared" si="94"/>
        <v>1.0369999999999999</v>
      </c>
      <c r="Q128" s="99">
        <f t="shared" ca="1" si="94"/>
        <v>1.4226442636397776</v>
      </c>
      <c r="R128" s="99">
        <f t="shared" ca="1" si="94"/>
        <v>1.4610852644024654</v>
      </c>
      <c r="S128" s="99">
        <f t="shared" ca="1" si="94"/>
        <v>1.5354347888156994</v>
      </c>
      <c r="T128" s="99">
        <f t="shared" ca="1" si="94"/>
        <v>1.6215554928184823</v>
      </c>
      <c r="U128" s="99">
        <f t="shared" ca="1" si="94"/>
        <v>1.6924169269798122</v>
      </c>
      <c r="V128" s="99">
        <f t="shared" ca="1" si="94"/>
        <v>1.7540041311709795</v>
      </c>
      <c r="W128" s="99">
        <f t="shared" ca="1" si="94"/>
        <v>1.8110142741967752</v>
      </c>
      <c r="X128" s="99">
        <f t="shared" ca="1" si="94"/>
        <v>1.8718674724558726</v>
      </c>
      <c r="Y128" s="99">
        <f t="shared" ca="1" si="94"/>
        <v>1.938664522641397</v>
      </c>
      <c r="Z128" s="99">
        <f t="shared" ca="1" si="94"/>
        <v>2.0056790860860465</v>
      </c>
    </row>
    <row r="129" spans="1:26" x14ac:dyDescent="0.25">
      <c r="A129" s="11" t="s">
        <v>1204</v>
      </c>
      <c r="B129" s="11"/>
      <c r="C129" s="15"/>
      <c r="D129" s="94">
        <f t="shared" ref="D129:Z129" si="95">SUM(D$99,D$113,D$121,D$128)</f>
        <v>0.38899999999999846</v>
      </c>
      <c r="E129" s="94">
        <f t="shared" si="95"/>
        <v>-30.040000000000003</v>
      </c>
      <c r="F129" s="94">
        <f t="shared" si="95"/>
        <v>16.159000000000013</v>
      </c>
      <c r="G129" s="94">
        <f t="shared" si="95"/>
        <v>-16.932000000000009</v>
      </c>
      <c r="H129" s="94">
        <f t="shared" si="95"/>
        <v>5.3209999999999802</v>
      </c>
      <c r="I129" s="94">
        <f t="shared" si="95"/>
        <v>-8.3650000000000375</v>
      </c>
      <c r="J129" s="94">
        <f t="shared" si="95"/>
        <v>-4.3999999999999844</v>
      </c>
      <c r="K129" s="94">
        <f t="shared" si="95"/>
        <v>1.1359999999999824</v>
      </c>
      <c r="L129" s="95">
        <f t="shared" ca="1" si="95"/>
        <v>-2.9629999999999823</v>
      </c>
      <c r="M129" s="95">
        <f t="shared" ca="1" si="95"/>
        <v>3.4770000000000221</v>
      </c>
      <c r="N129" s="95">
        <f t="shared" ca="1" si="95"/>
        <v>8.9020000000000223</v>
      </c>
      <c r="O129" s="95">
        <f t="shared" ca="1" si="95"/>
        <v>13.542999999999992</v>
      </c>
      <c r="P129" s="95">
        <f t="shared" ca="1" si="95"/>
        <v>16.692999999999984</v>
      </c>
      <c r="Q129" s="99">
        <f t="shared" ca="1" si="95"/>
        <v>15.251631451156268</v>
      </c>
      <c r="R129" s="99">
        <f t="shared" ca="1" si="95"/>
        <v>14.345933822874606</v>
      </c>
      <c r="S129" s="99">
        <f t="shared" ca="1" si="95"/>
        <v>14.467123178857614</v>
      </c>
      <c r="T129" s="99">
        <f t="shared" ca="1" si="95"/>
        <v>15.059193964464633</v>
      </c>
      <c r="U129" s="99">
        <f t="shared" ca="1" si="95"/>
        <v>15.688465001025742</v>
      </c>
      <c r="V129" s="99">
        <f t="shared" ca="1" si="95"/>
        <v>16.080294978386735</v>
      </c>
      <c r="W129" s="99">
        <f t="shared" ca="1" si="95"/>
        <v>16.44932813942437</v>
      </c>
      <c r="X129" s="99">
        <f t="shared" ca="1" si="95"/>
        <v>16.792799599040997</v>
      </c>
      <c r="Y129" s="99">
        <f t="shared" ca="1" si="95"/>
        <v>17.234333042729979</v>
      </c>
      <c r="Z129" s="99">
        <f t="shared" ca="1" si="95"/>
        <v>17.634138856640007</v>
      </c>
    </row>
    <row r="130" spans="1:26" x14ac:dyDescent="0.25">
      <c r="A130" s="60" t="s">
        <v>1205</v>
      </c>
      <c r="B130" s="11"/>
      <c r="C130" s="15"/>
      <c r="D130" s="97" t="str">
        <f t="shared" ref="D130:Z130" ca="1" si="96">IF(ROUND(D$39-D$129,3)=0,"OK","ERROR")</f>
        <v>OK</v>
      </c>
      <c r="E130" s="97" t="str">
        <f t="shared" ca="1" si="96"/>
        <v>OK</v>
      </c>
      <c r="F130" s="97" t="str">
        <f t="shared" ca="1" si="96"/>
        <v>OK</v>
      </c>
      <c r="G130" s="97" t="str">
        <f t="shared" ca="1" si="96"/>
        <v>OK</v>
      </c>
      <c r="H130" s="97" t="str">
        <f t="shared" ca="1" si="96"/>
        <v>OK</v>
      </c>
      <c r="I130" s="97" t="str">
        <f t="shared" ca="1" si="96"/>
        <v>OK</v>
      </c>
      <c r="J130" s="97" t="str">
        <f t="shared" ca="1" si="96"/>
        <v>OK</v>
      </c>
      <c r="K130" s="97" t="str">
        <f t="shared" ca="1" si="96"/>
        <v>OK</v>
      </c>
      <c r="L130" s="97" t="str">
        <f t="shared" ca="1" si="96"/>
        <v>OK</v>
      </c>
      <c r="M130" s="97" t="str">
        <f t="shared" ca="1" si="96"/>
        <v>OK</v>
      </c>
      <c r="N130" s="97" t="str">
        <f t="shared" ca="1" si="96"/>
        <v>OK</v>
      </c>
      <c r="O130" s="97" t="str">
        <f t="shared" ca="1" si="96"/>
        <v>OK</v>
      </c>
      <c r="P130" s="97" t="str">
        <f t="shared" ca="1" si="96"/>
        <v>OK</v>
      </c>
      <c r="Q130" s="97" t="str">
        <f t="shared" ca="1" si="96"/>
        <v>OK</v>
      </c>
      <c r="R130" s="97" t="str">
        <f t="shared" ca="1" si="96"/>
        <v>OK</v>
      </c>
      <c r="S130" s="97" t="str">
        <f t="shared" ca="1" si="96"/>
        <v>OK</v>
      </c>
      <c r="T130" s="97" t="str">
        <f t="shared" ca="1" si="96"/>
        <v>OK</v>
      </c>
      <c r="U130" s="97" t="str">
        <f t="shared" ca="1" si="96"/>
        <v>OK</v>
      </c>
      <c r="V130" s="97" t="str">
        <f t="shared" ca="1" si="96"/>
        <v>OK</v>
      </c>
      <c r="W130" s="97" t="str">
        <f t="shared" ca="1" si="96"/>
        <v>OK</v>
      </c>
      <c r="X130" s="97" t="str">
        <f t="shared" ca="1" si="96"/>
        <v>OK</v>
      </c>
      <c r="Y130" s="97" t="str">
        <f t="shared" ca="1" si="96"/>
        <v>OK</v>
      </c>
      <c r="Z130" s="97" t="str">
        <f t="shared" ca="1" si="96"/>
        <v>OK</v>
      </c>
    </row>
    <row r="131" spans="1:26" x14ac:dyDescent="0.25">
      <c r="A131" s="11"/>
      <c r="B131" s="11"/>
      <c r="C131" s="15"/>
      <c r="D131" s="89"/>
      <c r="E131" s="89"/>
      <c r="F131" s="89"/>
      <c r="G131" s="89"/>
      <c r="H131" s="89"/>
      <c r="I131" s="89"/>
      <c r="J131" s="89"/>
      <c r="K131" s="89"/>
      <c r="L131" s="66"/>
      <c r="M131" s="66"/>
      <c r="N131" s="66"/>
      <c r="O131" s="66"/>
      <c r="P131" s="66"/>
      <c r="Q131" s="17"/>
      <c r="R131" s="17"/>
      <c r="S131" s="17"/>
      <c r="T131" s="17"/>
      <c r="U131" s="17"/>
      <c r="V131" s="17"/>
      <c r="W131" s="17"/>
      <c r="X131" s="17"/>
      <c r="Y131" s="17"/>
      <c r="Z131" s="17"/>
    </row>
    <row r="132" spans="1:26" x14ac:dyDescent="0.25">
      <c r="A132" s="57" t="s">
        <v>1206</v>
      </c>
      <c r="B132" s="11"/>
      <c r="C132" s="15"/>
      <c r="D132" s="91"/>
      <c r="E132" s="91"/>
      <c r="F132" s="91"/>
      <c r="G132" s="91"/>
      <c r="H132" s="91"/>
      <c r="I132" s="91"/>
      <c r="J132" s="91"/>
      <c r="K132" s="91"/>
    </row>
    <row r="133" spans="1:26" x14ac:dyDescent="0.25">
      <c r="A133" s="11" t="s">
        <v>1010</v>
      </c>
      <c r="B133" s="11"/>
      <c r="C133" s="15"/>
      <c r="D133" s="91"/>
      <c r="E133" s="91"/>
      <c r="F133" s="91"/>
      <c r="G133" s="91"/>
      <c r="H133" s="91"/>
      <c r="I133" s="91"/>
      <c r="J133" s="91"/>
      <c r="K133" s="91"/>
    </row>
    <row r="134" spans="1:26" x14ac:dyDescent="0.25">
      <c r="A134" s="12" t="s">
        <v>1207</v>
      </c>
      <c r="B134" s="14" t="str">
        <f t="shared" ref="B134:B139" si="97">$B$38</f>
        <v>From Fiscal Forecasts</v>
      </c>
      <c r="C134" s="15"/>
      <c r="D134" s="50">
        <f>'Fiscal Forecasts'!D$220</f>
        <v>32.878999999999998</v>
      </c>
      <c r="E134" s="50">
        <f>'Fiscal Forecasts'!E$220</f>
        <v>34.963000000000001</v>
      </c>
      <c r="F134" s="50">
        <f>'Fiscal Forecasts'!F$220</f>
        <v>38.164000000000001</v>
      </c>
      <c r="G134" s="50">
        <f>'Fiscal Forecasts'!G$220</f>
        <v>42.448</v>
      </c>
      <c r="H134" s="50">
        <f>'Fiscal Forecasts'!H$220</f>
        <v>47.386000000000003</v>
      </c>
      <c r="I134" s="50">
        <f>'Fiscal Forecasts'!I$220</f>
        <v>52.283000000000001</v>
      </c>
      <c r="J134" s="50">
        <f>'Fiscal Forecasts'!J$220</f>
        <v>52.46</v>
      </c>
      <c r="K134" s="50">
        <f>'Fiscal Forecasts'!K$220</f>
        <v>54.756</v>
      </c>
      <c r="L134" s="48">
        <f>'Fiscal Forecasts'!L$220</f>
        <v>58.030999999999999</v>
      </c>
      <c r="M134" s="48">
        <f>'Fiscal Forecasts'!M$220</f>
        <v>61.448</v>
      </c>
      <c r="N134" s="48">
        <f>'Fiscal Forecasts'!N$220</f>
        <v>65.171999999999997</v>
      </c>
      <c r="O134" s="48">
        <f>'Fiscal Forecasts'!O$220</f>
        <v>69.072999999999993</v>
      </c>
      <c r="P134" s="48">
        <f>'Fiscal Forecasts'!P$220</f>
        <v>73.194000000000003</v>
      </c>
      <c r="Q134" s="20">
        <f ca="1">P$134*(1+Q$17)*(1+IF(Q$6&lt;OFFSET(Assumptions!$B$8,0,$C$1)+OFFSET(Assumptions!$B$27,0,$C$1),OFFSET(Assumptions!$B$28,0,$C$1),1)*Q$26)</f>
        <v>76.384571281638955</v>
      </c>
      <c r="R134" s="20">
        <f ca="1">Q$134*(1+R$17)*(1+IF(R$6&lt;OFFSET(Assumptions!$B$8,0,$C$1)+OFFSET(Assumptions!$B$27,0,$C$1),OFFSET(Assumptions!$B$28,0,$C$1),1)*R$26)</f>
        <v>79.64046035574512</v>
      </c>
      <c r="S134" s="20">
        <f ca="1">R$134*(1+S$17)*(1+IF(S$6&lt;OFFSET(Assumptions!$B$8,0,$C$1)+OFFSET(Assumptions!$B$27,0,$C$1),OFFSET(Assumptions!$B$28,0,$C$1),1)*S$26)</f>
        <v>82.957886846126542</v>
      </c>
      <c r="T134" s="20">
        <f ca="1">S$134*(1+T$17)*(1+IF(T$6&lt;OFFSET(Assumptions!$B$8,0,$C$1)+OFFSET(Assumptions!$B$27,0,$C$1),OFFSET(Assumptions!$B$28,0,$C$1),1)*T$26)</f>
        <v>86.373036495226216</v>
      </c>
      <c r="U134" s="20">
        <f ca="1">T$134*(1+U$17)*(1+IF(U$6&lt;OFFSET(Assumptions!$B$8,0,$C$1)+OFFSET(Assumptions!$B$27,0,$C$1),OFFSET(Assumptions!$B$28,0,$C$1),1)*U$26)</f>
        <v>89.907274932942229</v>
      </c>
      <c r="V134" s="20">
        <f ca="1">U$134*(1+V$17)*(1+IF(V$6&lt;OFFSET(Assumptions!$B$8,0,$C$1)+OFFSET(Assumptions!$B$27,0,$C$1),OFFSET(Assumptions!$B$28,0,$C$1),1)*V$26)</f>
        <v>93.561859068958213</v>
      </c>
      <c r="W134" s="20">
        <f ca="1">V$134*(1+W$17)*(1+IF(W$6&lt;OFFSET(Assumptions!$B$8,0,$C$1)+OFFSET(Assumptions!$B$27,0,$C$1),OFFSET(Assumptions!$B$28,0,$C$1),1)*W$26)</f>
        <v>97.31835158672888</v>
      </c>
      <c r="X134" s="20">
        <f ca="1">W$134*(1+X$17)*(1+IF(X$6&lt;OFFSET(Assumptions!$B$8,0,$C$1)+OFFSET(Assumptions!$B$27,0,$C$1),OFFSET(Assumptions!$B$28,0,$C$1),1)*X$26)</f>
        <v>101.18301551918587</v>
      </c>
      <c r="Y134" s="20">
        <f ca="1">X$134*(1+Y$17)*(1+IF(Y$6&lt;OFFSET(Assumptions!$B$8,0,$C$1)+OFFSET(Assumptions!$B$27,0,$C$1),OFFSET(Assumptions!$B$28,0,$C$1),1)*Y$26)</f>
        <v>105.176060634442</v>
      </c>
      <c r="Z134" s="20">
        <f ca="1">Y$134*(1+Z$17)*(1+IF(Z$6&lt;OFFSET(Assumptions!$B$8,0,$C$1)+OFFSET(Assumptions!$B$27,0,$C$1),OFFSET(Assumptions!$B$28,0,$C$1),1)*Z$26)</f>
        <v>109.29851679835681</v>
      </c>
    </row>
    <row r="135" spans="1:26" x14ac:dyDescent="0.25">
      <c r="A135" s="12" t="s">
        <v>1208</v>
      </c>
      <c r="B135" s="14" t="str">
        <f t="shared" si="97"/>
        <v>From Fiscal Forecasts</v>
      </c>
      <c r="C135" s="15"/>
      <c r="D135" s="50">
        <f>'Fiscal Forecasts'!D$221</f>
        <v>8.3160000000000007</v>
      </c>
      <c r="E135" s="50">
        <f>'Fiscal Forecasts'!E$221</f>
        <v>8.1910000000000007</v>
      </c>
      <c r="F135" s="50">
        <f>'Fiscal Forecasts'!F$221</f>
        <v>10.183999999999999</v>
      </c>
      <c r="G135" s="50">
        <f>'Fiscal Forecasts'!G$221</f>
        <v>12.015000000000001</v>
      </c>
      <c r="H135" s="50">
        <f>'Fiscal Forecasts'!H$221</f>
        <v>11.71</v>
      </c>
      <c r="I135" s="50">
        <f>'Fiscal Forecasts'!I$221</f>
        <v>14.042999999999999</v>
      </c>
      <c r="J135" s="50">
        <f>'Fiscal Forecasts'!J$221</f>
        <v>13.896000000000001</v>
      </c>
      <c r="K135" s="50">
        <f>'Fiscal Forecasts'!K$221</f>
        <v>13.583</v>
      </c>
      <c r="L135" s="48">
        <f>'Fiscal Forecasts'!L$221</f>
        <v>14.44</v>
      </c>
      <c r="M135" s="48">
        <f>'Fiscal Forecasts'!M$221</f>
        <v>15.914</v>
      </c>
      <c r="N135" s="48">
        <f>'Fiscal Forecasts'!N$221</f>
        <v>16.79</v>
      </c>
      <c r="O135" s="48">
        <f>'Fiscal Forecasts'!O$221</f>
        <v>17.603000000000002</v>
      </c>
      <c r="P135" s="48">
        <f>'Fiscal Forecasts'!P$221</f>
        <v>18.367000000000001</v>
      </c>
      <c r="Q135" s="20">
        <f ca="1">P$135*(1+Q$17)*(1+IF(Q$6&lt;OFFSET(Assumptions!$B$8,0,$C$1)+OFFSET(Assumptions!$B$27,0,$C$1),OFFSET(Assumptions!$B$28,0,$C$1),1)*Q$26)</f>
        <v>19.167628777356924</v>
      </c>
      <c r="R135" s="20">
        <f ca="1">Q$135*(1+R$17)*(1+IF(R$6&lt;OFFSET(Assumptions!$B$8,0,$C$1)+OFFSET(Assumptions!$B$27,0,$C$1),OFFSET(Assumptions!$B$28,0,$C$1),1)*R$26)</f>
        <v>19.98464813173171</v>
      </c>
      <c r="S135" s="20">
        <f ca="1">R$135*(1+S$17)*(1+IF(S$6&lt;OFFSET(Assumptions!$B$8,0,$C$1)+OFFSET(Assumptions!$B$27,0,$C$1),OFFSET(Assumptions!$B$28,0,$C$1),1)*S$26)</f>
        <v>20.817109431139254</v>
      </c>
      <c r="T135" s="20">
        <f ca="1">S$135*(1+T$17)*(1+IF(T$6&lt;OFFSET(Assumptions!$B$8,0,$C$1)+OFFSET(Assumptions!$B$27,0,$C$1),OFFSET(Assumptions!$B$28,0,$C$1),1)*T$26)</f>
        <v>21.67409297630708</v>
      </c>
      <c r="U135" s="20">
        <f ca="1">T$135*(1+U$17)*(1+IF(U$6&lt;OFFSET(Assumptions!$B$8,0,$C$1)+OFFSET(Assumptions!$B$27,0,$C$1),OFFSET(Assumptions!$B$28,0,$C$1),1)*U$26)</f>
        <v>22.560960170141684</v>
      </c>
      <c r="V135" s="20">
        <f ca="1">U$135*(1+V$17)*(1+IF(V$6&lt;OFFSET(Assumptions!$B$8,0,$C$1)+OFFSET(Assumptions!$B$27,0,$C$1),OFFSET(Assumptions!$B$28,0,$C$1),1)*V$26)</f>
        <v>23.478026416366859</v>
      </c>
      <c r="W135" s="20">
        <f ca="1">V$135*(1+W$17)*(1+IF(W$6&lt;OFFSET(Assumptions!$B$8,0,$C$1)+OFFSET(Assumptions!$B$27,0,$C$1),OFFSET(Assumptions!$B$28,0,$C$1),1)*W$26)</f>
        <v>24.420665130932175</v>
      </c>
      <c r="X135" s="20">
        <f ca="1">W$135*(1+X$17)*(1+IF(X$6&lt;OFFSET(Assumptions!$B$8,0,$C$1)+OFFSET(Assumptions!$B$27,0,$C$1),OFFSET(Assumptions!$B$28,0,$C$1),1)*X$26)</f>
        <v>25.390447933449291</v>
      </c>
      <c r="Y135" s="20">
        <f ca="1">X$135*(1+Y$17)*(1+IF(Y$6&lt;OFFSET(Assumptions!$B$8,0,$C$1)+OFFSET(Assumptions!$B$27,0,$C$1),OFFSET(Assumptions!$B$28,0,$C$1),1)*Y$26)</f>
        <v>26.392446179643091</v>
      </c>
      <c r="Z135" s="20">
        <f ca="1">Y$135*(1+Z$17)*(1+IF(Z$6&lt;OFFSET(Assumptions!$B$8,0,$C$1)+OFFSET(Assumptions!$B$27,0,$C$1),OFFSET(Assumptions!$B$28,0,$C$1),1)*Z$26)</f>
        <v>27.426918299798071</v>
      </c>
    </row>
    <row r="136" spans="1:26" x14ac:dyDescent="0.25">
      <c r="A136" s="12" t="s">
        <v>1209</v>
      </c>
      <c r="B136" s="14" t="str">
        <f t="shared" si="97"/>
        <v>From Fiscal Forecasts</v>
      </c>
      <c r="C136" s="100" cm="1">
        <f t="array" aca="1" ref="C136" ca="1">SUMPRODUCT(OFFSET($P$136,0,0,1,-OFFSET(Assumptions!$B$31,0,$C$1))/OFFSET($P$13,0,0,1,-OFFSET(Assumptions!$B$31,0,$C$1)))/OFFSET(Assumptions!$B$31,0,$C$1)</f>
        <v>4.4102369887619182E-2</v>
      </c>
      <c r="D136" s="50">
        <f>'Fiscal Forecasts'!D$222</f>
        <v>15.199</v>
      </c>
      <c r="E136" s="50">
        <f>'Fiscal Forecasts'!E$222</f>
        <v>12.103999999999999</v>
      </c>
      <c r="F136" s="50">
        <f>'Fiscal Forecasts'!F$222</f>
        <v>15.768000000000001</v>
      </c>
      <c r="G136" s="50">
        <f>'Fiscal Forecasts'!G$222</f>
        <v>19.896000000000001</v>
      </c>
      <c r="H136" s="50">
        <f>'Fiscal Forecasts'!H$222</f>
        <v>17.978000000000002</v>
      </c>
      <c r="I136" s="50">
        <f>'Fiscal Forecasts'!I$222</f>
        <v>16.908999999999999</v>
      </c>
      <c r="J136" s="50">
        <f>'Fiscal Forecasts'!J$222</f>
        <v>17.495999999999999</v>
      </c>
      <c r="K136" s="50">
        <f>'Fiscal Forecasts'!K$222</f>
        <v>17.736999999999998</v>
      </c>
      <c r="L136" s="48">
        <f>'Fiscal Forecasts'!L$222</f>
        <v>22.251000000000001</v>
      </c>
      <c r="M136" s="48">
        <f>'Fiscal Forecasts'!M$222</f>
        <v>22.193000000000001</v>
      </c>
      <c r="N136" s="48">
        <f>'Fiscal Forecasts'!N$222</f>
        <v>23.693000000000001</v>
      </c>
      <c r="O136" s="48">
        <f>'Fiscal Forecasts'!O$222</f>
        <v>24.581</v>
      </c>
      <c r="P136" s="48">
        <f>'Fiscal Forecasts'!P$222</f>
        <v>25.527999999999999</v>
      </c>
      <c r="Q136" s="20">
        <f ca="1">(P$136/P$13+MIN(ABS($C$136-P$136/P$13),OFFSET(Assumptions!$B$32,0,$C$1))*SIGN($C$136-P$136/P$13))*Q$13</f>
        <v>26.801387769059946</v>
      </c>
      <c r="R136" s="20">
        <f ca="1">(Q$136/Q$13+MIN(ABS($C$136-Q$136/Q$13),OFFSET(Assumptions!$B$32,0,$C$1))*SIGN($C$136-Q$136/Q$13))*R$13</f>
        <v>27.942192398678536</v>
      </c>
      <c r="S136" s="20">
        <f ca="1">(R$136/R$13+MIN(ABS($C$136-R$136/R$13),OFFSET(Assumptions!$B$32,0,$C$1))*SIGN($C$136-R$136/R$13))*S$13</f>
        <v>29.113220121123309</v>
      </c>
      <c r="T136" s="20">
        <f ca="1">(S$136/S$13+MIN(ABS($C$136-S$136/S$13),OFFSET(Assumptions!$B$32,0,$C$1))*SIGN($C$136-S$136/S$13))*T$13</f>
        <v>30.311731887282871</v>
      </c>
      <c r="U136" s="20">
        <f ca="1">(T$136/T$13+MIN(ABS($C$136-T$136/T$13),OFFSET(Assumptions!$B$32,0,$C$1))*SIGN($C$136-T$136/T$13))*U$13</f>
        <v>31.552036643220198</v>
      </c>
      <c r="V136" s="20">
        <f ca="1">(U$136/U$13+MIN(ABS($C$136-U$136/U$13),OFFSET(Assumptions!$B$32,0,$C$1))*SIGN($C$136-U$136/U$13))*V$13</f>
        <v>32.834575488506204</v>
      </c>
      <c r="W136" s="20">
        <f ca="1">(V$136/V$13+MIN(ABS($C$136-V$136/V$13),OFFSET(Assumptions!$B$32,0,$C$1))*SIGN($C$136-V$136/V$13))*W$13</f>
        <v>34.152878035870529</v>
      </c>
      <c r="X136" s="20">
        <f ca="1">(W$136/W$13+MIN(ABS($C$136-W$136/W$13),OFFSET(Assumptions!$B$32,0,$C$1))*SIGN($C$136-W$136/W$13))*X$13</f>
        <v>35.509142232528284</v>
      </c>
      <c r="Y136" s="20">
        <f ca="1">(X$136/X$13+MIN(ABS($C$136-X$136/X$13),OFFSET(Assumptions!$B$32,0,$C$1))*SIGN($C$136-X$136/X$13))*Y$13</f>
        <v>36.910460489460903</v>
      </c>
      <c r="Z136" s="20">
        <f ca="1">(Y$136/Y$13+MIN(ABS($C$136-Y$136/Y$13),OFFSET(Assumptions!$B$32,0,$C$1))*SIGN($C$136-Y$136/Y$13))*Z$13</f>
        <v>38.357194227536326</v>
      </c>
    </row>
    <row r="137" spans="1:26" x14ac:dyDescent="0.25">
      <c r="A137" s="12" t="s">
        <v>1210</v>
      </c>
      <c r="B137" s="14" t="str">
        <f t="shared" si="97"/>
        <v>From Fiscal Forecasts</v>
      </c>
      <c r="C137" s="100" cm="1">
        <f t="array" aca="1" ref="C137" ca="1">SUMPRODUCT(OFFSET($P$137,0,0,1,-OFFSET(Assumptions!$B$31,0,$C$1))/OFFSET($P$13,0,0,1,-OFFSET(Assumptions!$B$31,0,$C$1)))/OFFSET(Assumptions!$B$31,0,$C$1)</f>
        <v>7.0306868088069713E-2</v>
      </c>
      <c r="D137" s="50">
        <f>'Fiscal Forecasts'!D$223</f>
        <v>21.861999999999998</v>
      </c>
      <c r="E137" s="50">
        <f>'Fiscal Forecasts'!E$223</f>
        <v>21.748999999999999</v>
      </c>
      <c r="F137" s="50">
        <f>'Fiscal Forecasts'!F$223</f>
        <v>25.562000000000001</v>
      </c>
      <c r="G137" s="50">
        <f>'Fiscal Forecasts'!G$223</f>
        <v>26.123999999999999</v>
      </c>
      <c r="H137" s="50">
        <f>'Fiscal Forecasts'!H$223</f>
        <v>28.13</v>
      </c>
      <c r="I137" s="50">
        <f>'Fiscal Forecasts'!I$223</f>
        <v>29.277999999999999</v>
      </c>
      <c r="J137" s="50">
        <f>'Fiscal Forecasts'!J$223</f>
        <v>29.55</v>
      </c>
      <c r="K137" s="50">
        <f>'Fiscal Forecasts'!K$223</f>
        <v>31.206</v>
      </c>
      <c r="L137" s="48">
        <f>'Fiscal Forecasts'!L$223</f>
        <v>33.792999999999999</v>
      </c>
      <c r="M137" s="48">
        <f>'Fiscal Forecasts'!M$223</f>
        <v>36.033999999999999</v>
      </c>
      <c r="N137" s="48">
        <f>'Fiscal Forecasts'!N$223</f>
        <v>37.880000000000003</v>
      </c>
      <c r="O137" s="48">
        <f>'Fiscal Forecasts'!O$223</f>
        <v>39.923000000000002</v>
      </c>
      <c r="P137" s="48">
        <f>'Fiscal Forecasts'!P$223</f>
        <v>41.601999999999997</v>
      </c>
      <c r="Q137" s="20">
        <f ca="1">(P$137/P$13+MIN(ABS($C$137-P$137/P$13),OFFSET(Assumptions!$B$32,0,$C$1))*SIGN($C$137-P$137/P$13))*Q$13</f>
        <v>43.109117776064949</v>
      </c>
      <c r="R137" s="20">
        <f ca="1">(Q$137/Q$13+MIN(ABS($C$137-Q$137/Q$13),OFFSET(Assumptions!$B$32,0,$C$1))*SIGN($C$137-Q$137/Q$13))*R$13</f>
        <v>44.627275220468917</v>
      </c>
      <c r="S137" s="20">
        <f ca="1">(R$137/R$13+MIN(ABS($C$137-R$137/R$13),OFFSET(Assumptions!$B$32,0,$C$1))*SIGN($C$137-R$137/R$13))*S$13</f>
        <v>46.411549580907362</v>
      </c>
      <c r="T137" s="20">
        <f ca="1">(S$137/S$13+MIN(ABS($C$137-S$137/S$13),OFFSET(Assumptions!$B$32,0,$C$1))*SIGN($C$137-S$137/S$13))*T$13</f>
        <v>48.322186330363195</v>
      </c>
      <c r="U137" s="20">
        <f ca="1">(T$137/T$13+MIN(ABS($C$137-T$137/T$13),OFFSET(Assumptions!$B$32,0,$C$1))*SIGN($C$137-T$137/T$13))*U$13</f>
        <v>50.299448393306697</v>
      </c>
      <c r="V137" s="20">
        <f ca="1">(U$137/U$13+MIN(ABS($C$137-U$137/U$13),OFFSET(Assumptions!$B$32,0,$C$1))*SIGN($C$137-U$137/U$13))*V$13</f>
        <v>52.344038959371993</v>
      </c>
      <c r="W137" s="20">
        <f ca="1">(V$137/V$13+MIN(ABS($C$137-V$137/V$13),OFFSET(Assumptions!$B$32,0,$C$1))*SIGN($C$137-V$137/V$13))*W$13</f>
        <v>54.445643102956346</v>
      </c>
      <c r="X137" s="20">
        <f ca="1">(W$137/W$13+MIN(ABS($C$137-W$137/W$13),OFFSET(Assumptions!$B$32,0,$C$1))*SIGN($C$137-W$137/W$13))*X$13</f>
        <v>56.607764735194458</v>
      </c>
      <c r="Y137" s="20">
        <f ca="1">(X$137/X$13+MIN(ABS($C$137-X$137/X$13),OFFSET(Assumptions!$B$32,0,$C$1))*SIGN($C$137-X$137/X$13))*Y$13</f>
        <v>58.841710395951878</v>
      </c>
      <c r="Z137" s="20">
        <f ca="1">(Y$137/Y$13+MIN(ABS($C$137-Y$137/Y$13),OFFSET(Assumptions!$B$32,0,$C$1))*SIGN($C$137-Y$137/Y$13))*Z$13</f>
        <v>61.148056253115968</v>
      </c>
    </row>
    <row r="138" spans="1:26" x14ac:dyDescent="0.25">
      <c r="A138" s="12" t="s">
        <v>1211</v>
      </c>
      <c r="B138" s="14" t="str">
        <f t="shared" si="97"/>
        <v>From Fiscal Forecasts</v>
      </c>
      <c r="C138" s="100" cm="1">
        <f t="array" aca="1" ref="C138" ca="1">SUMPRODUCT(OFFSET($P$138,0,0,1,-OFFSET(Assumptions!$B$31,0,$C$1))/OFFSET($P$13,0,0,1,-OFFSET(Assumptions!$B$31,0,$C$1)))/OFFSET(Assumptions!$B$31,0,$C$1)</f>
        <v>1.0076668266754657E-2</v>
      </c>
      <c r="D138" s="50">
        <f>'Fiscal Forecasts'!D$224</f>
        <v>3.8820000000000001</v>
      </c>
      <c r="E138" s="50">
        <f>'Fiscal Forecasts'!E$224</f>
        <v>3.819</v>
      </c>
      <c r="F138" s="50">
        <f>'Fiscal Forecasts'!F$224</f>
        <v>4.306</v>
      </c>
      <c r="G138" s="50">
        <f>'Fiscal Forecasts'!G$224</f>
        <v>3.823</v>
      </c>
      <c r="H138" s="50">
        <f>'Fiscal Forecasts'!H$224</f>
        <v>2.976</v>
      </c>
      <c r="I138" s="50">
        <f>'Fiscal Forecasts'!I$224</f>
        <v>4.0730000000000004</v>
      </c>
      <c r="J138" s="50">
        <f>'Fiscal Forecasts'!J$224</f>
        <v>4.3179999999999996</v>
      </c>
      <c r="K138" s="50">
        <f>'Fiscal Forecasts'!K$224</f>
        <v>4.5419999999999998</v>
      </c>
      <c r="L138" s="48">
        <f>'Fiscal Forecasts'!L$224</f>
        <v>4.6970000000000001</v>
      </c>
      <c r="M138" s="48">
        <f>'Fiscal Forecasts'!M$224</f>
        <v>4.9770000000000003</v>
      </c>
      <c r="N138" s="48">
        <f>'Fiscal Forecasts'!N$224</f>
        <v>5.6440000000000001</v>
      </c>
      <c r="O138" s="48">
        <f>'Fiscal Forecasts'!O$224</f>
        <v>6.359</v>
      </c>
      <c r="P138" s="48">
        <f>'Fiscal Forecasts'!P$224</f>
        <v>6.83</v>
      </c>
      <c r="Q138" s="20">
        <f ca="1">(P$138/P$13+MIN(ABS($C$138-P$138/P$13),OFFSET(Assumptions!$B$32,0,$C$1))*SIGN($C$138-P$138/P$13))*Q$13</f>
        <v>6.8234616931386274</v>
      </c>
      <c r="R138" s="20">
        <f ca="1">(Q$138/Q$13+MIN(ABS($C$138-Q$138/Q$13),OFFSET(Assumptions!$B$32,0,$C$1))*SIGN($C$138-Q$138/Q$13))*R$13</f>
        <v>6.7971153676319469</v>
      </c>
      <c r="S138" s="20">
        <f ca="1">(R$138/R$13+MIN(ABS($C$138-R$138/R$13),OFFSET(Assumptions!$B$32,0,$C$1))*SIGN($C$138-R$138/R$13))*S$13</f>
        <v>6.751911158307907</v>
      </c>
      <c r="T138" s="20">
        <f ca="1">(S$138/S$13+MIN(ABS($C$138-S$138/S$13),OFFSET(Assumptions!$B$32,0,$C$1))*SIGN($C$138-S$138/S$13))*T$13</f>
        <v>6.9257336419171613</v>
      </c>
      <c r="U138" s="20">
        <f ca="1">(T$138/T$13+MIN(ABS($C$138-T$138/T$13),OFFSET(Assumptions!$B$32,0,$C$1))*SIGN($C$138-T$138/T$13))*U$13</f>
        <v>7.2091229383904816</v>
      </c>
      <c r="V138" s="20">
        <f ca="1">(U$138/U$13+MIN(ABS($C$138-U$138/U$13),OFFSET(Assumptions!$B$32,0,$C$1))*SIGN($C$138-U$138/U$13))*V$13</f>
        <v>7.5021620316660957</v>
      </c>
      <c r="W138" s="20">
        <f ca="1">(V$138/V$13+MIN(ABS($C$138-V$138/V$13),OFFSET(Assumptions!$B$32,0,$C$1))*SIGN($C$138-V$138/V$13))*W$13</f>
        <v>7.8033725443632189</v>
      </c>
      <c r="X138" s="20">
        <f ca="1">(W$138/W$13+MIN(ABS($C$138-W$138/W$13),OFFSET(Assumptions!$B$32,0,$C$1))*SIGN($C$138-W$138/W$13))*X$13</f>
        <v>8.1132566713754795</v>
      </c>
      <c r="Y138" s="20">
        <f ca="1">(X$138/X$13+MIN(ABS($C$138-X$138/X$13),OFFSET(Assumptions!$B$32,0,$C$1))*SIGN($C$138-X$138/X$13))*Y$13</f>
        <v>8.4334349123008252</v>
      </c>
      <c r="Z138" s="20">
        <f ca="1">(Y$138/Y$13+MIN(ABS($C$138-Y$138/Y$13),OFFSET(Assumptions!$B$32,0,$C$1))*SIGN($C$138-Y$138/Y$13))*Z$13</f>
        <v>8.763989845880495</v>
      </c>
    </row>
    <row r="139" spans="1:26" x14ac:dyDescent="0.25">
      <c r="A139" s="12" t="s">
        <v>1013</v>
      </c>
      <c r="B139" s="14" t="str">
        <f t="shared" si="97"/>
        <v>From Fiscal Forecasts</v>
      </c>
      <c r="C139" s="100"/>
      <c r="D139" s="50">
        <f>'Fiscal Forecasts'!D$225</f>
        <v>3.585</v>
      </c>
      <c r="E139" s="50">
        <f>'Fiscal Forecasts'!E$225</f>
        <v>3.6949999999999998</v>
      </c>
      <c r="F139" s="50">
        <f>'Fiscal Forecasts'!F$225</f>
        <v>3.3780000000000001</v>
      </c>
      <c r="G139" s="50">
        <f>'Fiscal Forecasts'!G$225</f>
        <v>3.5670000000000002</v>
      </c>
      <c r="H139" s="50">
        <f>'Fiscal Forecasts'!H$225</f>
        <v>3.532</v>
      </c>
      <c r="I139" s="50">
        <f>'Fiscal Forecasts'!I$225</f>
        <v>3.3140000000000001</v>
      </c>
      <c r="J139" s="50">
        <f>'Fiscal Forecasts'!J$225</f>
        <v>3.3380000000000001</v>
      </c>
      <c r="K139" s="50">
        <f>'Fiscal Forecasts'!K$225</f>
        <v>3.1749999999999998</v>
      </c>
      <c r="L139" s="48">
        <f>'Fiscal Forecasts'!L$225</f>
        <v>3.1040000000000001</v>
      </c>
      <c r="M139" s="48">
        <f>'Fiscal Forecasts'!M$225</f>
        <v>3.04</v>
      </c>
      <c r="N139" s="48">
        <f>'Fiscal Forecasts'!N$225</f>
        <v>2.9870000000000001</v>
      </c>
      <c r="O139" s="48">
        <f>'Fiscal Forecasts'!O$225</f>
        <v>2.9580000000000002</v>
      </c>
      <c r="P139" s="48">
        <f>'Fiscal Forecasts'!P$225</f>
        <v>2.93</v>
      </c>
      <c r="Q139" s="20">
        <f t="shared" ref="Q139:Z139" ca="1" si="98">P$139*(1+Q$19)*(1+Q$29)</f>
        <v>3.0270016660619792</v>
      </c>
      <c r="R139" s="20">
        <f t="shared" ca="1" si="98"/>
        <v>3.1254536475160695</v>
      </c>
      <c r="S139" s="20">
        <f t="shared" ca="1" si="98"/>
        <v>3.2260451896469884</v>
      </c>
      <c r="T139" s="20">
        <f t="shared" ca="1" si="98"/>
        <v>3.3278252423663437</v>
      </c>
      <c r="U139" s="20">
        <f t="shared" ca="1" si="98"/>
        <v>3.4325331926614715</v>
      </c>
      <c r="V139" s="20">
        <f t="shared" ca="1" si="98"/>
        <v>3.5392765966534951</v>
      </c>
      <c r="W139" s="20">
        <f t="shared" ca="1" si="98"/>
        <v>3.6453672604374305</v>
      </c>
      <c r="X139" s="20">
        <f t="shared" ca="1" si="98"/>
        <v>3.7536911046346746</v>
      </c>
      <c r="Y139" s="20">
        <f t="shared" ca="1" si="98"/>
        <v>3.8652992310869632</v>
      </c>
      <c r="Z139" s="20">
        <f t="shared" ca="1" si="98"/>
        <v>3.9793519922991294</v>
      </c>
    </row>
    <row r="140" spans="1:26" x14ac:dyDescent="0.25">
      <c r="A140" s="11" t="s">
        <v>1212</v>
      </c>
      <c r="B140" s="14"/>
      <c r="C140" s="15"/>
      <c r="D140" s="94">
        <f t="shared" ref="D140:Z140" si="99">SUM(D$134:D$139)</f>
        <v>85.722999999999999</v>
      </c>
      <c r="E140" s="94">
        <f t="shared" si="99"/>
        <v>84.521000000000001</v>
      </c>
      <c r="F140" s="94">
        <f t="shared" si="99"/>
        <v>97.361999999999995</v>
      </c>
      <c r="G140" s="94">
        <f t="shared" si="99"/>
        <v>107.87299999999999</v>
      </c>
      <c r="H140" s="94">
        <f t="shared" si="99"/>
        <v>111.712</v>
      </c>
      <c r="I140" s="94">
        <f t="shared" si="99"/>
        <v>119.89999999999998</v>
      </c>
      <c r="J140" s="94">
        <f t="shared" si="99"/>
        <v>121.05799999999998</v>
      </c>
      <c r="K140" s="94">
        <f t="shared" si="99"/>
        <v>124.999</v>
      </c>
      <c r="L140" s="95">
        <f t="shared" si="99"/>
        <v>136.31600000000003</v>
      </c>
      <c r="M140" s="95">
        <f t="shared" si="99"/>
        <v>143.60599999999999</v>
      </c>
      <c r="N140" s="95">
        <f t="shared" si="99"/>
        <v>152.166</v>
      </c>
      <c r="O140" s="95">
        <f t="shared" si="99"/>
        <v>160.49700000000001</v>
      </c>
      <c r="P140" s="95">
        <f t="shared" si="99"/>
        <v>168.45100000000002</v>
      </c>
      <c r="Q140" s="96">
        <f t="shared" ca="1" si="99"/>
        <v>175.31316896332137</v>
      </c>
      <c r="R140" s="96">
        <f t="shared" ca="1" si="99"/>
        <v>182.11714512177235</v>
      </c>
      <c r="S140" s="96">
        <f t="shared" ca="1" si="99"/>
        <v>189.27772232725135</v>
      </c>
      <c r="T140" s="96">
        <f t="shared" ca="1" si="99"/>
        <v>196.93460657346287</v>
      </c>
      <c r="U140" s="96">
        <f t="shared" ca="1" si="99"/>
        <v>204.96137627066278</v>
      </c>
      <c r="V140" s="96">
        <f t="shared" ca="1" si="99"/>
        <v>213.25993856152289</v>
      </c>
      <c r="W140" s="96">
        <f t="shared" ca="1" si="99"/>
        <v>221.78627766128858</v>
      </c>
      <c r="X140" s="96">
        <f t="shared" ca="1" si="99"/>
        <v>230.55731819636804</v>
      </c>
      <c r="Y140" s="96">
        <f t="shared" ca="1" si="99"/>
        <v>239.61941184288565</v>
      </c>
      <c r="Z140" s="96">
        <f t="shared" ca="1" si="99"/>
        <v>248.97402741698681</v>
      </c>
    </row>
    <row r="141" spans="1:26" x14ac:dyDescent="0.25">
      <c r="A141" s="12" t="s">
        <v>1213</v>
      </c>
      <c r="B141" s="14" t="str">
        <f>$B$38</f>
        <v>From Fiscal Forecasts</v>
      </c>
      <c r="C141" s="15"/>
      <c r="D141" s="50">
        <f>D$140-'Fiscal Forecasts'!D$163</f>
        <v>-0.74500000000000455</v>
      </c>
      <c r="E141" s="50">
        <f>E$140-'Fiscal Forecasts'!E$163</f>
        <v>-0.58100000000000307</v>
      </c>
      <c r="F141" s="50">
        <f>F$140-'Fiscal Forecasts'!F$163</f>
        <v>-0.62100000000000932</v>
      </c>
      <c r="G141" s="50">
        <f>G$140-'Fiscal Forecasts'!G$163</f>
        <v>-0.58500000000000796</v>
      </c>
      <c r="H141" s="50">
        <f>H$140-'Fiscal Forecasts'!H$163</f>
        <v>-0.6460000000000008</v>
      </c>
      <c r="I141" s="50">
        <f>I$140-'Fiscal Forecasts'!I$163</f>
        <v>-0.66600000000002524</v>
      </c>
      <c r="J141" s="50">
        <f>J$140-'Fiscal Forecasts'!J$163</f>
        <v>-0.64000000000001478</v>
      </c>
      <c r="K141" s="50">
        <f>K$140-'Fiscal Forecasts'!K$163</f>
        <v>-0.88500000000000512</v>
      </c>
      <c r="L141" s="48">
        <f>L$140-'Fiscal Forecasts'!L$163</f>
        <v>-0.86899999999997135</v>
      </c>
      <c r="M141" s="48">
        <f>M$140-'Fiscal Forecasts'!M$163</f>
        <v>-0.88700000000000045</v>
      </c>
      <c r="N141" s="48">
        <f>N$140-'Fiscal Forecasts'!N$163</f>
        <v>-0.99000000000000909</v>
      </c>
      <c r="O141" s="48">
        <f>O$140-'Fiscal Forecasts'!O$163</f>
        <v>-1.1229999999999905</v>
      </c>
      <c r="P141" s="48">
        <f>P$140-'Fiscal Forecasts'!P$163</f>
        <v>-1.2209999999999752</v>
      </c>
      <c r="Q141" s="20">
        <f ca="1">IF(Q$6=OFFSET(Assumptions!$B$8,0,$C$1),AVERAGE(N$141/N$140,O$141/O$140,P$141/P$140),P$141/P$140)*Q$140</f>
        <v>-1.2126684664091874</v>
      </c>
      <c r="R141" s="20">
        <f ca="1">IF(R$6=OFFSET(Assumptions!$B$8,0,$C$1),AVERAGE(O$141/O$140,P$141/P$140,Q$141/Q$140),Q$141/Q$140)*R$140</f>
        <v>-1.2597326281167409</v>
      </c>
      <c r="S141" s="20">
        <f ca="1">IF(S$6=OFFSET(Assumptions!$B$8,0,$C$1),AVERAGE(P$141/P$140,Q$141/Q$140,R$141/R$140),R$141/R$140)*S$140</f>
        <v>-1.3092634547495623</v>
      </c>
      <c r="T141" s="20">
        <f ca="1">IF(T$6=OFFSET(Assumptions!$B$8,0,$C$1),AVERAGE(Q$141/Q$140,R$141/R$140,S$141/S$140),S$141/S$140)*T$140</f>
        <v>-1.3622273144027333</v>
      </c>
      <c r="U141" s="20">
        <f ca="1">IF(U$6=OFFSET(Assumptions!$B$8,0,$C$1),AVERAGE(R$141/R$140,S$141/S$140,T$141/T$140),T$141/T$140)*U$140</f>
        <v>-1.4177497292702645</v>
      </c>
      <c r="V141" s="20">
        <f ca="1">IF(V$6=OFFSET(Assumptions!$B$8,0,$C$1),AVERAGE(S$141/S$140,T$141/T$140,U$141/U$140),U$141/U$140)*V$140</f>
        <v>-1.4751521757959096</v>
      </c>
      <c r="W141" s="20">
        <f ca="1">IF(W$6=OFFSET(Assumptions!$B$8,0,$C$1),AVERAGE(T$141/T$140,U$141/U$140,V$141/V$140),V$141/V$140)*W$140</f>
        <v>-1.5341301899481767</v>
      </c>
      <c r="X141" s="20">
        <f ca="1">IF(X$6=OFFSET(Assumptions!$B$8,0,$C$1),AVERAGE(U$141/U$140,V$141/V$140,W$141/W$140),W$141/W$140)*X$140</f>
        <v>-1.5948008420012061</v>
      </c>
      <c r="Y141" s="20">
        <f ca="1">IF(Y$6=OFFSET(Assumptions!$B$8,0,$C$1),AVERAGE(V$141/V$140,W$141/W$140,X$141/X$140),X$141/X$140)*Y$140</f>
        <v>-1.6574847537105319</v>
      </c>
      <c r="Z141" s="20">
        <f ca="1">IF(Z$6=OFFSET(Assumptions!$B$8,0,$C$1),AVERAGE(W$141/W$140,X$141/X$140,Y$141/Y$140),Y$141/Y$140)*Z$140</f>
        <v>-1.7221920851059624</v>
      </c>
    </row>
    <row r="142" spans="1:26" x14ac:dyDescent="0.25">
      <c r="A142" s="11" t="s">
        <v>1214</v>
      </c>
      <c r="B142" s="11"/>
      <c r="C142" s="15"/>
      <c r="D142" s="94">
        <f t="shared" ref="D142:Z142" si="100">D$140-D$141</f>
        <v>86.468000000000004</v>
      </c>
      <c r="E142" s="94">
        <f t="shared" si="100"/>
        <v>85.102000000000004</v>
      </c>
      <c r="F142" s="94">
        <f t="shared" si="100"/>
        <v>97.983000000000004</v>
      </c>
      <c r="G142" s="94">
        <f t="shared" si="100"/>
        <v>108.458</v>
      </c>
      <c r="H142" s="94">
        <f t="shared" si="100"/>
        <v>112.358</v>
      </c>
      <c r="I142" s="94">
        <f t="shared" si="100"/>
        <v>120.566</v>
      </c>
      <c r="J142" s="94">
        <f t="shared" si="100"/>
        <v>121.69799999999999</v>
      </c>
      <c r="K142" s="94">
        <f t="shared" si="100"/>
        <v>125.884</v>
      </c>
      <c r="L142" s="95">
        <f t="shared" si="100"/>
        <v>137.185</v>
      </c>
      <c r="M142" s="95">
        <f t="shared" si="100"/>
        <v>144.49299999999999</v>
      </c>
      <c r="N142" s="95">
        <f t="shared" si="100"/>
        <v>153.15600000000001</v>
      </c>
      <c r="O142" s="95">
        <f t="shared" si="100"/>
        <v>161.62</v>
      </c>
      <c r="P142" s="95">
        <f t="shared" si="100"/>
        <v>169.672</v>
      </c>
      <c r="Q142" s="96">
        <f t="shared" ca="1" si="100"/>
        <v>176.52583742973056</v>
      </c>
      <c r="R142" s="96">
        <f t="shared" ca="1" si="100"/>
        <v>183.3768777498891</v>
      </c>
      <c r="S142" s="96">
        <f t="shared" ca="1" si="100"/>
        <v>190.58698578200091</v>
      </c>
      <c r="T142" s="96">
        <f t="shared" ca="1" si="100"/>
        <v>198.2968338878656</v>
      </c>
      <c r="U142" s="96">
        <f t="shared" ca="1" si="100"/>
        <v>206.37912599993305</v>
      </c>
      <c r="V142" s="96">
        <f t="shared" ca="1" si="100"/>
        <v>214.73509073731879</v>
      </c>
      <c r="W142" s="96">
        <f t="shared" ca="1" si="100"/>
        <v>223.32040785123675</v>
      </c>
      <c r="X142" s="96">
        <f t="shared" ca="1" si="100"/>
        <v>232.15211903836925</v>
      </c>
      <c r="Y142" s="96">
        <f t="shared" ca="1" si="100"/>
        <v>241.27689659659617</v>
      </c>
      <c r="Z142" s="96">
        <f t="shared" ca="1" si="100"/>
        <v>250.69621950209279</v>
      </c>
    </row>
    <row r="143" spans="1:26" x14ac:dyDescent="0.25">
      <c r="A143" s="11"/>
      <c r="B143" s="11"/>
      <c r="C143" s="15"/>
      <c r="D143" s="51"/>
      <c r="E143" s="51"/>
      <c r="F143" s="51"/>
      <c r="G143" s="51"/>
      <c r="H143" s="51"/>
      <c r="I143" s="51"/>
      <c r="J143" s="51"/>
      <c r="K143" s="51"/>
      <c r="L143" s="47"/>
      <c r="M143" s="47"/>
      <c r="N143" s="47"/>
      <c r="O143" s="47"/>
      <c r="P143" s="47"/>
      <c r="Q143" s="21"/>
      <c r="R143" s="21"/>
      <c r="S143" s="21"/>
      <c r="T143" s="21"/>
      <c r="U143" s="21"/>
      <c r="V143" s="21"/>
      <c r="W143" s="21"/>
      <c r="X143" s="21"/>
      <c r="Y143" s="21"/>
      <c r="Z143" s="21"/>
    </row>
    <row r="144" spans="1:26" x14ac:dyDescent="0.25">
      <c r="A144" s="11" t="s">
        <v>1015</v>
      </c>
      <c r="B144" s="11"/>
      <c r="C144" s="15"/>
      <c r="D144" s="51"/>
      <c r="E144" s="51"/>
      <c r="F144" s="51"/>
      <c r="G144" s="51"/>
      <c r="H144" s="51"/>
      <c r="I144" s="51"/>
      <c r="J144" s="51"/>
      <c r="K144" s="51"/>
      <c r="L144" s="47"/>
      <c r="M144" s="47"/>
      <c r="N144" s="47"/>
      <c r="O144" s="47"/>
      <c r="P144" s="47"/>
      <c r="Q144" s="21"/>
      <c r="R144" s="21"/>
      <c r="S144" s="21"/>
      <c r="T144" s="21"/>
      <c r="U144" s="21"/>
      <c r="V144" s="21"/>
      <c r="W144" s="21"/>
      <c r="X144" s="21"/>
      <c r="Y144" s="21"/>
      <c r="Z144" s="21"/>
    </row>
    <row r="145" spans="1:26" x14ac:dyDescent="0.25">
      <c r="A145" s="12" t="s">
        <v>1215</v>
      </c>
      <c r="B145" s="14" t="str">
        <f>$B$38</f>
        <v>From Fiscal Forecasts</v>
      </c>
      <c r="C145" s="15"/>
      <c r="D145" s="50">
        <f>'Fiscal Forecasts'!D$229</f>
        <v>0.84599999999999997</v>
      </c>
      <c r="E145" s="50">
        <f>'Fiscal Forecasts'!E$229</f>
        <v>1.0429999999999999</v>
      </c>
      <c r="F145" s="50">
        <f>'Fiscal Forecasts'!F$229</f>
        <v>1.6339999999999999</v>
      </c>
      <c r="G145" s="50">
        <f>'Fiscal Forecasts'!G$229</f>
        <v>3.0059999999999998</v>
      </c>
      <c r="H145" s="50">
        <f>'Fiscal Forecasts'!H$229</f>
        <v>1.5820000000000001</v>
      </c>
      <c r="I145" s="50">
        <f>'Fiscal Forecasts'!I$229</f>
        <v>1.69</v>
      </c>
      <c r="J145" s="50">
        <f>'Fiscal Forecasts'!J$229</f>
        <v>1.774</v>
      </c>
      <c r="K145" s="50">
        <f>'Fiscal Forecasts'!K$229</f>
        <v>1.706</v>
      </c>
      <c r="L145" s="48">
        <f>'Fiscal Forecasts'!L$229</f>
        <v>1.786</v>
      </c>
      <c r="M145" s="48">
        <f>'Fiscal Forecasts'!M$229</f>
        <v>1.754</v>
      </c>
      <c r="N145" s="48">
        <f>'Fiscal Forecasts'!N$229</f>
        <v>1.73</v>
      </c>
      <c r="O145" s="48">
        <f>'Fiscal Forecasts'!O$229</f>
        <v>1.6439999999999999</v>
      </c>
      <c r="P145" s="48">
        <f>'Fiscal Forecasts'!P$229</f>
        <v>1.5589999999999999</v>
      </c>
      <c r="Q145" s="20">
        <f t="shared" ref="Q145:Z145" ca="1" si="101">MAX(P$145,Q$313)</f>
        <v>1.5589999999999999</v>
      </c>
      <c r="R145" s="20">
        <f t="shared" ca="1" si="101"/>
        <v>1.5589999999999999</v>
      </c>
      <c r="S145" s="20">
        <f t="shared" ca="1" si="101"/>
        <v>1.5589999999999999</v>
      </c>
      <c r="T145" s="20">
        <f t="shared" ca="1" si="101"/>
        <v>1.5651969033599999</v>
      </c>
      <c r="U145" s="20">
        <f t="shared" ca="1" si="101"/>
        <v>1.5965008414271999</v>
      </c>
      <c r="V145" s="20">
        <f t="shared" ca="1" si="101"/>
        <v>1.6284308582557441</v>
      </c>
      <c r="W145" s="20">
        <f t="shared" ca="1" si="101"/>
        <v>1.660999475420859</v>
      </c>
      <c r="X145" s="20">
        <f t="shared" ca="1" si="101"/>
        <v>1.6942194649292763</v>
      </c>
      <c r="Y145" s="20">
        <f t="shared" ca="1" si="101"/>
        <v>1.7281038542278619</v>
      </c>
      <c r="Z145" s="20">
        <f t="shared" ca="1" si="101"/>
        <v>1.7626659313124191</v>
      </c>
    </row>
    <row r="146" spans="1:26" x14ac:dyDescent="0.25">
      <c r="A146" s="12" t="s">
        <v>1216</v>
      </c>
      <c r="B146" s="14" t="str">
        <f>$B$38</f>
        <v>From Fiscal Forecasts</v>
      </c>
      <c r="C146" s="15"/>
      <c r="D146" s="50">
        <f>'Fiscal Forecasts'!D$164-D$145</f>
        <v>1.1310000000000002</v>
      </c>
      <c r="E146" s="50">
        <f>'Fiscal Forecasts'!E$164-E$145</f>
        <v>1.0770000000000002</v>
      </c>
      <c r="F146" s="50">
        <f>'Fiscal Forecasts'!F$164-F$145</f>
        <v>1.1110000000000002</v>
      </c>
      <c r="G146" s="50">
        <f>'Fiscal Forecasts'!G$164-G$145</f>
        <v>1.3210000000000002</v>
      </c>
      <c r="H146" s="50">
        <f>'Fiscal Forecasts'!H$164-H$145</f>
        <v>1.7099999999999997</v>
      </c>
      <c r="I146" s="50">
        <f>'Fiscal Forecasts'!I$164-I$145</f>
        <v>1.899</v>
      </c>
      <c r="J146" s="50">
        <f>'Fiscal Forecasts'!J$164-J$145</f>
        <v>1.9260000000000002</v>
      </c>
      <c r="K146" s="50">
        <f>'Fiscal Forecasts'!K$164-K$145</f>
        <v>2.1179999999999999</v>
      </c>
      <c r="L146" s="48">
        <f>'Fiscal Forecasts'!L$164-L$145</f>
        <v>2.3050000000000002</v>
      </c>
      <c r="M146" s="48">
        <f>'Fiscal Forecasts'!M$164-M$145</f>
        <v>2.4090000000000003</v>
      </c>
      <c r="N146" s="48">
        <f>'Fiscal Forecasts'!N$164-N$145</f>
        <v>2.4540000000000002</v>
      </c>
      <c r="O146" s="48">
        <f>'Fiscal Forecasts'!O$164-O$145</f>
        <v>2.4719999999999995</v>
      </c>
      <c r="P146" s="48">
        <f>'Fiscal Forecasts'!P$164-P$145</f>
        <v>2.4649999999999999</v>
      </c>
      <c r="Q146" s="20">
        <f t="shared" ref="Q146:Z146" ca="1" si="102">P$146*(1+Q$19)*(1+Q$29)</f>
        <v>2.5466072037006064</v>
      </c>
      <c r="R146" s="20">
        <f t="shared" ca="1" si="102"/>
        <v>2.6294345532857029</v>
      </c>
      <c r="S146" s="20">
        <f t="shared" ca="1" si="102"/>
        <v>2.7140619086961859</v>
      </c>
      <c r="T146" s="20">
        <f t="shared" ca="1" si="102"/>
        <v>2.7996891544140055</v>
      </c>
      <c r="U146" s="20">
        <f t="shared" ca="1" si="102"/>
        <v>2.88777963136878</v>
      </c>
      <c r="V146" s="20">
        <f t="shared" ca="1" si="102"/>
        <v>2.9775825292665066</v>
      </c>
      <c r="W146" s="20">
        <f t="shared" ca="1" si="102"/>
        <v>3.0668362788321724</v>
      </c>
      <c r="X146" s="20">
        <f t="shared" ca="1" si="102"/>
        <v>3.1579687962199565</v>
      </c>
      <c r="Y146" s="20">
        <f t="shared" ca="1" si="102"/>
        <v>3.2518643701806704</v>
      </c>
      <c r="Z146" s="20">
        <f t="shared" ca="1" si="102"/>
        <v>3.3478166078557523</v>
      </c>
    </row>
    <row r="147" spans="1:26" x14ac:dyDescent="0.25">
      <c r="A147" s="11" t="s">
        <v>1217</v>
      </c>
      <c r="B147" s="11"/>
      <c r="C147" s="15"/>
      <c r="D147" s="94">
        <f t="shared" ref="D147:Z147" si="103">SUM(D$145:D$146)</f>
        <v>1.9770000000000003</v>
      </c>
      <c r="E147" s="94">
        <f t="shared" si="103"/>
        <v>2.12</v>
      </c>
      <c r="F147" s="94">
        <f t="shared" si="103"/>
        <v>2.7450000000000001</v>
      </c>
      <c r="G147" s="94">
        <f t="shared" si="103"/>
        <v>4.327</v>
      </c>
      <c r="H147" s="94">
        <f t="shared" si="103"/>
        <v>3.2919999999999998</v>
      </c>
      <c r="I147" s="94">
        <f t="shared" si="103"/>
        <v>3.589</v>
      </c>
      <c r="J147" s="94">
        <f t="shared" si="103"/>
        <v>3.7</v>
      </c>
      <c r="K147" s="94">
        <f t="shared" si="103"/>
        <v>3.8239999999999998</v>
      </c>
      <c r="L147" s="95">
        <f t="shared" si="103"/>
        <v>4.0910000000000002</v>
      </c>
      <c r="M147" s="95">
        <f t="shared" si="103"/>
        <v>4.1630000000000003</v>
      </c>
      <c r="N147" s="95">
        <f t="shared" si="103"/>
        <v>4.1840000000000002</v>
      </c>
      <c r="O147" s="95">
        <f t="shared" si="103"/>
        <v>4.1159999999999997</v>
      </c>
      <c r="P147" s="95">
        <f t="shared" si="103"/>
        <v>4.024</v>
      </c>
      <c r="Q147" s="96">
        <f t="shared" ca="1" si="103"/>
        <v>4.1056072037006066</v>
      </c>
      <c r="R147" s="96">
        <f t="shared" ca="1" si="103"/>
        <v>4.1884345532857026</v>
      </c>
      <c r="S147" s="96">
        <f t="shared" ca="1" si="103"/>
        <v>4.2730619086961861</v>
      </c>
      <c r="T147" s="96">
        <f t="shared" ca="1" si="103"/>
        <v>4.3648860577740054</v>
      </c>
      <c r="U147" s="96">
        <f t="shared" ca="1" si="103"/>
        <v>4.4842804727959802</v>
      </c>
      <c r="V147" s="96">
        <f t="shared" ca="1" si="103"/>
        <v>4.6060133875222506</v>
      </c>
      <c r="W147" s="96">
        <f t="shared" ca="1" si="103"/>
        <v>4.7278357542530314</v>
      </c>
      <c r="X147" s="96">
        <f t="shared" ca="1" si="103"/>
        <v>4.8521882611492329</v>
      </c>
      <c r="Y147" s="96">
        <f t="shared" ca="1" si="103"/>
        <v>4.9799682244085322</v>
      </c>
      <c r="Z147" s="96">
        <f t="shared" ca="1" si="103"/>
        <v>5.1104825391681716</v>
      </c>
    </row>
    <row r="148" spans="1:26" x14ac:dyDescent="0.25">
      <c r="A148" s="12" t="s">
        <v>1016</v>
      </c>
      <c r="B148" s="14" t="str">
        <f>$B$38</f>
        <v>From Fiscal Forecasts</v>
      </c>
      <c r="C148" s="15"/>
      <c r="D148" s="50">
        <f>'Fiscal Forecasts'!D$228</f>
        <v>3.0139999999999998</v>
      </c>
      <c r="E148" s="50">
        <f>'Fiscal Forecasts'!E$228</f>
        <v>3.032</v>
      </c>
      <c r="F148" s="50">
        <f>'Fiscal Forecasts'!F$228</f>
        <v>3.27</v>
      </c>
      <c r="G148" s="50">
        <f>'Fiscal Forecasts'!G$228</f>
        <v>3.4609999999999999</v>
      </c>
      <c r="H148" s="50">
        <f>'Fiscal Forecasts'!H$228</f>
        <v>3.855</v>
      </c>
      <c r="I148" s="50">
        <f>'Fiscal Forecasts'!I$228</f>
        <v>4.1449999999999996</v>
      </c>
      <c r="J148" s="50">
        <f>'Fiscal Forecasts'!J$228</f>
        <v>4.2439999999999998</v>
      </c>
      <c r="K148" s="50">
        <f>'Fiscal Forecasts'!K$228</f>
        <v>4.5010000000000003</v>
      </c>
      <c r="L148" s="48">
        <f>'Fiscal Forecasts'!L$228</f>
        <v>4.97</v>
      </c>
      <c r="M148" s="48">
        <f>'Fiscal Forecasts'!M$228</f>
        <v>5.3630000000000004</v>
      </c>
      <c r="N148" s="48">
        <f>'Fiscal Forecasts'!N$228</f>
        <v>5.4489999999999998</v>
      </c>
      <c r="O148" s="48">
        <f>'Fiscal Forecasts'!O$228</f>
        <v>5.8540000000000001</v>
      </c>
      <c r="P148" s="48">
        <f>'Fiscal Forecasts'!P$228</f>
        <v>5.9859999999999998</v>
      </c>
      <c r="Q148" s="20">
        <f>P$148*(Exogenous!AB$25-Exogenous!AB$26)/(Exogenous!AA$25-Exogenous!AA$26)</f>
        <v>6.5094507792485157</v>
      </c>
      <c r="R148" s="20">
        <f>Q$148*(Exogenous!AC$25-Exogenous!AC$26)/(Exogenous!AB$25-Exogenous!AB$26)</f>
        <v>7.0637669526430447</v>
      </c>
      <c r="S148" s="20">
        <f>R$148*(Exogenous!AD$25-Exogenous!AD$26)/(Exogenous!AC$25-Exogenous!AC$26)</f>
        <v>7.6352679431138677</v>
      </c>
      <c r="T148" s="20">
        <f>S$148*(Exogenous!AE$25-Exogenous!AE$26)/(Exogenous!AD$25-Exogenous!AD$26)</f>
        <v>8.2584606508699405</v>
      </c>
      <c r="U148" s="20">
        <f>T$148*(Exogenous!AF$25-Exogenous!AF$26)/(Exogenous!AE$25-Exogenous!AE$26)</f>
        <v>8.8628947371769744</v>
      </c>
      <c r="V148" s="20">
        <f>U$148*(Exogenous!AG$25-Exogenous!AG$26)/(Exogenous!AF$25-Exogenous!AF$26)</f>
        <v>9.2504040037755946</v>
      </c>
      <c r="W148" s="20">
        <f>V$148*(Exogenous!AH$25-Exogenous!AH$26)/(Exogenous!AG$25-Exogenous!AG$26)</f>
        <v>9.6520793273056462</v>
      </c>
      <c r="X148" s="20">
        <f>W$148*(Exogenous!AI$25-Exogenous!AI$26)/(Exogenous!AH$25-Exogenous!AH$26)</f>
        <v>10.044084082937973</v>
      </c>
      <c r="Y148" s="20">
        <f>X$148*(Exogenous!AJ$25-Exogenous!AJ$26)/(Exogenous!AI$25-Exogenous!AI$26)</f>
        <v>10.452764231770606</v>
      </c>
      <c r="Z148" s="20">
        <f>Y$148*(Exogenous!AK$25-Exogenous!AK$26)/(Exogenous!AJ$25-Exogenous!AJ$26)</f>
        <v>10.865392180026317</v>
      </c>
    </row>
    <row r="149" spans="1:26" x14ac:dyDescent="0.25">
      <c r="A149" s="12" t="s">
        <v>1218</v>
      </c>
      <c r="B149" s="14" t="str">
        <f>$B$38</f>
        <v>From Fiscal Forecasts</v>
      </c>
      <c r="C149" s="15"/>
      <c r="D149" s="50">
        <f>'Fiscal Forecasts'!D$10-SUM(D$147:D$148)</f>
        <v>1.0369999999999999</v>
      </c>
      <c r="E149" s="50">
        <f>'Fiscal Forecasts'!E$10-SUM(E$147:E$148)</f>
        <v>1.117</v>
      </c>
      <c r="F149" s="50">
        <f>'Fiscal Forecasts'!F$10-SUM(F$147:F$148)</f>
        <v>1.0229999999999997</v>
      </c>
      <c r="G149" s="50">
        <f>'Fiscal Forecasts'!G$10-SUM(G$147:G$148)</f>
        <v>1.1059999999999999</v>
      </c>
      <c r="H149" s="50">
        <f>'Fiscal Forecasts'!H$10-SUM(H$147:H$148)</f>
        <v>1.2599999999999998</v>
      </c>
      <c r="I149" s="50">
        <f>'Fiscal Forecasts'!I$10-SUM(I$147:I$148)</f>
        <v>1.6920000000000002</v>
      </c>
      <c r="J149" s="50">
        <f>'Fiscal Forecasts'!J$10-SUM(J$147:J$148)</f>
        <v>1.8240000000000007</v>
      </c>
      <c r="K149" s="50">
        <f>'Fiscal Forecasts'!K$10-SUM(K$147:K$148)</f>
        <v>1.9770000000000003</v>
      </c>
      <c r="L149" s="48">
        <f>'Fiscal Forecasts'!L$10-SUM(L$147:L$148)</f>
        <v>1.8499999999999996</v>
      </c>
      <c r="M149" s="48">
        <f>'Fiscal Forecasts'!M$10-SUM(M$147:M$148)</f>
        <v>1.9960000000000004</v>
      </c>
      <c r="N149" s="48">
        <f>'Fiscal Forecasts'!N$10-SUM(N$147:N$148)</f>
        <v>2.0900000000000016</v>
      </c>
      <c r="O149" s="48">
        <f>'Fiscal Forecasts'!O$10-SUM(O$147:O$148)</f>
        <v>2.2330000000000005</v>
      </c>
      <c r="P149" s="48">
        <f>'Fiscal Forecasts'!P$10-SUM(P$147:P$148)</f>
        <v>2.4120000000000008</v>
      </c>
      <c r="Q149" s="20">
        <f t="shared" ref="Q149:Z149" ca="1" si="104">P$149*(1+Q$29)</f>
        <v>2.4602400000000006</v>
      </c>
      <c r="R149" s="20">
        <f t="shared" ca="1" si="104"/>
        <v>2.5094448000000007</v>
      </c>
      <c r="S149" s="20">
        <f t="shared" ca="1" si="104"/>
        <v>2.5596336960000006</v>
      </c>
      <c r="T149" s="20">
        <f t="shared" ca="1" si="104"/>
        <v>2.6108263699200007</v>
      </c>
      <c r="U149" s="20">
        <f t="shared" ca="1" si="104"/>
        <v>2.6630428973184008</v>
      </c>
      <c r="V149" s="20">
        <f t="shared" ca="1" si="104"/>
        <v>2.7163037552647689</v>
      </c>
      <c r="W149" s="20">
        <f t="shared" ca="1" si="104"/>
        <v>2.7706298303700643</v>
      </c>
      <c r="X149" s="20">
        <f t="shared" ca="1" si="104"/>
        <v>2.8260424269774655</v>
      </c>
      <c r="Y149" s="20">
        <f t="shared" ca="1" si="104"/>
        <v>2.8825632755170147</v>
      </c>
      <c r="Z149" s="20">
        <f t="shared" ca="1" si="104"/>
        <v>2.940214541027355</v>
      </c>
    </row>
    <row r="150" spans="1:26" x14ac:dyDescent="0.25">
      <c r="A150" s="11" t="s">
        <v>1219</v>
      </c>
      <c r="B150" s="11"/>
      <c r="C150" s="15"/>
      <c r="D150" s="94">
        <f t="shared" ref="D150:Z150" si="105">SUM(D$147:D$149)</f>
        <v>6.0279999999999996</v>
      </c>
      <c r="E150" s="94">
        <f t="shared" si="105"/>
        <v>6.2690000000000001</v>
      </c>
      <c r="F150" s="94">
        <f t="shared" si="105"/>
        <v>7.0380000000000003</v>
      </c>
      <c r="G150" s="94">
        <f t="shared" si="105"/>
        <v>8.8940000000000001</v>
      </c>
      <c r="H150" s="94">
        <f t="shared" si="105"/>
        <v>8.407</v>
      </c>
      <c r="I150" s="94">
        <f t="shared" si="105"/>
        <v>9.4260000000000002</v>
      </c>
      <c r="J150" s="94">
        <f t="shared" si="105"/>
        <v>9.7680000000000007</v>
      </c>
      <c r="K150" s="94">
        <f t="shared" si="105"/>
        <v>10.302</v>
      </c>
      <c r="L150" s="95">
        <f t="shared" si="105"/>
        <v>10.911</v>
      </c>
      <c r="M150" s="95">
        <f t="shared" si="105"/>
        <v>11.522</v>
      </c>
      <c r="N150" s="95">
        <f t="shared" si="105"/>
        <v>11.723000000000001</v>
      </c>
      <c r="O150" s="95">
        <f t="shared" si="105"/>
        <v>12.202999999999999</v>
      </c>
      <c r="P150" s="95">
        <f t="shared" si="105"/>
        <v>12.422000000000001</v>
      </c>
      <c r="Q150" s="96">
        <f t="shared" ca="1" si="105"/>
        <v>13.075297982949122</v>
      </c>
      <c r="R150" s="96">
        <f t="shared" ca="1" si="105"/>
        <v>13.761646305928748</v>
      </c>
      <c r="S150" s="96">
        <f t="shared" ca="1" si="105"/>
        <v>14.467963547810054</v>
      </c>
      <c r="T150" s="96">
        <f t="shared" ca="1" si="105"/>
        <v>15.234173078563948</v>
      </c>
      <c r="U150" s="96">
        <f t="shared" ca="1" si="105"/>
        <v>16.010218107291355</v>
      </c>
      <c r="V150" s="96">
        <f t="shared" ca="1" si="105"/>
        <v>16.572721146562614</v>
      </c>
      <c r="W150" s="96">
        <f t="shared" ca="1" si="105"/>
        <v>17.150544911928744</v>
      </c>
      <c r="X150" s="96">
        <f t="shared" ca="1" si="105"/>
        <v>17.722314771064671</v>
      </c>
      <c r="Y150" s="96">
        <f t="shared" ca="1" si="105"/>
        <v>18.315295731696153</v>
      </c>
      <c r="Z150" s="96">
        <f t="shared" ca="1" si="105"/>
        <v>18.916089260221845</v>
      </c>
    </row>
    <row r="151" spans="1:26" x14ac:dyDescent="0.25">
      <c r="A151" s="12" t="s">
        <v>1220</v>
      </c>
      <c r="B151" s="14" t="str">
        <f>$B$38</f>
        <v>From Fiscal Forecasts</v>
      </c>
      <c r="C151" s="15"/>
      <c r="D151" s="50">
        <f>'Fiscal Forecasts'!D$374</f>
        <v>0</v>
      </c>
      <c r="E151" s="50">
        <f>'Fiscal Forecasts'!E$374</f>
        <v>0</v>
      </c>
      <c r="F151" s="50">
        <f>'Fiscal Forecasts'!F$374</f>
        <v>0.33600000000000002</v>
      </c>
      <c r="G151" s="50">
        <f>'Fiscal Forecasts'!G$374</f>
        <v>2.0960000000000001</v>
      </c>
      <c r="H151" s="50">
        <f>'Fiscal Forecasts'!H$374</f>
        <v>0.83199999999999996</v>
      </c>
      <c r="I151" s="50">
        <f>'Fiscal Forecasts'!I$374</f>
        <v>0.21</v>
      </c>
      <c r="J151" s="50">
        <f>'Fiscal Forecasts'!J$374</f>
        <v>0.26700000000000002</v>
      </c>
      <c r="K151" s="50">
        <f>'Fiscal Forecasts'!K$374</f>
        <v>4.0000000000000001E-3</v>
      </c>
      <c r="L151" s="48">
        <f>'Fiscal Forecasts'!L$374</f>
        <v>0.12</v>
      </c>
      <c r="M151" s="48">
        <f>'Fiscal Forecasts'!M$374</f>
        <v>0.2</v>
      </c>
      <c r="N151" s="48">
        <f>'Fiscal Forecasts'!N$374</f>
        <v>0.14899999999999999</v>
      </c>
      <c r="O151" s="48">
        <f>'Fiscal Forecasts'!O$374</f>
        <v>0.104</v>
      </c>
      <c r="P151" s="48">
        <f>'Fiscal Forecasts'!P$374</f>
        <v>3.6999999999999998E-2</v>
      </c>
      <c r="Q151" s="20">
        <f t="shared" ref="Q151:Z151" si="106">P$151</f>
        <v>3.6999999999999998E-2</v>
      </c>
      <c r="R151" s="20">
        <f t="shared" si="106"/>
        <v>3.6999999999999998E-2</v>
      </c>
      <c r="S151" s="20">
        <f t="shared" si="106"/>
        <v>3.6999999999999998E-2</v>
      </c>
      <c r="T151" s="20">
        <f t="shared" si="106"/>
        <v>3.6999999999999998E-2</v>
      </c>
      <c r="U151" s="20">
        <f t="shared" si="106"/>
        <v>3.6999999999999998E-2</v>
      </c>
      <c r="V151" s="20">
        <f t="shared" si="106"/>
        <v>3.6999999999999998E-2</v>
      </c>
      <c r="W151" s="20">
        <f t="shared" si="106"/>
        <v>3.6999999999999998E-2</v>
      </c>
      <c r="X151" s="20">
        <f t="shared" si="106"/>
        <v>3.6999999999999998E-2</v>
      </c>
      <c r="Y151" s="20">
        <f t="shared" si="106"/>
        <v>3.6999999999999998E-2</v>
      </c>
      <c r="Z151" s="20">
        <f t="shared" si="106"/>
        <v>3.6999999999999998E-2</v>
      </c>
    </row>
    <row r="152" spans="1:26" x14ac:dyDescent="0.25">
      <c r="A152" s="11"/>
      <c r="B152" s="11"/>
      <c r="C152" s="15"/>
      <c r="D152" s="51"/>
      <c r="E152" s="51"/>
      <c r="F152" s="51"/>
      <c r="G152" s="51"/>
      <c r="H152" s="51"/>
      <c r="I152" s="51"/>
      <c r="J152" s="51"/>
      <c r="K152" s="51"/>
      <c r="L152" s="47"/>
      <c r="M152" s="47"/>
      <c r="N152" s="47"/>
      <c r="O152" s="47"/>
      <c r="P152" s="47"/>
      <c r="Q152" s="21"/>
      <c r="R152" s="21"/>
      <c r="S152" s="21"/>
      <c r="T152" s="21"/>
      <c r="U152" s="21"/>
      <c r="V152" s="21"/>
      <c r="W152" s="21"/>
      <c r="X152" s="21"/>
      <c r="Y152" s="21"/>
      <c r="Z152" s="21"/>
    </row>
    <row r="153" spans="1:26" x14ac:dyDescent="0.25">
      <c r="A153" s="11" t="s">
        <v>866</v>
      </c>
      <c r="B153" s="11"/>
      <c r="C153" s="15"/>
      <c r="D153" s="51"/>
      <c r="E153" s="51"/>
      <c r="F153" s="51"/>
      <c r="G153" s="51"/>
      <c r="H153" s="51"/>
      <c r="I153" s="51"/>
      <c r="J153" s="51"/>
      <c r="K153" s="51"/>
      <c r="L153" s="47"/>
      <c r="M153" s="47"/>
      <c r="N153" s="47"/>
      <c r="O153" s="47"/>
      <c r="P153" s="47"/>
      <c r="Q153" s="21"/>
      <c r="R153" s="21"/>
      <c r="S153" s="21"/>
      <c r="T153" s="21"/>
      <c r="U153" s="21"/>
      <c r="V153" s="21"/>
      <c r="W153" s="21"/>
      <c r="X153" s="21"/>
      <c r="Y153" s="21"/>
      <c r="Z153" s="21"/>
    </row>
    <row r="154" spans="1:26" x14ac:dyDescent="0.25">
      <c r="A154" s="11" t="s">
        <v>1221</v>
      </c>
      <c r="B154" s="14" t="str">
        <f>$B$38</f>
        <v>From Fiscal Forecasts</v>
      </c>
      <c r="C154" s="15"/>
      <c r="D154" s="51">
        <f>'Fiscal Forecasts'!D165</f>
        <v>1.583</v>
      </c>
      <c r="E154" s="51">
        <f>'Fiscal Forecasts'!E165</f>
        <v>1.5529999999999999</v>
      </c>
      <c r="F154" s="51">
        <f>'Fiscal Forecasts'!F165</f>
        <v>1.5429999999999999</v>
      </c>
      <c r="G154" s="51">
        <f>'Fiscal Forecasts'!G165</f>
        <v>1.3859999999999999</v>
      </c>
      <c r="H154" s="51">
        <f>'Fiscal Forecasts'!H165</f>
        <v>1.631</v>
      </c>
      <c r="I154" s="51">
        <f>'Fiscal Forecasts'!I165</f>
        <v>1.798</v>
      </c>
      <c r="J154" s="51">
        <f>'Fiscal Forecasts'!J165</f>
        <v>2.004</v>
      </c>
      <c r="K154" s="51">
        <f>'Fiscal Forecasts'!K165</f>
        <v>2.3359999999999999</v>
      </c>
      <c r="L154" s="47">
        <f>'Fiscal Forecasts'!L165</f>
        <v>2.9159999999999999</v>
      </c>
      <c r="M154" s="47">
        <f>'Fiscal Forecasts'!M165</f>
        <v>2.9790000000000001</v>
      </c>
      <c r="N154" s="47">
        <f>'Fiscal Forecasts'!N165</f>
        <v>3.0310000000000001</v>
      </c>
      <c r="O154" s="47">
        <f>'Fiscal Forecasts'!O165</f>
        <v>3.02</v>
      </c>
      <c r="P154" s="47">
        <f>'Fiscal Forecasts'!P165</f>
        <v>3.0350000000000001</v>
      </c>
      <c r="Q154" s="21">
        <f t="shared" ref="Q154:Z154" ca="1" si="107">P$154*(1+Q$19)*(1+Q$29)</f>
        <v>3.1354778349822885</v>
      </c>
      <c r="R154" s="21">
        <f t="shared" ca="1" si="107"/>
        <v>3.2374579591164738</v>
      </c>
      <c r="S154" s="21">
        <f t="shared" ca="1" si="107"/>
        <v>3.34165431760362</v>
      </c>
      <c r="T154" s="21">
        <f t="shared" ca="1" si="107"/>
        <v>3.4470817783555803</v>
      </c>
      <c r="U154" s="21">
        <f t="shared" ca="1" si="107"/>
        <v>3.5555420613404651</v>
      </c>
      <c r="V154" s="21">
        <f t="shared" ca="1" si="107"/>
        <v>3.6661107409021687</v>
      </c>
      <c r="W154" s="21">
        <f t="shared" ca="1" si="107"/>
        <v>3.7760032885418422</v>
      </c>
      <c r="X154" s="21">
        <f t="shared" ca="1" si="107"/>
        <v>3.8882090452444484</v>
      </c>
      <c r="Y154" s="21">
        <f t="shared" ca="1" si="107"/>
        <v>4.0038167803238665</v>
      </c>
      <c r="Z154" s="21">
        <f t="shared" ca="1" si="107"/>
        <v>4.1219567565282773</v>
      </c>
    </row>
    <row r="155" spans="1:26" x14ac:dyDescent="0.25">
      <c r="A155" s="11" t="s">
        <v>1222</v>
      </c>
      <c r="B155" s="14" t="str">
        <f>$B$38</f>
        <v>From Fiscal Forecasts</v>
      </c>
      <c r="C155" s="15"/>
      <c r="D155" s="51">
        <f>'Fiscal Forecasts'!D11</f>
        <v>19.795999999999999</v>
      </c>
      <c r="E155" s="51">
        <f>'Fiscal Forecasts'!E11</f>
        <v>18.437000000000001</v>
      </c>
      <c r="F155" s="51">
        <f>'Fiscal Forecasts'!F11</f>
        <v>18.5</v>
      </c>
      <c r="G155" s="51">
        <f>'Fiscal Forecasts'!G11</f>
        <v>17.442</v>
      </c>
      <c r="H155" s="51">
        <f>'Fiscal Forecasts'!H11</f>
        <v>21.954000000000001</v>
      </c>
      <c r="I155" s="51">
        <f>'Fiscal Forecasts'!I11</f>
        <v>25.135000000000002</v>
      </c>
      <c r="J155" s="51">
        <f>'Fiscal Forecasts'!J11</f>
        <v>26.085000000000001</v>
      </c>
      <c r="K155" s="51">
        <f>'Fiscal Forecasts'!K11</f>
        <v>25.22</v>
      </c>
      <c r="L155" s="47">
        <f>'Fiscal Forecasts'!L11</f>
        <v>26.960999999999999</v>
      </c>
      <c r="M155" s="47">
        <f>'Fiscal Forecasts'!M11</f>
        <v>27.52</v>
      </c>
      <c r="N155" s="47">
        <f>'Fiscal Forecasts'!N11</f>
        <v>28.155999999999999</v>
      </c>
      <c r="O155" s="47">
        <f>'Fiscal Forecasts'!O11</f>
        <v>29.151</v>
      </c>
      <c r="P155" s="47">
        <f>'Fiscal Forecasts'!P11</f>
        <v>29.815999999999999</v>
      </c>
      <c r="Q155" s="21">
        <f t="shared" ref="Q155:Z155" ca="1" si="108">Q$154+(P$155-P$154)*(1+Q$14)</f>
        <v>31.082278581469399</v>
      </c>
      <c r="R155" s="21">
        <f t="shared" ca="1" si="108"/>
        <v>32.373817990717384</v>
      </c>
      <c r="S155" s="21">
        <f t="shared" ca="1" si="108"/>
        <v>33.699088373795036</v>
      </c>
      <c r="T155" s="21">
        <f t="shared" ca="1" si="108"/>
        <v>35.054248490549547</v>
      </c>
      <c r="U155" s="21">
        <f t="shared" ca="1" si="108"/>
        <v>36.456020529544169</v>
      </c>
      <c r="V155" s="21">
        <f t="shared" ca="1" si="108"/>
        <v>37.903940016000107</v>
      </c>
      <c r="W155" s="21">
        <f t="shared" ca="1" si="108"/>
        <v>39.388475508708048</v>
      </c>
      <c r="X155" s="21">
        <f t="shared" ca="1" si="108"/>
        <v>40.914908229707805</v>
      </c>
      <c r="Y155" s="21">
        <f t="shared" ca="1" si="108"/>
        <v>42.491722468210163</v>
      </c>
      <c r="Z155" s="21">
        <f t="shared" ca="1" si="108"/>
        <v>44.118425353902772</v>
      </c>
    </row>
    <row r="156" spans="1:26" x14ac:dyDescent="0.25">
      <c r="A156" s="11"/>
      <c r="B156" s="11"/>
      <c r="C156" s="15"/>
      <c r="D156" s="51"/>
      <c r="E156" s="51"/>
      <c r="F156" s="51"/>
      <c r="G156" s="51"/>
      <c r="H156" s="51"/>
      <c r="I156" s="51"/>
      <c r="J156" s="51"/>
      <c r="K156" s="51"/>
      <c r="L156" s="47"/>
      <c r="M156" s="47"/>
      <c r="N156" s="47"/>
      <c r="O156" s="47"/>
      <c r="P156" s="47"/>
      <c r="Q156" s="21"/>
      <c r="R156" s="21"/>
      <c r="S156" s="21"/>
      <c r="T156" s="21"/>
      <c r="U156" s="21"/>
      <c r="V156" s="21"/>
      <c r="W156" s="21"/>
      <c r="X156" s="21"/>
      <c r="Y156" s="21"/>
      <c r="Z156" s="21"/>
    </row>
    <row r="157" spans="1:26" x14ac:dyDescent="0.25">
      <c r="A157" s="11" t="s">
        <v>867</v>
      </c>
      <c r="B157" s="11"/>
      <c r="C157" s="15"/>
      <c r="D157" s="51"/>
      <c r="E157" s="51"/>
      <c r="F157" s="51"/>
      <c r="G157" s="51"/>
      <c r="H157" s="51"/>
      <c r="I157" s="51"/>
      <c r="J157" s="51"/>
      <c r="K157" s="51"/>
      <c r="L157" s="47"/>
      <c r="M157" s="47"/>
      <c r="N157" s="47"/>
      <c r="O157" s="47"/>
      <c r="P157" s="47"/>
      <c r="Q157" s="21"/>
      <c r="R157" s="21"/>
      <c r="S157" s="21"/>
      <c r="T157" s="21"/>
      <c r="U157" s="21"/>
      <c r="V157" s="21"/>
      <c r="W157" s="21"/>
      <c r="X157" s="21"/>
      <c r="Y157" s="21"/>
      <c r="Z157" s="21"/>
    </row>
    <row r="158" spans="1:26" x14ac:dyDescent="0.25">
      <c r="A158" s="12" t="s">
        <v>1223</v>
      </c>
      <c r="B158" s="11"/>
      <c r="C158" s="15"/>
      <c r="D158" s="50">
        <f ca="1">OFFSET(Assumptions!$B$48,0,$C$1)*D$375</f>
        <v>0.41243999999999997</v>
      </c>
      <c r="E158" s="50">
        <f ca="1">OFFSET(Assumptions!$B$48,0,$C$1)*E$375</f>
        <v>0.33726</v>
      </c>
      <c r="F158" s="50">
        <f ca="1">OFFSET(Assumptions!$B$48,0,$C$1)*F$375</f>
        <v>0.31163999999999997</v>
      </c>
      <c r="G158" s="50">
        <f ca="1">OFFSET(Assumptions!$B$48,0,$C$1)*G$375</f>
        <v>0.45233999999999996</v>
      </c>
      <c r="H158" s="50">
        <f ca="1">OFFSET(Assumptions!$B$48,0,$C$1)*H$375</f>
        <v>0.5544</v>
      </c>
      <c r="I158" s="50">
        <f ca="1">OFFSET(Assumptions!$B$48,0,$C$1)*I$375</f>
        <v>0.69677999999999995</v>
      </c>
      <c r="J158" s="50">
        <f ca="1">OFFSET(Assumptions!$B$48,0,$C$1)*J$375</f>
        <v>0.74927999999999995</v>
      </c>
      <c r="K158" s="50">
        <f ca="1">OFFSET(Assumptions!$B$48,0,$C$1)*K$375</f>
        <v>0.75348000000000004</v>
      </c>
      <c r="L158" s="48">
        <f ca="1">OFFSET(Assumptions!$B$48,0,$C$1)*L$375</f>
        <v>0.74885999999999997</v>
      </c>
      <c r="M158" s="48">
        <f ca="1">OFFSET(Assumptions!$B$48,0,$C$1)*M$375</f>
        <v>0.77532000000000001</v>
      </c>
      <c r="N158" s="48">
        <f ca="1">OFFSET(Assumptions!$B$48,0,$C$1)*N$375</f>
        <v>0.81227999999999989</v>
      </c>
      <c r="O158" s="48">
        <f ca="1">OFFSET(Assumptions!$B$48,0,$C$1)*O$375</f>
        <v>0.84965999999999997</v>
      </c>
      <c r="P158" s="48">
        <f ca="1">OFFSET(Assumptions!$B$48,0,$C$1)*P$375</f>
        <v>0.88913999999999993</v>
      </c>
      <c r="Q158" s="20">
        <f ca="1">OFFSET(Assumptions!$B$48,0,$C$1)*Q$375</f>
        <v>0.95870978269583018</v>
      </c>
      <c r="R158" s="20">
        <f ca="1">OFFSET(Assumptions!$B$48,0,$C$1)*R$375</f>
        <v>1.0175422012160071</v>
      </c>
      <c r="S158" s="20">
        <f ca="1">OFFSET(Assumptions!$B$48,0,$C$1)*S$375</f>
        <v>1.0788136908672246</v>
      </c>
      <c r="T158" s="20">
        <f ca="1">OFFSET(Assumptions!$B$48,0,$C$1)*T$375</f>
        <v>1.1426320853691245</v>
      </c>
      <c r="U158" s="20">
        <f ca="1">OFFSET(Assumptions!$B$48,0,$C$1)*U$375</f>
        <v>1.2090007055569587</v>
      </c>
      <c r="V158" s="20">
        <f ca="1">OFFSET(Assumptions!$B$48,0,$C$1)*V$375</f>
        <v>1.2779762319694714</v>
      </c>
      <c r="W158" s="20">
        <f ca="1">OFFSET(Assumptions!$B$48,0,$C$1)*W$375</f>
        <v>1.3501058732121565</v>
      </c>
      <c r="X158" s="20">
        <f ca="1">OFFSET(Assumptions!$B$48,0,$C$1)*X$375</f>
        <v>1.4260986796114399</v>
      </c>
      <c r="Y158" s="20">
        <f ca="1">OFFSET(Assumptions!$B$48,0,$C$1)*Y$375</f>
        <v>1.5068004336497027</v>
      </c>
      <c r="Z158" s="20">
        <f ca="1">OFFSET(Assumptions!$B$48,0,$C$1)*Z$375</f>
        <v>1.5931502850467707</v>
      </c>
    </row>
    <row r="159" spans="1:26" x14ac:dyDescent="0.25">
      <c r="A159" s="12" t="s">
        <v>1224</v>
      </c>
      <c r="B159" s="11"/>
      <c r="C159" s="15"/>
      <c r="D159" s="50">
        <f t="shared" ref="D159:Z159" si="109">D$404</f>
        <v>0.39400000000000002</v>
      </c>
      <c r="E159" s="50">
        <f t="shared" si="109"/>
        <v>0.33100000000000002</v>
      </c>
      <c r="F159" s="50">
        <f t="shared" si="109"/>
        <v>0.23499999999999999</v>
      </c>
      <c r="G159" s="50">
        <f t="shared" si="109"/>
        <v>0.28000000000000003</v>
      </c>
      <c r="H159" s="50">
        <f t="shared" si="109"/>
        <v>0.57699999999999996</v>
      </c>
      <c r="I159" s="50">
        <f t="shared" si="109"/>
        <v>0.63400000000000001</v>
      </c>
      <c r="J159" s="50">
        <f t="shared" si="109"/>
        <v>0.49199999999999999</v>
      </c>
      <c r="K159" s="50">
        <f t="shared" si="109"/>
        <v>0.311</v>
      </c>
      <c r="L159" s="48">
        <f t="shared" si="109"/>
        <v>0.36299999999999999</v>
      </c>
      <c r="M159" s="48">
        <f t="shared" si="109"/>
        <v>0.44600000000000001</v>
      </c>
      <c r="N159" s="48">
        <f t="shared" si="109"/>
        <v>0.47399999999999998</v>
      </c>
      <c r="O159" s="48">
        <f t="shared" si="109"/>
        <v>0.501</v>
      </c>
      <c r="P159" s="48">
        <f t="shared" si="109"/>
        <v>0.52600000000000002</v>
      </c>
      <c r="Q159" s="20">
        <f t="shared" si="109"/>
        <v>0.56899999999999995</v>
      </c>
      <c r="R159" s="20">
        <f t="shared" si="109"/>
        <v>0.60499999999999998</v>
      </c>
      <c r="S159" s="20">
        <f t="shared" si="109"/>
        <v>0.63900000000000001</v>
      </c>
      <c r="T159" s="20">
        <f t="shared" si="109"/>
        <v>0.67</v>
      </c>
      <c r="U159" s="20">
        <f t="shared" si="109"/>
        <v>0.69899999999999995</v>
      </c>
      <c r="V159" s="20">
        <f t="shared" si="109"/>
        <v>0.72899999999999998</v>
      </c>
      <c r="W159" s="20">
        <f t="shared" si="109"/>
        <v>0.75900000000000001</v>
      </c>
      <c r="X159" s="20">
        <f t="shared" si="109"/>
        <v>0.79100000000000004</v>
      </c>
      <c r="Y159" s="20">
        <f t="shared" si="109"/>
        <v>0.82399999999999995</v>
      </c>
      <c r="Z159" s="20">
        <f t="shared" si="109"/>
        <v>0.85699999999999998</v>
      </c>
    </row>
    <row r="160" spans="1:26" x14ac:dyDescent="0.25">
      <c r="A160" s="12" t="s">
        <v>1225</v>
      </c>
      <c r="B160" s="14" t="str">
        <f>$B$38</f>
        <v>From Fiscal Forecasts</v>
      </c>
      <c r="C160" s="15"/>
      <c r="D160" s="50">
        <f ca="1">'Fiscal Forecasts'!D$166-SUM(D$158:D$159)</f>
        <v>0.25356000000000001</v>
      </c>
      <c r="E160" s="50">
        <f ca="1">'Fiscal Forecasts'!E$166-SUM(E$158:E$159)</f>
        <v>0.1817399999999999</v>
      </c>
      <c r="F160" s="50">
        <f ca="1">'Fiscal Forecasts'!F$166-SUM(F$158:F$159)</f>
        <v>0.16935999999999996</v>
      </c>
      <c r="G160" s="50">
        <f ca="1">'Fiscal Forecasts'!G$166-SUM(G$158:G$159)</f>
        <v>0.12565999999999999</v>
      </c>
      <c r="H160" s="50">
        <f ca="1">'Fiscal Forecasts'!H$166-SUM(H$158:H$159)</f>
        <v>1.7306000000000001</v>
      </c>
      <c r="I160" s="50">
        <f ca="1">'Fiscal Forecasts'!I$166-SUM(I$158:I$159)</f>
        <v>3.11022</v>
      </c>
      <c r="J160" s="50">
        <f ca="1">'Fiscal Forecasts'!J$166-SUM(J$158:J$159)</f>
        <v>2.9477200000000003</v>
      </c>
      <c r="K160" s="50">
        <f ca="1">'Fiscal Forecasts'!K$166-SUM(K$158:K$159)</f>
        <v>2.45452</v>
      </c>
      <c r="L160" s="48">
        <f ca="1">'Fiscal Forecasts'!L$166-SUM(L$158:L$159)</f>
        <v>2.9171399999999998</v>
      </c>
      <c r="M160" s="48">
        <f ca="1">'Fiscal Forecasts'!M$166-SUM(M$158:M$159)</f>
        <v>3.2346800000000004</v>
      </c>
      <c r="N160" s="48">
        <f ca="1">'Fiscal Forecasts'!N$166-SUM(N$158:N$159)</f>
        <v>3.42272</v>
      </c>
      <c r="O160" s="48">
        <f ca="1">'Fiscal Forecasts'!O$166-SUM(O$158:O$159)</f>
        <v>3.8523400000000003</v>
      </c>
      <c r="P160" s="48">
        <f ca="1">'Fiscal Forecasts'!P$166-SUM(P$158:P$159)</f>
        <v>3.8328600000000002</v>
      </c>
      <c r="Q160" s="20">
        <f t="shared" ref="Q160:Z160" ca="1" si="110">P$160*(1+Q$29)*Q$30/P$30</f>
        <v>3.9095172000000002</v>
      </c>
      <c r="R160" s="20">
        <f t="shared" ca="1" si="110"/>
        <v>3.9877075440000005</v>
      </c>
      <c r="S160" s="20">
        <f t="shared" ca="1" si="110"/>
        <v>4.0674616948800004</v>
      </c>
      <c r="T160" s="20">
        <f t="shared" ca="1" si="110"/>
        <v>4.1488109287776007</v>
      </c>
      <c r="U160" s="20">
        <f t="shared" ca="1" si="110"/>
        <v>4.2317871473531525</v>
      </c>
      <c r="V160" s="20">
        <f t="shared" ca="1" si="110"/>
        <v>4.316422890300216</v>
      </c>
      <c r="W160" s="20">
        <f t="shared" ca="1" si="110"/>
        <v>4.4027513481062206</v>
      </c>
      <c r="X160" s="20">
        <f t="shared" ca="1" si="110"/>
        <v>4.4908063750683453</v>
      </c>
      <c r="Y160" s="20">
        <f t="shared" ca="1" si="110"/>
        <v>4.580622502569712</v>
      </c>
      <c r="Z160" s="20">
        <f t="shared" ca="1" si="110"/>
        <v>4.672234952621106</v>
      </c>
    </row>
    <row r="161" spans="1:26" x14ac:dyDescent="0.25">
      <c r="A161" s="11" t="s">
        <v>1226</v>
      </c>
      <c r="B161" s="11"/>
      <c r="C161" s="15"/>
      <c r="D161" s="94">
        <f t="shared" ref="D161:Z161" ca="1" si="111">SUM(D$158:D$160)</f>
        <v>1.06</v>
      </c>
      <c r="E161" s="94">
        <f t="shared" ca="1" si="111"/>
        <v>0.85</v>
      </c>
      <c r="F161" s="94">
        <f t="shared" ca="1" si="111"/>
        <v>0.71599999999999997</v>
      </c>
      <c r="G161" s="94">
        <f t="shared" ca="1" si="111"/>
        <v>0.85799999999999998</v>
      </c>
      <c r="H161" s="94">
        <f t="shared" ca="1" si="111"/>
        <v>2.8620000000000001</v>
      </c>
      <c r="I161" s="94">
        <f t="shared" ca="1" si="111"/>
        <v>4.4409999999999998</v>
      </c>
      <c r="J161" s="94">
        <f t="shared" ca="1" si="111"/>
        <v>4.1890000000000001</v>
      </c>
      <c r="K161" s="94">
        <f t="shared" ca="1" si="111"/>
        <v>3.5190000000000001</v>
      </c>
      <c r="L161" s="95">
        <f t="shared" ca="1" si="111"/>
        <v>4.0289999999999999</v>
      </c>
      <c r="M161" s="95">
        <f t="shared" ca="1" si="111"/>
        <v>4.4560000000000004</v>
      </c>
      <c r="N161" s="95">
        <f t="shared" ca="1" si="111"/>
        <v>4.7089999999999996</v>
      </c>
      <c r="O161" s="95">
        <f t="shared" ca="1" si="111"/>
        <v>5.2030000000000003</v>
      </c>
      <c r="P161" s="95">
        <f t="shared" ca="1" si="111"/>
        <v>5.2480000000000002</v>
      </c>
      <c r="Q161" s="96">
        <f t="shared" ca="1" si="111"/>
        <v>5.4372269826958304</v>
      </c>
      <c r="R161" s="96">
        <f t="shared" ca="1" si="111"/>
        <v>5.6102497452160076</v>
      </c>
      <c r="S161" s="96">
        <f t="shared" ca="1" si="111"/>
        <v>5.7852753857472248</v>
      </c>
      <c r="T161" s="96">
        <f t="shared" ca="1" si="111"/>
        <v>5.9614430141467256</v>
      </c>
      <c r="U161" s="96">
        <f t="shared" ca="1" si="111"/>
        <v>6.1397878529101106</v>
      </c>
      <c r="V161" s="96">
        <f t="shared" ca="1" si="111"/>
        <v>6.3233991222696879</v>
      </c>
      <c r="W161" s="96">
        <f t="shared" ca="1" si="111"/>
        <v>6.511857221318377</v>
      </c>
      <c r="X161" s="96">
        <f t="shared" ca="1" si="111"/>
        <v>6.7079050546797854</v>
      </c>
      <c r="Y161" s="96">
        <f t="shared" ca="1" si="111"/>
        <v>6.9114229362194148</v>
      </c>
      <c r="Z161" s="96">
        <f t="shared" ca="1" si="111"/>
        <v>7.1223852376678769</v>
      </c>
    </row>
    <row r="162" spans="1:26" x14ac:dyDescent="0.25">
      <c r="A162" s="12" t="s">
        <v>1020</v>
      </c>
      <c r="B162" s="14" t="str">
        <f>$B$38</f>
        <v>From Fiscal Forecasts</v>
      </c>
      <c r="C162" s="15"/>
      <c r="D162" s="50">
        <f>'Fiscal Forecasts'!D$233</f>
        <v>1.016</v>
      </c>
      <c r="E162" s="50">
        <f>'Fiscal Forecasts'!E$233</f>
        <v>0.94699999999999995</v>
      </c>
      <c r="F162" s="50">
        <f>'Fiscal Forecasts'!F$233</f>
        <v>0.78500000000000003</v>
      </c>
      <c r="G162" s="50">
        <f>'Fiscal Forecasts'!G$233</f>
        <v>0.82699999999999996</v>
      </c>
      <c r="H162" s="50">
        <f>'Fiscal Forecasts'!H$233</f>
        <v>2.097</v>
      </c>
      <c r="I162" s="50">
        <f>'Fiscal Forecasts'!I$233</f>
        <v>3.56</v>
      </c>
      <c r="J162" s="50">
        <f>'Fiscal Forecasts'!J$233</f>
        <v>4.0990000000000002</v>
      </c>
      <c r="K162" s="50">
        <f>'Fiscal Forecasts'!K$233</f>
        <v>3.9359999999999999</v>
      </c>
      <c r="L162" s="48">
        <f>'Fiscal Forecasts'!L$233</f>
        <v>4.0650000000000004</v>
      </c>
      <c r="M162" s="48">
        <f>'Fiscal Forecasts'!M$233</f>
        <v>4.51</v>
      </c>
      <c r="N162" s="48">
        <f>'Fiscal Forecasts'!N$233</f>
        <v>5.0789999999999997</v>
      </c>
      <c r="O162" s="48">
        <f>'Fiscal Forecasts'!O$233</f>
        <v>5.67</v>
      </c>
      <c r="P162" s="48">
        <f>'Fiscal Forecasts'!P$233</f>
        <v>6.1879999999999997</v>
      </c>
      <c r="Q162" s="20">
        <f ca="1">P$162*AVERAGE(1+Q$29,1+Exogenous!AB$31)</f>
        <v>6.4123297845524876</v>
      </c>
      <c r="R162" s="20">
        <f ca="1">Q$162*AVERAGE(1+R$29,1+Exogenous!AC$31)</f>
        <v>6.6479753701309878</v>
      </c>
      <c r="S162" s="20">
        <f ca="1">R$162*AVERAGE(1+S$29,1+Exogenous!AD$31)</f>
        <v>6.8950297789393744</v>
      </c>
      <c r="T162" s="20">
        <f ca="1">S$162*AVERAGE(1+T$29,1+Exogenous!AE$31)</f>
        <v>7.1534370794288984</v>
      </c>
      <c r="U162" s="20">
        <f ca="1">T$162*AVERAGE(1+U$29,1+Exogenous!AF$31)</f>
        <v>7.4224234327580669</v>
      </c>
      <c r="V162" s="20">
        <f ca="1">U$162*AVERAGE(1+V$29,1+Exogenous!AG$31)</f>
        <v>7.7016293009972374</v>
      </c>
      <c r="W162" s="20">
        <f ca="1">V$162*AVERAGE(1+W$29,1+Exogenous!AH$31)</f>
        <v>7.9913956994938786</v>
      </c>
      <c r="X162" s="20">
        <f ca="1">W$162*AVERAGE(1+X$29,1+Exogenous!AI$31)</f>
        <v>8.2921328172627824</v>
      </c>
      <c r="Y162" s="20">
        <f ca="1">X$162*AVERAGE(1+Y$29,1+Exogenous!AJ$31)</f>
        <v>8.6042488552918179</v>
      </c>
      <c r="Z162" s="20">
        <f ca="1">Y$162*AVERAGE(1+Z$29,1+Exogenous!AK$31)</f>
        <v>8.9281645934371223</v>
      </c>
    </row>
    <row r="163" spans="1:26" x14ac:dyDescent="0.25">
      <c r="A163" s="12" t="s">
        <v>1227</v>
      </c>
      <c r="B163" s="14" t="str">
        <f>$B$38</f>
        <v>From Fiscal Forecasts</v>
      </c>
      <c r="C163" s="15"/>
      <c r="D163" s="50">
        <f>'Fiscal Forecasts'!D$234</f>
        <v>1.014</v>
      </c>
      <c r="E163" s="50">
        <f>'Fiscal Forecasts'!E$234</f>
        <v>0.95299999999999996</v>
      </c>
      <c r="F163" s="50">
        <f>'Fiscal Forecasts'!F$234</f>
        <v>0.79100000000000004</v>
      </c>
      <c r="G163" s="50">
        <f>'Fiscal Forecasts'!G$234</f>
        <v>0.95699999999999996</v>
      </c>
      <c r="H163" s="50">
        <f>'Fiscal Forecasts'!H$234</f>
        <v>0.67500000000000004</v>
      </c>
      <c r="I163" s="50">
        <f>'Fiscal Forecasts'!I$234</f>
        <v>0.22800000000000001</v>
      </c>
      <c r="J163" s="50">
        <f>'Fiscal Forecasts'!J$234</f>
        <v>0.16200000000000001</v>
      </c>
      <c r="K163" s="50">
        <f>'Fiscal Forecasts'!K$234</f>
        <v>0.114</v>
      </c>
      <c r="L163" s="48">
        <f>'Fiscal Forecasts'!L$234</f>
        <v>7.8E-2</v>
      </c>
      <c r="M163" s="48">
        <f>'Fiscal Forecasts'!M$234</f>
        <v>8.4000000000000005E-2</v>
      </c>
      <c r="N163" s="48">
        <f>'Fiscal Forecasts'!N$234</f>
        <v>8.6999999999999994E-2</v>
      </c>
      <c r="O163" s="48">
        <f>'Fiscal Forecasts'!O$234</f>
        <v>9.4E-2</v>
      </c>
      <c r="P163" s="48">
        <f>'Fiscal Forecasts'!P$234</f>
        <v>0.106</v>
      </c>
      <c r="Q163" s="20">
        <f t="shared" ref="Q163:Z163" ca="1" si="112">P$163*(1+Q$29)</f>
        <v>0.10811999999999999</v>
      </c>
      <c r="R163" s="20">
        <f t="shared" ca="1" si="112"/>
        <v>0.11028239999999999</v>
      </c>
      <c r="S163" s="20">
        <f t="shared" ca="1" si="112"/>
        <v>0.11248804799999999</v>
      </c>
      <c r="T163" s="20">
        <f t="shared" ca="1" si="112"/>
        <v>0.11473780895999999</v>
      </c>
      <c r="U163" s="20">
        <f t="shared" ca="1" si="112"/>
        <v>0.11703256513919999</v>
      </c>
      <c r="V163" s="20">
        <f t="shared" ca="1" si="112"/>
        <v>0.119373216441984</v>
      </c>
      <c r="W163" s="20">
        <f t="shared" ca="1" si="112"/>
        <v>0.12176068077082368</v>
      </c>
      <c r="X163" s="20">
        <f t="shared" ca="1" si="112"/>
        <v>0.12419589438624015</v>
      </c>
      <c r="Y163" s="20">
        <f t="shared" ca="1" si="112"/>
        <v>0.12667981227396496</v>
      </c>
      <c r="Z163" s="20">
        <f t="shared" ca="1" si="112"/>
        <v>0.12921340851944427</v>
      </c>
    </row>
    <row r="164" spans="1:26" x14ac:dyDescent="0.25">
      <c r="A164" s="12" t="s">
        <v>1228</v>
      </c>
      <c r="B164" s="14" t="str">
        <f>$B$38</f>
        <v>From Fiscal Forecasts</v>
      </c>
      <c r="C164" s="15"/>
      <c r="D164" s="50">
        <f>'Fiscal Forecasts'!D$235</f>
        <v>-0.44400000000000001</v>
      </c>
      <c r="E164" s="50">
        <f>'Fiscal Forecasts'!E$235</f>
        <v>-0.45</v>
      </c>
      <c r="F164" s="50">
        <f>'Fiscal Forecasts'!F$235</f>
        <v>-0.34899999999999998</v>
      </c>
      <c r="G164" s="50">
        <f>'Fiscal Forecasts'!G$235</f>
        <v>-0.35</v>
      </c>
      <c r="H164" s="50">
        <f>'Fiscal Forecasts'!H$235</f>
        <v>-0.622</v>
      </c>
      <c r="I164" s="50">
        <f>'Fiscal Forecasts'!I$235</f>
        <v>-1.109</v>
      </c>
      <c r="J164" s="50">
        <f>'Fiscal Forecasts'!J$235</f>
        <v>-1.411</v>
      </c>
      <c r="K164" s="50">
        <f>'Fiscal Forecasts'!K$235</f>
        <v>-1.585</v>
      </c>
      <c r="L164" s="48">
        <f>'Fiscal Forecasts'!L$235</f>
        <v>-1.6859999999999999</v>
      </c>
      <c r="M164" s="48">
        <f>'Fiscal Forecasts'!M$235</f>
        <v>-1.847</v>
      </c>
      <c r="N164" s="48">
        <f>'Fiscal Forecasts'!N$235</f>
        <v>-1.958</v>
      </c>
      <c r="O164" s="48">
        <f>'Fiscal Forecasts'!O$235</f>
        <v>-2.0409999999999999</v>
      </c>
      <c r="P164" s="48">
        <f>'Fiscal Forecasts'!P$235</f>
        <v>-2.1429999999999998</v>
      </c>
      <c r="Q164" s="20">
        <f t="shared" ref="Q164:Z164" ca="1" si="113">P$164*Q$162/P$162</f>
        <v>-2.2206888701189365</v>
      </c>
      <c r="R164" s="20">
        <f t="shared" ca="1" si="113"/>
        <v>-2.3022965769538954</v>
      </c>
      <c r="S164" s="20">
        <f t="shared" ca="1" si="113"/>
        <v>-2.387855335531202</v>
      </c>
      <c r="T164" s="20">
        <f t="shared" ca="1" si="113"/>
        <v>-2.4773457758914232</v>
      </c>
      <c r="U164" s="20">
        <f t="shared" ca="1" si="113"/>
        <v>-2.5704999056885161</v>
      </c>
      <c r="V164" s="20">
        <f t="shared" ca="1" si="113"/>
        <v>-2.6671932113828505</v>
      </c>
      <c r="W164" s="20">
        <f t="shared" ca="1" si="113"/>
        <v>-2.7675437918576891</v>
      </c>
      <c r="X164" s="20">
        <f t="shared" ca="1" si="113"/>
        <v>-2.8716937019059698</v>
      </c>
      <c r="Y164" s="20">
        <f t="shared" ca="1" si="113"/>
        <v>-2.9797843078361934</v>
      </c>
      <c r="Z164" s="20">
        <f t="shared" ca="1" si="113"/>
        <v>-3.091961332213276</v>
      </c>
    </row>
    <row r="165" spans="1:26" x14ac:dyDescent="0.25">
      <c r="A165" s="11" t="s">
        <v>1229</v>
      </c>
      <c r="B165" s="11"/>
      <c r="C165" s="15"/>
      <c r="D165" s="94">
        <f t="shared" ref="D165:Z165" ca="1" si="114">SUM(D$161:D$164)</f>
        <v>2.6459999999999999</v>
      </c>
      <c r="E165" s="94">
        <f t="shared" ca="1" si="114"/>
        <v>2.2999999999999998</v>
      </c>
      <c r="F165" s="94">
        <f t="shared" ca="1" si="114"/>
        <v>1.9429999999999998</v>
      </c>
      <c r="G165" s="94">
        <f t="shared" ca="1" si="114"/>
        <v>2.2919999999999998</v>
      </c>
      <c r="H165" s="94">
        <f t="shared" ca="1" si="114"/>
        <v>5.0119999999999996</v>
      </c>
      <c r="I165" s="94">
        <f t="shared" ca="1" si="114"/>
        <v>7.1199999999999992</v>
      </c>
      <c r="J165" s="94">
        <f t="shared" ca="1" si="114"/>
        <v>7.0390000000000015</v>
      </c>
      <c r="K165" s="94">
        <f t="shared" ca="1" si="114"/>
        <v>5.984</v>
      </c>
      <c r="L165" s="95">
        <f t="shared" ca="1" si="114"/>
        <v>6.4860000000000007</v>
      </c>
      <c r="M165" s="95">
        <f t="shared" ca="1" si="114"/>
        <v>7.2030000000000012</v>
      </c>
      <c r="N165" s="95">
        <f t="shared" ca="1" si="114"/>
        <v>7.9169999999999998</v>
      </c>
      <c r="O165" s="95">
        <f t="shared" ca="1" si="114"/>
        <v>8.9260000000000002</v>
      </c>
      <c r="P165" s="95">
        <f t="shared" ca="1" si="114"/>
        <v>9.3990000000000009</v>
      </c>
      <c r="Q165" s="96">
        <f t="shared" ca="1" si="114"/>
        <v>9.7369878971293815</v>
      </c>
      <c r="R165" s="96">
        <f t="shared" ca="1" si="114"/>
        <v>10.066210938393098</v>
      </c>
      <c r="S165" s="96">
        <f t="shared" ca="1" si="114"/>
        <v>10.404937877155398</v>
      </c>
      <c r="T165" s="96">
        <f t="shared" ca="1" si="114"/>
        <v>10.752272126644201</v>
      </c>
      <c r="U165" s="96">
        <f t="shared" ca="1" si="114"/>
        <v>11.10874394511886</v>
      </c>
      <c r="V165" s="96">
        <f t="shared" ca="1" si="114"/>
        <v>11.477208428326058</v>
      </c>
      <c r="W165" s="96">
        <f t="shared" ca="1" si="114"/>
        <v>11.857469809725389</v>
      </c>
      <c r="X165" s="96">
        <f t="shared" ca="1" si="114"/>
        <v>12.252540064422837</v>
      </c>
      <c r="Y165" s="96">
        <f t="shared" ca="1" si="114"/>
        <v>12.662567295949003</v>
      </c>
      <c r="Z165" s="96">
        <f t="shared" ca="1" si="114"/>
        <v>13.087801907411166</v>
      </c>
    </row>
    <row r="166" spans="1:26" x14ac:dyDescent="0.25">
      <c r="A166" s="11"/>
      <c r="B166" s="11"/>
      <c r="C166" s="15"/>
      <c r="D166" s="91"/>
      <c r="E166" s="91"/>
      <c r="F166" s="91"/>
      <c r="G166" s="91"/>
      <c r="H166" s="91"/>
      <c r="I166" s="91"/>
      <c r="J166" s="91"/>
      <c r="K166" s="91"/>
    </row>
    <row r="167" spans="1:26" x14ac:dyDescent="0.25">
      <c r="A167" s="11" t="s">
        <v>1230</v>
      </c>
      <c r="B167" s="11"/>
      <c r="C167" s="15"/>
      <c r="D167" s="91"/>
      <c r="E167" s="91"/>
      <c r="F167" s="91"/>
      <c r="G167" s="91"/>
      <c r="H167" s="91"/>
      <c r="I167" s="91"/>
      <c r="J167" s="91"/>
      <c r="K167" s="91"/>
    </row>
    <row r="168" spans="1:26" x14ac:dyDescent="0.25">
      <c r="A168" s="12" t="s">
        <v>1231</v>
      </c>
      <c r="B168" s="11"/>
      <c r="C168" s="15"/>
      <c r="D168" s="50">
        <f ca="1">OFFSET(Assumptions!$B$49,0,$C$1)*D$375</f>
        <v>0.5597399999999999</v>
      </c>
      <c r="E168" s="50">
        <f ca="1">OFFSET(Assumptions!$B$49,0,$C$1)*E$375</f>
        <v>0.45771000000000001</v>
      </c>
      <c r="F168" s="50">
        <f ca="1">OFFSET(Assumptions!$B$49,0,$C$1)*F$375</f>
        <v>0.42293999999999998</v>
      </c>
      <c r="G168" s="50">
        <f ca="1">OFFSET(Assumptions!$B$49,0,$C$1)*G$375</f>
        <v>0.61388999999999994</v>
      </c>
      <c r="H168" s="50">
        <f ca="1">OFFSET(Assumptions!$B$49,0,$C$1)*H$375</f>
        <v>0.75239999999999996</v>
      </c>
      <c r="I168" s="50">
        <f ca="1">OFFSET(Assumptions!$B$49,0,$C$1)*I$375</f>
        <v>0.94562999999999997</v>
      </c>
      <c r="J168" s="50">
        <f ca="1">OFFSET(Assumptions!$B$49,0,$C$1)*J$375</f>
        <v>1.01688</v>
      </c>
      <c r="K168" s="50">
        <f ca="1">OFFSET(Assumptions!$B$49,0,$C$1)*K$375</f>
        <v>1.02258</v>
      </c>
      <c r="L168" s="48">
        <f ca="1">OFFSET(Assumptions!$B$49,0,$C$1)*L$375</f>
        <v>1.0163099999999998</v>
      </c>
      <c r="M168" s="48">
        <f ca="1">OFFSET(Assumptions!$B$49,0,$C$1)*M$375</f>
        <v>1.0522199999999999</v>
      </c>
      <c r="N168" s="48">
        <f ca="1">OFFSET(Assumptions!$B$49,0,$C$1)*N$375</f>
        <v>1.1023799999999999</v>
      </c>
      <c r="O168" s="48">
        <f ca="1">OFFSET(Assumptions!$B$49,0,$C$1)*O$375</f>
        <v>1.1531100000000001</v>
      </c>
      <c r="P168" s="48">
        <f ca="1">OFFSET(Assumptions!$B$49,0,$C$1)*P$375</f>
        <v>1.2066899999999998</v>
      </c>
      <c r="Q168" s="20">
        <f ca="1">OFFSET(Assumptions!$B$49,0,$C$1)*Q$375</f>
        <v>1.3011061336586267</v>
      </c>
      <c r="R168" s="20">
        <f ca="1">OFFSET(Assumptions!$B$49,0,$C$1)*R$375</f>
        <v>1.3809501302217237</v>
      </c>
      <c r="S168" s="20">
        <f ca="1">OFFSET(Assumptions!$B$49,0,$C$1)*S$375</f>
        <v>1.4641042947483762</v>
      </c>
      <c r="T168" s="20">
        <f ca="1">OFFSET(Assumptions!$B$49,0,$C$1)*T$375</f>
        <v>1.5507149730009546</v>
      </c>
      <c r="U168" s="20">
        <f ca="1">OFFSET(Assumptions!$B$49,0,$C$1)*U$375</f>
        <v>1.640786671827301</v>
      </c>
      <c r="V168" s="20">
        <f ca="1">OFFSET(Assumptions!$B$49,0,$C$1)*V$375</f>
        <v>1.7343963148157111</v>
      </c>
      <c r="W168" s="20">
        <f ca="1">OFFSET(Assumptions!$B$49,0,$C$1)*W$375</f>
        <v>1.832286542216498</v>
      </c>
      <c r="X168" s="20">
        <f ca="1">OFFSET(Assumptions!$B$49,0,$C$1)*X$375</f>
        <v>1.9354196366155254</v>
      </c>
      <c r="Y168" s="20">
        <f ca="1">OFFSET(Assumptions!$B$49,0,$C$1)*Y$375</f>
        <v>2.0449434456674536</v>
      </c>
      <c r="Z168" s="20">
        <f ca="1">OFFSET(Assumptions!$B$49,0,$C$1)*Z$375</f>
        <v>2.1621325297063314</v>
      </c>
    </row>
    <row r="169" spans="1:26" x14ac:dyDescent="0.25">
      <c r="A169" s="12" t="s">
        <v>1232</v>
      </c>
      <c r="B169" s="14" t="str">
        <f>$B$38</f>
        <v>From Fiscal Forecasts</v>
      </c>
      <c r="C169" s="15"/>
      <c r="D169" s="50">
        <f ca="1">'Fiscal Forecasts'!D$238-D$168</f>
        <v>0.90326000000000017</v>
      </c>
      <c r="E169" s="50">
        <f ca="1">'Fiscal Forecasts'!E$238-E$168</f>
        <v>0.87829000000000002</v>
      </c>
      <c r="F169" s="50">
        <f ca="1">'Fiscal Forecasts'!F$238-F$168</f>
        <v>0.6710600000000001</v>
      </c>
      <c r="G169" s="50">
        <f ca="1">'Fiscal Forecasts'!G$238-G$168</f>
        <v>0.77711000000000008</v>
      </c>
      <c r="H169" s="50">
        <f ca="1">'Fiscal Forecasts'!H$238-H$168</f>
        <v>1.3356000000000001</v>
      </c>
      <c r="I169" s="50">
        <f ca="1">'Fiscal Forecasts'!I$238-I$168</f>
        <v>0.76236999999999999</v>
      </c>
      <c r="J169" s="50">
        <f ca="1">'Fiscal Forecasts'!J$238-J$168</f>
        <v>0.68711999999999995</v>
      </c>
      <c r="K169" s="50">
        <f ca="1">'Fiscal Forecasts'!K$238-K$168</f>
        <v>0.75941999999999998</v>
      </c>
      <c r="L169" s="48">
        <f ca="1">'Fiscal Forecasts'!L$238-L$168</f>
        <v>0.67469000000000023</v>
      </c>
      <c r="M169" s="48">
        <f ca="1">'Fiscal Forecasts'!M$238-M$168</f>
        <v>0.74378000000000011</v>
      </c>
      <c r="N169" s="48">
        <f ca="1">'Fiscal Forecasts'!N$238-N$168</f>
        <v>0.86462000000000017</v>
      </c>
      <c r="O169" s="48">
        <f ca="1">'Fiscal Forecasts'!O$238-O$168</f>
        <v>0.99089000000000005</v>
      </c>
      <c r="P169" s="48">
        <f ca="1">'Fiscal Forecasts'!P$238-P$168</f>
        <v>1.1223100000000004</v>
      </c>
      <c r="Q169" s="20">
        <f t="shared" ref="Q169:Z169" ca="1" si="115">P$169*(1+Q$19)*(1+Q$29)</f>
        <v>1.1594656108662185</v>
      </c>
      <c r="R169" s="20">
        <f t="shared" ca="1" si="115"/>
        <v>1.197176751926198</v>
      </c>
      <c r="S169" s="20">
        <f t="shared" ca="1" si="115"/>
        <v>1.2357074323524615</v>
      </c>
      <c r="T169" s="20">
        <f t="shared" ca="1" si="115"/>
        <v>1.2746933610102975</v>
      </c>
      <c r="U169" s="20">
        <f t="shared" ca="1" si="115"/>
        <v>1.3148007943535485</v>
      </c>
      <c r="V169" s="20">
        <f t="shared" ca="1" si="115"/>
        <v>1.3556878898260019</v>
      </c>
      <c r="W169" s="20">
        <f t="shared" ca="1" si="115"/>
        <v>1.3963249590653699</v>
      </c>
      <c r="X169" s="20">
        <f t="shared" ca="1" si="115"/>
        <v>1.4378174278643492</v>
      </c>
      <c r="Y169" s="20">
        <f t="shared" ca="1" si="115"/>
        <v>1.4805679112768639</v>
      </c>
      <c r="Z169" s="20">
        <f t="shared" ca="1" si="115"/>
        <v>1.5242547899239718</v>
      </c>
    </row>
    <row r="170" spans="1:26" x14ac:dyDescent="0.25">
      <c r="A170" s="11" t="s">
        <v>1233</v>
      </c>
      <c r="B170" s="14"/>
      <c r="C170" s="15"/>
      <c r="D170" s="94">
        <f t="shared" ref="D170:Z170" ca="1" si="116">SUM(D$168:D$169)</f>
        <v>1.4630000000000001</v>
      </c>
      <c r="E170" s="94">
        <f t="shared" ca="1" si="116"/>
        <v>1.3360000000000001</v>
      </c>
      <c r="F170" s="94">
        <f t="shared" ca="1" si="116"/>
        <v>1.0940000000000001</v>
      </c>
      <c r="G170" s="94">
        <f t="shared" ca="1" si="116"/>
        <v>1.391</v>
      </c>
      <c r="H170" s="94">
        <f t="shared" ca="1" si="116"/>
        <v>2.0880000000000001</v>
      </c>
      <c r="I170" s="94">
        <f t="shared" ca="1" si="116"/>
        <v>1.708</v>
      </c>
      <c r="J170" s="94">
        <f t="shared" ca="1" si="116"/>
        <v>1.704</v>
      </c>
      <c r="K170" s="94">
        <f t="shared" ca="1" si="116"/>
        <v>1.782</v>
      </c>
      <c r="L170" s="95">
        <f t="shared" ca="1" si="116"/>
        <v>1.6910000000000001</v>
      </c>
      <c r="M170" s="95">
        <f t="shared" ca="1" si="116"/>
        <v>1.796</v>
      </c>
      <c r="N170" s="95">
        <f t="shared" ca="1" si="116"/>
        <v>1.9670000000000001</v>
      </c>
      <c r="O170" s="95">
        <f t="shared" ca="1" si="116"/>
        <v>2.1440000000000001</v>
      </c>
      <c r="P170" s="95">
        <f t="shared" ca="1" si="116"/>
        <v>2.3290000000000002</v>
      </c>
      <c r="Q170" s="96">
        <f t="shared" ca="1" si="116"/>
        <v>2.4605717445248452</v>
      </c>
      <c r="R170" s="96">
        <f t="shared" ca="1" si="116"/>
        <v>2.578126882147922</v>
      </c>
      <c r="S170" s="96">
        <f t="shared" ca="1" si="116"/>
        <v>2.6998117271008377</v>
      </c>
      <c r="T170" s="96">
        <f t="shared" ca="1" si="116"/>
        <v>2.8254083340112519</v>
      </c>
      <c r="U170" s="96">
        <f t="shared" ca="1" si="116"/>
        <v>2.9555874661808494</v>
      </c>
      <c r="V170" s="96">
        <f t="shared" ca="1" si="116"/>
        <v>3.090084204641713</v>
      </c>
      <c r="W170" s="96">
        <f t="shared" ca="1" si="116"/>
        <v>3.2286115012818679</v>
      </c>
      <c r="X170" s="96">
        <f t="shared" ca="1" si="116"/>
        <v>3.3732370644798744</v>
      </c>
      <c r="Y170" s="96">
        <f t="shared" ca="1" si="116"/>
        <v>3.5255113569443175</v>
      </c>
      <c r="Z170" s="96">
        <f t="shared" ca="1" si="116"/>
        <v>3.6863873196303034</v>
      </c>
    </row>
    <row r="171" spans="1:26" x14ac:dyDescent="0.25">
      <c r="A171" s="12" t="s">
        <v>1020</v>
      </c>
      <c r="B171" s="11"/>
      <c r="C171" s="15"/>
      <c r="D171" s="50">
        <f>'Fiscal Forecasts'!D$239</f>
        <v>0.42399999999999999</v>
      </c>
      <c r="E171" s="50">
        <f>'Fiscal Forecasts'!E$239</f>
        <v>0.39500000000000002</v>
      </c>
      <c r="F171" s="50">
        <f>'Fiscal Forecasts'!F$239</f>
        <v>0.44700000000000001</v>
      </c>
      <c r="G171" s="50">
        <f>'Fiscal Forecasts'!G$239</f>
        <v>0.52200000000000002</v>
      </c>
      <c r="H171" s="50">
        <f>'Fiscal Forecasts'!H$239</f>
        <v>0.60499999999999998</v>
      </c>
      <c r="I171" s="50">
        <f>'Fiscal Forecasts'!I$239</f>
        <v>0.63</v>
      </c>
      <c r="J171" s="50">
        <f>'Fiscal Forecasts'!J$239</f>
        <v>0.72499999999999998</v>
      </c>
      <c r="K171" s="50">
        <f>'Fiscal Forecasts'!K$239</f>
        <v>0.47799999999999998</v>
      </c>
      <c r="L171" s="48">
        <f>'Fiscal Forecasts'!L$239</f>
        <v>0.38900000000000001</v>
      </c>
      <c r="M171" s="48">
        <f>'Fiscal Forecasts'!M$239</f>
        <v>0.38900000000000001</v>
      </c>
      <c r="N171" s="48">
        <f>'Fiscal Forecasts'!N$239</f>
        <v>0.39300000000000002</v>
      </c>
      <c r="O171" s="48">
        <f>'Fiscal Forecasts'!O$239</f>
        <v>0.40100000000000002</v>
      </c>
      <c r="P171" s="48">
        <f>'Fiscal Forecasts'!P$239</f>
        <v>0.41199999999999998</v>
      </c>
      <c r="Q171" s="20">
        <f ca="1">P$171*AVERAGE(1+Q$29,1+Exogenous!AB$31)</f>
        <v>0.42693598436257674</v>
      </c>
      <c r="R171" s="20">
        <f ca="1">Q$171*AVERAGE(1+R$29,1+Exogenous!AC$31)</f>
        <v>0.44262538017032432</v>
      </c>
      <c r="S171" s="20">
        <f ca="1">R$171*AVERAGE(1+S$29,1+Exogenous!AD$31)</f>
        <v>0.45907438088607344</v>
      </c>
      <c r="T171" s="20">
        <f ca="1">S$171*AVERAGE(1+T$29,1+Exogenous!AE$31)</f>
        <v>0.4762792625605537</v>
      </c>
      <c r="U171" s="20">
        <f ca="1">T$171*AVERAGE(1+U$29,1+Exogenous!AF$31)</f>
        <v>0.49418850263353648</v>
      </c>
      <c r="V171" s="20">
        <f ca="1">U$171*AVERAGE(1+V$29,1+Exogenous!AG$31)</f>
        <v>0.51277816289768297</v>
      </c>
      <c r="W171" s="20">
        <f ca="1">V$171*AVERAGE(1+W$29,1+Exogenous!AH$31)</f>
        <v>0.53207094831795054</v>
      </c>
      <c r="X171" s="20">
        <f ca="1">W$171*AVERAGE(1+X$29,1+Exogenous!AI$31)</f>
        <v>0.5520941694751561</v>
      </c>
      <c r="Y171" s="20">
        <f ca="1">X$171*AVERAGE(1+Y$29,1+Exogenous!AJ$31)</f>
        <v>0.572875004586333</v>
      </c>
      <c r="Z171" s="20">
        <f ca="1">Y$171*AVERAGE(1+Z$29,1+Exogenous!AK$31)</f>
        <v>0.59444146937558073</v>
      </c>
    </row>
    <row r="172" spans="1:26" x14ac:dyDescent="0.25">
      <c r="A172" s="12" t="s">
        <v>1234</v>
      </c>
      <c r="B172" s="11"/>
      <c r="C172" s="15"/>
      <c r="D172" s="50">
        <f>'Fiscal Forecasts'!D$240</f>
        <v>-0.81699999999999995</v>
      </c>
      <c r="E172" s="50">
        <f>'Fiscal Forecasts'!E$240</f>
        <v>-0.82499999999999996</v>
      </c>
      <c r="F172" s="50">
        <f>'Fiscal Forecasts'!F$240</f>
        <v>-0.63800000000000001</v>
      </c>
      <c r="G172" s="50">
        <f>'Fiscal Forecasts'!G$240</f>
        <v>-0.66500000000000004</v>
      </c>
      <c r="H172" s="50">
        <f>'Fiscal Forecasts'!H$240</f>
        <v>-1.35</v>
      </c>
      <c r="I172" s="50">
        <f>'Fiscal Forecasts'!I$240</f>
        <v>-0.90800000000000003</v>
      </c>
      <c r="J172" s="50">
        <f>'Fiscal Forecasts'!J$240</f>
        <v>-0.79300000000000004</v>
      </c>
      <c r="K172" s="50">
        <f>'Fiscal Forecasts'!K$240</f>
        <v>-0.77600000000000002</v>
      </c>
      <c r="L172" s="48">
        <f>'Fiscal Forecasts'!L$240</f>
        <v>-0.73599999999999999</v>
      </c>
      <c r="M172" s="48">
        <f>'Fiscal Forecasts'!M$240</f>
        <v>-0.79100000000000004</v>
      </c>
      <c r="N172" s="48">
        <f>'Fiscal Forecasts'!N$240</f>
        <v>-0.88700000000000001</v>
      </c>
      <c r="O172" s="48">
        <f>'Fiscal Forecasts'!O$240</f>
        <v>-0.99199999999999999</v>
      </c>
      <c r="P172" s="48">
        <f>'Fiscal Forecasts'!P$240</f>
        <v>-1.0980000000000001</v>
      </c>
      <c r="Q172" s="20">
        <f t="shared" ref="Q172:Z172" ca="1" si="117">P$172*Q$171/P$171</f>
        <v>-1.1378051233740516</v>
      </c>
      <c r="R172" s="20">
        <f t="shared" ca="1" si="117"/>
        <v>-1.1796181248228546</v>
      </c>
      <c r="S172" s="20">
        <f t="shared" ca="1" si="117"/>
        <v>-1.2234555102255065</v>
      </c>
      <c r="T172" s="20">
        <f t="shared" ca="1" si="117"/>
        <v>-1.2693073550764271</v>
      </c>
      <c r="U172" s="20">
        <f t="shared" ca="1" si="117"/>
        <v>-1.3170363492515123</v>
      </c>
      <c r="V172" s="20">
        <f t="shared" ca="1" si="117"/>
        <v>-1.366578696266155</v>
      </c>
      <c r="W172" s="20">
        <f t="shared" ca="1" si="117"/>
        <v>-1.4179949059541497</v>
      </c>
      <c r="X172" s="20">
        <f t="shared" ca="1" si="117"/>
        <v>-1.4713577623391296</v>
      </c>
      <c r="Y172" s="20">
        <f t="shared" ca="1" si="117"/>
        <v>-1.5267396966888196</v>
      </c>
      <c r="Z172" s="20">
        <f t="shared" ca="1" si="117"/>
        <v>-1.5842153722679313</v>
      </c>
    </row>
    <row r="173" spans="1:26" x14ac:dyDescent="0.25">
      <c r="A173" s="11" t="s">
        <v>1235</v>
      </c>
      <c r="B173" s="11"/>
      <c r="C173" s="15"/>
      <c r="D173" s="94">
        <f t="shared" ref="D173:Z173" ca="1" si="118">SUM(D$170:D$172)</f>
        <v>1.07</v>
      </c>
      <c r="E173" s="94">
        <f t="shared" ca="1" si="118"/>
        <v>0.90600000000000014</v>
      </c>
      <c r="F173" s="94">
        <f t="shared" ca="1" si="118"/>
        <v>0.90300000000000014</v>
      </c>
      <c r="G173" s="94">
        <f t="shared" ca="1" si="118"/>
        <v>1.248</v>
      </c>
      <c r="H173" s="94">
        <f t="shared" ca="1" si="118"/>
        <v>1.343</v>
      </c>
      <c r="I173" s="94">
        <f t="shared" ca="1" si="118"/>
        <v>1.4300000000000002</v>
      </c>
      <c r="J173" s="94">
        <f t="shared" ca="1" si="118"/>
        <v>1.6359999999999997</v>
      </c>
      <c r="K173" s="94">
        <f t="shared" ca="1" si="118"/>
        <v>1.4839999999999998</v>
      </c>
      <c r="L173" s="95">
        <f t="shared" ca="1" si="118"/>
        <v>1.3440000000000001</v>
      </c>
      <c r="M173" s="95">
        <f t="shared" ca="1" si="118"/>
        <v>1.3940000000000001</v>
      </c>
      <c r="N173" s="95">
        <f t="shared" ca="1" si="118"/>
        <v>1.4730000000000003</v>
      </c>
      <c r="O173" s="95">
        <f t="shared" ca="1" si="118"/>
        <v>1.5529999999999999</v>
      </c>
      <c r="P173" s="95">
        <f t="shared" ca="1" si="118"/>
        <v>1.643</v>
      </c>
      <c r="Q173" s="96">
        <f t="shared" ca="1" si="118"/>
        <v>1.7497026055133702</v>
      </c>
      <c r="R173" s="96">
        <f t="shared" ca="1" si="118"/>
        <v>1.8411341374953916</v>
      </c>
      <c r="S173" s="96">
        <f t="shared" ca="1" si="118"/>
        <v>1.9354305977614048</v>
      </c>
      <c r="T173" s="96">
        <f t="shared" ca="1" si="118"/>
        <v>2.0323802414953782</v>
      </c>
      <c r="U173" s="96">
        <f t="shared" ca="1" si="118"/>
        <v>2.1327396195628738</v>
      </c>
      <c r="V173" s="96">
        <f t="shared" ca="1" si="118"/>
        <v>2.2362836712732408</v>
      </c>
      <c r="W173" s="96">
        <f t="shared" ca="1" si="118"/>
        <v>2.3426875436456687</v>
      </c>
      <c r="X173" s="96">
        <f t="shared" ca="1" si="118"/>
        <v>2.4539734716159005</v>
      </c>
      <c r="Y173" s="96">
        <f t="shared" ca="1" si="118"/>
        <v>2.5716466648418308</v>
      </c>
      <c r="Z173" s="96">
        <f t="shared" ca="1" si="118"/>
        <v>2.6966134167379527</v>
      </c>
    </row>
    <row r="174" spans="1:26" x14ac:dyDescent="0.25">
      <c r="B174" s="11"/>
      <c r="C174" s="15"/>
      <c r="D174" s="91"/>
      <c r="E174" s="91"/>
      <c r="F174" s="91"/>
      <c r="G174" s="91"/>
      <c r="H174" s="91"/>
      <c r="I174" s="91"/>
      <c r="J174" s="91"/>
      <c r="K174" s="91"/>
    </row>
    <row r="175" spans="1:26" x14ac:dyDescent="0.25">
      <c r="A175" s="11" t="s">
        <v>868</v>
      </c>
      <c r="B175" s="11"/>
      <c r="C175" s="15"/>
      <c r="D175" s="91"/>
      <c r="E175" s="91"/>
      <c r="F175" s="91"/>
      <c r="G175" s="91"/>
      <c r="H175" s="91"/>
      <c r="I175" s="91"/>
      <c r="J175" s="91"/>
      <c r="K175" s="91"/>
    </row>
    <row r="176" spans="1:26" x14ac:dyDescent="0.25">
      <c r="A176" s="12" t="s">
        <v>1236</v>
      </c>
      <c r="B176" s="11"/>
      <c r="C176" s="15"/>
      <c r="D176" s="50">
        <f t="shared" ref="D176:Z176" ca="1" si="119">D$375-SUM(D$158,D$168)</f>
        <v>9.8200000000001619E-3</v>
      </c>
      <c r="E176" s="50">
        <f t="shared" ca="1" si="119"/>
        <v>8.0300000000000926E-3</v>
      </c>
      <c r="F176" s="50">
        <f t="shared" ca="1" si="119"/>
        <v>7.4199999999999822E-3</v>
      </c>
      <c r="G176" s="50">
        <f t="shared" ca="1" si="119"/>
        <v>1.0769999999999946E-2</v>
      </c>
      <c r="H176" s="50">
        <f t="shared" ca="1" si="119"/>
        <v>1.3200000000000101E-2</v>
      </c>
      <c r="I176" s="50">
        <f t="shared" ca="1" si="119"/>
        <v>1.6590000000000105E-2</v>
      </c>
      <c r="J176" s="50">
        <f t="shared" ca="1" si="119"/>
        <v>1.7840000000000078E-2</v>
      </c>
      <c r="K176" s="50">
        <f t="shared" ca="1" si="119"/>
        <v>1.7939999999999845E-2</v>
      </c>
      <c r="L176" s="48">
        <f t="shared" ca="1" si="119"/>
        <v>1.7830000000000013E-2</v>
      </c>
      <c r="M176" s="48">
        <f t="shared" ca="1" si="119"/>
        <v>1.8460000000000143E-2</v>
      </c>
      <c r="N176" s="48">
        <f t="shared" ca="1" si="119"/>
        <v>1.9340000000000135E-2</v>
      </c>
      <c r="O176" s="48">
        <f t="shared" ca="1" si="119"/>
        <v>2.0230000000000192E-2</v>
      </c>
      <c r="P176" s="48">
        <f t="shared" ca="1" si="119"/>
        <v>2.1170000000000133E-2</v>
      </c>
      <c r="Q176" s="20">
        <f t="shared" ca="1" si="119"/>
        <v>2.2826423397519946E-2</v>
      </c>
      <c r="R176" s="20">
        <f t="shared" ca="1" si="119"/>
        <v>2.4227195267048085E-2</v>
      </c>
      <c r="S176" s="20">
        <f t="shared" ca="1" si="119"/>
        <v>2.568604025874377E-2</v>
      </c>
      <c r="T176" s="20">
        <f t="shared" ca="1" si="119"/>
        <v>2.7205525842122213E-2</v>
      </c>
      <c r="U176" s="20">
        <f t="shared" ca="1" si="119"/>
        <v>2.8785731084689292E-2</v>
      </c>
      <c r="V176" s="20">
        <f t="shared" ca="1" si="119"/>
        <v>3.0428005523083002E-2</v>
      </c>
      <c r="W176" s="20">
        <f t="shared" ca="1" si="119"/>
        <v>3.2145377933623376E-2</v>
      </c>
      <c r="X176" s="20">
        <f t="shared" ca="1" si="119"/>
        <v>3.395473046693942E-2</v>
      </c>
      <c r="Y176" s="20">
        <f t="shared" ca="1" si="119"/>
        <v>3.5876200801184144E-2</v>
      </c>
      <c r="Z176" s="20">
        <f t="shared" ca="1" si="119"/>
        <v>3.7932149643971069E-2</v>
      </c>
    </row>
    <row r="177" spans="1:26" x14ac:dyDescent="0.25">
      <c r="A177" s="12" t="s">
        <v>1237</v>
      </c>
      <c r="B177" s="14" t="str">
        <f>$B$38</f>
        <v>From Fiscal Forecasts</v>
      </c>
      <c r="C177" s="15"/>
      <c r="D177" s="50">
        <f ca="1">'Fiscal Forecasts'!D$167-SUM(D$170,D$176)</f>
        <v>0.91317999999999988</v>
      </c>
      <c r="E177" s="50">
        <f ca="1">'Fiscal Forecasts'!E$167-SUM(E$170,E$176)</f>
        <v>0.95396999999999998</v>
      </c>
      <c r="F177" s="50">
        <f ca="1">'Fiscal Forecasts'!F$167-SUM(F$170,F$176)</f>
        <v>0.87958000000000003</v>
      </c>
      <c r="G177" s="50">
        <f ca="1">'Fiscal Forecasts'!G$167-SUM(G$170,G$176)</f>
        <v>1.0842300000000002</v>
      </c>
      <c r="H177" s="50">
        <f ca="1">'Fiscal Forecasts'!H$167-SUM(H$170,H$176)</f>
        <v>1.1537999999999995</v>
      </c>
      <c r="I177" s="50">
        <f ca="1">'Fiscal Forecasts'!I$167-SUM(I$170,I$176)</f>
        <v>1.10141</v>
      </c>
      <c r="J177" s="50">
        <f ca="1">'Fiscal Forecasts'!J$167-SUM(J$170,J$176)</f>
        <v>1.0981599999999998</v>
      </c>
      <c r="K177" s="50">
        <f ca="1">'Fiscal Forecasts'!K$167-SUM(K$170,K$176)</f>
        <v>1.28606</v>
      </c>
      <c r="L177" s="48">
        <f ca="1">'Fiscal Forecasts'!L$167-SUM(L$170,L$176)</f>
        <v>0.54017000000000004</v>
      </c>
      <c r="M177" s="48">
        <f ca="1">'Fiscal Forecasts'!M$167-SUM(M$170,M$176)</f>
        <v>0.5275399999999999</v>
      </c>
      <c r="N177" s="48">
        <f ca="1">'Fiscal Forecasts'!N$167-SUM(N$170,N$176)</f>
        <v>0.69065999999999983</v>
      </c>
      <c r="O177" s="48">
        <f ca="1">'Fiscal Forecasts'!O$167-SUM(O$170,O$176)</f>
        <v>0.67976999999999954</v>
      </c>
      <c r="P177" s="48">
        <f ca="1">'Fiscal Forecasts'!P$167-SUM(P$170,P$176)</f>
        <v>0.67982999999999949</v>
      </c>
      <c r="Q177" s="20">
        <f t="shared" ref="Q177:Z177" ca="1" si="120">P$177*(1+Q$19)*(1+Q$29)</f>
        <v>0.70233670397232539</v>
      </c>
      <c r="R177" s="20">
        <f t="shared" ca="1" si="120"/>
        <v>0.72517991576479435</v>
      </c>
      <c r="S177" s="20">
        <f t="shared" ca="1" si="120"/>
        <v>0.74851955675007165</v>
      </c>
      <c r="T177" s="20">
        <f t="shared" ca="1" si="120"/>
        <v>0.77213496058631714</v>
      </c>
      <c r="U177" s="20">
        <f t="shared" ca="1" si="120"/>
        <v>0.7964297066099133</v>
      </c>
      <c r="V177" s="20">
        <f t="shared" ca="1" si="120"/>
        <v>0.82119672651977582</v>
      </c>
      <c r="W177" s="20">
        <f t="shared" ca="1" si="120"/>
        <v>0.84581229510688605</v>
      </c>
      <c r="X177" s="20">
        <f t="shared" ca="1" si="120"/>
        <v>0.87094601490231693</v>
      </c>
      <c r="Y177" s="20">
        <f t="shared" ca="1" si="120"/>
        <v>0.89684176664499926</v>
      </c>
      <c r="Z177" s="20">
        <f t="shared" ca="1" si="120"/>
        <v>0.92330473205621666</v>
      </c>
    </row>
    <row r="178" spans="1:26" x14ac:dyDescent="0.25">
      <c r="A178" s="11" t="s">
        <v>1238</v>
      </c>
      <c r="B178" s="11"/>
      <c r="C178" s="15"/>
      <c r="D178" s="94">
        <f t="shared" ref="D178:Z178" ca="1" si="121">SUM(D$176:D$177)</f>
        <v>0.92300000000000004</v>
      </c>
      <c r="E178" s="94">
        <f t="shared" ca="1" si="121"/>
        <v>0.96200000000000008</v>
      </c>
      <c r="F178" s="94">
        <f t="shared" ca="1" si="121"/>
        <v>0.88700000000000001</v>
      </c>
      <c r="G178" s="94">
        <f t="shared" ca="1" si="121"/>
        <v>1.0950000000000002</v>
      </c>
      <c r="H178" s="94">
        <f t="shared" ca="1" si="121"/>
        <v>1.1669999999999996</v>
      </c>
      <c r="I178" s="94">
        <f t="shared" ca="1" si="121"/>
        <v>1.1180000000000001</v>
      </c>
      <c r="J178" s="94">
        <f t="shared" ca="1" si="121"/>
        <v>1.1159999999999999</v>
      </c>
      <c r="K178" s="94">
        <f t="shared" ca="1" si="121"/>
        <v>1.3039999999999998</v>
      </c>
      <c r="L178" s="95">
        <f t="shared" ca="1" si="121"/>
        <v>0.55800000000000005</v>
      </c>
      <c r="M178" s="95">
        <f t="shared" ca="1" si="121"/>
        <v>0.54600000000000004</v>
      </c>
      <c r="N178" s="95">
        <f t="shared" ca="1" si="121"/>
        <v>0.71</v>
      </c>
      <c r="O178" s="95">
        <f t="shared" ca="1" si="121"/>
        <v>0.69999999999999973</v>
      </c>
      <c r="P178" s="95">
        <f t="shared" ca="1" si="121"/>
        <v>0.70099999999999962</v>
      </c>
      <c r="Q178" s="96">
        <f t="shared" ca="1" si="121"/>
        <v>0.72516312736984534</v>
      </c>
      <c r="R178" s="96">
        <f t="shared" ca="1" si="121"/>
        <v>0.74940711103184243</v>
      </c>
      <c r="S178" s="96">
        <f t="shared" ca="1" si="121"/>
        <v>0.77420559700881542</v>
      </c>
      <c r="T178" s="96">
        <f t="shared" ca="1" si="121"/>
        <v>0.79934048642843936</v>
      </c>
      <c r="U178" s="96">
        <f t="shared" ca="1" si="121"/>
        <v>0.82521543769460259</v>
      </c>
      <c r="V178" s="96">
        <f t="shared" ca="1" si="121"/>
        <v>0.85162473204285882</v>
      </c>
      <c r="W178" s="96">
        <f t="shared" ca="1" si="121"/>
        <v>0.87795767304050942</v>
      </c>
      <c r="X178" s="96">
        <f t="shared" ca="1" si="121"/>
        <v>0.90490074536925635</v>
      </c>
      <c r="Y178" s="96">
        <f t="shared" ca="1" si="121"/>
        <v>0.9327179674461834</v>
      </c>
      <c r="Z178" s="96">
        <f t="shared" ca="1" si="121"/>
        <v>0.96123688170018773</v>
      </c>
    </row>
    <row r="179" spans="1:26" x14ac:dyDescent="0.25">
      <c r="A179" s="11" t="s">
        <v>1239</v>
      </c>
      <c r="B179" s="14" t="str">
        <f>$B$38</f>
        <v>From Fiscal Forecasts</v>
      </c>
      <c r="C179" s="15"/>
      <c r="D179" s="51">
        <f ca="1">'Fiscal Forecasts'!D$13-D$173</f>
        <v>3.8789999999999996</v>
      </c>
      <c r="E179" s="51">
        <f ca="1">'Fiscal Forecasts'!E$13-E$173</f>
        <v>3.57</v>
      </c>
      <c r="F179" s="51">
        <f ca="1">'Fiscal Forecasts'!F$13-F$173</f>
        <v>3.589</v>
      </c>
      <c r="G179" s="51">
        <f ca="1">'Fiscal Forecasts'!G$13-G$173</f>
        <v>3.8780000000000001</v>
      </c>
      <c r="H179" s="51">
        <f ca="1">'Fiscal Forecasts'!H$13-H$173</f>
        <v>4.5830000000000002</v>
      </c>
      <c r="I179" s="51">
        <f ca="1">'Fiscal Forecasts'!I$13-I$173</f>
        <v>4.3360000000000003</v>
      </c>
      <c r="J179" s="51">
        <f ca="1">'Fiscal Forecasts'!J$13-J$173</f>
        <v>4.2249999999999996</v>
      </c>
      <c r="K179" s="51">
        <f ca="1">'Fiscal Forecasts'!K$13-K$173</f>
        <v>4.3449999999999998</v>
      </c>
      <c r="L179" s="47">
        <f ca="1">'Fiscal Forecasts'!L$13-L$173</f>
        <v>3.8389999999999995</v>
      </c>
      <c r="M179" s="47">
        <f ca="1">'Fiscal Forecasts'!M$13-M$173</f>
        <v>3.9740000000000002</v>
      </c>
      <c r="N179" s="47">
        <f ca="1">'Fiscal Forecasts'!N$13-N$173</f>
        <v>4.1969999999999992</v>
      </c>
      <c r="O179" s="47">
        <f ca="1">'Fiscal Forecasts'!O$13-O$173</f>
        <v>4.351</v>
      </c>
      <c r="P179" s="47">
        <f ca="1">'Fiscal Forecasts'!P$13-P$173</f>
        <v>4.391</v>
      </c>
      <c r="Q179" s="21">
        <f t="shared" ref="Q179:Z179" ca="1" si="122">Q$178+(P$179-P$178)*(1+Q$29)</f>
        <v>4.4889631273698454</v>
      </c>
      <c r="R179" s="21">
        <f t="shared" ca="1" si="122"/>
        <v>4.5884831110318425</v>
      </c>
      <c r="S179" s="21">
        <f t="shared" ca="1" si="122"/>
        <v>4.6900631170088154</v>
      </c>
      <c r="T179" s="21">
        <f t="shared" ca="1" si="122"/>
        <v>4.7935151568284393</v>
      </c>
      <c r="U179" s="21">
        <f t="shared" ca="1" si="122"/>
        <v>4.8992736015026024</v>
      </c>
      <c r="V179" s="21">
        <f t="shared" ca="1" si="122"/>
        <v>5.0071640591270183</v>
      </c>
      <c r="W179" s="21">
        <f t="shared" ca="1" si="122"/>
        <v>5.1166077866663517</v>
      </c>
      <c r="X179" s="21">
        <f t="shared" ca="1" si="122"/>
        <v>5.2283238612676159</v>
      </c>
      <c r="Y179" s="21">
        <f t="shared" ca="1" si="122"/>
        <v>5.3426095456625102</v>
      </c>
      <c r="Z179" s="21">
        <f t="shared" ca="1" si="122"/>
        <v>5.4593262914808411</v>
      </c>
    </row>
    <row r="180" spans="1:26" x14ac:dyDescent="0.25">
      <c r="A180" s="11"/>
      <c r="B180" s="11"/>
      <c r="C180" s="15"/>
      <c r="D180" s="91"/>
      <c r="E180" s="91"/>
      <c r="F180" s="91"/>
      <c r="G180" s="91"/>
      <c r="H180" s="91"/>
      <c r="I180" s="91"/>
      <c r="J180" s="91"/>
      <c r="K180" s="91"/>
    </row>
    <row r="181" spans="1:26" x14ac:dyDescent="0.25">
      <c r="A181" s="11" t="s">
        <v>870</v>
      </c>
      <c r="B181" s="11"/>
      <c r="C181" s="15"/>
    </row>
    <row r="182" spans="1:26" x14ac:dyDescent="0.25">
      <c r="A182" s="12" t="s">
        <v>1240</v>
      </c>
      <c r="B182" s="14" t="str">
        <f t="shared" ref="B182:B188" si="123">$B$38</f>
        <v>From Fiscal Forecasts</v>
      </c>
      <c r="C182" s="15"/>
      <c r="D182" s="50">
        <f>'Fiscal Forecasts'!D$243</f>
        <v>14.561999999999999</v>
      </c>
      <c r="E182" s="50">
        <f>'Fiscal Forecasts'!E$243</f>
        <v>15.521000000000001</v>
      </c>
      <c r="F182" s="50">
        <f>'Fiscal Forecasts'!F$243</f>
        <v>16.568999999999999</v>
      </c>
      <c r="G182" s="50">
        <f>'Fiscal Forecasts'!G$243</f>
        <v>17.763999999999999</v>
      </c>
      <c r="H182" s="50">
        <f>'Fiscal Forecasts'!H$243</f>
        <v>19.516999999999999</v>
      </c>
      <c r="I182" s="50">
        <f>'Fiscal Forecasts'!I$243</f>
        <v>21.574000000000002</v>
      </c>
      <c r="J182" s="50">
        <f>'Fiscal Forecasts'!J$243</f>
        <v>23.190999999999999</v>
      </c>
      <c r="K182" s="50">
        <f>'Fiscal Forecasts'!K$243</f>
        <v>24.721</v>
      </c>
      <c r="L182" s="48">
        <f>'Fiscal Forecasts'!L$243</f>
        <v>26.48</v>
      </c>
      <c r="M182" s="48">
        <f>'Fiscal Forecasts'!M$243</f>
        <v>28.321000000000002</v>
      </c>
      <c r="N182" s="48">
        <f>'Fiscal Forecasts'!N$243</f>
        <v>29.706</v>
      </c>
      <c r="O182" s="48">
        <f>'Fiscal Forecasts'!O$243</f>
        <v>31.236999999999998</v>
      </c>
      <c r="P182" s="48">
        <f>'Fiscal Forecasts'!P$243</f>
        <v>32.887999999999998</v>
      </c>
      <c r="Q182" s="20">
        <f ca="1">P$182*(1+'Population Treasury'!AB$237)*Q$204/P$204</f>
        <v>34.725908993862177</v>
      </c>
      <c r="R182" s="20">
        <f ca="1">Q$182*(1+'Population Treasury'!AC$237)*R$204/Q$204</f>
        <v>36.635202985101024</v>
      </c>
      <c r="S182" s="20">
        <f ca="1">R$182*(1+'Population Treasury'!AD$237)*S$204/R$204</f>
        <v>38.629858294940007</v>
      </c>
      <c r="T182" s="20">
        <f ca="1">S$182*(1+'Population Treasury'!AE$237)*T$204/S$204</f>
        <v>40.676909740310336</v>
      </c>
      <c r="U182" s="20">
        <f ca="1">T$182*(1+'Population Treasury'!AF$237)*U$204/T$204</f>
        <v>42.872020812705678</v>
      </c>
      <c r="V182" s="20">
        <f ca="1">U$182*(1+'Population Treasury'!AG$237)*V$204/U$204</f>
        <v>45.107449897766166</v>
      </c>
      <c r="W182" s="20">
        <f ca="1">V$182*(1+'Population Treasury'!AH$237)*W$204/V$204</f>
        <v>47.337696142069042</v>
      </c>
      <c r="X182" s="20">
        <f ca="1">W$182*(1+'Population Treasury'!AI$237)*X$204/W$204</f>
        <v>49.565382428266936</v>
      </c>
      <c r="Y182" s="20">
        <f ca="1">X$182*(1+'Population Treasury'!AJ$237)*Y$204/X$204</f>
        <v>51.768799535982517</v>
      </c>
      <c r="Z182" s="20">
        <f ca="1">Y$182*(1+'Population Treasury'!AK$237)*Z$204/Y$204</f>
        <v>53.973305982538974</v>
      </c>
    </row>
    <row r="183" spans="1:26" x14ac:dyDescent="0.25">
      <c r="A183" s="12" t="s">
        <v>1241</v>
      </c>
      <c r="B183" s="14" t="str">
        <f t="shared" si="123"/>
        <v>From Fiscal Forecasts</v>
      </c>
      <c r="C183" s="15"/>
      <c r="D183" s="50">
        <f>'Fiscal Forecasts'!D$244</f>
        <v>1.8540000000000001</v>
      </c>
      <c r="E183" s="50">
        <f>'Fiscal Forecasts'!E$244</f>
        <v>2.2850000000000001</v>
      </c>
      <c r="F183" s="50">
        <f>'Fiscal Forecasts'!F$244</f>
        <v>3.2240000000000002</v>
      </c>
      <c r="G183" s="50">
        <f>'Fiscal Forecasts'!G$244</f>
        <v>3.33</v>
      </c>
      <c r="H183" s="50">
        <f>'Fiscal Forecasts'!H$244</f>
        <v>3.4729999999999999</v>
      </c>
      <c r="I183" s="50">
        <f>'Fiscal Forecasts'!I$244</f>
        <v>4.0620000000000003</v>
      </c>
      <c r="J183" s="50">
        <f>'Fiscal Forecasts'!J$244</f>
        <v>4.641</v>
      </c>
      <c r="K183" s="50">
        <f>'Fiscal Forecasts'!K$244</f>
        <v>4.9260000000000002</v>
      </c>
      <c r="L183" s="48">
        <f>'Fiscal Forecasts'!L$244</f>
        <v>5.0309999999999997</v>
      </c>
      <c r="M183" s="48">
        <f>'Fiscal Forecasts'!M$244</f>
        <v>5.0110000000000001</v>
      </c>
      <c r="N183" s="48">
        <f>'Fiscal Forecasts'!N$244</f>
        <v>4.9039999999999999</v>
      </c>
      <c r="O183" s="48">
        <f>'Fiscal Forecasts'!O$244</f>
        <v>5.0010000000000003</v>
      </c>
      <c r="P183" s="48">
        <f>'Fiscal Forecasts'!P$244</f>
        <v>5.109</v>
      </c>
      <c r="Q183" s="20">
        <f ca="1">P$183*AVERAGE(1+SUMPRODUCT(Exogenous!$B$44:$B$54,'Population Treasury'!AB$215:AB$225)+SUMPRODUCT(Exogenous!$C$44:$C$54,'Population Treasury'!AB$226:AB$236),Q$16*Q$23/(P$16*P$23))*(1+Q$29)</f>
        <v>5.254733315137246</v>
      </c>
      <c r="R183" s="20">
        <f ca="1">Q$183*AVERAGE(1+SUMPRODUCT(Exogenous!$B$44:$B$54,'Population Treasury'!AC$215:AC$225)+SUMPRODUCT(Exogenous!$C$44:$C$54,'Population Treasury'!AC$226:AC$236),R$16*R$23/(Q$16*Q$23))*(1+R$29)</f>
        <v>5.4017980613666081</v>
      </c>
      <c r="S183" s="20">
        <f ca="1">R$183*AVERAGE(1+SUMPRODUCT(Exogenous!$B$44:$B$54,'Population Treasury'!AD$215:AD$225)+SUMPRODUCT(Exogenous!$C$44:$C$54,'Population Treasury'!AD$226:AD$236),S$16*S$23/(R$16*R$23))*(1+S$29)</f>
        <v>5.5492510963877857</v>
      </c>
      <c r="T183" s="20">
        <f ca="1">S$183*AVERAGE(1+SUMPRODUCT(Exogenous!$B$44:$B$54,'Population Treasury'!AE$215:AE$225)+SUMPRODUCT(Exogenous!$C$44:$C$54,'Population Treasury'!AE$226:AE$236),T$16*T$23/(S$16*S$23))*(1+T$29)</f>
        <v>5.7145345108437127</v>
      </c>
      <c r="U183" s="20">
        <f ca="1">T$183*AVERAGE(1+SUMPRODUCT(Exogenous!$B$44:$B$54,'Population Treasury'!AF$215:AF$225)+SUMPRODUCT(Exogenous!$C$44:$C$54,'Population Treasury'!AF$226:AF$236),U$16*U$23/(T$16*T$23))*(1+U$29)</f>
        <v>5.8807006094395549</v>
      </c>
      <c r="V183" s="20">
        <f ca="1">U$183*AVERAGE(1+SUMPRODUCT(Exogenous!$B$44:$B$54,'Population Treasury'!AG$215:AG$225)+SUMPRODUCT(Exogenous!$C$44:$C$54,'Population Treasury'!AG$226:AG$236),V$16*V$23/(U$16*U$23))*(1+V$29)</f>
        <v>6.052324910542298</v>
      </c>
      <c r="W183" s="20">
        <f ca="1">V$183*AVERAGE(1+SUMPRODUCT(Exogenous!$B$44:$B$54,'Population Treasury'!AH$215:AH$225)+SUMPRODUCT(Exogenous!$C$44:$C$54,'Population Treasury'!AH$226:AH$236),W$16*W$23/(V$16*V$23))*(1+W$29)</f>
        <v>6.2285551627600331</v>
      </c>
      <c r="X183" s="20">
        <f ca="1">W$183*AVERAGE(1+SUMPRODUCT(Exogenous!$B$44:$B$54,'Population Treasury'!AI$215:AI$225)+SUMPRODUCT(Exogenous!$C$44:$C$54,'Population Treasury'!AI$226:AI$236),X$16*X$23/(W$16*W$23))*(1+X$29)</f>
        <v>6.4078367846075315</v>
      </c>
      <c r="Y183" s="20">
        <f ca="1">X$183*AVERAGE(1+SUMPRODUCT(Exogenous!$B$44:$B$54,'Population Treasury'!AJ$215:AJ$225)+SUMPRODUCT(Exogenous!$C$44:$C$54,'Population Treasury'!AJ$226:AJ$236),Y$16*Y$23/(X$16*X$23))*(1+Y$29)</f>
        <v>6.5927907093504485</v>
      </c>
      <c r="Z183" s="20">
        <f ca="1">Y$183*AVERAGE(1+SUMPRODUCT(Exogenous!$B$44:$B$54,'Population Treasury'!AK$215:AK$225)+SUMPRODUCT(Exogenous!$C$44:$C$54,'Population Treasury'!AK$226:AK$236),Z$16*Z$23/(Y$16*Y$23))*(1+Z$29)</f>
        <v>6.7851611000174437</v>
      </c>
    </row>
    <row r="184" spans="1:26" x14ac:dyDescent="0.25">
      <c r="A184" s="12" t="s">
        <v>688</v>
      </c>
      <c r="B184" s="14" t="str">
        <f t="shared" si="123"/>
        <v>From Fiscal Forecasts</v>
      </c>
      <c r="C184" s="15"/>
      <c r="D184" s="50">
        <f>'Fiscal Forecasts'!D$245</f>
        <v>1.556</v>
      </c>
      <c r="E184" s="50">
        <f>'Fiscal Forecasts'!E$245</f>
        <v>1.65</v>
      </c>
      <c r="F184" s="50">
        <f>'Fiscal Forecasts'!F$245</f>
        <v>1.8260000000000001</v>
      </c>
      <c r="G184" s="50">
        <f>'Fiscal Forecasts'!G$245</f>
        <v>2.0470000000000002</v>
      </c>
      <c r="H184" s="50">
        <f>'Fiscal Forecasts'!H$245</f>
        <v>2.3109999999999999</v>
      </c>
      <c r="I184" s="50">
        <f>'Fiscal Forecasts'!I$245</f>
        <v>2.5299999999999998</v>
      </c>
      <c r="J184" s="50">
        <f>'Fiscal Forecasts'!J$245</f>
        <v>2.6680000000000001</v>
      </c>
      <c r="K184" s="50">
        <f>'Fiscal Forecasts'!K$245</f>
        <v>2.8260000000000001</v>
      </c>
      <c r="L184" s="48">
        <f>'Fiscal Forecasts'!L$245</f>
        <v>3.0059999999999998</v>
      </c>
      <c r="M184" s="48">
        <f>'Fiscal Forecasts'!M$245</f>
        <v>3.19</v>
      </c>
      <c r="N184" s="48">
        <f>'Fiscal Forecasts'!N$245</f>
        <v>3.286</v>
      </c>
      <c r="O184" s="48">
        <f>'Fiscal Forecasts'!O$245</f>
        <v>3.4340000000000002</v>
      </c>
      <c r="P184" s="48">
        <f>'Fiscal Forecasts'!P$245</f>
        <v>3.581</v>
      </c>
      <c r="Q184" s="20">
        <f ca="1">P$184*(1+SUMPRODUCT(Exogenous!$I$44:$I$54,'Population Treasury'!AB$215:AB$225)+SUMPRODUCT(Exogenous!$J$44:$J$54,'Population Treasury'!AB$226:AB$236))*(1+Q$29)</f>
        <v>3.6880822061662717</v>
      </c>
      <c r="R184" s="20">
        <f ca="1">Q$184*(1+SUMPRODUCT(Exogenous!$I$44:$I$54,'Population Treasury'!AC$215:AC$225)+SUMPRODUCT(Exogenous!$J$44:$J$54,'Population Treasury'!AC$226:AC$236))*(1+R$29)</f>
        <v>3.7955043780043982</v>
      </c>
      <c r="S184" s="20">
        <f ca="1">R$184*(1+SUMPRODUCT(Exogenous!$I$44:$I$54,'Population Treasury'!AD$215:AD$225)+SUMPRODUCT(Exogenous!$J$44:$J$54,'Population Treasury'!AD$226:AD$236))*(1+S$29)</f>
        <v>3.9024425842854971</v>
      </c>
      <c r="T184" s="20">
        <f ca="1">S$184*(1+SUMPRODUCT(Exogenous!$I$44:$I$54,'Population Treasury'!AE$215:AE$225)+SUMPRODUCT(Exogenous!$J$44:$J$54,'Population Treasury'!AE$226:AE$236))*(1+T$29)</f>
        <v>4.0135394958533741</v>
      </c>
      <c r="U184" s="20">
        <f ca="1">T$184*(1+SUMPRODUCT(Exogenous!$I$44:$I$54,'Population Treasury'!AF$215:AF$225)+SUMPRODUCT(Exogenous!$J$44:$J$54,'Population Treasury'!AF$226:AF$236))*(1+U$29)</f>
        <v>4.1212295536805259</v>
      </c>
      <c r="V184" s="20">
        <f ca="1">U$184*(1+SUMPRODUCT(Exogenous!$I$44:$I$54,'Population Treasury'!AG$215:AG$225)+SUMPRODUCT(Exogenous!$J$44:$J$54,'Population Treasury'!AG$226:AG$236))*(1+V$29)</f>
        <v>4.2373831515068696</v>
      </c>
      <c r="W184" s="20">
        <f ca="1">V$184*(1+SUMPRODUCT(Exogenous!$I$44:$I$54,'Population Treasury'!AH$215:AH$225)+SUMPRODUCT(Exogenous!$J$44:$J$54,'Population Treasury'!AH$226:AH$236))*(1+W$29)</f>
        <v>4.3638027445229941</v>
      </c>
      <c r="X184" s="20">
        <f ca="1">W$184*(1+SUMPRODUCT(Exogenous!$I$44:$I$54,'Population Treasury'!AI$215:AI$225)+SUMPRODUCT(Exogenous!$J$44:$J$54,'Population Treasury'!AI$226:AI$236))*(1+X$29)</f>
        <v>4.4999104075329077</v>
      </c>
      <c r="Y184" s="20">
        <f ca="1">X$184*(1+SUMPRODUCT(Exogenous!$I$44:$I$54,'Population Treasury'!AJ$215:AJ$225)+SUMPRODUCT(Exogenous!$J$44:$J$54,'Population Treasury'!AJ$226:AJ$236))*(1+Y$29)</f>
        <v>4.650060740500682</v>
      </c>
      <c r="Z184" s="20">
        <f ca="1">Y$184*(1+SUMPRODUCT(Exogenous!$I$44:$I$54,'Population Treasury'!AK$215:AK$225)+SUMPRODUCT(Exogenous!$J$44:$J$54,'Population Treasury'!AK$226:AK$236))*(1+Z$29)</f>
        <v>4.8127462427083705</v>
      </c>
    </row>
    <row r="185" spans="1:26" x14ac:dyDescent="0.25">
      <c r="A185" s="12" t="s">
        <v>689</v>
      </c>
      <c r="B185" s="14" t="str">
        <f t="shared" si="123"/>
        <v>From Fiscal Forecasts</v>
      </c>
      <c r="C185" s="15"/>
      <c r="D185" s="50">
        <f>'Fiscal Forecasts'!D$246</f>
        <v>1.115</v>
      </c>
      <c r="E185" s="50">
        <f>'Fiscal Forecasts'!E$246</f>
        <v>1.2310000000000001</v>
      </c>
      <c r="F185" s="50">
        <f>'Fiscal Forecasts'!F$246</f>
        <v>1.4550000000000001</v>
      </c>
      <c r="G185" s="50">
        <f>'Fiscal Forecasts'!G$246</f>
        <v>1.704</v>
      </c>
      <c r="H185" s="50">
        <f>'Fiscal Forecasts'!H$246</f>
        <v>1.917</v>
      </c>
      <c r="I185" s="50">
        <f>'Fiscal Forecasts'!I$246</f>
        <v>2.097</v>
      </c>
      <c r="J185" s="50">
        <f>'Fiscal Forecasts'!J$246</f>
        <v>2.2549999999999999</v>
      </c>
      <c r="K185" s="50">
        <f>'Fiscal Forecasts'!K$246</f>
        <v>2.3860000000000001</v>
      </c>
      <c r="L185" s="48">
        <f>'Fiscal Forecasts'!L$246</f>
        <v>2.4380000000000002</v>
      </c>
      <c r="M185" s="48">
        <f>'Fiscal Forecasts'!M$246</f>
        <v>2.3919999999999999</v>
      </c>
      <c r="N185" s="48">
        <f>'Fiscal Forecasts'!N$246</f>
        <v>2.234</v>
      </c>
      <c r="O185" s="48">
        <f>'Fiscal Forecasts'!O$246</f>
        <v>2.2400000000000002</v>
      </c>
      <c r="P185" s="48">
        <f>'Fiscal Forecasts'!P$246</f>
        <v>2.2839999999999998</v>
      </c>
      <c r="Q185" s="20">
        <f ca="1">P$185*(1+SUMPRODUCT(Exogenous!$P$44:$P$54,'Population Treasury'!AB$215:AB$225)+SUMPRODUCT(Exogenous!$Q$44:$Q$54,'Population Treasury'!AB$226:AB$236))*(1+Q$29)</f>
        <v>2.3489588309586225</v>
      </c>
      <c r="R185" s="20">
        <f ca="1">Q$185*(1+SUMPRODUCT(Exogenous!$P$44:$P$54,'Population Treasury'!AC$215:AC$225)+SUMPRODUCT(Exogenous!$Q$44:$Q$54,'Population Treasury'!AC$226:AC$236))*(1+R$29)</f>
        <v>2.4152781325459118</v>
      </c>
      <c r="S185" s="20">
        <f ca="1">R$185*(1+SUMPRODUCT(Exogenous!$P$44:$P$54,'Population Treasury'!AD$215:AD$225)+SUMPRODUCT(Exogenous!$Q$44:$Q$54,'Population Treasury'!AD$226:AD$236))*(1+S$29)</f>
        <v>2.4813427390347425</v>
      </c>
      <c r="T185" s="20">
        <f ca="1">S$185*(1+SUMPRODUCT(Exogenous!$P$44:$P$54,'Population Treasury'!AE$215:AE$225)+SUMPRODUCT(Exogenous!$Q$44:$Q$54,'Population Treasury'!AE$226:AE$236))*(1+T$29)</f>
        <v>2.5474849352744724</v>
      </c>
      <c r="U185" s="20">
        <f ca="1">T$185*(1+SUMPRODUCT(Exogenous!$P$44:$P$54,'Population Treasury'!AF$215:AF$225)+SUMPRODUCT(Exogenous!$Q$44:$Q$54,'Population Treasury'!AF$226:AF$236))*(1+U$29)</f>
        <v>2.6149840748244544</v>
      </c>
      <c r="V185" s="20">
        <f ca="1">U$185*(1+SUMPRODUCT(Exogenous!$P$44:$P$54,'Population Treasury'!AG$215:AG$225)+SUMPRODUCT(Exogenous!$Q$44:$Q$54,'Population Treasury'!AG$226:AG$236))*(1+V$29)</f>
        <v>2.6857284816213052</v>
      </c>
      <c r="W185" s="20">
        <f ca="1">V$185*(1+SUMPRODUCT(Exogenous!$P$44:$P$54,'Population Treasury'!AH$215:AH$225)+SUMPRODUCT(Exogenous!$Q$44:$Q$54,'Population Treasury'!AH$226:AH$236))*(1+W$29)</f>
        <v>2.7571611952855459</v>
      </c>
      <c r="X185" s="20">
        <f ca="1">W$185*(1+SUMPRODUCT(Exogenous!$P$44:$P$54,'Population Treasury'!AI$215:AI$225)+SUMPRODUCT(Exogenous!$Q$44:$Q$54,'Population Treasury'!AI$226:AI$236))*(1+X$29)</f>
        <v>2.8301877414585848</v>
      </c>
      <c r="Y185" s="20">
        <f ca="1">X$185*(1+SUMPRODUCT(Exogenous!$P$44:$P$54,'Population Treasury'!AJ$215:AJ$225)+SUMPRODUCT(Exogenous!$Q$44:$Q$54,'Population Treasury'!AJ$226:AJ$236))*(1+Y$29)</f>
        <v>2.9020098172986213</v>
      </c>
      <c r="Z185" s="20">
        <f ca="1">Y$185*(1+SUMPRODUCT(Exogenous!$P$44:$P$54,'Population Treasury'!AK$215:AK$225)+SUMPRODUCT(Exogenous!$Q$44:$Q$54,'Population Treasury'!AK$226:AK$236))*(1+Z$29)</f>
        <v>2.9754943164379557</v>
      </c>
    </row>
    <row r="186" spans="1:26" x14ac:dyDescent="0.25">
      <c r="A186" s="12" t="s">
        <v>690</v>
      </c>
      <c r="B186" s="14" t="str">
        <f t="shared" si="123"/>
        <v>From Fiscal Forecasts</v>
      </c>
      <c r="D186" s="50">
        <f>'Fiscal Forecasts'!D$247</f>
        <v>2.766</v>
      </c>
      <c r="E186" s="50">
        <f>'Fiscal Forecasts'!E$247</f>
        <v>2.83</v>
      </c>
      <c r="F186" s="50">
        <f>'Fiscal Forecasts'!F$247</f>
        <v>2.6880000000000002</v>
      </c>
      <c r="G186" s="50">
        <f>'Fiscal Forecasts'!G$247</f>
        <v>2.536</v>
      </c>
      <c r="H186" s="50">
        <f>'Fiscal Forecasts'!H$247</f>
        <v>2.6269999999999998</v>
      </c>
      <c r="I186" s="50">
        <f>'Fiscal Forecasts'!I$247</f>
        <v>2.7450000000000001</v>
      </c>
      <c r="J186" s="50">
        <f>'Fiscal Forecasts'!J$247</f>
        <v>2.9950000000000001</v>
      </c>
      <c r="K186" s="50">
        <f>'Fiscal Forecasts'!K$247</f>
        <v>3.0579999999999998</v>
      </c>
      <c r="L186" s="48">
        <f>'Fiscal Forecasts'!L$247</f>
        <v>3.4169999999999998</v>
      </c>
      <c r="M186" s="48">
        <f>'Fiscal Forecasts'!M$247</f>
        <v>3.2130000000000001</v>
      </c>
      <c r="N186" s="48">
        <f>'Fiscal Forecasts'!N$247</f>
        <v>3.2549999999999999</v>
      </c>
      <c r="O186" s="48">
        <f>'Fiscal Forecasts'!O$247</f>
        <v>3.194</v>
      </c>
      <c r="P186" s="48">
        <f>'Fiscal Forecasts'!P$247</f>
        <v>3.226</v>
      </c>
      <c r="Q186" s="20">
        <f t="shared" ref="Q186:Z186" ca="1" si="124">P$186*(1+Q$19)*(1+Q$29)</f>
        <v>3.3328011517801852</v>
      </c>
      <c r="R186" s="20">
        <f t="shared" ca="1" si="124"/>
        <v>3.4411991354562583</v>
      </c>
      <c r="S186" s="20">
        <f t="shared" ca="1" si="124"/>
        <v>3.551952826553304</v>
      </c>
      <c r="T186" s="20">
        <f t="shared" ca="1" si="124"/>
        <v>3.664015096202669</v>
      </c>
      <c r="U186" s="20">
        <f t="shared" ca="1" si="124"/>
        <v>3.7793010510327312</v>
      </c>
      <c r="V186" s="20">
        <f t="shared" ca="1" si="124"/>
        <v>3.8968280890116622</v>
      </c>
      <c r="W186" s="20">
        <f t="shared" ca="1" si="124"/>
        <v>4.0136364444270125</v>
      </c>
      <c r="X186" s="20">
        <f t="shared" ca="1" si="124"/>
        <v>4.1329035848298483</v>
      </c>
      <c r="Y186" s="20">
        <f t="shared" ca="1" si="124"/>
        <v>4.2557867984595692</v>
      </c>
      <c r="Z186" s="20">
        <f t="shared" ca="1" si="124"/>
        <v>4.3813616133641586</v>
      </c>
    </row>
    <row r="187" spans="1:26" x14ac:dyDescent="0.25">
      <c r="A187" s="12" t="s">
        <v>691</v>
      </c>
      <c r="B187" s="14" t="str">
        <f t="shared" si="123"/>
        <v>From Fiscal Forecasts</v>
      </c>
      <c r="D187" s="50">
        <f>'Fiscal Forecasts'!D$248</f>
        <v>1.64</v>
      </c>
      <c r="E187" s="50">
        <f>'Fiscal Forecasts'!E$248</f>
        <v>1.923</v>
      </c>
      <c r="F187" s="50">
        <f>'Fiscal Forecasts'!F$248</f>
        <v>2.302</v>
      </c>
      <c r="G187" s="50">
        <f>'Fiscal Forecasts'!G$248</f>
        <v>2.3860000000000001</v>
      </c>
      <c r="H187" s="50">
        <f>'Fiscal Forecasts'!H$248</f>
        <v>2.3490000000000002</v>
      </c>
      <c r="I187" s="50">
        <f>'Fiscal Forecasts'!I$248</f>
        <v>2.411</v>
      </c>
      <c r="J187" s="50">
        <f>'Fiscal Forecasts'!J$248</f>
        <v>2.2320000000000002</v>
      </c>
      <c r="K187" s="50">
        <f>'Fiscal Forecasts'!K$248</f>
        <v>2.306</v>
      </c>
      <c r="L187" s="48">
        <f>'Fiscal Forecasts'!L$248</f>
        <v>2.2330000000000001</v>
      </c>
      <c r="M187" s="48">
        <f>'Fiscal Forecasts'!M$248</f>
        <v>2.33</v>
      </c>
      <c r="N187" s="48">
        <f>'Fiscal Forecasts'!N$248</f>
        <v>2.2210000000000001</v>
      </c>
      <c r="O187" s="48">
        <f>'Fiscal Forecasts'!O$248</f>
        <v>2.2469999999999999</v>
      </c>
      <c r="P187" s="48">
        <f>'Fiscal Forecasts'!P$248</f>
        <v>2.2829999999999999</v>
      </c>
      <c r="Q187" s="20">
        <f t="shared" ref="Q187:Z187" ca="1" si="125">P$187*(1+Q$19)*(1+Q$29)</f>
        <v>2.3585818442387363</v>
      </c>
      <c r="R187" s="20">
        <f t="shared" ca="1" si="125"/>
        <v>2.4352937465116673</v>
      </c>
      <c r="S187" s="20">
        <f t="shared" ca="1" si="125"/>
        <v>2.5136727535713557</v>
      </c>
      <c r="T187" s="20">
        <f t="shared" ca="1" si="125"/>
        <v>2.5929778253659932</v>
      </c>
      <c r="U187" s="20">
        <f t="shared" ca="1" si="125"/>
        <v>2.6745642589918557</v>
      </c>
      <c r="V187" s="20">
        <f t="shared" ca="1" si="125"/>
        <v>2.7577366792354701</v>
      </c>
      <c r="W187" s="20">
        <f t="shared" ca="1" si="125"/>
        <v>2.8404004967845227</v>
      </c>
      <c r="X187" s="20">
        <f t="shared" ca="1" si="125"/>
        <v>2.924804365829679</v>
      </c>
      <c r="Y187" s="20">
        <f t="shared" ca="1" si="125"/>
        <v>3.0117672848367012</v>
      </c>
      <c r="Z187" s="20">
        <f t="shared" ca="1" si="125"/>
        <v>3.1006350165252252</v>
      </c>
    </row>
    <row r="188" spans="1:26" x14ac:dyDescent="0.25">
      <c r="A188" s="12" t="s">
        <v>692</v>
      </c>
      <c r="B188" s="14" t="str">
        <f t="shared" si="123"/>
        <v>From Fiscal Forecasts</v>
      </c>
      <c r="C188" s="15"/>
      <c r="D188" s="50">
        <f>'Fiscal Forecasts'!D$249</f>
        <v>2.351</v>
      </c>
      <c r="E188" s="50">
        <f>'Fiscal Forecasts'!E$249</f>
        <v>14.971</v>
      </c>
      <c r="F188" s="50">
        <f>'Fiscal Forecasts'!F$249</f>
        <v>5.0529999999999999</v>
      </c>
      <c r="G188" s="50">
        <f>'Fiscal Forecasts'!G$249</f>
        <v>11.973000000000001</v>
      </c>
      <c r="H188" s="50">
        <f>'Fiscal Forecasts'!H$249</f>
        <v>4.1159999999999997</v>
      </c>
      <c r="I188" s="50">
        <f>'Fiscal Forecasts'!I$249</f>
        <v>3.7759999999999998</v>
      </c>
      <c r="J188" s="50">
        <f>'Fiscal Forecasts'!J$249</f>
        <v>4.1500000000000004</v>
      </c>
      <c r="K188" s="50">
        <f>'Fiscal Forecasts'!K$249</f>
        <v>4.3860000000000001</v>
      </c>
      <c r="L188" s="48">
        <f>'Fiscal Forecasts'!L$249</f>
        <v>4.5549999999999997</v>
      </c>
      <c r="M188" s="48">
        <f>'Fiscal Forecasts'!M$249</f>
        <v>4.5350000000000001</v>
      </c>
      <c r="N188" s="48">
        <f>'Fiscal Forecasts'!N$249</f>
        <v>4.617</v>
      </c>
      <c r="O188" s="48">
        <f>'Fiscal Forecasts'!O$249</f>
        <v>4.7519999999999998</v>
      </c>
      <c r="P188" s="48">
        <f>'Fiscal Forecasts'!P$249</f>
        <v>4.9109999999999996</v>
      </c>
      <c r="Q188" s="20">
        <f t="shared" ref="Q188:Z188" ca="1" si="126">P$188*(1+Q$19)*(1+Q$29)</f>
        <v>5.0735853863584897</v>
      </c>
      <c r="R188" s="20">
        <f t="shared" ca="1" si="126"/>
        <v>5.2386016597103788</v>
      </c>
      <c r="S188" s="20">
        <f t="shared" ca="1" si="126"/>
        <v>5.4072040704287891</v>
      </c>
      <c r="T188" s="20">
        <f t="shared" ca="1" si="126"/>
        <v>5.5777985546966233</v>
      </c>
      <c r="U188" s="20">
        <f t="shared" ca="1" si="126"/>
        <v>5.7533005150718353</v>
      </c>
      <c r="V188" s="20">
        <f t="shared" ca="1" si="126"/>
        <v>5.9322141181451551</v>
      </c>
      <c r="W188" s="20">
        <f t="shared" ca="1" si="126"/>
        <v>6.1100336573406864</v>
      </c>
      <c r="X188" s="20">
        <f t="shared" ca="1" si="126"/>
        <v>6.2915962508057595</v>
      </c>
      <c r="Y188" s="20">
        <f t="shared" ca="1" si="126"/>
        <v>6.4786636600232299</v>
      </c>
      <c r="Z188" s="20">
        <f t="shared" ca="1" si="126"/>
        <v>6.669828544089083</v>
      </c>
    </row>
    <row r="189" spans="1:26" x14ac:dyDescent="0.25">
      <c r="A189" s="11" t="s">
        <v>1242</v>
      </c>
      <c r="B189" s="14"/>
      <c r="C189" s="15"/>
      <c r="D189" s="94">
        <f t="shared" ref="D189:Z189" si="127">SUM(D$182:D$188)</f>
        <v>25.844000000000001</v>
      </c>
      <c r="E189" s="94">
        <f t="shared" si="127"/>
        <v>40.411000000000001</v>
      </c>
      <c r="F189" s="94">
        <f t="shared" si="127"/>
        <v>33.116999999999997</v>
      </c>
      <c r="G189" s="94">
        <f t="shared" si="127"/>
        <v>41.74</v>
      </c>
      <c r="H189" s="94">
        <f t="shared" si="127"/>
        <v>36.31</v>
      </c>
      <c r="I189" s="94">
        <f t="shared" si="127"/>
        <v>39.195000000000007</v>
      </c>
      <c r="J189" s="94">
        <f t="shared" si="127"/>
        <v>42.131999999999998</v>
      </c>
      <c r="K189" s="94">
        <f t="shared" si="127"/>
        <v>44.609000000000002</v>
      </c>
      <c r="L189" s="95">
        <f t="shared" si="127"/>
        <v>47.16</v>
      </c>
      <c r="M189" s="95">
        <f t="shared" si="127"/>
        <v>48.992000000000004</v>
      </c>
      <c r="N189" s="95">
        <f t="shared" si="127"/>
        <v>50.223000000000006</v>
      </c>
      <c r="O189" s="95">
        <f t="shared" si="127"/>
        <v>52.105000000000004</v>
      </c>
      <c r="P189" s="95">
        <f t="shared" si="127"/>
        <v>54.282000000000004</v>
      </c>
      <c r="Q189" s="96">
        <f t="shared" ca="1" si="127"/>
        <v>56.782651728501726</v>
      </c>
      <c r="R189" s="96">
        <f t="shared" ca="1" si="127"/>
        <v>59.362878098696243</v>
      </c>
      <c r="S189" s="96">
        <f t="shared" ca="1" si="127"/>
        <v>62.035724365201482</v>
      </c>
      <c r="T189" s="96">
        <f t="shared" ca="1" si="127"/>
        <v>64.787260158547184</v>
      </c>
      <c r="U189" s="96">
        <f t="shared" ca="1" si="127"/>
        <v>67.696100875746652</v>
      </c>
      <c r="V189" s="96">
        <f t="shared" ca="1" si="127"/>
        <v>70.669665327828923</v>
      </c>
      <c r="W189" s="96">
        <f t="shared" ca="1" si="127"/>
        <v>73.651285843189839</v>
      </c>
      <c r="X189" s="96">
        <f t="shared" ca="1" si="127"/>
        <v>76.652621563331238</v>
      </c>
      <c r="Y189" s="96">
        <f t="shared" ca="1" si="127"/>
        <v>79.659878546451779</v>
      </c>
      <c r="Z189" s="96">
        <f t="shared" ca="1" si="127"/>
        <v>82.698532815681233</v>
      </c>
    </row>
    <row r="190" spans="1:26" x14ac:dyDescent="0.25">
      <c r="A190" s="12" t="s">
        <v>693</v>
      </c>
      <c r="B190" s="14" t="str">
        <f>$B$38</f>
        <v>From Fiscal Forecasts</v>
      </c>
      <c r="C190" s="15"/>
      <c r="D190" s="50">
        <f>'Fiscal Forecasts'!D$250</f>
        <v>0.58299999999999996</v>
      </c>
      <c r="E190" s="50">
        <f>'Fiscal Forecasts'!E$250</f>
        <v>0.56699999999999995</v>
      </c>
      <c r="F190" s="50">
        <f>'Fiscal Forecasts'!F$250</f>
        <v>0.59</v>
      </c>
      <c r="G190" s="50">
        <f>'Fiscal Forecasts'!G$250</f>
        <v>0.55600000000000005</v>
      </c>
      <c r="H190" s="50">
        <f>'Fiscal Forecasts'!H$250</f>
        <v>0.52500000000000002</v>
      </c>
      <c r="I190" s="50">
        <f>'Fiscal Forecasts'!I$250</f>
        <v>0.52600000000000002</v>
      </c>
      <c r="J190" s="50">
        <f>'Fiscal Forecasts'!J$250</f>
        <v>0.57399999999999995</v>
      </c>
      <c r="K190" s="50">
        <f>'Fiscal Forecasts'!K$250</f>
        <v>0.64100000000000001</v>
      </c>
      <c r="L190" s="48">
        <f>'Fiscal Forecasts'!L$250</f>
        <v>0.70399999999999996</v>
      </c>
      <c r="M190" s="48">
        <f>'Fiscal Forecasts'!M$250</f>
        <v>0.71499999999999997</v>
      </c>
      <c r="N190" s="48">
        <f>'Fiscal Forecasts'!N$250</f>
        <v>0.69899999999999995</v>
      </c>
      <c r="O190" s="48">
        <f>'Fiscal Forecasts'!O$250</f>
        <v>0.68899999999999995</v>
      </c>
      <c r="P190" s="48">
        <f>'Fiscal Forecasts'!P$250</f>
        <v>0.68899999999999995</v>
      </c>
      <c r="Q190" s="20">
        <f ca="1">P$190*(1+'Population Treasury'!AB$328)*(1+Q$29)</f>
        <v>0.7042704052526918</v>
      </c>
      <c r="R190" s="20">
        <f ca="1">Q$190*(1+'Population Treasury'!AC$328)*(1+R$29)</f>
        <v>0.7200817868108712</v>
      </c>
      <c r="S190" s="20">
        <f ca="1">R$190*(1+'Population Treasury'!AD$328)*(1+S$29)</f>
        <v>0.7364441451154754</v>
      </c>
      <c r="T190" s="20">
        <f ca="1">S$190*(1+'Population Treasury'!AE$328)*(1+T$29)</f>
        <v>0.75426820881386147</v>
      </c>
      <c r="U190" s="20">
        <f ca="1">T$190*(1+'Population Treasury'!AF$328)*(1+U$29)</f>
        <v>0.77251950077583986</v>
      </c>
      <c r="V190" s="20">
        <f ca="1">U$190*(1+'Population Treasury'!AG$328)*(1+V$29)</f>
        <v>0.79212822197401689</v>
      </c>
      <c r="W190" s="20">
        <f ca="1">V$190*(1+'Population Treasury'!AH$328)*(1+W$29)</f>
        <v>0.81256650909083683</v>
      </c>
      <c r="X190" s="20">
        <f ca="1">W$190*(1+'Population Treasury'!AI$328)*(1+X$29)</f>
        <v>0.834167094857449</v>
      </c>
      <c r="Y190" s="20">
        <f ca="1">X$190*(1+'Population Treasury'!AJ$328)*(1+Y$29)</f>
        <v>0.85705810709086938</v>
      </c>
      <c r="Z190" s="20">
        <f ca="1">Y$190*(1+'Population Treasury'!AK$328)*(1+Z$29)</f>
        <v>0.87732856685740601</v>
      </c>
    </row>
    <row r="191" spans="1:26" x14ac:dyDescent="0.25">
      <c r="A191" s="11" t="s">
        <v>1243</v>
      </c>
      <c r="B191" s="14"/>
      <c r="C191" s="15"/>
      <c r="D191" s="94">
        <f t="shared" ref="D191:Z191" si="128">SUM(D$189:D$190)</f>
        <v>26.427</v>
      </c>
      <c r="E191" s="94">
        <f t="shared" si="128"/>
        <v>40.978000000000002</v>
      </c>
      <c r="F191" s="94">
        <f t="shared" si="128"/>
        <v>33.707000000000001</v>
      </c>
      <c r="G191" s="94">
        <f t="shared" si="128"/>
        <v>42.295999999999999</v>
      </c>
      <c r="H191" s="94">
        <f t="shared" si="128"/>
        <v>36.835000000000001</v>
      </c>
      <c r="I191" s="94">
        <f t="shared" si="128"/>
        <v>39.721000000000011</v>
      </c>
      <c r="J191" s="94">
        <f t="shared" si="128"/>
        <v>42.705999999999996</v>
      </c>
      <c r="K191" s="94">
        <f t="shared" si="128"/>
        <v>45.25</v>
      </c>
      <c r="L191" s="95">
        <f t="shared" si="128"/>
        <v>47.863999999999997</v>
      </c>
      <c r="M191" s="95">
        <f t="shared" si="128"/>
        <v>49.707000000000008</v>
      </c>
      <c r="N191" s="95">
        <f t="shared" si="128"/>
        <v>50.922000000000004</v>
      </c>
      <c r="O191" s="95">
        <f t="shared" si="128"/>
        <v>52.794000000000004</v>
      </c>
      <c r="P191" s="95">
        <f t="shared" si="128"/>
        <v>54.971000000000004</v>
      </c>
      <c r="Q191" s="96">
        <f t="shared" ca="1" si="128"/>
        <v>57.486922133754419</v>
      </c>
      <c r="R191" s="96">
        <f t="shared" ca="1" si="128"/>
        <v>60.082959885507115</v>
      </c>
      <c r="S191" s="96">
        <f t="shared" ca="1" si="128"/>
        <v>62.772168510316959</v>
      </c>
      <c r="T191" s="96">
        <f t="shared" ca="1" si="128"/>
        <v>65.541528367361039</v>
      </c>
      <c r="U191" s="96">
        <f t="shared" ca="1" si="128"/>
        <v>68.468620376522495</v>
      </c>
      <c r="V191" s="96">
        <f t="shared" ca="1" si="128"/>
        <v>71.461793549802934</v>
      </c>
      <c r="W191" s="96">
        <f t="shared" ca="1" si="128"/>
        <v>74.463852352280682</v>
      </c>
      <c r="X191" s="96">
        <f t="shared" ca="1" si="128"/>
        <v>77.486788658188686</v>
      </c>
      <c r="Y191" s="96">
        <f t="shared" ca="1" si="128"/>
        <v>80.516936653542643</v>
      </c>
      <c r="Z191" s="96">
        <f t="shared" ca="1" si="128"/>
        <v>83.575861382538633</v>
      </c>
    </row>
    <row r="192" spans="1:26" x14ac:dyDescent="0.25">
      <c r="A192" s="12" t="s">
        <v>694</v>
      </c>
      <c r="B192" s="14" t="str">
        <f>$B$38</f>
        <v>From Fiscal Forecasts</v>
      </c>
      <c r="C192" s="15"/>
      <c r="D192" s="50">
        <f>'Fiscal Forecasts'!D$251</f>
        <v>0.95099999999999996</v>
      </c>
      <c r="E192" s="50">
        <f>'Fiscal Forecasts'!E$251</f>
        <v>0.89300000000000002</v>
      </c>
      <c r="F192" s="50">
        <f>'Fiscal Forecasts'!F$251</f>
        <v>0.91600000000000004</v>
      </c>
      <c r="G192" s="50">
        <f>'Fiscal Forecasts'!G$251</f>
        <v>0.96399999999999997</v>
      </c>
      <c r="H192" s="50">
        <f>'Fiscal Forecasts'!H$251</f>
        <v>0.997</v>
      </c>
      <c r="I192" s="50">
        <f>'Fiscal Forecasts'!I$251</f>
        <v>1.014</v>
      </c>
      <c r="J192" s="50">
        <f>'Fiscal Forecasts'!J$251</f>
        <v>1.02</v>
      </c>
      <c r="K192" s="50">
        <f>'Fiscal Forecasts'!K$251</f>
        <v>0.47</v>
      </c>
      <c r="L192" s="48">
        <f>'Fiscal Forecasts'!L$251</f>
        <v>0.49399999999999999</v>
      </c>
      <c r="M192" s="48">
        <f>'Fiscal Forecasts'!M$251</f>
        <v>0.51600000000000001</v>
      </c>
      <c r="N192" s="48">
        <f>'Fiscal Forecasts'!N$251</f>
        <v>0.54100000000000004</v>
      </c>
      <c r="O192" s="48">
        <f>'Fiscal Forecasts'!O$251</f>
        <v>0.56499999999999995</v>
      </c>
      <c r="P192" s="48">
        <f>'Fiscal Forecasts'!P$251</f>
        <v>0.58899999999999997</v>
      </c>
      <c r="Q192" s="20">
        <f>IF(ISBLANK(Exogenous!AB$37),P$192*(1+Q$17)*(1+Q$29),Exogenous!AB$37)</f>
        <v>0.61599999999999999</v>
      </c>
      <c r="R192" s="20">
        <f ca="1">IF(ISBLANK(Exogenous!AC$37),Q$192*(1+R$17)*(1+R$29),Exogenous!AC$37)</f>
        <v>0.6356043150767996</v>
      </c>
      <c r="S192" s="20">
        <f ca="1">IF(ISBLANK(Exogenous!AD$37),R$192*(1+S$17)*(1+S$29),Exogenous!AD$37)</f>
        <v>0.65552518581783481</v>
      </c>
      <c r="T192" s="20">
        <f ca="1">IF(ISBLANK(Exogenous!AE$37),S$192*(1+T$17)*(1+T$29),Exogenous!AE$37)</f>
        <v>0.67575382923088023</v>
      </c>
      <c r="U192" s="20">
        <f ca="1">IF(ISBLANK(Exogenous!AF$37),T$192*(1+U$17)*(1+U$29),Exogenous!AF$37)</f>
        <v>0.69644013067364774</v>
      </c>
      <c r="V192" s="20">
        <f ca="1">IF(ISBLANK(Exogenous!AG$37),U$192*(1+V$17)*(1+V$29),Exogenous!AG$37)</f>
        <v>0.71757355095976472</v>
      </c>
      <c r="W192" s="20">
        <f ca="1">IF(ISBLANK(Exogenous!AH$37),V$192*(1+W$17)*(1+W$29),Exogenous!AH$37)</f>
        <v>0.73899406472158069</v>
      </c>
      <c r="X192" s="20">
        <f ca="1">IF(ISBLANK(Exogenous!AI$37),W$192*(1+X$17)*(1+X$29),Exogenous!AI$37)</f>
        <v>0.76073334129191916</v>
      </c>
      <c r="Y192" s="20">
        <f ca="1">IF(ISBLANK(Exogenous!AJ$37),X$192*(1+Y$17)*(1+Y$29),Exogenous!AJ$37)</f>
        <v>0.78292535697248833</v>
      </c>
      <c r="Z192" s="20">
        <f ca="1">IF(ISBLANK(Exogenous!AK$37),Y$192*(1+Z$17)*(1+Z$29),Exogenous!AK$37)</f>
        <v>0.80555714389500477</v>
      </c>
    </row>
    <row r="193" spans="1:26" x14ac:dyDescent="0.25">
      <c r="A193" s="12" t="s">
        <v>1029</v>
      </c>
      <c r="B193" s="14" t="str">
        <f>$B$38</f>
        <v>From Fiscal Forecasts</v>
      </c>
      <c r="C193" s="15"/>
      <c r="D193" s="50">
        <f>'Fiscal Forecasts'!D$252</f>
        <v>0.70799999999999996</v>
      </c>
      <c r="E193" s="50">
        <f>'Fiscal Forecasts'!E$252</f>
        <v>0.73599999999999999</v>
      </c>
      <c r="F193" s="50">
        <f>'Fiscal Forecasts'!F$252</f>
        <v>0.80400000000000005</v>
      </c>
      <c r="G193" s="50">
        <f>'Fiscal Forecasts'!G$252</f>
        <v>0.82699999999999996</v>
      </c>
      <c r="H193" s="50">
        <f>'Fiscal Forecasts'!H$252</f>
        <v>0.97099999999999997</v>
      </c>
      <c r="I193" s="50">
        <f>'Fiscal Forecasts'!I$252</f>
        <v>1.202</v>
      </c>
      <c r="J193" s="50">
        <f>'Fiscal Forecasts'!J$252</f>
        <v>0.95299999999999996</v>
      </c>
      <c r="K193" s="50">
        <f>'Fiscal Forecasts'!K$252</f>
        <v>0.95599999999999996</v>
      </c>
      <c r="L193" s="48">
        <f>'Fiscal Forecasts'!L$252</f>
        <v>1.151</v>
      </c>
      <c r="M193" s="48">
        <f>'Fiscal Forecasts'!M$252</f>
        <v>0.98199999999999998</v>
      </c>
      <c r="N193" s="48">
        <f>'Fiscal Forecasts'!N$252</f>
        <v>0.98199999999999998</v>
      </c>
      <c r="O193" s="48">
        <f>'Fiscal Forecasts'!O$252</f>
        <v>0.98199999999999998</v>
      </c>
      <c r="P193" s="48">
        <f>'Fiscal Forecasts'!P$252</f>
        <v>0.98199999999999998</v>
      </c>
      <c r="Q193" s="20">
        <f t="shared" ref="Q193:Z193" ca="1" si="129">P$193*(1+Q$29)</f>
        <v>1.0016400000000001</v>
      </c>
      <c r="R193" s="20">
        <f t="shared" ca="1" si="129"/>
        <v>1.0216728000000002</v>
      </c>
      <c r="S193" s="20">
        <f t="shared" ca="1" si="129"/>
        <v>1.0421062560000003</v>
      </c>
      <c r="T193" s="20">
        <f t="shared" ca="1" si="129"/>
        <v>1.0629483811200002</v>
      </c>
      <c r="U193" s="20">
        <f t="shared" ca="1" si="129"/>
        <v>1.0842073487424002</v>
      </c>
      <c r="V193" s="20">
        <f t="shared" ca="1" si="129"/>
        <v>1.1058914957172483</v>
      </c>
      <c r="W193" s="20">
        <f t="shared" ca="1" si="129"/>
        <v>1.1280093256315933</v>
      </c>
      <c r="X193" s="20">
        <f t="shared" ca="1" si="129"/>
        <v>1.1505695121442252</v>
      </c>
      <c r="Y193" s="20">
        <f t="shared" ca="1" si="129"/>
        <v>1.1735809023871098</v>
      </c>
      <c r="Z193" s="20">
        <f t="shared" ca="1" si="129"/>
        <v>1.1970525204348519</v>
      </c>
    </row>
    <row r="194" spans="1:26" x14ac:dyDescent="0.25">
      <c r="A194" s="11" t="s">
        <v>1244</v>
      </c>
      <c r="B194" s="14"/>
      <c r="C194" s="15"/>
      <c r="D194" s="94">
        <f t="shared" ref="D194:Z194" si="130">SUM(D$191:D$193)</f>
        <v>28.085999999999999</v>
      </c>
      <c r="E194" s="94">
        <f t="shared" si="130"/>
        <v>42.606999999999999</v>
      </c>
      <c r="F194" s="94">
        <f t="shared" si="130"/>
        <v>35.427</v>
      </c>
      <c r="G194" s="94">
        <f t="shared" si="130"/>
        <v>44.086999999999996</v>
      </c>
      <c r="H194" s="94">
        <f t="shared" si="130"/>
        <v>38.802999999999997</v>
      </c>
      <c r="I194" s="94">
        <f t="shared" si="130"/>
        <v>41.937000000000012</v>
      </c>
      <c r="J194" s="94">
        <f t="shared" si="130"/>
        <v>44.679000000000002</v>
      </c>
      <c r="K194" s="94">
        <f t="shared" si="130"/>
        <v>46.676000000000002</v>
      </c>
      <c r="L194" s="95">
        <f t="shared" si="130"/>
        <v>49.509</v>
      </c>
      <c r="M194" s="95">
        <f t="shared" si="130"/>
        <v>51.205000000000005</v>
      </c>
      <c r="N194" s="95">
        <f t="shared" si="130"/>
        <v>52.445</v>
      </c>
      <c r="O194" s="95">
        <f t="shared" si="130"/>
        <v>54.341000000000001</v>
      </c>
      <c r="P194" s="95">
        <f t="shared" si="130"/>
        <v>56.542000000000002</v>
      </c>
      <c r="Q194" s="96">
        <f t="shared" ca="1" si="130"/>
        <v>59.10456213375442</v>
      </c>
      <c r="R194" s="96">
        <f t="shared" ca="1" si="130"/>
        <v>61.74023700058391</v>
      </c>
      <c r="S194" s="96">
        <f t="shared" ca="1" si="130"/>
        <v>64.469799952134792</v>
      </c>
      <c r="T194" s="96">
        <f t="shared" ca="1" si="130"/>
        <v>67.280230577711919</v>
      </c>
      <c r="U194" s="96">
        <f t="shared" ca="1" si="130"/>
        <v>70.249267855938541</v>
      </c>
      <c r="V194" s="96">
        <f t="shared" ca="1" si="130"/>
        <v>73.285258596479949</v>
      </c>
      <c r="W194" s="96">
        <f t="shared" ca="1" si="130"/>
        <v>76.330855742633858</v>
      </c>
      <c r="X194" s="96">
        <f t="shared" ca="1" si="130"/>
        <v>79.398091511624841</v>
      </c>
      <c r="Y194" s="96">
        <f t="shared" ca="1" si="130"/>
        <v>82.473442912902243</v>
      </c>
      <c r="Z194" s="96">
        <f t="shared" ca="1" si="130"/>
        <v>85.578471046868486</v>
      </c>
    </row>
    <row r="195" spans="1:26" x14ac:dyDescent="0.25">
      <c r="A195" s="11" t="s">
        <v>1245</v>
      </c>
      <c r="B195" s="14" t="str">
        <f>$B$38</f>
        <v>From Fiscal Forecasts</v>
      </c>
      <c r="C195" s="15"/>
      <c r="D195" s="51">
        <f>'Fiscal Forecasts'!D$170</f>
        <v>29.015000000000001</v>
      </c>
      <c r="E195" s="51">
        <f>'Fiscal Forecasts'!E$170</f>
        <v>43.616</v>
      </c>
      <c r="F195" s="51">
        <f>'Fiscal Forecasts'!F$170</f>
        <v>36.521000000000001</v>
      </c>
      <c r="G195" s="51">
        <f>'Fiscal Forecasts'!G$170</f>
        <v>45.265999999999998</v>
      </c>
      <c r="H195" s="51">
        <f>'Fiscal Forecasts'!H$170</f>
        <v>40.003</v>
      </c>
      <c r="I195" s="51">
        <f>'Fiscal Forecasts'!I$170</f>
        <v>43.265000000000001</v>
      </c>
      <c r="J195" s="51">
        <f>'Fiscal Forecasts'!J$170</f>
        <v>46.238999999999997</v>
      </c>
      <c r="K195" s="51">
        <f>'Fiscal Forecasts'!K$170</f>
        <v>48.417000000000002</v>
      </c>
      <c r="L195" s="47">
        <f>'Fiscal Forecasts'!L$170</f>
        <v>51.131</v>
      </c>
      <c r="M195" s="47">
        <f>'Fiscal Forecasts'!M$170</f>
        <v>52.792000000000002</v>
      </c>
      <c r="N195" s="47">
        <f>'Fiscal Forecasts'!N$170</f>
        <v>54.014000000000003</v>
      </c>
      <c r="O195" s="47">
        <f>'Fiscal Forecasts'!O$170</f>
        <v>55.95</v>
      </c>
      <c r="P195" s="47">
        <f>'Fiscal Forecasts'!P$170</f>
        <v>58.197000000000003</v>
      </c>
      <c r="Q195" s="21">
        <f t="shared" ref="Q195:Z195" ca="1" si="131">Q$194</f>
        <v>59.10456213375442</v>
      </c>
      <c r="R195" s="21">
        <f t="shared" ca="1" si="131"/>
        <v>61.74023700058391</v>
      </c>
      <c r="S195" s="21">
        <f t="shared" ca="1" si="131"/>
        <v>64.469799952134792</v>
      </c>
      <c r="T195" s="21">
        <f t="shared" ca="1" si="131"/>
        <v>67.280230577711919</v>
      </c>
      <c r="U195" s="21">
        <f t="shared" ca="1" si="131"/>
        <v>70.249267855938541</v>
      </c>
      <c r="V195" s="21">
        <f t="shared" ca="1" si="131"/>
        <v>73.285258596479949</v>
      </c>
      <c r="W195" s="21">
        <f t="shared" ca="1" si="131"/>
        <v>76.330855742633858</v>
      </c>
      <c r="X195" s="21">
        <f t="shared" ca="1" si="131"/>
        <v>79.398091511624841</v>
      </c>
      <c r="Y195" s="21">
        <f t="shared" ca="1" si="131"/>
        <v>82.473442912902243</v>
      </c>
      <c r="Z195" s="21">
        <f t="shared" ca="1" si="131"/>
        <v>85.578471046868486</v>
      </c>
    </row>
    <row r="196" spans="1:26" x14ac:dyDescent="0.25">
      <c r="A196" s="12" t="s">
        <v>1246</v>
      </c>
      <c r="B196" s="14" t="str">
        <f>$B$38</f>
        <v>From Fiscal Forecasts</v>
      </c>
      <c r="C196" s="100" cm="1">
        <f t="array" aca="1" ref="C196" ca="1">SUMPRODUCT(OFFSET($P$196,0,0,1,-OFFSET(Assumptions!$B$60,0,$C$1))/OFFSET($P$13,0,0,1,-OFFSET(Assumptions!$B$60,0,$C$1)))/OFFSET(Assumptions!$B$60,0,$C$1)</f>
        <v>1.1298830660730031E-2</v>
      </c>
      <c r="D196" s="50">
        <f>'Fiscal Forecasts'!D$57-D$189</f>
        <v>2.8959999999999972</v>
      </c>
      <c r="E196" s="50">
        <f>'Fiscal Forecasts'!E$57-E$189</f>
        <v>3.6169999999999973</v>
      </c>
      <c r="F196" s="50">
        <f>'Fiscal Forecasts'!F$57-F$189</f>
        <v>3.642000000000003</v>
      </c>
      <c r="G196" s="50">
        <f>'Fiscal Forecasts'!G$57-G$189</f>
        <v>1.1199999999999974</v>
      </c>
      <c r="H196" s="50">
        <f>'Fiscal Forecasts'!H$57-H$189</f>
        <v>5.2040000000000006</v>
      </c>
      <c r="I196" s="50">
        <f>'Fiscal Forecasts'!I$57-I$189</f>
        <v>5.3939999999999912</v>
      </c>
      <c r="J196" s="50">
        <f>'Fiscal Forecasts'!J$57-J$189</f>
        <v>5.3710000000000022</v>
      </c>
      <c r="K196" s="50">
        <f>'Fiscal Forecasts'!K$57-K$189</f>
        <v>5.6149999999999949</v>
      </c>
      <c r="L196" s="48">
        <f ca="1">'Fiscal Forecasts'!L$57-L$189+IF(OFFSET(Assumptions!$B$57,0,$C$1)="Yes",Allocation!C$10,0)</f>
        <v>6.1639000000000017</v>
      </c>
      <c r="M196" s="48">
        <f ca="1">'Fiscal Forecasts'!M$57-M$189+IF(OFFSET(Assumptions!$B$57,0,$C$1)="Yes",Allocation!D$10,0)</f>
        <v>6.2143999999999942</v>
      </c>
      <c r="N196" s="48">
        <f ca="1">'Fiscal Forecasts'!N$57-N$189+IF(OFFSET(Assumptions!$B$57,0,$C$1)="Yes",Allocation!E$10,0)</f>
        <v>6.3797499999999943</v>
      </c>
      <c r="O196" s="48">
        <f ca="1">'Fiscal Forecasts'!O$57-O$189+IF(OFFSET(Assumptions!$B$57,0,$C$1)="Yes",Allocation!F$10,0)</f>
        <v>6.299649999999998</v>
      </c>
      <c r="P196" s="48">
        <f ca="1">'Fiscal Forecasts'!P$57-P$189+IF(OFFSET(Assumptions!$B$57,0,$C$1)="Yes",Allocation!G$10,0)</f>
        <v>6.4772999999999978</v>
      </c>
      <c r="Q196" s="20">
        <f ca="1">P$196+IF(OFFSET(Assumptions!$B$58,0,$C$1)="Yes",Allocation!$B$10*Q$248,IF(OFFSET(Assumptions!$B$59,0,$C$1)="Yes",(P$196/P$13+MIN(ABS($C$196-P$196/P$13),OFFSET(Assumptions!$B$61,0,$C$1))*SIGN($C$196-P$196/P$13))*Q$13-P$196,0))</f>
        <v>6.8663961289794759</v>
      </c>
      <c r="R196" s="20">
        <f ca="1">Q$196+IF(OFFSET(Assumptions!$B$58,0,$C$1)="Yes",Allocation!$B$10*R$248,IF(OFFSET(Assumptions!$B$59,0,$C$1)="Yes",(Q$196/Q$13+MIN(ABS($C$196-Q$196/Q$13),OFFSET(Assumptions!$B$61,0,$C$1))*SIGN($C$196-Q$196/Q$13))*R$13-Q$196,0))</f>
        <v>7.1586651920679838</v>
      </c>
      <c r="S196" s="20">
        <f ca="1">R$196+IF(OFFSET(Assumptions!$B$58,0,$C$1)="Yes",Allocation!$B$10*S$248,IF(OFFSET(Assumptions!$B$59,0,$C$1)="Yes",(R$196/R$13+MIN(ABS($C$196-R$196/R$13),OFFSET(Assumptions!$B$61,0,$C$1))*SIGN($C$196-R$196/R$13))*S$13-R$196,0))</f>
        <v>7.4586772768752052</v>
      </c>
      <c r="T196" s="20">
        <f ca="1">S$196+IF(OFFSET(Assumptions!$B$58,0,$C$1)="Yes",Allocation!$B$10*T$248,IF(OFFSET(Assumptions!$B$59,0,$C$1)="Yes",(S$196/S$13+MIN(ABS($C$196-S$196/S$13),OFFSET(Assumptions!$B$61,0,$C$1))*SIGN($C$196-S$196/S$13))*T$13-S$196,0))</f>
        <v>7.7657306512230297</v>
      </c>
      <c r="U196" s="20">
        <f ca="1">T$196+IF(OFFSET(Assumptions!$B$58,0,$C$1)="Yes",Allocation!$B$10*U$248,IF(OFFSET(Assumptions!$B$59,0,$C$1)="Yes",(T$196/T$13+MIN(ABS($C$196-T$196/T$13),OFFSET(Assumptions!$B$61,0,$C$1))*SIGN($C$196-T$196/T$13))*U$13-T$196,0))</f>
        <v>8.0834912033372159</v>
      </c>
      <c r="V196" s="20">
        <f ca="1">U$196+IF(OFFSET(Assumptions!$B$58,0,$C$1)="Yes",Allocation!$B$10*V$248,IF(OFFSET(Assumptions!$B$59,0,$C$1)="Yes",(U$196/U$13+MIN(ABS($C$196-U$196/U$13),OFFSET(Assumptions!$B$61,0,$C$1))*SIGN($C$196-U$196/U$13))*V$13-U$196,0))</f>
        <v>8.4120719409624503</v>
      </c>
      <c r="W196" s="20">
        <f ca="1">V$196+IF(OFFSET(Assumptions!$B$58,0,$C$1)="Yes",Allocation!$B$10*W$248,IF(OFFSET(Assumptions!$B$59,0,$C$1)="Yes",(V$196/V$13+MIN(ABS($C$196-V$196/V$13),OFFSET(Assumptions!$B$61,0,$C$1))*SIGN($C$196-V$196/V$13))*W$13-V$196,0))</f>
        <v>8.7498151797098114</v>
      </c>
      <c r="X196" s="20">
        <f ca="1">W$196+IF(OFFSET(Assumptions!$B$58,0,$C$1)="Yes",Allocation!$B$10*X$248,IF(OFFSET(Assumptions!$B$59,0,$C$1)="Yes",(W$196/W$13+MIN(ABS($C$196-W$196/W$13),OFFSET(Assumptions!$B$61,0,$C$1))*SIGN($C$196-W$196/W$13))*X$13-W$196,0))</f>
        <v>9.0972840238625352</v>
      </c>
      <c r="Y196" s="20">
        <f ca="1">X$196+IF(OFFSET(Assumptions!$B$58,0,$C$1)="Yes",Allocation!$B$10*Y$248,IF(OFFSET(Assumptions!$B$59,0,$C$1)="Yes",(X$196/X$13+MIN(ABS($C$196-X$196/X$13),OFFSET(Assumptions!$B$61,0,$C$1))*SIGN($C$196-X$196/X$13))*Y$13-X$196,0))</f>
        <v>9.4562955175128103</v>
      </c>
      <c r="Z196" s="20">
        <f ca="1">Y$196+IF(OFFSET(Assumptions!$B$58,0,$C$1)="Yes",Allocation!$B$10*Z$248,IF(OFFSET(Assumptions!$B$59,0,$C$1)="Yes",(Y$196/Y$13+MIN(ABS($C$196-Y$196/Y$13),OFFSET(Assumptions!$B$61,0,$C$1))*SIGN($C$196-Y$196/Y$13))*Z$13-Y$196,0))</f>
        <v>9.8269422550766361</v>
      </c>
    </row>
    <row r="197" spans="1:26" x14ac:dyDescent="0.25">
      <c r="A197" s="11" t="s">
        <v>1247</v>
      </c>
      <c r="B197" s="14"/>
      <c r="C197" s="15"/>
      <c r="D197" s="51">
        <f t="shared" ref="D197:Z197" si="132">SUM(D$189,D$196)</f>
        <v>28.74</v>
      </c>
      <c r="E197" s="51">
        <f t="shared" si="132"/>
        <v>44.027999999999999</v>
      </c>
      <c r="F197" s="51">
        <f t="shared" si="132"/>
        <v>36.759</v>
      </c>
      <c r="G197" s="51">
        <f t="shared" si="132"/>
        <v>42.86</v>
      </c>
      <c r="H197" s="51">
        <f t="shared" si="132"/>
        <v>41.514000000000003</v>
      </c>
      <c r="I197" s="51">
        <f t="shared" si="132"/>
        <v>44.588999999999999</v>
      </c>
      <c r="J197" s="51">
        <f t="shared" si="132"/>
        <v>47.503</v>
      </c>
      <c r="K197" s="51">
        <f t="shared" si="132"/>
        <v>50.223999999999997</v>
      </c>
      <c r="L197" s="47">
        <f t="shared" ca="1" si="132"/>
        <v>53.323899999999995</v>
      </c>
      <c r="M197" s="47">
        <f t="shared" ca="1" si="132"/>
        <v>55.206400000000002</v>
      </c>
      <c r="N197" s="47">
        <f t="shared" ca="1" si="132"/>
        <v>56.60275</v>
      </c>
      <c r="O197" s="47">
        <f t="shared" ca="1" si="132"/>
        <v>58.404650000000004</v>
      </c>
      <c r="P197" s="47">
        <f t="shared" ca="1" si="132"/>
        <v>60.759300000000003</v>
      </c>
      <c r="Q197" s="21">
        <f t="shared" ca="1" si="132"/>
        <v>63.6490478574812</v>
      </c>
      <c r="R197" s="21">
        <f t="shared" ca="1" si="132"/>
        <v>66.521543290764228</v>
      </c>
      <c r="S197" s="21">
        <f t="shared" ca="1" si="132"/>
        <v>69.494401642076681</v>
      </c>
      <c r="T197" s="21">
        <f t="shared" ca="1" si="132"/>
        <v>72.552990809770208</v>
      </c>
      <c r="U197" s="21">
        <f t="shared" ca="1" si="132"/>
        <v>75.779592079083869</v>
      </c>
      <c r="V197" s="21">
        <f t="shared" ca="1" si="132"/>
        <v>79.081737268791372</v>
      </c>
      <c r="W197" s="21">
        <f t="shared" ca="1" si="132"/>
        <v>82.401101022899653</v>
      </c>
      <c r="X197" s="21">
        <f t="shared" ca="1" si="132"/>
        <v>85.74990558719378</v>
      </c>
      <c r="Y197" s="21">
        <f t="shared" ca="1" si="132"/>
        <v>89.116174063964593</v>
      </c>
      <c r="Z197" s="21">
        <f t="shared" ca="1" si="132"/>
        <v>92.525475070757864</v>
      </c>
    </row>
    <row r="198" spans="1:26" x14ac:dyDescent="0.25">
      <c r="A198" s="12" t="s">
        <v>1248</v>
      </c>
      <c r="B198" s="14" t="str">
        <f>$B$38</f>
        <v>From Fiscal Forecasts</v>
      </c>
      <c r="C198" s="15"/>
      <c r="D198" s="50">
        <f>'Fiscal Forecasts'!D$206</f>
        <v>6.6790000000000003</v>
      </c>
      <c r="E198" s="50">
        <f>'Fiscal Forecasts'!E$206</f>
        <v>7.6630000000000003</v>
      </c>
      <c r="F198" s="50">
        <f>'Fiscal Forecasts'!F$206</f>
        <v>7.968</v>
      </c>
      <c r="G198" s="50">
        <f>'Fiscal Forecasts'!G$206</f>
        <v>7.3879999999999999</v>
      </c>
      <c r="H198" s="50">
        <f>'Fiscal Forecasts'!H$206</f>
        <v>9.3290000000000006</v>
      </c>
      <c r="I198" s="50">
        <f>'Fiscal Forecasts'!I$206</f>
        <v>11.634</v>
      </c>
      <c r="J198" s="50">
        <f>'Fiscal Forecasts'!J$206</f>
        <v>12.760999999999999</v>
      </c>
      <c r="K198" s="50">
        <f>'Fiscal Forecasts'!K$206</f>
        <v>10.669</v>
      </c>
      <c r="L198" s="48">
        <f>'Fiscal Forecasts'!L$206</f>
        <v>11.167</v>
      </c>
      <c r="M198" s="48">
        <f>'Fiscal Forecasts'!M$206</f>
        <v>11.887</v>
      </c>
      <c r="N198" s="48">
        <f>'Fiscal Forecasts'!N$206</f>
        <v>12.044</v>
      </c>
      <c r="O198" s="48">
        <f>'Fiscal Forecasts'!O$206</f>
        <v>12.486000000000001</v>
      </c>
      <c r="P198" s="48">
        <f>'Fiscal Forecasts'!P$206</f>
        <v>13.964</v>
      </c>
      <c r="Q198" s="20">
        <f>P$198*Exogenous!AB$27/Exogenous!AA$27</f>
        <v>14.725401263097526</v>
      </c>
      <c r="R198" s="20">
        <f>Q$198*Exogenous!AC$27/Exogenous!AB$27</f>
        <v>15.544265309413285</v>
      </c>
      <c r="S198" s="20">
        <f>R$198*Exogenous!AD$27/Exogenous!AC$27</f>
        <v>16.360046622767598</v>
      </c>
      <c r="T198" s="20">
        <f>S$198*Exogenous!AE$27/Exogenous!AD$27</f>
        <v>17.145416164713321</v>
      </c>
      <c r="U198" s="20">
        <f>T$198*Exogenous!AF$27/Exogenous!AE$27</f>
        <v>17.979620806873328</v>
      </c>
      <c r="V198" s="20">
        <f>U$198*Exogenous!AG$27/Exogenous!AF$27</f>
        <v>18.823845570120163</v>
      </c>
      <c r="W198" s="20">
        <f>V$198*Exogenous!AH$27/Exogenous!AG$27</f>
        <v>19.701301164940279</v>
      </c>
      <c r="X198" s="20">
        <f>W$198*Exogenous!AI$27/Exogenous!AH$27</f>
        <v>20.616866136857279</v>
      </c>
      <c r="Y198" s="20">
        <f>X$198*Exogenous!AJ$27/Exogenous!AI$27</f>
        <v>21.528527879486475</v>
      </c>
      <c r="Z198" s="20">
        <f>Y$198*Exogenous!AK$27/Exogenous!AJ$27</f>
        <v>22.495239368343416</v>
      </c>
    </row>
    <row r="199" spans="1:26" x14ac:dyDescent="0.25">
      <c r="A199" s="12" t="s">
        <v>1249</v>
      </c>
      <c r="B199" s="14" t="str">
        <f>$B$38</f>
        <v>From Fiscal Forecasts</v>
      </c>
      <c r="C199" s="15"/>
      <c r="D199" s="50">
        <f>'Fiscal Forecasts'!D$40-SUM(D$197:D$198)</f>
        <v>-1.5169999999999959</v>
      </c>
      <c r="E199" s="50">
        <f>'Fiscal Forecasts'!E$40-SUM(E$197:E$198)</f>
        <v>-1.7910000000000039</v>
      </c>
      <c r="F199" s="50">
        <f>'Fiscal Forecasts'!F$40-SUM(F$197:F$198)</f>
        <v>-1.8350000000000009</v>
      </c>
      <c r="G199" s="50">
        <f>'Fiscal Forecasts'!G$40-SUM(G$197:G$198)</f>
        <v>-1.9450000000000003</v>
      </c>
      <c r="H199" s="50">
        <f>'Fiscal Forecasts'!H$40-SUM(H$197:H$198)</f>
        <v>-1.9980000000000047</v>
      </c>
      <c r="I199" s="50">
        <f>'Fiscal Forecasts'!I$40-SUM(I$197:I$198)</f>
        <v>-2.2269999999999968</v>
      </c>
      <c r="J199" s="50">
        <f>'Fiscal Forecasts'!J$40-SUM(J$197:J$198)</f>
        <v>-2.6289999999999978</v>
      </c>
      <c r="K199" s="50">
        <f>'Fiscal Forecasts'!K$40-SUM(K$197:K$198)</f>
        <v>-2.855000000000004</v>
      </c>
      <c r="L199" s="48">
        <f ca="1">'Fiscal Forecasts'!L$40-SUM(L$197:L$198)+IF(OFFSET(Assumptions!$B$57,0,$C$1)="Yes",Allocation!C$10,0)</f>
        <v>-3.3219999999999992</v>
      </c>
      <c r="M199" s="48">
        <f ca="1">'Fiscal Forecasts'!M$40-SUM(M$197:M$198)+IF(OFFSET(Assumptions!$B$57,0,$C$1)="Yes",Allocation!D$10,0)</f>
        <v>-3.3690000000000029</v>
      </c>
      <c r="N199" s="48">
        <f ca="1">'Fiscal Forecasts'!N$40-SUM(N$197:N$198)+IF(OFFSET(Assumptions!$B$57,0,$C$1)="Yes",Allocation!E$10,0)</f>
        <v>-3.445999999999998</v>
      </c>
      <c r="O199" s="48">
        <f ca="1">'Fiscal Forecasts'!O$40-SUM(O$197:O$198)+IF(OFFSET(Assumptions!$B$57,0,$C$1)="Yes",Allocation!F$10,0)</f>
        <v>-3.5880000000000098</v>
      </c>
      <c r="P199" s="48">
        <f ca="1">'Fiscal Forecasts'!P$40-SUM(P$197:P$198)+IF(OFFSET(Assumptions!$B$57,0,$C$1)="Yes",Allocation!G$10,0)</f>
        <v>-3.7310000000000034</v>
      </c>
      <c r="Q199" s="20">
        <f ca="1">P$199*Exogenous!AB$26/Exogenous!AA$26</f>
        <v>-4.0108250000000041</v>
      </c>
      <c r="R199" s="20">
        <f ca="1">Q$199*Exogenous!AC$26/Exogenous!AB$26</f>
        <v>-4.311636875000004</v>
      </c>
      <c r="S199" s="20">
        <f ca="1">R$199*Exogenous!AD$26/Exogenous!AC$26</f>
        <v>-4.6350096406250056</v>
      </c>
      <c r="T199" s="20">
        <f ca="1">S$199*Exogenous!AE$26/Exogenous!AD$26</f>
        <v>-4.9826353636718803</v>
      </c>
      <c r="U199" s="20">
        <f ca="1">T$199*Exogenous!AF$26/Exogenous!AE$26</f>
        <v>-5.3563330159472695</v>
      </c>
      <c r="V199" s="20">
        <f ca="1">U$199*Exogenous!AG$26/Exogenous!AF$26</f>
        <v>-5.5766768128014643</v>
      </c>
      <c r="W199" s="20">
        <f ca="1">V$199*Exogenous!AH$26/Exogenous!AG$26</f>
        <v>-5.7498651005711201</v>
      </c>
      <c r="X199" s="20">
        <f ca="1">W$199*Exogenous!AI$26/Exogenous!AH$26</f>
        <v>-5.9325885748665819</v>
      </c>
      <c r="Y199" s="20">
        <f ca="1">X$199*Exogenous!AJ$26/Exogenous!AI$26</f>
        <v>-6.1268778237144428</v>
      </c>
      <c r="Z199" s="20">
        <f ca="1">Y$199*Exogenous!AK$26/Exogenous!AJ$26</f>
        <v>-6.3238607117571286</v>
      </c>
    </row>
    <row r="200" spans="1:26" x14ac:dyDescent="0.25">
      <c r="A200" s="11" t="s">
        <v>1250</v>
      </c>
      <c r="C200" s="15"/>
      <c r="D200" s="94">
        <f t="shared" ref="D200:K200" si="133">SUM(D$197:D$199)</f>
        <v>33.902000000000001</v>
      </c>
      <c r="E200" s="94">
        <f t="shared" si="133"/>
        <v>49.9</v>
      </c>
      <c r="F200" s="94">
        <f t="shared" si="133"/>
        <v>42.892000000000003</v>
      </c>
      <c r="G200" s="94">
        <f t="shared" si="133"/>
        <v>48.302999999999997</v>
      </c>
      <c r="H200" s="94">
        <f t="shared" si="133"/>
        <v>48.844999999999999</v>
      </c>
      <c r="I200" s="94">
        <f t="shared" si="133"/>
        <v>53.996000000000002</v>
      </c>
      <c r="J200" s="94">
        <f t="shared" si="133"/>
        <v>57.634999999999998</v>
      </c>
      <c r="K200" s="94">
        <f t="shared" si="133"/>
        <v>58.037999999999997</v>
      </c>
      <c r="L200" s="95">
        <f t="shared" ref="L200:Z200" ca="1" si="134">SUM(L$197:L$199)</f>
        <v>61.168899999999994</v>
      </c>
      <c r="M200" s="95">
        <f t="shared" ca="1" si="134"/>
        <v>63.724400000000003</v>
      </c>
      <c r="N200" s="95">
        <f t="shared" ca="1" si="134"/>
        <v>65.200749999999999</v>
      </c>
      <c r="O200" s="95">
        <f t="shared" ca="1" si="134"/>
        <v>67.30265</v>
      </c>
      <c r="P200" s="95">
        <f t="shared" ca="1" si="134"/>
        <v>70.9923</v>
      </c>
      <c r="Q200" s="96">
        <f t="shared" ca="1" si="134"/>
        <v>74.36362412057872</v>
      </c>
      <c r="R200" s="96">
        <f t="shared" ca="1" si="134"/>
        <v>77.754171725177514</v>
      </c>
      <c r="S200" s="96">
        <f t="shared" ca="1" si="134"/>
        <v>81.219438624219279</v>
      </c>
      <c r="T200" s="96">
        <f t="shared" ca="1" si="134"/>
        <v>84.715771610811657</v>
      </c>
      <c r="U200" s="96">
        <f t="shared" ca="1" si="134"/>
        <v>88.402879870009926</v>
      </c>
      <c r="V200" s="96">
        <f t="shared" ca="1" si="134"/>
        <v>92.328906026110062</v>
      </c>
      <c r="W200" s="96">
        <f t="shared" ca="1" si="134"/>
        <v>96.352537087268814</v>
      </c>
      <c r="X200" s="96">
        <f t="shared" ca="1" si="134"/>
        <v>100.43418314918448</v>
      </c>
      <c r="Y200" s="96">
        <f t="shared" ca="1" si="134"/>
        <v>104.51782411973663</v>
      </c>
      <c r="Z200" s="96">
        <f t="shared" ca="1" si="134"/>
        <v>108.69685372734415</v>
      </c>
    </row>
    <row r="201" spans="1:26" x14ac:dyDescent="0.25">
      <c r="A201" s="57" t="s">
        <v>1251</v>
      </c>
      <c r="C201" s="15"/>
      <c r="D201" s="12"/>
      <c r="E201" s="12"/>
      <c r="F201" s="12"/>
      <c r="G201" s="12"/>
      <c r="H201" s="12"/>
      <c r="I201" s="12"/>
      <c r="J201" s="12"/>
      <c r="K201" s="12"/>
      <c r="L201" s="12"/>
      <c r="M201" s="12"/>
    </row>
    <row r="202" spans="1:26" x14ac:dyDescent="0.25">
      <c r="A202" s="12" t="s">
        <v>1252</v>
      </c>
      <c r="C202" s="15"/>
      <c r="D202" s="93">
        <f>'Economic Forecasts'!Q$18</f>
        <v>1205.79</v>
      </c>
      <c r="E202" s="93">
        <f>'Economic Forecasts'!R$18</f>
        <v>1241.4100000000001</v>
      </c>
      <c r="F202" s="93">
        <f>'Economic Forecasts'!S$18</f>
        <v>1287.81</v>
      </c>
      <c r="G202" s="93">
        <f>'Economic Forecasts'!T$18</f>
        <v>1360.1</v>
      </c>
      <c r="H202" s="93">
        <f>'Economic Forecasts'!U$18</f>
        <v>1462.81</v>
      </c>
      <c r="I202" s="93">
        <f>'Economic Forecasts'!V$18</f>
        <v>1556.16</v>
      </c>
      <c r="J202" s="93">
        <f>'Economic Forecasts'!W$18</f>
        <v>1622.73</v>
      </c>
      <c r="K202" s="93">
        <f>'Economic Forecasts'!X$18</f>
        <v>1681.06</v>
      </c>
      <c r="L202" s="73">
        <f>'Economic Forecasts'!Y$18</f>
        <v>1729.05</v>
      </c>
      <c r="M202" s="73">
        <f>'Economic Forecasts'!Z$18</f>
        <v>1777.06</v>
      </c>
      <c r="N202" s="73">
        <f>'Economic Forecasts'!AA$18</f>
        <v>1832.62</v>
      </c>
      <c r="O202" s="73">
        <f>'Economic Forecasts'!AB$18</f>
        <v>1893.64</v>
      </c>
      <c r="P202" s="73">
        <f>'Economic Forecasts'!AC$18</f>
        <v>1959.15</v>
      </c>
      <c r="Q202" s="72">
        <f t="shared" ref="Q202:Z202" ca="1" si="135">P$202*(1+Q$26)</f>
        <v>2020.1814407999998</v>
      </c>
      <c r="R202" s="72">
        <f t="shared" ca="1" si="135"/>
        <v>2082.1525266779804</v>
      </c>
      <c r="S202" s="72">
        <f t="shared" ca="1" si="135"/>
        <v>2145.0335329836553</v>
      </c>
      <c r="T202" s="72">
        <f t="shared" ca="1" si="135"/>
        <v>2209.8135456797618</v>
      </c>
      <c r="U202" s="72">
        <f t="shared" ca="1" si="135"/>
        <v>2276.5499147592905</v>
      </c>
      <c r="V202" s="72">
        <f t="shared" ca="1" si="135"/>
        <v>2345.3017221850209</v>
      </c>
      <c r="W202" s="72">
        <f t="shared" ca="1" si="135"/>
        <v>2416.1298341950087</v>
      </c>
      <c r="X202" s="72">
        <f t="shared" ca="1" si="135"/>
        <v>2489.0969551876979</v>
      </c>
      <c r="Y202" s="72">
        <f t="shared" ca="1" si="135"/>
        <v>2564.2676832343664</v>
      </c>
      <c r="Z202" s="72">
        <f t="shared" ca="1" si="135"/>
        <v>2641.7085672680441</v>
      </c>
    </row>
    <row r="203" spans="1:26" x14ac:dyDescent="0.25">
      <c r="A203" s="12" t="s">
        <v>788</v>
      </c>
      <c r="C203" s="15"/>
      <c r="D203" s="93">
        <f>'Economic Forecasts'!Q$19</f>
        <v>958.37</v>
      </c>
      <c r="E203" s="93">
        <f>'Economic Forecasts'!R$19</f>
        <v>987.95</v>
      </c>
      <c r="F203" s="93">
        <f>'Economic Forecasts'!S$19</f>
        <v>1018.53</v>
      </c>
      <c r="G203" s="93">
        <f>'Economic Forecasts'!T$19</f>
        <v>1066.06</v>
      </c>
      <c r="H203" s="93">
        <f>'Economic Forecasts'!U$19</f>
        <v>1132.5999999999999</v>
      </c>
      <c r="I203" s="93">
        <f>'Economic Forecasts'!V$19</f>
        <v>1192.4000000000001</v>
      </c>
      <c r="J203" s="93">
        <f>'Economic Forecasts'!W$19</f>
        <v>1255.05</v>
      </c>
      <c r="K203" s="93">
        <f>'Economic Forecasts'!X$19</f>
        <v>1291.58</v>
      </c>
      <c r="L203" s="73">
        <f>'Economic Forecasts'!Y$19</f>
        <v>1321.5</v>
      </c>
      <c r="M203" s="73">
        <f>'Economic Forecasts'!Z$19</f>
        <v>1352.79</v>
      </c>
      <c r="N203" s="73">
        <f>'Economic Forecasts'!AA$19</f>
        <v>1389.2</v>
      </c>
      <c r="O203" s="73">
        <f>'Economic Forecasts'!AB$19</f>
        <v>1428.97</v>
      </c>
      <c r="P203" s="73">
        <f>'Economic Forecasts'!AC$19</f>
        <v>1471.49</v>
      </c>
      <c r="Q203" s="72">
        <f ca="1">IF(Q$6&lt;OFFSET(Assumptions!$B$8,0,$C$1)+OFFSET(Assumptions!$B$34,0,$C$1),Q$202-ROUND(IF(ROUNDDOWN(52*Q$202,0)&gt;Exogenous!$C$61,(ROUNDDOWN(52*Q$202,0)-Exogenous!$C$61)*Exogenous!$B$62+Exogenous!$E$61,IF(ROUNDDOWN(52*Q$202,0)&gt;Exogenous!$C$60,(ROUNDDOWN(52*Q$202,0)-Exogenous!$C$60)*Exogenous!$B$61+Exogenous!$E$60,IF(ROUNDDOWN(52*Q$202,0)&gt;Exogenous!$C$59,(ROUNDDOWN(52*Q$202,0)-Exogenous!$C$59)*Exogenous!$B$60+Exogenous!$E$59,IF(ROUNDDOWN(52*Q$202,0)&gt;Exogenous!$C$58,(ROUNDDOWN(52*Q$202,0)-Exogenous!$C$58)*Exogenous!$B$59+Exogenous!$E$58,ROUNDDOWN(52*Q$202,0)*Exogenous!$B$58))))/52+Q$202*Exogenous!$B$63,2),ROUND(P$203*(1+Q$26),2))</f>
        <v>1517.33</v>
      </c>
      <c r="R203" s="72">
        <f ca="1">IF(R$6&lt;OFFSET(Assumptions!$B$8,0,$C$1)+OFFSET(Assumptions!$B$34,0,$C$1),R$202-ROUND(IF(ROUNDDOWN(52*R$202,0)&gt;Exogenous!$C$61,(ROUNDDOWN(52*R$202,0)-Exogenous!$C$61)*Exogenous!$B$62+Exogenous!$E$61,IF(ROUNDDOWN(52*R$202,0)&gt;Exogenous!$C$60,(ROUNDDOWN(52*R$202,0)-Exogenous!$C$60)*Exogenous!$B$61+Exogenous!$E$60,IF(ROUNDDOWN(52*R$202,0)&gt;Exogenous!$C$59,(ROUNDDOWN(52*R$202,0)-Exogenous!$C$59)*Exogenous!$B$60+Exogenous!$E$59,IF(ROUNDDOWN(52*R$202,0)&gt;Exogenous!$C$58,(ROUNDDOWN(52*R$202,0)-Exogenous!$C$58)*Exogenous!$B$59+Exogenous!$E$58,ROUNDDOWN(52*R$202,0)*Exogenous!$B$58))))/52+R$202*Exogenous!$B$63,2),ROUND(Q$203*(1+R$26),2))</f>
        <v>1563.88</v>
      </c>
      <c r="S203" s="72">
        <f ca="1">IF(S$6&lt;OFFSET(Assumptions!$B$8,0,$C$1)+OFFSET(Assumptions!$B$34,0,$C$1),S$202-ROUND(IF(ROUNDDOWN(52*S$202,0)&gt;Exogenous!$C$61,(ROUNDDOWN(52*S$202,0)-Exogenous!$C$61)*Exogenous!$B$62+Exogenous!$E$61,IF(ROUNDDOWN(52*S$202,0)&gt;Exogenous!$C$60,(ROUNDDOWN(52*S$202,0)-Exogenous!$C$60)*Exogenous!$B$61+Exogenous!$E$60,IF(ROUNDDOWN(52*S$202,0)&gt;Exogenous!$C$59,(ROUNDDOWN(52*S$202,0)-Exogenous!$C$59)*Exogenous!$B$60+Exogenous!$E$59,IF(ROUNDDOWN(52*S$202,0)&gt;Exogenous!$C$58,(ROUNDDOWN(52*S$202,0)-Exogenous!$C$58)*Exogenous!$B$59+Exogenous!$E$58,ROUNDDOWN(52*S$202,0)*Exogenous!$B$58))))/52+S$202*Exogenous!$B$63,2),ROUND(R$203*(1+S$26),2))</f>
        <v>1611.11</v>
      </c>
      <c r="T203" s="72">
        <f ca="1">IF(T$6&lt;OFFSET(Assumptions!$B$8,0,$C$1)+OFFSET(Assumptions!$B$34,0,$C$1),T$202-ROUND(IF(ROUNDDOWN(52*T$202,0)&gt;Exogenous!$C$61,(ROUNDDOWN(52*T$202,0)-Exogenous!$C$61)*Exogenous!$B$62+Exogenous!$E$61,IF(ROUNDDOWN(52*T$202,0)&gt;Exogenous!$C$60,(ROUNDDOWN(52*T$202,0)-Exogenous!$C$60)*Exogenous!$B$61+Exogenous!$E$60,IF(ROUNDDOWN(52*T$202,0)&gt;Exogenous!$C$59,(ROUNDDOWN(52*T$202,0)-Exogenous!$C$59)*Exogenous!$B$60+Exogenous!$E$59,IF(ROUNDDOWN(52*T$202,0)&gt;Exogenous!$C$58,(ROUNDDOWN(52*T$202,0)-Exogenous!$C$58)*Exogenous!$B$59+Exogenous!$E$58,ROUNDDOWN(52*T$202,0)*Exogenous!$B$58))))/52+T$202*Exogenous!$B$63,2),ROUND(S$203*(1+T$26),2))</f>
        <v>1659.77</v>
      </c>
      <c r="U203" s="72">
        <f ca="1">IF(U$6&lt;OFFSET(Assumptions!$B$8,0,$C$1)+OFFSET(Assumptions!$B$34,0,$C$1),U$202-ROUND(IF(ROUNDDOWN(52*U$202,0)&gt;Exogenous!$C$61,(ROUNDDOWN(52*U$202,0)-Exogenous!$C$61)*Exogenous!$B$62+Exogenous!$E$61,IF(ROUNDDOWN(52*U$202,0)&gt;Exogenous!$C$60,(ROUNDDOWN(52*U$202,0)-Exogenous!$C$60)*Exogenous!$B$61+Exogenous!$E$60,IF(ROUNDDOWN(52*U$202,0)&gt;Exogenous!$C$59,(ROUNDDOWN(52*U$202,0)-Exogenous!$C$59)*Exogenous!$B$60+Exogenous!$E$59,IF(ROUNDDOWN(52*U$202,0)&gt;Exogenous!$C$58,(ROUNDDOWN(52*U$202,0)-Exogenous!$C$58)*Exogenous!$B$59+Exogenous!$E$58,ROUNDDOWN(52*U$202,0)*Exogenous!$B$58))))/52+U$202*Exogenous!$B$63,2),ROUND(T$203*(1+U$26),2))</f>
        <v>1709.9</v>
      </c>
      <c r="V203" s="72">
        <f ca="1">IF(V$6&lt;OFFSET(Assumptions!$B$8,0,$C$1)+OFFSET(Assumptions!$B$34,0,$C$1),V$202-ROUND(IF(ROUNDDOWN(52*V$202,0)&gt;Exogenous!$C$61,(ROUNDDOWN(52*V$202,0)-Exogenous!$C$61)*Exogenous!$B$62+Exogenous!$E$61,IF(ROUNDDOWN(52*V$202,0)&gt;Exogenous!$C$60,(ROUNDDOWN(52*V$202,0)-Exogenous!$C$60)*Exogenous!$B$61+Exogenous!$E$60,IF(ROUNDDOWN(52*V$202,0)&gt;Exogenous!$C$59,(ROUNDDOWN(52*V$202,0)-Exogenous!$C$59)*Exogenous!$B$60+Exogenous!$E$59,IF(ROUNDDOWN(52*V$202,0)&gt;Exogenous!$C$58,(ROUNDDOWN(52*V$202,0)-Exogenous!$C$58)*Exogenous!$B$59+Exogenous!$E$58,ROUNDDOWN(52*V$202,0)*Exogenous!$B$58))))/52+V$202*Exogenous!$B$63,2),ROUND(U$203*(1+V$26),2))</f>
        <v>1761.54</v>
      </c>
      <c r="W203" s="72">
        <f ca="1">IF(W$6&lt;OFFSET(Assumptions!$B$8,0,$C$1)+OFFSET(Assumptions!$B$34,0,$C$1),W$202-ROUND(IF(ROUNDDOWN(52*W$202,0)&gt;Exogenous!$C$61,(ROUNDDOWN(52*W$202,0)-Exogenous!$C$61)*Exogenous!$B$62+Exogenous!$E$61,IF(ROUNDDOWN(52*W$202,0)&gt;Exogenous!$C$60,(ROUNDDOWN(52*W$202,0)-Exogenous!$C$60)*Exogenous!$B$61+Exogenous!$E$60,IF(ROUNDDOWN(52*W$202,0)&gt;Exogenous!$C$59,(ROUNDDOWN(52*W$202,0)-Exogenous!$C$59)*Exogenous!$B$60+Exogenous!$E$59,IF(ROUNDDOWN(52*W$202,0)&gt;Exogenous!$C$58,(ROUNDDOWN(52*W$202,0)-Exogenous!$C$58)*Exogenous!$B$59+Exogenous!$E$58,ROUNDDOWN(52*W$202,0)*Exogenous!$B$58))))/52+W$202*Exogenous!$B$63,2),ROUND(V$203*(1+W$26),2))</f>
        <v>1814.74</v>
      </c>
      <c r="X203" s="72">
        <f ca="1">IF(X$6&lt;OFFSET(Assumptions!$B$8,0,$C$1)+OFFSET(Assumptions!$B$34,0,$C$1),X$202-ROUND(IF(ROUNDDOWN(52*X$202,0)&gt;Exogenous!$C$61,(ROUNDDOWN(52*X$202,0)-Exogenous!$C$61)*Exogenous!$B$62+Exogenous!$E$61,IF(ROUNDDOWN(52*X$202,0)&gt;Exogenous!$C$60,(ROUNDDOWN(52*X$202,0)-Exogenous!$C$60)*Exogenous!$B$61+Exogenous!$E$60,IF(ROUNDDOWN(52*X$202,0)&gt;Exogenous!$C$59,(ROUNDDOWN(52*X$202,0)-Exogenous!$C$59)*Exogenous!$B$60+Exogenous!$E$59,IF(ROUNDDOWN(52*X$202,0)&gt;Exogenous!$C$58,(ROUNDDOWN(52*X$202,0)-Exogenous!$C$58)*Exogenous!$B$59+Exogenous!$E$58,ROUNDDOWN(52*X$202,0)*Exogenous!$B$58))))/52+X$202*Exogenous!$B$63,2),ROUND(W$203*(1+X$26),2))</f>
        <v>1869.55</v>
      </c>
      <c r="Y203" s="72">
        <f ca="1">IF(Y$6&lt;OFFSET(Assumptions!$B$8,0,$C$1)+OFFSET(Assumptions!$B$34,0,$C$1),Y$202-ROUND(IF(ROUNDDOWN(52*Y$202,0)&gt;Exogenous!$C$61,(ROUNDDOWN(52*Y$202,0)-Exogenous!$C$61)*Exogenous!$B$62+Exogenous!$E$61,IF(ROUNDDOWN(52*Y$202,0)&gt;Exogenous!$C$60,(ROUNDDOWN(52*Y$202,0)-Exogenous!$C$60)*Exogenous!$B$61+Exogenous!$E$60,IF(ROUNDDOWN(52*Y$202,0)&gt;Exogenous!$C$59,(ROUNDDOWN(52*Y$202,0)-Exogenous!$C$59)*Exogenous!$B$60+Exogenous!$E$59,IF(ROUNDDOWN(52*Y$202,0)&gt;Exogenous!$C$58,(ROUNDDOWN(52*Y$202,0)-Exogenous!$C$58)*Exogenous!$B$59+Exogenous!$E$58,ROUNDDOWN(52*Y$202,0)*Exogenous!$B$58))))/52+Y$202*Exogenous!$B$63,2),ROUND(X$203*(1+Y$26),2))</f>
        <v>1926.01</v>
      </c>
      <c r="Z203" s="72">
        <f ca="1">IF(Z$6&lt;OFFSET(Assumptions!$B$8,0,$C$1)+OFFSET(Assumptions!$B$34,0,$C$1),Z$202-ROUND(IF(ROUNDDOWN(52*Z$202,0)&gt;Exogenous!$C$61,(ROUNDDOWN(52*Z$202,0)-Exogenous!$C$61)*Exogenous!$B$62+Exogenous!$E$61,IF(ROUNDDOWN(52*Z$202,0)&gt;Exogenous!$C$60,(ROUNDDOWN(52*Z$202,0)-Exogenous!$C$60)*Exogenous!$B$61+Exogenous!$E$60,IF(ROUNDDOWN(52*Z$202,0)&gt;Exogenous!$C$59,(ROUNDDOWN(52*Z$202,0)-Exogenous!$C$59)*Exogenous!$B$60+Exogenous!$E$59,IF(ROUNDDOWN(52*Z$202,0)&gt;Exogenous!$C$58,(ROUNDDOWN(52*Z$202,0)-Exogenous!$C$58)*Exogenous!$B$59+Exogenous!$E$58,ROUNDDOWN(52*Z$202,0)*Exogenous!$B$58))))/52+Z$202*Exogenous!$B$63,2),ROUND(Y$203*(1+Z$26),2))</f>
        <v>1984.18</v>
      </c>
    </row>
    <row r="204" spans="1:26" x14ac:dyDescent="0.25">
      <c r="A204" s="12" t="s">
        <v>789</v>
      </c>
      <c r="C204" s="15"/>
      <c r="D204" s="93">
        <f>'Economic Forecasts'!Q$20</f>
        <v>360.42</v>
      </c>
      <c r="E204" s="93">
        <f>'Economic Forecasts'!R$20</f>
        <v>372.27</v>
      </c>
      <c r="F204" s="93">
        <f>'Economic Forecasts'!S$20</f>
        <v>384.46</v>
      </c>
      <c r="G204" s="93">
        <f>'Economic Forecasts'!T$20</f>
        <v>408.66</v>
      </c>
      <c r="H204" s="93">
        <f>'Economic Forecasts'!U$20</f>
        <v>439.79</v>
      </c>
      <c r="I204" s="93">
        <f>'Economic Forecasts'!V$20</f>
        <v>461.41</v>
      </c>
      <c r="J204" s="93">
        <f>'Economic Forecasts'!W$20</f>
        <v>476.47</v>
      </c>
      <c r="K204" s="93">
        <f>'Economic Forecasts'!X$20</f>
        <v>492.14</v>
      </c>
      <c r="L204" s="73">
        <f>'Economic Forecasts'!Y$20</f>
        <v>510.24</v>
      </c>
      <c r="M204" s="73">
        <f>'Economic Forecasts'!Z$20</f>
        <v>519.77</v>
      </c>
      <c r="N204" s="73">
        <f>'Economic Forecasts'!AA$20</f>
        <v>531.32000000000005</v>
      </c>
      <c r="O204" s="73">
        <f>'Economic Forecasts'!AB$20</f>
        <v>546.11</v>
      </c>
      <c r="P204" s="73">
        <f>'Economic Forecasts'!AC$20</f>
        <v>563.11</v>
      </c>
      <c r="Q204" s="72">
        <f ca="1">IF(Q$6&lt;OFFSET(Assumptions!$B$8,0,$C$1)+OFFSET(Assumptions!$B$34,0,$C$1),IF(52*Q$205&gt;Exogenous!$D$61,(52*Q$205-Exogenous!$C$61*Exogenous!$B$62+Exogenous!$E$61)/(1-Exogenous!$B$62),IF(52*Q$205&gt;Exogenous!$D$60,(52*Q$205-Exogenous!$C$60*Exogenous!$B$61+Exogenous!$E$60)/(1-Exogenous!$B$61),IF(52*Q$205&gt;Exogenous!$D$59,(52*Q$205-Exogenous!$C$59*Exogenous!$B$60+Exogenous!$E$59)/(1-Exogenous!$B$60),IF(52*Q$205&gt;Exogenous!$D$58,(52*Q$205-Exogenous!$C$58*Exogenous!$B$59+Exogenous!$E$58)/(1-Exogenous!$B$59),52*Q$205/(1-Exogenous!$B$58)))))/52,P$204*Q$205/P$205)</f>
        <v>580.65409044461387</v>
      </c>
      <c r="R204" s="72">
        <f ca="1">IF(R$6&lt;OFFSET(Assumptions!$B$8,0,$C$1)+OFFSET(Assumptions!$B$34,0,$C$1),IF(52*R$205&gt;Exogenous!$D$61,(52*R$205-Exogenous!$C$61*Exogenous!$B$62+Exogenous!$E$61)/(1-Exogenous!$B$62),IF(52*R$205&gt;Exogenous!$D$60,(52*R$205-Exogenous!$C$60*Exogenous!$B$61+Exogenous!$E$60)/(1-Exogenous!$B$61),IF(52*R$205&gt;Exogenous!$D$59,(52*R$205-Exogenous!$C$59*Exogenous!$B$60+Exogenous!$E$59)/(1-Exogenous!$B$60),IF(52*R$205&gt;Exogenous!$D$58,(52*R$205-Exogenous!$C$58*Exogenous!$B$59+Exogenous!$E$58)/(1-Exogenous!$B$59),52*R$205/(1-Exogenous!$B$58)))))/52,Q$204*R$205/Q$205)</f>
        <v>598.46791335076932</v>
      </c>
      <c r="S204" s="72">
        <f ca="1">IF(S$6&lt;OFFSET(Assumptions!$B$8,0,$C$1)+OFFSET(Assumptions!$B$34,0,$C$1),IF(52*S$205&gt;Exogenous!$D$61,(52*S$205-Exogenous!$C$61*Exogenous!$B$62+Exogenous!$E$61)/(1-Exogenous!$B$62),IF(52*S$205&gt;Exogenous!$D$60,(52*S$205-Exogenous!$C$60*Exogenous!$B$61+Exogenous!$E$60)/(1-Exogenous!$B$61),IF(52*S$205&gt;Exogenous!$D$59,(52*S$205-Exogenous!$C$59*Exogenous!$B$60+Exogenous!$E$59)/(1-Exogenous!$B$60),IF(52*S$205&gt;Exogenous!$D$58,(52*S$205-Exogenous!$C$58*Exogenous!$B$59+Exogenous!$E$58)/(1-Exogenous!$B$59),52*S$205/(1-Exogenous!$B$58)))))/52,R$204*S$205/R$205)</f>
        <v>616.54195966350221</v>
      </c>
      <c r="T204" s="72">
        <f ca="1">IF(T$6&lt;OFFSET(Assumptions!$B$8,0,$C$1)+OFFSET(Assumptions!$B$34,0,$C$1),IF(52*T$205&gt;Exogenous!$D$61,(52*T$205-Exogenous!$C$61*Exogenous!$B$62+Exogenous!$E$61)/(1-Exogenous!$B$62),IF(52*T$205&gt;Exogenous!$D$60,(52*T$205-Exogenous!$C$60*Exogenous!$B$61+Exogenous!$E$60)/(1-Exogenous!$B$61),IF(52*T$205&gt;Exogenous!$D$59,(52*T$205-Exogenous!$C$59*Exogenous!$B$60+Exogenous!$E$59)/(1-Exogenous!$B$60),IF(52*T$205&gt;Exogenous!$D$58,(52*T$205-Exogenous!$C$58*Exogenous!$B$59+Exogenous!$E$58)/(1-Exogenous!$B$59),52*T$205/(1-Exogenous!$B$58)))))/52,S$204*T$205/S$205)</f>
        <v>635.16324049300863</v>
      </c>
      <c r="U204" s="72">
        <f ca="1">IF(U$6&lt;OFFSET(Assumptions!$B$8,0,$C$1)+OFFSET(Assumptions!$B$34,0,$C$1),IF(52*U$205&gt;Exogenous!$D$61,(52*U$205-Exogenous!$C$61*Exogenous!$B$62+Exogenous!$E$61)/(1-Exogenous!$B$62),IF(52*U$205&gt;Exogenous!$D$60,(52*U$205-Exogenous!$C$60*Exogenous!$B$61+Exogenous!$E$60)/(1-Exogenous!$B$61),IF(52*U$205&gt;Exogenous!$D$59,(52*U$205-Exogenous!$C$59*Exogenous!$B$60+Exogenous!$E$59)/(1-Exogenous!$B$60),IF(52*U$205&gt;Exogenous!$D$58,(52*U$205-Exogenous!$C$58*Exogenous!$B$59+Exogenous!$E$58)/(1-Exogenous!$B$59),52*U$205/(1-Exogenous!$B$58)))))/52,T$204*U$205/T$205)</f>
        <v>654.34706309849889</v>
      </c>
      <c r="V204" s="72">
        <f ca="1">IF(V$6&lt;OFFSET(Assumptions!$B$8,0,$C$1)+OFFSET(Assumptions!$B$34,0,$C$1),IF(52*V$205&gt;Exogenous!$D$61,(52*V$205-Exogenous!$C$61*Exogenous!$B$62+Exogenous!$E$61)/(1-Exogenous!$B$62),IF(52*V$205&gt;Exogenous!$D$60,(52*V$205-Exogenous!$C$60*Exogenous!$B$61+Exogenous!$E$60)/(1-Exogenous!$B$61),IF(52*V$205&gt;Exogenous!$D$59,(52*V$205-Exogenous!$C$59*Exogenous!$B$60+Exogenous!$E$59)/(1-Exogenous!$B$60),IF(52*V$205&gt;Exogenous!$D$58,(52*V$205-Exogenous!$C$58*Exogenous!$B$59+Exogenous!$E$58)/(1-Exogenous!$B$59),52*V$205/(1-Exogenous!$B$58)))))/52,U$204*V$205/U$205)</f>
        <v>674.10873473918343</v>
      </c>
      <c r="W204" s="72">
        <f ca="1">IF(W$6&lt;OFFSET(Assumptions!$B$8,0,$C$1)+OFFSET(Assumptions!$B$34,0,$C$1),IF(52*W$205&gt;Exogenous!$D$61,(52*W$205-Exogenous!$C$61*Exogenous!$B$62+Exogenous!$E$61)/(1-Exogenous!$B$62),IF(52*W$205&gt;Exogenous!$D$60,(52*W$205-Exogenous!$C$60*Exogenous!$B$61+Exogenous!$E$60)/(1-Exogenous!$B$61),IF(52*W$205&gt;Exogenous!$D$59,(52*W$205-Exogenous!$C$59*Exogenous!$B$60+Exogenous!$E$59)/(1-Exogenous!$B$60),IF(52*W$205&gt;Exogenous!$D$58,(52*W$205-Exogenous!$C$58*Exogenous!$B$59+Exogenous!$E$58)/(1-Exogenous!$B$59),52*W$205/(1-Exogenous!$B$58)))))/52,V$204*W$205/V$205)</f>
        <v>694.46738948907523</v>
      </c>
      <c r="X204" s="72">
        <f ca="1">IF(X$6&lt;OFFSET(Assumptions!$B$8,0,$C$1)+OFFSET(Assumptions!$B$34,0,$C$1),IF(52*X$205&gt;Exogenous!$D$61,(52*X$205-Exogenous!$C$61*Exogenous!$B$62+Exogenous!$E$61)/(1-Exogenous!$B$62),IF(52*X$205&gt;Exogenous!$D$60,(52*X$205-Exogenous!$C$60*Exogenous!$B$61+Exogenous!$E$60)/(1-Exogenous!$B$61),IF(52*X$205&gt;Exogenous!$D$59,(52*X$205-Exogenous!$C$59*Exogenous!$B$60+Exogenous!$E$59)/(1-Exogenous!$B$60),IF(52*X$205&gt;Exogenous!$D$58,(52*X$205-Exogenous!$C$58*Exogenous!$B$59+Exogenous!$E$58)/(1-Exogenous!$B$59),52*X$205/(1-Exogenous!$B$58)))))/52,W$204*X$205/W$205)</f>
        <v>715.44216142218761</v>
      </c>
      <c r="Y204" s="72">
        <f ca="1">IF(Y$6&lt;OFFSET(Assumptions!$B$8,0,$C$1)+OFFSET(Assumptions!$B$34,0,$C$1),IF(52*Y$205&gt;Exogenous!$D$61,(52*Y$205-Exogenous!$C$61*Exogenous!$B$62+Exogenous!$E$61)/(1-Exogenous!$B$62),IF(52*Y$205&gt;Exogenous!$D$60,(52*Y$205-Exogenous!$C$60*Exogenous!$B$61+Exogenous!$E$60)/(1-Exogenous!$B$61),IF(52*Y$205&gt;Exogenous!$D$59,(52*Y$205-Exogenous!$C$59*Exogenous!$B$60+Exogenous!$E$59)/(1-Exogenous!$B$60),IF(52*Y$205&gt;Exogenous!$D$58,(52*Y$205-Exogenous!$C$58*Exogenous!$B$59+Exogenous!$E$58)/(1-Exogenous!$B$59),52*Y$205/(1-Exogenous!$B$58)))))/52,X$204*Y$205/X$205)</f>
        <v>737.04835779773077</v>
      </c>
      <c r="Z204" s="72">
        <f ca="1">IF(Z$6&lt;OFFSET(Assumptions!$B$8,0,$C$1)+OFFSET(Assumptions!$B$34,0,$C$1),IF(52*Z$205&gt;Exogenous!$D$61,(52*Z$205-Exogenous!$C$61*Exogenous!$B$62+Exogenous!$E$61)/(1-Exogenous!$B$62),IF(52*Z$205&gt;Exogenous!$D$60,(52*Z$205-Exogenous!$C$60*Exogenous!$B$61+Exogenous!$E$60)/(1-Exogenous!$B$61),IF(52*Z$205&gt;Exogenous!$D$59,(52*Z$205-Exogenous!$C$59*Exogenous!$B$60+Exogenous!$E$59)/(1-Exogenous!$B$60),IF(52*Z$205&gt;Exogenous!$D$58,(52*Z$205-Exogenous!$C$58*Exogenous!$B$59+Exogenous!$E$58)/(1-Exogenous!$B$59),52*Z$205/(1-Exogenous!$B$58)))))/52,Y$204*Z$205/Y$205)</f>
        <v>759.30893950452048</v>
      </c>
    </row>
    <row r="205" spans="1:26" x14ac:dyDescent="0.25">
      <c r="A205" s="12" t="s">
        <v>790</v>
      </c>
      <c r="C205" s="15"/>
      <c r="D205" s="93">
        <f>'Economic Forecasts'!Q$21</f>
        <v>316.27</v>
      </c>
      <c r="E205" s="93">
        <f>'Economic Forecasts'!R$21</f>
        <v>326.02</v>
      </c>
      <c r="F205" s="93">
        <f>'Economic Forecasts'!S$21</f>
        <v>336.11</v>
      </c>
      <c r="G205" s="93">
        <f>'Economic Forecasts'!T$21</f>
        <v>356.11</v>
      </c>
      <c r="H205" s="93">
        <f>'Economic Forecasts'!U$21</f>
        <v>381.82</v>
      </c>
      <c r="I205" s="93">
        <f>'Economic Forecasts'!V$21</f>
        <v>399.59</v>
      </c>
      <c r="J205" s="93">
        <f>'Economic Forecasts'!W$21</f>
        <v>414.17</v>
      </c>
      <c r="K205" s="93">
        <f>'Economic Forecasts'!X$21</f>
        <v>427.04</v>
      </c>
      <c r="L205" s="73">
        <f>'Economic Forecasts'!Y$21</f>
        <v>441.99</v>
      </c>
      <c r="M205" s="73">
        <f>'Economic Forecasts'!Z$21</f>
        <v>449.95</v>
      </c>
      <c r="N205" s="73">
        <f>'Economic Forecasts'!AA$21</f>
        <v>459.4</v>
      </c>
      <c r="O205" s="73">
        <f>'Economic Forecasts'!AB$21</f>
        <v>471.56</v>
      </c>
      <c r="P205" s="73">
        <f>'Economic Forecasts'!AC$21</f>
        <v>485.59</v>
      </c>
      <c r="Q205" s="72">
        <f ca="1">IF(2*P$205*(1+Q$29)&gt;OFFSET(Assumptions!$B$36,0,$C$1)*Q$203,OFFSET(Assumptions!$B$36,0,$C$1)*Q$203,IF(2*P$205*(1+Q$29)&lt;OFFSET(Assumptions!$B$35,0,$C$1)*Q$203,OFFSET(Assumptions!$B$35,0,$C$1)*Q$203,2*P$205*(1+Q$29)))/2</f>
        <v>500.71890000000002</v>
      </c>
      <c r="R205" s="72">
        <f ca="1">IF(2*Q$205*(1+R$29)&gt;OFFSET(Assumptions!$B$36,0,$C$1)*R$203,OFFSET(Assumptions!$B$36,0,$C$1)*R$203,IF(2*Q$205*(1+R$29)&lt;OFFSET(Assumptions!$B$35,0,$C$1)*R$203,OFFSET(Assumptions!$B$35,0,$C$1)*R$203,2*Q$205*(1+R$29)))/2</f>
        <v>516.08040000000005</v>
      </c>
      <c r="S205" s="72">
        <f ca="1">IF(2*R$205*(1+S$29)&gt;OFFSET(Assumptions!$B$36,0,$C$1)*S$203,OFFSET(Assumptions!$B$36,0,$C$1)*S$203,IF(2*R$205*(1+S$29)&lt;OFFSET(Assumptions!$B$35,0,$C$1)*S$203,OFFSET(Assumptions!$B$35,0,$C$1)*S$203,2*R$205*(1+S$29)))/2</f>
        <v>531.66629999999998</v>
      </c>
      <c r="T205" s="72">
        <f ca="1">IF(2*S$205*(1+T$29)&gt;OFFSET(Assumptions!$B$36,0,$C$1)*T$203,OFFSET(Assumptions!$B$36,0,$C$1)*T$203,IF(2*S$205*(1+T$29)&lt;OFFSET(Assumptions!$B$35,0,$C$1)*T$203,OFFSET(Assumptions!$B$35,0,$C$1)*T$203,2*S$205*(1+T$29)))/2</f>
        <v>547.72410000000002</v>
      </c>
      <c r="U205" s="72">
        <f ca="1">IF(2*T$205*(1+U$29)&gt;OFFSET(Assumptions!$B$36,0,$C$1)*U$203,OFFSET(Assumptions!$B$36,0,$C$1)*U$203,IF(2*T$205*(1+U$29)&lt;OFFSET(Assumptions!$B$35,0,$C$1)*U$203,OFFSET(Assumptions!$B$35,0,$C$1)*U$203,2*T$205*(1+U$29)))/2</f>
        <v>564.26700000000005</v>
      </c>
      <c r="V205" s="72">
        <f ca="1">IF(2*U$205*(1+V$29)&gt;OFFSET(Assumptions!$B$36,0,$C$1)*V$203,OFFSET(Assumptions!$B$36,0,$C$1)*V$203,IF(2*U$205*(1+V$29)&lt;OFFSET(Assumptions!$B$35,0,$C$1)*V$203,OFFSET(Assumptions!$B$35,0,$C$1)*V$203,2*U$205*(1+V$29)))/2</f>
        <v>581.30820000000006</v>
      </c>
      <c r="W205" s="72">
        <f ca="1">IF(2*V$205*(1+W$29)&gt;OFFSET(Assumptions!$B$36,0,$C$1)*W$203,OFFSET(Assumptions!$B$36,0,$C$1)*W$203,IF(2*V$205*(1+W$29)&lt;OFFSET(Assumptions!$B$35,0,$C$1)*W$203,OFFSET(Assumptions!$B$35,0,$C$1)*W$203,2*V$205*(1+W$29)))/2</f>
        <v>598.86419999999998</v>
      </c>
      <c r="X205" s="72">
        <f ca="1">IF(2*W$205*(1+X$29)&gt;OFFSET(Assumptions!$B$36,0,$C$1)*X$203,OFFSET(Assumptions!$B$36,0,$C$1)*X$203,IF(2*W$205*(1+X$29)&lt;OFFSET(Assumptions!$B$35,0,$C$1)*X$203,OFFSET(Assumptions!$B$35,0,$C$1)*X$203,2*W$205*(1+X$29)))/2</f>
        <v>616.95150000000001</v>
      </c>
      <c r="Y205" s="72">
        <f ca="1">IF(2*X$205*(1+Y$29)&gt;OFFSET(Assumptions!$B$36,0,$C$1)*Y$203,OFFSET(Assumptions!$B$36,0,$C$1)*Y$203,IF(2*X$205*(1+Y$29)&lt;OFFSET(Assumptions!$B$35,0,$C$1)*Y$203,OFFSET(Assumptions!$B$35,0,$C$1)*Y$203,2*X$205*(1+Y$29)))/2</f>
        <v>635.58330000000001</v>
      </c>
      <c r="Z205" s="72">
        <f ca="1">IF(2*Y$205*(1+Z$29)&gt;OFFSET(Assumptions!$B$36,0,$C$1)*Z$203,OFFSET(Assumptions!$B$36,0,$C$1)*Z$203,IF(2*Y$205*(1+Z$29)&lt;OFFSET(Assumptions!$B$35,0,$C$1)*Z$203,OFFSET(Assumptions!$B$35,0,$C$1)*Z$203,2*Y$205*(1+Z$29)))/2</f>
        <v>654.77940000000001</v>
      </c>
    </row>
    <row r="207" spans="1:26" x14ac:dyDescent="0.25">
      <c r="A207" s="11" t="s">
        <v>871</v>
      </c>
    </row>
    <row r="208" spans="1:26" x14ac:dyDescent="0.25">
      <c r="A208" s="11" t="s">
        <v>1253</v>
      </c>
      <c r="B208" s="14" t="str">
        <f>$B$38</f>
        <v>From Fiscal Forecasts</v>
      </c>
      <c r="D208" s="51">
        <f>'Fiscal Forecasts'!D$171</f>
        <v>7.7939999999999996</v>
      </c>
      <c r="E208" s="51">
        <f>'Fiscal Forecasts'!E$171</f>
        <v>8.48</v>
      </c>
      <c r="F208" s="51">
        <f>'Fiscal Forecasts'!F$171</f>
        <v>9.3580000000000005</v>
      </c>
      <c r="G208" s="51">
        <f>'Fiscal Forecasts'!G$171</f>
        <v>9.9450000000000003</v>
      </c>
      <c r="H208" s="51">
        <f>'Fiscal Forecasts'!H$171</f>
        <v>10.449</v>
      </c>
      <c r="I208" s="51">
        <f>'Fiscal Forecasts'!I$171</f>
        <v>11.26</v>
      </c>
      <c r="J208" s="51">
        <f>'Fiscal Forecasts'!J$171</f>
        <v>11.185</v>
      </c>
      <c r="K208" s="51">
        <f>'Fiscal Forecasts'!K$171</f>
        <v>11.682</v>
      </c>
      <c r="L208" s="47">
        <f>'Fiscal Forecasts'!L$171</f>
        <v>12.255000000000001</v>
      </c>
      <c r="M208" s="47">
        <f>'Fiscal Forecasts'!M$171</f>
        <v>12.164999999999999</v>
      </c>
      <c r="N208" s="47">
        <f>'Fiscal Forecasts'!N$171</f>
        <v>12.157999999999999</v>
      </c>
      <c r="O208" s="47">
        <f>'Fiscal Forecasts'!O$171</f>
        <v>12.071</v>
      </c>
      <c r="P208" s="47">
        <f>'Fiscal Forecasts'!P$171</f>
        <v>12.128</v>
      </c>
      <c r="Q208" s="21">
        <f ca="1">SUM(Q$252,IF(Q$6=OFFSET(Assumptions!$B$8,0,$C$1),AVERAGE((N$208-N$252)/SUM(N$208,N$215,N$223,-N$252,-N$324),(O$208-O$252)/SUM(O$208,O$215,O$223,-O$252,-O$324),(P$208-P$252)/SUM(P$208,P$215,P$223,-P$252,-P$324)),(P$208-P$252)/SUM(P$208,P$215,P$223,-P$252,-P$324))*(Q$323-Q$256-Q$264))</f>
        <v>14.493526866713411</v>
      </c>
      <c r="R208" s="21">
        <f ca="1">SUM(R$252,IF(R$6=OFFSET(Assumptions!$B$8,0,$C$1),AVERAGE((O$208-O$252)/SUM(O$208,O$215,O$223,-O$252,-O$324),(P$208-P$252)/SUM(P$208,P$215,P$223,-P$252,-P$324),(Q$208-Q$252)/SUM(Q$208,Q$215,Q$223,-Q$252,-Q$324)),(Q$208-Q$252)/SUM(Q$208,Q$215,Q$223,-Q$252,-Q$324))*(R$323-R$256-R$264))</f>
        <v>15.533064221964711</v>
      </c>
      <c r="S208" s="21">
        <f ca="1">SUM(S$252,IF(S$6=OFFSET(Assumptions!$B$8,0,$C$1),AVERAGE((P$208-P$252)/SUM(P$208,P$215,P$223,-P$252,-P$324),(Q$208-Q$252)/SUM(Q$208,Q$215,Q$223,-Q$252,-Q$324),(R$208-R$252)/SUM(R$208,R$215,R$223,-R$252,-R$324)),(R$208-R$252)/SUM(R$208,R$215,R$223,-R$252,-R$324))*(S$323-S$256-S$264))</f>
        <v>16.35088204875543</v>
      </c>
      <c r="T208" s="21">
        <f ca="1">SUM(T$252,IF(T$6=OFFSET(Assumptions!$B$8,0,$C$1),AVERAGE((Q$208-Q$252)/SUM(Q$208,Q$215,Q$223,-Q$252,-Q$324),(R$208-R$252)/SUM(R$208,R$215,R$223,-R$252,-R$324),(S$208-S$252)/SUM(S$208,S$215,S$223,-S$252,-S$324)),(S$208-S$252)/SUM(S$208,S$215,S$223,-S$252,-S$324))*(T$323-T$256-T$264))</f>
        <v>17.065098237193741</v>
      </c>
      <c r="U208" s="21">
        <f ca="1">SUM(U$252,IF(U$6=OFFSET(Assumptions!$B$8,0,$C$1),AVERAGE((R$208-R$252)/SUM(R$208,R$215,R$223,-R$252,-R$324),(S$208-S$252)/SUM(S$208,S$215,S$223,-S$252,-S$324),(T$208-T$252)/SUM(T$208,T$215,T$223,-T$252,-T$324)),(T$208-T$252)/SUM(T$208,T$215,T$223,-T$252,-T$324))*(U$323-U$256-U$264))</f>
        <v>17.759889327715548</v>
      </c>
      <c r="V208" s="21">
        <f ca="1">SUM(V$252,IF(V$6=OFFSET(Assumptions!$B$8,0,$C$1),AVERAGE((S$208-S$252)/SUM(S$208,S$215,S$223,-S$252,-S$324),(T$208-T$252)/SUM(T$208,T$215,T$223,-T$252,-T$324),(U$208-U$252)/SUM(U$208,U$215,U$223,-U$252,-U$324)),(U$208-U$252)/SUM(U$208,U$215,U$223,-U$252,-U$324))*(V$323-V$256-V$264))</f>
        <v>18.478406928233966</v>
      </c>
      <c r="W208" s="21">
        <f ca="1">SUM(W$252,IF(W$6=OFFSET(Assumptions!$B$8,0,$C$1),AVERAGE((T$208-T$252)/SUM(T$208,T$215,T$223,-T$252,-T$324),(U$208-U$252)/SUM(U$208,U$215,U$223,-U$252,-U$324),(V$208-V$252)/SUM(V$208,V$215,V$223,-V$252,-V$324)),(V$208-V$252)/SUM(V$208,V$215,V$223,-V$252,-V$324))*(W$323-W$256-W$264))</f>
        <v>19.216891413577077</v>
      </c>
      <c r="X208" s="21">
        <f ca="1">SUM(X$252,IF(X$6=OFFSET(Assumptions!$B$8,0,$C$1),AVERAGE((U$208-U$252)/SUM(U$208,U$215,U$223,-U$252,-U$324),(V$208-V$252)/SUM(V$208,V$215,V$223,-V$252,-V$324),(W$208-W$252)/SUM(W$208,W$215,W$223,-W$252,-W$324)),(W$208-W$252)/SUM(W$208,W$215,W$223,-W$252,-W$324))*(X$323-X$256-X$264))</f>
        <v>19.976702212931858</v>
      </c>
      <c r="Y208" s="21">
        <f ca="1">SUM(Y$252,IF(Y$6=OFFSET(Assumptions!$B$8,0,$C$1),AVERAGE((V$208-V$252)/SUM(V$208,V$215,V$223,-V$252,-V$324),(W$208-W$252)/SUM(W$208,W$215,W$223,-W$252,-W$324),(X$208-X$252)/SUM(X$208,X$215,X$223,-X$252,-X$324)),(X$208-X$252)/SUM(X$208,X$215,X$223,-X$252,-X$324))*(Y$323-Y$256-Y$264))</f>
        <v>20.762073049273393</v>
      </c>
      <c r="Z208" s="21">
        <f ca="1">SUM(Z$252,IF(Z$6=OFFSET(Assumptions!$B$8,0,$C$1),AVERAGE((W$208-W$252)/SUM(W$208,W$215,W$223,-W$252,-W$324),(X$208-X$252)/SUM(X$208,X$215,X$223,-X$252,-X$324),(Y$208-Y$252)/SUM(Y$208,Y$215,Y$223,-Y$252,-Y$324)),(Y$208-Y$252)/SUM(Y$208,Y$215,Y$223,-Y$252,-Y$324))*(Z$323-Z$256-Z$264))</f>
        <v>21.572957656219472</v>
      </c>
    </row>
    <row r="209" spans="1:26" x14ac:dyDescent="0.25">
      <c r="A209" s="12" t="s">
        <v>1020</v>
      </c>
      <c r="B209" s="14" t="str">
        <f>$B$38</f>
        <v>From Fiscal Forecasts</v>
      </c>
      <c r="D209" s="50">
        <f>'Fiscal Forecasts'!D$255</f>
        <v>15.085000000000001</v>
      </c>
      <c r="E209" s="50">
        <f>'Fiscal Forecasts'!E$255</f>
        <v>16.317</v>
      </c>
      <c r="F209" s="50">
        <f>'Fiscal Forecasts'!F$255</f>
        <v>17.928999999999998</v>
      </c>
      <c r="G209" s="50">
        <f>'Fiscal Forecasts'!G$255</f>
        <v>19.896999999999998</v>
      </c>
      <c r="H209" s="50">
        <f>'Fiscal Forecasts'!H$255</f>
        <v>22.326000000000001</v>
      </c>
      <c r="I209" s="50">
        <f>'Fiscal Forecasts'!I$255</f>
        <v>24.337</v>
      </c>
      <c r="J209" s="50">
        <f>'Fiscal Forecasts'!J$255</f>
        <v>23.951000000000001</v>
      </c>
      <c r="K209" s="50">
        <f>'Fiscal Forecasts'!K$255</f>
        <v>25.045000000000002</v>
      </c>
      <c r="L209" s="48">
        <f>'Fiscal Forecasts'!L$255</f>
        <v>25.934999999999999</v>
      </c>
      <c r="M209" s="48">
        <f>'Fiscal Forecasts'!M$255</f>
        <v>25.988</v>
      </c>
      <c r="N209" s="48">
        <f>'Fiscal Forecasts'!N$255</f>
        <v>25.992999999999999</v>
      </c>
      <c r="O209" s="48">
        <f>'Fiscal Forecasts'!O$255</f>
        <v>26.021999999999998</v>
      </c>
      <c r="P209" s="48">
        <f>'Fiscal Forecasts'!P$255</f>
        <v>26.100999999999999</v>
      </c>
      <c r="Q209" s="20">
        <f ca="1">SUM(Q$253-Q$252,IF(Q$6=OFFSET(Assumptions!$B$8,0,$C$1),AVERAGE(SUM(N$209,-(N$253-N$252))/SUM(N$209,-(N$253-N$252),N$216,N$224),(O$209-(O$253-O$252))/SUM(O$209,-(O$253-O$252),O$216,O$224),(P$209-(P$253-P$252))/SUM(P$209,-(P$253-P$252),P$216,P$224)),(P$209-(P$253-P$252))/SUM(P$209,-(P$253-P$252),P$216,P$224))*SUM(Q$198-Q$239,Q$257,Q$266,Q$284,Q$326,-(Q$253-Q$252)))</f>
        <v>27.547659153290081</v>
      </c>
      <c r="R209" s="20">
        <f ca="1">SUM(R$253-R$252,IF(R$6=OFFSET(Assumptions!$B$8,0,$C$1),AVERAGE(SUM(O$209,-(O$253-O$252))/SUM(O$209,-(O$253-O$252),O$216,O$224),(P$209-(P$253-P$252))/SUM(P$209,-(P$253-P$252),P$216,P$224),(Q$209-(Q$253-Q$252))/SUM(Q$209,-(Q$253-Q$252),Q$216,Q$224)),(Q$209-(Q$253-Q$252))/SUM(Q$209,-(Q$253-Q$252),Q$216,Q$224))*SUM(R$198-R$239,R$257,R$266,R$284,R$326,-(R$253-R$252)))</f>
        <v>28.998109278610897</v>
      </c>
      <c r="S209" s="20">
        <f ca="1">SUM(S$253-S$252,IF(S$6=OFFSET(Assumptions!$B$8,0,$C$1),AVERAGE(SUM(P$209,-(P$253-P$252))/SUM(P$209,-(P$253-P$252),P$216,P$224),(Q$209-(Q$253-Q$252))/SUM(Q$209,-(Q$253-Q$252),Q$216,Q$224),(R$209-(R$253-R$252))/SUM(R$209,-(R$253-R$252),R$216,R$224)),(R$209-(R$253-R$252))/SUM(R$209,-(R$253-R$252),R$216,R$224))*SUM(S$198-S$239,S$257,S$266,S$284,S$326,-(S$253-S$252)))</f>
        <v>30.367662244296319</v>
      </c>
      <c r="T209" s="20">
        <f ca="1">SUM(T$253-T$252,IF(T$6=OFFSET(Assumptions!$B$8,0,$C$1),AVERAGE(SUM(Q$209,-(Q$253-Q$252))/SUM(Q$209,-(Q$253-Q$252),Q$216,Q$224),(R$209-(R$253-R$252))/SUM(R$209,-(R$253-R$252),R$216,R$224),(S$209-(S$253-S$252))/SUM(S$209,-(S$253-S$252),S$216,S$224)),(S$209-(S$253-S$252))/SUM(S$209,-(S$253-S$252),S$216,S$224))*SUM(T$198-T$239,T$257,T$266,T$284,T$326,-(T$253-T$252)))</f>
        <v>31.864920395680219</v>
      </c>
      <c r="U209" s="20">
        <f ca="1">SUM(U$253-U$252,IF(U$6=OFFSET(Assumptions!$B$8,0,$C$1),AVERAGE(SUM(R$209,-(R$253-R$252))/SUM(R$209,-(R$253-R$252),R$216,R$224),(S$209-(S$253-S$252))/SUM(S$209,-(S$253-S$252),S$216,S$224),(T$209-(T$253-T$252))/SUM(T$209,-(T$253-T$252),T$216,T$224)),(T$209-(T$253-T$252))/SUM(T$209,-(T$253-T$252),T$216,T$224))*SUM(U$198-U$239,U$257,U$266,U$284,U$326,-(U$253-U$252)))</f>
        <v>33.462601911386976</v>
      </c>
      <c r="V209" s="20">
        <f ca="1">SUM(V$253-V$252,IF(V$6=OFFSET(Assumptions!$B$8,0,$C$1),AVERAGE(SUM(S$209,-(S$253-S$252))/SUM(S$209,-(S$253-S$252),S$216,S$224),(T$209-(T$253-T$252))/SUM(T$209,-(T$253-T$252),T$216,T$224),(U$209-(U$253-U$252))/SUM(U$209,-(U$253-U$252),U$216,U$224)),(U$209-(U$253-U$252))/SUM(U$209,-(U$253-U$252),U$216,U$224))*SUM(V$198-V$239,V$257,V$266,V$284,V$326,-(V$253-V$252)))</f>
        <v>35.120875655793107</v>
      </c>
      <c r="W209" s="20">
        <f ca="1">SUM(W$253-W$252,IF(W$6=OFFSET(Assumptions!$B$8,0,$C$1),AVERAGE(SUM(T$209,-(T$253-T$252))/SUM(T$209,-(T$253-T$252),T$216,T$224),(U$209-(U$253-U$252))/SUM(U$209,-(U$253-U$252),U$216,U$224),(V$209-(V$253-V$252))/SUM(V$209,-(V$253-V$252),V$216,V$224)),(V$209-(V$253-V$252))/SUM(V$209,-(V$253-V$252),V$216,V$224))*SUM(W$198-W$239,W$257,W$266,W$284,W$326,-(W$253-W$252)))</f>
        <v>36.843653906048701</v>
      </c>
      <c r="X209" s="20">
        <f ca="1">SUM(X$253-X$252,IF(X$6=OFFSET(Assumptions!$B$8,0,$C$1),AVERAGE(SUM(U$209,-(U$253-U$252))/SUM(U$209,-(U$253-U$252),U$216,U$224),(V$209-(V$253-V$252))/SUM(V$209,-(V$253-V$252),V$216,V$224),(W$209-(W$253-W$252))/SUM(W$209,-(W$253-W$252),W$216,W$224)),(W$209-(W$253-W$252))/SUM(W$209,-(W$253-W$252),W$216,W$224))*SUM(X$198-X$239,X$257,X$266,X$284,X$326,-(X$253-X$252)))</f>
        <v>38.644649804955421</v>
      </c>
      <c r="Y209" s="20">
        <f ca="1">SUM(Y$253-Y$252,IF(Y$6=OFFSET(Assumptions!$B$8,0,$C$1),AVERAGE(SUM(V$209,-(V$253-V$252))/SUM(V$209,-(V$253-V$252),V$216,V$224),(W$209-(W$253-W$252))/SUM(W$209,-(W$253-W$252),W$216,W$224),(X$209-(X$253-X$252))/SUM(X$209,-(X$253-X$252),X$216,X$224)),(X$209-(X$253-X$252))/SUM(X$209,-(X$253-X$252),X$216,X$224))*SUM(Y$198-Y$239,Y$257,Y$266,Y$284,Y$326,-(Y$253-Y$252)))</f>
        <v>40.52005925451364</v>
      </c>
      <c r="Z209" s="20">
        <f ca="1">SUM(Z$253-Z$252,IF(Z$6=OFFSET(Assumptions!$B$8,0,$C$1),AVERAGE(SUM(W$209,-(W$253-W$252))/SUM(W$209,-(W$253-W$252),W$216,W$224),(X$209-(X$253-X$252))/SUM(X$209,-(X$253-X$252),X$216,X$224),(Y$209-(Y$253-Y$252))/SUM(Y$209,-(Y$253-Y$252),Y$216,Y$224)),(Y$209-(Y$253-Y$252))/SUM(Y$209,-(Y$253-Y$252),Y$216,Y$224))*SUM(Z$198-Z$239,Z$257,Z$266,Z$284,Z$326,-(Z$253-Z$252)))</f>
        <v>42.491122307098507</v>
      </c>
    </row>
    <row r="210" spans="1:26" x14ac:dyDescent="0.25">
      <c r="A210" s="12" t="s">
        <v>1227</v>
      </c>
      <c r="B210" s="14" t="str">
        <f>$B$38</f>
        <v>From Fiscal Forecasts</v>
      </c>
      <c r="D210" s="50">
        <f>'Fiscal Forecasts'!D$256</f>
        <v>3.0960000000000001</v>
      </c>
      <c r="E210" s="50">
        <f>'Fiscal Forecasts'!E$256</f>
        <v>3.0230000000000001</v>
      </c>
      <c r="F210" s="50">
        <f>'Fiscal Forecasts'!F$256</f>
        <v>2.5819999999999999</v>
      </c>
      <c r="G210" s="50">
        <f>'Fiscal Forecasts'!G$256</f>
        <v>2.8610000000000002</v>
      </c>
      <c r="H210" s="50">
        <f>'Fiscal Forecasts'!H$256</f>
        <v>3.33</v>
      </c>
      <c r="I210" s="50">
        <f>'Fiscal Forecasts'!I$256</f>
        <v>3.5459999999999998</v>
      </c>
      <c r="J210" s="50">
        <f>'Fiscal Forecasts'!J$256</f>
        <v>3.6970000000000001</v>
      </c>
      <c r="K210" s="50">
        <f>'Fiscal Forecasts'!K$256</f>
        <v>3.78</v>
      </c>
      <c r="L210" s="48">
        <f>'Fiscal Forecasts'!L$256</f>
        <v>3.78</v>
      </c>
      <c r="M210" s="48">
        <f>'Fiscal Forecasts'!M$256</f>
        <v>3.919</v>
      </c>
      <c r="N210" s="48">
        <f>'Fiscal Forecasts'!N$256</f>
        <v>3.9769999999999999</v>
      </c>
      <c r="O210" s="48">
        <f>'Fiscal Forecasts'!O$256</f>
        <v>4.069</v>
      </c>
      <c r="P210" s="48">
        <f>'Fiscal Forecasts'!P$256</f>
        <v>4.1559999999999997</v>
      </c>
      <c r="Q210" s="20">
        <f ca="1">IF(Q$6=OFFSET(Assumptions!$B$8,0,$C$1),AVERAGE(N$210/SUM(N$210,N$217,N$225),O$210/SUM(O$210,O$217,O$225),P$210/SUM(P$210,P$217,P$225)),P$210/SUM(P$210,P$217,P$225))*SUM(Q$285,Q$327-Q$240)</f>
        <v>4.3100930061910061</v>
      </c>
      <c r="R210" s="20">
        <f ca="1">IF(R$6=OFFSET(Assumptions!$B$8,0,$C$1),AVERAGE(O$210/SUM(O$210,O$217,O$225),P$210/SUM(P$210,P$217,P$225),Q$210/SUM(Q$210,Q$217,Q$225)),Q$210/SUM(Q$210,Q$217,Q$225))*SUM(R$285,R$327-R$240)</f>
        <v>4.4715203113486384</v>
      </c>
      <c r="S210" s="20">
        <f ca="1">IF(S$6=OFFSET(Assumptions!$B$8,0,$C$1),AVERAGE(P$210/SUM(P$210,P$217,P$225),Q$210/SUM(Q$210,Q$217,Q$225),R$210/SUM(R$210,R$217,R$225)),R$210/SUM(R$210,R$217,R$225))*SUM(S$285,S$327-S$240)</f>
        <v>4.6368891345414802</v>
      </c>
      <c r="T210" s="20">
        <f ca="1">IF(T$6=OFFSET(Assumptions!$B$8,0,$C$1),AVERAGE(Q$210/SUM(Q$210,Q$217,Q$225),R$210/SUM(R$210,R$217,R$225),S$210/SUM(S$210,S$217,S$225)),S$210/SUM(S$210,S$217,S$225))*SUM(T$285,T$327-T$240)</f>
        <v>4.8052988052163998</v>
      </c>
      <c r="U210" s="20">
        <f ca="1">IF(U$6=OFFSET(Assumptions!$B$8,0,$C$1),AVERAGE(R$210/SUM(R$210,R$217,R$225),S$210/SUM(S$210,S$217,S$225),T$210/SUM(T$210,T$217,T$225)),T$210/SUM(T$210,T$217,T$225))*SUM(U$285,U$327-U$240)</f>
        <v>4.9791277611662768</v>
      </c>
      <c r="V210" s="20">
        <f ca="1">IF(V$6=OFFSET(Assumptions!$B$8,0,$C$1),AVERAGE(S$210/SUM(S$210,S$217,S$225),T$210/SUM(T$210,T$217,T$225),U$210/SUM(U$210,U$217,U$225)),U$210/SUM(U$210,U$217,U$225))*SUM(V$285,V$327-V$240)</f>
        <v>5.1577713922250954</v>
      </c>
      <c r="W210" s="20">
        <f ca="1">IF(W$6=OFFSET(Assumptions!$B$8,0,$C$1),AVERAGE(T$210/SUM(T$210,T$217,T$225),U$210/SUM(U$210,U$217,U$225),V$210/SUM(V$210,V$217,V$225)),V$210/SUM(V$210,V$217,V$225))*SUM(W$285,W$327-W$240)</f>
        <v>5.3387677771021886</v>
      </c>
      <c r="X210" s="20">
        <f ca="1">IF(X$6=OFFSET(Assumptions!$B$8,0,$C$1),AVERAGE(U$210/SUM(U$210,U$217,U$225),V$210/SUM(V$210,V$217,V$225),W$210/SUM(W$210,W$217,W$225)),W$210/SUM(W$210,W$217,W$225))*SUM(X$285,X$327-X$240)</f>
        <v>5.5243790951551919</v>
      </c>
      <c r="Y210" s="20">
        <f ca="1">IF(Y$6=OFFSET(Assumptions!$B$8,0,$C$1),AVERAGE(V$210/SUM(V$210,V$217,V$225),W$210/SUM(W$210,W$217,W$225),X$210/SUM(X$210,X$217,X$225)),X$210/SUM(X$210,X$217,X$225))*SUM(Y$285,Y$327-Y$240)</f>
        <v>5.7159346085901293</v>
      </c>
      <c r="Z210" s="20">
        <f ca="1">IF(Z$6=OFFSET(Assumptions!$B$8,0,$C$1),AVERAGE(W$210/SUM(W$210,W$217,W$225),X$210/SUM(X$210,X$217,X$225),Y$210/SUM(Y$210,Y$217,Y$225)),Y$210/SUM(Y$210,Y$217,Y$225))*SUM(Z$285,Z$327-Z$240)</f>
        <v>5.9128452821928761</v>
      </c>
    </row>
    <row r="211" spans="1:26" x14ac:dyDescent="0.25">
      <c r="A211" s="12" t="s">
        <v>1228</v>
      </c>
      <c r="B211" s="14" t="str">
        <f>$B$38</f>
        <v>From Fiscal Forecasts</v>
      </c>
      <c r="D211" s="50">
        <f>'Fiscal Forecasts'!D$257</f>
        <v>-4.2000000000000003E-2</v>
      </c>
      <c r="E211" s="50">
        <f>'Fiscal Forecasts'!E$257</f>
        <v>-4.4999999999999998E-2</v>
      </c>
      <c r="F211" s="50">
        <f>'Fiscal Forecasts'!F$257</f>
        <v>-5.1999999999999998E-2</v>
      </c>
      <c r="G211" s="50">
        <f>'Fiscal Forecasts'!G$257</f>
        <v>-5.5E-2</v>
      </c>
      <c r="H211" s="50">
        <f>'Fiscal Forecasts'!H$257</f>
        <v>-5.2999999999999999E-2</v>
      </c>
      <c r="I211" s="50">
        <f>'Fiscal Forecasts'!I$257</f>
        <v>-0.06</v>
      </c>
      <c r="J211" s="50">
        <f>'Fiscal Forecasts'!J$257</f>
        <v>-6.2E-2</v>
      </c>
      <c r="K211" s="50">
        <f>'Fiscal Forecasts'!K$257</f>
        <v>-7.3999999999999996E-2</v>
      </c>
      <c r="L211" s="48">
        <f>'Fiscal Forecasts'!L$257</f>
        <v>-5.7000000000000002E-2</v>
      </c>
      <c r="M211" s="48">
        <f>'Fiscal Forecasts'!M$257</f>
        <v>-5.8000000000000003E-2</v>
      </c>
      <c r="N211" s="48">
        <f>'Fiscal Forecasts'!N$257</f>
        <v>-0.06</v>
      </c>
      <c r="O211" s="48">
        <f>'Fiscal Forecasts'!O$257</f>
        <v>-0.06</v>
      </c>
      <c r="P211" s="48">
        <f>'Fiscal Forecasts'!P$257</f>
        <v>-6.0999999999999999E-2</v>
      </c>
      <c r="Q211" s="20">
        <f ca="1">IF(Q$6=OFFSET(Assumptions!$B$8,0,$C$1),AVERAGE(N$211/SUM(N$211,N$226),O$211/SUM(O$211,O$226),P$211/SUM(P$211,P$226)),P$211/SUM(P$211,P$226))*SUM(Q$199,Q$258,Q$267,Q$286,Q$328)</f>
        <v>-6.6065867485160371E-2</v>
      </c>
      <c r="R211" s="20">
        <f ca="1">IF(R$6=OFFSET(Assumptions!$B$8,0,$C$1),AVERAGE(O$211/SUM(O$211,O$226),P$211/SUM(P$211,P$226),Q$211/SUM(Q$211,Q$226)),Q$211/SUM(Q$211,Q$226))*SUM(R$199,R$258,R$267,R$286,R$328)</f>
        <v>-6.9819813573228126E-2</v>
      </c>
      <c r="S211" s="20">
        <f ca="1">IF(S$6=OFFSET(Assumptions!$B$8,0,$C$1),AVERAGE(P$211/SUM(P$211,P$226),Q$211/SUM(Q$211,Q$226),R$211/SUM(R$211,R$226)),R$211/SUM(R$211,R$226))*SUM(S$199,S$258,S$267,S$286,S$328)</f>
        <v>-7.33864944347703E-2</v>
      </c>
      <c r="T211" s="20">
        <f ca="1">IF(T$6=OFFSET(Assumptions!$B$8,0,$C$1),AVERAGE(Q$211/SUM(Q$211,Q$226),R$211/SUM(R$211,R$226),S$211/SUM(S$211,S$226)),S$211/SUM(S$211,S$226))*SUM(T$199,T$258,T$267,T$286,T$328)</f>
        <v>-7.7317248356105844E-2</v>
      </c>
      <c r="U211" s="20">
        <f ca="1">IF(U$6=OFFSET(Assumptions!$B$8,0,$C$1),AVERAGE(R$211/SUM(R$211,R$226),S$211/SUM(S$211,S$226),T$211/SUM(T$211,T$226)),T$211/SUM(T$211,T$226))*SUM(U$199,U$258,U$267,U$286,U$328)</f>
        <v>-8.1522772647759728E-2</v>
      </c>
      <c r="V211" s="20">
        <f ca="1">IF(V$6=OFFSET(Assumptions!$B$8,0,$C$1),AVERAGE(S$211/SUM(S$211,S$226),T$211/SUM(T$211,T$226),U$211/SUM(U$211,U$226)),U$211/SUM(U$211,U$226))*SUM(V$199,V$258,V$267,V$286,V$328)</f>
        <v>-8.5724682048877524E-2</v>
      </c>
      <c r="W211" s="20">
        <f ca="1">IF(W$6=OFFSET(Assumptions!$B$8,0,$C$1),AVERAGE(T$211/SUM(T$211,T$226),U$211/SUM(U$211,U$226),V$211/SUM(V$211,V$226)),V$211/SUM(V$211,V$226))*SUM(W$199,W$258,W$267,W$286,W$328)</f>
        <v>-9.003530584662893E-2</v>
      </c>
      <c r="X211" s="20">
        <f ca="1">IF(X$6=OFFSET(Assumptions!$B$8,0,$C$1),AVERAGE(U$211/SUM(U$211,U$226),V$211/SUM(V$211,V$226),W$211/SUM(W$211,W$226)),W$211/SUM(W$211,W$226))*SUM(X$199,X$258,X$267,X$286,X$328)</f>
        <v>-9.4546745460038495E-2</v>
      </c>
      <c r="Y211" s="20">
        <f ca="1">IF(Y$6=OFFSET(Assumptions!$B$8,0,$C$1),AVERAGE(V$211/SUM(V$211,V$226),W$211/SUM(W$211,W$226),X$211/SUM(X$211,X$226)),X$211/SUM(X$211,X$226))*SUM(Y$199,Y$258,Y$267,Y$286,Y$328)</f>
        <v>-9.9261303107814725E-2</v>
      </c>
      <c r="Z211" s="20">
        <f ca="1">IF(Z$6=OFFSET(Assumptions!$B$8,0,$C$1),AVERAGE(W$211/SUM(W$211,W$226),X$211/SUM(X$211,X$226),Y$211/SUM(Y$211,Y$226)),Y$211/SUM(Y$211,Y$226))*SUM(Z$199,Z$258,Z$267,Z$286,Z$328)</f>
        <v>-0.10421082849296917</v>
      </c>
    </row>
    <row r="212" spans="1:26" x14ac:dyDescent="0.25">
      <c r="A212" s="11" t="s">
        <v>1254</v>
      </c>
      <c r="D212" s="94">
        <f t="shared" ref="D212:Z212" si="136">SUM(D$208:D$211)</f>
        <v>25.933</v>
      </c>
      <c r="E212" s="94">
        <f t="shared" si="136"/>
        <v>27.774999999999999</v>
      </c>
      <c r="F212" s="94">
        <f t="shared" si="136"/>
        <v>29.817</v>
      </c>
      <c r="G212" s="94">
        <f t="shared" si="136"/>
        <v>32.647999999999996</v>
      </c>
      <c r="H212" s="94">
        <f t="shared" si="136"/>
        <v>36.052</v>
      </c>
      <c r="I212" s="94">
        <f t="shared" si="136"/>
        <v>39.082999999999998</v>
      </c>
      <c r="J212" s="94">
        <f t="shared" si="136"/>
        <v>38.771000000000008</v>
      </c>
      <c r="K212" s="94">
        <f t="shared" si="136"/>
        <v>40.433000000000007</v>
      </c>
      <c r="L212" s="95">
        <f t="shared" si="136"/>
        <v>41.912999999999997</v>
      </c>
      <c r="M212" s="95">
        <f t="shared" si="136"/>
        <v>42.013999999999996</v>
      </c>
      <c r="N212" s="95">
        <f t="shared" si="136"/>
        <v>42.067999999999991</v>
      </c>
      <c r="O212" s="95">
        <f t="shared" si="136"/>
        <v>42.101999999999997</v>
      </c>
      <c r="P212" s="95">
        <f t="shared" si="136"/>
        <v>42.323999999999998</v>
      </c>
      <c r="Q212" s="96">
        <f t="shared" ca="1" si="136"/>
        <v>46.28521315870934</v>
      </c>
      <c r="R212" s="96">
        <f t="shared" ca="1" si="136"/>
        <v>48.93287399835102</v>
      </c>
      <c r="S212" s="96">
        <f t="shared" ca="1" si="136"/>
        <v>51.282046933158455</v>
      </c>
      <c r="T212" s="96">
        <f t="shared" ca="1" si="136"/>
        <v>53.65800018973426</v>
      </c>
      <c r="U212" s="96">
        <f t="shared" ca="1" si="136"/>
        <v>56.12009622762104</v>
      </c>
      <c r="V212" s="96">
        <f t="shared" ca="1" si="136"/>
        <v>58.671329294203289</v>
      </c>
      <c r="W212" s="96">
        <f t="shared" ca="1" si="136"/>
        <v>61.309277790881339</v>
      </c>
      <c r="X212" s="96">
        <f t="shared" ca="1" si="136"/>
        <v>64.051184367582437</v>
      </c>
      <c r="Y212" s="96">
        <f t="shared" ca="1" si="136"/>
        <v>66.89880560926936</v>
      </c>
      <c r="Z212" s="96">
        <f t="shared" ca="1" si="136"/>
        <v>69.872714417017889</v>
      </c>
    </row>
    <row r="214" spans="1:26" x14ac:dyDescent="0.25">
      <c r="A214" s="11" t="s">
        <v>872</v>
      </c>
    </row>
    <row r="215" spans="1:26" x14ac:dyDescent="0.25">
      <c r="A215" s="11" t="s">
        <v>1255</v>
      </c>
      <c r="B215" s="14" t="str">
        <f>$B$38</f>
        <v>From Fiscal Forecasts</v>
      </c>
      <c r="C215" s="100" cm="1">
        <f t="array" aca="1" ref="C215" ca="1">SUMPRODUCT(OFFSET($P$215,0,0,1,-OFFSET(Assumptions!$B$38,0,$C$1))/OFFSET($P$417,0,0,1,-OFFSET(Assumptions!$B$38,0,$C$1)))/OFFSET(Assumptions!$B$38,0,$C$1)</f>
        <v>4.0793476717853723E-2</v>
      </c>
      <c r="D215" s="51">
        <f>'Fiscal Forecasts'!D$260</f>
        <v>1.5009999999999999</v>
      </c>
      <c r="E215" s="51">
        <f>'Fiscal Forecasts'!E$260</f>
        <v>1.675</v>
      </c>
      <c r="F215" s="51">
        <f>'Fiscal Forecasts'!F$260</f>
        <v>1.8820000000000001</v>
      </c>
      <c r="G215" s="51">
        <f>'Fiscal Forecasts'!G$260</f>
        <v>2.0019999999999998</v>
      </c>
      <c r="H215" s="51">
        <f>'Fiscal Forecasts'!H$260</f>
        <v>2.4</v>
      </c>
      <c r="I215" s="51">
        <f>'Fiscal Forecasts'!I$260</f>
        <v>2.8080000000000003</v>
      </c>
      <c r="J215" s="51">
        <f>'Fiscal Forecasts'!J$260</f>
        <v>2.7159999999999997</v>
      </c>
      <c r="K215" s="51">
        <f>'Fiscal Forecasts'!K$260</f>
        <v>2.7269999999999999</v>
      </c>
      <c r="L215" s="47">
        <f>'Fiscal Forecasts'!L$260</f>
        <v>2.706</v>
      </c>
      <c r="M215" s="47">
        <f>'Fiscal Forecasts'!M$260</f>
        <v>2.8039999999999998</v>
      </c>
      <c r="N215" s="47">
        <f>'Fiscal Forecasts'!N$260</f>
        <v>2.879</v>
      </c>
      <c r="O215" s="47">
        <f>'Fiscal Forecasts'!O$260</f>
        <v>2.867</v>
      </c>
      <c r="P215" s="47">
        <f>'Fiscal Forecasts'!P$260</f>
        <v>2.7930000000000001</v>
      </c>
      <c r="Q215" s="21">
        <f t="shared" ref="Q215:Z215" ca="1" si="137">$C$215*P$417</f>
        <v>2.8191555890174351</v>
      </c>
      <c r="R215" s="21">
        <f t="shared" ca="1" si="137"/>
        <v>2.8191555890174351</v>
      </c>
      <c r="S215" s="21">
        <f t="shared" ca="1" si="137"/>
        <v>2.8191555890174351</v>
      </c>
      <c r="T215" s="21">
        <f t="shared" ca="1" si="137"/>
        <v>2.8191555890174351</v>
      </c>
      <c r="U215" s="21">
        <f t="shared" ca="1" si="137"/>
        <v>2.8191555890174351</v>
      </c>
      <c r="V215" s="21">
        <f t="shared" ca="1" si="137"/>
        <v>2.8191555890174351</v>
      </c>
      <c r="W215" s="21">
        <f t="shared" ca="1" si="137"/>
        <v>2.8191555890174351</v>
      </c>
      <c r="X215" s="21">
        <f t="shared" ca="1" si="137"/>
        <v>2.8191555890174351</v>
      </c>
      <c r="Y215" s="21">
        <f t="shared" ca="1" si="137"/>
        <v>2.8191555890174351</v>
      </c>
      <c r="Z215" s="21">
        <f t="shared" ca="1" si="137"/>
        <v>2.8191555890174351</v>
      </c>
    </row>
    <row r="216" spans="1:26" x14ac:dyDescent="0.25">
      <c r="A216" s="12" t="s">
        <v>1020</v>
      </c>
      <c r="B216" s="14" t="str">
        <f>$B$38</f>
        <v>From Fiscal Forecasts</v>
      </c>
      <c r="C216" s="100" cm="1">
        <f t="array" aca="1" ref="C216" ca="1">SUMPRODUCT(OFFSET($P$216,0,0,1,-OFFSET(Assumptions!$B$38,0,$C$1))/OFFSET($P$418,0,0,1,-OFFSET(Assumptions!$B$38,0,$C$1)))/OFFSET(Assumptions!$B$38,0,$C$1)</f>
        <v>2.0557878069576589E-2</v>
      </c>
      <c r="D216" s="50">
        <f>'Fiscal Forecasts'!D$261</f>
        <v>1.587</v>
      </c>
      <c r="E216" s="50">
        <f>'Fiscal Forecasts'!E$261</f>
        <v>1.776</v>
      </c>
      <c r="F216" s="50">
        <f>'Fiscal Forecasts'!F$261</f>
        <v>1.954</v>
      </c>
      <c r="G216" s="50">
        <f>'Fiscal Forecasts'!G$261</f>
        <v>2.2509999999999999</v>
      </c>
      <c r="H216" s="50">
        <f>'Fiscal Forecasts'!H$261</f>
        <v>2.5110000000000001</v>
      </c>
      <c r="I216" s="50">
        <f>'Fiscal Forecasts'!I$261</f>
        <v>2.9019999999999997</v>
      </c>
      <c r="J216" s="50">
        <f>'Fiscal Forecasts'!J$261</f>
        <v>2.9870000000000001</v>
      </c>
      <c r="K216" s="50">
        <f>'Fiscal Forecasts'!K$261</f>
        <v>3.306</v>
      </c>
      <c r="L216" s="48">
        <f>'Fiscal Forecasts'!L$261</f>
        <v>3.4129999999999998</v>
      </c>
      <c r="M216" s="48">
        <f>'Fiscal Forecasts'!M$261</f>
        <v>3.5979999999999999</v>
      </c>
      <c r="N216" s="48">
        <f>'Fiscal Forecasts'!N$261</f>
        <v>3.661</v>
      </c>
      <c r="O216" s="48">
        <f>'Fiscal Forecasts'!O$261</f>
        <v>3.7090000000000001</v>
      </c>
      <c r="P216" s="48">
        <f>'Fiscal Forecasts'!P$261</f>
        <v>3.7679999999999998</v>
      </c>
      <c r="Q216" s="20">
        <f t="shared" ref="Q216:Z216" ca="1" si="138">$C$216*P$418</f>
        <v>3.7329817313859954</v>
      </c>
      <c r="R216" s="20">
        <f t="shared" ca="1" si="138"/>
        <v>3.7665247875594394</v>
      </c>
      <c r="S216" s="20">
        <f t="shared" ca="1" si="138"/>
        <v>3.8007387048563523</v>
      </c>
      <c r="T216" s="20">
        <f t="shared" ca="1" si="138"/>
        <v>3.8356369004992033</v>
      </c>
      <c r="U216" s="20">
        <f t="shared" ca="1" si="138"/>
        <v>3.8712330600549114</v>
      </c>
      <c r="V216" s="20">
        <f t="shared" ca="1" si="138"/>
        <v>3.9075411428017341</v>
      </c>
      <c r="W216" s="20">
        <f t="shared" ca="1" si="138"/>
        <v>3.9445753872034932</v>
      </c>
      <c r="X216" s="20">
        <f t="shared" ca="1" si="138"/>
        <v>3.982350316493287</v>
      </c>
      <c r="Y216" s="20">
        <f t="shared" ca="1" si="138"/>
        <v>4.0208807443688768</v>
      </c>
      <c r="Z216" s="20">
        <f t="shared" ca="1" si="138"/>
        <v>4.0601817808019787</v>
      </c>
    </row>
    <row r="217" spans="1:26" x14ac:dyDescent="0.25">
      <c r="A217" s="12" t="s">
        <v>1227</v>
      </c>
      <c r="B217" s="14" t="str">
        <f>$B$38</f>
        <v>From Fiscal Forecasts</v>
      </c>
      <c r="C217" s="100" cm="1">
        <f t="array" aca="1" ref="C217" ca="1">SUMPRODUCT(OFFSET($P$217,0,0,1,-OFFSET(Assumptions!$B$38,0,$C$1))/OFFSET($P$419,0,0,1,-OFFSET(Assumptions!$B$38,0,$C$1)))/OFFSET(Assumptions!$B$38,0,$C$1)</f>
        <v>4.4120996303196665E-2</v>
      </c>
      <c r="D217" s="50">
        <f>'Fiscal Forecasts'!D$262</f>
        <v>1.466</v>
      </c>
      <c r="E217" s="50">
        <f>'Fiscal Forecasts'!E$262</f>
        <v>1.843</v>
      </c>
      <c r="F217" s="50">
        <f>'Fiscal Forecasts'!F$262</f>
        <v>1.73</v>
      </c>
      <c r="G217" s="50">
        <f>'Fiscal Forecasts'!G$262</f>
        <v>1.899</v>
      </c>
      <c r="H217" s="50">
        <f>'Fiscal Forecasts'!H$262</f>
        <v>1.69</v>
      </c>
      <c r="I217" s="50">
        <f>'Fiscal Forecasts'!I$262</f>
        <v>1.911</v>
      </c>
      <c r="J217" s="50">
        <f>'Fiscal Forecasts'!J$262</f>
        <v>2.5910000000000002</v>
      </c>
      <c r="K217" s="50">
        <f>'Fiscal Forecasts'!K$262</f>
        <v>2.6480000000000001</v>
      </c>
      <c r="L217" s="48">
        <f>'Fiscal Forecasts'!L$262</f>
        <v>2.843</v>
      </c>
      <c r="M217" s="48">
        <f>'Fiscal Forecasts'!M$262</f>
        <v>2.8730000000000002</v>
      </c>
      <c r="N217" s="48">
        <f>'Fiscal Forecasts'!N$262</f>
        <v>2.9180000000000001</v>
      </c>
      <c r="O217" s="48">
        <f>'Fiscal Forecasts'!O$262</f>
        <v>3.258</v>
      </c>
      <c r="P217" s="48">
        <f>'Fiscal Forecasts'!P$262</f>
        <v>3.387</v>
      </c>
      <c r="Q217" s="20">
        <f t="shared" ref="Q217:Z217" ca="1" si="139">$C$217*P$419</f>
        <v>3.1775500327599207</v>
      </c>
      <c r="R217" s="20">
        <f t="shared" ca="1" si="139"/>
        <v>3.2411010334151196</v>
      </c>
      <c r="S217" s="20">
        <f t="shared" ca="1" si="139"/>
        <v>3.3059230540834217</v>
      </c>
      <c r="T217" s="20">
        <f t="shared" ca="1" si="139"/>
        <v>3.37204151516509</v>
      </c>
      <c r="U217" s="20">
        <f t="shared" ca="1" si="139"/>
        <v>3.4394823454683916</v>
      </c>
      <c r="V217" s="20">
        <f t="shared" ca="1" si="139"/>
        <v>3.5082719923777597</v>
      </c>
      <c r="W217" s="20">
        <f t="shared" ca="1" si="139"/>
        <v>3.5784374322253147</v>
      </c>
      <c r="X217" s="20">
        <f t="shared" ca="1" si="139"/>
        <v>3.6500061808698212</v>
      </c>
      <c r="Y217" s="20">
        <f t="shared" ca="1" si="139"/>
        <v>3.7230063044872179</v>
      </c>
      <c r="Z217" s="20">
        <f t="shared" ca="1" si="139"/>
        <v>3.7974664305769625</v>
      </c>
    </row>
    <row r="218" spans="1:26" x14ac:dyDescent="0.25">
      <c r="A218" s="11" t="s">
        <v>1256</v>
      </c>
      <c r="D218" s="94">
        <f t="shared" ref="D218:P218" si="140">SUM(D$215:D$217)</f>
        <v>4.5540000000000003</v>
      </c>
      <c r="E218" s="94">
        <f t="shared" si="140"/>
        <v>5.2940000000000005</v>
      </c>
      <c r="F218" s="94">
        <f t="shared" si="140"/>
        <v>5.5660000000000007</v>
      </c>
      <c r="G218" s="94">
        <f t="shared" si="140"/>
        <v>6.1520000000000001</v>
      </c>
      <c r="H218" s="94">
        <f t="shared" si="140"/>
        <v>6.6009999999999991</v>
      </c>
      <c r="I218" s="94">
        <f t="shared" si="140"/>
        <v>7.6210000000000004</v>
      </c>
      <c r="J218" s="94">
        <f t="shared" si="140"/>
        <v>8.2940000000000005</v>
      </c>
      <c r="K218" s="94">
        <f t="shared" si="140"/>
        <v>8.6809999999999992</v>
      </c>
      <c r="L218" s="95">
        <f t="shared" si="140"/>
        <v>8.9619999999999997</v>
      </c>
      <c r="M218" s="95">
        <f t="shared" si="140"/>
        <v>9.2749999999999986</v>
      </c>
      <c r="N218" s="95">
        <f t="shared" si="140"/>
        <v>9.4580000000000002</v>
      </c>
      <c r="O218" s="95">
        <f t="shared" si="140"/>
        <v>9.8339999999999996</v>
      </c>
      <c r="P218" s="95">
        <f t="shared" si="140"/>
        <v>9.9480000000000004</v>
      </c>
      <c r="Q218" s="96">
        <f t="shared" ref="Q218:Z218" ca="1" si="141">SUM(Q$215:Q$217)</f>
        <v>9.7296873531633512</v>
      </c>
      <c r="R218" s="96">
        <f t="shared" ca="1" si="141"/>
        <v>9.8267814099919946</v>
      </c>
      <c r="S218" s="96">
        <f t="shared" ca="1" si="141"/>
        <v>9.92581734795721</v>
      </c>
      <c r="T218" s="96">
        <f t="shared" ca="1" si="141"/>
        <v>10.026834004681728</v>
      </c>
      <c r="U218" s="96">
        <f t="shared" ca="1" si="141"/>
        <v>10.129870994540738</v>
      </c>
      <c r="V218" s="96">
        <f t="shared" ca="1" si="141"/>
        <v>10.234968724196928</v>
      </c>
      <c r="W218" s="96">
        <f t="shared" ca="1" si="141"/>
        <v>10.342168408446243</v>
      </c>
      <c r="X218" s="96">
        <f t="shared" ca="1" si="141"/>
        <v>10.451512086380543</v>
      </c>
      <c r="Y218" s="96">
        <f t="shared" ca="1" si="141"/>
        <v>10.563042637873529</v>
      </c>
      <c r="Z218" s="96">
        <f t="shared" ca="1" si="141"/>
        <v>10.676803800396376</v>
      </c>
    </row>
    <row r="219" spans="1:26" x14ac:dyDescent="0.25">
      <c r="A219" s="11" t="s">
        <v>1257</v>
      </c>
      <c r="B219" s="14" t="str">
        <f>$B$38</f>
        <v>From Fiscal Forecasts</v>
      </c>
      <c r="D219" s="51">
        <f>'Fiscal Forecasts'!D$265</f>
        <v>0.29399999999999998</v>
      </c>
      <c r="E219" s="51">
        <f>'Fiscal Forecasts'!E$265</f>
        <v>0.57399999999999995</v>
      </c>
      <c r="F219" s="51">
        <f>'Fiscal Forecasts'!F$265</f>
        <v>0.37</v>
      </c>
      <c r="G219" s="51">
        <f>'Fiscal Forecasts'!G$265</f>
        <v>0.316</v>
      </c>
      <c r="H219" s="51">
        <f>'Fiscal Forecasts'!H$265</f>
        <v>0.29399999999999998</v>
      </c>
      <c r="I219" s="51">
        <f>'Fiscal Forecasts'!I$265</f>
        <v>0.33</v>
      </c>
      <c r="J219" s="51">
        <f>'Fiscal Forecasts'!J$265</f>
        <v>0.34799999999999998</v>
      </c>
      <c r="K219" s="51">
        <f>'Fiscal Forecasts'!K$265</f>
        <v>0.34699999999999998</v>
      </c>
      <c r="L219" s="47">
        <f>'Fiscal Forecasts'!L$265</f>
        <v>0.34899999999999998</v>
      </c>
      <c r="M219" s="47">
        <f>'Fiscal Forecasts'!M$265</f>
        <v>0.371</v>
      </c>
      <c r="N219" s="47">
        <f>'Fiscal Forecasts'!N$265</f>
        <v>0.39200000000000002</v>
      </c>
      <c r="O219" s="47">
        <f>'Fiscal Forecasts'!O$265</f>
        <v>0.375</v>
      </c>
      <c r="P219" s="47">
        <f>'Fiscal Forecasts'!P$265</f>
        <v>0.37</v>
      </c>
      <c r="Q219" s="21">
        <f ca="1">IF(Q$6=OFFSET(Assumptions!$B$8,0,$C$1),AVERAGE(N$219/M$427,O$219/N$427,P$219/O$427),P$219/O$427)*P$427</f>
        <v>0.33893854716370403</v>
      </c>
      <c r="R219" s="21">
        <f ca="1">IF(R$6=OFFSET(Assumptions!$B$8,0,$C$1),AVERAGE(O$219/N$427,P$219/O$427,Q$219/P$427),Q$219/P$427)*Q$427</f>
        <v>0.33893854716370403</v>
      </c>
      <c r="S219" s="21">
        <f ca="1">IF(S$6=OFFSET(Assumptions!$B$8,0,$C$1),AVERAGE(P$219/O$427,Q$219/P$427,R$219/Q$427),R$219/Q$427)*R$427</f>
        <v>0.33893854716370403</v>
      </c>
      <c r="T219" s="21">
        <f ca="1">IF(T$6=OFFSET(Assumptions!$B$8,0,$C$1),AVERAGE(Q$219/P$427,R$219/Q$427,S$219/R$427),S$219/R$427)*S$427</f>
        <v>0.33893854716370403</v>
      </c>
      <c r="U219" s="21">
        <f ca="1">IF(U$6=OFFSET(Assumptions!$B$8,0,$C$1),AVERAGE(R$219/Q$427,S$219/R$427,T$219/S$427),T$219/S$427)*T$427</f>
        <v>0.33893854716370403</v>
      </c>
      <c r="V219" s="21">
        <f ca="1">IF(V$6=OFFSET(Assumptions!$B$8,0,$C$1),AVERAGE(S$219/R$427,T$219/S$427,U$219/T$427),U$219/T$427)*U$427</f>
        <v>0.33893854716370403</v>
      </c>
      <c r="W219" s="21">
        <f ca="1">IF(W$6=OFFSET(Assumptions!$B$8,0,$C$1),AVERAGE(T$219/S$427,U$219/T$427,V$219/U$427),V$219/U$427)*V$427</f>
        <v>0.33893854716370403</v>
      </c>
      <c r="X219" s="21">
        <f ca="1">IF(X$6=OFFSET(Assumptions!$B$8,0,$C$1),AVERAGE(U$219/T$427,V$219/U$427,W$219/V$427),W$219/V$427)*W$427</f>
        <v>0.33893854716370403</v>
      </c>
      <c r="Y219" s="21">
        <f ca="1">IF(Y$6=OFFSET(Assumptions!$B$8,0,$C$1),AVERAGE(V$219/U$427,W$219/V$427,X$219/W$427),X$219/W$427)*X$427</f>
        <v>0.33893854716370403</v>
      </c>
      <c r="Z219" s="21">
        <f ca="1">IF(Z$6=OFFSET(Assumptions!$B$8,0,$C$1),AVERAGE(W$219/V$427,X$219/W$427,Y$219/X$427),Y$219/X$427)*Y$427</f>
        <v>0.33893854716370403</v>
      </c>
    </row>
    <row r="220" spans="1:26" x14ac:dyDescent="0.25">
      <c r="A220" s="11" t="s">
        <v>1258</v>
      </c>
      <c r="B220" s="14" t="str">
        <f>$B$38</f>
        <v>From Fiscal Forecasts</v>
      </c>
      <c r="D220" s="50">
        <f>SUM('Fiscal Forecasts'!D$266:D$267)</f>
        <v>0.64</v>
      </c>
      <c r="E220" s="50">
        <f>SUM('Fiscal Forecasts'!E$266:E$267)</f>
        <v>1.8010000000000002</v>
      </c>
      <c r="F220" s="50">
        <f>SUM('Fiscal Forecasts'!F$266:F$267)</f>
        <v>0.82799999999999996</v>
      </c>
      <c r="G220" s="50">
        <f>SUM('Fiscal Forecasts'!G$266:G$267)</f>
        <v>-0.54</v>
      </c>
      <c r="H220" s="50">
        <f>SUM('Fiscal Forecasts'!H$266:H$267)</f>
        <v>0.76800000000000002</v>
      </c>
      <c r="I220" s="50">
        <f>SUM('Fiscal Forecasts'!I$266:I$267)</f>
        <v>0.71100000000000008</v>
      </c>
      <c r="J220" s="50">
        <f>SUM('Fiscal Forecasts'!J$266:J$267)</f>
        <v>0.54699999999999993</v>
      </c>
      <c r="K220" s="50">
        <f>SUM('Fiscal Forecasts'!K$266:K$267)</f>
        <v>0.51300000000000001</v>
      </c>
      <c r="L220" s="48">
        <f>SUM('Fiscal Forecasts'!L$266:L$267)</f>
        <v>0.52200000000000002</v>
      </c>
      <c r="M220" s="48">
        <f>SUM('Fiscal Forecasts'!M$266:M$267)</f>
        <v>0.52100000000000002</v>
      </c>
      <c r="N220" s="48">
        <f>SUM('Fiscal Forecasts'!N$266:N$267)</f>
        <v>0.52200000000000002</v>
      </c>
      <c r="O220" s="48">
        <f>SUM('Fiscal Forecasts'!O$266:O$267)</f>
        <v>0.503</v>
      </c>
      <c r="P220" s="48">
        <f>SUM('Fiscal Forecasts'!P$266:P$267)</f>
        <v>0.48699999999999999</v>
      </c>
      <c r="Q220" s="21">
        <f ca="1">IF(Q$6=OFFSET(Assumptions!$B$8,0,$C$1),AVERAGE(N$220/M$428,O$220/N$428,P$220/O$428),P$220/O$428)*P$428</f>
        <v>0.53212235039807609</v>
      </c>
      <c r="R220" s="21">
        <f ca="1">IF(R$6=OFFSET(Assumptions!$B$8,0,$C$1),AVERAGE(O$220/N$428,P$220/O$428,Q$220/P$428),Q$220/P$428)*Q$428</f>
        <v>0.55528610953016788</v>
      </c>
      <c r="S220" s="21">
        <f ca="1">IF(S$6=OFFSET(Assumptions!$B$8,0,$C$1),AVERAGE(P$220/O$428,Q$220/P$428,R$220/Q$428),R$220/Q$428)*R$428</f>
        <v>0.57892193652440305</v>
      </c>
      <c r="T220" s="21">
        <f ca="1">IF(T$6=OFFSET(Assumptions!$B$8,0,$C$1),AVERAGE(Q$220/P$428,R$220/Q$428,S$220/R$428),S$220/R$428)*S$428</f>
        <v>0.60318394242317952</v>
      </c>
      <c r="U220" s="21">
        <f ca="1">IF(U$6=OFFSET(Assumptions!$B$8,0,$C$1),AVERAGE(R$220/Q$428,S$220/R$428,T$220/S$428),T$220/S$428)*T$428</f>
        <v>0.62801537807835695</v>
      </c>
      <c r="V220" s="21">
        <f ca="1">IF(V$6=OFFSET(Assumptions!$B$8,0,$C$1),AVERAGE(S$220/R$428,T$220/S$428,U$220/T$428),U$220/T$428)*U$428</f>
        <v>0.65371270422022476</v>
      </c>
      <c r="W220" s="21">
        <f ca="1">IF(W$6=OFFSET(Assumptions!$B$8,0,$C$1),AVERAGE(T$220/S$428,U$220/T$428,V$220/U$428),V$220/U$428)*V$428</f>
        <v>0.68028505979586884</v>
      </c>
      <c r="X220" s="21">
        <f ca="1">IF(X$6=OFFSET(Assumptions!$B$8,0,$C$1),AVERAGE(U$220/T$428,V$220/U$428,W$220/V$428),W$220/V$428)*W$428</f>
        <v>0.70759838771072869</v>
      </c>
      <c r="Y220" s="21">
        <f ca="1">IF(Y$6=OFFSET(Assumptions!$B$8,0,$C$1),AVERAGE(V$220/U$428,W$220/V$428,X$220/W$428),X$220/W$428)*X$428</f>
        <v>0.73569822626187076</v>
      </c>
      <c r="Z220" s="21">
        <f ca="1">IF(Z$6=OFFSET(Assumptions!$B$8,0,$C$1),AVERAGE(W$220/V$428,X$220/W$428,Y$220/X$428),Y$220/X$428)*Y$428</f>
        <v>0.76473151997825062</v>
      </c>
    </row>
    <row r="221" spans="1:26" x14ac:dyDescent="0.25">
      <c r="A221" s="11"/>
    </row>
    <row r="222" spans="1:26" x14ac:dyDescent="0.25">
      <c r="A222" s="11" t="s">
        <v>873</v>
      </c>
    </row>
    <row r="223" spans="1:26" x14ac:dyDescent="0.25">
      <c r="A223" s="11" t="s">
        <v>1259</v>
      </c>
      <c r="B223" s="14" t="str">
        <f>$B$38</f>
        <v>From Fiscal Forecasts</v>
      </c>
      <c r="D223" s="51">
        <f>'Fiscal Forecasts'!D$270</f>
        <v>44.959000000000003</v>
      </c>
      <c r="E223" s="51">
        <f>'Fiscal Forecasts'!E$270</f>
        <v>51.832999999999998</v>
      </c>
      <c r="F223" s="51">
        <f>'Fiscal Forecasts'!F$270</f>
        <v>58.084000000000003</v>
      </c>
      <c r="G223" s="51">
        <f>'Fiscal Forecasts'!G$270</f>
        <v>65.543000000000006</v>
      </c>
      <c r="H223" s="51">
        <f>'Fiscal Forecasts'!H$270</f>
        <v>68.150000000000006</v>
      </c>
      <c r="I223" s="51">
        <f>'Fiscal Forecasts'!I$270</f>
        <v>72.72</v>
      </c>
      <c r="J223" s="51">
        <f>'Fiscal Forecasts'!J$270</f>
        <v>72.67</v>
      </c>
      <c r="K223" s="51">
        <f>'Fiscal Forecasts'!K$270</f>
        <v>74.334000000000003</v>
      </c>
      <c r="L223" s="47">
        <f ca="1">'Fiscal Forecasts'!L$270+IF(OFFSET(Assumptions!$B$57,0,$C$1)="Yes",SUM(Allocation!C$10:C$20),0)</f>
        <v>78.225999999999999</v>
      </c>
      <c r="M223" s="47">
        <f ca="1">'Fiscal Forecasts'!M$270+IF(OFFSET(Assumptions!$B$57,0,$C$1)="Yes",SUM(Allocation!D$10:D$20),0)</f>
        <v>79.15100000000001</v>
      </c>
      <c r="N223" s="47">
        <f ca="1">'Fiscal Forecasts'!N$270+IF(OFFSET(Assumptions!$B$57,0,$C$1)="Yes",SUM(Allocation!E$10:E$20),0)</f>
        <v>81.706000000000003</v>
      </c>
      <c r="O223" s="47">
        <f ca="1">'Fiscal Forecasts'!O$270+IF(OFFSET(Assumptions!$B$57,0,$C$1)="Yes",SUM(Allocation!F$10:F$20),0)</f>
        <v>84.251999999999995</v>
      </c>
      <c r="P223" s="47">
        <f ca="1">'Fiscal Forecasts'!P$270+IF(OFFSET(Assumptions!$B$57,0,$C$1)="Yes",SUM(Allocation!G$10:G$20),0)</f>
        <v>86.86099999999999</v>
      </c>
      <c r="Q223" s="21">
        <f ca="1">SUM(-Q$215,Q$324,IF(Q$6=OFFSET(Assumptions!$B$8,0,$C$1),AVERAGE((N$223+N$215-N$324)/SUM(N$208,N$215,N$223,-N$252,-N$324),(O$223+O$215-O$324)/SUM(O$208,O$215,O$223,-O$252,-O$324),(P$223+P$215-P$324)/SUM(P$208,P$215,P$223,-P$252,-P$324)),(P$223+P$215-P$324)/SUM(P$208,P$215,P$223,-P$252,-P$324))*(Q$323-Q$256-Q$264))</f>
        <v>92.77829827430395</v>
      </c>
      <c r="R223" s="21">
        <f ca="1">SUM(-R$215,R$324,IF(R$6=OFFSET(Assumptions!$B$8,0,$C$1),AVERAGE((O$223+O$215-O$324)/SUM(O$208,O$215,O$223,-O$252,-O$324),(P$223+P$215-P$324)/SUM(P$208,P$215,P$223,-P$252,-P$324),(Q$223+Q$215-Q$324)/SUM(Q$208,Q$215,Q$223,-Q$252,-Q$324)),(Q$223+Q$215-Q$324)/SUM(Q$208,Q$215,Q$223,-Q$252,-Q$324))*(R$323-R$256-R$264))</f>
        <v>97.771421759673629</v>
      </c>
      <c r="S223" s="21">
        <f ca="1">SUM(-S$215,S$324,IF(S$6=OFFSET(Assumptions!$B$8,0,$C$1),AVERAGE((P$223+P$215-P$324)/SUM(P$208,P$215,P$223,-P$252,-P$324),(Q$223+Q$215-Q$324)/SUM(Q$208,Q$215,Q$223,-Q$252,-Q$324),(R$223+R$215-R$324)/SUM(R$208,R$215,R$223,-R$252,-R$324)),(R$223+R$215-R$324)/SUM(R$208,R$215,R$223,-R$252,-R$324))*(S$323-S$256-S$264))</f>
        <v>102.22665624126326</v>
      </c>
      <c r="T223" s="21">
        <f ca="1">SUM(-T$215,T$324,IF(T$6=OFFSET(Assumptions!$B$8,0,$C$1),AVERAGE((Q$223+Q$215-Q$324)/SUM(Q$208,Q$215,Q$223,-Q$252,-Q$324),(R$223+R$215-R$324)/SUM(R$208,R$215,R$223,-R$252,-R$324),(S$223+S$215-S$324)/SUM(S$208,S$215,S$223,-S$252,-S$324)),(S$223+S$215-S$324)/SUM(S$208,S$215,S$223,-S$252,-S$324))*(T$323-T$256-T$264))</f>
        <v>106.8590198463813</v>
      </c>
      <c r="U223" s="21">
        <f ca="1">SUM(-U$215,U$324,IF(U$6=OFFSET(Assumptions!$B$8,0,$C$1),AVERAGE((R$223+R$215-R$324)/SUM(R$208,R$215,R$223,-R$252,-R$324),(S$223+S$215-S$324)/SUM(S$208,S$215,S$223,-S$252,-S$324),(T$223+T$215-T$324)/SUM(T$208,T$215,T$223,-T$252,-T$324)),(T$223+T$215-T$324)/SUM(T$208,T$215,T$223,-T$252,-T$324))*(U$323-U$256-U$264))</f>
        <v>111.70433818335232</v>
      </c>
      <c r="V223" s="21">
        <f ca="1">SUM(-V$215,V$324,IF(V$6=OFFSET(Assumptions!$B$8,0,$C$1),AVERAGE((S$223+S$215-S$324)/SUM(S$208,S$215,S$223,-S$252,-S$324),(T$223+T$215-T$324)/SUM(T$208,T$215,T$223,-T$252,-T$324),(U$223+U$215-U$324)/SUM(U$208,U$215,U$223,-U$252,-U$324)),(U$223+U$215-U$324)/SUM(U$208,U$215,U$223,-U$252,-U$324))*(V$323-V$256-V$264))</f>
        <v>116.73484970417518</v>
      </c>
      <c r="W223" s="21">
        <f ca="1">SUM(-W$215,W$324,IF(W$6=OFFSET(Assumptions!$B$8,0,$C$1),AVERAGE((T$223+T$215-T$324)/SUM(T$208,T$215,T$223,-T$252,-T$324),(U$223+U$215-U$324)/SUM(U$208,U$215,U$223,-U$252,-U$324),(V$223+V$215-V$324)/SUM(V$208,V$215,V$223,-V$252,-V$324)),(V$223+V$215-V$324)/SUM(V$208,V$215,V$223,-V$252,-V$324))*(W$323-W$256-W$264))</f>
        <v>121.95333471724973</v>
      </c>
      <c r="X223" s="21">
        <f ca="1">SUM(-X$215,X$324,IF(X$6=OFFSET(Assumptions!$B$8,0,$C$1),AVERAGE((U$223+U$215-U$324)/SUM(U$208,U$215,U$223,-U$252,-U$324),(V$223+V$215-V$324)/SUM(V$208,V$215,V$223,-V$252,-V$324),(W$223+W$215-W$324)/SUM(W$208,W$215,W$223,-W$252,-W$324)),(W$223+W$215-W$324)/SUM(W$208,W$215,W$223,-W$252,-W$324))*(X$323-X$256-X$264))</f>
        <v>127.39361969124091</v>
      </c>
      <c r="Y223" s="21">
        <f ca="1">SUM(-Y$215,Y$324,IF(Y$6=OFFSET(Assumptions!$B$8,0,$C$1),AVERAGE((V$223+V$215-V$324)/SUM(V$208,V$215,V$223,-V$252,-V$324),(W$223+W$215-W$324)/SUM(W$208,W$215,W$223,-W$252,-W$324),(X$223+X$215-X$324)/SUM(X$208,X$215,X$223,-X$252,-X$324)),(X$223+X$215-X$324)/SUM(X$208,X$215,X$223,-X$252,-X$324))*(Y$323-Y$256-Y$264))</f>
        <v>133.06249102143113</v>
      </c>
      <c r="Z223" s="21">
        <f ca="1">SUM(-Z$215,Z$324,IF(Z$6=OFFSET(Assumptions!$B$8,0,$C$1),AVERAGE((W$223+W$215-W$324)/SUM(W$208,W$215,W$223,-W$252,-W$324),(X$223+X$215-X$324)/SUM(X$208,X$215,X$223,-X$252,-X$324),(Y$223+Y$215-Y$324)/SUM(Y$208,Y$215,Y$223,-Y$252,-Y$324)),(Y$223+Y$215-Y$324)/SUM(Y$208,Y$215,Y$223,-Y$252,-Y$324))*(Z$323-Z$256-Z$264))</f>
        <v>139.00089261728075</v>
      </c>
    </row>
    <row r="224" spans="1:26" x14ac:dyDescent="0.25">
      <c r="A224" s="12" t="s">
        <v>1020</v>
      </c>
      <c r="B224" s="14" t="str">
        <f>$B$38</f>
        <v>From Fiscal Forecasts</v>
      </c>
      <c r="D224" s="50">
        <f>'Fiscal Forecasts'!D$271</f>
        <v>22.132999999999999</v>
      </c>
      <c r="E224" s="50">
        <f>'Fiscal Forecasts'!E$271</f>
        <v>25.504999999999999</v>
      </c>
      <c r="F224" s="50">
        <f>'Fiscal Forecasts'!F$271</f>
        <v>25.257000000000001</v>
      </c>
      <c r="G224" s="50">
        <f>'Fiscal Forecasts'!G$271</f>
        <v>27.652000000000001</v>
      </c>
      <c r="H224" s="50">
        <f>'Fiscal Forecasts'!H$271</f>
        <v>33.918999999999997</v>
      </c>
      <c r="I224" s="50">
        <f>'Fiscal Forecasts'!I$271</f>
        <v>34.594999999999999</v>
      </c>
      <c r="J224" s="50">
        <f>'Fiscal Forecasts'!J$271</f>
        <v>34.951000000000001</v>
      </c>
      <c r="K224" s="50">
        <f>'Fiscal Forecasts'!K$271</f>
        <v>35.914000000000001</v>
      </c>
      <c r="L224" s="48">
        <f>'Fiscal Forecasts'!L$271</f>
        <v>38.064999999999998</v>
      </c>
      <c r="M224" s="48">
        <f>'Fiscal Forecasts'!M$271</f>
        <v>36.436</v>
      </c>
      <c r="N224" s="48">
        <f>'Fiscal Forecasts'!N$271</f>
        <v>36.185000000000002</v>
      </c>
      <c r="O224" s="48">
        <f>'Fiscal Forecasts'!O$271</f>
        <v>36.218000000000004</v>
      </c>
      <c r="P224" s="48">
        <f>'Fiscal Forecasts'!P$271</f>
        <v>36.292999999999999</v>
      </c>
      <c r="Q224" s="20">
        <f ca="1">SUM(-Q$216,IF(Q$6=OFFSET(Assumptions!$B$8,0,$C$1),AVERAGE(SUM(N$216,N$224)/SUM(N$209,-(N$253-N$252),N$216,N$224),SUM(O$216,O$224)/SUM(O$209,-(O$253-O$252),O$216,O$224),SUM(P$216,P$224)/SUM(P$209,-(P$253-P$252),P$216,P$224)),SUM(P$216,P$224)/SUM(P$209,-(P$253-P$252),P$216,P$224))*SUM(Q$198-Q$239,Q$257,Q$266,Q$284,Q$326,-(Q$253-Q$252)))</f>
        <v>38.527806941394651</v>
      </c>
      <c r="R224" s="20">
        <f ca="1">SUM(-R$216,IF(R$6=OFFSET(Assumptions!$B$8,0,$C$1),AVERAGE(SUM(O$216,O$224)/SUM(O$209,-(O$253-O$252),O$216,O$224),SUM(P$216,P$224)/SUM(P$209,-(P$253-P$252),P$216,P$224),SUM(Q$216,Q$224)/SUM(Q$209,-(Q$253-Q$252),Q$216,Q$224)),SUM(Q$216,Q$224)/SUM(Q$209,-(Q$253-Q$252),Q$216,Q$224))*SUM(R$198-R$239,R$257,R$266,R$284,R$326,-(R$253-R$252)))</f>
        <v>40.720589495161036</v>
      </c>
      <c r="S224" s="20">
        <f ca="1">SUM(-S$216,IF(S$6=OFFSET(Assumptions!$B$8,0,$C$1),AVERAGE(SUM(P$216,P$224)/SUM(P$209,-(P$253-P$252),P$216,P$224),SUM(Q$216,Q$224)/SUM(Q$209,-(Q$253-Q$252),Q$216,Q$224),SUM(R$216,R$224)/SUM(R$209,-(R$253-R$252),R$216,R$224)),SUM(R$216,R$224)/SUM(R$209,-(R$253-R$252),R$216,R$224))*SUM(S$198-S$239,S$257,S$266,S$284,S$326,-(S$253-S$252)))</f>
        <v>42.788562723282467</v>
      </c>
      <c r="T224" s="20">
        <f ca="1">SUM(-T$216,IF(T$6=OFFSET(Assumptions!$B$8,0,$C$1),AVERAGE(SUM(Q$216,Q$224)/SUM(Q$209,-(Q$253-Q$252),Q$216,Q$224),SUM(R$216,R$224)/SUM(R$209,-(R$253-R$252),R$216,R$224),SUM(S$216,S$224)/SUM(S$209,-(S$253-S$252),S$216,S$224)),SUM(S$216,S$224)/SUM(S$209,-(S$253-S$252),S$216,S$224))*SUM(T$198-T$239,T$257,T$266,T$284,T$326,-(T$253-T$252)))</f>
        <v>45.051852085512564</v>
      </c>
      <c r="U224" s="20">
        <f ca="1">SUM(-U$216,IF(U$6=OFFSET(Assumptions!$B$8,0,$C$1),AVERAGE(SUM(R$216,R$224)/SUM(R$209,-(R$253-R$252),R$216,R$224),SUM(S$216,S$224)/SUM(S$209,-(S$253-S$252),S$216,S$224),SUM(T$216,T$224)/SUM(T$209,-(T$253-T$252),T$216,T$224)),SUM(T$216,T$224)/SUM(T$209,-(T$253-T$252),T$216,T$224))*SUM(U$198-U$239,U$257,U$266,U$284,U$326,-(U$253-U$252)))</f>
        <v>47.468477325357412</v>
      </c>
      <c r="V224" s="20">
        <f ca="1">SUM(-V$216,IF(V$6=OFFSET(Assumptions!$B$8,0,$C$1),AVERAGE(SUM(S$216,S$224)/SUM(S$209,-(S$253-S$252),S$216,S$224),SUM(T$216,T$224)/SUM(T$209,-(T$253-T$252),T$216,T$224),SUM(U$216,U$224)/SUM(U$209,-(U$253-U$252),U$216,U$224)),SUM(U$216,U$224)/SUM(U$209,-(U$253-U$252),U$216,U$224))*SUM(V$198-V$239,V$257,V$266,V$284,V$326,-(V$253-V$252)))</f>
        <v>49.977370744978622</v>
      </c>
      <c r="W224" s="20">
        <f ca="1">SUM(-W$216,IF(W$6=OFFSET(Assumptions!$B$8,0,$C$1),AVERAGE(SUM(T$216,T$224)/SUM(T$209,-(T$253-T$252),T$216,T$224),SUM(U$216,U$224)/SUM(U$209,-(U$253-U$252),U$216,U$224),SUM(V$216,V$224)/SUM(V$209,-(V$253-V$252),V$216,V$224)),SUM(V$216,V$224)/SUM(V$209,-(V$253-V$252),V$216,V$224))*SUM(W$198-W$239,W$257,W$266,W$284,W$326,-(W$253-W$252)))</f>
        <v>52.584555586972243</v>
      </c>
      <c r="X224" s="20">
        <f ca="1">SUM(-X$216,IF(X$6=OFFSET(Assumptions!$B$8,0,$C$1),AVERAGE(SUM(U$216,U$224)/SUM(U$209,-(U$253-U$252),U$216,U$224),SUM(V$216,V$224)/SUM(V$209,-(V$253-V$252),V$216,V$224),SUM(W$216,W$224)/SUM(W$209,-(W$253-W$252),W$216,W$224)),SUM(W$216,W$224)/SUM(W$209,-(W$253-W$252),W$216,W$224))*SUM(X$198-X$239,X$257,X$266,X$284,X$326,-(X$253-X$252)))</f>
        <v>55.311026440265863</v>
      </c>
      <c r="Y224" s="20">
        <f ca="1">SUM(-Y$216,IF(Y$6=OFFSET(Assumptions!$B$8,0,$C$1),AVERAGE(SUM(V$216,V$224)/SUM(V$209,-(V$253-V$252),V$216,V$224),SUM(W$216,W$224)/SUM(W$209,-(W$253-W$252),W$216,W$224),SUM(X$216,X$224)/SUM(X$209,-(X$253-X$252),X$216,X$224)),SUM(X$216,X$224)/SUM(X$209,-(X$253-X$252),X$216,X$224))*SUM(Y$198-Y$239,Y$257,Y$266,Y$284,Y$326,-(Y$253-Y$252)))</f>
        <v>58.150863007353337</v>
      </c>
      <c r="Z224" s="20">
        <f ca="1">SUM(-Z$216,IF(Z$6=OFFSET(Assumptions!$B$8,0,$C$1),AVERAGE(SUM(W$216,W$224)/SUM(W$209,-(W$253-W$252),W$216,W$224),SUM(X$216,X$224)/SUM(X$209,-(X$253-X$252),X$216,X$224),SUM(Y$216,Y$224)/SUM(Y$209,-(Y$253-Y$252),Y$216,Y$224)),SUM(Y$216,Y$224)/SUM(Y$209,-(Y$253-Y$252),Y$216,Y$224))*SUM(Z$198-Z$239,Z$257,Z$266,Z$284,Z$326,-(Z$253-Z$252)))</f>
        <v>61.136711516212536</v>
      </c>
    </row>
    <row r="225" spans="1:26" x14ac:dyDescent="0.25">
      <c r="A225" s="12" t="s">
        <v>1227</v>
      </c>
      <c r="B225" s="14" t="str">
        <f>$B$38</f>
        <v>From Fiscal Forecasts</v>
      </c>
      <c r="D225" s="50">
        <f>'Fiscal Forecasts'!D$272</f>
        <v>9.4740000000000002</v>
      </c>
      <c r="E225" s="50">
        <f>'Fiscal Forecasts'!E$272</f>
        <v>12.164999999999999</v>
      </c>
      <c r="F225" s="50">
        <f>'Fiscal Forecasts'!F$272</f>
        <v>11.702999999999999</v>
      </c>
      <c r="G225" s="50">
        <f>'Fiscal Forecasts'!G$272</f>
        <v>9.8040000000000003</v>
      </c>
      <c r="H225" s="50">
        <f>'Fiscal Forecasts'!H$272</f>
        <v>12.132</v>
      </c>
      <c r="I225" s="50">
        <f>'Fiscal Forecasts'!I$272</f>
        <v>16.550999999999998</v>
      </c>
      <c r="J225" s="50">
        <f>'Fiscal Forecasts'!J$272</f>
        <v>15.942</v>
      </c>
      <c r="K225" s="50">
        <f>'Fiscal Forecasts'!K$272</f>
        <v>13.926</v>
      </c>
      <c r="L225" s="48">
        <f>'Fiscal Forecasts'!L$272</f>
        <v>15.935</v>
      </c>
      <c r="M225" s="48">
        <f>'Fiscal Forecasts'!M$272</f>
        <v>15.486000000000001</v>
      </c>
      <c r="N225" s="48">
        <f>'Fiscal Forecasts'!N$272</f>
        <v>15.907999999999999</v>
      </c>
      <c r="O225" s="48">
        <f>'Fiscal Forecasts'!O$272</f>
        <v>16.349</v>
      </c>
      <c r="P225" s="48">
        <f>'Fiscal Forecasts'!P$272</f>
        <v>16.396000000000001</v>
      </c>
      <c r="Q225" s="20">
        <f ca="1">SUM(-Q$217,IF(Q$6=OFFSET(Assumptions!$B$8,0,$C$1),AVERAGE(SUM(N$217,N$225)/SUM(N$210,N$217,N$225),SUM(O$217,O$225)/SUM(O$210,O$217,O$225),SUM(P$217,P$225)/SUM(P$210,P$217,P$225)),SUM(P$217,P$225)/SUM(P$210,P$217,P$225))*SUM(Q$285,Q$327-Q$240))</f>
        <v>17.384180550105985</v>
      </c>
      <c r="R225" s="20">
        <f ca="1">SUM(-R$217,IF(R$6=OFFSET(Assumptions!$B$8,0,$C$1),AVERAGE(SUM(O$217,O$225)/SUM(O$210,O$217,O$225),SUM(P$217,P$225)/SUM(P$210,P$217,P$225),SUM(Q$217,Q$225)/SUM(Q$210,Q$217,Q$225)),SUM(Q$217,Q$225)/SUM(Q$210,Q$217,Q$225))*SUM(R$285,R$327-R$240))</f>
        <v>18.090734684676772</v>
      </c>
      <c r="S225" s="20">
        <f ca="1">SUM(-S$217,IF(S$6=OFFSET(Assumptions!$B$8,0,$C$1),AVERAGE(SUM(P$217,P$225)/SUM(P$210,P$217,P$225),SUM(Q$217,Q$225)/SUM(Q$210,Q$217,Q$225),SUM(R$217,R$225)/SUM(R$210,R$217,R$225)),SUM(R$217,R$225)/SUM(R$210,R$217,R$225))*SUM(S$285,S$327-S$240))</f>
        <v>18.814821205984867</v>
      </c>
      <c r="T225" s="20">
        <f ca="1">SUM(-T$217,IF(T$6=OFFSET(Assumptions!$B$8,0,$C$1),AVERAGE(SUM(Q$217,Q$225)/SUM(Q$210,Q$217,Q$225),SUM(R$217,R$225)/SUM(R$210,R$217,R$225),SUM(S$217,S$225)/SUM(S$210,S$217,S$225)),SUM(S$217,S$225)/SUM(S$210,S$217,S$225))*SUM(T$285,T$327-T$240))</f>
        <v>19.552117954503764</v>
      </c>
      <c r="U225" s="20">
        <f ca="1">SUM(-U$217,IF(U$6=OFFSET(Assumptions!$B$8,0,$C$1),AVERAGE(SUM(R$217,R$225)/SUM(R$210,R$217,R$225),SUM(S$217,S$225)/SUM(S$210,S$217,S$225),SUM(T$217,T$225)/SUM(T$210,T$217,T$225)),SUM(T$217,T$225)/SUM(T$210,T$217,T$225))*SUM(U$285,U$327-U$240))</f>
        <v>20.313945577249676</v>
      </c>
      <c r="V225" s="20">
        <f ca="1">SUM(-V$217,IF(V$6=OFFSET(Assumptions!$B$8,0,$C$1),AVERAGE(SUM(S$217,S$225)/SUM(S$210,S$217,S$225),SUM(T$217,T$225)/SUM(T$210,T$217,T$225),SUM(U$217,U$225)/SUM(U$210,U$217,U$225)),SUM(U$217,U$225)/SUM(U$210,U$217,U$225))*SUM(V$285,V$327-V$240))</f>
        <v>21.097393273455669</v>
      </c>
      <c r="W225" s="20">
        <f ca="1">SUM(-W$217,IF(W$6=OFFSET(Assumptions!$B$8,0,$C$1),AVERAGE(SUM(T$217,T$225)/SUM(T$210,T$217,T$225),SUM(U$217,U$225)/SUM(U$210,U$217,U$225),SUM(V$217,V$225)/SUM(V$210,V$217,V$225)),SUM(V$217,V$225)/SUM(V$210,V$217,V$225))*SUM(W$285,W$327-W$240))</f>
        <v>21.890689224573411</v>
      </c>
      <c r="X225" s="20">
        <f ca="1">SUM(-X$217,IF(X$6=OFFSET(Assumptions!$B$8,0,$C$1),AVERAGE(SUM(U$217,U$225)/SUM(U$210,U$217,U$225),SUM(V$217,V$225)/SUM(V$210,V$217,V$225),SUM(W$217,W$225)/SUM(W$210,W$217,W$225)),SUM(W$217,W$225)/SUM(W$210,W$217,W$225))*SUM(X$285,X$327-X$240))</f>
        <v>22.704597868053508</v>
      </c>
      <c r="Y225" s="20">
        <f ca="1">SUM(-Y$217,IF(Y$6=OFFSET(Assumptions!$B$8,0,$C$1),AVERAGE(SUM(V$217,V$225)/SUM(V$210,V$217,V$225),SUM(W$217,W$225)/SUM(W$210,W$217,W$225),SUM(X$217,X$225)/SUM(X$210,X$217,X$225)),SUM(X$217,X$225)/SUM(X$210,X$217,X$225))*SUM(Y$285,Y$327-Y$240))</f>
        <v>23.545432516273788</v>
      </c>
      <c r="Z225" s="20">
        <f ca="1">SUM(-Z$217,IF(Z$6=OFFSET(Assumptions!$B$8,0,$C$1),AVERAGE(SUM(W$217,W$225)/SUM(W$210,W$217,W$225),SUM(X$217,X$225)/SUM(X$210,X$217,X$225),SUM(Y$217,Y$225)/SUM(Y$210,Y$217,Y$225)),SUM(Y$217,Y$225)/SUM(Y$210,Y$217,Y$225))*SUM(Z$285,Z$327-Z$240))</f>
        <v>24.410354490221003</v>
      </c>
    </row>
    <row r="226" spans="1:26" x14ac:dyDescent="0.25">
      <c r="A226" s="12" t="s">
        <v>1228</v>
      </c>
      <c r="B226" s="14" t="str">
        <f>$B$38</f>
        <v>From Fiscal Forecasts</v>
      </c>
      <c r="D226" s="50">
        <f>'Fiscal Forecasts'!D$273</f>
        <v>-33.872999999999998</v>
      </c>
      <c r="E226" s="50">
        <f>'Fiscal Forecasts'!E$273</f>
        <v>-36.92</v>
      </c>
      <c r="F226" s="50">
        <f>'Fiscal Forecasts'!F$273</f>
        <v>-41.241999999999997</v>
      </c>
      <c r="G226" s="50">
        <f>'Fiscal Forecasts'!G$273</f>
        <v>-44.725999999999999</v>
      </c>
      <c r="H226" s="50">
        <f>'Fiscal Forecasts'!H$273</f>
        <v>-50.067</v>
      </c>
      <c r="I226" s="50">
        <f>'Fiscal Forecasts'!I$273</f>
        <v>-53.246000000000002</v>
      </c>
      <c r="J226" s="50">
        <f>'Fiscal Forecasts'!J$273</f>
        <v>-53.735999999999997</v>
      </c>
      <c r="K226" s="50">
        <f>'Fiscal Forecasts'!K$273</f>
        <v>-56.573</v>
      </c>
      <c r="L226" s="48">
        <f>'Fiscal Forecasts'!L$273</f>
        <v>-58.744</v>
      </c>
      <c r="M226" s="48">
        <f>'Fiscal Forecasts'!M$273</f>
        <v>-58.534999999999997</v>
      </c>
      <c r="N226" s="48">
        <f>'Fiscal Forecasts'!N$273</f>
        <v>-58.863999999999997</v>
      </c>
      <c r="O226" s="48">
        <f>'Fiscal Forecasts'!O$273</f>
        <v>-59.152000000000001</v>
      </c>
      <c r="P226" s="48">
        <f>'Fiscal Forecasts'!P$273</f>
        <v>-59.59</v>
      </c>
      <c r="Q226" s="20">
        <f ca="1">IF(Q$6=OFFSET(Assumptions!$B$8,0,$C$1),AVERAGE(N$226/SUM(N$211,N$226),O$226/SUM(O$211,O$226),P$226/SUM(P$211,P$226)),P$226/SUM(P$211,P$226))*SUM(Q$199,Q$258,Q$267,Q$286,Q$328)</f>
        <v>-64.827737326942596</v>
      </c>
      <c r="R226" s="20">
        <f ca="1">IF(R$6=OFFSET(Assumptions!$B$8,0,$C$1),AVERAGE(O$226/SUM(O$211,O$226),P$226/SUM(P$211,P$226),Q$226/SUM(Q$211,Q$226)),Q$226/SUM(Q$211,Q$226))*SUM(R$199,R$258,R$267,R$286,R$328)</f>
        <v>-68.511331294605597</v>
      </c>
      <c r="S226" s="20">
        <f ca="1">IF(S$6=OFFSET(Assumptions!$B$8,0,$C$1),AVERAGE(P$226/SUM(P$211,P$226),Q$226/SUM(Q$211,Q$226),R$226/SUM(R$211,R$226)),R$226/SUM(R$211,R$226))*SUM(S$199,S$258,S$267,S$286,S$328)</f>
        <v>-72.011169544258891</v>
      </c>
      <c r="T226" s="20">
        <f ca="1">IF(T$6=OFFSET(Assumptions!$B$8,0,$C$1),AVERAGE(Q$226/SUM(Q$211,Q$226),R$226/SUM(R$211,R$226),S$226/SUM(S$211,S$226)),S$226/SUM(S$211,S$226))*SUM(T$199,T$258,T$267,T$286,T$328)</f>
        <v>-75.868257817056147</v>
      </c>
      <c r="U226" s="20">
        <f ca="1">IF(U$6=OFFSET(Assumptions!$B$8,0,$C$1),AVERAGE(R$226/SUM(R$211,R$226),S$226/SUM(S$211,S$226),T$226/SUM(T$211,T$226)),T$226/SUM(T$211,T$226))*SUM(U$199,U$258,U$267,U$286,U$328)</f>
        <v>-79.994967031351308</v>
      </c>
      <c r="V226" s="20">
        <f ca="1">IF(V$6=OFFSET(Assumptions!$B$8,0,$C$1),AVERAGE(S$226/SUM(S$211,S$226),T$226/SUM(T$211,T$226),U$226/SUM(U$211,U$226)),U$226/SUM(U$211,U$226))*SUM(V$199,V$258,V$267,V$286,V$328)</f>
        <v>-84.11812910121229</v>
      </c>
      <c r="W226" s="20">
        <f ca="1">IF(W$6=OFFSET(Assumptions!$B$8,0,$C$1),AVERAGE(T$226/SUM(T$211,T$226),U$226/SUM(U$211,U$226),V$226/SUM(V$211,V$226)),V$226/SUM(V$211,V$226))*SUM(W$199,W$258,W$267,W$286,W$328)</f>
        <v>-88.347968168089992</v>
      </c>
      <c r="X226" s="20">
        <f ca="1">IF(X$6=OFFSET(Assumptions!$B$8,0,$C$1),AVERAGE(U$226/SUM(U$211,U$226),V$226/SUM(V$211,V$226),W$226/SUM(W$211,W$226)),W$226/SUM(W$211,W$226))*SUM(X$199,X$258,X$267,X$286,X$328)</f>
        <v>-92.774859592624324</v>
      </c>
      <c r="Y226" s="20">
        <f ca="1">IF(Y$6=OFFSET(Assumptions!$B$8,0,$C$1),AVERAGE(V$226/SUM(V$211,V$226),W$226/SUM(W$211,W$226),X$226/SUM(X$211,X$226)),X$226/SUM(X$211,X$226))*SUM(Y$199,Y$258,Y$267,Y$286,Y$328)</f>
        <v>-97.401062448000701</v>
      </c>
      <c r="Z226" s="20">
        <f ca="1">IF(Z$6=OFFSET(Assumptions!$B$8,0,$C$1),AVERAGE(W$226/SUM(W$211,W$226),X$226/SUM(X$211,X$226),Y$226/SUM(Y$211,Y$226)),Y$226/SUM(Y$211,Y$226))*SUM(Z$199,Z$258,Z$267,Z$286,Z$328)</f>
        <v>-102.25782954689484</v>
      </c>
    </row>
    <row r="227" spans="1:26" x14ac:dyDescent="0.25">
      <c r="A227" s="11" t="s">
        <v>1260</v>
      </c>
      <c r="D227" s="94">
        <f t="shared" ref="D227:Z227" si="142">SUM(D$223:D$226)</f>
        <v>42.693000000000005</v>
      </c>
      <c r="E227" s="94">
        <f t="shared" si="142"/>
        <v>52.582999999999984</v>
      </c>
      <c r="F227" s="94">
        <f t="shared" si="142"/>
        <v>53.802000000000014</v>
      </c>
      <c r="G227" s="94">
        <f t="shared" si="142"/>
        <v>58.27300000000001</v>
      </c>
      <c r="H227" s="94">
        <f t="shared" si="142"/>
        <v>64.134000000000015</v>
      </c>
      <c r="I227" s="94">
        <f t="shared" si="142"/>
        <v>70.62</v>
      </c>
      <c r="J227" s="94">
        <f t="shared" si="142"/>
        <v>69.827000000000027</v>
      </c>
      <c r="K227" s="94">
        <f t="shared" si="142"/>
        <v>67.600999999999999</v>
      </c>
      <c r="L227" s="95">
        <f ca="1">SUM(L$223:L$226)</f>
        <v>73.481999999999999</v>
      </c>
      <c r="M227" s="95">
        <f ca="1">SUM(M$223:M$226)</f>
        <v>72.538000000000011</v>
      </c>
      <c r="N227" s="95">
        <f ca="1">SUM(N$223:N$226)</f>
        <v>74.935000000000002</v>
      </c>
      <c r="O227" s="95">
        <f ca="1">SUM(O$223:O$226)</f>
        <v>77.666999999999987</v>
      </c>
      <c r="P227" s="95">
        <f ca="1">SUM(P$223:P$226)</f>
        <v>79.960000000000008</v>
      </c>
      <c r="Q227" s="96">
        <f t="shared" ca="1" si="142"/>
        <v>83.862548438861992</v>
      </c>
      <c r="R227" s="96">
        <f t="shared" ca="1" si="142"/>
        <v>88.071414644905829</v>
      </c>
      <c r="S227" s="96">
        <f t="shared" ca="1" si="142"/>
        <v>91.818870626271703</v>
      </c>
      <c r="T227" s="96">
        <f t="shared" ca="1" si="142"/>
        <v>95.594732069341475</v>
      </c>
      <c r="U227" s="96">
        <f t="shared" ca="1" si="142"/>
        <v>99.491794054608107</v>
      </c>
      <c r="V227" s="96">
        <f t="shared" ca="1" si="142"/>
        <v>103.69148462139718</v>
      </c>
      <c r="W227" s="96">
        <f t="shared" ca="1" si="142"/>
        <v>108.08061136070539</v>
      </c>
      <c r="X227" s="96">
        <f t="shared" ca="1" si="142"/>
        <v>112.63438440693594</v>
      </c>
      <c r="Y227" s="96">
        <f t="shared" ca="1" si="142"/>
        <v>117.35772409705756</v>
      </c>
      <c r="Z227" s="96">
        <f t="shared" ca="1" si="142"/>
        <v>122.29012907681945</v>
      </c>
    </row>
    <row r="228" spans="1:26" x14ac:dyDescent="0.25">
      <c r="A228" s="11"/>
    </row>
    <row r="229" spans="1:26" x14ac:dyDescent="0.25">
      <c r="A229" s="11" t="s">
        <v>1261</v>
      </c>
    </row>
    <row r="230" spans="1:26" x14ac:dyDescent="0.25">
      <c r="A230" s="11" t="s">
        <v>1262</v>
      </c>
      <c r="B230" s="14" t="str">
        <f>$B$38</f>
        <v>From Fiscal Forecasts</v>
      </c>
      <c r="D230" s="51">
        <f>'Fiscal Forecasts'!D$173</f>
        <v>3.69</v>
      </c>
      <c r="E230" s="51">
        <f>'Fiscal Forecasts'!E$173</f>
        <v>3.2280000000000002</v>
      </c>
      <c r="F230" s="51">
        <f>'Fiscal Forecasts'!F$173</f>
        <v>1.9179999999999999</v>
      </c>
      <c r="G230" s="51">
        <f>'Fiscal Forecasts'!G$173</f>
        <v>2.8839999999999999</v>
      </c>
      <c r="H230" s="51">
        <f>'Fiscal Forecasts'!H$173</f>
        <v>6.569</v>
      </c>
      <c r="I230" s="51">
        <f>'Fiscal Forecasts'!I$173</f>
        <v>8.9429999999999996</v>
      </c>
      <c r="J230" s="51">
        <f>'Fiscal Forecasts'!J$173</f>
        <v>8.8620000000000001</v>
      </c>
      <c r="K230" s="51">
        <f>'Fiscal Forecasts'!K$173</f>
        <v>9.0570000000000004</v>
      </c>
      <c r="L230" s="47">
        <f>'Fiscal Forecasts'!L$173</f>
        <v>10.291</v>
      </c>
      <c r="M230" s="47">
        <f>'Fiscal Forecasts'!M$173</f>
        <v>11.396000000000001</v>
      </c>
      <c r="N230" s="47">
        <f>'Fiscal Forecasts'!N$173</f>
        <v>12.481</v>
      </c>
      <c r="O230" s="47">
        <f>'Fiscal Forecasts'!O$173</f>
        <v>13.502000000000001</v>
      </c>
      <c r="P230" s="47">
        <f>'Fiscal Forecasts'!P$173</f>
        <v>13.689</v>
      </c>
      <c r="Q230" s="21">
        <f t="shared" ref="Q230:Z230" ca="1" si="143">Q$480</f>
        <v>13.704733347861225</v>
      </c>
      <c r="R230" s="21">
        <f t="shared" ca="1" si="143"/>
        <v>13.903027509683255</v>
      </c>
      <c r="S230" s="21">
        <f t="shared" ca="1" si="143"/>
        <v>14.191058915437539</v>
      </c>
      <c r="T230" s="21">
        <f t="shared" ca="1" si="143"/>
        <v>14.522042416502456</v>
      </c>
      <c r="U230" s="21">
        <f t="shared" ca="1" si="143"/>
        <v>14.882537445347634</v>
      </c>
      <c r="V230" s="21">
        <f t="shared" ca="1" si="143"/>
        <v>15.179608289894341</v>
      </c>
      <c r="W230" s="21">
        <f t="shared" ca="1" si="143"/>
        <v>15.505164689036119</v>
      </c>
      <c r="X230" s="21">
        <f t="shared" ca="1" si="143"/>
        <v>15.864367725787988</v>
      </c>
      <c r="Y230" s="21">
        <f t="shared" ca="1" si="143"/>
        <v>16.263792070067105</v>
      </c>
      <c r="Z230" s="21">
        <f t="shared" ca="1" si="143"/>
        <v>16.710561193790934</v>
      </c>
    </row>
    <row r="231" spans="1:26" x14ac:dyDescent="0.25">
      <c r="A231" s="12" t="s">
        <v>1020</v>
      </c>
      <c r="B231" s="14" t="str">
        <f>$B$38</f>
        <v>From Fiscal Forecasts</v>
      </c>
      <c r="D231" s="50">
        <f>'Fiscal Forecasts'!D$276</f>
        <v>0.11700000000000001</v>
      </c>
      <c r="E231" s="50">
        <f>'Fiscal Forecasts'!E$276</f>
        <v>0.16400000000000001</v>
      </c>
      <c r="F231" s="50">
        <f>'Fiscal Forecasts'!F$276</f>
        <v>0.218</v>
      </c>
      <c r="G231" s="50">
        <f>'Fiscal Forecasts'!G$276</f>
        <v>0.30099999999999999</v>
      </c>
      <c r="H231" s="50">
        <f>'Fiscal Forecasts'!H$276</f>
        <v>0.872</v>
      </c>
      <c r="I231" s="50">
        <f>'Fiscal Forecasts'!I$276</f>
        <v>1.9690000000000001</v>
      </c>
      <c r="J231" s="50">
        <f>'Fiscal Forecasts'!J$276</f>
        <v>2.387</v>
      </c>
      <c r="K231" s="50">
        <f>'Fiscal Forecasts'!K$276</f>
        <v>2.2010000000000001</v>
      </c>
      <c r="L231" s="48">
        <f>'Fiscal Forecasts'!L$276</f>
        <v>2.4409999999999998</v>
      </c>
      <c r="M231" s="48">
        <f>'Fiscal Forecasts'!M$276</f>
        <v>2.8340000000000001</v>
      </c>
      <c r="N231" s="48">
        <f>'Fiscal Forecasts'!N$276</f>
        <v>3.27</v>
      </c>
      <c r="O231" s="48">
        <f>'Fiscal Forecasts'!O$276</f>
        <v>3.6720000000000002</v>
      </c>
      <c r="P231" s="48">
        <f>'Fiscal Forecasts'!P$276</f>
        <v>4.0439999999999996</v>
      </c>
      <c r="Q231" s="20">
        <f ca="1">IF(Q$6=OFFSET(Assumptions!$B$8,0,$C$1),AVERAGE(N$231/SUM(N$231:N$233),O$231/SUM(O$231:O$233),P$231/SUM(P$231:P$233)),P$231/SUM(P$231:P$233))*(Q$96-Q$480)</f>
        <v>4.6514380133930748</v>
      </c>
      <c r="R231" s="20">
        <f ca="1">IF(R$6=OFFSET(Assumptions!$B$8,0,$C$1),AVERAGE(O$231/SUM(O$231:O$233),P$231/SUM(P$231:P$233),Q$231/SUM(Q$231:Q$233)),Q$231/SUM(Q$231:Q$233))*(R$96-R$480)</f>
        <v>5.031558997915301</v>
      </c>
      <c r="S231" s="20">
        <f ca="1">IF(S$6=OFFSET(Assumptions!$B$8,0,$C$1),AVERAGE(P$231/SUM(P$231:P$233),Q$231/SUM(Q$231:Q$233),R$231/SUM(R$231:R$233)),R$231/SUM(R$231:R$233))*(S$96-S$480)</f>
        <v>5.4121200149337447</v>
      </c>
      <c r="T231" s="20">
        <f ca="1">IF(T$6=OFFSET(Assumptions!$B$8,0,$C$1),AVERAGE(Q$231/SUM(Q$231:Q$233),R$231/SUM(R$231:R$233),S$231/SUM(S$231:S$233)),S$231/SUM(S$231:S$233))*(T$96-T$480)</f>
        <v>5.7918565040902594</v>
      </c>
      <c r="U231" s="20">
        <f ca="1">IF(U$6=OFFSET(Assumptions!$B$8,0,$C$1),AVERAGE(R$231/SUM(R$231:R$233),S$231/SUM(S$231:S$233),T$231/SUM(T$231:T$233)),T$231/SUM(T$231:T$233))*(U$96-U$480)</f>
        <v>6.1659247181660497</v>
      </c>
      <c r="V231" s="20">
        <f ca="1">IF(V$6=OFFSET(Assumptions!$B$8,0,$C$1),AVERAGE(S$231/SUM(S$231:S$233),T$231/SUM(T$231:T$233),U$231/SUM(U$231:U$233)),U$231/SUM(U$231:U$233))*(V$96-V$480)</f>
        <v>6.5020707607820976</v>
      </c>
      <c r="W231" s="20">
        <f ca="1">IF(W$6=OFFSET(Assumptions!$B$8,0,$C$1),AVERAGE(T$231/SUM(T$231:T$233),U$231/SUM(U$231:U$233),V$231/SUM(V$231:V$233)),V$231/SUM(V$231:V$233))*(W$96-W$480)</f>
        <v>6.8416778661127067</v>
      </c>
      <c r="X231" s="20">
        <f ca="1">IF(X$6=OFFSET(Assumptions!$B$8,0,$C$1),AVERAGE(U$231/SUM(U$231:U$233),V$231/SUM(V$231:V$233),W$231/SUM(W$231:W$233)),W$231/SUM(W$231:W$233))*(X$96-X$480)</f>
        <v>7.1861399183228247</v>
      </c>
      <c r="Y231" s="20">
        <f ca="1">IF(Y$6=OFFSET(Assumptions!$B$8,0,$C$1),AVERAGE(V$231/SUM(V$231:V$233),W$231/SUM(W$231:W$233),X$231/SUM(X$231:X$233)),X$231/SUM(X$231:X$233))*(Y$96-Y$480)</f>
        <v>7.535560335830124</v>
      </c>
      <c r="Z231" s="20">
        <f ca="1">IF(Z$6=OFFSET(Assumptions!$B$8,0,$C$1),AVERAGE(W$231/SUM(W$231:W$233),X$231/SUM(X$231:X$233),Y$231/SUM(Y$231:Y$233)),Y$231/SUM(Y$231:Y$233))*(Z$96-Z$480)</f>
        <v>7.8907903593521809</v>
      </c>
    </row>
    <row r="232" spans="1:26" x14ac:dyDescent="0.25">
      <c r="A232" s="12" t="s">
        <v>1227</v>
      </c>
      <c r="B232" s="14" t="str">
        <f>$B$38</f>
        <v>From Fiscal Forecasts</v>
      </c>
      <c r="D232" s="50">
        <f>'Fiscal Forecasts'!D$277</f>
        <v>1.0449999999999999</v>
      </c>
      <c r="E232" s="50">
        <f>'Fiscal Forecasts'!E$277</f>
        <v>0.90100000000000002</v>
      </c>
      <c r="F232" s="50">
        <f>'Fiscal Forecasts'!F$277</f>
        <v>0.59199999999999997</v>
      </c>
      <c r="G232" s="50">
        <f>'Fiscal Forecasts'!G$277</f>
        <v>0.66</v>
      </c>
      <c r="H232" s="50">
        <f>'Fiscal Forecasts'!H$277</f>
        <v>0.68200000000000005</v>
      </c>
      <c r="I232" s="50">
        <f>'Fiscal Forecasts'!I$277</f>
        <v>0.57999999999999996</v>
      </c>
      <c r="J232" s="50">
        <f>'Fiscal Forecasts'!J$277</f>
        <v>0.57199999999999995</v>
      </c>
      <c r="K232" s="50">
        <f>'Fiscal Forecasts'!K$277</f>
        <v>0.57699999999999996</v>
      </c>
      <c r="L232" s="48">
        <f>'Fiscal Forecasts'!L$277</f>
        <v>0.64900000000000002</v>
      </c>
      <c r="M232" s="48">
        <f>'Fiscal Forecasts'!M$277</f>
        <v>0.74099999999999999</v>
      </c>
      <c r="N232" s="48">
        <f>'Fiscal Forecasts'!N$277</f>
        <v>0.84499999999999997</v>
      </c>
      <c r="O232" s="48">
        <f>'Fiscal Forecasts'!O$277</f>
        <v>0.89400000000000002</v>
      </c>
      <c r="P232" s="48">
        <f>'Fiscal Forecasts'!P$277</f>
        <v>0.95599999999999996</v>
      </c>
      <c r="Q232" s="20">
        <f ca="1">IF(Q$6=OFFSET(Assumptions!$B$8,0,$C$1),AVERAGE(N$232/SUM(N$231:N$233),O$232/SUM(O$231:O$233),P$232/SUM(P$231:P$233)),P$232/SUM(P$231:P$233))*(Q$96-Q$480)</f>
        <v>1.1459527186083478</v>
      </c>
      <c r="R232" s="20">
        <f ca="1">IF(R$6=OFFSET(Assumptions!$B$8,0,$C$1),AVERAGE(O$232/SUM(O$231:O$233),P$232/SUM(P$231:P$233),Q$232/SUM(Q$231:Q$233)),Q$232/SUM(Q$231:Q$233))*(R$96-R$480)</f>
        <v>1.2396013224076641</v>
      </c>
      <c r="S232" s="20">
        <f ca="1">IF(S$6=OFFSET(Assumptions!$B$8,0,$C$1),AVERAGE(P$232/SUM(P$231:P$233),Q$232/SUM(Q$231:Q$233),R$232/SUM(R$231:R$233)),R$232/SUM(R$231:R$233))*(S$96-S$480)</f>
        <v>1.3333583349257172</v>
      </c>
      <c r="T232" s="20">
        <f ca="1">IF(T$6=OFFSET(Assumptions!$B$8,0,$C$1),AVERAGE(Q$232/SUM(Q$231:Q$233),R$232/SUM(R$231:R$233),S$232/SUM(S$231:S$233)),S$232/SUM(S$231:S$233))*(T$96-T$480)</f>
        <v>1.426912212425691</v>
      </c>
      <c r="U232" s="20">
        <f ca="1">IF(U$6=OFFSET(Assumptions!$B$8,0,$C$1),AVERAGE(R$232/SUM(R$231:R$233),S$232/SUM(S$231:S$233),T$232/SUM(T$231:T$233)),T$232/SUM(T$231:T$233))*(U$96-U$480)</f>
        <v>1.5190696238822876</v>
      </c>
      <c r="V232" s="20">
        <f ca="1">IF(V$6=OFFSET(Assumptions!$B$8,0,$C$1),AVERAGE(S$232/SUM(S$231:S$233),T$232/SUM(T$231:T$233),U$232/SUM(U$231:U$233)),U$232/SUM(U$231:U$233))*(V$96-V$480)</f>
        <v>1.601884329845509</v>
      </c>
      <c r="W232" s="20">
        <f ca="1">IF(W$6=OFFSET(Assumptions!$B$8,0,$C$1),AVERAGE(T$232/SUM(T$231:T$233),U$232/SUM(U$231:U$233),V$232/SUM(V$231:V$233)),V$232/SUM(V$231:V$233))*(W$96-W$480)</f>
        <v>1.6855517214116782</v>
      </c>
      <c r="X232" s="20">
        <f ca="1">IF(X$6=OFFSET(Assumptions!$B$8,0,$C$1),AVERAGE(U$232/SUM(U$231:U$233),V$232/SUM(V$231:V$233),W$232/SUM(W$231:W$233)),W$232/SUM(W$231:W$233))*(X$96-X$480)</f>
        <v>1.7704152032104279</v>
      </c>
      <c r="Y232" s="20">
        <f ca="1">IF(Y$6=OFFSET(Assumptions!$B$8,0,$C$1),AVERAGE(V$232/SUM(V$231:V$233),W$232/SUM(W$231:W$233),X$232/SUM(X$231:X$233)),X$232/SUM(X$231:X$233))*(Y$96-Y$480)</f>
        <v>1.8565002539467401</v>
      </c>
      <c r="Z232" s="20">
        <f ca="1">IF(Z$6=OFFSET(Assumptions!$B$8,0,$C$1),AVERAGE(W$232/SUM(W$231:W$233),X$232/SUM(X$231:X$233),Y$232/SUM(Y$231:Y$233)),Y$232/SUM(Y$231:Y$233))*(Z$96-Z$480)</f>
        <v>1.9440165897582236</v>
      </c>
    </row>
    <row r="233" spans="1:26" x14ac:dyDescent="0.25">
      <c r="A233" s="12" t="s">
        <v>1228</v>
      </c>
      <c r="B233" s="14" t="str">
        <f>$B$38</f>
        <v>From Fiscal Forecasts</v>
      </c>
      <c r="D233" s="50">
        <f>'Fiscal Forecasts'!D$278</f>
        <v>-0.55400000000000005</v>
      </c>
      <c r="E233" s="50">
        <f>'Fiscal Forecasts'!E$278</f>
        <v>-0.53900000000000003</v>
      </c>
      <c r="F233" s="50">
        <f>'Fiscal Forecasts'!F$278</f>
        <v>-0.45600000000000002</v>
      </c>
      <c r="G233" s="50">
        <f>'Fiscal Forecasts'!G$278</f>
        <v>-0.496</v>
      </c>
      <c r="H233" s="50">
        <f>'Fiscal Forecasts'!H$278</f>
        <v>-0.67500000000000004</v>
      </c>
      <c r="I233" s="50">
        <f>'Fiscal Forecasts'!I$278</f>
        <v>-1.1179999999999999</v>
      </c>
      <c r="J233" s="50">
        <f>'Fiscal Forecasts'!J$278</f>
        <v>-1.431</v>
      </c>
      <c r="K233" s="50">
        <f>'Fiscal Forecasts'!K$278</f>
        <v>-1.587</v>
      </c>
      <c r="L233" s="48">
        <f>'Fiscal Forecasts'!L$278</f>
        <v>-1.7230000000000001</v>
      </c>
      <c r="M233" s="48">
        <f>'Fiscal Forecasts'!M$278</f>
        <v>-1.89</v>
      </c>
      <c r="N233" s="48">
        <f>'Fiscal Forecasts'!N$278</f>
        <v>-2.0009999999999999</v>
      </c>
      <c r="O233" s="48">
        <f>'Fiscal Forecasts'!O$278</f>
        <v>-2.085</v>
      </c>
      <c r="P233" s="48">
        <f>'Fiscal Forecasts'!P$278</f>
        <v>-2.1890000000000001</v>
      </c>
      <c r="Q233" s="20">
        <f ca="1">IF(Q$6=OFFSET(Assumptions!$B$8,0,$C$1),AVERAGE(N$233/SUM(N$231:N$233),O$233/SUM(O$231:O$233),P$233/SUM(P$231:P$233)),P$233/SUM(P$231:P$233))*(Q$96-Q$480)</f>
        <v>-2.672483432457136</v>
      </c>
      <c r="R233" s="20">
        <f ca="1">IF(R$6=OFFSET(Assumptions!$B$8,0,$C$1),AVERAGE(O$233/SUM(O$231:O$233),P$233/SUM(P$231:P$233),Q$233/SUM(Q$231:Q$233)),Q$233/SUM(Q$231:Q$233))*(R$96-R$480)</f>
        <v>-2.8908819213846284</v>
      </c>
      <c r="S233" s="20">
        <f ca="1">IF(S$6=OFFSET(Assumptions!$B$8,0,$C$1),AVERAGE(P$233/SUM(P$231:P$233),Q$233/SUM(Q$231:Q$233),R$233/SUM(R$231:R$233)),R$233/SUM(R$231:R$233))*(S$96-S$480)</f>
        <v>-3.1095332309565102</v>
      </c>
      <c r="T233" s="20">
        <f ca="1">IF(T$6=OFFSET(Assumptions!$B$8,0,$C$1),AVERAGE(Q$233/SUM(Q$231:Q$233),R$233/SUM(R$231:R$233),S$233/SUM(S$231:S$233)),S$233/SUM(S$231:S$233))*(T$96-T$480)</f>
        <v>-3.3277108080946243</v>
      </c>
      <c r="U233" s="20">
        <f ca="1">IF(U$6=OFFSET(Assumptions!$B$8,0,$C$1),AVERAGE(R$233/SUM(R$231:R$233),S$233/SUM(S$231:S$233),T$233/SUM(T$231:T$233)),T$233/SUM(T$231:T$233))*(U$96-U$480)</f>
        <v>-3.542631678124049</v>
      </c>
      <c r="V233" s="20">
        <f ca="1">IF(V$6=OFFSET(Assumptions!$B$8,0,$C$1),AVERAGE(S$233/SUM(S$231:S$233),T$233/SUM(T$231:T$233),U$233/SUM(U$231:U$233)),U$233/SUM(U$231:U$233))*(V$96-V$480)</f>
        <v>-3.7357643668088767</v>
      </c>
      <c r="W233" s="20">
        <f ca="1">IF(W$6=OFFSET(Assumptions!$B$8,0,$C$1),AVERAGE(T$233/SUM(T$231:T$233),U$233/SUM(U$231:U$233),V$233/SUM(V$231:V$233)),V$233/SUM(V$231:V$233))*(W$96-W$480)</f>
        <v>-3.9308856088693975</v>
      </c>
      <c r="X233" s="20">
        <f ca="1">IF(X$6=OFFSET(Assumptions!$B$8,0,$C$1),AVERAGE(U$233/SUM(U$231:U$233),V$233/SUM(V$231:V$233),W$233/SUM(W$231:W$233)),W$233/SUM(W$231:W$233))*(X$96-X$480)</f>
        <v>-4.1287962603692332</v>
      </c>
      <c r="Y233" s="20">
        <f ca="1">IF(Y$6=OFFSET(Assumptions!$B$8,0,$C$1),AVERAGE(V$233/SUM(V$231:V$233),W$233/SUM(W$231:W$233),X$233/SUM(X$231:X$233)),X$233/SUM(X$231:X$233))*(Y$96-Y$480)</f>
        <v>-4.3295557403540741</v>
      </c>
      <c r="Z233" s="20">
        <f ca="1">IF(Z$6=OFFSET(Assumptions!$B$8,0,$C$1),AVERAGE(W$233/SUM(W$231:W$233),X$233/SUM(X$231:X$233),Y$233/SUM(Y$231:Y$233)),Y$233/SUM(Y$231:Y$233))*(Z$96-Z$480)</f>
        <v>-4.5336531291273019</v>
      </c>
    </row>
    <row r="234" spans="1:26" x14ac:dyDescent="0.25">
      <c r="A234" s="11" t="s">
        <v>1263</v>
      </c>
      <c r="D234" s="94">
        <f t="shared" ref="D234:Z234" si="144">SUM(D$230:D$233)</f>
        <v>4.298</v>
      </c>
      <c r="E234" s="94">
        <f t="shared" si="144"/>
        <v>3.754</v>
      </c>
      <c r="F234" s="94">
        <f t="shared" si="144"/>
        <v>2.2720000000000002</v>
      </c>
      <c r="G234" s="94">
        <f t="shared" si="144"/>
        <v>3.3490000000000002</v>
      </c>
      <c r="H234" s="94">
        <f t="shared" si="144"/>
        <v>7.4479999999999995</v>
      </c>
      <c r="I234" s="94">
        <f t="shared" si="144"/>
        <v>10.373999999999999</v>
      </c>
      <c r="J234" s="94">
        <f t="shared" si="144"/>
        <v>10.39</v>
      </c>
      <c r="K234" s="94">
        <f t="shared" si="144"/>
        <v>10.248000000000001</v>
      </c>
      <c r="L234" s="95">
        <f t="shared" si="144"/>
        <v>11.657999999999999</v>
      </c>
      <c r="M234" s="95">
        <f t="shared" si="144"/>
        <v>13.081</v>
      </c>
      <c r="N234" s="95">
        <f t="shared" si="144"/>
        <v>14.595000000000001</v>
      </c>
      <c r="O234" s="95">
        <f t="shared" si="144"/>
        <v>15.982999999999997</v>
      </c>
      <c r="P234" s="95">
        <f t="shared" si="144"/>
        <v>16.5</v>
      </c>
      <c r="Q234" s="96">
        <f t="shared" ca="1" si="144"/>
        <v>16.829640647405515</v>
      </c>
      <c r="R234" s="96">
        <f t="shared" ca="1" si="144"/>
        <v>17.283305908621593</v>
      </c>
      <c r="S234" s="96">
        <f t="shared" ca="1" si="144"/>
        <v>17.82700403434049</v>
      </c>
      <c r="T234" s="96">
        <f t="shared" ca="1" si="144"/>
        <v>18.413100324923782</v>
      </c>
      <c r="U234" s="96">
        <f t="shared" ca="1" si="144"/>
        <v>19.024900109271922</v>
      </c>
      <c r="V234" s="96">
        <f t="shared" ca="1" si="144"/>
        <v>19.547799013713071</v>
      </c>
      <c r="W234" s="96">
        <f t="shared" ca="1" si="144"/>
        <v>20.101508667691107</v>
      </c>
      <c r="X234" s="96">
        <f t="shared" ca="1" si="144"/>
        <v>20.692126586952007</v>
      </c>
      <c r="Y234" s="96">
        <f t="shared" ca="1" si="144"/>
        <v>21.326296919489895</v>
      </c>
      <c r="Z234" s="96">
        <f t="shared" ca="1" si="144"/>
        <v>22.011715013774037</v>
      </c>
    </row>
    <row r="235" spans="1:26" x14ac:dyDescent="0.25">
      <c r="A235" s="14" t="s">
        <v>658</v>
      </c>
      <c r="E235" s="89">
        <f t="shared" ref="E235:P235" si="145">E$230/AVERAGE(D$71,E$71)</f>
        <v>2.9634933968629935E-2</v>
      </c>
      <c r="F235" s="89">
        <f t="shared" si="145"/>
        <v>1.4817447196427743E-2</v>
      </c>
      <c r="G235" s="89">
        <f t="shared" si="145"/>
        <v>1.9129171655131016E-2</v>
      </c>
      <c r="H235" s="89">
        <f t="shared" si="145"/>
        <v>3.6492923905948361E-2</v>
      </c>
      <c r="I235" s="89">
        <f t="shared" si="145"/>
        <v>4.3905169154937182E-2</v>
      </c>
      <c r="J235" s="89">
        <f t="shared" si="145"/>
        <v>3.8926811269535878E-2</v>
      </c>
      <c r="K235" s="89">
        <f t="shared" si="145"/>
        <v>3.6534598349347733E-2</v>
      </c>
      <c r="L235" s="66">
        <f t="shared" si="145"/>
        <v>3.8861678706700244E-2</v>
      </c>
      <c r="M235" s="66">
        <f t="shared" si="145"/>
        <v>4.0583178422113488E-2</v>
      </c>
      <c r="N235" s="66">
        <f t="shared" si="145"/>
        <v>4.2446533725796272E-2</v>
      </c>
      <c r="O235" s="66">
        <f t="shared" si="145"/>
        <v>4.4865266302370359E-2</v>
      </c>
      <c r="P235" s="66">
        <f t="shared" si="145"/>
        <v>4.5545513073249118E-2</v>
      </c>
      <c r="Q235" s="101">
        <f ca="1">IF(Q$6&lt;OFFSET(Assumptions!$B$8,0,$C$1)+OFFSET(Assumptions!$B$23,0,$C$1),P$235+(OFFSET(P$30,0,OFFSET(Assumptions!$B$8,0,$C$1)+OFFSET(Assumptions!$B$23,0,$C$1)-Q$6)-P$235)/(OFFSET(Assumptions!$B$8,0,$C$1)+OFFSET(Assumptions!$B$23,0,$C$1)-Q$6),Q$30)</f>
        <v>4.5836410458599292E-2</v>
      </c>
      <c r="R235" s="101">
        <f ca="1">IF(R$6&lt;OFFSET(Assumptions!$B$8,0,$C$1)+OFFSET(Assumptions!$B$23,0,$C$1),Q$235+(OFFSET(Q$30,0,OFFSET(Assumptions!$B$8,0,$C$1)+OFFSET(Assumptions!$B$23,0,$C$1)-R$6)-Q$235)/(OFFSET(Assumptions!$B$8,0,$C$1)+OFFSET(Assumptions!$B$23,0,$C$1)-R$6),R$30)</f>
        <v>4.6127307843949472E-2</v>
      </c>
      <c r="S235" s="101">
        <f ca="1">IF(S$6&lt;OFFSET(Assumptions!$B$8,0,$C$1)+OFFSET(Assumptions!$B$23,0,$C$1),R$235+(OFFSET(R$30,0,OFFSET(Assumptions!$B$8,0,$C$1)+OFFSET(Assumptions!$B$23,0,$C$1)-S$6)-R$235)/(OFFSET(Assumptions!$B$8,0,$C$1)+OFFSET(Assumptions!$B$23,0,$C$1)-S$6),S$30)</f>
        <v>4.6418205229299646E-2</v>
      </c>
      <c r="T235" s="101">
        <f ca="1">IF(T$6&lt;OFFSET(Assumptions!$B$8,0,$C$1)+OFFSET(Assumptions!$B$23,0,$C$1),S$235+(OFFSET(S$30,0,OFFSET(Assumptions!$B$8,0,$C$1)+OFFSET(Assumptions!$B$23,0,$C$1)-T$6)-S$235)/(OFFSET(Assumptions!$B$8,0,$C$1)+OFFSET(Assumptions!$B$23,0,$C$1)-T$6),T$30)</f>
        <v>4.6709102614649819E-2</v>
      </c>
      <c r="U235" s="101">
        <f ca="1">IF(U$6&lt;OFFSET(Assumptions!$B$8,0,$C$1)+OFFSET(Assumptions!$B$23,0,$C$1),T$235+(OFFSET(T$30,0,OFFSET(Assumptions!$B$8,0,$C$1)+OFFSET(Assumptions!$B$23,0,$C$1)-U$6)-T$235)/(OFFSET(Assumptions!$B$8,0,$C$1)+OFFSET(Assumptions!$B$23,0,$C$1)-U$6),U$30)</f>
        <v>4.7E-2</v>
      </c>
      <c r="V235" s="101">
        <f ca="1">IF(V$6&lt;OFFSET(Assumptions!$B$8,0,$C$1)+OFFSET(Assumptions!$B$23,0,$C$1),U$235+(OFFSET(U$30,0,OFFSET(Assumptions!$B$8,0,$C$1)+OFFSET(Assumptions!$B$23,0,$C$1)-V$6)-U$235)/(OFFSET(Assumptions!$B$8,0,$C$1)+OFFSET(Assumptions!$B$23,0,$C$1)-V$6),V$30)</f>
        <v>4.7E-2</v>
      </c>
      <c r="W235" s="101">
        <f ca="1">IF(W$6&lt;OFFSET(Assumptions!$B$8,0,$C$1)+OFFSET(Assumptions!$B$23,0,$C$1),V$235+(OFFSET(V$30,0,OFFSET(Assumptions!$B$8,0,$C$1)+OFFSET(Assumptions!$B$23,0,$C$1)-W$6)-V$235)/(OFFSET(Assumptions!$B$8,0,$C$1)+OFFSET(Assumptions!$B$23,0,$C$1)-W$6),W$30)</f>
        <v>4.7E-2</v>
      </c>
      <c r="X235" s="101">
        <f ca="1">IF(X$6&lt;OFFSET(Assumptions!$B$8,0,$C$1)+OFFSET(Assumptions!$B$23,0,$C$1),W$235+(OFFSET(W$30,0,OFFSET(Assumptions!$B$8,0,$C$1)+OFFSET(Assumptions!$B$23,0,$C$1)-X$6)-W$235)/(OFFSET(Assumptions!$B$8,0,$C$1)+OFFSET(Assumptions!$B$23,0,$C$1)-X$6),X$30)</f>
        <v>4.7E-2</v>
      </c>
      <c r="Y235" s="101">
        <f ca="1">IF(Y$6&lt;OFFSET(Assumptions!$B$8,0,$C$1)+OFFSET(Assumptions!$B$23,0,$C$1),X$235+(OFFSET(X$30,0,OFFSET(Assumptions!$B$8,0,$C$1)+OFFSET(Assumptions!$B$23,0,$C$1)-Y$6)-X$235)/(OFFSET(Assumptions!$B$8,0,$C$1)+OFFSET(Assumptions!$B$23,0,$C$1)-Y$6),Y$30)</f>
        <v>4.7E-2</v>
      </c>
      <c r="Z235" s="101">
        <f ca="1">IF(Z$6&lt;OFFSET(Assumptions!$B$8,0,$C$1)+OFFSET(Assumptions!$B$23,0,$C$1),Y$235+(OFFSET(Y$30,0,OFFSET(Assumptions!$B$8,0,$C$1)+OFFSET(Assumptions!$B$23,0,$C$1)-Z$6)-Y$235)/(OFFSET(Assumptions!$B$8,0,$C$1)+OFFSET(Assumptions!$B$23,0,$C$1)-Z$6),Z$30)</f>
        <v>4.7E-2</v>
      </c>
    </row>
    <row r="236" spans="1:26" x14ac:dyDescent="0.25">
      <c r="A236" s="14"/>
    </row>
    <row r="237" spans="1:26" x14ac:dyDescent="0.25">
      <c r="A237" s="11" t="s">
        <v>875</v>
      </c>
    </row>
    <row r="238" spans="1:26" x14ac:dyDescent="0.25">
      <c r="A238" s="11" t="s">
        <v>1264</v>
      </c>
      <c r="B238" s="14" t="str">
        <f>$B$38</f>
        <v>From Fiscal Forecasts</v>
      </c>
      <c r="D238" s="51">
        <f>'Fiscal Forecasts'!D$174</f>
        <v>0</v>
      </c>
      <c r="E238" s="51">
        <f>'Fiscal Forecasts'!E$174</f>
        <v>0</v>
      </c>
      <c r="F238" s="51">
        <f>'Fiscal Forecasts'!F$174</f>
        <v>1E-3</v>
      </c>
      <c r="G238" s="51">
        <f>'Fiscal Forecasts'!G$174</f>
        <v>1E-3</v>
      </c>
      <c r="H238" s="51">
        <f>'Fiscal Forecasts'!H$174</f>
        <v>3.0000000000000001E-3</v>
      </c>
      <c r="I238" s="51">
        <f>'Fiscal Forecasts'!I$174</f>
        <v>2E-3</v>
      </c>
      <c r="J238" s="51">
        <f>'Fiscal Forecasts'!J$174</f>
        <v>3.0000000000000001E-3</v>
      </c>
      <c r="K238" s="51">
        <f>'Fiscal Forecasts'!K$174</f>
        <v>2E-3</v>
      </c>
      <c r="L238" s="47">
        <f>'Fiscal Forecasts'!L$174</f>
        <v>0</v>
      </c>
      <c r="M238" s="47">
        <f>'Fiscal Forecasts'!M$174</f>
        <v>0</v>
      </c>
      <c r="N238" s="47">
        <f>'Fiscal Forecasts'!N$174</f>
        <v>0</v>
      </c>
      <c r="O238" s="47">
        <f>'Fiscal Forecasts'!O$174</f>
        <v>0</v>
      </c>
      <c r="P238" s="47">
        <f>'Fiscal Forecasts'!P$174</f>
        <v>0</v>
      </c>
      <c r="Q238" s="21">
        <f ca="1">IF(Q$6=OFFSET(Assumptions!$B$8,0,$C$1),OFFSET(Assumptions!$B$9,0,$C$1),P$238)</f>
        <v>0</v>
      </c>
      <c r="R238" s="21">
        <f ca="1">IF(R$6=OFFSET(Assumptions!$B$8,0,$C$1),OFFSET(Assumptions!$B$9,0,$C$1),Q$238)</f>
        <v>0</v>
      </c>
      <c r="S238" s="21">
        <f ca="1">IF(S$6=OFFSET(Assumptions!$B$8,0,$C$1),OFFSET(Assumptions!$B$9,0,$C$1),R$238)</f>
        <v>0</v>
      </c>
      <c r="T238" s="21">
        <f ca="1">IF(T$6=OFFSET(Assumptions!$B$8,0,$C$1),OFFSET(Assumptions!$B$9,0,$C$1),S$238)</f>
        <v>0</v>
      </c>
      <c r="U238" s="21">
        <f ca="1">IF(U$6=OFFSET(Assumptions!$B$8,0,$C$1),OFFSET(Assumptions!$B$9,0,$C$1),T$238)</f>
        <v>0</v>
      </c>
      <c r="V238" s="21">
        <f ca="1">IF(V$6=OFFSET(Assumptions!$B$8,0,$C$1),OFFSET(Assumptions!$B$9,0,$C$1),U$238)</f>
        <v>0</v>
      </c>
      <c r="W238" s="21">
        <f ca="1">IF(W$6=OFFSET(Assumptions!$B$8,0,$C$1),OFFSET(Assumptions!$B$9,0,$C$1),V$238)</f>
        <v>0</v>
      </c>
      <c r="X238" s="21">
        <f ca="1">IF(X$6=OFFSET(Assumptions!$B$8,0,$C$1),OFFSET(Assumptions!$B$9,0,$C$1),W$238)</f>
        <v>0</v>
      </c>
      <c r="Y238" s="21">
        <f ca="1">IF(Y$6=OFFSET(Assumptions!$B$8,0,$C$1),OFFSET(Assumptions!$B$9,0,$C$1),X$238)</f>
        <v>0</v>
      </c>
      <c r="Z238" s="21">
        <f ca="1">IF(Z$6=OFFSET(Assumptions!$B$8,0,$C$1),OFFSET(Assumptions!$B$9,0,$C$1),Y$238)</f>
        <v>0</v>
      </c>
    </row>
    <row r="239" spans="1:26" x14ac:dyDescent="0.25">
      <c r="A239" s="12" t="s">
        <v>1020</v>
      </c>
      <c r="B239" s="14" t="str">
        <f>$B$38</f>
        <v>From Fiscal Forecasts</v>
      </c>
      <c r="D239" s="50">
        <f>'Fiscal Forecasts'!D$203</f>
        <v>5.8070000000000004</v>
      </c>
      <c r="E239" s="50">
        <f>'Fiscal Forecasts'!E$203</f>
        <v>6.8959999999999999</v>
      </c>
      <c r="F239" s="50">
        <f>'Fiscal Forecasts'!F$203</f>
        <v>6.8310000000000004</v>
      </c>
      <c r="G239" s="50">
        <f>'Fiscal Forecasts'!G$203</f>
        <v>6.44</v>
      </c>
      <c r="H239" s="50">
        <f>'Fiscal Forecasts'!H$203</f>
        <v>8.7729999999999997</v>
      </c>
      <c r="I239" s="50">
        <f>'Fiscal Forecasts'!I$203</f>
        <v>10.413</v>
      </c>
      <c r="J239" s="50">
        <f>'Fiscal Forecasts'!J$203</f>
        <v>11.526999999999999</v>
      </c>
      <c r="K239" s="50">
        <f>'Fiscal Forecasts'!K$203</f>
        <v>9.0389999999999997</v>
      </c>
      <c r="L239" s="48">
        <f>'Fiscal Forecasts'!L$203</f>
        <v>8.9380000000000006</v>
      </c>
      <c r="M239" s="48">
        <f>'Fiscal Forecasts'!M$203</f>
        <v>9.6059999999999999</v>
      </c>
      <c r="N239" s="48">
        <f>'Fiscal Forecasts'!N$203</f>
        <v>9.6690000000000005</v>
      </c>
      <c r="O239" s="48">
        <f>'Fiscal Forecasts'!O$203</f>
        <v>10.01</v>
      </c>
      <c r="P239" s="48">
        <f>'Fiscal Forecasts'!P$203</f>
        <v>11.411</v>
      </c>
      <c r="Q239" s="20">
        <f ca="1">IF(Q$6=OFFSET(Assumptions!$B$8,0,$C$1),AVERAGE(N$239/SUM(N$242:N$243),O$239/SUM(O$242:O$243),P$239/SUM(P$242:P$243)),P$239/SUM(P$242:P$243))*SUM(Q$242:Q$243)</f>
        <v>12.025296647655322</v>
      </c>
      <c r="R239" s="20">
        <f ca="1">IF(R$6=OFFSET(Assumptions!$B$8,0,$C$1),AVERAGE(O$239/SUM(O$242:O$243),P$239/SUM(P$242:P$243),Q$239/SUM(Q$242:Q$243)),Q$239/SUM(Q$242:Q$243))*SUM(R$242:R$243)</f>
        <v>12.684657668944586</v>
      </c>
      <c r="S239" s="20">
        <f ca="1">IF(S$6=OFFSET(Assumptions!$B$8,0,$C$1),AVERAGE(P$239/SUM(P$242:P$243),Q$239/SUM(Q$242:Q$243),R$239/SUM(R$242:R$243)),R$239/SUM(R$242:R$243))*SUM(S$242:S$243)</f>
        <v>13.342459925304862</v>
      </c>
      <c r="T239" s="20">
        <f ca="1">IF(T$6=OFFSET(Assumptions!$B$8,0,$C$1),AVERAGE(Q$239/SUM(Q$242:Q$243),R$239/SUM(R$242:R$243),S$239/SUM(S$242:S$243)),S$239/SUM(S$242:S$243))*SUM(T$242:T$243)</f>
        <v>13.977643031190203</v>
      </c>
      <c r="U239" s="20">
        <f ca="1">IF(U$6=OFFSET(Assumptions!$B$8,0,$C$1),AVERAGE(R$239/SUM(R$242:R$243),S$239/SUM(S$242:S$243),T$239/SUM(T$242:T$243)),T$239/SUM(T$242:T$243))*SUM(U$242:U$243)</f>
        <v>14.651446777224329</v>
      </c>
      <c r="V239" s="20">
        <f ca="1">IF(V$6=OFFSET(Assumptions!$B$8,0,$C$1),AVERAGE(S$239/SUM(S$242:S$243),T$239/SUM(T$242:T$243),U$239/SUM(U$242:U$243)),U$239/SUM(U$242:U$243))*SUM(V$242:V$243)</f>
        <v>15.334075328847771</v>
      </c>
      <c r="W239" s="20">
        <f ca="1">IF(W$6=OFFSET(Assumptions!$B$8,0,$C$1),AVERAGE(T$239/SUM(T$242:T$243),U$239/SUM(U$242:U$243),V$239/SUM(V$242:V$243)),V$239/SUM(V$242:V$243))*SUM(W$242:W$243)</f>
        <v>16.043180045535852</v>
      </c>
      <c r="X239" s="20">
        <f ca="1">IF(X$6=OFFSET(Assumptions!$B$8,0,$C$1),AVERAGE(U$239/SUM(U$242:U$243),V$239/SUM(V$242:V$243),W$239/SUM(W$242:W$243)),W$239/SUM(W$242:W$243))*SUM(X$242:X$243)</f>
        <v>16.782566169431945</v>
      </c>
      <c r="Y239" s="20">
        <f ca="1">IF(Y$6=OFFSET(Assumptions!$B$8,0,$C$1),AVERAGE(V$239/SUM(V$242:V$243),W$239/SUM(W$242:W$243),X$239/SUM(X$242:X$243)),X$239/SUM(X$242:X$243))*SUM(Y$242:Y$243)</f>
        <v>17.520160225430931</v>
      </c>
      <c r="Z239" s="20">
        <f ca="1">IF(Z$6=OFFSET(Assumptions!$B$8,0,$C$1),AVERAGE(W$239/SUM(W$242:W$243),X$239/SUM(X$242:X$243),Y$239/SUM(Y$242:Y$243)),Y$239/SUM(Y$242:Y$243))*SUM(Z$242:Z$243)</f>
        <v>18.301244323323377</v>
      </c>
    </row>
    <row r="240" spans="1:26" x14ac:dyDescent="0.25">
      <c r="A240" s="12" t="s">
        <v>1265</v>
      </c>
      <c r="B240" s="14" t="str">
        <f>$B$38</f>
        <v>From Fiscal Forecasts</v>
      </c>
      <c r="D240" s="50">
        <f>'Fiscal Forecasts'!D$204</f>
        <v>5.0000000000000001E-3</v>
      </c>
      <c r="E240" s="50">
        <f>'Fiscal Forecasts'!E$204</f>
        <v>7.0000000000000001E-3</v>
      </c>
      <c r="F240" s="50">
        <f>'Fiscal Forecasts'!F$204</f>
        <v>6.0000000000000001E-3</v>
      </c>
      <c r="G240" s="50">
        <f>'Fiscal Forecasts'!G$204</f>
        <v>6.0000000000000001E-3</v>
      </c>
      <c r="H240" s="50">
        <f>'Fiscal Forecasts'!H$204</f>
        <v>8.0000000000000002E-3</v>
      </c>
      <c r="I240" s="50">
        <f>'Fiscal Forecasts'!I$204</f>
        <v>1.0999999999999999E-2</v>
      </c>
      <c r="J240" s="50">
        <f>'Fiscal Forecasts'!J$204</f>
        <v>1.0999999999999999E-2</v>
      </c>
      <c r="K240" s="50">
        <f>'Fiscal Forecasts'!K$204</f>
        <v>1.0999999999999999E-2</v>
      </c>
      <c r="L240" s="48">
        <f>'Fiscal Forecasts'!L$204</f>
        <v>1.0999999999999999E-2</v>
      </c>
      <c r="M240" s="48">
        <f>'Fiscal Forecasts'!M$204</f>
        <v>1.2E-2</v>
      </c>
      <c r="N240" s="48">
        <f>'Fiscal Forecasts'!N$204</f>
        <v>1.2E-2</v>
      </c>
      <c r="O240" s="48">
        <f>'Fiscal Forecasts'!O$204</f>
        <v>1.2999999999999999E-2</v>
      </c>
      <c r="P240" s="48">
        <f>'Fiscal Forecasts'!P$204</f>
        <v>1.4E-2</v>
      </c>
      <c r="Q240" s="20">
        <f t="shared" ref="Q240:Z240" ca="1" si="146">SUM(Q$242:Q$243,-Q$239)</f>
        <v>1.5098419274004016E-2</v>
      </c>
      <c r="R240" s="20">
        <f t="shared" ca="1" si="146"/>
        <v>1.5926283188223422E-2</v>
      </c>
      <c r="S240" s="20">
        <f t="shared" ca="1" si="146"/>
        <v>1.675218998760819E-2</v>
      </c>
      <c r="T240" s="20">
        <f t="shared" ca="1" si="146"/>
        <v>1.7549697203390835E-2</v>
      </c>
      <c r="U240" s="20">
        <f t="shared" ca="1" si="146"/>
        <v>1.8395694750402924E-2</v>
      </c>
      <c r="V240" s="20">
        <f t="shared" ca="1" si="146"/>
        <v>1.9252772324687584E-2</v>
      </c>
      <c r="W240" s="20">
        <f t="shared" ca="1" si="146"/>
        <v>2.0143092175867849E-2</v>
      </c>
      <c r="X240" s="20">
        <f t="shared" ca="1" si="146"/>
        <v>2.1071431994091228E-2</v>
      </c>
      <c r="Y240" s="20">
        <f t="shared" ca="1" si="146"/>
        <v>2.1997521772810558E-2</v>
      </c>
      <c r="Z240" s="20">
        <f t="shared" ca="1" si="146"/>
        <v>2.2978215683636449E-2</v>
      </c>
    </row>
    <row r="241" spans="1:26" x14ac:dyDescent="0.25">
      <c r="A241" s="11" t="s">
        <v>1266</v>
      </c>
      <c r="D241" s="94">
        <f t="shared" ref="D241:Z241" si="147">SUM(D$238:D$240)</f>
        <v>5.8120000000000003</v>
      </c>
      <c r="E241" s="94">
        <f t="shared" si="147"/>
        <v>6.9029999999999996</v>
      </c>
      <c r="F241" s="94">
        <f t="shared" si="147"/>
        <v>6.838000000000001</v>
      </c>
      <c r="G241" s="94">
        <f t="shared" si="147"/>
        <v>6.447000000000001</v>
      </c>
      <c r="H241" s="94">
        <f t="shared" si="147"/>
        <v>8.7839999999999989</v>
      </c>
      <c r="I241" s="94">
        <f t="shared" si="147"/>
        <v>10.426</v>
      </c>
      <c r="J241" s="94">
        <f t="shared" si="147"/>
        <v>11.540999999999999</v>
      </c>
      <c r="K241" s="94">
        <f t="shared" si="147"/>
        <v>9.0519999999999996</v>
      </c>
      <c r="L241" s="95">
        <f t="shared" si="147"/>
        <v>8.9489999999999998</v>
      </c>
      <c r="M241" s="95">
        <f t="shared" si="147"/>
        <v>9.6180000000000003</v>
      </c>
      <c r="N241" s="95">
        <f t="shared" si="147"/>
        <v>9.6810000000000009</v>
      </c>
      <c r="O241" s="95">
        <f t="shared" si="147"/>
        <v>10.023</v>
      </c>
      <c r="P241" s="95">
        <f t="shared" si="147"/>
        <v>11.424999999999999</v>
      </c>
      <c r="Q241" s="96">
        <f t="shared" ca="1" si="147"/>
        <v>12.040395066929326</v>
      </c>
      <c r="R241" s="96">
        <f t="shared" ca="1" si="147"/>
        <v>12.70058395213281</v>
      </c>
      <c r="S241" s="96">
        <f t="shared" ca="1" si="147"/>
        <v>13.35921211529247</v>
      </c>
      <c r="T241" s="96">
        <f t="shared" ca="1" si="147"/>
        <v>13.995192728393594</v>
      </c>
      <c r="U241" s="96">
        <f t="shared" ca="1" si="147"/>
        <v>14.669842471974732</v>
      </c>
      <c r="V241" s="96">
        <f t="shared" ca="1" si="147"/>
        <v>15.353328101172458</v>
      </c>
      <c r="W241" s="96">
        <f t="shared" ca="1" si="147"/>
        <v>16.06332313771172</v>
      </c>
      <c r="X241" s="96">
        <f t="shared" ca="1" si="147"/>
        <v>16.803637601426036</v>
      </c>
      <c r="Y241" s="96">
        <f t="shared" ca="1" si="147"/>
        <v>17.542157747203742</v>
      </c>
      <c r="Z241" s="96">
        <f t="shared" ca="1" si="147"/>
        <v>18.324222539007014</v>
      </c>
    </row>
    <row r="242" spans="1:26" x14ac:dyDescent="0.25">
      <c r="A242" s="12" t="s">
        <v>1267</v>
      </c>
      <c r="B242" s="14" t="str">
        <f>$B$38</f>
        <v>From Fiscal Forecasts</v>
      </c>
      <c r="D242" s="50">
        <f>'Fiscal Forecasts'!D$281</f>
        <v>5.3620000000000001</v>
      </c>
      <c r="E242" s="50">
        <f>'Fiscal Forecasts'!E$281</f>
        <v>6.2460000000000004</v>
      </c>
      <c r="F242" s="50">
        <f>'Fiscal Forecasts'!F$281</f>
        <v>6.5389999999999997</v>
      </c>
      <c r="G242" s="50">
        <f>'Fiscal Forecasts'!G$281</f>
        <v>5.8330000000000002</v>
      </c>
      <c r="H242" s="50">
        <f>'Fiscal Forecasts'!H$281</f>
        <v>7.6189999999999998</v>
      </c>
      <c r="I242" s="50">
        <f>'Fiscal Forecasts'!I$281</f>
        <v>9.7720000000000002</v>
      </c>
      <c r="J242" s="50">
        <f>'Fiscal Forecasts'!J$281</f>
        <v>10.771000000000001</v>
      </c>
      <c r="K242" s="50">
        <f>'Fiscal Forecasts'!K$281</f>
        <v>8.5489999999999995</v>
      </c>
      <c r="L242" s="48">
        <f>'Fiscal Forecasts'!L$281</f>
        <v>8.3699999999999992</v>
      </c>
      <c r="M242" s="48">
        <f>'Fiscal Forecasts'!M$281</f>
        <v>8.9890000000000008</v>
      </c>
      <c r="N242" s="48">
        <f>'Fiscal Forecasts'!N$281</f>
        <v>9.0329999999999995</v>
      </c>
      <c r="O242" s="48">
        <f>'Fiscal Forecasts'!O$281</f>
        <v>9.3610000000000007</v>
      </c>
      <c r="P242" s="48">
        <f>'Fiscal Forecasts'!P$281</f>
        <v>10.737</v>
      </c>
      <c r="Q242" s="20">
        <f>P$242*Exogenous!AB$27/Exogenous!AA$27</f>
        <v>11.322445815087232</v>
      </c>
      <c r="R242" s="20">
        <f>Q$242*Exogenous!AC$27/Exogenous!AB$27</f>
        <v>11.952075095042282</v>
      </c>
      <c r="S242" s="20">
        <f>R$242*Exogenous!AD$27/Exogenous!AC$27</f>
        <v>12.579334043873938</v>
      </c>
      <c r="T242" s="20">
        <f>S$242*Exogenous!AE$27/Exogenous!AD$27</f>
        <v>13.183209206568813</v>
      </c>
      <c r="U242" s="20">
        <f>T$242*Exogenous!AF$27/Exogenous!AE$27</f>
        <v>13.824633958994479</v>
      </c>
      <c r="V242" s="20">
        <f>U$242*Exogenous!AG$27/Exogenous!AF$27</f>
        <v>14.473763240216281</v>
      </c>
      <c r="W242" s="20">
        <f>V$242*Exogenous!AH$27/Exogenous!AG$27</f>
        <v>15.148443899166695</v>
      </c>
      <c r="X242" s="20">
        <f>W$242*Exogenous!AI$27/Exogenous!AH$27</f>
        <v>15.852427077587839</v>
      </c>
      <c r="Y242" s="20">
        <f>X$242*Exogenous!AJ$27/Exogenous!AI$27</f>
        <v>16.553409040536113</v>
      </c>
      <c r="Z242" s="20">
        <f>Y$242*Exogenous!AK$27/Exogenous!AJ$27</f>
        <v>17.296719070316762</v>
      </c>
    </row>
    <row r="243" spans="1:26" x14ac:dyDescent="0.25">
      <c r="A243" s="12" t="s">
        <v>1268</v>
      </c>
      <c r="B243" s="14" t="str">
        <f>$B$38</f>
        <v>From Fiscal Forecasts</v>
      </c>
      <c r="D243" s="50">
        <f>SUM('Fiscal Forecasts'!D$282:D$283)</f>
        <v>0.44999999999999996</v>
      </c>
      <c r="E243" s="50">
        <f>SUM('Fiscal Forecasts'!E$282:E$283)</f>
        <v>0.65700000000000003</v>
      </c>
      <c r="F243" s="50">
        <f>SUM('Fiscal Forecasts'!F$282:F$283)</f>
        <v>0.29900000000000004</v>
      </c>
      <c r="G243" s="50">
        <f>SUM('Fiscal Forecasts'!G$282:G$283)</f>
        <v>0.61399999999999999</v>
      </c>
      <c r="H243" s="50">
        <f>SUM('Fiscal Forecasts'!H$282:H$283)</f>
        <v>1.1649999999999998</v>
      </c>
      <c r="I243" s="50">
        <f>SUM('Fiscal Forecasts'!I$282:I$283)</f>
        <v>0.65399999999999991</v>
      </c>
      <c r="J243" s="50">
        <f>SUM('Fiscal Forecasts'!J$282:J$283)</f>
        <v>0.77</v>
      </c>
      <c r="K243" s="50">
        <f>SUM('Fiscal Forecasts'!K$282:K$283)</f>
        <v>0.503</v>
      </c>
      <c r="L243" s="48">
        <f>SUM('Fiscal Forecasts'!L$282:L$283)</f>
        <v>0.57899999999999996</v>
      </c>
      <c r="M243" s="48">
        <f>SUM('Fiscal Forecasts'!M$282:M$283)</f>
        <v>0.629</v>
      </c>
      <c r="N243" s="48">
        <f>SUM('Fiscal Forecasts'!N$282:N$283)</f>
        <v>0.64800000000000002</v>
      </c>
      <c r="O243" s="48">
        <f>SUM('Fiscal Forecasts'!O$282:O$283)</f>
        <v>0.66200000000000003</v>
      </c>
      <c r="P243" s="48">
        <f>SUM('Fiscal Forecasts'!P$282:P$283)</f>
        <v>0.68800000000000006</v>
      </c>
      <c r="Q243" s="20">
        <f t="shared" ref="Q243:Z243" ca="1" si="148">P$243*(1+Q$14)</f>
        <v>0.71794925184209457</v>
      </c>
      <c r="R243" s="20">
        <f t="shared" ca="1" si="148"/>
        <v>0.74850885709052806</v>
      </c>
      <c r="S243" s="20">
        <f t="shared" ca="1" si="148"/>
        <v>0.7798780714185316</v>
      </c>
      <c r="T243" s="20">
        <f t="shared" ca="1" si="148"/>
        <v>0.81198352182478062</v>
      </c>
      <c r="U243" s="20">
        <f t="shared" ca="1" si="148"/>
        <v>0.84520851298025268</v>
      </c>
      <c r="V243" s="20">
        <f t="shared" ca="1" si="148"/>
        <v>0.87956486095617725</v>
      </c>
      <c r="W243" s="20">
        <f t="shared" ca="1" si="148"/>
        <v>0.9148792385450264</v>
      </c>
      <c r="X243" s="20">
        <f t="shared" ca="1" si="148"/>
        <v>0.95121052383819849</v>
      </c>
      <c r="Y243" s="20">
        <f t="shared" ca="1" si="148"/>
        <v>0.98874870666762915</v>
      </c>
      <c r="Z243" s="20">
        <f t="shared" ca="1" si="148"/>
        <v>1.0275034686902527</v>
      </c>
    </row>
    <row r="244" spans="1:26" x14ac:dyDescent="0.25">
      <c r="A244" s="12"/>
    </row>
    <row r="245" spans="1:26" x14ac:dyDescent="0.25">
      <c r="A245" s="11" t="s">
        <v>1269</v>
      </c>
    </row>
    <row r="246" spans="1:26" x14ac:dyDescent="0.25">
      <c r="A246" s="11" t="s">
        <v>876</v>
      </c>
      <c r="D246" s="51">
        <f>SUM($D$247:D$248)</f>
        <v>0</v>
      </c>
      <c r="E246" s="51">
        <f>SUM($D$247:E$248)</f>
        <v>0</v>
      </c>
      <c r="F246" s="51">
        <f>SUM($D$247:F$248)</f>
        <v>0</v>
      </c>
      <c r="G246" s="51">
        <f>SUM($D$247:G$248)</f>
        <v>0</v>
      </c>
      <c r="H246" s="51">
        <f>SUM($D$247:H$248)</f>
        <v>0</v>
      </c>
      <c r="I246" s="51">
        <f>SUM($D$247:I$248)</f>
        <v>0</v>
      </c>
      <c r="J246" s="51">
        <f>SUM($D$247:J$248)</f>
        <v>0</v>
      </c>
      <c r="K246" s="51">
        <f>SUM($D$247:K$248)</f>
        <v>0</v>
      </c>
      <c r="L246" s="47">
        <f ca="1">IF(OFFSET(Assumptions!$B$57,0,$C$1)="Yes",0,SUM($D$247:L$248))</f>
        <v>0</v>
      </c>
      <c r="M246" s="47">
        <f ca="1">IF(OFFSET(Assumptions!$B$57,0,$C$1)="Yes",0,SUM($D$247:M$248))</f>
        <v>0</v>
      </c>
      <c r="N246" s="47">
        <f ca="1">IF(OFFSET(Assumptions!$B$57,0,$C$1)="Yes",0,SUM($D$247:N$248))</f>
        <v>0</v>
      </c>
      <c r="O246" s="47">
        <f ca="1">IF(OFFSET(Assumptions!$B$57,0,$C$1)="Yes",0,SUM($D$247:O$248))</f>
        <v>0</v>
      </c>
      <c r="P246" s="47">
        <f ca="1">IF(OFFSET(Assumptions!$B$57,0,$C$1)="Yes",0,SUM($D$247:P$248))</f>
        <v>0</v>
      </c>
      <c r="Q246" s="21">
        <f ca="1">IF(OFFSET(Assumptions!$B$57,0,$C$1)="Yes",0,SUM($D$247:Q$248))</f>
        <v>0</v>
      </c>
      <c r="R246" s="21">
        <f ca="1">IF(OFFSET(Assumptions!$B$57,0,$C$1)="Yes",0,SUM($D$247:R$248))</f>
        <v>0</v>
      </c>
      <c r="S246" s="21">
        <f ca="1">IF(OFFSET(Assumptions!$B$57,0,$C$1)="Yes",0,SUM($D$247:S$248))</f>
        <v>0</v>
      </c>
      <c r="T246" s="21">
        <f ca="1">IF(OFFSET(Assumptions!$B$57,0,$C$1)="Yes",0,SUM($D$247:T$248))</f>
        <v>0</v>
      </c>
      <c r="U246" s="21">
        <f ca="1">IF(OFFSET(Assumptions!$B$57,0,$C$1)="Yes",0,SUM($D$247:U$248))</f>
        <v>0</v>
      </c>
      <c r="V246" s="21">
        <f ca="1">IF(OFFSET(Assumptions!$B$57,0,$C$1)="Yes",0,SUM($D$247:V$248))</f>
        <v>0</v>
      </c>
      <c r="W246" s="21">
        <f ca="1">IF(OFFSET(Assumptions!$B$57,0,$C$1)="Yes",0,SUM($D$247:W$248))</f>
        <v>0</v>
      </c>
      <c r="X246" s="21">
        <f ca="1">IF(OFFSET(Assumptions!$B$57,0,$C$1)="Yes",0,SUM($D$247:X$248))</f>
        <v>0</v>
      </c>
      <c r="Y246" s="21">
        <f ca="1">IF(OFFSET(Assumptions!$B$57,0,$C$1)="Yes",0,SUM($D$247:Y$248))</f>
        <v>0</v>
      </c>
      <c r="Z246" s="21">
        <f ca="1">IF(OFFSET(Assumptions!$B$57,0,$C$1)="Yes",0,SUM($D$247:Z$248))</f>
        <v>0</v>
      </c>
    </row>
    <row r="247" spans="1:26" x14ac:dyDescent="0.25">
      <c r="A247" s="12" t="s">
        <v>1457</v>
      </c>
      <c r="B247" s="14" t="str">
        <f>$B$38</f>
        <v>From Fiscal Forecasts</v>
      </c>
      <c r="D247" s="50">
        <f>SUM('Fiscal Forecasts'!D$286:D$287)-SUM('Fiscal Forecasts'!C$286:C$287)</f>
        <v>0</v>
      </c>
      <c r="E247" s="50">
        <f>SUM('Fiscal Forecasts'!E$286:E$287)-SUM('Fiscal Forecasts'!D$286:D$287)</f>
        <v>0</v>
      </c>
      <c r="F247" s="50">
        <f>SUM('Fiscal Forecasts'!F$286:F$287)-SUM('Fiscal Forecasts'!E$286:E$287)</f>
        <v>0</v>
      </c>
      <c r="G247" s="50">
        <f>SUM('Fiscal Forecasts'!G$286:G$287)-SUM('Fiscal Forecasts'!F$286:F$287)</f>
        <v>0</v>
      </c>
      <c r="H247" s="50">
        <f>SUM('Fiscal Forecasts'!H$286:H$287)-SUM('Fiscal Forecasts'!G$286:G$287)</f>
        <v>0</v>
      </c>
      <c r="I247" s="50">
        <f>SUM('Fiscal Forecasts'!I$286:I$287)-SUM('Fiscal Forecasts'!H$286:H$287)</f>
        <v>0</v>
      </c>
      <c r="J247" s="50">
        <f>SUM('Fiscal Forecasts'!J$286:J$287)-SUM('Fiscal Forecasts'!I$286:I$287)</f>
        <v>0</v>
      </c>
      <c r="K247" s="50">
        <f>SUM('Fiscal Forecasts'!K$286:K$287)-SUM('Fiscal Forecasts'!J$286:J$287)</f>
        <v>0</v>
      </c>
      <c r="L247" s="48">
        <f>SUM('Fiscal Forecasts'!L$286:L$287)-SUM('Fiscal Forecasts'!K$286:K$287)</f>
        <v>1.258</v>
      </c>
      <c r="M247" s="48">
        <f>SUM('Fiscal Forecasts'!M$286:M$287)-SUM('Fiscal Forecasts'!L$286:L$287)</f>
        <v>-0.69000000000000006</v>
      </c>
      <c r="N247" s="48">
        <f>SUM('Fiscal Forecasts'!N$286:N$287)-SUM('Fiscal Forecasts'!M$286:M$287)</f>
        <v>-0.34300000000000008</v>
      </c>
      <c r="O247" s="48">
        <f>SUM('Fiscal Forecasts'!O$286:O$287)-SUM('Fiscal Forecasts'!N$286:N$287)</f>
        <v>0.3580000000000001</v>
      </c>
      <c r="P247" s="48">
        <f>SUM('Fiscal Forecasts'!P$286:P$287)-SUM('Fiscal Forecasts'!O$286:O$287)</f>
        <v>-6.6999999999999948E-2</v>
      </c>
      <c r="Q247" s="20">
        <f ca="1">IF(Q$6=OFFSET(Assumptions!$B$8,0,$C$1),OFFSET(Assumptions!$B$9,0,$C$1),P$247)</f>
        <v>0</v>
      </c>
      <c r="R247" s="20">
        <f ca="1">IF(R$6=OFFSET(Assumptions!$B$8,0,$C$1),OFFSET(Assumptions!$B$9,0,$C$1),Q$247)</f>
        <v>0</v>
      </c>
      <c r="S247" s="20">
        <f ca="1">IF(S$6=OFFSET(Assumptions!$B$8,0,$C$1),OFFSET(Assumptions!$B$9,0,$C$1),R$247)</f>
        <v>0</v>
      </c>
      <c r="T247" s="20">
        <f ca="1">IF(T$6=OFFSET(Assumptions!$B$8,0,$C$1),OFFSET(Assumptions!$B$9,0,$C$1),S$247)</f>
        <v>0</v>
      </c>
      <c r="U247" s="20">
        <f ca="1">IF(U$6=OFFSET(Assumptions!$B$8,0,$C$1),OFFSET(Assumptions!$B$9,0,$C$1),T$247)</f>
        <v>0</v>
      </c>
      <c r="V247" s="20">
        <f ca="1">IF(V$6=OFFSET(Assumptions!$B$8,0,$C$1),OFFSET(Assumptions!$B$9,0,$C$1),U$247)</f>
        <v>0</v>
      </c>
      <c r="W247" s="20">
        <f ca="1">IF(W$6=OFFSET(Assumptions!$B$8,0,$C$1),OFFSET(Assumptions!$B$9,0,$C$1),V$247)</f>
        <v>0</v>
      </c>
      <c r="X247" s="20">
        <f ca="1">IF(X$6=OFFSET(Assumptions!$B$8,0,$C$1),OFFSET(Assumptions!$B$9,0,$C$1),W$247)</f>
        <v>0</v>
      </c>
      <c r="Y247" s="20">
        <f ca="1">IF(Y$6=OFFSET(Assumptions!$B$8,0,$C$1),OFFSET(Assumptions!$B$9,0,$C$1),X$247)</f>
        <v>0</v>
      </c>
      <c r="Z247" s="20">
        <f ca="1">IF(Z$6=OFFSET(Assumptions!$B$8,0,$C$1),OFFSET(Assumptions!$B$9,0,$C$1),Y$247)</f>
        <v>0</v>
      </c>
    </row>
    <row r="248" spans="1:26" x14ac:dyDescent="0.25">
      <c r="A248" s="12" t="s">
        <v>1270</v>
      </c>
      <c r="B248" s="14" t="str">
        <f>$B$38</f>
        <v>From Fiscal Forecasts</v>
      </c>
      <c r="D248" s="50">
        <f>SUM('Fiscal Forecasts'!D$288:D$291)-SUM('Fiscal Forecasts'!C$288:C$291)</f>
        <v>0</v>
      </c>
      <c r="E248" s="50">
        <f>SUM('Fiscal Forecasts'!E$288:E$291)-SUM('Fiscal Forecasts'!D$288:D$291)</f>
        <v>0</v>
      </c>
      <c r="F248" s="50">
        <f>SUM('Fiscal Forecasts'!F$288:F$291)-SUM('Fiscal Forecasts'!E$288:E$291)</f>
        <v>0</v>
      </c>
      <c r="G248" s="50">
        <f>SUM('Fiscal Forecasts'!G$288:G$291)-SUM('Fiscal Forecasts'!F$288:F$291)</f>
        <v>0</v>
      </c>
      <c r="H248" s="50">
        <f>SUM('Fiscal Forecasts'!H$288:H$291)-SUM('Fiscal Forecasts'!G$288:G$291)</f>
        <v>0</v>
      </c>
      <c r="I248" s="50">
        <f>SUM('Fiscal Forecasts'!I$288:I$291)-SUM('Fiscal Forecasts'!H$288:H$291)</f>
        <v>0</v>
      </c>
      <c r="J248" s="50">
        <f>SUM('Fiscal Forecasts'!J$288:J$291)-SUM('Fiscal Forecasts'!I$288:I$291)</f>
        <v>0</v>
      </c>
      <c r="K248" s="50">
        <f>SUM('Fiscal Forecasts'!K$288:K$291)-SUM('Fiscal Forecasts'!J$288:J$291)</f>
        <v>0</v>
      </c>
      <c r="L248" s="48">
        <f>SUM('Fiscal Forecasts'!L$288:L$291)-SUM('Fiscal Forecasts'!K$288:K$291)</f>
        <v>0</v>
      </c>
      <c r="M248" s="48">
        <f>SUM('Fiscal Forecasts'!M$288:M$291)-SUM('Fiscal Forecasts'!L$288:L$291)</f>
        <v>2.4</v>
      </c>
      <c r="N248" s="48">
        <f>SUM('Fiscal Forecasts'!N$288:N$291)-SUM('Fiscal Forecasts'!M$288:M$291)</f>
        <v>2.4</v>
      </c>
      <c r="O248" s="48">
        <f>SUM('Fiscal Forecasts'!O$288:O$291)-SUM('Fiscal Forecasts'!N$288:N$291)</f>
        <v>2.3999999999999995</v>
      </c>
      <c r="P248" s="48">
        <f>SUM('Fiscal Forecasts'!P$288:P$291)-SUM('Fiscal Forecasts'!O$288:O$291)</f>
        <v>2.4000000000000004</v>
      </c>
      <c r="Q248" s="20">
        <f ca="1">IF(Q$6=OFFSET(Assumptions!$B$8,0,$C$1),OFFSET(Assumptions!$B$41,0,$C$1)-IF(OFFSET(Assumptions!$B$58,0,$C$1)="Yes",Allocation!$G$6,0),(P$248+IF(AND(P$6=OFFSET(Assumptions!$B$8,0,$C$1),OFFSET(Assumptions!$B$58,0,$C$1)="Yes"),Allocation!$G$6,0))*(1+OFFSET(Assumptions!$B$42,0,$C$1)))</f>
        <v>3.1</v>
      </c>
      <c r="R248" s="20">
        <f ca="1">IF(R$6=OFFSET(Assumptions!$B$8,0,$C$1),OFFSET(Assumptions!$B$41,0,$C$1)-IF(OFFSET(Assumptions!$B$58,0,$C$1)="Yes",Allocation!$G$6,0),(Q$248+IF(AND(Q$6=OFFSET(Assumptions!$B$8,0,$C$1),OFFSET(Assumptions!$B$58,0,$C$1)="Yes"),Allocation!$G$6,0))*(1+OFFSET(Assumptions!$B$42,0,$C$1)))</f>
        <v>3.2550000000000003</v>
      </c>
      <c r="S248" s="20">
        <f ca="1">IF(S$6=OFFSET(Assumptions!$B$8,0,$C$1),OFFSET(Assumptions!$B$41,0,$C$1)-IF(OFFSET(Assumptions!$B$58,0,$C$1)="Yes",Allocation!$G$6,0),(R$248+IF(AND(R$6=OFFSET(Assumptions!$B$8,0,$C$1),OFFSET(Assumptions!$B$58,0,$C$1)="Yes"),Allocation!$G$6,0))*(1+OFFSET(Assumptions!$B$42,0,$C$1)))</f>
        <v>3.4177500000000003</v>
      </c>
      <c r="T248" s="20">
        <f ca="1">IF(T$6=OFFSET(Assumptions!$B$8,0,$C$1),OFFSET(Assumptions!$B$41,0,$C$1)-IF(OFFSET(Assumptions!$B$58,0,$C$1)="Yes",Allocation!$G$6,0),(S$248+IF(AND(S$6=OFFSET(Assumptions!$B$8,0,$C$1),OFFSET(Assumptions!$B$58,0,$C$1)="Yes"),Allocation!$G$6,0))*(1+OFFSET(Assumptions!$B$42,0,$C$1)))</f>
        <v>3.5886375000000004</v>
      </c>
      <c r="U248" s="20">
        <f ca="1">IF(U$6=OFFSET(Assumptions!$B$8,0,$C$1),OFFSET(Assumptions!$B$41,0,$C$1)-IF(OFFSET(Assumptions!$B$58,0,$C$1)="Yes",Allocation!$G$6,0),(T$248+IF(AND(T$6=OFFSET(Assumptions!$B$8,0,$C$1),OFFSET(Assumptions!$B$58,0,$C$1)="Yes"),Allocation!$G$6,0))*(1+OFFSET(Assumptions!$B$42,0,$C$1)))</f>
        <v>3.7680693750000005</v>
      </c>
      <c r="V248" s="20">
        <f ca="1">IF(V$6=OFFSET(Assumptions!$B$8,0,$C$1),OFFSET(Assumptions!$B$41,0,$C$1)-IF(OFFSET(Assumptions!$B$58,0,$C$1)="Yes",Allocation!$G$6,0),(U$248+IF(AND(U$6=OFFSET(Assumptions!$B$8,0,$C$1),OFFSET(Assumptions!$B$58,0,$C$1)="Yes"),Allocation!$G$6,0))*(1+OFFSET(Assumptions!$B$42,0,$C$1)))</f>
        <v>3.9564728437500007</v>
      </c>
      <c r="W248" s="20">
        <f ca="1">IF(W$6=OFFSET(Assumptions!$B$8,0,$C$1),OFFSET(Assumptions!$B$41,0,$C$1)-IF(OFFSET(Assumptions!$B$58,0,$C$1)="Yes",Allocation!$G$6,0),(V$248+IF(AND(V$6=OFFSET(Assumptions!$B$8,0,$C$1),OFFSET(Assumptions!$B$58,0,$C$1)="Yes"),Allocation!$G$6,0))*(1+OFFSET(Assumptions!$B$42,0,$C$1)))</f>
        <v>4.1542964859375013</v>
      </c>
      <c r="X248" s="20">
        <f ca="1">IF(X$6=OFFSET(Assumptions!$B$8,0,$C$1),OFFSET(Assumptions!$B$41,0,$C$1)-IF(OFFSET(Assumptions!$B$58,0,$C$1)="Yes",Allocation!$G$6,0),(W$248+IF(AND(W$6=OFFSET(Assumptions!$B$8,0,$C$1),OFFSET(Assumptions!$B$58,0,$C$1)="Yes"),Allocation!$G$6,0))*(1+OFFSET(Assumptions!$B$42,0,$C$1)))</f>
        <v>4.3620113102343767</v>
      </c>
      <c r="Y248" s="20">
        <f ca="1">IF(Y$6=OFFSET(Assumptions!$B$8,0,$C$1),OFFSET(Assumptions!$B$41,0,$C$1)-IF(OFFSET(Assumptions!$B$58,0,$C$1)="Yes",Allocation!$G$6,0),(X$248+IF(AND(X$6=OFFSET(Assumptions!$B$8,0,$C$1),OFFSET(Assumptions!$B$58,0,$C$1)="Yes"),Allocation!$G$6,0))*(1+OFFSET(Assumptions!$B$42,0,$C$1)))</f>
        <v>4.5801118757460957</v>
      </c>
      <c r="Z248" s="20">
        <f ca="1">IF(Z$6=OFFSET(Assumptions!$B$8,0,$C$1),OFFSET(Assumptions!$B$41,0,$C$1)-IF(OFFSET(Assumptions!$B$58,0,$C$1)="Yes",Allocation!$G$6,0),(Y$248+IF(AND(Y$6=OFFSET(Assumptions!$B$8,0,$C$1),OFFSET(Assumptions!$B$58,0,$C$1)="Yes"),Allocation!$G$6,0))*(1+OFFSET(Assumptions!$B$42,0,$C$1)))</f>
        <v>4.8091174695334002</v>
      </c>
    </row>
    <row r="249" spans="1:26" x14ac:dyDescent="0.25">
      <c r="A249" s="11" t="s">
        <v>711</v>
      </c>
      <c r="B249" s="14" t="str">
        <f>$B$38</f>
        <v>From Fiscal Forecasts</v>
      </c>
      <c r="D249" s="51">
        <f>'Fiscal Forecasts'!D$22</f>
        <v>0</v>
      </c>
      <c r="E249" s="51">
        <f>'Fiscal Forecasts'!E$22</f>
        <v>0</v>
      </c>
      <c r="F249" s="51">
        <f>'Fiscal Forecasts'!F$22</f>
        <v>0</v>
      </c>
      <c r="G249" s="51">
        <f>'Fiscal Forecasts'!G$22</f>
        <v>0</v>
      </c>
      <c r="H249" s="51">
        <f>'Fiscal Forecasts'!H$22</f>
        <v>0</v>
      </c>
      <c r="I249" s="51">
        <f>'Fiscal Forecasts'!I$22</f>
        <v>0</v>
      </c>
      <c r="J249" s="51">
        <f>'Fiscal Forecasts'!J$22</f>
        <v>0</v>
      </c>
      <c r="K249" s="51">
        <f>'Fiscal Forecasts'!K$22</f>
        <v>0</v>
      </c>
      <c r="L249" s="47">
        <f ca="1">IF(OFFSET(Assumptions!$B$57,0,$C$1)="Yes",0,'Fiscal Forecasts'!L$22)</f>
        <v>0</v>
      </c>
      <c r="M249" s="47">
        <f ca="1">IF(OFFSET(Assumptions!$B$57,0,$C$1)="Yes",0,'Fiscal Forecasts'!M$22)</f>
        <v>0</v>
      </c>
      <c r="N249" s="47">
        <f ca="1">IF(OFFSET(Assumptions!$B$57,0,$C$1)="Yes",0,'Fiscal Forecasts'!N$22)</f>
        <v>0</v>
      </c>
      <c r="O249" s="47">
        <f ca="1">IF(OFFSET(Assumptions!$B$57,0,$C$1)="Yes",0,'Fiscal Forecasts'!O$22)</f>
        <v>0</v>
      </c>
      <c r="P249" s="47">
        <f ca="1">IF(OFFSET(Assumptions!$B$57,0,$C$1)="Yes",0,'Fiscal Forecasts'!P$22)</f>
        <v>0</v>
      </c>
      <c r="Q249" s="21">
        <f ca="1">IF(Q$6=OFFSET(Assumptions!$B$8,0,$C$1),OFFSET(Assumptions!$B$9,0,$C$1),P$249)</f>
        <v>0</v>
      </c>
      <c r="R249" s="21">
        <f ca="1">IF(R$6=OFFSET(Assumptions!$B$8,0,$C$1),OFFSET(Assumptions!$B$9,0,$C$1),Q$249)</f>
        <v>0</v>
      </c>
      <c r="S249" s="21">
        <f ca="1">IF(S$6=OFFSET(Assumptions!$B$8,0,$C$1),OFFSET(Assumptions!$B$9,0,$C$1),R$249)</f>
        <v>0</v>
      </c>
      <c r="T249" s="21">
        <f ca="1">IF(T$6=OFFSET(Assumptions!$B$8,0,$C$1),OFFSET(Assumptions!$B$9,0,$C$1),S$249)</f>
        <v>0</v>
      </c>
      <c r="U249" s="21">
        <f ca="1">IF(U$6=OFFSET(Assumptions!$B$8,0,$C$1),OFFSET(Assumptions!$B$9,0,$C$1),T$249)</f>
        <v>0</v>
      </c>
      <c r="V249" s="21">
        <f ca="1">IF(V$6=OFFSET(Assumptions!$B$8,0,$C$1),OFFSET(Assumptions!$B$9,0,$C$1),U$249)</f>
        <v>0</v>
      </c>
      <c r="W249" s="21">
        <f ca="1">IF(W$6=OFFSET(Assumptions!$B$8,0,$C$1),OFFSET(Assumptions!$B$9,0,$C$1),V$249)</f>
        <v>0</v>
      </c>
      <c r="X249" s="21">
        <f ca="1">IF(X$6=OFFSET(Assumptions!$B$8,0,$C$1),OFFSET(Assumptions!$B$9,0,$C$1),W$249)</f>
        <v>0</v>
      </c>
      <c r="Y249" s="21">
        <f ca="1">IF(Y$6=OFFSET(Assumptions!$B$8,0,$C$1),OFFSET(Assumptions!$B$9,0,$C$1),X$249)</f>
        <v>0</v>
      </c>
      <c r="Z249" s="21">
        <f ca="1">IF(Z$6=OFFSET(Assumptions!$B$8,0,$C$1),OFFSET(Assumptions!$B$9,0,$C$1),Y$249)</f>
        <v>0</v>
      </c>
    </row>
    <row r="251" spans="1:26" x14ac:dyDescent="0.25">
      <c r="A251" s="11" t="s">
        <v>1271</v>
      </c>
    </row>
    <row r="252" spans="1:26" x14ac:dyDescent="0.25">
      <c r="A252" s="11" t="s">
        <v>1272</v>
      </c>
      <c r="B252" s="14" t="str">
        <f>$B$38</f>
        <v>From Fiscal Forecasts</v>
      </c>
      <c r="D252" s="51">
        <f>'Fiscal Forecasts'!D$69</f>
        <v>6.6000000000000003E-2</v>
      </c>
      <c r="E252" s="51">
        <f>'Fiscal Forecasts'!E$69</f>
        <v>7.2999999999999995E-2</v>
      </c>
      <c r="F252" s="51">
        <f>'Fiscal Forecasts'!F$69</f>
        <v>9.9000000000000005E-2</v>
      </c>
      <c r="G252" s="51">
        <f>'Fiscal Forecasts'!G$69</f>
        <v>9.4E-2</v>
      </c>
      <c r="H252" s="51">
        <f>'Fiscal Forecasts'!H$69</f>
        <v>6.0999999999999999E-2</v>
      </c>
      <c r="I252" s="51">
        <f>'Fiscal Forecasts'!I$69</f>
        <v>6.9000000000000006E-2</v>
      </c>
      <c r="J252" s="51">
        <f>'Fiscal Forecasts'!J$69</f>
        <v>6.5000000000000002E-2</v>
      </c>
      <c r="K252" s="51">
        <f>'Fiscal Forecasts'!K$69</f>
        <v>6.0999999999999999E-2</v>
      </c>
      <c r="L252" s="47">
        <f>'Fiscal Forecasts'!L$69</f>
        <v>4.5999999999999999E-2</v>
      </c>
      <c r="M252" s="47">
        <f>'Fiscal Forecasts'!M$69</f>
        <v>4.8000000000000001E-2</v>
      </c>
      <c r="N252" s="47">
        <f>'Fiscal Forecasts'!N$69</f>
        <v>4.7E-2</v>
      </c>
      <c r="O252" s="47">
        <f>'Fiscal Forecasts'!O$69</f>
        <v>4.5999999999999999E-2</v>
      </c>
      <c r="P252" s="47">
        <f>'Fiscal Forecasts'!P$69</f>
        <v>4.4999999999999998E-2</v>
      </c>
      <c r="Q252" s="21">
        <f>P$252*Exogenous!AB$34/Exogenous!AA$34</f>
        <v>4.2880886426592796E-2</v>
      </c>
      <c r="R252" s="21">
        <f>Q$252*Exogenous!AC$34/Exogenous!AB$34</f>
        <v>4.07617728531856E-2</v>
      </c>
      <c r="S252" s="21">
        <f>R$252*Exogenous!AD$34/Exogenous!AC$34</f>
        <v>3.8642659279778398E-2</v>
      </c>
      <c r="T252" s="21">
        <f>S$252*Exogenous!AE$34/Exogenous!AD$34</f>
        <v>3.6398891966759002E-2</v>
      </c>
      <c r="U252" s="21">
        <f>T$252*Exogenous!AF$34/Exogenous!AE$34</f>
        <v>3.4404432132963993E-2</v>
      </c>
      <c r="V252" s="21">
        <f>U$252*Exogenous!AG$34/Exogenous!AF$34</f>
        <v>3.2409972299168976E-2</v>
      </c>
      <c r="W252" s="21">
        <f>V$252*Exogenous!AH$34/Exogenous!AG$34</f>
        <v>3.029085872576177E-2</v>
      </c>
      <c r="X252" s="21">
        <f>W$252*Exogenous!AI$34/Exogenous!AH$34</f>
        <v>2.8171745152354568E-2</v>
      </c>
      <c r="Y252" s="21">
        <f>X$252*Exogenous!AJ$34/Exogenous!AI$34</f>
        <v>2.6301939058171742E-2</v>
      </c>
      <c r="Z252" s="21">
        <f>Y$252*Exogenous!AK$34/Exogenous!AJ$34</f>
        <v>2.4432132963988915E-2</v>
      </c>
    </row>
    <row r="253" spans="1:26" x14ac:dyDescent="0.25">
      <c r="A253" s="11" t="s">
        <v>1273</v>
      </c>
      <c r="B253" s="14" t="str">
        <f>$B$38</f>
        <v>From Fiscal Forecasts</v>
      </c>
      <c r="D253" s="51">
        <f>'Fiscal Forecasts'!D$52</f>
        <v>0.08</v>
      </c>
      <c r="E253" s="51">
        <f>'Fiscal Forecasts'!E$52</f>
        <v>8.6999999999999994E-2</v>
      </c>
      <c r="F253" s="51">
        <f>'Fiscal Forecasts'!F$52</f>
        <v>0.114</v>
      </c>
      <c r="G253" s="51">
        <f>'Fiscal Forecasts'!G$52</f>
        <v>0.11</v>
      </c>
      <c r="H253" s="51">
        <f>'Fiscal Forecasts'!H$52</f>
        <v>7.8E-2</v>
      </c>
      <c r="I253" s="51">
        <f>'Fiscal Forecasts'!I$52</f>
        <v>9.4E-2</v>
      </c>
      <c r="J253" s="51">
        <f>'Fiscal Forecasts'!J$52</f>
        <v>8.3000000000000004E-2</v>
      </c>
      <c r="K253" s="51">
        <f>'Fiscal Forecasts'!K$52</f>
        <v>7.0000000000000007E-2</v>
      </c>
      <c r="L253" s="47">
        <f>'Fiscal Forecasts'!L$52</f>
        <v>5.3999999999999999E-2</v>
      </c>
      <c r="M253" s="47">
        <f>'Fiscal Forecasts'!M$52</f>
        <v>5.6000000000000001E-2</v>
      </c>
      <c r="N253" s="47">
        <f>'Fiscal Forecasts'!N$52</f>
        <v>5.5E-2</v>
      </c>
      <c r="O253" s="47">
        <f>'Fiscal Forecasts'!O$52</f>
        <v>5.3999999999999999E-2</v>
      </c>
      <c r="P253" s="47">
        <f>'Fiscal Forecasts'!P$52</f>
        <v>5.2999999999999999E-2</v>
      </c>
      <c r="Q253" s="21">
        <f>P$253*Exogenous!AB$34/Exogenous!AA$34</f>
        <v>5.0504155124653734E-2</v>
      </c>
      <c r="R253" s="21">
        <f>Q$253*Exogenous!AC$34/Exogenous!AB$34</f>
        <v>4.8008310249307476E-2</v>
      </c>
      <c r="S253" s="21">
        <f>R$253*Exogenous!AD$34/Exogenous!AC$34</f>
        <v>4.5512465373961218E-2</v>
      </c>
      <c r="T253" s="21">
        <f>S$253*Exogenous!AE$34/Exogenous!AD$34</f>
        <v>4.2869806094182825E-2</v>
      </c>
      <c r="U253" s="21">
        <f>T$253*Exogenous!AF$34/Exogenous!AE$34</f>
        <v>4.0520775623268702E-2</v>
      </c>
      <c r="V253" s="21">
        <f>U$253*Exogenous!AG$34/Exogenous!AF$34</f>
        <v>3.8171745152354573E-2</v>
      </c>
      <c r="W253" s="21">
        <f>V$253*Exogenous!AH$34/Exogenous!AG$34</f>
        <v>3.5675900277008316E-2</v>
      </c>
      <c r="X253" s="21">
        <f>W$253*Exogenous!AI$34/Exogenous!AH$34</f>
        <v>3.3180055401662058E-2</v>
      </c>
      <c r="Y253" s="21">
        <f>X$253*Exogenous!AJ$34/Exogenous!AI$34</f>
        <v>3.0977839335180061E-2</v>
      </c>
      <c r="Z253" s="21">
        <f>Y$253*Exogenous!AK$34/Exogenous!AJ$34</f>
        <v>2.8775623268698067E-2</v>
      </c>
    </row>
    <row r="255" spans="1:26" x14ac:dyDescent="0.25">
      <c r="A255" s="11" t="s">
        <v>1274</v>
      </c>
      <c r="D255" s="2"/>
      <c r="E255" s="2"/>
      <c r="F255" s="2"/>
      <c r="G255" s="2"/>
      <c r="H255" s="2"/>
      <c r="I255" s="2"/>
      <c r="J255" s="2"/>
      <c r="K255" s="2"/>
      <c r="L255" s="2"/>
    </row>
    <row r="256" spans="1:26" x14ac:dyDescent="0.25">
      <c r="A256" s="11" t="s">
        <v>1275</v>
      </c>
      <c r="B256" s="14" t="str">
        <f>$B$38</f>
        <v>From Fiscal Forecasts</v>
      </c>
      <c r="D256" s="51">
        <f>'Fiscal Forecasts'!D$58</f>
        <v>18.268000000000001</v>
      </c>
      <c r="E256" s="51">
        <f>'Fiscal Forecasts'!E$58</f>
        <v>19.890999999999998</v>
      </c>
      <c r="F256" s="51">
        <f>'Fiscal Forecasts'!F$58</f>
        <v>22.783999999999999</v>
      </c>
      <c r="G256" s="51">
        <f>'Fiscal Forecasts'!G$58</f>
        <v>27.780999999999999</v>
      </c>
      <c r="H256" s="51">
        <f>'Fiscal Forecasts'!H$58</f>
        <v>28.489000000000001</v>
      </c>
      <c r="I256" s="51">
        <f>'Fiscal Forecasts'!I$58</f>
        <v>29.998999999999999</v>
      </c>
      <c r="J256" s="51">
        <f>'Fiscal Forecasts'!J$58</f>
        <v>30.311</v>
      </c>
      <c r="K256" s="51">
        <f>'Fiscal Forecasts'!K$58</f>
        <v>32.917000000000002</v>
      </c>
      <c r="L256" s="47">
        <f ca="1">'Fiscal Forecasts'!L$58+IF(OFFSET(Assumptions!$B$57,0,$C$1)="Yes",Allocation!C$11,0)</f>
        <v>33.975459999999998</v>
      </c>
      <c r="M256" s="47">
        <f ca="1">'Fiscal Forecasts'!M$58+IF(OFFSET(Assumptions!$B$57,0,$C$1)="Yes",Allocation!D$11,0)</f>
        <v>34.896160000000002</v>
      </c>
      <c r="N256" s="47">
        <f ca="1">'Fiscal Forecasts'!N$58+IF(OFFSET(Assumptions!$B$57,0,$C$1)="Yes",Allocation!E$11,0)</f>
        <v>35.827750000000002</v>
      </c>
      <c r="O256" s="47">
        <f ca="1">'Fiscal Forecasts'!O$58+IF(OFFSET(Assumptions!$B$57,0,$C$1)="Yes",Allocation!F$11,0)</f>
        <v>36.933209999999995</v>
      </c>
      <c r="P256" s="47">
        <f ca="1">'Fiscal Forecasts'!P$58+IF(OFFSET(Assumptions!$B$57,0,$C$1)="Yes",Allocation!G$11,0)</f>
        <v>37.954419999999999</v>
      </c>
      <c r="Q256" s="21">
        <f ca="1">P$256+IF(OFFSET(Assumptions!$B$58,0,$C$1)="Yes",Allocation!$B$11*Q$248,IF(OFFSET(Assumptions!$B$59,0,$C$1)="Yes",Q$530-P$256,0))</f>
        <v>40.083246679023617</v>
      </c>
      <c r="R256" s="21">
        <f ca="1">Q$256+IF(OFFSET(Assumptions!$B$58,0,$C$1)="Yes",Allocation!$B$11*R$248,IF(OFFSET(Assumptions!$B$59,0,$C$1)="Yes",R$530-Q$256,0))</f>
        <v>42.262937078894559</v>
      </c>
      <c r="S256" s="21">
        <f ca="1">R$256+IF(OFFSET(Assumptions!$B$58,0,$C$1)="Yes",Allocation!$B$11*S$248,IF(OFFSET(Assumptions!$B$59,0,$C$1)="Yes",S$530-R$256,0))</f>
        <v>44.500970421577534</v>
      </c>
      <c r="T256" s="21">
        <f ca="1">S$256+IF(OFFSET(Assumptions!$B$58,0,$C$1)="Yes",Allocation!$B$11*T$248,IF(OFFSET(Assumptions!$B$59,0,$C$1)="Yes",T$530-S$256,0))</f>
        <v>46.825942970009798</v>
      </c>
      <c r="U256" s="21">
        <f ca="1">T$256+IF(OFFSET(Assumptions!$B$58,0,$C$1)="Yes",Allocation!$B$11*U$248,IF(OFFSET(Assumptions!$B$59,0,$C$1)="Yes",U$530-T$256,0))</f>
        <v>49.248600254770139</v>
      </c>
      <c r="V256" s="21">
        <f ca="1">U$256+IF(OFFSET(Assumptions!$B$58,0,$C$1)="Yes",Allocation!$B$11*V$248,IF(OFFSET(Assumptions!$B$59,0,$C$1)="Yes",V$530-U$256,0))</f>
        <v>51.788514695551115</v>
      </c>
      <c r="W256" s="21">
        <f ca="1">V$256+IF(OFFSET(Assumptions!$B$58,0,$C$1)="Yes",Allocation!$B$11*W$248,IF(OFFSET(Assumptions!$B$59,0,$C$1)="Yes",W$530-V$256,0))</f>
        <v>54.428404489248138</v>
      </c>
      <c r="X256" s="21">
        <f ca="1">W$256+IF(OFFSET(Assumptions!$B$58,0,$C$1)="Yes",Allocation!$B$11*X$248,IF(OFFSET(Assumptions!$B$59,0,$C$1)="Yes",X$530-W$256,0))</f>
        <v>57.188688467494948</v>
      </c>
      <c r="Y256" s="21">
        <f ca="1">X$256+IF(OFFSET(Assumptions!$B$58,0,$C$1)="Yes",Allocation!$B$11*Y$248,IF(OFFSET(Assumptions!$B$59,0,$C$1)="Yes",Y$530-X$256,0))</f>
        <v>60.068612845673407</v>
      </c>
      <c r="Z256" s="21">
        <f ca="1">Y$256+IF(OFFSET(Assumptions!$B$58,0,$C$1)="Yes",Allocation!$B$11*Z$248,IF(OFFSET(Assumptions!$B$59,0,$C$1)="Yes",Z$530-Y$256,0))</f>
        <v>63.082125679942266</v>
      </c>
    </row>
    <row r="257" spans="1:26" x14ac:dyDescent="0.25">
      <c r="A257" s="12" t="s">
        <v>1020</v>
      </c>
      <c r="B257" s="14" t="str">
        <f>$B$38</f>
        <v>From Fiscal Forecasts</v>
      </c>
      <c r="D257" s="50">
        <f>'Fiscal Forecasts'!D$207</f>
        <v>16.579000000000001</v>
      </c>
      <c r="E257" s="50">
        <f>'Fiscal Forecasts'!E$207</f>
        <v>17.788</v>
      </c>
      <c r="F257" s="50">
        <f>'Fiscal Forecasts'!F$207</f>
        <v>18.856000000000002</v>
      </c>
      <c r="G257" s="50">
        <f>'Fiscal Forecasts'!G$207</f>
        <v>22.004999999999999</v>
      </c>
      <c r="H257" s="50">
        <f>'Fiscal Forecasts'!H$207</f>
        <v>27.765999999999998</v>
      </c>
      <c r="I257" s="50">
        <f>'Fiscal Forecasts'!I$207</f>
        <v>27.89</v>
      </c>
      <c r="J257" s="50">
        <f>'Fiscal Forecasts'!J$207</f>
        <v>27.827000000000002</v>
      </c>
      <c r="K257" s="50">
        <f>'Fiscal Forecasts'!K$207</f>
        <v>29.77</v>
      </c>
      <c r="L257" s="48">
        <f>'Fiscal Forecasts'!L$207</f>
        <v>31.096</v>
      </c>
      <c r="M257" s="48">
        <f>'Fiscal Forecasts'!M$207</f>
        <v>30.754999999999999</v>
      </c>
      <c r="N257" s="48">
        <f>'Fiscal Forecasts'!N$207</f>
        <v>30.608000000000001</v>
      </c>
      <c r="O257" s="48">
        <f>'Fiscal Forecasts'!O$207</f>
        <v>30.402999999999999</v>
      </c>
      <c r="P257" s="48">
        <f>'Fiscal Forecasts'!P$207</f>
        <v>30.282</v>
      </c>
      <c r="Q257" s="20">
        <f t="shared" ref="Q257:Z257" ca="1" si="149">P$257+Q$256-P$256</f>
        <v>32.410826679023614</v>
      </c>
      <c r="R257" s="20">
        <f t="shared" ca="1" si="149"/>
        <v>34.590517078894564</v>
      </c>
      <c r="S257" s="20">
        <f t="shared" ca="1" si="149"/>
        <v>36.828550421577539</v>
      </c>
      <c r="T257" s="20">
        <f t="shared" ca="1" si="149"/>
        <v>39.153522970009803</v>
      </c>
      <c r="U257" s="20">
        <f t="shared" ca="1" si="149"/>
        <v>41.576180254770144</v>
      </c>
      <c r="V257" s="20">
        <f t="shared" ca="1" si="149"/>
        <v>44.116094695551112</v>
      </c>
      <c r="W257" s="20">
        <f t="shared" ca="1" si="149"/>
        <v>46.755984489248135</v>
      </c>
      <c r="X257" s="20">
        <f t="shared" ca="1" si="149"/>
        <v>49.516268467494953</v>
      </c>
      <c r="Y257" s="20">
        <f t="shared" ca="1" si="149"/>
        <v>52.396192845673404</v>
      </c>
      <c r="Z257" s="20">
        <f t="shared" ca="1" si="149"/>
        <v>55.409705679942256</v>
      </c>
    </row>
    <row r="258" spans="1:26" x14ac:dyDescent="0.25">
      <c r="A258" s="12" t="s">
        <v>1228</v>
      </c>
      <c r="B258" s="14" t="str">
        <f>$B$38</f>
        <v>From Fiscal Forecasts</v>
      </c>
      <c r="D258" s="50">
        <f>'Fiscal Forecasts'!D$41-SUM(D$256:D$257)</f>
        <v>-16.187000000000001</v>
      </c>
      <c r="E258" s="50">
        <f>'Fiscal Forecasts'!E$41-SUM(E$256:E$257)</f>
        <v>-17.21</v>
      </c>
      <c r="F258" s="50">
        <f>'Fiscal Forecasts'!F$41-SUM(F$256:F$257)</f>
        <v>-19.042000000000002</v>
      </c>
      <c r="G258" s="50">
        <f>'Fiscal Forecasts'!G$41-SUM(G$256:G$257)</f>
        <v>-22.128</v>
      </c>
      <c r="H258" s="50">
        <f>'Fiscal Forecasts'!H$41-SUM(H$256:H$257)</f>
        <v>-26.430999999999994</v>
      </c>
      <c r="I258" s="50">
        <f>'Fiscal Forecasts'!I$41-SUM(I$256:I$257)</f>
        <v>-28.048999999999996</v>
      </c>
      <c r="J258" s="50">
        <f>'Fiscal Forecasts'!J$41-SUM(J$256:J$257)</f>
        <v>-28.285000000000004</v>
      </c>
      <c r="K258" s="50">
        <f>'Fiscal Forecasts'!K$41-SUM(K$256:K$257)</f>
        <v>-30.897999999999996</v>
      </c>
      <c r="L258" s="48">
        <f ca="1">'Fiscal Forecasts'!L$41-SUM(L$256:L$257)+IF(OFFSET(Assumptions!$B$57,0,$C$1)="Yes",Allocation!C$11,0)</f>
        <v>-31.818000000000001</v>
      </c>
      <c r="M258" s="48">
        <f ca="1">'Fiscal Forecasts'!M$41-SUM(M$256:M$257)+IF(OFFSET(Assumptions!$B$57,0,$C$1)="Yes",Allocation!D$11,0)</f>
        <v>-31.799000000000007</v>
      </c>
      <c r="N258" s="48">
        <f ca="1">'Fiscal Forecasts'!N$41-SUM(N$256:N$257)+IF(OFFSET(Assumptions!$B$57,0,$C$1)="Yes",Allocation!E$11,0)</f>
        <v>-31.965000000000003</v>
      </c>
      <c r="O258" s="48">
        <f ca="1">'Fiscal Forecasts'!O$41-SUM(O$256:O$257)+IF(OFFSET(Assumptions!$B$57,0,$C$1)="Yes",Allocation!F$11,0)</f>
        <v>-32.076999999999998</v>
      </c>
      <c r="P258" s="48">
        <f ca="1">'Fiscal Forecasts'!P$41-SUM(P$256:P$257)+IF(OFFSET(Assumptions!$B$57,0,$C$1)="Yes",Allocation!G$11,0)</f>
        <v>-32.281999999999996</v>
      </c>
      <c r="Q258" s="20">
        <f t="shared" ref="Q258:Z258" ca="1" si="150">P$258-(Q$256-P$256)</f>
        <v>-34.410826679023614</v>
      </c>
      <c r="R258" s="20">
        <f t="shared" ca="1" si="150"/>
        <v>-36.590517078894557</v>
      </c>
      <c r="S258" s="20">
        <f t="shared" ca="1" si="150"/>
        <v>-38.828550421577532</v>
      </c>
      <c r="T258" s="20">
        <f t="shared" ca="1" si="150"/>
        <v>-41.153522970009796</v>
      </c>
      <c r="U258" s="20">
        <f t="shared" ca="1" si="150"/>
        <v>-43.576180254770136</v>
      </c>
      <c r="V258" s="20">
        <f t="shared" ca="1" si="150"/>
        <v>-46.116094695551112</v>
      </c>
      <c r="W258" s="20">
        <f t="shared" ca="1" si="150"/>
        <v>-48.755984489248135</v>
      </c>
      <c r="X258" s="20">
        <f t="shared" ca="1" si="150"/>
        <v>-51.516268467494946</v>
      </c>
      <c r="Y258" s="20">
        <f t="shared" ca="1" si="150"/>
        <v>-54.396192845673404</v>
      </c>
      <c r="Z258" s="20">
        <f t="shared" ca="1" si="150"/>
        <v>-57.409705679942263</v>
      </c>
    </row>
    <row r="259" spans="1:26" x14ac:dyDescent="0.25">
      <c r="A259" s="11" t="s">
        <v>1276</v>
      </c>
      <c r="D259" s="94">
        <f t="shared" ref="D259:Z259" si="151">SUM(D$256:D$258)</f>
        <v>18.66</v>
      </c>
      <c r="E259" s="94">
        <f t="shared" si="151"/>
        <v>20.469000000000001</v>
      </c>
      <c r="F259" s="94">
        <f t="shared" si="151"/>
        <v>22.597999999999999</v>
      </c>
      <c r="G259" s="94">
        <f t="shared" si="151"/>
        <v>27.658000000000001</v>
      </c>
      <c r="H259" s="94">
        <f t="shared" si="151"/>
        <v>29.824000000000002</v>
      </c>
      <c r="I259" s="94">
        <f t="shared" si="151"/>
        <v>29.84</v>
      </c>
      <c r="J259" s="94">
        <f t="shared" si="151"/>
        <v>29.853000000000002</v>
      </c>
      <c r="K259" s="94">
        <f t="shared" si="151"/>
        <v>31.789000000000001</v>
      </c>
      <c r="L259" s="95">
        <f t="shared" ca="1" si="151"/>
        <v>33.253460000000004</v>
      </c>
      <c r="M259" s="95">
        <f t="shared" ca="1" si="151"/>
        <v>33.852159999999998</v>
      </c>
      <c r="N259" s="95">
        <f t="shared" ca="1" si="151"/>
        <v>34.470749999999995</v>
      </c>
      <c r="O259" s="95">
        <f t="shared" ca="1" si="151"/>
        <v>35.259209999999996</v>
      </c>
      <c r="P259" s="95">
        <f t="shared" ca="1" si="151"/>
        <v>35.954419999999999</v>
      </c>
      <c r="Q259" s="96">
        <f t="shared" ca="1" si="151"/>
        <v>38.083246679023617</v>
      </c>
      <c r="R259" s="96">
        <f t="shared" ca="1" si="151"/>
        <v>40.262937078894559</v>
      </c>
      <c r="S259" s="96">
        <f t="shared" ca="1" si="151"/>
        <v>42.500970421577549</v>
      </c>
      <c r="T259" s="96">
        <f t="shared" ca="1" si="151"/>
        <v>44.825942970009798</v>
      </c>
      <c r="U259" s="96">
        <f t="shared" ca="1" si="151"/>
        <v>47.248600254770153</v>
      </c>
      <c r="V259" s="96">
        <f t="shared" ca="1" si="151"/>
        <v>49.788514695551115</v>
      </c>
      <c r="W259" s="96">
        <f t="shared" ca="1" si="151"/>
        <v>52.428404489248138</v>
      </c>
      <c r="X259" s="96">
        <f t="shared" ca="1" si="151"/>
        <v>55.188688467494948</v>
      </c>
      <c r="Y259" s="96">
        <f t="shared" ca="1" si="151"/>
        <v>58.068612845673407</v>
      </c>
      <c r="Z259" s="96">
        <f t="shared" ca="1" si="151"/>
        <v>61.082125679942251</v>
      </c>
    </row>
    <row r="260" spans="1:26" x14ac:dyDescent="0.25">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row>
    <row r="261" spans="1:26" x14ac:dyDescent="0.25">
      <c r="A261" s="11" t="s">
        <v>1277</v>
      </c>
    </row>
    <row r="262" spans="1:26" x14ac:dyDescent="0.25">
      <c r="A262" s="12" t="s">
        <v>693</v>
      </c>
      <c r="D262" s="50">
        <f>D$190</f>
        <v>0.58299999999999996</v>
      </c>
      <c r="E262" s="50">
        <f t="shared" ref="E262:Z262" si="152">E$190</f>
        <v>0.56699999999999995</v>
      </c>
      <c r="F262" s="50">
        <f t="shared" si="152"/>
        <v>0.59</v>
      </c>
      <c r="G262" s="50">
        <f t="shared" si="152"/>
        <v>0.55600000000000005</v>
      </c>
      <c r="H262" s="50">
        <f t="shared" si="152"/>
        <v>0.52500000000000002</v>
      </c>
      <c r="I262" s="50">
        <f t="shared" si="152"/>
        <v>0.52600000000000002</v>
      </c>
      <c r="J262" s="50">
        <f t="shared" si="152"/>
        <v>0.57399999999999995</v>
      </c>
      <c r="K262" s="50">
        <f t="shared" si="152"/>
        <v>0.64100000000000001</v>
      </c>
      <c r="L262" s="48">
        <f t="shared" si="152"/>
        <v>0.70399999999999996</v>
      </c>
      <c r="M262" s="48">
        <f t="shared" si="152"/>
        <v>0.71499999999999997</v>
      </c>
      <c r="N262" s="48">
        <f t="shared" si="152"/>
        <v>0.69899999999999995</v>
      </c>
      <c r="O262" s="48">
        <f t="shared" si="152"/>
        <v>0.68899999999999995</v>
      </c>
      <c r="P262" s="48">
        <f t="shared" si="152"/>
        <v>0.68899999999999995</v>
      </c>
      <c r="Q262" s="20">
        <f t="shared" ca="1" si="152"/>
        <v>0.7042704052526918</v>
      </c>
      <c r="R262" s="20">
        <f t="shared" ca="1" si="152"/>
        <v>0.7200817868108712</v>
      </c>
      <c r="S262" s="20">
        <f t="shared" ca="1" si="152"/>
        <v>0.7364441451154754</v>
      </c>
      <c r="T262" s="20">
        <f t="shared" ca="1" si="152"/>
        <v>0.75426820881386147</v>
      </c>
      <c r="U262" s="20">
        <f t="shared" ca="1" si="152"/>
        <v>0.77251950077583986</v>
      </c>
      <c r="V262" s="20">
        <f t="shared" ca="1" si="152"/>
        <v>0.79212822197401689</v>
      </c>
      <c r="W262" s="20">
        <f t="shared" ca="1" si="152"/>
        <v>0.81256650909083683</v>
      </c>
      <c r="X262" s="20">
        <f t="shared" ca="1" si="152"/>
        <v>0.834167094857449</v>
      </c>
      <c r="Y262" s="20">
        <f t="shared" ca="1" si="152"/>
        <v>0.85705810709086938</v>
      </c>
      <c r="Z262" s="20">
        <f t="shared" ca="1" si="152"/>
        <v>0.87732856685740601</v>
      </c>
    </row>
    <row r="263" spans="1:26" x14ac:dyDescent="0.25">
      <c r="A263" s="12" t="s">
        <v>1278</v>
      </c>
      <c r="D263" s="50">
        <f>D$402</f>
        <v>0.56299999999999994</v>
      </c>
      <c r="E263" s="50">
        <f t="shared" ref="E263:Z263" si="153">E$402</f>
        <v>0.50600000000000001</v>
      </c>
      <c r="F263" s="50">
        <f t="shared" si="153"/>
        <v>0.46899999999999997</v>
      </c>
      <c r="G263" s="50">
        <f t="shared" si="153"/>
        <v>0.48899999999999999</v>
      </c>
      <c r="H263" s="50">
        <f t="shared" si="153"/>
        <v>0.55100000000000005</v>
      </c>
      <c r="I263" s="50">
        <f t="shared" si="153"/>
        <v>0.54400000000000004</v>
      </c>
      <c r="J263" s="50">
        <f t="shared" si="153"/>
        <v>0.58499999999999996</v>
      </c>
      <c r="K263" s="50">
        <f t="shared" si="153"/>
        <v>0.76300000000000001</v>
      </c>
      <c r="L263" s="48">
        <f t="shared" si="153"/>
        <v>0.72399999999999998</v>
      </c>
      <c r="M263" s="48">
        <f t="shared" si="153"/>
        <v>0.78600000000000003</v>
      </c>
      <c r="N263" s="48">
        <f t="shared" si="153"/>
        <v>0.82099999999999995</v>
      </c>
      <c r="O263" s="48">
        <f t="shared" si="153"/>
        <v>0.85299999999999998</v>
      </c>
      <c r="P263" s="48">
        <f t="shared" si="153"/>
        <v>0.88300000000000001</v>
      </c>
      <c r="Q263" s="20">
        <f t="shared" si="153"/>
        <v>0.91100000000000003</v>
      </c>
      <c r="R263" s="20">
        <f t="shared" si="153"/>
        <v>0.93799999999999994</v>
      </c>
      <c r="S263" s="20">
        <f t="shared" si="153"/>
        <v>0.96199999999999997</v>
      </c>
      <c r="T263" s="20">
        <f t="shared" si="153"/>
        <v>0.98499999999999999</v>
      </c>
      <c r="U263" s="20">
        <f t="shared" si="153"/>
        <v>1.006</v>
      </c>
      <c r="V263" s="20">
        <f t="shared" si="153"/>
        <v>1.0249999999999999</v>
      </c>
      <c r="W263" s="20">
        <f t="shared" si="153"/>
        <v>1.046</v>
      </c>
      <c r="X263" s="20">
        <f t="shared" si="153"/>
        <v>1.0669999999999999</v>
      </c>
      <c r="Y263" s="20">
        <f t="shared" si="153"/>
        <v>1.0880000000000001</v>
      </c>
      <c r="Z263" s="20">
        <f t="shared" si="153"/>
        <v>1.109</v>
      </c>
    </row>
    <row r="264" spans="1:26" x14ac:dyDescent="0.25">
      <c r="A264" s="12" t="s">
        <v>1279</v>
      </c>
      <c r="B264" s="14" t="str">
        <f>$B$38</f>
        <v>From Fiscal Forecasts</v>
      </c>
      <c r="D264" s="50">
        <f>'Fiscal Forecasts'!D$59-SUM(D$262:D$263)</f>
        <v>13.146999999999998</v>
      </c>
      <c r="E264" s="50">
        <f>'Fiscal Forecasts'!E$59-SUM(E$262:E$263)</f>
        <v>15.248999999999999</v>
      </c>
      <c r="F264" s="50">
        <f>'Fiscal Forecasts'!F$59-SUM(F$262:F$263)</f>
        <v>14.980000000000002</v>
      </c>
      <c r="G264" s="50">
        <f>'Fiscal Forecasts'!G$59-SUM(G$262:G$263)</f>
        <v>16.978000000000002</v>
      </c>
      <c r="H264" s="50">
        <f>'Fiscal Forecasts'!H$59-SUM(H$262:H$263)</f>
        <v>17.326999999999998</v>
      </c>
      <c r="I264" s="50">
        <f>'Fiscal Forecasts'!I$59-SUM(I$262:I$263)</f>
        <v>19.152999999999999</v>
      </c>
      <c r="J264" s="50">
        <f>'Fiscal Forecasts'!J$59-SUM(J$262:J$263)</f>
        <v>19.736000000000001</v>
      </c>
      <c r="K264" s="50">
        <f>'Fiscal Forecasts'!K$59-SUM(K$262:K$263)</f>
        <v>19.802</v>
      </c>
      <c r="L264" s="48">
        <f ca="1">'Fiscal Forecasts'!L$59+IF(OFFSET(Assumptions!$B$57,0,$C$1)="Yes",Allocation!C$12,0)-SUM(L$262:L$263)</f>
        <v>20.416789999999999</v>
      </c>
      <c r="M264" s="48">
        <f ca="1">'Fiscal Forecasts'!M$59+IF(OFFSET(Assumptions!$B$57,0,$C$1)="Yes",Allocation!D$12,0)-SUM(M$262:M$263)</f>
        <v>21.120839999999998</v>
      </c>
      <c r="N264" s="48">
        <f ca="1">'Fiscal Forecasts'!N$59+IF(OFFSET(Assumptions!$B$57,0,$C$1)="Yes",Allocation!E$12,0)-SUM(N$262:N$263)</f>
        <v>21.543625000000002</v>
      </c>
      <c r="O264" s="48">
        <f ca="1">'Fiscal Forecasts'!O$59+IF(OFFSET(Assumptions!$B$57,0,$C$1)="Yes",Allocation!F$12,0)-SUM(O$262:O$263)</f>
        <v>22.228915000000001</v>
      </c>
      <c r="P264" s="48">
        <f ca="1">'Fiscal Forecasts'!P$59+IF(OFFSET(Assumptions!$B$57,0,$C$1)="Yes",Allocation!G$12,0)-SUM(P$262:P$263)</f>
        <v>22.86083</v>
      </c>
      <c r="Q264" s="20">
        <f ca="1">P$264+IF(OFFSET(Assumptions!$B$58,0,$C$1)="Yes",Allocation!$B$12*Q$248,IF(OFFSET(Assumptions!$B$59,0,$C$1)="Yes",SUM(Q$533:Q$536,Q$539)-P$264,0))</f>
        <v>24.003378384177218</v>
      </c>
      <c r="R264" s="20">
        <f ca="1">Q$264+IF(OFFSET(Assumptions!$B$58,0,$C$1)="Yes",Allocation!$B$12*R$248,IF(OFFSET(Assumptions!$B$59,0,$C$1)="Yes",SUM(R$533:R$536,R$539)-Q$264,0))</f>
        <v>25.14624375421274</v>
      </c>
      <c r="S264" s="20">
        <f ca="1">R$264+IF(OFFSET(Assumptions!$B$58,0,$C$1)="Yes",Allocation!$B$12*S$248,IF(OFFSET(Assumptions!$B$59,0,$C$1)="Yes",SUM(S$533:S$536,S$539)-R$264,0))</f>
        <v>26.041678555598736</v>
      </c>
      <c r="T264" s="20">
        <f ca="1">S$264+IF(OFFSET(Assumptions!$B$58,0,$C$1)="Yes",Allocation!$B$12*T$248,IF(OFFSET(Assumptions!$B$59,0,$C$1)="Yes",SUM(T$533:T$536,T$539)-S$264,0))</f>
        <v>26.958160170945888</v>
      </c>
      <c r="U264" s="20">
        <f ca="1">T$264+IF(OFFSET(Assumptions!$B$58,0,$C$1)="Yes",Allocation!$B$12*U$248,IF(OFFSET(Assumptions!$B$59,0,$C$1)="Yes",SUM(U$533:U$536,U$539)-T$264,0))</f>
        <v>27.906945953356828</v>
      </c>
      <c r="V264" s="20">
        <f ca="1">U$264+IF(OFFSET(Assumptions!$B$58,0,$C$1)="Yes",Allocation!$B$12*V$248,IF(OFFSET(Assumptions!$B$59,0,$C$1)="Yes",SUM(V$533:V$536,V$539)-U$264,0))</f>
        <v>28.876496558276841</v>
      </c>
      <c r="W264" s="20">
        <f ca="1">V$264+IF(OFFSET(Assumptions!$B$58,0,$C$1)="Yes",Allocation!$B$12*W$248,IF(OFFSET(Assumptions!$B$59,0,$C$1)="Yes",SUM(W$533:W$536,W$539)-V$264,0))</f>
        <v>29.889905492731405</v>
      </c>
      <c r="X264" s="20">
        <f ca="1">W$264+IF(OFFSET(Assumptions!$B$58,0,$C$1)="Yes",Allocation!$B$12*X$248,IF(OFFSET(Assumptions!$B$59,0,$C$1)="Yes",SUM(X$533:X$536,X$539)-W$264,0))</f>
        <v>30.959767670704252</v>
      </c>
      <c r="Y264" s="20">
        <f ca="1">X$264+IF(OFFSET(Assumptions!$B$58,0,$C$1)="Yes",Allocation!$B$12*Y$248,IF(OFFSET(Assumptions!$B$59,0,$C$1)="Yes",SUM(Y$533:Y$536,Y$539)-X$264,0))</f>
        <v>32.085273971719687</v>
      </c>
      <c r="Z264" s="20">
        <f ca="1">Y$264+IF(OFFSET(Assumptions!$B$58,0,$C$1)="Yes",Allocation!$B$12*Z$248,IF(OFFSET(Assumptions!$B$59,0,$C$1)="Yes",SUM(Z$533:Z$536,Z$539)-Y$264,0))</f>
        <v>33.292598469009157</v>
      </c>
    </row>
    <row r="265" spans="1:26" x14ac:dyDescent="0.25">
      <c r="A265" s="11" t="s">
        <v>1128</v>
      </c>
      <c r="D265" s="94">
        <f>SUM(D$262:D$264)</f>
        <v>14.292999999999999</v>
      </c>
      <c r="E265" s="94">
        <f t="shared" ref="E265:Z265" si="154">SUM(E$262:E$264)</f>
        <v>16.321999999999999</v>
      </c>
      <c r="F265" s="94">
        <f t="shared" si="154"/>
        <v>16.039000000000001</v>
      </c>
      <c r="G265" s="94">
        <f t="shared" si="154"/>
        <v>18.023000000000003</v>
      </c>
      <c r="H265" s="94">
        <f t="shared" si="154"/>
        <v>18.402999999999999</v>
      </c>
      <c r="I265" s="94">
        <f t="shared" si="154"/>
        <v>20.222999999999999</v>
      </c>
      <c r="J265" s="94">
        <f t="shared" si="154"/>
        <v>20.895</v>
      </c>
      <c r="K265" s="94">
        <f t="shared" si="154"/>
        <v>21.206</v>
      </c>
      <c r="L265" s="95">
        <f t="shared" ca="1" si="154"/>
        <v>21.84479</v>
      </c>
      <c r="M265" s="95">
        <f t="shared" ca="1" si="154"/>
        <v>22.621839999999999</v>
      </c>
      <c r="N265" s="95">
        <f t="shared" ca="1" si="154"/>
        <v>23.063625000000002</v>
      </c>
      <c r="O265" s="95">
        <f t="shared" ca="1" si="154"/>
        <v>23.770915000000002</v>
      </c>
      <c r="P265" s="95">
        <f t="shared" ca="1" si="154"/>
        <v>24.432829999999999</v>
      </c>
      <c r="Q265" s="96">
        <f t="shared" ca="1" si="154"/>
        <v>25.618648789429908</v>
      </c>
      <c r="R265" s="96">
        <f t="shared" ca="1" si="154"/>
        <v>26.804325541023612</v>
      </c>
      <c r="S265" s="96">
        <f t="shared" ca="1" si="154"/>
        <v>27.74012270071421</v>
      </c>
      <c r="T265" s="96">
        <f t="shared" ca="1" si="154"/>
        <v>28.697428379759749</v>
      </c>
      <c r="U265" s="96">
        <f t="shared" ca="1" si="154"/>
        <v>29.685465454132668</v>
      </c>
      <c r="V265" s="96">
        <f t="shared" ca="1" si="154"/>
        <v>30.693624780250857</v>
      </c>
      <c r="W265" s="96">
        <f t="shared" ca="1" si="154"/>
        <v>31.748472001822243</v>
      </c>
      <c r="X265" s="96">
        <f t="shared" ca="1" si="154"/>
        <v>32.860934765561701</v>
      </c>
      <c r="Y265" s="96">
        <f t="shared" ca="1" si="154"/>
        <v>34.030332078810559</v>
      </c>
      <c r="Z265" s="96">
        <f t="shared" ca="1" si="154"/>
        <v>35.278927035866566</v>
      </c>
    </row>
    <row r="266" spans="1:26" x14ac:dyDescent="0.25">
      <c r="A266" s="12" t="s">
        <v>1020</v>
      </c>
      <c r="B266" s="14" t="str">
        <f>$B$38</f>
        <v>From Fiscal Forecasts</v>
      </c>
      <c r="D266" s="50">
        <f>'Fiscal Forecasts'!D$208</f>
        <v>11.428000000000001</v>
      </c>
      <c r="E266" s="50">
        <f>'Fiscal Forecasts'!E$208</f>
        <v>13.705</v>
      </c>
      <c r="F266" s="50">
        <f>'Fiscal Forecasts'!F$208</f>
        <v>12.840999999999999</v>
      </c>
      <c r="G266" s="50">
        <f>'Fiscal Forecasts'!G$208</f>
        <v>13.805</v>
      </c>
      <c r="H266" s="50">
        <f>'Fiscal Forecasts'!H$208</f>
        <v>14.166</v>
      </c>
      <c r="I266" s="50">
        <f>'Fiscal Forecasts'!I$208</f>
        <v>15.346</v>
      </c>
      <c r="J266" s="50">
        <f>'Fiscal Forecasts'!J$208</f>
        <v>16.091999999999999</v>
      </c>
      <c r="K266" s="50">
        <f>'Fiscal Forecasts'!K$208</f>
        <v>16.541</v>
      </c>
      <c r="L266" s="48">
        <f>'Fiscal Forecasts'!L$208</f>
        <v>17.132000000000001</v>
      </c>
      <c r="M266" s="48">
        <f>'Fiscal Forecasts'!M$208</f>
        <v>17.181999999999999</v>
      </c>
      <c r="N266" s="48">
        <f>'Fiscal Forecasts'!N$208</f>
        <v>16.97</v>
      </c>
      <c r="O266" s="48">
        <f>'Fiscal Forecasts'!O$208</f>
        <v>17.021000000000001</v>
      </c>
      <c r="P266" s="48">
        <f>'Fiscal Forecasts'!P$208</f>
        <v>17.047999999999998</v>
      </c>
      <c r="Q266" s="20">
        <f t="shared" ref="Q266:Z266" ca="1" si="155">SUM(P$266,Q$264-P$264)</f>
        <v>18.190548384177216</v>
      </c>
      <c r="R266" s="20">
        <f t="shared" ca="1" si="155"/>
        <v>19.333413754212739</v>
      </c>
      <c r="S266" s="20">
        <f t="shared" ca="1" si="155"/>
        <v>20.228848555598734</v>
      </c>
      <c r="T266" s="20">
        <f t="shared" ca="1" si="155"/>
        <v>21.145330170945886</v>
      </c>
      <c r="U266" s="20">
        <f t="shared" ca="1" si="155"/>
        <v>22.094115953356827</v>
      </c>
      <c r="V266" s="20">
        <f t="shared" ca="1" si="155"/>
        <v>23.063666558276839</v>
      </c>
      <c r="W266" s="20">
        <f t="shared" ca="1" si="155"/>
        <v>24.077075492731403</v>
      </c>
      <c r="X266" s="20">
        <f t="shared" ca="1" si="155"/>
        <v>25.146937670704251</v>
      </c>
      <c r="Y266" s="20">
        <f t="shared" ca="1" si="155"/>
        <v>26.272443971719685</v>
      </c>
      <c r="Z266" s="20">
        <f t="shared" ca="1" si="155"/>
        <v>27.479768469009155</v>
      </c>
    </row>
    <row r="267" spans="1:26" x14ac:dyDescent="0.25">
      <c r="A267" s="12" t="s">
        <v>1228</v>
      </c>
      <c r="B267" s="14" t="str">
        <f>$B$38</f>
        <v>From Fiscal Forecasts</v>
      </c>
      <c r="D267" s="50">
        <f>'Fiscal Forecasts'!D$42-SUM(D$265:D$266)</f>
        <v>-10.441000000000001</v>
      </c>
      <c r="E267" s="50">
        <f>'Fiscal Forecasts'!E$42-SUM(E$265:E$266)</f>
        <v>-12.446000000000002</v>
      </c>
      <c r="F267" s="50">
        <f>'Fiscal Forecasts'!F$42-SUM(F$265:F$266)</f>
        <v>-11.496000000000002</v>
      </c>
      <c r="G267" s="50">
        <f>'Fiscal Forecasts'!G$42-SUM(G$265:G$266)</f>
        <v>-12.917000000000002</v>
      </c>
      <c r="H267" s="50">
        <f>'Fiscal Forecasts'!H$42-SUM(H$265:H$266)</f>
        <v>-12.96</v>
      </c>
      <c r="I267" s="50">
        <f>'Fiscal Forecasts'!I$42-SUM(I$265:I$266)</f>
        <v>-14.383000000000003</v>
      </c>
      <c r="J267" s="50">
        <f>'Fiscal Forecasts'!J$42-SUM(J$265:J$266)</f>
        <v>-14.678999999999995</v>
      </c>
      <c r="K267" s="50">
        <f>'Fiscal Forecasts'!K$42-SUM(K$265:K$266)</f>
        <v>-14.896000000000001</v>
      </c>
      <c r="L267" s="48">
        <f ca="1">'Fiscal Forecasts'!L$42-SUM(L$265:L$266)+IF(OFFSET(Assumptions!$B$57,0,$C$1)="Yes",Allocation!C$12,0)</f>
        <v>-15.548</v>
      </c>
      <c r="M267" s="48">
        <f ca="1">'Fiscal Forecasts'!M$42-SUM(M$265:M$266)+IF(OFFSET(Assumptions!$B$57,0,$C$1)="Yes",Allocation!D$12,0)</f>
        <v>-15.472999999999995</v>
      </c>
      <c r="N267" s="48">
        <f ca="1">'Fiscal Forecasts'!N$42-SUM(N$265:N$266)+IF(OFFSET(Assumptions!$B$57,0,$C$1)="Yes",Allocation!E$12,0)</f>
        <v>-15.250000000000002</v>
      </c>
      <c r="O267" s="48">
        <f ca="1">'Fiscal Forecasts'!O$42-SUM(O$265:O$266)+IF(OFFSET(Assumptions!$B$57,0,$C$1)="Yes",Allocation!F$12,0)</f>
        <v>-15.261000000000003</v>
      </c>
      <c r="P267" s="48">
        <f ca="1">'Fiscal Forecasts'!P$42-SUM(P$265:P$266)+IF(OFFSET(Assumptions!$B$57,0,$C$1)="Yes",Allocation!G$12,0)</f>
        <v>-15.240999999999996</v>
      </c>
      <c r="Q267" s="20">
        <f t="shared" ref="Q267:Z267" ca="1" si="156">P$267-(Q$264-P$264)</f>
        <v>-16.383548384177214</v>
      </c>
      <c r="R267" s="20">
        <f t="shared" ca="1" si="156"/>
        <v>-17.526413754212737</v>
      </c>
      <c r="S267" s="20">
        <f t="shared" ca="1" si="156"/>
        <v>-18.421848555598732</v>
      </c>
      <c r="T267" s="20">
        <f t="shared" ca="1" si="156"/>
        <v>-19.338330170945884</v>
      </c>
      <c r="U267" s="20">
        <f t="shared" ca="1" si="156"/>
        <v>-20.287115953356825</v>
      </c>
      <c r="V267" s="20">
        <f t="shared" ca="1" si="156"/>
        <v>-21.256666558276837</v>
      </c>
      <c r="W267" s="20">
        <f t="shared" ca="1" si="156"/>
        <v>-22.270075492731401</v>
      </c>
      <c r="X267" s="20">
        <f t="shared" ca="1" si="156"/>
        <v>-23.339937670704249</v>
      </c>
      <c r="Y267" s="20">
        <f t="shared" ca="1" si="156"/>
        <v>-24.465443971719683</v>
      </c>
      <c r="Z267" s="20">
        <f t="shared" ca="1" si="156"/>
        <v>-25.672768469009153</v>
      </c>
    </row>
    <row r="268" spans="1:26" x14ac:dyDescent="0.25">
      <c r="A268" s="11" t="s">
        <v>1280</v>
      </c>
      <c r="D268" s="94">
        <f t="shared" ref="D268:K268" si="157">SUM(D$265:D$267)</f>
        <v>15.28</v>
      </c>
      <c r="E268" s="94">
        <f t="shared" si="157"/>
        <v>17.581</v>
      </c>
      <c r="F268" s="94">
        <f t="shared" si="157"/>
        <v>17.384</v>
      </c>
      <c r="G268" s="94">
        <f t="shared" si="157"/>
        <v>18.911000000000001</v>
      </c>
      <c r="H268" s="94">
        <f t="shared" si="157"/>
        <v>19.609000000000002</v>
      </c>
      <c r="I268" s="94">
        <f t="shared" si="157"/>
        <v>21.186</v>
      </c>
      <c r="J268" s="94">
        <f t="shared" si="157"/>
        <v>22.308</v>
      </c>
      <c r="K268" s="94">
        <f t="shared" si="157"/>
        <v>22.850999999999999</v>
      </c>
      <c r="L268" s="95">
        <f t="shared" ref="L268:Z268" ca="1" si="158">SUM(L$265:L$267)</f>
        <v>23.428789999999999</v>
      </c>
      <c r="M268" s="95">
        <f t="shared" ca="1" si="158"/>
        <v>24.330839999999998</v>
      </c>
      <c r="N268" s="95">
        <f t="shared" ca="1" si="158"/>
        <v>24.783625000000001</v>
      </c>
      <c r="O268" s="95">
        <f t="shared" ca="1" si="158"/>
        <v>25.530915</v>
      </c>
      <c r="P268" s="95">
        <f t="shared" ca="1" si="158"/>
        <v>26.239830000000001</v>
      </c>
      <c r="Q268" s="96">
        <f t="shared" ca="1" si="158"/>
        <v>27.425648789429911</v>
      </c>
      <c r="R268" s="96">
        <f t="shared" ca="1" si="158"/>
        <v>28.611325541023614</v>
      </c>
      <c r="S268" s="96">
        <f t="shared" ca="1" si="158"/>
        <v>29.547122700714208</v>
      </c>
      <c r="T268" s="96">
        <f t="shared" ca="1" si="158"/>
        <v>30.504428379759755</v>
      </c>
      <c r="U268" s="96">
        <f t="shared" ca="1" si="158"/>
        <v>31.49246545413267</v>
      </c>
      <c r="V268" s="96">
        <f t="shared" ca="1" si="158"/>
        <v>32.50062478025086</v>
      </c>
      <c r="W268" s="96">
        <f t="shared" ca="1" si="158"/>
        <v>33.555472001822245</v>
      </c>
      <c r="X268" s="96">
        <f t="shared" ca="1" si="158"/>
        <v>34.667934765561711</v>
      </c>
      <c r="Y268" s="96">
        <f t="shared" ca="1" si="158"/>
        <v>35.837332078810562</v>
      </c>
      <c r="Z268" s="96">
        <f t="shared" ca="1" si="158"/>
        <v>37.085927035866561</v>
      </c>
    </row>
    <row r="270" spans="1:26" x14ac:dyDescent="0.25">
      <c r="A270" s="11" t="s">
        <v>1281</v>
      </c>
    </row>
    <row r="271" spans="1:26" x14ac:dyDescent="0.25">
      <c r="A271" s="12" t="s">
        <v>1282</v>
      </c>
      <c r="D271" s="50">
        <f t="shared" ref="D271:Z271" si="159">D$377</f>
        <v>0.13</v>
      </c>
      <c r="E271" s="50">
        <f t="shared" si="159"/>
        <v>0.15</v>
      </c>
      <c r="F271" s="50">
        <f t="shared" si="159"/>
        <v>0.125</v>
      </c>
      <c r="G271" s="50">
        <f t="shared" si="159"/>
        <v>-0.51700000000000002</v>
      </c>
      <c r="H271" s="50">
        <f t="shared" si="159"/>
        <v>1.054</v>
      </c>
      <c r="I271" s="50">
        <f t="shared" si="159"/>
        <v>0.189</v>
      </c>
      <c r="J271" s="50">
        <f t="shared" si="159"/>
        <v>0.193</v>
      </c>
      <c r="K271" s="50">
        <f t="shared" si="159"/>
        <v>0.215</v>
      </c>
      <c r="L271" s="48">
        <f t="shared" si="159"/>
        <v>0.32200000000000001</v>
      </c>
      <c r="M271" s="48">
        <f t="shared" si="159"/>
        <v>0.33600000000000002</v>
      </c>
      <c r="N271" s="48">
        <f t="shared" si="159"/>
        <v>0.35199999999999998</v>
      </c>
      <c r="O271" s="48">
        <f t="shared" si="159"/>
        <v>0.371</v>
      </c>
      <c r="P271" s="48">
        <f t="shared" si="159"/>
        <v>0.39100000000000001</v>
      </c>
      <c r="Q271" s="20">
        <f t="shared" si="159"/>
        <v>0.41851304952192758</v>
      </c>
      <c r="R271" s="20">
        <f t="shared" si="159"/>
        <v>0.44419562346666575</v>
      </c>
      <c r="S271" s="20">
        <f t="shared" si="159"/>
        <v>0.47094294413192073</v>
      </c>
      <c r="T271" s="20">
        <f t="shared" si="159"/>
        <v>0.49880208501132234</v>
      </c>
      <c r="U271" s="20">
        <f t="shared" si="159"/>
        <v>0.52777449577495117</v>
      </c>
      <c r="V271" s="20">
        <f t="shared" si="159"/>
        <v>0.55788491961991127</v>
      </c>
      <c r="W271" s="20">
        <f t="shared" si="159"/>
        <v>0.58937223378136083</v>
      </c>
      <c r="X271" s="20">
        <f t="shared" si="159"/>
        <v>0.62254596552159913</v>
      </c>
      <c r="Y271" s="20">
        <f t="shared" si="159"/>
        <v>0.65777533085606932</v>
      </c>
      <c r="Z271" s="20">
        <f t="shared" si="159"/>
        <v>0.69547030412768118</v>
      </c>
    </row>
    <row r="272" spans="1:26" x14ac:dyDescent="0.25">
      <c r="A272" s="12" t="s">
        <v>1283</v>
      </c>
      <c r="D272" s="50">
        <f t="shared" ref="D272:Z272" si="160">D$193</f>
        <v>0.70799999999999996</v>
      </c>
      <c r="E272" s="50">
        <f t="shared" si="160"/>
        <v>0.73599999999999999</v>
      </c>
      <c r="F272" s="50">
        <f t="shared" si="160"/>
        <v>0.80400000000000005</v>
      </c>
      <c r="G272" s="50">
        <f t="shared" si="160"/>
        <v>0.82699999999999996</v>
      </c>
      <c r="H272" s="50">
        <f t="shared" si="160"/>
        <v>0.97099999999999997</v>
      </c>
      <c r="I272" s="50">
        <f t="shared" si="160"/>
        <v>1.202</v>
      </c>
      <c r="J272" s="50">
        <f t="shared" si="160"/>
        <v>0.95299999999999996</v>
      </c>
      <c r="K272" s="50">
        <f t="shared" si="160"/>
        <v>0.95599999999999996</v>
      </c>
      <c r="L272" s="48">
        <f t="shared" si="160"/>
        <v>1.151</v>
      </c>
      <c r="M272" s="48">
        <f t="shared" si="160"/>
        <v>0.98199999999999998</v>
      </c>
      <c r="N272" s="48">
        <f t="shared" si="160"/>
        <v>0.98199999999999998</v>
      </c>
      <c r="O272" s="48">
        <f t="shared" si="160"/>
        <v>0.98199999999999998</v>
      </c>
      <c r="P272" s="48">
        <f t="shared" si="160"/>
        <v>0.98199999999999998</v>
      </c>
      <c r="Q272" s="20">
        <f t="shared" ca="1" si="160"/>
        <v>1.0016400000000001</v>
      </c>
      <c r="R272" s="20">
        <f t="shared" ca="1" si="160"/>
        <v>1.0216728000000002</v>
      </c>
      <c r="S272" s="20">
        <f t="shared" ca="1" si="160"/>
        <v>1.0421062560000003</v>
      </c>
      <c r="T272" s="20">
        <f t="shared" ca="1" si="160"/>
        <v>1.0629483811200002</v>
      </c>
      <c r="U272" s="20">
        <f t="shared" ca="1" si="160"/>
        <v>1.0842073487424002</v>
      </c>
      <c r="V272" s="20">
        <f t="shared" ca="1" si="160"/>
        <v>1.1058914957172483</v>
      </c>
      <c r="W272" s="20">
        <f t="shared" ca="1" si="160"/>
        <v>1.1280093256315933</v>
      </c>
      <c r="X272" s="20">
        <f t="shared" ca="1" si="160"/>
        <v>1.1505695121442252</v>
      </c>
      <c r="Y272" s="20">
        <f t="shared" ca="1" si="160"/>
        <v>1.1735809023871098</v>
      </c>
      <c r="Z272" s="20">
        <f t="shared" ca="1" si="160"/>
        <v>1.1970525204348519</v>
      </c>
    </row>
    <row r="273" spans="1:26" x14ac:dyDescent="0.25">
      <c r="A273" s="12" t="s">
        <v>1284</v>
      </c>
      <c r="B273" s="14" t="s">
        <v>1285</v>
      </c>
      <c r="D273" s="50">
        <f>Exogenous!O$39</f>
        <v>0.82899999999999996</v>
      </c>
      <c r="E273" s="50">
        <f>Exogenous!P$39</f>
        <v>1.3560000000000001</v>
      </c>
      <c r="F273" s="50">
        <f>Exogenous!Q$39</f>
        <v>0.88200000000000001</v>
      </c>
      <c r="G273" s="50">
        <f>Exogenous!R$39</f>
        <v>0.66200000000000003</v>
      </c>
      <c r="H273" s="50">
        <f>Exogenous!S$39</f>
        <v>1.4530000000000001</v>
      </c>
      <c r="I273" s="50">
        <f>Exogenous!T$39</f>
        <v>2.3929999999999998</v>
      </c>
      <c r="J273" s="50">
        <f>Exogenous!U$39</f>
        <v>1.8720000000000001</v>
      </c>
      <c r="K273" s="50">
        <f>Exogenous!V$39</f>
        <v>1.17</v>
      </c>
      <c r="L273" s="48">
        <f>Exogenous!W$39</f>
        <v>1.5249999999999999</v>
      </c>
      <c r="M273" s="48">
        <f>Exogenous!X$39</f>
        <v>1.3839999999999999</v>
      </c>
      <c r="N273" s="48">
        <f>Exogenous!Y$39</f>
        <v>1.39</v>
      </c>
      <c r="O273" s="48">
        <f>Exogenous!Z$39</f>
        <v>1.4</v>
      </c>
      <c r="P273" s="48">
        <f>Exogenous!AA$39</f>
        <v>1.41</v>
      </c>
      <c r="Q273" s="20">
        <f t="shared" ref="Q273:Z273" ca="1" si="161">P$273*Q$142/P$142</f>
        <v>1.4669564263751242</v>
      </c>
      <c r="R273" s="20">
        <f t="shared" ca="1" si="161"/>
        <v>1.52388960834636</v>
      </c>
      <c r="S273" s="20">
        <f t="shared" ca="1" si="161"/>
        <v>1.583806697349128</v>
      </c>
      <c r="T273" s="20">
        <f t="shared" ca="1" si="161"/>
        <v>1.6478767020008633</v>
      </c>
      <c r="U273" s="20">
        <f t="shared" ca="1" si="161"/>
        <v>1.7150417727138572</v>
      </c>
      <c r="V273" s="20">
        <f t="shared" ca="1" si="161"/>
        <v>1.7844811043638282</v>
      </c>
      <c r="W273" s="20">
        <f t="shared" ca="1" si="161"/>
        <v>1.8558263889754574</v>
      </c>
      <c r="X273" s="20">
        <f t="shared" ca="1" si="161"/>
        <v>1.9292192456274495</v>
      </c>
      <c r="Y273" s="20">
        <f t="shared" ca="1" si="161"/>
        <v>2.0050475281790781</v>
      </c>
      <c r="Z273" s="20">
        <f t="shared" ca="1" si="161"/>
        <v>2.0833235271462041</v>
      </c>
    </row>
    <row r="274" spans="1:26" x14ac:dyDescent="0.25">
      <c r="A274" s="12" t="s">
        <v>1286</v>
      </c>
      <c r="B274" s="14" t="str">
        <f>$B$38</f>
        <v>From Fiscal Forecasts</v>
      </c>
      <c r="C274" s="100" cm="1">
        <f t="array" aca="1" ref="C274" ca="1">SUMPRODUCT(OFFSET($P$274,0,0,1,-OFFSET(Assumptions!$B$60,0,$C$1))/OFFSET($P$13,0,0,1,-OFFSET(Assumptions!$B$60,0,$C$1)))/OFFSET(Assumptions!$B$60,0,$C$1)</f>
        <v>8.8579341341307044E-3</v>
      </c>
      <c r="D274" s="50">
        <f>'Fiscal Forecasts'!D$60-SUM(D$271:D$273)</f>
        <v>3.4990000000000006</v>
      </c>
      <c r="E274" s="50">
        <f>'Fiscal Forecasts'!E$60-SUM(E$271:E$273)</f>
        <v>3.8410000000000002</v>
      </c>
      <c r="F274" s="50">
        <f>'Fiscal Forecasts'!F$60-SUM(F$271:F$273)</f>
        <v>3.9429999999999996</v>
      </c>
      <c r="G274" s="50">
        <f>'Fiscal Forecasts'!G$60-SUM(G$271:G$273)</f>
        <v>4.7479999999999993</v>
      </c>
      <c r="H274" s="50">
        <f>'Fiscal Forecasts'!H$60-SUM(H$271:H$273)</f>
        <v>3.3280000000000003</v>
      </c>
      <c r="I274" s="50">
        <f>'Fiscal Forecasts'!I$60-SUM(I$271:I$273)</f>
        <v>4.6840000000000002</v>
      </c>
      <c r="J274" s="50">
        <f>'Fiscal Forecasts'!J$60-SUM(J$271:J$273)</f>
        <v>4.8900000000000006</v>
      </c>
      <c r="K274" s="50">
        <f>'Fiscal Forecasts'!K$60-SUM(K$271:K$273)</f>
        <v>3.6390000000000002</v>
      </c>
      <c r="L274" s="48">
        <f ca="1">'Fiscal Forecasts'!L$60-SUM(L$271:L$273)+IF(OFFSET(Assumptions!$B$57,0,$C$1)="Yes",Allocation!C$13,0)</f>
        <v>3.5583499999999999</v>
      </c>
      <c r="M274" s="48">
        <f ca="1">'Fiscal Forecasts'!M$60-SUM(M$271:M$273)+IF(OFFSET(Assumptions!$B$57,0,$C$1)="Yes",Allocation!D$13,0)</f>
        <v>3.8475999999999995</v>
      </c>
      <c r="N274" s="48">
        <f ca="1">'Fiscal Forecasts'!N$60-SUM(N$271:N$273)+IF(OFFSET(Assumptions!$B$57,0,$C$1)="Yes",Allocation!E$13,0)</f>
        <v>3.9331249999999995</v>
      </c>
      <c r="O274" s="48">
        <f ca="1">'Fiscal Forecasts'!O$60-SUM(O$271:O$273)+IF(OFFSET(Assumptions!$B$57,0,$C$1)="Yes",Allocation!F$13,0)</f>
        <v>4.108975</v>
      </c>
      <c r="P274" s="48">
        <f ca="1">'Fiscal Forecasts'!P$60-SUM(P$271:P$273)+IF(OFFSET(Assumptions!$B$57,0,$C$1)="Yes",Allocation!G$13,0)</f>
        <v>4.1899499999999996</v>
      </c>
      <c r="Q274" s="20">
        <f ca="1">P$274+IF(OFFSET(Assumptions!$B$58,0,$C$1)="Yes",Allocation!$B$13*Q$248,IF(OFFSET(Assumptions!$B$59,0,$C$1)="Yes",(P$274/P$13+MIN(ABS($C$274-P$274/P$13),OFFSET(Assumptions!$B$61,0,$C$1))*SIGN($C$274-P$274/P$13))*Q$13-P$274,0))</f>
        <v>4.6761965304620823</v>
      </c>
      <c r="R274" s="20">
        <f ca="1">Q$274+IF(OFFSET(Assumptions!$B$58,0,$C$1)="Yes",Allocation!$B$13*R$248,IF(OFFSET(Assumptions!$B$59,0,$C$1)="Yes",(Q$274/Q$13+MIN(ABS($C$274-Q$274/Q$13),OFFSET(Assumptions!$B$61,0,$C$1))*SIGN($C$274-Q$274/Q$13))*R$13-Q$274,0))</f>
        <v>5.1920273354127655</v>
      </c>
      <c r="S274" s="20">
        <f ca="1">R$274+IF(OFFSET(Assumptions!$B$58,0,$C$1)="Yes",Allocation!$B$13*S$248,IF(OFFSET(Assumptions!$B$59,0,$C$1)="Yes",(R$274/R$13+MIN(ABS($C$274-R$274/R$13),OFFSET(Assumptions!$B$61,0,$C$1))*SIGN($C$274-R$274/R$13))*S$13-R$274,0))</f>
        <v>5.7396838317046601</v>
      </c>
      <c r="T274" s="20">
        <f ca="1">S$274+IF(OFFSET(Assumptions!$B$58,0,$C$1)="Yes",Allocation!$B$13*T$248,IF(OFFSET(Assumptions!$B$59,0,$C$1)="Yes",(S$274/S$13+MIN(ABS($C$274-S$274/S$13),OFFSET(Assumptions!$B$61,0,$C$1))*SIGN($C$274-S$274/S$13))*T$13-S$274,0))</f>
        <v>6.0880928900910751</v>
      </c>
      <c r="U274" s="20">
        <f ca="1">T$274+IF(OFFSET(Assumptions!$B$58,0,$C$1)="Yes",Allocation!$B$13*U$248,IF(OFFSET(Assumptions!$B$59,0,$C$1)="Yes",(T$274/T$13+MIN(ABS($C$274-T$274/T$13),OFFSET(Assumptions!$B$61,0,$C$1))*SIGN($C$274-T$274/T$13))*U$13-T$274,0))</f>
        <v>6.3372073449908362</v>
      </c>
      <c r="V274" s="20">
        <f ca="1">U$274+IF(OFFSET(Assumptions!$B$58,0,$C$1)="Yes",Allocation!$B$13*V$248,IF(OFFSET(Assumptions!$B$59,0,$C$1)="Yes",(U$274/U$13+MIN(ABS($C$274-U$274/U$13),OFFSET(Assumptions!$B$61,0,$C$1))*SIGN($C$274-U$274/U$13))*V$13-U$274,0))</f>
        <v>6.5948044910162418</v>
      </c>
      <c r="W274" s="20">
        <f ca="1">V$274+IF(OFFSET(Assumptions!$B$58,0,$C$1)="Yes",Allocation!$B$13*W$248,IF(OFFSET(Assumptions!$B$59,0,$C$1)="Yes",(V$274/V$13+MIN(ABS($C$274-V$274/V$13),OFFSET(Assumptions!$B$61,0,$C$1))*SIGN($C$274-V$274/V$13))*W$13-V$274,0))</f>
        <v>6.859584754824426</v>
      </c>
      <c r="X274" s="20">
        <f ca="1">W$274+IF(OFFSET(Assumptions!$B$58,0,$C$1)="Yes",Allocation!$B$13*X$248,IF(OFFSET(Assumptions!$B$59,0,$C$1)="Yes",(W$274/W$13+MIN(ABS($C$274-W$274/W$13),OFFSET(Assumptions!$B$61,0,$C$1))*SIGN($C$274-W$274/W$13))*X$13-W$274,0))</f>
        <v>7.1319895927750201</v>
      </c>
      <c r="Y274" s="20">
        <f ca="1">X$274+IF(OFFSET(Assumptions!$B$58,0,$C$1)="Yes",Allocation!$B$13*Y$248,IF(OFFSET(Assumptions!$B$59,0,$C$1)="Yes",(X$274/X$13+MIN(ABS($C$274-X$274/X$13),OFFSET(Assumptions!$B$61,0,$C$1))*SIGN($C$274-X$274/X$13))*Y$13-X$274,0))</f>
        <v>7.4134435112944557</v>
      </c>
      <c r="Z274" s="20">
        <f ca="1">Y$274+IF(OFFSET(Assumptions!$B$58,0,$C$1)="Yes",Allocation!$B$13*Z$248,IF(OFFSET(Assumptions!$B$59,0,$C$1)="Yes",(Y$274/Y$13+MIN(ABS($C$274-Y$274/Y$13),OFFSET(Assumptions!$B$61,0,$C$1))*SIGN($C$274-Y$274/Y$13))*Z$13-Y$274,0))</f>
        <v>7.7040191015439579</v>
      </c>
    </row>
    <row r="275" spans="1:26" x14ac:dyDescent="0.25">
      <c r="A275" s="11" t="s">
        <v>1287</v>
      </c>
      <c r="D275" s="94">
        <f t="shared" ref="D275:Z275" si="162">SUM(D$271:D$274)</f>
        <v>5.1660000000000004</v>
      </c>
      <c r="E275" s="94">
        <f t="shared" si="162"/>
        <v>6.0830000000000002</v>
      </c>
      <c r="F275" s="94">
        <f t="shared" si="162"/>
        <v>5.7539999999999996</v>
      </c>
      <c r="G275" s="94">
        <f t="shared" si="162"/>
        <v>5.7199999999999989</v>
      </c>
      <c r="H275" s="94">
        <f t="shared" si="162"/>
        <v>6.806</v>
      </c>
      <c r="I275" s="94">
        <f t="shared" si="162"/>
        <v>8.468</v>
      </c>
      <c r="J275" s="94">
        <f t="shared" si="162"/>
        <v>7.9080000000000004</v>
      </c>
      <c r="K275" s="94">
        <f t="shared" si="162"/>
        <v>5.98</v>
      </c>
      <c r="L275" s="95">
        <f t="shared" ca="1" si="162"/>
        <v>6.5563500000000001</v>
      </c>
      <c r="M275" s="95">
        <f t="shared" ca="1" si="162"/>
        <v>6.5495999999999999</v>
      </c>
      <c r="N275" s="95">
        <f t="shared" ca="1" si="162"/>
        <v>6.6571249999999997</v>
      </c>
      <c r="O275" s="95">
        <f t="shared" ca="1" si="162"/>
        <v>6.8619750000000002</v>
      </c>
      <c r="P275" s="95">
        <f t="shared" ca="1" si="162"/>
        <v>6.9729499999999991</v>
      </c>
      <c r="Q275" s="96">
        <f t="shared" ca="1" si="162"/>
        <v>7.5633060063591344</v>
      </c>
      <c r="R275" s="96">
        <f t="shared" ca="1" si="162"/>
        <v>8.1817853672257925</v>
      </c>
      <c r="S275" s="96">
        <f t="shared" ca="1" si="162"/>
        <v>8.8365397291857093</v>
      </c>
      <c r="T275" s="96">
        <f t="shared" ca="1" si="162"/>
        <v>9.2977200582232609</v>
      </c>
      <c r="U275" s="96">
        <f t="shared" ca="1" si="162"/>
        <v>9.6642309622220441</v>
      </c>
      <c r="V275" s="96">
        <f t="shared" ca="1" si="162"/>
        <v>10.043062010717229</v>
      </c>
      <c r="W275" s="96">
        <f t="shared" ca="1" si="162"/>
        <v>10.432792703212836</v>
      </c>
      <c r="X275" s="96">
        <f t="shared" ca="1" si="162"/>
        <v>10.834324316068294</v>
      </c>
      <c r="Y275" s="96">
        <f t="shared" ca="1" si="162"/>
        <v>11.249847272716712</v>
      </c>
      <c r="Z275" s="96">
        <f t="shared" ca="1" si="162"/>
        <v>11.679865453252695</v>
      </c>
    </row>
    <row r="276" spans="1:26" x14ac:dyDescent="0.25">
      <c r="A276" s="11" t="s">
        <v>1288</v>
      </c>
      <c r="B276" s="14" t="str">
        <f>$B$38</f>
        <v>From Fiscal Forecasts</v>
      </c>
      <c r="D276" s="51">
        <f>'Fiscal Forecasts'!D$43</f>
        <v>4.7320000000000002</v>
      </c>
      <c r="E276" s="51">
        <f>'Fiscal Forecasts'!E$43</f>
        <v>5.8689999999999998</v>
      </c>
      <c r="F276" s="51">
        <f>'Fiscal Forecasts'!F$43</f>
        <v>5.6020000000000003</v>
      </c>
      <c r="G276" s="51">
        <f>'Fiscal Forecasts'!G$43</f>
        <v>5.4260000000000002</v>
      </c>
      <c r="H276" s="51">
        <f>'Fiscal Forecasts'!H$43</f>
        <v>6.6630000000000003</v>
      </c>
      <c r="I276" s="51">
        <f>'Fiscal Forecasts'!I$43</f>
        <v>8.1780000000000008</v>
      </c>
      <c r="J276" s="51">
        <f>'Fiscal Forecasts'!J$43</f>
        <v>7.7750000000000004</v>
      </c>
      <c r="K276" s="51">
        <f>'Fiscal Forecasts'!K$43</f>
        <v>5.6</v>
      </c>
      <c r="L276" s="47">
        <f ca="1">'Fiscal Forecasts'!L$43+IF(OFFSET(Assumptions!$B$57,0,$C$1)="Yes",Allocation!C$13,0)</f>
        <v>6.0413500000000004</v>
      </c>
      <c r="M276" s="47">
        <f ca="1">'Fiscal Forecasts'!M$43+IF(OFFSET(Assumptions!$B$57,0,$C$1)="Yes",Allocation!D$13,0)</f>
        <v>6.1466000000000003</v>
      </c>
      <c r="N276" s="47">
        <f ca="1">'Fiscal Forecasts'!N$43+IF(OFFSET(Assumptions!$B$57,0,$C$1)="Yes",Allocation!E$13,0)</f>
        <v>6.4951249999999998</v>
      </c>
      <c r="O276" s="47">
        <f ca="1">'Fiscal Forecasts'!O$43+IF(OFFSET(Assumptions!$B$57,0,$C$1)="Yes",Allocation!F$13,0)</f>
        <v>6.725975</v>
      </c>
      <c r="P276" s="47">
        <f ca="1">'Fiscal Forecasts'!P$43+IF(OFFSET(Assumptions!$B$57,0,$C$1)="Yes",Allocation!G$13,0)</f>
        <v>6.8419499999999998</v>
      </c>
      <c r="Q276" s="21">
        <f t="shared" ref="Q276:Z276" ca="1" si="163">Q$275+P$276-P$275</f>
        <v>7.432306006359136</v>
      </c>
      <c r="R276" s="21">
        <f t="shared" ca="1" si="163"/>
        <v>8.0507853672257941</v>
      </c>
      <c r="S276" s="21">
        <f t="shared" ca="1" si="163"/>
        <v>8.7055397291857091</v>
      </c>
      <c r="T276" s="21">
        <f t="shared" ca="1" si="163"/>
        <v>9.1667200582232624</v>
      </c>
      <c r="U276" s="21">
        <f t="shared" ca="1" si="163"/>
        <v>9.5332309622220439</v>
      </c>
      <c r="V276" s="21">
        <f t="shared" ca="1" si="163"/>
        <v>9.9120620107172268</v>
      </c>
      <c r="W276" s="21">
        <f t="shared" ca="1" si="163"/>
        <v>10.301792703212833</v>
      </c>
      <c r="X276" s="21">
        <f t="shared" ca="1" si="163"/>
        <v>10.70332431606829</v>
      </c>
      <c r="Y276" s="21">
        <f t="shared" ca="1" si="163"/>
        <v>11.11884727271671</v>
      </c>
      <c r="Z276" s="21">
        <f t="shared" ca="1" si="163"/>
        <v>11.548865453252693</v>
      </c>
    </row>
    <row r="278" spans="1:26" x14ac:dyDescent="0.25">
      <c r="A278" s="11" t="s">
        <v>1289</v>
      </c>
    </row>
    <row r="279" spans="1:26" x14ac:dyDescent="0.25">
      <c r="A279" s="11" t="s">
        <v>1290</v>
      </c>
      <c r="B279" s="14" t="str">
        <f>$B$38</f>
        <v>From Fiscal Forecasts</v>
      </c>
      <c r="C279" s="100" cm="1">
        <f t="array" aca="1" ref="C279" ca="1">SUMPRODUCT(OFFSET($P$279,0,0,1,-OFFSET(Assumptions!$B$60,0,$C$1))/OFFSET($P$13,0,0,1,-OFFSET(Assumptions!$B$60,0,$C$1)))/OFFSET(Assumptions!$B$60,0,$C$1)</f>
        <v>1.5068995346645511E-2</v>
      </c>
      <c r="D279" s="51">
        <f>'Fiscal Forecasts'!D$61</f>
        <v>4.625</v>
      </c>
      <c r="E279" s="51">
        <f>'Fiscal Forecasts'!E$61</f>
        <v>4.9109999999999996</v>
      </c>
      <c r="F279" s="51">
        <f>'Fiscal Forecasts'!F$61</f>
        <v>5.202</v>
      </c>
      <c r="G279" s="51">
        <f>'Fiscal Forecasts'!G$61</f>
        <v>5.444</v>
      </c>
      <c r="H279" s="51">
        <f>'Fiscal Forecasts'!H$61</f>
        <v>6.165</v>
      </c>
      <c r="I279" s="51">
        <f>'Fiscal Forecasts'!I$61</f>
        <v>6.5270000000000001</v>
      </c>
      <c r="J279" s="51">
        <f>'Fiscal Forecasts'!J$61</f>
        <v>6.734</v>
      </c>
      <c r="K279" s="51">
        <f>'Fiscal Forecasts'!K$61</f>
        <v>7.077</v>
      </c>
      <c r="L279" s="47">
        <f ca="1">'Fiscal Forecasts'!L$61+IF(OFFSET(Assumptions!$B$57,0,$C$1)="Yes",Allocation!C$14,0)</f>
        <v>7.6479299999999997</v>
      </c>
      <c r="M279" s="47">
        <f ca="1">'Fiscal Forecasts'!M$61+IF(OFFSET(Assumptions!$B$57,0,$C$1)="Yes",Allocation!D$14,0)</f>
        <v>7.67028</v>
      </c>
      <c r="N279" s="47">
        <f ca="1">'Fiscal Forecasts'!N$61+IF(OFFSET(Assumptions!$B$57,0,$C$1)="Yes",Allocation!E$14,0)</f>
        <v>7.711875</v>
      </c>
      <c r="O279" s="47">
        <f ca="1">'Fiscal Forecasts'!O$61+IF(OFFSET(Assumptions!$B$57,0,$C$1)="Yes",Allocation!F$14,0)</f>
        <v>7.9753049999999996</v>
      </c>
      <c r="P279" s="47">
        <f ca="1">'Fiscal Forecasts'!P$61+IF(OFFSET(Assumptions!$B$57,0,$C$1)="Yes",Allocation!G$14,0)</f>
        <v>8.2086100000000002</v>
      </c>
      <c r="Q279" s="21">
        <f ca="1">P$279+IF(OFFSET(Assumptions!$B$58,0,$C$1)="Yes",Allocation!$B$14*Q$248,IF(OFFSET(Assumptions!$B$59,0,$C$1)="Yes",(P$279/P$13+MIN(ABS($C$279-P$279/P$13),OFFSET(Assumptions!$B$61,0,$C$1))*SIGN($C$279-P$279/P$13))*Q$13-P$279,0))</f>
        <v>8.8697923740780009</v>
      </c>
      <c r="R279" s="21">
        <f ca="1">Q$279+IF(OFFSET(Assumptions!$B$58,0,$C$1)="Yes",Allocation!$B$14*R$248,IF(OFFSET(Assumptions!$B$59,0,$C$1)="Yes",(Q$279/Q$13+MIN(ABS($C$279-Q$279/Q$13),OFFSET(Assumptions!$B$61,0,$C$1))*SIGN($C$279-Q$279/Q$13))*R$13-Q$279,0))</f>
        <v>9.5473501379562915</v>
      </c>
      <c r="S279" s="21">
        <f ca="1">R$279+IF(OFFSET(Assumptions!$B$58,0,$C$1)="Yes",Allocation!$B$14*S$248,IF(OFFSET(Assumptions!$B$59,0,$C$1)="Yes",(R$279/R$13+MIN(ABS($C$279-R$279/R$13),OFFSET(Assumptions!$B$61,0,$C$1))*SIGN($C$279-R$279/R$13))*S$13-R$279,0))</f>
        <v>9.9474694817756593</v>
      </c>
      <c r="T279" s="21">
        <f ca="1">S$279+IF(OFFSET(Assumptions!$B$58,0,$C$1)="Yes",Allocation!$B$14*T$248,IF(OFFSET(Assumptions!$B$59,0,$C$1)="Yes",(S$279/S$13+MIN(ABS($C$279-S$279/S$13),OFFSET(Assumptions!$B$61,0,$C$1))*SIGN($C$279-S$279/S$13))*T$13-S$279,0))</f>
        <v>10.356979634476735</v>
      </c>
      <c r="U279" s="21">
        <f ca="1">T$279+IF(OFFSET(Assumptions!$B$58,0,$C$1)="Yes",Allocation!$B$14*U$248,IF(OFFSET(Assumptions!$B$59,0,$C$1)="Yes",(T$279/T$13+MIN(ABS($C$279-T$279/T$13),OFFSET(Assumptions!$B$61,0,$C$1))*SIGN($C$279-T$279/T$13))*U$13-T$279,0))</f>
        <v>10.78076970841761</v>
      </c>
      <c r="V279" s="21">
        <f ca="1">U$279+IF(OFFSET(Assumptions!$B$58,0,$C$1)="Yes",Allocation!$B$14*V$248,IF(OFFSET(Assumptions!$B$59,0,$C$1)="Yes",(U$279/U$13+MIN(ABS($C$279-U$279/U$13),OFFSET(Assumptions!$B$61,0,$C$1))*SIGN($C$279-U$279/U$13))*V$13-U$279,0))</f>
        <v>11.218990419475871</v>
      </c>
      <c r="W279" s="21">
        <f ca="1">V$279+IF(OFFSET(Assumptions!$B$58,0,$C$1)="Yes",Allocation!$B$14*W$248,IF(OFFSET(Assumptions!$B$59,0,$C$1)="Yes",(V$279/V$13+MIN(ABS($C$279-V$279/V$13),OFFSET(Assumptions!$B$61,0,$C$1))*SIGN($C$279-V$279/V$13))*W$13-V$279,0))</f>
        <v>11.669430951409298</v>
      </c>
      <c r="X279" s="21">
        <f ca="1">W$279+IF(OFFSET(Assumptions!$B$58,0,$C$1)="Yes",Allocation!$B$14*X$248,IF(OFFSET(Assumptions!$B$59,0,$C$1)="Yes",(W$279/W$13+MIN(ABS($C$279-W$279/W$13),OFFSET(Assumptions!$B$61,0,$C$1))*SIGN($C$279-W$279/W$13))*X$13-W$279,0))</f>
        <v>12.132842303686649</v>
      </c>
      <c r="Y279" s="21">
        <f ca="1">X$279+IF(OFFSET(Assumptions!$B$58,0,$C$1)="Yes",Allocation!$B$14*Y$248,IF(OFFSET(Assumptions!$B$59,0,$C$1)="Yes",(X$279/X$13+MIN(ABS($C$279-X$279/X$13),OFFSET(Assumptions!$B$61,0,$C$1))*SIGN($C$279-X$279/X$13))*Y$13-X$279,0))</f>
        <v>12.61164782698836</v>
      </c>
      <c r="Z279" s="21">
        <f ca="1">Y$279+IF(OFFSET(Assumptions!$B$58,0,$C$1)="Yes",Allocation!$B$14*Z$248,IF(OFFSET(Assumptions!$B$59,0,$C$1)="Yes",(Y$279/Y$13+MIN(ABS($C$279-Y$279/Y$13),OFFSET(Assumptions!$B$61,0,$C$1))*SIGN($C$279-Y$279/Y$13))*Z$13-Y$279,0))</f>
        <v>13.105971012396447</v>
      </c>
    </row>
    <row r="280" spans="1:26" x14ac:dyDescent="0.25">
      <c r="A280" s="11" t="s">
        <v>1291</v>
      </c>
      <c r="B280" s="14" t="str">
        <f>$B$38</f>
        <v>From Fiscal Forecasts</v>
      </c>
      <c r="D280" s="51">
        <f>'Fiscal Forecasts'!D$44</f>
        <v>5.05</v>
      </c>
      <c r="E280" s="51">
        <f>'Fiscal Forecasts'!E$44</f>
        <v>5.3040000000000003</v>
      </c>
      <c r="F280" s="51">
        <f>'Fiscal Forecasts'!F$44</f>
        <v>5.5330000000000004</v>
      </c>
      <c r="G280" s="51">
        <f>'Fiscal Forecasts'!G$44</f>
        <v>5.9210000000000003</v>
      </c>
      <c r="H280" s="51">
        <f>'Fiscal Forecasts'!H$44</f>
        <v>6.6660000000000004</v>
      </c>
      <c r="I280" s="51">
        <f>'Fiscal Forecasts'!I$44</f>
        <v>7.0720000000000001</v>
      </c>
      <c r="J280" s="51">
        <f>'Fiscal Forecasts'!J$44</f>
        <v>7.3090000000000002</v>
      </c>
      <c r="K280" s="51">
        <f>'Fiscal Forecasts'!K$44</f>
        <v>7.6340000000000003</v>
      </c>
      <c r="L280" s="47">
        <f ca="1">'Fiscal Forecasts'!L$44+IF(OFFSET(Assumptions!$B$57,0,$C$1)="Yes",Allocation!C$14,0)</f>
        <v>8.35093</v>
      </c>
      <c r="M280" s="47">
        <f ca="1">'Fiscal Forecasts'!M$44+IF(OFFSET(Assumptions!$B$57,0,$C$1)="Yes",Allocation!D$14,0)</f>
        <v>8.45228</v>
      </c>
      <c r="N280" s="47">
        <f ca="1">'Fiscal Forecasts'!N$44+IF(OFFSET(Assumptions!$B$57,0,$C$1)="Yes",Allocation!E$14,0)</f>
        <v>8.4548749999999995</v>
      </c>
      <c r="O280" s="47">
        <f ca="1">'Fiscal Forecasts'!O$44+IF(OFFSET(Assumptions!$B$57,0,$C$1)="Yes",Allocation!F$14,0)</f>
        <v>8.7503050000000009</v>
      </c>
      <c r="P280" s="47">
        <f ca="1">'Fiscal Forecasts'!P$44+IF(OFFSET(Assumptions!$B$57,0,$C$1)="Yes",Allocation!G$14,0)</f>
        <v>9.0126100000000005</v>
      </c>
      <c r="Q280" s="21">
        <f t="shared" ref="Q280:Z280" ca="1" si="164">Q$279+(P$280-P$279)*(1+Q$29)</f>
        <v>9.6898723740780017</v>
      </c>
      <c r="R280" s="21">
        <f t="shared" ca="1" si="164"/>
        <v>10.383831737956292</v>
      </c>
      <c r="S280" s="21">
        <f t="shared" ca="1" si="164"/>
        <v>10.800680713775661</v>
      </c>
      <c r="T280" s="21">
        <f t="shared" ca="1" si="164"/>
        <v>11.227255091116737</v>
      </c>
      <c r="U280" s="21">
        <f t="shared" ca="1" si="164"/>
        <v>11.668450674190412</v>
      </c>
      <c r="V280" s="21">
        <f t="shared" ca="1" si="164"/>
        <v>12.124425004564129</v>
      </c>
      <c r="W280" s="21">
        <f t="shared" ca="1" si="164"/>
        <v>12.592974228199322</v>
      </c>
      <c r="X280" s="21">
        <f t="shared" ca="1" si="164"/>
        <v>13.074856446012474</v>
      </c>
      <c r="Y280" s="21">
        <f t="shared" ca="1" si="164"/>
        <v>13.572502252160701</v>
      </c>
      <c r="Z280" s="21">
        <f t="shared" ca="1" si="164"/>
        <v>14.086042526072236</v>
      </c>
    </row>
    <row r="282" spans="1:26" x14ac:dyDescent="0.25">
      <c r="A282" s="11" t="s">
        <v>1292</v>
      </c>
    </row>
    <row r="283" spans="1:26" x14ac:dyDescent="0.25">
      <c r="A283" s="11" t="s">
        <v>1293</v>
      </c>
      <c r="B283" s="14" t="str">
        <f>$B$38</f>
        <v>From Fiscal Forecasts</v>
      </c>
      <c r="D283" s="51">
        <f>'Fiscal Forecasts'!D$62</f>
        <v>2.8889999999999998</v>
      </c>
      <c r="E283" s="51">
        <f>'Fiscal Forecasts'!E$62</f>
        <v>3.1789999999999998</v>
      </c>
      <c r="F283" s="51">
        <f>'Fiscal Forecasts'!F$62</f>
        <v>5.6559999999999997</v>
      </c>
      <c r="G283" s="51">
        <f>'Fiscal Forecasts'!G$62</f>
        <v>4.657</v>
      </c>
      <c r="H283" s="51">
        <f>'Fiscal Forecasts'!H$62</f>
        <v>5.4720000000000004</v>
      </c>
      <c r="I283" s="51">
        <f>'Fiscal Forecasts'!I$62</f>
        <v>5.4870000000000001</v>
      </c>
      <c r="J283" s="51">
        <f>'Fiscal Forecasts'!J$62</f>
        <v>5.4720000000000004</v>
      </c>
      <c r="K283" s="51">
        <f>'Fiscal Forecasts'!K$62</f>
        <v>6.0350000000000001</v>
      </c>
      <c r="L283" s="47">
        <f>'Fiscal Forecasts'!L$62</f>
        <v>5.3330000000000002</v>
      </c>
      <c r="M283" s="47">
        <f>'Fiscal Forecasts'!M$62</f>
        <v>5.4080000000000004</v>
      </c>
      <c r="N283" s="47">
        <f>'Fiscal Forecasts'!N$62</f>
        <v>5.65</v>
      </c>
      <c r="O283" s="47">
        <f>'Fiscal Forecasts'!O$62</f>
        <v>5.5910000000000002</v>
      </c>
      <c r="P283" s="47">
        <f>'Fiscal Forecasts'!P$62</f>
        <v>5.6349999999999998</v>
      </c>
      <c r="Q283" s="21">
        <f t="shared" ref="Q283:Z283" ca="1" si="165">P$283+Q$138-P$138</f>
        <v>5.6284616931386271</v>
      </c>
      <c r="R283" s="21">
        <f t="shared" ca="1" si="165"/>
        <v>5.6021153676319475</v>
      </c>
      <c r="S283" s="21">
        <f t="shared" ca="1" si="165"/>
        <v>5.5569111583079076</v>
      </c>
      <c r="T283" s="21">
        <f t="shared" ca="1" si="165"/>
        <v>5.7307336419171619</v>
      </c>
      <c r="U283" s="21">
        <f t="shared" ca="1" si="165"/>
        <v>6.0141229383904831</v>
      </c>
      <c r="V283" s="21">
        <f t="shared" ca="1" si="165"/>
        <v>6.3071620316660963</v>
      </c>
      <c r="W283" s="21">
        <f t="shared" ca="1" si="165"/>
        <v>6.6083725443632204</v>
      </c>
      <c r="X283" s="21">
        <f t="shared" ca="1" si="165"/>
        <v>6.9182566713754809</v>
      </c>
      <c r="Y283" s="21">
        <f t="shared" ca="1" si="165"/>
        <v>7.2384349123008267</v>
      </c>
      <c r="Z283" s="21">
        <f t="shared" ca="1" si="165"/>
        <v>7.5689898458804947</v>
      </c>
    </row>
    <row r="284" spans="1:26" x14ac:dyDescent="0.25">
      <c r="A284" s="12" t="s">
        <v>1020</v>
      </c>
      <c r="B284" s="14" t="str">
        <f>$B$38</f>
        <v>From Fiscal Forecasts</v>
      </c>
      <c r="D284" s="50">
        <f>'Fiscal Forecasts'!D$209</f>
        <v>3.21</v>
      </c>
      <c r="E284" s="50">
        <f>'Fiscal Forecasts'!E$209</f>
        <v>3.8239999999999998</v>
      </c>
      <c r="F284" s="50">
        <f>'Fiscal Forecasts'!F$209</f>
        <v>4.2590000000000003</v>
      </c>
      <c r="G284" s="50">
        <f>'Fiscal Forecasts'!G$209</f>
        <v>4.5030000000000001</v>
      </c>
      <c r="H284" s="50">
        <f>'Fiscal Forecasts'!H$209</f>
        <v>6.1050000000000004</v>
      </c>
      <c r="I284" s="50">
        <f>'Fiscal Forecasts'!I$209</f>
        <v>6.6280000000000001</v>
      </c>
      <c r="J284" s="50">
        <f>'Fiscal Forecasts'!J$209</f>
        <v>5.9779999999999998</v>
      </c>
      <c r="K284" s="50">
        <f>'Fiscal Forecasts'!K$209</f>
        <v>6.0049999999999999</v>
      </c>
      <c r="L284" s="48">
        <f>'Fiscal Forecasts'!L$209</f>
        <v>7.1070000000000002</v>
      </c>
      <c r="M284" s="48">
        <f>'Fiscal Forecasts'!M$209</f>
        <v>6.2469999999999999</v>
      </c>
      <c r="N284" s="48">
        <f>'Fiscal Forecasts'!N$209</f>
        <v>6.1429999999999998</v>
      </c>
      <c r="O284" s="48">
        <f>'Fiscal Forecasts'!O$209</f>
        <v>6.085</v>
      </c>
      <c r="P284" s="48">
        <f>'Fiscal Forecasts'!P$209</f>
        <v>6.2039999999999997</v>
      </c>
      <c r="Q284" s="20">
        <f t="shared" ref="Q284:Z284" ca="1" si="166">Q$283+(P$284-P$283)*(1+Q$29)</f>
        <v>6.208841693138627</v>
      </c>
      <c r="R284" s="20">
        <f t="shared" ca="1" si="166"/>
        <v>6.194102967631947</v>
      </c>
      <c r="S284" s="20">
        <f t="shared" ca="1" si="166"/>
        <v>6.1607385103079073</v>
      </c>
      <c r="T284" s="20">
        <f t="shared" ca="1" si="166"/>
        <v>6.346637540957162</v>
      </c>
      <c r="U284" s="20">
        <f t="shared" ca="1" si="166"/>
        <v>6.6423449154112832</v>
      </c>
      <c r="V284" s="20">
        <f t="shared" ca="1" si="166"/>
        <v>6.9479484482273124</v>
      </c>
      <c r="W284" s="20">
        <f t="shared" ca="1" si="166"/>
        <v>7.2619746892556609</v>
      </c>
      <c r="X284" s="20">
        <f t="shared" ca="1" si="166"/>
        <v>7.5849308591657705</v>
      </c>
      <c r="Y284" s="20">
        <f t="shared" ca="1" si="166"/>
        <v>7.9184425838469217</v>
      </c>
      <c r="Z284" s="20">
        <f t="shared" ca="1" si="166"/>
        <v>8.2625976708575113</v>
      </c>
    </row>
    <row r="285" spans="1:26" x14ac:dyDescent="0.25">
      <c r="A285" s="12" t="s">
        <v>1227</v>
      </c>
      <c r="B285" s="14" t="str">
        <f>$B$38</f>
        <v>From Fiscal Forecasts</v>
      </c>
      <c r="D285" s="50">
        <f>'Fiscal Forecasts'!D$210</f>
        <v>5.4009999999999998</v>
      </c>
      <c r="E285" s="50">
        <f>'Fiscal Forecasts'!E$210</f>
        <v>8.9149999999999991</v>
      </c>
      <c r="F285" s="50">
        <f>'Fiscal Forecasts'!F$210</f>
        <v>5.8360000000000003</v>
      </c>
      <c r="G285" s="50">
        <f>'Fiscal Forecasts'!G$210</f>
        <v>4.8730000000000002</v>
      </c>
      <c r="H285" s="50">
        <f>'Fiscal Forecasts'!H$210</f>
        <v>8.5990000000000002</v>
      </c>
      <c r="I285" s="50">
        <f>'Fiscal Forecasts'!I$210</f>
        <v>10.317</v>
      </c>
      <c r="J285" s="50">
        <f>'Fiscal Forecasts'!J$210</f>
        <v>10.045999999999999</v>
      </c>
      <c r="K285" s="50">
        <f>'Fiscal Forecasts'!K$210</f>
        <v>10.468999999999999</v>
      </c>
      <c r="L285" s="48">
        <f>'Fiscal Forecasts'!L$210</f>
        <v>10.717000000000001</v>
      </c>
      <c r="M285" s="48">
        <f>'Fiscal Forecasts'!M$210</f>
        <v>10.779</v>
      </c>
      <c r="N285" s="48">
        <f>'Fiscal Forecasts'!N$210</f>
        <v>11.085000000000001</v>
      </c>
      <c r="O285" s="48">
        <f>'Fiscal Forecasts'!O$210</f>
        <v>11.627000000000001</v>
      </c>
      <c r="P285" s="48">
        <f>'Fiscal Forecasts'!P$210</f>
        <v>11.731999999999999</v>
      </c>
      <c r="Q285" s="20">
        <f t="shared" ref="Q285:Z285" ca="1" si="167">P$285*(1+Q$14)</f>
        <v>12.242704393330598</v>
      </c>
      <c r="R285" s="20">
        <f t="shared" ca="1" si="167"/>
        <v>12.763816731665804</v>
      </c>
      <c r="S285" s="20">
        <f t="shared" ca="1" si="167"/>
        <v>13.298734787619493</v>
      </c>
      <c r="T285" s="20">
        <f t="shared" ca="1" si="167"/>
        <v>13.846207380884191</v>
      </c>
      <c r="U285" s="20">
        <f t="shared" ca="1" si="167"/>
        <v>14.412770747506283</v>
      </c>
      <c r="V285" s="20">
        <f t="shared" ca="1" si="167"/>
        <v>14.998626378979461</v>
      </c>
      <c r="W285" s="20">
        <f t="shared" ca="1" si="167"/>
        <v>15.600818643328848</v>
      </c>
      <c r="X285" s="20">
        <f t="shared" ca="1" si="167"/>
        <v>16.220351548938577</v>
      </c>
      <c r="Y285" s="20">
        <f t="shared" ca="1" si="167"/>
        <v>16.860464864279972</v>
      </c>
      <c r="Z285" s="20">
        <f t="shared" ca="1" si="167"/>
        <v>17.521323684119242</v>
      </c>
    </row>
    <row r="286" spans="1:26" x14ac:dyDescent="0.25">
      <c r="A286" s="12" t="s">
        <v>1228</v>
      </c>
      <c r="B286" s="14" t="str">
        <f>$B$38</f>
        <v>From Fiscal Forecasts</v>
      </c>
      <c r="D286" s="50">
        <f>'Fiscal Forecasts'!D$45-SUM(D$283:D$285)</f>
        <v>-3.0709999999999997</v>
      </c>
      <c r="E286" s="50">
        <f>'Fiscal Forecasts'!E$45-SUM(E$283:E$285)</f>
        <v>-2.9559999999999995</v>
      </c>
      <c r="F286" s="50">
        <f>'Fiscal Forecasts'!F$45-SUM(F$283:F$285)</f>
        <v>-5.4159999999999986</v>
      </c>
      <c r="G286" s="50">
        <f>'Fiscal Forecasts'!G$45-SUM(G$283:G$285)</f>
        <v>-4.5050000000000008</v>
      </c>
      <c r="H286" s="50">
        <f>'Fiscal Forecasts'!H$45-SUM(H$283:H$285)</f>
        <v>-5.7480000000000011</v>
      </c>
      <c r="I286" s="50">
        <f>'Fiscal Forecasts'!I$45-SUM(I$283:I$285)</f>
        <v>-5.6990000000000016</v>
      </c>
      <c r="J286" s="50">
        <f>'Fiscal Forecasts'!J$45-SUM(J$283:J$285)</f>
        <v>-5.6659999999999986</v>
      </c>
      <c r="K286" s="50">
        <f>'Fiscal Forecasts'!K$45-SUM(K$283:K$285)</f>
        <v>-5.0489999999999995</v>
      </c>
      <c r="L286" s="48">
        <f>'Fiscal Forecasts'!L$45-SUM(L$283:L$285)</f>
        <v>-5.6200000000000045</v>
      </c>
      <c r="M286" s="48">
        <f>'Fiscal Forecasts'!M$45-SUM(M$283:M$285)</f>
        <v>-5.4649999999999999</v>
      </c>
      <c r="N286" s="48">
        <f>'Fiscal Forecasts'!N$45-SUM(N$283:N$285)</f>
        <v>-5.7719999999999985</v>
      </c>
      <c r="O286" s="48">
        <f>'Fiscal Forecasts'!O$45-SUM(O$283:O$285)</f>
        <v>-5.6340000000000003</v>
      </c>
      <c r="P286" s="48">
        <f>'Fiscal Forecasts'!P$45-SUM(P$283:P$285)</f>
        <v>-5.8219999999999992</v>
      </c>
      <c r="Q286" s="20">
        <f ca="1">IF(Q$6=OFFSET(Assumptions!$B$8,0,$C$1),AVERAGE(N$286/N$283,O$286/O$283,P$286/P$283),P$286/P$283)*Q$283</f>
        <v>-5.745663714385798</v>
      </c>
      <c r="R286" s="20">
        <f ca="1">IF(R$6=OFFSET(Assumptions!$B$8,0,$C$1),AVERAGE(O$286/O$283,P$286/P$283,Q$286/Q$283),Q$286/Q$283)*R$283</f>
        <v>-5.7187687767058168</v>
      </c>
      <c r="S286" s="20">
        <f ca="1">IF(S$6=OFFSET(Assumptions!$B$8,0,$C$1),AVERAGE(P$286/P$283,Q$286/Q$283,R$286/R$283),R$286/R$283)*S$283</f>
        <v>-5.6726232756060657</v>
      </c>
      <c r="T286" s="20">
        <f ca="1">IF(T$6=OFFSET(Assumptions!$B$8,0,$C$1),AVERAGE(Q$286/Q$283,R$286/R$283,S$286/S$283),S$286/S$283)*T$283</f>
        <v>-5.8500652821912063</v>
      </c>
      <c r="U286" s="20">
        <f ca="1">IF(U$6=OFFSET(Assumptions!$B$8,0,$C$1),AVERAGE(R$286/R$283,S$286/S$283,T$286/T$283),T$286/T$283)*U$283</f>
        <v>-6.1393556223523564</v>
      </c>
      <c r="V286" s="20">
        <f ca="1">IF(V$6=OFFSET(Assumptions!$B$8,0,$C$1),AVERAGE(S$286/S$283,T$286/T$283,U$286/U$283),U$286/U$283)*V$283</f>
        <v>-6.438496698000562</v>
      </c>
      <c r="W286" s="20">
        <f ca="1">IF(W$6=OFFSET(Assumptions!$B$8,0,$C$1),AVERAGE(T$286/T$283,U$286/U$283,V$286/V$283),V$286/V$283)*W$283</f>
        <v>-6.7459793473548535</v>
      </c>
      <c r="X286" s="20">
        <f ca="1">IF(X$6=OFFSET(Assumptions!$B$8,0,$C$1),AVERAGE(U$286/U$283,V$286/V$283,W$286/W$283),W$286/W$283)*X$283</f>
        <v>-7.062316222563398</v>
      </c>
      <c r="Y286" s="20">
        <f ca="1">IF(Y$6=OFFSET(Assumptions!$B$8,0,$C$1),AVERAGE(V$286/V$283,W$286/W$283,X$286/X$283),X$286/X$283)*Y$283</f>
        <v>-7.3891615670494835</v>
      </c>
      <c r="Z286" s="20">
        <f ca="1">IF(Z$6=OFFSET(Assumptions!$B$8,0,$C$1),AVERAGE(W$286/W$283,X$286/X$283,Y$286/Y$283),Y$286/Y$283)*Z$283</f>
        <v>-7.7265996790997438</v>
      </c>
    </row>
    <row r="287" spans="1:26" x14ac:dyDescent="0.25">
      <c r="A287" s="11" t="s">
        <v>1294</v>
      </c>
      <c r="D287" s="94">
        <f t="shared" ref="D287:Z287" si="168">SUM(D$283:D$286)</f>
        <v>8.4290000000000003</v>
      </c>
      <c r="E287" s="94">
        <f t="shared" si="168"/>
        <v>12.962</v>
      </c>
      <c r="F287" s="94">
        <f t="shared" si="168"/>
        <v>10.335000000000001</v>
      </c>
      <c r="G287" s="94">
        <f t="shared" si="168"/>
        <v>9.5280000000000005</v>
      </c>
      <c r="H287" s="94">
        <f t="shared" si="168"/>
        <v>14.428000000000001</v>
      </c>
      <c r="I287" s="94">
        <f t="shared" si="168"/>
        <v>16.733000000000001</v>
      </c>
      <c r="J287" s="94">
        <f t="shared" si="168"/>
        <v>15.83</v>
      </c>
      <c r="K287" s="94">
        <f t="shared" si="168"/>
        <v>17.46</v>
      </c>
      <c r="L287" s="95">
        <f t="shared" si="168"/>
        <v>17.536999999999999</v>
      </c>
      <c r="M287" s="95">
        <f t="shared" si="168"/>
        <v>16.969000000000001</v>
      </c>
      <c r="N287" s="95">
        <f t="shared" si="168"/>
        <v>17.106000000000002</v>
      </c>
      <c r="O287" s="95">
        <f t="shared" si="168"/>
        <v>17.669</v>
      </c>
      <c r="P287" s="95">
        <f t="shared" si="168"/>
        <v>17.748999999999999</v>
      </c>
      <c r="Q287" s="96">
        <f t="shared" ca="1" si="168"/>
        <v>18.334344065222055</v>
      </c>
      <c r="R287" s="96">
        <f t="shared" ca="1" si="168"/>
        <v>18.841266290223885</v>
      </c>
      <c r="S287" s="96">
        <f t="shared" ca="1" si="168"/>
        <v>19.343761180629244</v>
      </c>
      <c r="T287" s="96">
        <f t="shared" ca="1" si="168"/>
        <v>20.073513281567308</v>
      </c>
      <c r="U287" s="96">
        <f t="shared" ca="1" si="168"/>
        <v>20.929882978955696</v>
      </c>
      <c r="V287" s="96">
        <f t="shared" ca="1" si="168"/>
        <v>21.815240160872307</v>
      </c>
      <c r="W287" s="96">
        <f t="shared" ca="1" si="168"/>
        <v>22.725186529592875</v>
      </c>
      <c r="X287" s="96">
        <f t="shared" ca="1" si="168"/>
        <v>23.661222856916432</v>
      </c>
      <c r="Y287" s="96">
        <f t="shared" ca="1" si="168"/>
        <v>24.628180793378235</v>
      </c>
      <c r="Z287" s="96">
        <f t="shared" ca="1" si="168"/>
        <v>25.626311521757508</v>
      </c>
    </row>
    <row r="289" spans="1:26" x14ac:dyDescent="0.25">
      <c r="A289" s="11" t="s">
        <v>1295</v>
      </c>
    </row>
    <row r="290" spans="1:26" x14ac:dyDescent="0.25">
      <c r="A290" s="12" t="s">
        <v>1264</v>
      </c>
      <c r="D290" s="50">
        <f t="shared" ref="D290:Z290" si="169">D$238</f>
        <v>0</v>
      </c>
      <c r="E290" s="50">
        <f t="shared" si="169"/>
        <v>0</v>
      </c>
      <c r="F290" s="50">
        <f t="shared" si="169"/>
        <v>1E-3</v>
      </c>
      <c r="G290" s="50">
        <f t="shared" si="169"/>
        <v>1E-3</v>
      </c>
      <c r="H290" s="50">
        <f t="shared" si="169"/>
        <v>3.0000000000000001E-3</v>
      </c>
      <c r="I290" s="50">
        <f t="shared" si="169"/>
        <v>2E-3</v>
      </c>
      <c r="J290" s="50">
        <f t="shared" si="169"/>
        <v>3.0000000000000001E-3</v>
      </c>
      <c r="K290" s="50">
        <f t="shared" si="169"/>
        <v>2E-3</v>
      </c>
      <c r="L290" s="48">
        <f t="shared" si="169"/>
        <v>0</v>
      </c>
      <c r="M290" s="48">
        <f t="shared" si="169"/>
        <v>0</v>
      </c>
      <c r="N290" s="48">
        <f t="shared" si="169"/>
        <v>0</v>
      </c>
      <c r="O290" s="48">
        <f t="shared" si="169"/>
        <v>0</v>
      </c>
      <c r="P290" s="48">
        <f t="shared" si="169"/>
        <v>0</v>
      </c>
      <c r="Q290" s="20">
        <f t="shared" ca="1" si="169"/>
        <v>0</v>
      </c>
      <c r="R290" s="20">
        <f t="shared" ca="1" si="169"/>
        <v>0</v>
      </c>
      <c r="S290" s="20">
        <f t="shared" ca="1" si="169"/>
        <v>0</v>
      </c>
      <c r="T290" s="20">
        <f t="shared" ca="1" si="169"/>
        <v>0</v>
      </c>
      <c r="U290" s="20">
        <f t="shared" ca="1" si="169"/>
        <v>0</v>
      </c>
      <c r="V290" s="20">
        <f t="shared" ca="1" si="169"/>
        <v>0</v>
      </c>
      <c r="W290" s="20">
        <f t="shared" ca="1" si="169"/>
        <v>0</v>
      </c>
      <c r="X290" s="20">
        <f t="shared" ca="1" si="169"/>
        <v>0</v>
      </c>
      <c r="Y290" s="20">
        <f t="shared" ca="1" si="169"/>
        <v>0</v>
      </c>
      <c r="Z290" s="20">
        <f t="shared" ca="1" si="169"/>
        <v>0</v>
      </c>
    </row>
    <row r="291" spans="1:26" x14ac:dyDescent="0.25">
      <c r="A291" s="12" t="s">
        <v>694</v>
      </c>
      <c r="D291" s="50">
        <f t="shared" ref="D291:Z291" si="170">D$192</f>
        <v>0.95099999999999996</v>
      </c>
      <c r="E291" s="50">
        <f t="shared" si="170"/>
        <v>0.89300000000000002</v>
      </c>
      <c r="F291" s="50">
        <f t="shared" si="170"/>
        <v>0.91600000000000004</v>
      </c>
      <c r="G291" s="50">
        <f t="shared" si="170"/>
        <v>0.96399999999999997</v>
      </c>
      <c r="H291" s="50">
        <f t="shared" si="170"/>
        <v>0.997</v>
      </c>
      <c r="I291" s="50">
        <f t="shared" si="170"/>
        <v>1.014</v>
      </c>
      <c r="J291" s="50">
        <f t="shared" si="170"/>
        <v>1.02</v>
      </c>
      <c r="K291" s="50">
        <f t="shared" si="170"/>
        <v>0.47</v>
      </c>
      <c r="L291" s="48">
        <f t="shared" si="170"/>
        <v>0.49399999999999999</v>
      </c>
      <c r="M291" s="48">
        <f t="shared" si="170"/>
        <v>0.51600000000000001</v>
      </c>
      <c r="N291" s="48">
        <f t="shared" si="170"/>
        <v>0.54100000000000004</v>
      </c>
      <c r="O291" s="48">
        <f t="shared" si="170"/>
        <v>0.56499999999999995</v>
      </c>
      <c r="P291" s="48">
        <f t="shared" si="170"/>
        <v>0.58899999999999997</v>
      </c>
      <c r="Q291" s="20">
        <f t="shared" si="170"/>
        <v>0.61599999999999999</v>
      </c>
      <c r="R291" s="20">
        <f t="shared" ca="1" si="170"/>
        <v>0.6356043150767996</v>
      </c>
      <c r="S291" s="20">
        <f t="shared" ca="1" si="170"/>
        <v>0.65552518581783481</v>
      </c>
      <c r="T291" s="20">
        <f t="shared" ca="1" si="170"/>
        <v>0.67575382923088023</v>
      </c>
      <c r="U291" s="20">
        <f t="shared" ca="1" si="170"/>
        <v>0.69644013067364774</v>
      </c>
      <c r="V291" s="20">
        <f t="shared" ca="1" si="170"/>
        <v>0.71757355095976472</v>
      </c>
      <c r="W291" s="20">
        <f t="shared" ca="1" si="170"/>
        <v>0.73899406472158069</v>
      </c>
      <c r="X291" s="20">
        <f t="shared" ca="1" si="170"/>
        <v>0.76073334129191916</v>
      </c>
      <c r="Y291" s="20">
        <f t="shared" ca="1" si="170"/>
        <v>0.78292535697248833</v>
      </c>
      <c r="Z291" s="20">
        <f t="shared" ca="1" si="170"/>
        <v>0.80555714389500477</v>
      </c>
    </row>
    <row r="292" spans="1:26" x14ac:dyDescent="0.25">
      <c r="A292" s="12" t="s">
        <v>1296</v>
      </c>
      <c r="B292" s="14" t="str">
        <f>$B$38</f>
        <v>From Fiscal Forecasts</v>
      </c>
      <c r="C292" s="100" cm="1">
        <f t="array" aca="1" ref="C292" ca="1">SUMPRODUCT(OFFSET($P$292,0,0,1,-OFFSET(Assumptions!$B$60,0,$C$1)+1)/OFFSET($P$13,0,0,1,-OFFSET(Assumptions!$B$60,0,$C$1)+1))/(OFFSET(Assumptions!$B$60,0,$C$1)-1)</f>
        <v>5.8888932604148486E-3</v>
      </c>
      <c r="D292" s="50">
        <f>'Fiscal Forecasts'!D$63-SUM(D$290:D$291)</f>
        <v>2.0549999999999997</v>
      </c>
      <c r="E292" s="50">
        <f>'Fiscal Forecasts'!E$63-SUM(E$290:E$291)</f>
        <v>3.0949999999999998</v>
      </c>
      <c r="F292" s="50">
        <f>'Fiscal Forecasts'!F$63-SUM(F$290:F$291)</f>
        <v>3.5640000000000001</v>
      </c>
      <c r="G292" s="50">
        <f>'Fiscal Forecasts'!G$63-SUM(G$290:G$291)</f>
        <v>7.1129999999999995</v>
      </c>
      <c r="H292" s="50">
        <f>'Fiscal Forecasts'!H$63-SUM(H$290:H$291)</f>
        <v>2.69</v>
      </c>
      <c r="I292" s="50">
        <f>'Fiscal Forecasts'!I$63-SUM(I$290:I$291)</f>
        <v>2.9939999999999998</v>
      </c>
      <c r="J292" s="50">
        <f>'Fiscal Forecasts'!J$63-SUM(J$290:J$291)</f>
        <v>2.4909999999999997</v>
      </c>
      <c r="K292" s="50">
        <f>'Fiscal Forecasts'!K$63-SUM(K$290:K$291)</f>
        <v>2.54</v>
      </c>
      <c r="L292" s="48">
        <f ca="1">'Fiscal Forecasts'!L$63-SUM(L$290:L$291)+IF(OFFSET(Assumptions!$B$57,0,$C$1)="Yes",Allocation!C$15,0)</f>
        <v>3.2203200000000001</v>
      </c>
      <c r="M292" s="48">
        <f ca="1">'Fiscal Forecasts'!M$63-SUM(M$290:M$291)+IF(OFFSET(Assumptions!$B$57,0,$C$1)="Yes",Allocation!D$15,0)</f>
        <v>2.6137200000000003</v>
      </c>
      <c r="N292" s="48">
        <f ca="1">'Fiscal Forecasts'!N$63-SUM(N$290:N$291)+IF(OFFSET(Assumptions!$B$57,0,$C$1)="Yes",Allocation!E$15,0)</f>
        <v>2.867</v>
      </c>
      <c r="O292" s="48">
        <f ca="1">'Fiscal Forecasts'!O$63-SUM(O$290:O$291)+IF(OFFSET(Assumptions!$B$57,0,$C$1)="Yes",Allocation!F$15,0)</f>
        <v>2.9853200000000002</v>
      </c>
      <c r="P292" s="48">
        <f ca="1">'Fiscal Forecasts'!P$63-SUM(P$290:P$291)+IF(OFFSET(Assumptions!$B$57,0,$C$1)="Yes",Allocation!G$15,0)</f>
        <v>3.0836399999999999</v>
      </c>
      <c r="Q292" s="20">
        <f ca="1">P$292+IF(OFFSET(Assumptions!$B$58,0,$C$1)="Yes",Allocation!$B$15*Q$248,IF(OFFSET(Assumptions!$B$59,0,$C$1)="Yes",(P$292/P$13+MIN(ABS($C$292-P$292/P$13),OFFSET(Assumptions!$B$61,0,$C$1))*SIGN($C$292-P$292/P$13))*Q$13-P$292,0))</f>
        <v>3.5217278723146586</v>
      </c>
      <c r="R292" s="20">
        <f ca="1">Q$292+IF(OFFSET(Assumptions!$B$58,0,$C$1)="Yes",Allocation!$B$15*R$248,IF(OFFSET(Assumptions!$B$59,0,$C$1)="Yes",(Q$292/Q$13+MIN(ABS($C$292-Q$292/Q$13),OFFSET(Assumptions!$B$61,0,$C$1))*SIGN($C$292-Q$292/Q$13))*R$13-Q$292,0))</f>
        <v>3.7310600069132933</v>
      </c>
      <c r="S292" s="20">
        <f ca="1">R$292+IF(OFFSET(Assumptions!$B$58,0,$C$1)="Yes",Allocation!$B$15*S$248,IF(OFFSET(Assumptions!$B$59,0,$C$1)="Yes",(R$292/R$13+MIN(ABS($C$292-R$292/R$13),OFFSET(Assumptions!$B$61,0,$C$1))*SIGN($C$292-R$292/R$13))*S$13-R$292,0))</f>
        <v>3.8874247845893315</v>
      </c>
      <c r="T292" s="20">
        <f ca="1">S$292+IF(OFFSET(Assumptions!$B$58,0,$C$1)="Yes",Allocation!$B$15*T$248,IF(OFFSET(Assumptions!$B$59,0,$C$1)="Yes",(S$292/S$13+MIN(ABS($C$292-S$292/S$13),OFFSET(Assumptions!$B$61,0,$C$1))*SIGN($C$292-S$292/S$13))*T$13-S$292,0))</f>
        <v>4.0474594466777809</v>
      </c>
      <c r="U292" s="20">
        <f ca="1">T$292+IF(OFFSET(Assumptions!$B$58,0,$C$1)="Yes",Allocation!$B$15*U$248,IF(OFFSET(Assumptions!$B$59,0,$C$1)="Yes",(T$292/T$13+MIN(ABS($C$292-T$292/T$13),OFFSET(Assumptions!$B$61,0,$C$1))*SIGN($C$292-T$292/T$13))*U$13-T$292,0))</f>
        <v>4.213074635537513</v>
      </c>
      <c r="V292" s="20">
        <f ca="1">U$292+IF(OFFSET(Assumptions!$B$58,0,$C$1)="Yes",Allocation!$B$15*V$248,IF(OFFSET(Assumptions!$B$59,0,$C$1)="Yes",(U$292/U$13+MIN(ABS($C$292-U$292/U$13),OFFSET(Assumptions!$B$61,0,$C$1))*SIGN($C$292-U$292/U$13))*V$13-U$292,0))</f>
        <v>4.3843292502321596</v>
      </c>
      <c r="W292" s="20">
        <f ca="1">V$292+IF(OFFSET(Assumptions!$B$58,0,$C$1)="Yes",Allocation!$B$15*W$248,IF(OFFSET(Assumptions!$B$59,0,$C$1)="Yes",(V$292/V$13+MIN(ABS($C$292-V$292/V$13),OFFSET(Assumptions!$B$61,0,$C$1))*SIGN($C$292-V$292/V$13))*W$13-V$292,0))</f>
        <v>4.5603593140619241</v>
      </c>
      <c r="X292" s="20">
        <f ca="1">W$292+IF(OFFSET(Assumptions!$B$58,0,$C$1)="Yes",Allocation!$B$15*X$248,IF(OFFSET(Assumptions!$B$59,0,$C$1)="Yes",(W$292/W$13+MIN(ABS($C$292-W$292/W$13),OFFSET(Assumptions!$B$61,0,$C$1))*SIGN($C$292-W$292/W$13))*X$13-W$292,0))</f>
        <v>4.7414583141245474</v>
      </c>
      <c r="Y292" s="20">
        <f ca="1">X$292+IF(OFFSET(Assumptions!$B$58,0,$C$1)="Yes",Allocation!$B$15*Y$248,IF(OFFSET(Assumptions!$B$59,0,$C$1)="Yes",(X$292/X$13+MIN(ABS($C$292-X$292/X$13),OFFSET(Assumptions!$B$61,0,$C$1))*SIGN($C$292-X$292/X$13))*Y$13-X$292,0))</f>
        <v>4.9285732845892856</v>
      </c>
      <c r="Z292" s="20">
        <f ca="1">Y$292+IF(OFFSET(Assumptions!$B$58,0,$C$1)="Yes",Allocation!$B$15*Z$248,IF(OFFSET(Assumptions!$B$59,0,$C$1)="Yes",(Y$292/Y$13+MIN(ABS($C$292-Y$292/Y$13),OFFSET(Assumptions!$B$61,0,$C$1))*SIGN($C$292-Y$292/Y$13))*Z$13-Y$292,0))</f>
        <v>5.1217524851963452</v>
      </c>
    </row>
    <row r="293" spans="1:26" x14ac:dyDescent="0.25">
      <c r="A293" s="11" t="s">
        <v>1297</v>
      </c>
      <c r="D293" s="94">
        <f t="shared" ref="D293:Z293" si="171">SUM(D$290:D$292)</f>
        <v>3.0059999999999998</v>
      </c>
      <c r="E293" s="94">
        <f t="shared" si="171"/>
        <v>3.9879999999999995</v>
      </c>
      <c r="F293" s="94">
        <f t="shared" si="171"/>
        <v>4.4809999999999999</v>
      </c>
      <c r="G293" s="94">
        <f t="shared" si="171"/>
        <v>8.0779999999999994</v>
      </c>
      <c r="H293" s="94">
        <f t="shared" si="171"/>
        <v>3.69</v>
      </c>
      <c r="I293" s="94">
        <f t="shared" si="171"/>
        <v>4.01</v>
      </c>
      <c r="J293" s="94">
        <f t="shared" si="171"/>
        <v>3.5139999999999993</v>
      </c>
      <c r="K293" s="94">
        <f t="shared" si="171"/>
        <v>3.012</v>
      </c>
      <c r="L293" s="95">
        <f t="shared" ca="1" si="171"/>
        <v>3.7143199999999998</v>
      </c>
      <c r="M293" s="95">
        <f t="shared" ca="1" si="171"/>
        <v>3.1297200000000003</v>
      </c>
      <c r="N293" s="95">
        <f t="shared" ca="1" si="171"/>
        <v>3.4079999999999999</v>
      </c>
      <c r="O293" s="95">
        <f t="shared" ca="1" si="171"/>
        <v>3.5503200000000001</v>
      </c>
      <c r="P293" s="95">
        <f t="shared" ca="1" si="171"/>
        <v>3.6726399999999999</v>
      </c>
      <c r="Q293" s="96">
        <f t="shared" ca="1" si="171"/>
        <v>4.1377278723146587</v>
      </c>
      <c r="R293" s="96">
        <f t="shared" ca="1" si="171"/>
        <v>4.3666643219900934</v>
      </c>
      <c r="S293" s="96">
        <f t="shared" ca="1" si="171"/>
        <v>4.5429499704071663</v>
      </c>
      <c r="T293" s="96">
        <f t="shared" ca="1" si="171"/>
        <v>4.7232132759086607</v>
      </c>
      <c r="U293" s="96">
        <f t="shared" ca="1" si="171"/>
        <v>4.9095147662111609</v>
      </c>
      <c r="V293" s="96">
        <f t="shared" ca="1" si="171"/>
        <v>5.1019028011919243</v>
      </c>
      <c r="W293" s="96">
        <f t="shared" ca="1" si="171"/>
        <v>5.299353378783505</v>
      </c>
      <c r="X293" s="96">
        <f t="shared" ca="1" si="171"/>
        <v>5.5021916554164667</v>
      </c>
      <c r="Y293" s="96">
        <f t="shared" ca="1" si="171"/>
        <v>5.7114986415617741</v>
      </c>
      <c r="Z293" s="96">
        <f t="shared" ca="1" si="171"/>
        <v>5.9273096290913498</v>
      </c>
    </row>
    <row r="294" spans="1:26" x14ac:dyDescent="0.25">
      <c r="A294" s="11" t="s">
        <v>1298</v>
      </c>
      <c r="B294" s="14" t="str">
        <f>$B$38</f>
        <v>From Fiscal Forecasts</v>
      </c>
      <c r="D294" s="51">
        <f>'Fiscal Forecasts'!D$46</f>
        <v>10.433</v>
      </c>
      <c r="E294" s="51">
        <f>'Fiscal Forecasts'!E$46</f>
        <v>11.246</v>
      </c>
      <c r="F294" s="51">
        <f>'Fiscal Forecasts'!F$46</f>
        <v>13.429</v>
      </c>
      <c r="G294" s="51">
        <f>'Fiscal Forecasts'!G$46</f>
        <v>16.672999999999998</v>
      </c>
      <c r="H294" s="51">
        <f>'Fiscal Forecasts'!H$46</f>
        <v>12.384</v>
      </c>
      <c r="I294" s="51">
        <f>'Fiscal Forecasts'!I$46</f>
        <v>16.007999999999999</v>
      </c>
      <c r="J294" s="51">
        <f>'Fiscal Forecasts'!J$46</f>
        <v>16.152999999999999</v>
      </c>
      <c r="K294" s="51">
        <f>'Fiscal Forecasts'!K$46</f>
        <v>12.811999999999999</v>
      </c>
      <c r="L294" s="47">
        <f ca="1">'Fiscal Forecasts'!L$46+IF(OFFSET(Assumptions!$B$57,0,$C$1)="Yes",Allocation!C$15,0)</f>
        <v>15.650320000000001</v>
      </c>
      <c r="M294" s="47">
        <f ca="1">'Fiscal Forecasts'!M$46+IF(OFFSET(Assumptions!$B$57,0,$C$1)="Yes",Allocation!D$15,0)</f>
        <v>14.40072</v>
      </c>
      <c r="N294" s="47">
        <f ca="1">'Fiscal Forecasts'!N$46+IF(OFFSET(Assumptions!$B$57,0,$C$1)="Yes",Allocation!E$15,0)</f>
        <v>14.994000000000002</v>
      </c>
      <c r="O294" s="47">
        <f ca="1">'Fiscal Forecasts'!O$46+IF(OFFSET(Assumptions!$B$57,0,$C$1)="Yes",Allocation!F$15,0)</f>
        <v>15.345320000000001</v>
      </c>
      <c r="P294" s="47">
        <f ca="1">'Fiscal Forecasts'!P$46+IF(OFFSET(Assumptions!$B$57,0,$C$1)="Yes",Allocation!G$15,0)</f>
        <v>15.70964</v>
      </c>
      <c r="Q294" s="21">
        <f t="shared" ref="Q294:Z294" ca="1" si="172">Q$293+(P$294-P$293)*(1+Q$19)*(1+Q$29)</f>
        <v>16.573229256064842</v>
      </c>
      <c r="R294" s="21">
        <f t="shared" ca="1" si="172"/>
        <v>17.206625262314638</v>
      </c>
      <c r="S294" s="21">
        <f t="shared" ca="1" si="172"/>
        <v>17.79616019149276</v>
      </c>
      <c r="T294" s="21">
        <f t="shared" ca="1" si="172"/>
        <v>18.394555406408205</v>
      </c>
      <c r="U294" s="21">
        <f t="shared" ca="1" si="172"/>
        <v>19.011017168964102</v>
      </c>
      <c r="V294" s="21">
        <f t="shared" ca="1" si="172"/>
        <v>19.641927509013804</v>
      </c>
      <c r="W294" s="21">
        <f t="shared" ca="1" si="172"/>
        <v>20.275218810143691</v>
      </c>
      <c r="X294" s="21">
        <f t="shared" ca="1" si="172"/>
        <v>20.923072142272297</v>
      </c>
      <c r="Y294" s="21">
        <f t="shared" ca="1" si="172"/>
        <v>21.590886643129618</v>
      </c>
      <c r="Z294" s="21">
        <f t="shared" ca="1" si="172"/>
        <v>22.275248172198733</v>
      </c>
    </row>
    <row r="296" spans="1:26" x14ac:dyDescent="0.25">
      <c r="A296" s="11" t="s">
        <v>1299</v>
      </c>
    </row>
    <row r="297" spans="1:26" x14ac:dyDescent="0.25">
      <c r="A297" s="11" t="s">
        <v>1300</v>
      </c>
      <c r="B297" s="14" t="str">
        <f>$B$38</f>
        <v>From Fiscal Forecasts</v>
      </c>
      <c r="C297" s="100" cm="1">
        <f t="array" aca="1" ref="C297" ca="1">SUMPRODUCT(OFFSET($P$297,0,0,1,-OFFSET(Assumptions!$B$60,0,$C$1))/OFFSET($P$13,0,0,1,-OFFSET(Assumptions!$B$60,0,$C$1)))/OFFSET(Assumptions!$B$60,0,$C$1)</f>
        <v>7.6678425062853984E-3</v>
      </c>
      <c r="D297" s="51">
        <f>'Fiscal Forecasts'!D$64</f>
        <v>2.395</v>
      </c>
      <c r="E297" s="51">
        <f>'Fiscal Forecasts'!E$64</f>
        <v>2.4990000000000001</v>
      </c>
      <c r="F297" s="51">
        <f>'Fiscal Forecasts'!F$64</f>
        <v>2.6640000000000001</v>
      </c>
      <c r="G297" s="51">
        <f>'Fiscal Forecasts'!G$64</f>
        <v>2.8319999999999999</v>
      </c>
      <c r="H297" s="51">
        <f>'Fiscal Forecasts'!H$64</f>
        <v>2.8860000000000001</v>
      </c>
      <c r="I297" s="51">
        <f>'Fiscal Forecasts'!I$64</f>
        <v>3.1629999999999998</v>
      </c>
      <c r="J297" s="51">
        <f>'Fiscal Forecasts'!J$64</f>
        <v>3.2709999999999999</v>
      </c>
      <c r="K297" s="51">
        <f>'Fiscal Forecasts'!K$64</f>
        <v>3.5249999999999999</v>
      </c>
      <c r="L297" s="47">
        <f ca="1">'Fiscal Forecasts'!L$64+IF(OFFSET(Assumptions!$B$57,0,$C$1)="Yes",Allocation!C$16,0)</f>
        <v>3.8041900000000002</v>
      </c>
      <c r="M297" s="47">
        <f ca="1">'Fiscal Forecasts'!M$64+IF(OFFSET(Assumptions!$B$57,0,$C$1)="Yes",Allocation!D$16,0)</f>
        <v>3.9772400000000001</v>
      </c>
      <c r="N297" s="47">
        <f ca="1">'Fiscal Forecasts'!N$64+IF(OFFSET(Assumptions!$B$57,0,$C$1)="Yes",Allocation!E$16,0)</f>
        <v>4.140625</v>
      </c>
      <c r="O297" s="47">
        <f ca="1">'Fiscal Forecasts'!O$64+IF(OFFSET(Assumptions!$B$57,0,$C$1)="Yes",Allocation!F$16,0)</f>
        <v>4.3283149999999999</v>
      </c>
      <c r="P297" s="47">
        <f ca="1">'Fiscal Forecasts'!P$64+IF(OFFSET(Assumptions!$B$57,0,$C$1)="Yes",Allocation!G$16,0)</f>
        <v>4.4686300000000001</v>
      </c>
      <c r="Q297" s="21">
        <f ca="1">P$297+IF(OFFSET(Assumptions!$B$58,0,$C$1)="Yes",Allocation!$B$16*Q$248,IF(OFFSET(Assumptions!$B$59,0,$C$1)="Yes",(P$297/P$13+MIN(ABS($C$297-P$297/P$13),OFFSET(Assumptions!$B$61,0,$C$1))*SIGN($C$297-P$297/P$13))*Q$13-P$297,0))</f>
        <v>4.6598135403314851</v>
      </c>
      <c r="R297" s="21">
        <f ca="1">Q$297+IF(OFFSET(Assumptions!$B$58,0,$C$1)="Yes",Allocation!$B$16*R$248,IF(OFFSET(Assumptions!$B$59,0,$C$1)="Yes",(Q$297/Q$13+MIN(ABS($C$297-Q$297/Q$13),OFFSET(Assumptions!$B$61,0,$C$1))*SIGN($C$297-Q$297/Q$13))*R$13-Q$297,0))</f>
        <v>4.8581591224996732</v>
      </c>
      <c r="S297" s="21">
        <f ca="1">R$297+IF(OFFSET(Assumptions!$B$58,0,$C$1)="Yes",Allocation!$B$16*S$248,IF(OFFSET(Assumptions!$B$59,0,$C$1)="Yes",(R$297/R$13+MIN(ABS($C$297-R$297/R$13),OFFSET(Assumptions!$B$61,0,$C$1))*SIGN($C$297-R$297/R$13))*S$13-R$297,0))</f>
        <v>5.0617594317139263</v>
      </c>
      <c r="T297" s="21">
        <f ca="1">S$297+IF(OFFSET(Assumptions!$B$58,0,$C$1)="Yes",Allocation!$B$16*T$248,IF(OFFSET(Assumptions!$B$59,0,$C$1)="Yes",(S$297/S$13+MIN(ABS($C$297-S$297/S$13),OFFSET(Assumptions!$B$61,0,$C$1))*SIGN($C$297-S$297/S$13))*T$13-S$297,0))</f>
        <v>5.270138244196322</v>
      </c>
      <c r="U297" s="21">
        <f ca="1">T$297+IF(OFFSET(Assumptions!$B$58,0,$C$1)="Yes",Allocation!$B$16*U$248,IF(OFFSET(Assumptions!$B$59,0,$C$1)="Yes",(T$297/T$13+MIN(ABS($C$297-T$297/T$13),OFFSET(Assumptions!$B$61,0,$C$1))*SIGN($C$297-T$297/T$13))*U$13-T$297,0))</f>
        <v>5.4857833796518216</v>
      </c>
      <c r="V297" s="21">
        <f ca="1">U$297+IF(OFFSET(Assumptions!$B$58,0,$C$1)="Yes",Allocation!$B$16*V$248,IF(OFFSET(Assumptions!$B$59,0,$C$1)="Yes",(U$297/U$13+MIN(ABS($C$297-U$297/U$13),OFFSET(Assumptions!$B$61,0,$C$1))*SIGN($C$297-U$297/U$13))*V$13-U$297,0))</f>
        <v>5.7087715296969517</v>
      </c>
      <c r="W297" s="21">
        <f ca="1">V$297+IF(OFFSET(Assumptions!$B$58,0,$C$1)="Yes",Allocation!$B$16*W$248,IF(OFFSET(Assumptions!$B$59,0,$C$1)="Yes",(V$297/V$13+MIN(ABS($C$297-V$297/V$13),OFFSET(Assumptions!$B$61,0,$C$1))*SIGN($C$297-V$297/V$13))*W$13-V$297,0))</f>
        <v>5.9379777228013779</v>
      </c>
      <c r="X297" s="21">
        <f ca="1">W$297+IF(OFFSET(Assumptions!$B$58,0,$C$1)="Yes",Allocation!$B$16*X$248,IF(OFFSET(Assumptions!$B$59,0,$C$1)="Yes",(W$297/W$13+MIN(ABS($C$297-W$297/W$13),OFFSET(Assumptions!$B$61,0,$C$1))*SIGN($C$297-W$297/W$13))*X$13-W$297,0))</f>
        <v>6.1737841042585524</v>
      </c>
      <c r="Y297" s="21">
        <f ca="1">X$297+IF(OFFSET(Assumptions!$B$58,0,$C$1)="Yes",Allocation!$B$16*Y$248,IF(OFFSET(Assumptions!$B$59,0,$C$1)="Yes",(X$297/X$13+MIN(ABS($C$297-X$297/X$13),OFFSET(Assumptions!$B$61,0,$C$1))*SIGN($C$297-X$297/X$13))*Y$13-X$297,0))</f>
        <v>6.4174237935251863</v>
      </c>
      <c r="Z297" s="21">
        <f ca="1">Y$297+IF(OFFSET(Assumptions!$B$58,0,$C$1)="Yes",Allocation!$B$16*Z$248,IF(OFFSET(Assumptions!$B$59,0,$C$1)="Yes",(Y$297/Y$13+MIN(ABS($C$297-Y$297/Y$13),OFFSET(Assumptions!$B$61,0,$C$1))*SIGN($C$297-Y$297/Y$13))*Z$13-Y$297,0))</f>
        <v>6.6689596289090831</v>
      </c>
    </row>
    <row r="298" spans="1:26" x14ac:dyDescent="0.25">
      <c r="A298" s="11" t="s">
        <v>1301</v>
      </c>
      <c r="B298" s="14" t="str">
        <f>$B$38</f>
        <v>From Fiscal Forecasts</v>
      </c>
      <c r="D298" s="51">
        <f>'Fiscal Forecasts'!D$47</f>
        <v>2.39</v>
      </c>
      <c r="E298" s="51">
        <f>'Fiscal Forecasts'!E$47</f>
        <v>2.4820000000000002</v>
      </c>
      <c r="F298" s="51">
        <f>'Fiscal Forecasts'!F$47</f>
        <v>2.6480000000000001</v>
      </c>
      <c r="G298" s="51">
        <f>'Fiscal Forecasts'!G$47</f>
        <v>2.8029999999999999</v>
      </c>
      <c r="H298" s="51">
        <f>'Fiscal Forecasts'!H$47</f>
        <v>2.8380000000000001</v>
      </c>
      <c r="I298" s="51">
        <f>'Fiscal Forecasts'!I$47</f>
        <v>3.125</v>
      </c>
      <c r="J298" s="51">
        <f>'Fiscal Forecasts'!J$47</f>
        <v>3.226</v>
      </c>
      <c r="K298" s="51">
        <f>'Fiscal Forecasts'!K$47</f>
        <v>3.484</v>
      </c>
      <c r="L298" s="47">
        <f ca="1">'Fiscal Forecasts'!L$47+IF(OFFSET(Assumptions!$B$57,0,$C$1)="Yes",Allocation!C$16,0)</f>
        <v>3.76119</v>
      </c>
      <c r="M298" s="47">
        <f ca="1">'Fiscal Forecasts'!M$47+IF(OFFSET(Assumptions!$B$57,0,$C$1)="Yes",Allocation!D$16,0)</f>
        <v>3.9332400000000001</v>
      </c>
      <c r="N298" s="47">
        <f ca="1">'Fiscal Forecasts'!N$47+IF(OFFSET(Assumptions!$B$57,0,$C$1)="Yes",Allocation!E$16,0)</f>
        <v>4.0966249999999995</v>
      </c>
      <c r="O298" s="47">
        <f ca="1">'Fiscal Forecasts'!O$47+IF(OFFSET(Assumptions!$B$57,0,$C$1)="Yes",Allocation!F$16,0)</f>
        <v>4.2843150000000003</v>
      </c>
      <c r="P298" s="47">
        <f ca="1">'Fiscal Forecasts'!P$47+IF(OFFSET(Assumptions!$B$57,0,$C$1)="Yes",Allocation!G$16,0)</f>
        <v>4.4246299999999996</v>
      </c>
      <c r="Q298" s="21">
        <f t="shared" ref="Q298:Z298" ca="1" si="173">Q$297</f>
        <v>4.6598135403314851</v>
      </c>
      <c r="R298" s="21">
        <f t="shared" ca="1" si="173"/>
        <v>4.8581591224996732</v>
      </c>
      <c r="S298" s="21">
        <f t="shared" ca="1" si="173"/>
        <v>5.0617594317139263</v>
      </c>
      <c r="T298" s="21">
        <f t="shared" ca="1" si="173"/>
        <v>5.270138244196322</v>
      </c>
      <c r="U298" s="21">
        <f t="shared" ca="1" si="173"/>
        <v>5.4857833796518216</v>
      </c>
      <c r="V298" s="21">
        <f t="shared" ca="1" si="173"/>
        <v>5.7087715296969517</v>
      </c>
      <c r="W298" s="21">
        <f t="shared" ca="1" si="173"/>
        <v>5.9379777228013779</v>
      </c>
      <c r="X298" s="21">
        <f t="shared" ca="1" si="173"/>
        <v>6.1737841042585524</v>
      </c>
      <c r="Y298" s="21">
        <f t="shared" ca="1" si="173"/>
        <v>6.4174237935251863</v>
      </c>
      <c r="Z298" s="21">
        <f t="shared" ca="1" si="173"/>
        <v>6.6689596289090831</v>
      </c>
    </row>
    <row r="300" spans="1:26" x14ac:dyDescent="0.25">
      <c r="A300" s="11" t="s">
        <v>1302</v>
      </c>
    </row>
    <row r="301" spans="1:26" x14ac:dyDescent="0.25">
      <c r="A301" s="11" t="s">
        <v>1303</v>
      </c>
      <c r="B301" s="14" t="str">
        <f>$B$38</f>
        <v>From Fiscal Forecasts</v>
      </c>
      <c r="C301" s="100" cm="1">
        <f t="array" aca="1" ref="C301" ca="1">SUMPRODUCT(OFFSET($P$301,0,0,1,-OFFSET(Assumptions!$B$60,0,$C$1))/OFFSET($P$13,0,0,1,-OFFSET(Assumptions!$B$60,0,$C$1)))/OFFSET(Assumptions!$B$60,0,$C$1)</f>
        <v>3.1884903159042468E-3</v>
      </c>
      <c r="D301" s="51">
        <f>'Fiscal Forecasts'!D$65</f>
        <v>0.91800000000000004</v>
      </c>
      <c r="E301" s="51">
        <f>'Fiscal Forecasts'!E$65</f>
        <v>1.1060000000000001</v>
      </c>
      <c r="F301" s="51">
        <f>'Fiscal Forecasts'!F$65</f>
        <v>1.42</v>
      </c>
      <c r="G301" s="51">
        <f>'Fiscal Forecasts'!G$65</f>
        <v>1.468</v>
      </c>
      <c r="H301" s="51">
        <f>'Fiscal Forecasts'!H$65</f>
        <v>1.5369999999999999</v>
      </c>
      <c r="I301" s="51">
        <f>'Fiscal Forecasts'!I$65</f>
        <v>1.504</v>
      </c>
      <c r="J301" s="51">
        <f>'Fiscal Forecasts'!J$65</f>
        <v>1.4570000000000001</v>
      </c>
      <c r="K301" s="51">
        <f>'Fiscal Forecasts'!K$65</f>
        <v>1.4390000000000001</v>
      </c>
      <c r="L301" s="47">
        <f ca="1">'Fiscal Forecasts'!L$65+IF(OFFSET(Assumptions!$B$57,0,$C$1)="Yes",Allocation!C$17,0)</f>
        <v>1.41516</v>
      </c>
      <c r="M301" s="47">
        <f ca="1">'Fiscal Forecasts'!M$65+IF(OFFSET(Assumptions!$B$57,0,$C$1)="Yes",Allocation!D$17,0)</f>
        <v>1.45536</v>
      </c>
      <c r="N301" s="47">
        <f ca="1">'Fiscal Forecasts'!N$65+IF(OFFSET(Assumptions!$B$57,0,$C$1)="Yes",Allocation!E$17,0)</f>
        <v>1.4834999999999998</v>
      </c>
      <c r="O301" s="47">
        <f ca="1">'Fiscal Forecasts'!O$65+IF(OFFSET(Assumptions!$B$57,0,$C$1)="Yes",Allocation!F$17,0)</f>
        <v>1.50766</v>
      </c>
      <c r="P301" s="47">
        <f ca="1">'Fiscal Forecasts'!P$65+IF(OFFSET(Assumptions!$B$57,0,$C$1)="Yes",Allocation!G$17,0)</f>
        <v>1.5463199999999999</v>
      </c>
      <c r="Q301" s="21">
        <f ca="1">P$301+IF(OFFSET(Assumptions!$B$58,0,$C$1)="Yes",Allocation!$B$17*Q$248,IF(OFFSET(Assumptions!$B$59,0,$C$1)="Yes",(P$301/P$13+MIN(ABS($C$301-P$301/P$13),OFFSET(Assumptions!$B$61,0,$C$1))*SIGN($C$301-P$301/P$13))*Q$13-P$301,0))</f>
        <v>1.917486965567728</v>
      </c>
      <c r="R301" s="21">
        <f ca="1">Q$301+IF(OFFSET(Assumptions!$B$58,0,$C$1)="Yes",Allocation!$B$17*R$248,IF(OFFSET(Assumptions!$B$59,0,$C$1)="Yes",(Q$301/Q$13+MIN(ABS($C$301-Q$301/Q$13),OFFSET(Assumptions!$B$61,0,$C$1))*SIGN($C$301-Q$301/Q$13))*R$13-Q$301,0))</f>
        <v>2.0201501664274706</v>
      </c>
      <c r="S301" s="21">
        <f ca="1">R$301+IF(OFFSET(Assumptions!$B$58,0,$C$1)="Yes",Allocation!$B$17*S$248,IF(OFFSET(Assumptions!$B$59,0,$C$1)="Yes",(R$301/R$13+MIN(ABS($C$301-R$301/R$13),OFFSET(Assumptions!$B$61,0,$C$1))*SIGN($C$301-R$301/R$13))*S$13-R$301,0))</f>
        <v>2.1048125227177334</v>
      </c>
      <c r="T301" s="21">
        <f ca="1">S$301+IF(OFFSET(Assumptions!$B$58,0,$C$1)="Yes",Allocation!$B$17*T$248,IF(OFFSET(Assumptions!$B$59,0,$C$1)="Yes",(S$301/S$13+MIN(ABS($C$301-S$301/S$13),OFFSET(Assumptions!$B$61,0,$C$1))*SIGN($C$301-S$301/S$13))*T$13-S$301,0))</f>
        <v>2.1914619061779597</v>
      </c>
      <c r="U301" s="21">
        <f ca="1">T$301+IF(OFFSET(Assumptions!$B$58,0,$C$1)="Yes",Allocation!$B$17*U$248,IF(OFFSET(Assumptions!$B$59,0,$C$1)="Yes",(T$301/T$13+MIN(ABS($C$301-T$301/T$13),OFFSET(Assumptions!$B$61,0,$C$1))*SIGN($C$301-T$301/T$13))*U$13-T$301,0))</f>
        <v>2.2811328175859735</v>
      </c>
      <c r="V301" s="21">
        <f ca="1">U$301+IF(OFFSET(Assumptions!$B$58,0,$C$1)="Yes",Allocation!$B$17*V$248,IF(OFFSET(Assumptions!$B$59,0,$C$1)="Yes",(U$301/U$13+MIN(ABS($C$301-U$301/U$13),OFFSET(Assumptions!$B$61,0,$C$1))*SIGN($C$301-U$301/U$13))*V$13-U$301,0))</f>
        <v>2.3738571473302907</v>
      </c>
      <c r="W301" s="21">
        <f ca="1">V$301+IF(OFFSET(Assumptions!$B$58,0,$C$1)="Yes",Allocation!$B$17*W$248,IF(OFFSET(Assumptions!$B$59,0,$C$1)="Yes",(V$301/V$13+MIN(ABS($C$301-V$301/V$13),OFFSET(Assumptions!$B$61,0,$C$1))*SIGN($C$301-V$301/V$13))*W$13-V$301,0))</f>
        <v>2.469167102700355</v>
      </c>
      <c r="X301" s="21">
        <f ca="1">W$301+IF(OFFSET(Assumptions!$B$58,0,$C$1)="Yes",Allocation!$B$17*X$248,IF(OFFSET(Assumptions!$B$59,0,$C$1)="Yes",(W$301/W$13+MIN(ABS($C$301-W$301/W$13),OFFSET(Assumptions!$B$61,0,$C$1))*SIGN($C$301-W$301/W$13))*X$13-W$301,0))</f>
        <v>2.5672215897465236</v>
      </c>
      <c r="Y301" s="21">
        <f ca="1">X$301+IF(OFFSET(Assumptions!$B$58,0,$C$1)="Yes",Allocation!$B$17*Y$248,IF(OFFSET(Assumptions!$B$59,0,$C$1)="Yes",(X$301/X$13+MIN(ABS($C$301-X$301/X$13),OFFSET(Assumptions!$B$61,0,$C$1))*SIGN($C$301-X$301/X$13))*Y$13-X$301,0))</f>
        <v>2.66853337192773</v>
      </c>
      <c r="Z301" s="21">
        <f ca="1">Y$301+IF(OFFSET(Assumptions!$B$58,0,$C$1)="Yes",Allocation!$B$17*Z$248,IF(OFFSET(Assumptions!$B$59,0,$C$1)="Yes",(Y$301/Y$13+MIN(ABS($C$301-Y$301/Y$13),OFFSET(Assumptions!$B$61,0,$C$1))*SIGN($C$301-Y$301/Y$13))*Z$13-Y$301,0))</f>
        <v>2.7731285790628553</v>
      </c>
    </row>
    <row r="302" spans="1:26" x14ac:dyDescent="0.25">
      <c r="A302" s="11" t="s">
        <v>1304</v>
      </c>
      <c r="B302" s="14" t="str">
        <f>$B$38</f>
        <v>From Fiscal Forecasts</v>
      </c>
      <c r="D302" s="51">
        <f>'Fiscal Forecasts'!D$48</f>
        <v>2.5030000000000001</v>
      </c>
      <c r="E302" s="51">
        <f>'Fiscal Forecasts'!E$48</f>
        <v>2.9039999999999999</v>
      </c>
      <c r="F302" s="51">
        <f>'Fiscal Forecasts'!F$48</f>
        <v>3.0230000000000001</v>
      </c>
      <c r="G302" s="51">
        <f>'Fiscal Forecasts'!G$48</f>
        <v>3.26</v>
      </c>
      <c r="H302" s="51">
        <f>'Fiscal Forecasts'!H$48</f>
        <v>3.4169999999999998</v>
      </c>
      <c r="I302" s="51">
        <f>'Fiscal Forecasts'!I$48</f>
        <v>3.6080000000000001</v>
      </c>
      <c r="J302" s="51">
        <f>'Fiscal Forecasts'!J$48</f>
        <v>3.3809999999999998</v>
      </c>
      <c r="K302" s="51">
        <f>'Fiscal Forecasts'!K$48</f>
        <v>3.5270000000000001</v>
      </c>
      <c r="L302" s="47">
        <f ca="1">'Fiscal Forecasts'!L$48+IF(OFFSET(Assumptions!$B$57,0,$C$1)="Yes",Allocation!C$17,0)</f>
        <v>3.50116</v>
      </c>
      <c r="M302" s="47">
        <f ca="1">'Fiscal Forecasts'!M$48+IF(OFFSET(Assumptions!$B$57,0,$C$1)="Yes",Allocation!D$17,0)</f>
        <v>3.5383599999999999</v>
      </c>
      <c r="N302" s="47">
        <f ca="1">'Fiscal Forecasts'!N$48+IF(OFFSET(Assumptions!$B$57,0,$C$1)="Yes",Allocation!E$17,0)</f>
        <v>3.6334999999999997</v>
      </c>
      <c r="O302" s="47">
        <f ca="1">'Fiscal Forecasts'!O$48+IF(OFFSET(Assumptions!$B$57,0,$C$1)="Yes",Allocation!F$17,0)</f>
        <v>3.7106599999999998</v>
      </c>
      <c r="P302" s="47">
        <f ca="1">'Fiscal Forecasts'!P$48+IF(OFFSET(Assumptions!$B$57,0,$C$1)="Yes",Allocation!G$17,0)</f>
        <v>3.7883200000000001</v>
      </c>
      <c r="Q302" s="21">
        <f t="shared" ref="Q302:Z302" ca="1" si="174">Q$301+(P$302-P$301)*(1+Q$29)</f>
        <v>4.204326965567728</v>
      </c>
      <c r="R302" s="21">
        <f t="shared" ca="1" si="174"/>
        <v>4.3527269664274701</v>
      </c>
      <c r="S302" s="21">
        <f t="shared" ca="1" si="174"/>
        <v>4.4840408587177336</v>
      </c>
      <c r="T302" s="21">
        <f t="shared" ca="1" si="174"/>
        <v>4.6182748088979597</v>
      </c>
      <c r="U302" s="21">
        <f t="shared" ca="1" si="174"/>
        <v>4.7564819783603731</v>
      </c>
      <c r="V302" s="21">
        <f t="shared" ca="1" si="174"/>
        <v>4.8987132913201785</v>
      </c>
      <c r="W302" s="21">
        <f t="shared" ca="1" si="174"/>
        <v>5.0445203695700407</v>
      </c>
      <c r="X302" s="21">
        <f t="shared" ca="1" si="174"/>
        <v>5.194081921953603</v>
      </c>
      <c r="Y302" s="21">
        <f t="shared" ca="1" si="174"/>
        <v>5.3479309107789508</v>
      </c>
      <c r="Z302" s="21">
        <f t="shared" ca="1" si="174"/>
        <v>5.506114068691101</v>
      </c>
    </row>
    <row r="304" spans="1:26" x14ac:dyDescent="0.25">
      <c r="A304" s="11" t="s">
        <v>1305</v>
      </c>
    </row>
    <row r="305" spans="1:26" x14ac:dyDescent="0.25">
      <c r="A305" s="11" t="s">
        <v>1306</v>
      </c>
      <c r="B305" s="14" t="str">
        <f>$B$38</f>
        <v>From Fiscal Forecasts</v>
      </c>
      <c r="C305" s="100" cm="1">
        <f t="array" aca="1" ref="C305" ca="1">SUMPRODUCT(OFFSET($P$305,0,0,1,-OFFSET(Assumptions!$B$60,0,$C$1))/OFFSET($P$13,0,0,1,-OFFSET(Assumptions!$B$60,0,$C$1)))/OFFSET(Assumptions!$B$60,0,$C$1)</f>
        <v>2.4298029569877937E-3</v>
      </c>
      <c r="D305" s="51">
        <f>'Fiscal Forecasts'!D$66</f>
        <v>0.96</v>
      </c>
      <c r="E305" s="51">
        <f>'Fiscal Forecasts'!E$66</f>
        <v>0.96099999999999997</v>
      </c>
      <c r="F305" s="51">
        <f>'Fiscal Forecasts'!F$66</f>
        <v>1.0149999999999999</v>
      </c>
      <c r="G305" s="51">
        <f>'Fiscal Forecasts'!G$66</f>
        <v>0.94899999999999995</v>
      </c>
      <c r="H305" s="51">
        <f>'Fiscal Forecasts'!H$66</f>
        <v>1.1559999999999999</v>
      </c>
      <c r="I305" s="51">
        <f>'Fiscal Forecasts'!I$66</f>
        <v>1.0620000000000001</v>
      </c>
      <c r="J305" s="51">
        <f>'Fiscal Forecasts'!J$66</f>
        <v>0.996</v>
      </c>
      <c r="K305" s="51">
        <f>'Fiscal Forecasts'!K$66</f>
        <v>1.03</v>
      </c>
      <c r="L305" s="47">
        <f ca="1">'Fiscal Forecasts'!L$66+IF(OFFSET(Assumptions!$B$57,0,$C$1)="Yes",Allocation!C$18,0)</f>
        <v>1.33087</v>
      </c>
      <c r="M305" s="47">
        <f ca="1">'Fiscal Forecasts'!M$66+IF(OFFSET(Assumptions!$B$57,0,$C$1)="Yes",Allocation!D$18,0)</f>
        <v>1.16852</v>
      </c>
      <c r="N305" s="47">
        <f ca="1">'Fiscal Forecasts'!N$66+IF(OFFSET(Assumptions!$B$57,0,$C$1)="Yes",Allocation!E$18,0)</f>
        <v>1.1916249999999999</v>
      </c>
      <c r="O305" s="47">
        <f ca="1">'Fiscal Forecasts'!O$66+IF(OFFSET(Assumptions!$B$57,0,$C$1)="Yes",Allocation!F$18,0)</f>
        <v>1.2869949999999999</v>
      </c>
      <c r="P305" s="47">
        <f ca="1">'Fiscal Forecasts'!P$66+IF(OFFSET(Assumptions!$B$57,0,$C$1)="Yes",Allocation!G$18,0)</f>
        <v>1.2399900000000001</v>
      </c>
      <c r="Q305" s="21">
        <f ca="1">P$305+IF(OFFSET(Assumptions!$B$58,0,$C$1)="Yes",Allocation!$B$18*Q$248,IF(OFFSET(Assumptions!$B$59,0,$C$1)="Yes",(P$305/P$13+MIN(ABS($C$305-P$305/P$13),OFFSET(Assumptions!$B$61,0,$C$1))*SIGN($C$305-P$305/P$13))*Q$13-P$305,0))</f>
        <v>1.4766120600453267</v>
      </c>
      <c r="R305" s="21">
        <f ca="1">Q$305+IF(OFFSET(Assumptions!$B$58,0,$C$1)="Yes",Allocation!$B$18*R$248,IF(OFFSET(Assumptions!$B$59,0,$C$1)="Yes",(Q$305/Q$13+MIN(ABS($C$305-Q$305/Q$13),OFFSET(Assumptions!$B$61,0,$C$1))*SIGN($C$305-Q$305/Q$13))*R$13-Q$305,0))</f>
        <v>1.5394642484754721</v>
      </c>
      <c r="S305" s="21">
        <f ca="1">R$305+IF(OFFSET(Assumptions!$B$58,0,$C$1)="Yes",Allocation!$B$18*S$248,IF(OFFSET(Assumptions!$B$59,0,$C$1)="Yes",(R$305/R$13+MIN(ABS($C$305-R$305/R$13),OFFSET(Assumptions!$B$61,0,$C$1))*SIGN($C$305-R$305/R$13))*S$13-R$305,0))</f>
        <v>1.603981566478144</v>
      </c>
      <c r="T305" s="21">
        <f ca="1">S$305+IF(OFFSET(Assumptions!$B$58,0,$C$1)="Yes",Allocation!$B$18*T$248,IF(OFFSET(Assumptions!$B$59,0,$C$1)="Yes",(S$305/S$13+MIN(ABS($C$305-S$305/S$13),OFFSET(Assumptions!$B$61,0,$C$1))*SIGN($C$305-S$305/S$13))*T$13-S$305,0))</f>
        <v>1.670013107205317</v>
      </c>
      <c r="U305" s="21">
        <f ca="1">T$305+IF(OFFSET(Assumptions!$B$58,0,$C$1)="Yes",Allocation!$B$18*U$248,IF(OFFSET(Assumptions!$B$59,0,$C$1)="Yes",(T$305/T$13+MIN(ABS($C$305-T$305/T$13),OFFSET(Assumptions!$B$61,0,$C$1))*SIGN($C$305-T$305/T$13))*U$13-T$305,0))</f>
        <v>1.7383472164883778</v>
      </c>
      <c r="V305" s="21">
        <f ca="1">U$305+IF(OFFSET(Assumptions!$B$58,0,$C$1)="Yes",Allocation!$B$18*V$248,IF(OFFSET(Assumptions!$B$59,0,$C$1)="Yes",(U$305/U$13+MIN(ABS($C$305-U$305/U$13),OFFSET(Assumptions!$B$61,0,$C$1))*SIGN($C$305-U$305/U$13))*V$13-U$305,0))</f>
        <v>1.809008196537037</v>
      </c>
      <c r="W305" s="21">
        <f ca="1">V$305+IF(OFFSET(Assumptions!$B$58,0,$C$1)="Yes",Allocation!$B$18*W$248,IF(OFFSET(Assumptions!$B$59,0,$C$1)="Yes",(V$305/V$13+MIN(ABS($C$305-V$305/V$13),OFFSET(Assumptions!$B$61,0,$C$1))*SIGN($C$305-V$305/V$13))*W$13-V$305,0))</f>
        <v>1.8816395638751813</v>
      </c>
      <c r="X305" s="21">
        <f ca="1">W$305+IF(OFFSET(Assumptions!$B$58,0,$C$1)="Yes",Allocation!$B$18*X$248,IF(OFFSET(Assumptions!$B$59,0,$C$1)="Yes",(W$305/W$13+MIN(ABS($C$305-W$305/W$13),OFFSET(Assumptions!$B$61,0,$C$1))*SIGN($C$305-W$305/W$13))*X$13-W$305,0))</f>
        <v>1.9563624135518107</v>
      </c>
      <c r="Y305" s="21">
        <f ca="1">X$305+IF(OFFSET(Assumptions!$B$58,0,$C$1)="Yes",Allocation!$B$18*Y$248,IF(OFFSET(Assumptions!$B$59,0,$C$1)="Yes",(X$305/X$13+MIN(ABS($C$305-X$305/X$13),OFFSET(Assumptions!$B$61,0,$C$1))*SIGN($C$305-X$305/X$13))*Y$13-X$305,0))</f>
        <v>2.0335674991980524</v>
      </c>
      <c r="Z305" s="21">
        <f ca="1">Y$305+IF(OFFSET(Assumptions!$B$58,0,$C$1)="Yes",Allocation!$B$18*Z$248,IF(OFFSET(Assumptions!$B$59,0,$C$1)="Yes",(Y$305/Y$13+MIN(ABS($C$305-Y$305/Y$13),OFFSET(Assumptions!$B$61,0,$C$1))*SIGN($C$305-Y$305/Y$13))*Z$13-Y$305,0))</f>
        <v>2.1132747331563912</v>
      </c>
    </row>
    <row r="306" spans="1:26" x14ac:dyDescent="0.25">
      <c r="A306" s="11" t="s">
        <v>1307</v>
      </c>
      <c r="B306" s="14" t="str">
        <f>$B$38</f>
        <v>From Fiscal Forecasts</v>
      </c>
      <c r="D306" s="51">
        <f>'Fiscal Forecasts'!D$49</f>
        <v>2.395</v>
      </c>
      <c r="E306" s="51">
        <f>'Fiscal Forecasts'!E$49</f>
        <v>2.4300000000000002</v>
      </c>
      <c r="F306" s="51">
        <f>'Fiscal Forecasts'!F$49</f>
        <v>2.3980000000000001</v>
      </c>
      <c r="G306" s="51">
        <f>'Fiscal Forecasts'!G$49</f>
        <v>2.302</v>
      </c>
      <c r="H306" s="51">
        <f>'Fiscal Forecasts'!H$49</f>
        <v>2.74</v>
      </c>
      <c r="I306" s="51">
        <f>'Fiscal Forecasts'!I$49</f>
        <v>2.6360000000000001</v>
      </c>
      <c r="J306" s="51">
        <f>'Fiscal Forecasts'!J$49</f>
        <v>2.5249999999999999</v>
      </c>
      <c r="K306" s="51">
        <f>'Fiscal Forecasts'!K$49</f>
        <v>2.4449999999999998</v>
      </c>
      <c r="L306" s="47">
        <f ca="1">'Fiscal Forecasts'!L$49+IF(OFFSET(Assumptions!$B$57,0,$C$1)="Yes",Allocation!C$18,0)</f>
        <v>2.7328700000000001</v>
      </c>
      <c r="M306" s="47">
        <f ca="1">'Fiscal Forecasts'!M$49+IF(OFFSET(Assumptions!$B$57,0,$C$1)="Yes",Allocation!D$18,0)</f>
        <v>2.42652</v>
      </c>
      <c r="N306" s="47">
        <f ca="1">'Fiscal Forecasts'!N$49+IF(OFFSET(Assumptions!$B$57,0,$C$1)="Yes",Allocation!E$18,0)</f>
        <v>2.269625</v>
      </c>
      <c r="O306" s="47">
        <f ca="1">'Fiscal Forecasts'!O$49+IF(OFFSET(Assumptions!$B$57,0,$C$1)="Yes",Allocation!F$18,0)</f>
        <v>2.3829949999999998</v>
      </c>
      <c r="P306" s="47">
        <f ca="1">'Fiscal Forecasts'!P$49+IF(OFFSET(Assumptions!$B$57,0,$C$1)="Yes",Allocation!G$18,0)</f>
        <v>2.3669899999999999</v>
      </c>
      <c r="Q306" s="21">
        <f t="shared" ref="Q306:Z306" ca="1" si="175">Q$305+(P$306-P$305)*(1+Q$29)</f>
        <v>2.6261520600453263</v>
      </c>
      <c r="R306" s="21">
        <f t="shared" ca="1" si="175"/>
        <v>2.7119950484754716</v>
      </c>
      <c r="S306" s="21">
        <f t="shared" ca="1" si="175"/>
        <v>2.7999629824781436</v>
      </c>
      <c r="T306" s="21">
        <f t="shared" ca="1" si="175"/>
        <v>2.8899141515253168</v>
      </c>
      <c r="U306" s="21">
        <f t="shared" ca="1" si="175"/>
        <v>2.9826462816947776</v>
      </c>
      <c r="V306" s="21">
        <f t="shared" ca="1" si="175"/>
        <v>3.0781932430475649</v>
      </c>
      <c r="W306" s="21">
        <f t="shared" ca="1" si="175"/>
        <v>3.1762083113159196</v>
      </c>
      <c r="X306" s="21">
        <f t="shared" ca="1" si="175"/>
        <v>3.2768225359413639</v>
      </c>
      <c r="Y306" s="21">
        <f t="shared" ca="1" si="175"/>
        <v>3.3804368240353968</v>
      </c>
      <c r="Z306" s="21">
        <f t="shared" ca="1" si="175"/>
        <v>3.4870814444904825</v>
      </c>
    </row>
    <row r="308" spans="1:26" x14ac:dyDescent="0.25">
      <c r="A308" s="11" t="s">
        <v>1308</v>
      </c>
    </row>
    <row r="309" spans="1:26" x14ac:dyDescent="0.25">
      <c r="A309" s="11" t="s">
        <v>1309</v>
      </c>
      <c r="B309" s="14" t="str">
        <f>$B$38</f>
        <v>From Fiscal Forecasts</v>
      </c>
      <c r="C309" s="100" cm="1">
        <f t="array" aca="1" ref="C309" ca="1">SUMPRODUCT(OFFSET($P$309,0,0,1,-OFFSET(Assumptions!$B$60,0,$C$1))/OFFSET($P$13,0,0,1,-OFFSET(Assumptions!$B$60,0,$C$1)))/OFFSET(Assumptions!$B$60,0,$C$1)</f>
        <v>4.5525810142172341E-3</v>
      </c>
      <c r="D309" s="51">
        <f>'Fiscal Forecasts'!D$67</f>
        <v>0.72699999999999998</v>
      </c>
      <c r="E309" s="51">
        <f>'Fiscal Forecasts'!E$67</f>
        <v>1.0149999999999999</v>
      </c>
      <c r="F309" s="51">
        <f>'Fiscal Forecasts'!F$67</f>
        <v>1.8129999999999999</v>
      </c>
      <c r="G309" s="51">
        <f>'Fiscal Forecasts'!G$67</f>
        <v>2.0329999999999999</v>
      </c>
      <c r="H309" s="51">
        <f>'Fiscal Forecasts'!H$67</f>
        <v>2.3119999999999998</v>
      </c>
      <c r="I309" s="51">
        <f>'Fiscal Forecasts'!I$67</f>
        <v>2.512</v>
      </c>
      <c r="J309" s="51">
        <f>'Fiscal Forecasts'!J$67</f>
        <v>2.15</v>
      </c>
      <c r="K309" s="51">
        <f>'Fiscal Forecasts'!K$67</f>
        <v>1.958</v>
      </c>
      <c r="L309" s="47">
        <f ca="1">'Fiscal Forecasts'!L$67+IF(OFFSET(Assumptions!$B$57,0,$C$1)="Yes",Allocation!C$19,0)</f>
        <v>2.2621600000000002</v>
      </c>
      <c r="M309" s="47">
        <f ca="1">'Fiscal Forecasts'!M$67+IF(OFFSET(Assumptions!$B$57,0,$C$1)="Yes",Allocation!D$19,0)</f>
        <v>1.95136</v>
      </c>
      <c r="N309" s="47">
        <f ca="1">'Fiscal Forecasts'!N$67+IF(OFFSET(Assumptions!$B$57,0,$C$1)="Yes",Allocation!E$19,0)</f>
        <v>1.9395</v>
      </c>
      <c r="O309" s="47">
        <f ca="1">'Fiscal Forecasts'!O$67+IF(OFFSET(Assumptions!$B$57,0,$C$1)="Yes",Allocation!F$19,0)</f>
        <v>1.8916600000000001</v>
      </c>
      <c r="P309" s="47">
        <f ca="1">'Fiscal Forecasts'!P$67+IF(OFFSET(Assumptions!$B$57,0,$C$1)="Yes",Allocation!G$19,0)</f>
        <v>1.9843199999999999</v>
      </c>
      <c r="Q309" s="21">
        <f ca="1">P$309+IF(OFFSET(Assumptions!$B$58,0,$C$1)="Yes",Allocation!$B$19*Q$248,IF(OFFSET(Assumptions!$B$59,0,$C$1)="Yes",(P$309/P$13+MIN(ABS($C$309-P$309/P$13),OFFSET(Assumptions!$B$61,0,$C$1))*SIGN($C$309-P$309/P$13))*Q$13-P$309,0))</f>
        <v>2.3745534950834797</v>
      </c>
      <c r="R309" s="21">
        <f ca="1">Q$309+IF(OFFSET(Assumptions!$B$58,0,$C$1)="Yes",Allocation!$B$19*R$248,IF(OFFSET(Assumptions!$B$59,0,$C$1)="Yes",(Q$309/Q$13+MIN(ABS($C$309-Q$309/Q$13),OFFSET(Assumptions!$B$61,0,$C$1))*SIGN($C$309-Q$309/Q$13))*R$13-Q$309,0))</f>
        <v>2.7924145585747122</v>
      </c>
      <c r="S309" s="21">
        <f ca="1">R$309+IF(OFFSET(Assumptions!$B$58,0,$C$1)="Yes",Allocation!$B$19*S$248,IF(OFFSET(Assumptions!$B$59,0,$C$1)="Yes",(R$309/R$13+MIN(ABS($C$309-R$309/R$13),OFFSET(Assumptions!$B$61,0,$C$1))*SIGN($C$309-R$309/R$13))*S$13-R$309,0))</f>
        <v>3.0052873241027589</v>
      </c>
      <c r="T309" s="21">
        <f ca="1">S$309+IF(OFFSET(Assumptions!$B$58,0,$C$1)="Yes",Allocation!$B$19*T$248,IF(OFFSET(Assumptions!$B$59,0,$C$1)="Yes",(S$309/S$13+MIN(ABS($C$309-S$309/S$13),OFFSET(Assumptions!$B$61,0,$C$1))*SIGN($C$309-S$309/S$13))*T$13-S$309,0))</f>
        <v>3.1290067960004748</v>
      </c>
      <c r="U309" s="21">
        <f ca="1">T$309+IF(OFFSET(Assumptions!$B$58,0,$C$1)="Yes",Allocation!$B$19*U$248,IF(OFFSET(Assumptions!$B$59,0,$C$1)="Yes",(T$309/T$13+MIN(ABS($C$309-T$309/T$13),OFFSET(Assumptions!$B$61,0,$C$1))*SIGN($C$309-T$309/T$13))*U$13-T$309,0))</f>
        <v>3.2570404571872129</v>
      </c>
      <c r="V309" s="21">
        <f ca="1">U$309+IF(OFFSET(Assumptions!$B$58,0,$C$1)="Yes",Allocation!$B$19*V$248,IF(OFFSET(Assumptions!$B$59,0,$C$1)="Yes",(U$309/U$13+MIN(ABS($C$309-U$309/U$13),OFFSET(Assumptions!$B$61,0,$C$1))*SIGN($C$309-U$309/U$13))*V$13-U$309,0))</f>
        <v>3.389433841305201</v>
      </c>
      <c r="W309" s="21">
        <f ca="1">V$309+IF(OFFSET(Assumptions!$B$58,0,$C$1)="Yes",Allocation!$B$19*W$248,IF(OFFSET(Assumptions!$B$59,0,$C$1)="Yes",(V$309/V$13+MIN(ABS($C$309-V$309/V$13),OFFSET(Assumptions!$B$61,0,$C$1))*SIGN($C$309-V$309/V$13))*W$13-V$309,0))</f>
        <v>3.5255190259204139</v>
      </c>
      <c r="X309" s="21">
        <f ca="1">W$309+IF(OFFSET(Assumptions!$B$58,0,$C$1)="Yes",Allocation!$B$19*X$248,IF(OFFSET(Assumptions!$B$59,0,$C$1)="Yes",(W$309/W$13+MIN(ABS($C$309-W$309/W$13),OFFSET(Assumptions!$B$61,0,$C$1))*SIGN($C$309-W$309/W$13))*X$13-W$309,0))</f>
        <v>3.6655228998097402</v>
      </c>
      <c r="Y309" s="21">
        <f ca="1">X$309+IF(OFFSET(Assumptions!$B$58,0,$C$1)="Yes",Allocation!$B$19*Y$248,IF(OFFSET(Assumptions!$B$59,0,$C$1)="Yes",(X$309/X$13+MIN(ABS($C$309-X$309/X$13),OFFSET(Assumptions!$B$61,0,$C$1))*SIGN($C$309-X$309/X$13))*Y$13-X$309,0))</f>
        <v>3.8101775954109933</v>
      </c>
      <c r="Z309" s="21">
        <f ca="1">Y$309+IF(OFFSET(Assumptions!$B$58,0,$C$1)="Yes",Allocation!$B$19*Z$248,IF(OFFSET(Assumptions!$B$59,0,$C$1)="Yes",(Y$309/Y$13+MIN(ABS($C$309-Y$309/Y$13),OFFSET(Assumptions!$B$61,0,$C$1))*SIGN($C$309-Y$309/Y$13))*Z$13-Y$309,0))</f>
        <v>3.9595204213265389</v>
      </c>
    </row>
    <row r="310" spans="1:26" x14ac:dyDescent="0.25">
      <c r="A310" s="11" t="s">
        <v>1310</v>
      </c>
      <c r="B310" s="14" t="str">
        <f>$B$38</f>
        <v>From Fiscal Forecasts</v>
      </c>
      <c r="D310" s="51">
        <f>'Fiscal Forecasts'!D$50</f>
        <v>2.02</v>
      </c>
      <c r="E310" s="51">
        <f>'Fiscal Forecasts'!E$50</f>
        <v>2.3929999999999998</v>
      </c>
      <c r="F310" s="51">
        <f>'Fiscal Forecasts'!F$50</f>
        <v>3.351</v>
      </c>
      <c r="G310" s="51">
        <f>'Fiscal Forecasts'!G$50</f>
        <v>3.9350000000000001</v>
      </c>
      <c r="H310" s="51">
        <f>'Fiscal Forecasts'!H$50</f>
        <v>4.3959999999999999</v>
      </c>
      <c r="I310" s="51">
        <f>'Fiscal Forecasts'!I$50</f>
        <v>4.7889999999999997</v>
      </c>
      <c r="J310" s="51">
        <f>'Fiscal Forecasts'!J$50</f>
        <v>4.5069999999999997</v>
      </c>
      <c r="K310" s="51">
        <f>'Fiscal Forecasts'!K$50</f>
        <v>4.0339999999999998</v>
      </c>
      <c r="L310" s="47">
        <f ca="1">'Fiscal Forecasts'!L$50+IF(OFFSET(Assumptions!$B$57,0,$C$1)="Yes",Allocation!C$19,0)</f>
        <v>4.23916</v>
      </c>
      <c r="M310" s="47">
        <f ca="1">'Fiscal Forecasts'!M$50+IF(OFFSET(Assumptions!$B$57,0,$C$1)="Yes",Allocation!D$19,0)</f>
        <v>3.9583599999999999</v>
      </c>
      <c r="N310" s="47">
        <f ca="1">'Fiscal Forecasts'!N$50+IF(OFFSET(Assumptions!$B$57,0,$C$1)="Yes",Allocation!E$19,0)</f>
        <v>3.9615</v>
      </c>
      <c r="O310" s="47">
        <f ca="1">'Fiscal Forecasts'!O$50+IF(OFFSET(Assumptions!$B$57,0,$C$1)="Yes",Allocation!F$19,0)</f>
        <v>3.9276600000000004</v>
      </c>
      <c r="P310" s="47">
        <f ca="1">'Fiscal Forecasts'!P$50+IF(OFFSET(Assumptions!$B$57,0,$C$1)="Yes",Allocation!G$19,0)</f>
        <v>3.97532</v>
      </c>
      <c r="Q310" s="21">
        <f t="shared" ref="Q310:Z310" ca="1" si="176">Q$309+(P$310-P$309)*(1+Q$29)</f>
        <v>4.40537349508348</v>
      </c>
      <c r="R310" s="21">
        <f t="shared" ca="1" si="176"/>
        <v>4.8638509585747123</v>
      </c>
      <c r="S310" s="21">
        <f t="shared" ca="1" si="176"/>
        <v>5.118152452102759</v>
      </c>
      <c r="T310" s="21">
        <f t="shared" ca="1" si="176"/>
        <v>5.2841292265604753</v>
      </c>
      <c r="U310" s="21">
        <f t="shared" ca="1" si="176"/>
        <v>5.4552653363584138</v>
      </c>
      <c r="V310" s="21">
        <f t="shared" ca="1" si="176"/>
        <v>5.6316232180598256</v>
      </c>
      <c r="W310" s="21">
        <f t="shared" ca="1" si="176"/>
        <v>5.8125521902101305</v>
      </c>
      <c r="X310" s="21">
        <f t="shared" ca="1" si="176"/>
        <v>5.9982967273852505</v>
      </c>
      <c r="Y310" s="21">
        <f t="shared" ca="1" si="176"/>
        <v>6.1896068995380134</v>
      </c>
      <c r="Z310" s="21">
        <f t="shared" ca="1" si="176"/>
        <v>6.3865383115360999</v>
      </c>
    </row>
    <row r="312" spans="1:26" x14ac:dyDescent="0.25">
      <c r="A312" s="11" t="s">
        <v>1311</v>
      </c>
    </row>
    <row r="313" spans="1:26" x14ac:dyDescent="0.25">
      <c r="A313" s="12" t="s">
        <v>1312</v>
      </c>
      <c r="B313" s="14" t="str">
        <f>$B$38</f>
        <v>From Fiscal Forecasts</v>
      </c>
      <c r="D313" s="50">
        <f>'Fiscal Forecasts'!D$376</f>
        <v>0.54300000000000004</v>
      </c>
      <c r="E313" s="50">
        <f>'Fiscal Forecasts'!E$376</f>
        <v>0.65</v>
      </c>
      <c r="F313" s="50">
        <f>'Fiscal Forecasts'!F$376</f>
        <v>1.853</v>
      </c>
      <c r="G313" s="50">
        <f>'Fiscal Forecasts'!G$376</f>
        <v>1.4890000000000001</v>
      </c>
      <c r="H313" s="50">
        <f>'Fiscal Forecasts'!H$376</f>
        <v>1.103</v>
      </c>
      <c r="I313" s="50">
        <f>'Fiscal Forecasts'!I$376</f>
        <v>0.83399999999999996</v>
      </c>
      <c r="J313" s="50">
        <f>'Fiscal Forecasts'!J$376</f>
        <v>1.075</v>
      </c>
      <c r="K313" s="50">
        <f>'Fiscal Forecasts'!K$376</f>
        <v>1.2929999999999999</v>
      </c>
      <c r="L313" s="48">
        <f>'Fiscal Forecasts'!L$376</f>
        <v>1.23</v>
      </c>
      <c r="M313" s="48">
        <f>'Fiscal Forecasts'!M$376</f>
        <v>1.304</v>
      </c>
      <c r="N313" s="48">
        <f>'Fiscal Forecasts'!N$376</f>
        <v>1.369</v>
      </c>
      <c r="O313" s="48">
        <f>'Fiscal Forecasts'!O$376</f>
        <v>1.4179999999999999</v>
      </c>
      <c r="P313" s="48">
        <f>'Fiscal Forecasts'!P$376</f>
        <v>1.446</v>
      </c>
      <c r="Q313" s="20">
        <f t="shared" ref="Q313:Z313" ca="1" si="177">P$313*(1+Q$29)</f>
        <v>1.47492</v>
      </c>
      <c r="R313" s="20">
        <f t="shared" ca="1" si="177"/>
        <v>1.5044184</v>
      </c>
      <c r="S313" s="20">
        <f t="shared" ca="1" si="177"/>
        <v>1.534506768</v>
      </c>
      <c r="T313" s="20">
        <f t="shared" ca="1" si="177"/>
        <v>1.5651969033599999</v>
      </c>
      <c r="U313" s="20">
        <f t="shared" ca="1" si="177"/>
        <v>1.5965008414271999</v>
      </c>
      <c r="V313" s="20">
        <f t="shared" ca="1" si="177"/>
        <v>1.6284308582557441</v>
      </c>
      <c r="W313" s="20">
        <f t="shared" ca="1" si="177"/>
        <v>1.660999475420859</v>
      </c>
      <c r="X313" s="20">
        <f t="shared" ca="1" si="177"/>
        <v>1.6942194649292763</v>
      </c>
      <c r="Y313" s="20">
        <f t="shared" ca="1" si="177"/>
        <v>1.7281038542278619</v>
      </c>
      <c r="Z313" s="20">
        <f t="shared" ca="1" si="177"/>
        <v>1.7626659313124191</v>
      </c>
    </row>
    <row r="314" spans="1:26" x14ac:dyDescent="0.25">
      <c r="A314" s="12" t="s">
        <v>1313</v>
      </c>
      <c r="B314" s="14" t="str">
        <f>$B$38</f>
        <v>From Fiscal Forecasts</v>
      </c>
      <c r="C314" s="100" cm="1">
        <f t="array" aca="1" ref="C314" ca="1">SUMPRODUCT(OFFSET($P$314,0,0,1,-OFFSET(Assumptions!$B$60,0,$C$1))/OFFSET($P$13,0,0,1,-OFFSET(Assumptions!$B$60,0,$C$1)))/OFFSET(Assumptions!$B$60,0,$C$1)</f>
        <v>2.8754086248347533E-3</v>
      </c>
      <c r="D314" s="50">
        <f>'Fiscal Forecasts'!D$68-D$313</f>
        <v>0.57599999999999996</v>
      </c>
      <c r="E314" s="50">
        <f>'Fiscal Forecasts'!E$68-E$313</f>
        <v>0.83500000000000008</v>
      </c>
      <c r="F314" s="50">
        <f>'Fiscal Forecasts'!F$68-F$313</f>
        <v>5.2999999999999936E-2</v>
      </c>
      <c r="G314" s="50">
        <f>'Fiscal Forecasts'!G$68-G$313</f>
        <v>1.0599999999999998</v>
      </c>
      <c r="H314" s="50">
        <f>'Fiscal Forecasts'!H$68-H$313</f>
        <v>1.2779999999999998</v>
      </c>
      <c r="I314" s="50">
        <f>'Fiscal Forecasts'!I$68-I$313</f>
        <v>1.4630000000000001</v>
      </c>
      <c r="J314" s="50">
        <f>'Fiscal Forecasts'!J$68-J$313</f>
        <v>1.3350000000000002</v>
      </c>
      <c r="K314" s="50">
        <f>'Fiscal Forecasts'!K$68-K$313</f>
        <v>1.216</v>
      </c>
      <c r="L314" s="48">
        <f ca="1">'Fiscal Forecasts'!L$68-L$313+IF(OFFSET(Assumptions!$B$57,0,$C$1)="Yes",Allocation!C$20,0)</f>
        <v>1.6238700000000001</v>
      </c>
      <c r="M314" s="48">
        <f ca="1">'Fiscal Forecasts'!M$68-M$313+IF(OFFSET(Assumptions!$B$57,0,$C$1)="Yes",Allocation!D$20,0)</f>
        <v>1.4445200000000002</v>
      </c>
      <c r="N314" s="48">
        <f ca="1">'Fiscal Forecasts'!N$68-N$313+IF(OFFSET(Assumptions!$B$57,0,$C$1)="Yes",Allocation!E$20,0)</f>
        <v>1.3876249999999999</v>
      </c>
      <c r="O314" s="48">
        <f ca="1">'Fiscal Forecasts'!O$68-O$313+IF(OFFSET(Assumptions!$B$57,0,$C$1)="Yes",Allocation!F$20,0)</f>
        <v>1.297995</v>
      </c>
      <c r="P314" s="48">
        <f ca="1">'Fiscal Forecasts'!P$68-P$313+IF(OFFSET(Assumptions!$B$57,0,$C$1)="Yes",Allocation!G$20,0)</f>
        <v>1.3369900000000001</v>
      </c>
      <c r="Q314" s="20">
        <f ca="1">P$314+IF(OFFSET(Assumptions!$B$58,0,$C$1)="Yes",Allocation!$B$20*Q$248,IF(OFFSET(Assumptions!$B$59,0,$C$1)="Yes",(P$314/P$13+MIN(ABS($C$314-P$314/P$13),OFFSET(Assumptions!$B$61,0,$C$1))*SIGN($C$314-P$314/P$13))*Q$13-P$314,0))</f>
        <v>1.6990446445094349</v>
      </c>
      <c r="R314" s="20">
        <f ca="1">Q$314+IF(OFFSET(Assumptions!$B$58,0,$C$1)="Yes",Allocation!$B$20*R$248,IF(OFFSET(Assumptions!$B$59,0,$C$1)="Yes",(Q$314/Q$13+MIN(ABS($C$314-Q$314/Q$13),OFFSET(Assumptions!$B$61,0,$C$1))*SIGN($C$314-Q$314/Q$13))*R$13-Q$314,0))</f>
        <v>1.8217891969226712</v>
      </c>
      <c r="S314" s="20">
        <f ca="1">R$314+IF(OFFSET(Assumptions!$B$58,0,$C$1)="Yes",Allocation!$B$20*S$248,IF(OFFSET(Assumptions!$B$59,0,$C$1)="Yes",(R$314/R$13+MIN(ABS($C$314-R$314/R$13),OFFSET(Assumptions!$B$61,0,$C$1))*SIGN($C$314-R$314/R$13))*S$13-R$314,0))</f>
        <v>1.8981384548337197</v>
      </c>
      <c r="T314" s="20">
        <f ca="1">S$314+IF(OFFSET(Assumptions!$B$58,0,$C$1)="Yes",Allocation!$B$20*T$248,IF(OFFSET(Assumptions!$B$59,0,$C$1)="Yes",(S$314/S$13+MIN(ABS($C$314-S$314/S$13),OFFSET(Assumptions!$B$61,0,$C$1))*SIGN($C$314-S$314/S$13))*T$13-S$314,0))</f>
        <v>1.9762796313320055</v>
      </c>
      <c r="U314" s="20">
        <f ca="1">T$314+IF(OFFSET(Assumptions!$B$58,0,$C$1)="Yes",Allocation!$B$20*U$248,IF(OFFSET(Assumptions!$B$59,0,$C$1)="Yes",(T$314/T$13+MIN(ABS($C$314-T$314/T$13),OFFSET(Assumptions!$B$61,0,$C$1))*SIGN($C$314-T$314/T$13))*U$13-T$314,0))</f>
        <v>2.0571456483223294</v>
      </c>
      <c r="V314" s="20">
        <f ca="1">U$314+IF(OFFSET(Assumptions!$B$58,0,$C$1)="Yes",Allocation!$B$20*V$248,IF(OFFSET(Assumptions!$B$59,0,$C$1)="Yes",(U$314/U$13+MIN(ABS($C$314-U$314/U$13),OFFSET(Assumptions!$B$61,0,$C$1))*SIGN($C$314-U$314/U$13))*V$13-U$314,0))</f>
        <v>2.1407652648376825</v>
      </c>
      <c r="W314" s="20">
        <f ca="1">V$314+IF(OFFSET(Assumptions!$B$58,0,$C$1)="Yes",Allocation!$B$20*W$248,IF(OFFSET(Assumptions!$B$59,0,$C$1)="Yes",(V$314/V$13+MIN(ABS($C$314-V$314/V$13),OFFSET(Assumptions!$B$61,0,$C$1))*SIGN($C$314-V$314/V$13))*W$13-V$314,0))</f>
        <v>2.2267166212952221</v>
      </c>
      <c r="X314" s="20">
        <f ca="1">W$314+IF(OFFSET(Assumptions!$B$58,0,$C$1)="Yes",Allocation!$B$20*X$248,IF(OFFSET(Assumptions!$B$59,0,$C$1)="Yes",(W$314/W$13+MIN(ABS($C$314-W$314/W$13),OFFSET(Assumptions!$B$61,0,$C$1))*SIGN($C$314-W$314/W$13))*X$13-W$314,0))</f>
        <v>2.3151430205694949</v>
      </c>
      <c r="Y314" s="20">
        <f ca="1">X$314+IF(OFFSET(Assumptions!$B$58,0,$C$1)="Yes",Allocation!$B$20*Y$248,IF(OFFSET(Assumptions!$B$59,0,$C$1)="Yes",(X$314/X$13+MIN(ABS($C$314-X$314/X$13),OFFSET(Assumptions!$B$61,0,$C$1))*SIGN($C$314-X$314/X$13))*Y$13-X$314,0))</f>
        <v>2.4065068772599632</v>
      </c>
      <c r="Z314" s="20">
        <f ca="1">Y$314+IF(OFFSET(Assumptions!$B$58,0,$C$1)="Yes",Allocation!$B$20*Z$248,IF(OFFSET(Assumptions!$B$59,0,$C$1)="Yes",(Y$314/Y$13+MIN(ABS($C$314-Y$314/Y$13),OFFSET(Assumptions!$B$61,0,$C$1))*SIGN($C$314-Y$314/Y$13))*Z$13-Y$314,0))</f>
        <v>2.5008317554672295</v>
      </c>
    </row>
    <row r="315" spans="1:26" x14ac:dyDescent="0.25">
      <c r="A315" s="11" t="s">
        <v>1314</v>
      </c>
      <c r="D315" s="94">
        <f t="shared" ref="D315:Z315" si="178">SUM(D$313:D$314)</f>
        <v>1.119</v>
      </c>
      <c r="E315" s="94">
        <f t="shared" si="178"/>
        <v>1.4850000000000001</v>
      </c>
      <c r="F315" s="94">
        <f t="shared" si="178"/>
        <v>1.9059999999999999</v>
      </c>
      <c r="G315" s="94">
        <f t="shared" si="178"/>
        <v>2.5489999999999999</v>
      </c>
      <c r="H315" s="94">
        <f t="shared" si="178"/>
        <v>2.3809999999999998</v>
      </c>
      <c r="I315" s="94">
        <f t="shared" si="178"/>
        <v>2.2970000000000002</v>
      </c>
      <c r="J315" s="94">
        <f t="shared" si="178"/>
        <v>2.41</v>
      </c>
      <c r="K315" s="94">
        <f t="shared" si="178"/>
        <v>2.5089999999999999</v>
      </c>
      <c r="L315" s="95">
        <f t="shared" ca="1" si="178"/>
        <v>2.8538700000000001</v>
      </c>
      <c r="M315" s="95">
        <f t="shared" ca="1" si="178"/>
        <v>2.7485200000000001</v>
      </c>
      <c r="N315" s="95">
        <f t="shared" ca="1" si="178"/>
        <v>2.7566249999999997</v>
      </c>
      <c r="O315" s="95">
        <f t="shared" ca="1" si="178"/>
        <v>2.7159949999999999</v>
      </c>
      <c r="P315" s="95">
        <f t="shared" ca="1" si="178"/>
        <v>2.7829899999999999</v>
      </c>
      <c r="Q315" s="96">
        <f t="shared" ca="1" si="178"/>
        <v>3.1739646445094349</v>
      </c>
      <c r="R315" s="96">
        <f t="shared" ca="1" si="178"/>
        <v>3.3262075969226714</v>
      </c>
      <c r="S315" s="96">
        <f t="shared" ca="1" si="178"/>
        <v>3.4326452228337194</v>
      </c>
      <c r="T315" s="96">
        <f t="shared" ca="1" si="178"/>
        <v>3.5414765346920056</v>
      </c>
      <c r="U315" s="96">
        <f t="shared" ca="1" si="178"/>
        <v>3.6536464897495291</v>
      </c>
      <c r="V315" s="96">
        <f t="shared" ca="1" si="178"/>
        <v>3.7691961230934266</v>
      </c>
      <c r="W315" s="96">
        <f t="shared" ca="1" si="178"/>
        <v>3.8877160967160811</v>
      </c>
      <c r="X315" s="96">
        <f t="shared" ca="1" si="178"/>
        <v>4.0093624854987713</v>
      </c>
      <c r="Y315" s="96">
        <f t="shared" ca="1" si="178"/>
        <v>4.1346107314878253</v>
      </c>
      <c r="Z315" s="96">
        <f t="shared" ca="1" si="178"/>
        <v>4.2634976867796484</v>
      </c>
    </row>
    <row r="316" spans="1:26" x14ac:dyDescent="0.25">
      <c r="A316" s="11" t="s">
        <v>1315</v>
      </c>
      <c r="B316" s="14" t="str">
        <f>$B$38</f>
        <v>From Fiscal Forecasts</v>
      </c>
      <c r="D316" s="51">
        <f>'Fiscal Forecasts'!D$51</f>
        <v>1.1080000000000001</v>
      </c>
      <c r="E316" s="51">
        <f>'Fiscal Forecasts'!E$51</f>
        <v>1.472</v>
      </c>
      <c r="F316" s="51">
        <f>'Fiscal Forecasts'!F$51</f>
        <v>1.889</v>
      </c>
      <c r="G316" s="51">
        <f>'Fiscal Forecasts'!G$51</f>
        <v>2.5350000000000001</v>
      </c>
      <c r="H316" s="51">
        <f>'Fiscal Forecasts'!H$51</f>
        <v>2.3530000000000002</v>
      </c>
      <c r="I316" s="51">
        <f>'Fiscal Forecasts'!I$51</f>
        <v>2.2770000000000001</v>
      </c>
      <c r="J316" s="51">
        <f>'Fiscal Forecasts'!J$51</f>
        <v>2.4</v>
      </c>
      <c r="K316" s="51">
        <f>'Fiscal Forecasts'!K$51</f>
        <v>2.5099999999999998</v>
      </c>
      <c r="L316" s="47">
        <f ca="1">'Fiscal Forecasts'!L$51+IF(OFFSET(Assumptions!$B$57,0,$C$1)="Yes",Allocation!C$20,0)</f>
        <v>2.8858700000000002</v>
      </c>
      <c r="M316" s="47">
        <f ca="1">'Fiscal Forecasts'!M$51+IF(OFFSET(Assumptions!$B$57,0,$C$1)="Yes",Allocation!D$20,0)</f>
        <v>2.7805200000000001</v>
      </c>
      <c r="N316" s="47">
        <f ca="1">'Fiscal Forecasts'!N$51+IF(OFFSET(Assumptions!$B$57,0,$C$1)="Yes",Allocation!E$20,0)</f>
        <v>2.7886249999999997</v>
      </c>
      <c r="O316" s="47">
        <f ca="1">'Fiscal Forecasts'!O$51+IF(OFFSET(Assumptions!$B$57,0,$C$1)="Yes",Allocation!F$20,0)</f>
        <v>2.747995</v>
      </c>
      <c r="P316" s="47">
        <f ca="1">'Fiscal Forecasts'!P$51+IF(OFFSET(Assumptions!$B$57,0,$C$1)="Yes",Allocation!G$20,0)</f>
        <v>2.8149899999999999</v>
      </c>
      <c r="Q316" s="21">
        <f t="shared" ref="Q316:Z316" ca="1" si="179">Q$315</f>
        <v>3.1739646445094349</v>
      </c>
      <c r="R316" s="21">
        <f t="shared" ca="1" si="179"/>
        <v>3.3262075969226714</v>
      </c>
      <c r="S316" s="21">
        <f t="shared" ca="1" si="179"/>
        <v>3.4326452228337194</v>
      </c>
      <c r="T316" s="21">
        <f t="shared" ca="1" si="179"/>
        <v>3.5414765346920056</v>
      </c>
      <c r="U316" s="21">
        <f t="shared" ca="1" si="179"/>
        <v>3.6536464897495291</v>
      </c>
      <c r="V316" s="21">
        <f t="shared" ca="1" si="179"/>
        <v>3.7691961230934266</v>
      </c>
      <c r="W316" s="21">
        <f t="shared" ca="1" si="179"/>
        <v>3.8877160967160811</v>
      </c>
      <c r="X316" s="21">
        <f t="shared" ca="1" si="179"/>
        <v>4.0093624854987713</v>
      </c>
      <c r="Y316" s="21">
        <f t="shared" ca="1" si="179"/>
        <v>4.1346107314878253</v>
      </c>
      <c r="Z316" s="21">
        <f t="shared" ca="1" si="179"/>
        <v>4.2634976867796484</v>
      </c>
    </row>
    <row r="318" spans="1:26" x14ac:dyDescent="0.25">
      <c r="A318" s="11" t="s">
        <v>1316</v>
      </c>
    </row>
    <row r="319" spans="1:26" x14ac:dyDescent="0.25">
      <c r="A319" s="11" t="s">
        <v>1317</v>
      </c>
      <c r="B319" s="14" t="str">
        <f>$B$38</f>
        <v>From Fiscal Forecasts</v>
      </c>
      <c r="D319" s="51">
        <f>'Fiscal Forecasts'!D$70</f>
        <v>9.7000000000000003E-2</v>
      </c>
      <c r="E319" s="51">
        <f>'Fiscal Forecasts'!E$70</f>
        <v>6.3E-2</v>
      </c>
      <c r="F319" s="51">
        <f>'Fiscal Forecasts'!F$70</f>
        <v>0.254</v>
      </c>
      <c r="G319" s="51">
        <f>'Fiscal Forecasts'!G$70</f>
        <v>0.26900000000000002</v>
      </c>
      <c r="H319" s="51">
        <f>'Fiscal Forecasts'!H$70</f>
        <v>0.13300000000000001</v>
      </c>
      <c r="I319" s="51">
        <f>'Fiscal Forecasts'!I$70</f>
        <v>0.14499999999999999</v>
      </c>
      <c r="J319" s="51">
        <f>'Fiscal Forecasts'!J$70</f>
        <v>0.127</v>
      </c>
      <c r="K319" s="51">
        <f>'Fiscal Forecasts'!K$70</f>
        <v>0.189</v>
      </c>
      <c r="L319" s="47">
        <f>'Fiscal Forecasts'!L$70</f>
        <v>0.21</v>
      </c>
      <c r="M319" s="47">
        <f>'Fiscal Forecasts'!M$70</f>
        <v>8.1000000000000003E-2</v>
      </c>
      <c r="N319" s="47">
        <f>'Fiscal Forecasts'!N$70</f>
        <v>0.27700000000000002</v>
      </c>
      <c r="O319" s="47">
        <f>'Fiscal Forecasts'!O$70</f>
        <v>0.27600000000000002</v>
      </c>
      <c r="P319" s="47">
        <f>'Fiscal Forecasts'!P$70</f>
        <v>0.27600000000000002</v>
      </c>
      <c r="Q319" s="21">
        <f ca="1">IF(Q$6=OFFSET(Assumptions!$B$8,0,$C$1),OFFSET(Assumptions!$B$9,0,$C$1),P$319)</f>
        <v>0</v>
      </c>
      <c r="R319" s="21">
        <f ca="1">IF(R$6=OFFSET(Assumptions!$B$8,0,$C$1),OFFSET(Assumptions!$B$9,0,$C$1),Q$319)</f>
        <v>0</v>
      </c>
      <c r="S319" s="21">
        <f ca="1">IF(S$6=OFFSET(Assumptions!$B$8,0,$C$1),OFFSET(Assumptions!$B$9,0,$C$1),R$319)</f>
        <v>0</v>
      </c>
      <c r="T319" s="21">
        <f ca="1">IF(T$6=OFFSET(Assumptions!$B$8,0,$C$1),OFFSET(Assumptions!$B$9,0,$C$1),S$319)</f>
        <v>0</v>
      </c>
      <c r="U319" s="21">
        <f ca="1">IF(U$6=OFFSET(Assumptions!$B$8,0,$C$1),OFFSET(Assumptions!$B$9,0,$C$1),T$319)</f>
        <v>0</v>
      </c>
      <c r="V319" s="21">
        <f ca="1">IF(V$6=OFFSET(Assumptions!$B$8,0,$C$1),OFFSET(Assumptions!$B$9,0,$C$1),U$319)</f>
        <v>0</v>
      </c>
      <c r="W319" s="21">
        <f ca="1">IF(W$6=OFFSET(Assumptions!$B$8,0,$C$1),OFFSET(Assumptions!$B$9,0,$C$1),V$319)</f>
        <v>0</v>
      </c>
      <c r="X319" s="21">
        <f ca="1">IF(X$6=OFFSET(Assumptions!$B$8,0,$C$1),OFFSET(Assumptions!$B$9,0,$C$1),W$319)</f>
        <v>0</v>
      </c>
      <c r="Y319" s="21">
        <f ca="1">IF(Y$6=OFFSET(Assumptions!$B$8,0,$C$1),OFFSET(Assumptions!$B$9,0,$C$1),X$319)</f>
        <v>0</v>
      </c>
      <c r="Z319" s="21">
        <f ca="1">IF(Z$6=OFFSET(Assumptions!$B$8,0,$C$1),OFFSET(Assumptions!$B$9,0,$C$1),Y$319)</f>
        <v>0</v>
      </c>
    </row>
    <row r="320" spans="1:26" x14ac:dyDescent="0.25">
      <c r="A320" s="11" t="s">
        <v>1318</v>
      </c>
      <c r="B320" s="14" t="str">
        <f>$B$38</f>
        <v>From Fiscal Forecasts</v>
      </c>
      <c r="D320" s="51">
        <f>'Fiscal Forecasts'!D$53</f>
        <v>9.6000000000000002E-2</v>
      </c>
      <c r="E320" s="51">
        <f>'Fiscal Forecasts'!E$53</f>
        <v>6.3E-2</v>
      </c>
      <c r="F320" s="51">
        <f>'Fiscal Forecasts'!F$53</f>
        <v>0.254</v>
      </c>
      <c r="G320" s="51">
        <f>'Fiscal Forecasts'!G$53</f>
        <v>0.24199999999999999</v>
      </c>
      <c r="H320" s="51">
        <f>'Fiscal Forecasts'!H$53</f>
        <v>0.13300000000000001</v>
      </c>
      <c r="I320" s="51">
        <f>'Fiscal Forecasts'!I$53</f>
        <v>0.14499999999999999</v>
      </c>
      <c r="J320" s="51">
        <f>'Fiscal Forecasts'!J$53</f>
        <v>0.127</v>
      </c>
      <c r="K320" s="51">
        <f>'Fiscal Forecasts'!K$53</f>
        <v>0.189</v>
      </c>
      <c r="L320" s="47">
        <f>'Fiscal Forecasts'!L$53</f>
        <v>0.21</v>
      </c>
      <c r="M320" s="47">
        <f>'Fiscal Forecasts'!M$53</f>
        <v>8.1000000000000003E-2</v>
      </c>
      <c r="N320" s="47">
        <f>'Fiscal Forecasts'!N$53</f>
        <v>0.27700000000000002</v>
      </c>
      <c r="O320" s="47">
        <f>'Fiscal Forecasts'!O$53</f>
        <v>0.27600000000000002</v>
      </c>
      <c r="P320" s="47">
        <f>'Fiscal Forecasts'!P$53</f>
        <v>0.27600000000000002</v>
      </c>
      <c r="Q320" s="21">
        <f ca="1">IF(Q$6=OFFSET(Assumptions!$B$8,0,$C$1),OFFSET(Assumptions!$B$9,0,$C$1),P$320)</f>
        <v>0</v>
      </c>
      <c r="R320" s="21">
        <f ca="1">IF(R$6=OFFSET(Assumptions!$B$8,0,$C$1),OFFSET(Assumptions!$B$9,0,$C$1),Q$320)</f>
        <v>0</v>
      </c>
      <c r="S320" s="21">
        <f ca="1">IF(S$6=OFFSET(Assumptions!$B$8,0,$C$1),OFFSET(Assumptions!$B$9,0,$C$1),R$320)</f>
        <v>0</v>
      </c>
      <c r="T320" s="21">
        <f ca="1">IF(T$6=OFFSET(Assumptions!$B$8,0,$C$1),OFFSET(Assumptions!$B$9,0,$C$1),S$320)</f>
        <v>0</v>
      </c>
      <c r="U320" s="21">
        <f ca="1">IF(U$6=OFFSET(Assumptions!$B$8,0,$C$1),OFFSET(Assumptions!$B$9,0,$C$1),T$320)</f>
        <v>0</v>
      </c>
      <c r="V320" s="21">
        <f ca="1">IF(V$6=OFFSET(Assumptions!$B$8,0,$C$1),OFFSET(Assumptions!$B$9,0,$C$1),U$320)</f>
        <v>0</v>
      </c>
      <c r="W320" s="21">
        <f ca="1">IF(W$6=OFFSET(Assumptions!$B$8,0,$C$1),OFFSET(Assumptions!$B$9,0,$C$1),V$320)</f>
        <v>0</v>
      </c>
      <c r="X320" s="21">
        <f ca="1">IF(X$6=OFFSET(Assumptions!$B$8,0,$C$1),OFFSET(Assumptions!$B$9,0,$C$1),W$320)</f>
        <v>0</v>
      </c>
      <c r="Y320" s="21">
        <f ca="1">IF(Y$6=OFFSET(Assumptions!$B$8,0,$C$1),OFFSET(Assumptions!$B$9,0,$C$1),X$320)</f>
        <v>0</v>
      </c>
      <c r="Z320" s="21">
        <f ca="1">IF(Z$6=OFFSET(Assumptions!$B$8,0,$C$1),OFFSET(Assumptions!$B$9,0,$C$1),Y$320)</f>
        <v>0</v>
      </c>
    </row>
    <row r="322" spans="1:26" x14ac:dyDescent="0.25">
      <c r="A322" s="57" t="s">
        <v>1319</v>
      </c>
    </row>
    <row r="323" spans="1:26" x14ac:dyDescent="0.25">
      <c r="A323" s="11" t="s">
        <v>1320</v>
      </c>
      <c r="D323" s="51">
        <f>SUM(D$196,D$256,D$264,D$274,D$279,D$292,D$297,D$301,D$305,D$309,D$314)</f>
        <v>50.065999999999995</v>
      </c>
      <c r="E323" s="51">
        <f t="shared" ref="E323:Z323" si="180">SUM(E$196,E$256,E$264,E$274,E$279,E$292,E$297,E$301,E$305,E$309,E$314)</f>
        <v>57.019999999999996</v>
      </c>
      <c r="F323" s="51">
        <f t="shared" si="180"/>
        <v>61.080000000000005</v>
      </c>
      <c r="G323" s="51">
        <f t="shared" si="180"/>
        <v>71.525999999999996</v>
      </c>
      <c r="H323" s="51">
        <f t="shared" si="180"/>
        <v>72.372000000000014</v>
      </c>
      <c r="I323" s="51">
        <f t="shared" si="180"/>
        <v>78.45499999999997</v>
      </c>
      <c r="J323" s="51">
        <f t="shared" si="180"/>
        <v>78.74199999999999</v>
      </c>
      <c r="K323" s="51">
        <f t="shared" si="180"/>
        <v>80.757999999999996</v>
      </c>
      <c r="L323" s="47">
        <f t="shared" ca="1" si="180"/>
        <v>85.418999999999997</v>
      </c>
      <c r="M323" s="47">
        <f t="shared" ca="1" si="180"/>
        <v>86.359999999999985</v>
      </c>
      <c r="N323" s="47">
        <f t="shared" ca="1" si="180"/>
        <v>88.40600000000002</v>
      </c>
      <c r="O323" s="47">
        <f t="shared" ca="1" si="180"/>
        <v>90.844000000000008</v>
      </c>
      <c r="P323" s="47">
        <f t="shared" ca="1" si="180"/>
        <v>93.351000000000013</v>
      </c>
      <c r="Q323" s="21">
        <f t="shared" ca="1" si="180"/>
        <v>100.1482486745725</v>
      </c>
      <c r="R323" s="21">
        <f t="shared" ca="1" si="180"/>
        <v>106.07026079835761</v>
      </c>
      <c r="S323" s="21">
        <f t="shared" ca="1" si="180"/>
        <v>111.24988365196738</v>
      </c>
      <c r="T323" s="21">
        <f t="shared" ca="1" si="180"/>
        <v>116.27926544833639</v>
      </c>
      <c r="U323" s="21">
        <f t="shared" ca="1" si="180"/>
        <v>121.38953861964585</v>
      </c>
      <c r="V323" s="21">
        <f t="shared" ca="1" si="180"/>
        <v>126.69704333522184</v>
      </c>
      <c r="W323" s="21">
        <f t="shared" ca="1" si="180"/>
        <v>132.19852021857756</v>
      </c>
      <c r="X323" s="21">
        <f t="shared" ca="1" si="180"/>
        <v>137.93006440058406</v>
      </c>
      <c r="Y323" s="21">
        <f t="shared" ca="1" si="180"/>
        <v>143.90005609509996</v>
      </c>
      <c r="Z323" s="21">
        <f t="shared" ca="1" si="180"/>
        <v>150.14912412108691</v>
      </c>
    </row>
    <row r="324" spans="1:26" x14ac:dyDescent="0.25">
      <c r="A324" s="11" t="s">
        <v>1321</v>
      </c>
      <c r="D324" s="51">
        <f>SUM(D$256,D$263,D$264,D$271,D$273,D$283,D$313,D$319)</f>
        <v>36.466000000000001</v>
      </c>
      <c r="E324" s="51">
        <f t="shared" ref="E324:Z324" si="181">SUM(E$256,E$263,E$264,E$271,E$273,E$283,E$313,E$319)</f>
        <v>41.044000000000004</v>
      </c>
      <c r="F324" s="51">
        <f t="shared" si="181"/>
        <v>47.003</v>
      </c>
      <c r="G324" s="51">
        <f t="shared" si="181"/>
        <v>51.807999999999993</v>
      </c>
      <c r="H324" s="51">
        <f t="shared" si="181"/>
        <v>55.582000000000008</v>
      </c>
      <c r="I324" s="51">
        <f t="shared" si="181"/>
        <v>58.744000000000007</v>
      </c>
      <c r="J324" s="51">
        <f t="shared" si="181"/>
        <v>59.371000000000009</v>
      </c>
      <c r="K324" s="51">
        <f t="shared" si="181"/>
        <v>62.384</v>
      </c>
      <c r="L324" s="47">
        <f t="shared" ca="1" si="181"/>
        <v>63.736249999999991</v>
      </c>
      <c r="M324" s="47">
        <f t="shared" ca="1" si="181"/>
        <v>65.316000000000003</v>
      </c>
      <c r="N324" s="47">
        <f t="shared" ca="1" si="181"/>
        <v>67.230374999999995</v>
      </c>
      <c r="O324" s="47">
        <f t="shared" ca="1" si="181"/>
        <v>69.071124999999995</v>
      </c>
      <c r="P324" s="47">
        <f t="shared" ca="1" si="181"/>
        <v>70.856249999999989</v>
      </c>
      <c r="Q324" s="21">
        <f t="shared" ca="1" si="181"/>
        <v>73.986476232236527</v>
      </c>
      <c r="R324" s="21">
        <f t="shared" ca="1" si="181"/>
        <v>77.421799832552296</v>
      </c>
      <c r="S324" s="21">
        <f t="shared" ca="1" si="181"/>
        <v>80.650816544965238</v>
      </c>
      <c r="T324" s="21">
        <f t="shared" ca="1" si="181"/>
        <v>84.211712473245029</v>
      </c>
      <c r="U324" s="21">
        <f t="shared" ca="1" si="181"/>
        <v>88.01498625643346</v>
      </c>
      <c r="V324" s="21">
        <f t="shared" ca="1" si="181"/>
        <v>91.967970167733526</v>
      </c>
      <c r="W324" s="21">
        <f t="shared" ca="1" si="181"/>
        <v>96.078880624520451</v>
      </c>
      <c r="X324" s="21">
        <f t="shared" ca="1" si="181"/>
        <v>100.37969748565301</v>
      </c>
      <c r="Y324" s="21">
        <f t="shared" ca="1" si="181"/>
        <v>104.87124844295694</v>
      </c>
      <c r="Z324" s="21">
        <f t="shared" ca="1" si="181"/>
        <v>109.5941737574182</v>
      </c>
    </row>
    <row r="325" spans="1:26" x14ac:dyDescent="0.25">
      <c r="A325" s="57" t="s">
        <v>1322</v>
      </c>
    </row>
    <row r="326" spans="1:26" x14ac:dyDescent="0.25">
      <c r="A326" s="11" t="s">
        <v>1323</v>
      </c>
      <c r="B326" s="14" t="str">
        <f>$B$38</f>
        <v>From Fiscal Forecasts</v>
      </c>
      <c r="D326" s="51">
        <f>'Fiscal Forecasts'!D$211</f>
        <v>6.7160000000000002</v>
      </c>
      <c r="E326" s="51">
        <f>'Fiscal Forecasts'!E$211</f>
        <v>7.5140000000000002</v>
      </c>
      <c r="F326" s="51">
        <f>'Fiscal Forecasts'!F$211</f>
        <v>8.0459999999999994</v>
      </c>
      <c r="G326" s="51">
        <f>'Fiscal Forecasts'!G$211</f>
        <v>8.5389999999999997</v>
      </c>
      <c r="H326" s="51">
        <f>'Fiscal Forecasts'!H$211</f>
        <v>10.163</v>
      </c>
      <c r="I326" s="51">
        <f>'Fiscal Forecasts'!I$211</f>
        <v>10.747999999999999</v>
      </c>
      <c r="J326" s="51">
        <f>'Fiscal Forecasts'!J$211</f>
        <v>10.837999999999999</v>
      </c>
      <c r="K326" s="51">
        <f>'Fiscal Forecasts'!K$211</f>
        <v>10.319000000000001</v>
      </c>
      <c r="L326" s="47">
        <f>'Fiscal Forecasts'!L$211</f>
        <v>9.8490000000000002</v>
      </c>
      <c r="M326" s="47">
        <f>'Fiscal Forecasts'!M$211</f>
        <v>9.5570000000000004</v>
      </c>
      <c r="N326" s="47">
        <f>'Fiscal Forecasts'!N$211</f>
        <v>9.7430000000000003</v>
      </c>
      <c r="O326" s="47">
        <f>'Fiscal Forecasts'!O$211</f>
        <v>9.9640000000000004</v>
      </c>
      <c r="P326" s="47">
        <f>'Fiscal Forecasts'!P$211</f>
        <v>10.074999999999999</v>
      </c>
      <c r="Q326" s="21">
        <f ca="1">IF(Q$6=OFFSET(Assumptions!$B$8,0,$C$1),AVERAGE(N$326/SUM(N$253-N$252,N$276-N$275,N$280-N$279,,N$298-N$297,N$302-N$301,N$306-N$305,N$310-N$309,N$316-N$315),O$326/SUM(O$253-O$252,O$276-O$275,O$280-O$279,,O$298-O$297,O$302-O$301,O$306-O$305,O$310-O$309,O$316-O$315),P$326/SUM(P$253-P$252,P$276-P$275,P$280-P$279,,P$298-P$297,P$302-P$301,P$306-P$305,P$310-P$309,P$316-P$315)),P$326/SUM(P$253-P$252,P$276-P$275,P$280-P$279,,P$298-P$297,P$302-P$301,P$306-P$305,P$310-P$309,P$316-P$315))*SUM(Q$253-Q$252,Q$276-Q$275,Q$280-Q$279,,Q$298-Q$297,Q$302-Q$301,Q$306-Q$305,Q$310-Q$309,Q$316-Q$315)</f>
        <v>10.298126454289065</v>
      </c>
      <c r="R326" s="21">
        <f ca="1">IF(R$6=OFFSET(Assumptions!$B$8,0,$C$1),AVERAGE(O$326/SUM(O$253-O$252,O$276-O$275,O$280-O$279,,O$298-O$297,O$302-O$301,O$306-O$305,O$310-O$309,O$316-O$315),P$326/SUM(P$253-P$252,P$276-P$275,P$280-P$279,,P$298-P$297,P$302-P$301,P$306-P$305,P$310-P$309,P$316-P$315),Q$326/SUM(Q$253-Q$252,Q$276-Q$275,Q$280-Q$279,,Q$298-Q$297,Q$302-Q$301,Q$306-Q$305,Q$310-Q$309,Q$316-Q$315)),Q$326/SUM(Q$253-Q$252,Q$276-Q$275,Q$280-Q$279,,Q$298-Q$297,Q$302-Q$301,Q$306-Q$305,Q$310-Q$309,Q$316-Q$315))*SUM(R$253-R$252,R$276-R$275,R$280-R$279,,R$298-R$297,R$302-R$301,R$306-R$305,R$310-R$309,R$316-R$315)</f>
        <v>10.507582120123434</v>
      </c>
      <c r="S326" s="21">
        <f ca="1">IF(S$6=OFFSET(Assumptions!$B$8,0,$C$1),AVERAGE(P$326/SUM(P$253-P$252,P$276-P$275,P$280-P$279,,P$298-P$297,P$302-P$301,P$306-P$305,P$310-P$309,P$316-P$315),Q$326/SUM(Q$253-Q$252,Q$276-Q$275,Q$280-Q$279,,Q$298-Q$297,Q$302-Q$301,Q$306-Q$305,Q$310-Q$309,Q$316-Q$315),R$326/SUM(R$253-R$252,R$276-R$275,R$280-R$279,,R$298-R$297,R$302-R$301,R$306-R$305,R$310-R$309,R$316-R$315)),R$326/SUM(R$253-R$252,R$276-R$275,R$280-R$279,,R$298-R$297,R$302-R$301,R$306-R$305,R$310-R$309,R$316-R$315))*SUM(S$253-S$252,S$276-S$275,S$280-S$279,,S$298-S$297,S$302-S$301,S$306-S$305,S$310-S$309,S$316-S$315)</f>
        <v>10.721239487488216</v>
      </c>
      <c r="T326" s="21">
        <f ca="1">IF(T$6=OFFSET(Assumptions!$B$8,0,$C$1),AVERAGE(Q$326/SUM(Q$253-Q$252,Q$276-Q$275,Q$280-Q$279,,Q$298-Q$297,Q$302-Q$301,Q$306-Q$305,Q$310-Q$309,Q$316-Q$315),R$326/SUM(R$253-R$252,R$276-R$275,R$280-R$279,,R$298-R$297,R$302-R$301,R$306-R$305,R$310-R$309,R$316-R$315),S$326/SUM(S$253-S$252,S$276-S$275,S$280-S$279,,S$298-S$297,S$302-S$301,S$306-S$305,S$310-S$309,S$316-S$315)),S$326/SUM(S$253-S$252,S$276-S$275,S$280-S$279,,S$298-S$297,S$302-S$301,S$306-S$305,S$310-S$309,S$316-S$315))*SUM(T$253-T$252,T$276-T$275,T$280-T$279,,T$298-T$297,T$302-T$301,T$306-T$305,T$310-T$309,T$316-T$315)</f>
        <v>10.939145566256006</v>
      </c>
      <c r="U326" s="21">
        <f ca="1">IF(U$6=OFFSET(Assumptions!$B$8,0,$C$1),AVERAGE(R$326/SUM(R$253-R$252,R$276-R$275,R$280-R$279,,R$298-R$297,R$302-R$301,R$306-R$305,R$310-R$309,R$316-R$315),S$326/SUM(S$253-S$252,S$276-S$275,S$280-S$279,,S$298-S$297,S$302-S$301,S$306-S$305,S$310-S$309,S$316-S$315),T$326/SUM(T$253-T$252,T$276-T$275,T$280-T$279,,T$298-T$297,T$302-T$301,T$306-T$305,T$310-T$309,T$316-T$315)),T$326/SUM(T$253-T$252,T$276-T$275,T$280-T$279,,T$298-T$297,T$302-T$301,T$306-T$305,T$310-T$309,T$316-T$315))*SUM(U$253-U$252,U$276-U$275,U$280-U$279,,U$298-U$297,U$302-U$301,U$306-U$305,U$310-U$309,U$316-U$315)</f>
        <v>11.161497143612065</v>
      </c>
      <c r="V326" s="21">
        <f ca="1">IF(V$6=OFFSET(Assumptions!$B$8,0,$C$1),AVERAGE(S$326/SUM(S$253-S$252,S$276-S$275,S$280-S$279,,S$298-S$297,S$302-S$301,S$306-S$305,S$310-S$309,S$316-S$315),T$326/SUM(T$253-T$252,T$276-T$275,T$280-T$279,,T$298-T$297,T$302-T$301,T$306-T$305,T$310-T$309,T$316-T$315),U$326/SUM(U$253-U$252,U$276-U$275,U$280-U$279,,U$298-U$297,U$302-U$301,U$306-U$305,U$310-U$309,U$316-U$315)),U$326/SUM(U$253-U$252,U$276-U$275,U$280-U$279,,U$298-U$297,U$302-U$301,U$306-U$305,U$310-U$309,U$316-U$315))*SUM(V$253-V$252,V$276-V$275,V$280-V$279,,V$298-V$297,V$302-V$301,V$306-V$305,V$310-V$309,V$316-V$315)</f>
        <v>11.388307600245813</v>
      </c>
      <c r="W326" s="21">
        <f ca="1">IF(W$6=OFFSET(Assumptions!$B$8,0,$C$1),AVERAGE(T$326/SUM(T$253-T$252,T$276-T$275,T$280-T$279,,T$298-T$297,T$302-T$301,T$306-T$305,T$310-T$309,T$316-T$315),U$326/SUM(U$253-U$252,U$276-U$275,U$280-U$279,,U$298-U$297,U$302-U$301,U$306-U$305,U$310-U$309,U$316-U$315),V$326/SUM(V$253-V$252,V$276-V$275,V$280-V$279,,V$298-V$297,V$302-V$301,V$306-V$305,V$310-V$309,V$316-V$315)),V$326/SUM(V$253-V$252,V$276-V$275,V$280-V$279,,V$298-V$297,V$302-V$301,V$306-V$305,V$310-V$309,V$316-V$315))*SUM(W$253-W$252,W$276-W$275,W$280-W$279,,W$298-W$297,W$302-W$301,W$306-W$305,W$310-W$309,W$316-W$315)</f>
        <v>11.619629089584786</v>
      </c>
      <c r="X326" s="21">
        <f ca="1">IF(X$6=OFFSET(Assumptions!$B$8,0,$C$1),AVERAGE(U$326/SUM(U$253-U$252,U$276-U$275,U$280-U$279,,U$298-U$297,U$302-U$301,U$306-U$305,U$310-U$309,U$316-U$315),V$326/SUM(V$253-V$252,V$276-V$275,V$280-V$279,,V$298-V$297,V$302-V$301,V$306-V$305,V$310-V$309,V$316-V$315),W$326/SUM(W$253-W$252,W$276-W$275,W$280-W$279,,W$298-W$297,W$302-W$301,W$306-W$305,W$310-W$309,W$316-W$315)),W$326/SUM(W$253-W$252,W$276-W$275,W$280-W$279,,W$298-W$297,W$302-W$301,W$306-W$305,W$310-W$309,W$316-W$315))*SUM(X$253-X$252,X$276-X$275,X$280-X$279,,X$298-X$297,X$302-X$301,X$306-X$305,X$310-X$309,X$316-X$315)</f>
        <v>11.855589596924263</v>
      </c>
      <c r="Y326" s="21">
        <f ca="1">IF(Y$6=OFFSET(Assumptions!$B$8,0,$C$1),AVERAGE(V$326/SUM(V$253-V$252,V$276-V$275,V$280-V$279,,V$298-V$297,V$302-V$301,V$306-V$305,V$310-V$309,V$316-V$315),W$326/SUM(W$253-W$252,W$276-W$275,W$280-W$279,,W$298-W$297,W$302-W$301,W$306-W$305,W$310-W$309,W$316-W$315),X$326/SUM(X$253-X$252,X$276-X$275,X$280-X$279,,X$298-X$297,X$302-X$301,X$306-X$305,X$310-X$309,X$316-X$315)),X$326/SUM(X$253-X$252,X$276-X$275,X$280-X$279,,X$298-X$297,X$302-X$301,X$306-X$305,X$310-X$309,X$316-X$315))*SUM(Y$253-Y$252,Y$276-Y$275,Y$280-Y$279,,Y$298-Y$297,Y$302-Y$301,Y$306-Y$305,Y$310-Y$309,Y$316-Y$315)</f>
        <v>12.096355950940296</v>
      </c>
      <c r="Z326" s="21">
        <f ca="1">IF(Z$6=OFFSET(Assumptions!$B$8,0,$C$1),AVERAGE(W$326/SUM(W$253-W$252,W$276-W$275,W$280-W$279,,W$298-W$297,W$302-W$301,W$306-W$305,W$310-W$309,W$316-W$315),X$326/SUM(X$253-X$252,X$276-X$275,X$280-X$279,,X$298-X$297,X$302-X$301,X$306-X$305,X$310-X$309,X$316-X$315),Y$326/SUM(Y$253-Y$252,Y$276-Y$275,Y$280-Y$279,,Y$298-Y$297,Y$302-Y$301,Y$306-Y$305,Y$310-Y$309,Y$316-Y$315)),Y$326/SUM(Y$253-Y$252,Y$276-Y$275,Y$280-Y$279,,Y$298-Y$297,Y$302-Y$301,Y$306-Y$305,Y$310-Y$309,Y$316-Y$315))*SUM(Z$253-Z$252,Z$276-Z$275,Z$280-Z$279,,Z$298-Z$297,Z$302-Z$301,Z$306-Z$305,Z$310-Z$309,Z$316-Z$315)</f>
        <v>12.341948739284055</v>
      </c>
    </row>
    <row r="327" spans="1:26" x14ac:dyDescent="0.25">
      <c r="A327" s="11" t="s">
        <v>1324</v>
      </c>
      <c r="B327" s="14" t="str">
        <f>$B$38</f>
        <v>From Fiscal Forecasts</v>
      </c>
      <c r="D327" s="51">
        <f>'Fiscal Forecasts'!D$212</f>
        <v>8.64</v>
      </c>
      <c r="E327" s="51">
        <f>'Fiscal Forecasts'!E$212</f>
        <v>8.3070000000000004</v>
      </c>
      <c r="F327" s="51">
        <f>'Fiscal Forecasts'!F$212</f>
        <v>10.321999999999999</v>
      </c>
      <c r="G327" s="51">
        <f>'Fiscal Forecasts'!G$212</f>
        <v>9.5259999999999998</v>
      </c>
      <c r="H327" s="51">
        <f>'Fiscal Forecasts'!H$212</f>
        <v>8.5609999999999999</v>
      </c>
      <c r="I327" s="51">
        <f>'Fiscal Forecasts'!I$212</f>
        <v>12.183</v>
      </c>
      <c r="J327" s="51">
        <f>'Fiscal Forecasts'!J$212</f>
        <v>12.195</v>
      </c>
      <c r="K327" s="51">
        <f>'Fiscal Forecasts'!K$212</f>
        <v>9.9339999999999993</v>
      </c>
      <c r="L327" s="47">
        <f>'Fiscal Forecasts'!L$212</f>
        <v>11.852</v>
      </c>
      <c r="M327" s="47">
        <f>'Fiscal Forecasts'!M$212</f>
        <v>11.510999999999999</v>
      </c>
      <c r="N327" s="47">
        <f>'Fiscal Forecasts'!N$212</f>
        <v>11.73</v>
      </c>
      <c r="O327" s="47">
        <f>'Fiscal Forecasts'!O$212</f>
        <v>12.061999999999999</v>
      </c>
      <c r="P327" s="47">
        <f>'Fiscal Forecasts'!P$212</f>
        <v>12.221</v>
      </c>
      <c r="Q327" s="21">
        <f ca="1">IF(Q$6=OFFSET(Assumptions!$B$8,0,$C$1),AVERAGE(N$327/(N$294-N$293),O$327/(O$294-O$293),P$327/(P$294-P$293)),P$327/(P$294-P$293))*(Q$294-Q$293)</f>
        <v>12.644217615000318</v>
      </c>
      <c r="R327" s="21">
        <f ca="1">IF(R$6=OFFSET(Assumptions!$B$8,0,$C$1),AVERAGE(O$327/(O$294-O$293),P$327/(P$294-P$293),Q$327/(Q$294-Q$293)),Q$327/(Q$294-Q$293))*(R$294-R$293)</f>
        <v>13.055465580962951</v>
      </c>
      <c r="S327" s="21">
        <f ca="1">IF(S$6=OFFSET(Assumptions!$B$8,0,$C$1),AVERAGE(P$327/(P$294-P$293),Q$327/(Q$294-Q$293),R$327/(R$294-R$293)),R$327/(R$294-R$293))*(S$294-S$293)</f>
        <v>13.475650796977883</v>
      </c>
      <c r="T327" s="21">
        <f ca="1">IF(T$6=OFFSET(Assumptions!$B$8,0,$C$1),AVERAGE(Q$327/(Q$294-Q$293),R$327/(R$294-R$293),S$327/(S$294-S$293)),S$327/(S$294-S$293))*(T$294-T$293)</f>
        <v>13.900800591204453</v>
      </c>
      <c r="U327" s="21">
        <f ca="1">IF(U$6=OFFSET(Assumptions!$B$8,0,$C$1),AVERAGE(R$327/(R$294-R$293),S$327/(S$294-S$293),T$327/(T$294-T$293)),T$327/(T$294-T$293))*(U$294-U$293)</f>
        <v>14.338180631128463</v>
      </c>
      <c r="V327" s="21">
        <f ca="1">IF(V$6=OFFSET(Assumptions!$B$8,0,$C$1),AVERAGE(S$327/(S$294-S$293),T$327/(T$294-T$293),U$327/(U$294-U$293)),U$327/(U$294-U$293))*(V$294-V$293)</f>
        <v>14.784063051403749</v>
      </c>
      <c r="W327" s="21">
        <f ca="1">IF(W$6=OFFSET(Assumptions!$B$8,0,$C$1),AVERAGE(T$327/(T$294-T$293),U$327/(U$294-U$293),V$327/(V$294-V$293)),V$327/(V$294-V$293))*(W$294-W$293)</f>
        <v>15.227218882747932</v>
      </c>
      <c r="X327" s="21">
        <f ca="1">IF(X$6=OFFSET(Assumptions!$B$8,0,$C$1),AVERAGE(U$327/(U$294-U$293),V$327/(V$294-V$293),W$327/(W$294-W$293)),W$327/(W$294-W$293))*(X$294-X$293)</f>
        <v>15.67970302713403</v>
      </c>
      <c r="Y327" s="21">
        <f ca="1">IF(Y$6=OFFSET(Assumptions!$B$8,0,$C$1),AVERAGE(V$327/(V$294-V$293),W$327/(W$294-W$293),X$327/(X$294-X$293)),X$327/(X$294-X$293))*(Y$294-Y$293)</f>
        <v>16.145906086843979</v>
      </c>
      <c r="Z327" s="21">
        <f ca="1">IF(Z$6=OFFSET(Assumptions!$B$8,0,$C$1),AVERAGE(W$327/(W$294-W$293),X$327/(X$294-X$293),Y$327/(Y$294-Y$293)),Y$327/(Y$294-Y$293))*(Z$294-Z$293)</f>
        <v>16.622320734555238</v>
      </c>
    </row>
    <row r="328" spans="1:26" x14ac:dyDescent="0.25">
      <c r="A328" s="11" t="s">
        <v>1325</v>
      </c>
      <c r="B328" s="14" t="str">
        <f>$B$38</f>
        <v>From Fiscal Forecasts</v>
      </c>
      <c r="D328" s="51">
        <f>'Fiscal Forecasts'!D$213</f>
        <v>-3.629</v>
      </c>
      <c r="E328" s="51">
        <f>'Fiscal Forecasts'!E$213</f>
        <v>-3.7549999999999999</v>
      </c>
      <c r="F328" s="51">
        <f>'Fiscal Forecasts'!F$213</f>
        <v>-4.7350000000000003</v>
      </c>
      <c r="G328" s="51">
        <f>'Fiscal Forecasts'!G$213</f>
        <v>-4.2939999999999996</v>
      </c>
      <c r="H328" s="51">
        <f>'Fiscal Forecasts'!H$213</f>
        <v>-4.1829999999999998</v>
      </c>
      <c r="I328" s="51">
        <f>'Fiscal Forecasts'!I$213</f>
        <v>-4.7560000000000002</v>
      </c>
      <c r="J328" s="51">
        <f>'Fiscal Forecasts'!J$213</f>
        <v>-4.1790000000000003</v>
      </c>
      <c r="K328" s="51">
        <f>'Fiscal Forecasts'!K$213</f>
        <v>-4.7279999999999998</v>
      </c>
      <c r="L328" s="47">
        <f>'Fiscal Forecasts'!L$213</f>
        <v>-4.1150000000000002</v>
      </c>
      <c r="M328" s="47">
        <f>'Fiscal Forecasts'!M$213</f>
        <v>-4.0739999999999998</v>
      </c>
      <c r="N328" s="47">
        <f>'Fiscal Forecasts'!N$213</f>
        <v>-4.0599999999999996</v>
      </c>
      <c r="O328" s="47">
        <f>'Fiscal Forecasts'!O$213</f>
        <v>-4.2610000000000001</v>
      </c>
      <c r="P328" s="47">
        <f>'Fiscal Forecasts'!P$213</f>
        <v>-4.2300000000000004</v>
      </c>
      <c r="Q328" s="21">
        <f t="shared" ref="Q328:Z328" ca="1" si="182">SUM(Q$253-Q$252,Q$276-Q$275,Q$280-Q$279,Q$294-Q$293,Q$298-Q$297,Q$302-Q$301,Q$306-Q$305,Q$310-Q$309,Q$316-Q$315,-Q$326,-Q$327)</f>
        <v>-4.3429394168411406</v>
      </c>
      <c r="R328" s="21">
        <f t="shared" ca="1" si="182"/>
        <v>-4.4338146233657145</v>
      </c>
      <c r="S328" s="21">
        <f t="shared" ca="1" si="182"/>
        <v>-4.5265241452863219</v>
      </c>
      <c r="T328" s="21">
        <f t="shared" ca="1" si="182"/>
        <v>-4.6210212785934868</v>
      </c>
      <c r="U328" s="21">
        <f t="shared" ca="1" si="182"/>
        <v>-4.7175049575724817</v>
      </c>
      <c r="V328" s="21">
        <f t="shared" ca="1" si="182"/>
        <v>-4.8159190186311989</v>
      </c>
      <c r="W328" s="21">
        <f t="shared" ca="1" si="182"/>
        <v>-4.916099044031121</v>
      </c>
      <c r="X328" s="21">
        <f t="shared" ca="1" si="182"/>
        <v>-5.0182954024551911</v>
      </c>
      <c r="Y328" s="21">
        <f t="shared" ca="1" si="182"/>
        <v>-5.1226475429515048</v>
      </c>
      <c r="Z328" s="21">
        <f t="shared" ca="1" si="182"/>
        <v>-5.229105835579519</v>
      </c>
    </row>
    <row r="330" spans="1:26" x14ac:dyDescent="0.25">
      <c r="A330" s="11" t="s">
        <v>1326</v>
      </c>
    </row>
    <row r="331" spans="1:26" x14ac:dyDescent="0.25">
      <c r="A331" s="12" t="s">
        <v>1327</v>
      </c>
      <c r="D331" s="50">
        <f t="shared" ref="D331:Z331" si="183">D$378</f>
        <v>1.9550000000000001</v>
      </c>
      <c r="E331" s="50">
        <f t="shared" si="183"/>
        <v>1.7000000000000001E-2</v>
      </c>
      <c r="F331" s="50">
        <f t="shared" si="183"/>
        <v>12.786</v>
      </c>
      <c r="G331" s="50">
        <f t="shared" si="183"/>
        <v>-5.133</v>
      </c>
      <c r="H331" s="50">
        <f t="shared" si="183"/>
        <v>5.766</v>
      </c>
      <c r="I331" s="50">
        <f t="shared" si="183"/>
        <v>8.3520000000000003</v>
      </c>
      <c r="J331" s="50">
        <f t="shared" si="183"/>
        <v>7.3129999999999997</v>
      </c>
      <c r="K331" s="50">
        <f t="shared" si="183"/>
        <v>10.266999999999999</v>
      </c>
      <c r="L331" s="48">
        <f t="shared" si="183"/>
        <v>5.2359999999999998</v>
      </c>
      <c r="M331" s="48">
        <f t="shared" si="183"/>
        <v>5.6260000000000003</v>
      </c>
      <c r="N331" s="48">
        <f t="shared" si="183"/>
        <v>6.0119999999999996</v>
      </c>
      <c r="O331" s="48">
        <f t="shared" si="183"/>
        <v>6.4580000000000002</v>
      </c>
      <c r="P331" s="48">
        <f t="shared" si="183"/>
        <v>6.9329999999999998</v>
      </c>
      <c r="Q331" s="20">
        <f t="shared" si="183"/>
        <v>7.2834499423829602</v>
      </c>
      <c r="R331" s="20">
        <f t="shared" si="183"/>
        <v>7.7304079092414062</v>
      </c>
      <c r="S331" s="20">
        <f t="shared" si="183"/>
        <v>8.1958958346018864</v>
      </c>
      <c r="T331" s="20">
        <f t="shared" si="183"/>
        <v>8.6807329460484794</v>
      </c>
      <c r="U331" s="20">
        <f t="shared" si="183"/>
        <v>9.1849444724228615</v>
      </c>
      <c r="V331" s="20">
        <f t="shared" si="183"/>
        <v>9.7089610235655766</v>
      </c>
      <c r="W331" s="20">
        <f t="shared" si="183"/>
        <v>10.256939818437033</v>
      </c>
      <c r="X331" s="20">
        <f t="shared" si="183"/>
        <v>10.834267609788034</v>
      </c>
      <c r="Y331" s="20">
        <f t="shared" si="183"/>
        <v>11.447369923344665</v>
      </c>
      <c r="Z331" s="20">
        <f t="shared" si="183"/>
        <v>12.103381608564206</v>
      </c>
    </row>
    <row r="332" spans="1:26" x14ac:dyDescent="0.25">
      <c r="A332" s="12" t="s">
        <v>1328</v>
      </c>
      <c r="B332" s="14" t="str">
        <f>$B$38</f>
        <v>From Fiscal Forecasts</v>
      </c>
      <c r="D332" s="50">
        <f>SUM('Fiscal Forecasts'!D$301,'Fiscal Forecasts'!D$307)-D$331</f>
        <v>1.2330000000000001</v>
      </c>
      <c r="E332" s="50">
        <f>SUM('Fiscal Forecasts'!E$301,'Fiscal Forecasts'!E$307)-E$331</f>
        <v>-3.9489999999999994</v>
      </c>
      <c r="F332" s="50">
        <f>SUM('Fiscal Forecasts'!F$301,'Fiscal Forecasts'!F$307)-F$331</f>
        <v>-5.2540000000000004</v>
      </c>
      <c r="G332" s="50">
        <f>SUM('Fiscal Forecasts'!G$301,'Fiscal Forecasts'!G$307)-G$331</f>
        <v>-6.0860000000000012</v>
      </c>
      <c r="H332" s="50">
        <f>SUM('Fiscal Forecasts'!H$301,'Fiscal Forecasts'!H$307)-H$331</f>
        <v>6.798</v>
      </c>
      <c r="I332" s="50">
        <f>SUM('Fiscal Forecasts'!I$301,'Fiscal Forecasts'!I$307)-I$331</f>
        <v>-0.45800000000000018</v>
      </c>
      <c r="J332" s="50">
        <f>SUM('Fiscal Forecasts'!J$301,'Fiscal Forecasts'!J$307)-J$331</f>
        <v>0.43100000000000094</v>
      </c>
      <c r="K332" s="50">
        <f>SUM('Fiscal Forecasts'!K$301,'Fiscal Forecasts'!K$307)-K$331</f>
        <v>1.7420000000000009</v>
      </c>
      <c r="L332" s="48">
        <f>SUM('Fiscal Forecasts'!L$301,'Fiscal Forecasts'!L$307)-L$331</f>
        <v>-6.2999999999999723E-2</v>
      </c>
      <c r="M332" s="48">
        <f>SUM('Fiscal Forecasts'!M$301,'Fiscal Forecasts'!M$307)-M$331</f>
        <v>-9.7000000000000419E-2</v>
      </c>
      <c r="N332" s="48">
        <f>SUM('Fiscal Forecasts'!N$301,'Fiscal Forecasts'!N$307)-N$331</f>
        <v>-0.12600000000000033</v>
      </c>
      <c r="O332" s="48">
        <f>SUM('Fiscal Forecasts'!O$301,'Fiscal Forecasts'!O$307)-O$331</f>
        <v>-0.13100000000000023</v>
      </c>
      <c r="P332" s="48">
        <f>SUM('Fiscal Forecasts'!P$301,'Fiscal Forecasts'!P$307)-P$331</f>
        <v>-0.13400000000000034</v>
      </c>
      <c r="Q332" s="20">
        <f t="shared" ref="Q332:Z332" ca="1" si="184">P$332*(1+Q$29)</f>
        <v>-0.13668000000000036</v>
      </c>
      <c r="R332" s="20">
        <f t="shared" ca="1" si="184"/>
        <v>-0.13941360000000036</v>
      </c>
      <c r="S332" s="20">
        <f t="shared" ca="1" si="184"/>
        <v>-0.14220187200000037</v>
      </c>
      <c r="T332" s="20">
        <f t="shared" ca="1" si="184"/>
        <v>-0.14504590944000037</v>
      </c>
      <c r="U332" s="20">
        <f t="shared" ca="1" si="184"/>
        <v>-0.14794682762880038</v>
      </c>
      <c r="V332" s="20">
        <f t="shared" ca="1" si="184"/>
        <v>-0.15090576418137638</v>
      </c>
      <c r="W332" s="20">
        <f t="shared" ca="1" si="184"/>
        <v>-0.15392387946500391</v>
      </c>
      <c r="X332" s="20">
        <f t="shared" ca="1" si="184"/>
        <v>-0.15700235705430399</v>
      </c>
      <c r="Y332" s="20">
        <f t="shared" ca="1" si="184"/>
        <v>-0.16014240419539008</v>
      </c>
      <c r="Z332" s="20">
        <f t="shared" ca="1" si="184"/>
        <v>-0.16334525227929789</v>
      </c>
    </row>
    <row r="333" spans="1:26" x14ac:dyDescent="0.25">
      <c r="A333" s="11" t="s">
        <v>1329</v>
      </c>
      <c r="D333" s="94">
        <f t="shared" ref="D333:P333" si="185">SUM(D$331:D$332)</f>
        <v>3.1880000000000002</v>
      </c>
      <c r="E333" s="94">
        <f t="shared" si="185"/>
        <v>-3.9319999999999995</v>
      </c>
      <c r="F333" s="94">
        <f t="shared" si="185"/>
        <v>7.5319999999999991</v>
      </c>
      <c r="G333" s="94">
        <f t="shared" si="185"/>
        <v>-11.219000000000001</v>
      </c>
      <c r="H333" s="94">
        <f t="shared" si="185"/>
        <v>12.564</v>
      </c>
      <c r="I333" s="94">
        <f t="shared" si="185"/>
        <v>7.8940000000000001</v>
      </c>
      <c r="J333" s="94">
        <f t="shared" si="185"/>
        <v>7.7440000000000007</v>
      </c>
      <c r="K333" s="94">
        <f t="shared" si="185"/>
        <v>12.009</v>
      </c>
      <c r="L333" s="95">
        <f t="shared" si="185"/>
        <v>5.173</v>
      </c>
      <c r="M333" s="95">
        <f t="shared" si="185"/>
        <v>5.5289999999999999</v>
      </c>
      <c r="N333" s="95">
        <f t="shared" si="185"/>
        <v>5.8859999999999992</v>
      </c>
      <c r="O333" s="95">
        <f t="shared" si="185"/>
        <v>6.327</v>
      </c>
      <c r="P333" s="95">
        <f t="shared" si="185"/>
        <v>6.7989999999999995</v>
      </c>
      <c r="Q333" s="96">
        <f t="shared" ref="Q333:Z333" ca="1" si="186">SUM(Q$331:Q$332)</f>
        <v>7.14676994238296</v>
      </c>
      <c r="R333" s="96">
        <f t="shared" ca="1" si="186"/>
        <v>7.5909943092414061</v>
      </c>
      <c r="S333" s="96">
        <f t="shared" ca="1" si="186"/>
        <v>8.0536939626018853</v>
      </c>
      <c r="T333" s="96">
        <f t="shared" ca="1" si="186"/>
        <v>8.5356870366084792</v>
      </c>
      <c r="U333" s="96">
        <f t="shared" ca="1" si="186"/>
        <v>9.0369976447940612</v>
      </c>
      <c r="V333" s="96">
        <f t="shared" ca="1" si="186"/>
        <v>9.5580552593842008</v>
      </c>
      <c r="W333" s="96">
        <f t="shared" ca="1" si="186"/>
        <v>10.103015938972028</v>
      </c>
      <c r="X333" s="96">
        <f t="shared" ca="1" si="186"/>
        <v>10.677265252733729</v>
      </c>
      <c r="Y333" s="96">
        <f t="shared" ca="1" si="186"/>
        <v>11.287227519149274</v>
      </c>
      <c r="Z333" s="96">
        <f t="shared" ca="1" si="186"/>
        <v>11.940036356284908</v>
      </c>
    </row>
    <row r="334" spans="1:26" x14ac:dyDescent="0.25">
      <c r="A334" s="12" t="s">
        <v>1020</v>
      </c>
      <c r="B334" s="14" t="str">
        <f>$B$38</f>
        <v>From Fiscal Forecasts</v>
      </c>
      <c r="D334" s="50">
        <f>SUM('Fiscal Forecasts'!D$302,'Fiscal Forecasts'!D$308)</f>
        <v>-7.8920000000000003</v>
      </c>
      <c r="E334" s="50">
        <f>SUM('Fiscal Forecasts'!E$302,'Fiscal Forecasts'!E$308)</f>
        <v>-4.32</v>
      </c>
      <c r="F334" s="50">
        <f>SUM('Fiscal Forecasts'!F$302,'Fiscal Forecasts'!F$308)</f>
        <v>12.293999999999999</v>
      </c>
      <c r="G334" s="50">
        <f>SUM('Fiscal Forecasts'!G$302,'Fiscal Forecasts'!G$308)</f>
        <v>1.3290000000000006</v>
      </c>
      <c r="H334" s="50">
        <f>SUM('Fiscal Forecasts'!H$302,'Fiscal Forecasts'!H$308)</f>
        <v>3</v>
      </c>
      <c r="I334" s="50">
        <f>SUM('Fiscal Forecasts'!I$302,'Fiscal Forecasts'!I$308)</f>
        <v>-3.415</v>
      </c>
      <c r="J334" s="50">
        <f>SUM('Fiscal Forecasts'!J$302,'Fiscal Forecasts'!J$308)</f>
        <v>2.9449999999999998</v>
      </c>
      <c r="K334" s="50">
        <f>SUM('Fiscal Forecasts'!K$302,'Fiscal Forecasts'!K$308)</f>
        <v>1.198</v>
      </c>
      <c r="L334" s="48">
        <f>SUM('Fiscal Forecasts'!L$302,'Fiscal Forecasts'!L$308)</f>
        <v>0.38500000000000001</v>
      </c>
      <c r="M334" s="48">
        <f>SUM('Fiscal Forecasts'!M$302,'Fiscal Forecasts'!M$308)</f>
        <v>0.70499999999999996</v>
      </c>
      <c r="N334" s="48">
        <f>SUM('Fiscal Forecasts'!N$302,'Fiscal Forecasts'!N$308)</f>
        <v>0.80200000000000005</v>
      </c>
      <c r="O334" s="48">
        <f>SUM('Fiscal Forecasts'!O$302,'Fiscal Forecasts'!O$308)</f>
        <v>0.90300000000000002</v>
      </c>
      <c r="P334" s="48">
        <f>SUM('Fiscal Forecasts'!P$302,'Fiscal Forecasts'!P$308)</f>
        <v>0.99999999999999989</v>
      </c>
      <c r="Q334" s="20">
        <f>P$334*Exogenous!AB$29/Exogenous!AA$29</f>
        <v>1.0363267389769488</v>
      </c>
      <c r="R334" s="20">
        <f>Q$334*Exogenous!AC$29/Exogenous!AB$29</f>
        <v>1.0802950857122942</v>
      </c>
      <c r="S334" s="20">
        <f>R$334*Exogenous!AD$29/Exogenous!AC$29</f>
        <v>1.1330471897300756</v>
      </c>
      <c r="T334" s="20">
        <f>S$334*Exogenous!AE$29/Exogenous!AD$29</f>
        <v>1.1969652329408531</v>
      </c>
      <c r="U334" s="20">
        <f>T$334*Exogenous!AF$29/Exogenous!AE$29</f>
        <v>1.2715589598048667</v>
      </c>
      <c r="V334" s="20">
        <f>U$334*Exogenous!AG$29/Exogenous!AF$29</f>
        <v>1.3495622108889265</v>
      </c>
      <c r="W334" s="20">
        <f>V$334*Exogenous!AH$29/Exogenous!AG$29</f>
        <v>1.4301190120455329</v>
      </c>
      <c r="X334" s="20">
        <f>W$334*Exogenous!AI$29/Exogenous!AH$29</f>
        <v>1.5127368065797728</v>
      </c>
      <c r="Y334" s="20">
        <f>X$334*Exogenous!AJ$29/Exogenous!AI$29</f>
        <v>1.598162204448075</v>
      </c>
      <c r="Z334" s="20">
        <f>Y$334*Exogenous!AK$29/Exogenous!AJ$29</f>
        <v>1.6858232592274347</v>
      </c>
    </row>
    <row r="335" spans="1:26" x14ac:dyDescent="0.25">
      <c r="A335" s="12" t="s">
        <v>1227</v>
      </c>
      <c r="B335" s="14" t="str">
        <f>$B$38</f>
        <v>From Fiscal Forecasts</v>
      </c>
      <c r="D335" s="50">
        <f>SUM('Fiscal Forecasts'!D$303,'Fiscal Forecasts'!D$309)</f>
        <v>0.254</v>
      </c>
      <c r="E335" s="50">
        <f>SUM('Fiscal Forecasts'!E$303,'Fiscal Forecasts'!E$309)</f>
        <v>-6.9000000000000006E-2</v>
      </c>
      <c r="F335" s="50">
        <f>SUM('Fiscal Forecasts'!F$303,'Fiscal Forecasts'!F$309)</f>
        <v>0.23199999999999998</v>
      </c>
      <c r="G335" s="50">
        <f>SUM('Fiscal Forecasts'!G$303,'Fiscal Forecasts'!G$309)</f>
        <v>0.85899999999999999</v>
      </c>
      <c r="H335" s="50">
        <f>SUM('Fiscal Forecasts'!H$303,'Fiscal Forecasts'!H$309)</f>
        <v>-0.13799999999999998</v>
      </c>
      <c r="I335" s="50">
        <f>SUM('Fiscal Forecasts'!I$303,'Fiscal Forecasts'!I$309)</f>
        <v>0.46499999999999997</v>
      </c>
      <c r="J335" s="50">
        <f>SUM('Fiscal Forecasts'!J$303,'Fiscal Forecasts'!J$309)</f>
        <v>-1.071</v>
      </c>
      <c r="K335" s="50">
        <f>SUM('Fiscal Forecasts'!K$303,'Fiscal Forecasts'!K$309)</f>
        <v>-0.81699999999999995</v>
      </c>
      <c r="L335" s="48">
        <f>SUM('Fiscal Forecasts'!L$303,'Fiscal Forecasts'!L$309)</f>
        <v>0.12</v>
      </c>
      <c r="M335" s="48">
        <f>SUM('Fiscal Forecasts'!M$303,'Fiscal Forecasts'!M$309)</f>
        <v>5.7000000000000002E-2</v>
      </c>
      <c r="N335" s="48">
        <f>SUM('Fiscal Forecasts'!N$303,'Fiscal Forecasts'!N$309)</f>
        <v>0.109</v>
      </c>
      <c r="O335" s="48">
        <f>SUM('Fiscal Forecasts'!O$303,'Fiscal Forecasts'!O$309)</f>
        <v>0.106</v>
      </c>
      <c r="P335" s="48">
        <f>SUM('Fiscal Forecasts'!P$303,'Fiscal Forecasts'!P$309)</f>
        <v>0.111</v>
      </c>
      <c r="Q335" s="20">
        <f t="shared" ref="Q335:Z335" ca="1" si="187">P$335*(1+Q$14)</f>
        <v>0.11583192871289606</v>
      </c>
      <c r="R335" s="20">
        <f t="shared" ca="1" si="187"/>
        <v>0.12076233014105901</v>
      </c>
      <c r="S335" s="20">
        <f t="shared" ca="1" si="187"/>
        <v>0.12582335163874564</v>
      </c>
      <c r="T335" s="20">
        <f t="shared" ca="1" si="187"/>
        <v>0.13100315541068408</v>
      </c>
      <c r="U335" s="20">
        <f t="shared" ca="1" si="187"/>
        <v>0.13636358276280239</v>
      </c>
      <c r="V335" s="20">
        <f t="shared" ca="1" si="187"/>
        <v>0.14190654006705766</v>
      </c>
      <c r="W335" s="20">
        <f t="shared" ca="1" si="187"/>
        <v>0.14760406319549119</v>
      </c>
      <c r="X335" s="20">
        <f t="shared" ca="1" si="187"/>
        <v>0.15346565137505819</v>
      </c>
      <c r="Y335" s="20">
        <f t="shared" ca="1" si="187"/>
        <v>0.15952195703503902</v>
      </c>
      <c r="Z335" s="20">
        <f t="shared" ca="1" si="187"/>
        <v>0.16577454218694485</v>
      </c>
    </row>
    <row r="336" spans="1:26" x14ac:dyDescent="0.25">
      <c r="A336" s="12" t="s">
        <v>1228</v>
      </c>
      <c r="B336" s="14" t="str">
        <f>$B$38</f>
        <v>From Fiscal Forecasts</v>
      </c>
      <c r="D336" s="50">
        <f>SUM('Fiscal Forecasts'!D$24,'Fiscal Forecasts'!D$25)-SUM(D$333:D$335)</f>
        <v>-2.6809999999999983</v>
      </c>
      <c r="E336" s="50">
        <f>SUM('Fiscal Forecasts'!E$24,'Fiscal Forecasts'!E$25)-SUM(E$333:E$335)</f>
        <v>-0.4009999999999998</v>
      </c>
      <c r="F336" s="50">
        <f>SUM('Fiscal Forecasts'!F$24,'Fiscal Forecasts'!F$25)-SUM(F$333:F$335)</f>
        <v>0.96500000000000341</v>
      </c>
      <c r="G336" s="50">
        <f>SUM('Fiscal Forecasts'!G$24,'Fiscal Forecasts'!G$25)-SUM(G$333:G$335)</f>
        <v>2.3090000000000011</v>
      </c>
      <c r="H336" s="50">
        <f>SUM('Fiscal Forecasts'!H$24,'Fiscal Forecasts'!H$25)-SUM(H$333:H$335)</f>
        <v>-0.76799999999999891</v>
      </c>
      <c r="I336" s="50">
        <f>SUM('Fiscal Forecasts'!I$24,'Fiscal Forecasts'!I$25)-SUM(I$333:I$335)</f>
        <v>-0.27700000000000014</v>
      </c>
      <c r="J336" s="50">
        <f>SUM('Fiscal Forecasts'!J$24,'Fiscal Forecasts'!J$25)-SUM(J$333:J$335)</f>
        <v>-0.74799999999999933</v>
      </c>
      <c r="K336" s="50">
        <f>SUM('Fiscal Forecasts'!K$24,'Fiscal Forecasts'!K$25)-SUM(K$333:K$335)</f>
        <v>-1.1380000000000017</v>
      </c>
      <c r="L336" s="48">
        <f>SUM('Fiscal Forecasts'!L$24,'Fiscal Forecasts'!L$25)-SUM(L$333:L$335)</f>
        <v>-8.3000000000000185E-2</v>
      </c>
      <c r="M336" s="48">
        <f>SUM('Fiscal Forecasts'!M$24,'Fiscal Forecasts'!M$25)-SUM(M$333:M$335)</f>
        <v>-0.10500000000000043</v>
      </c>
      <c r="N336" s="48">
        <f>SUM('Fiscal Forecasts'!N$24,'Fiscal Forecasts'!N$25)-SUM(N$333:N$335)</f>
        <v>-0.12699999999999889</v>
      </c>
      <c r="O336" s="48">
        <f>SUM('Fiscal Forecasts'!O$24,'Fiscal Forecasts'!O$25)-SUM(O$333:O$335)</f>
        <v>-0.17400000000000038</v>
      </c>
      <c r="P336" s="48">
        <f>SUM('Fiscal Forecasts'!P$24,'Fiscal Forecasts'!P$25)-SUM(P$333:P$335)</f>
        <v>-0.10499999999999954</v>
      </c>
      <c r="Q336" s="20">
        <f t="shared" ref="Q336:Z336" ca="1" si="188">P$336*(1+Q$14)</f>
        <v>-0.10957074337706335</v>
      </c>
      <c r="R336" s="20">
        <f t="shared" ca="1" si="188"/>
        <v>-0.11423463661992017</v>
      </c>
      <c r="S336" s="20">
        <f t="shared" ca="1" si="188"/>
        <v>-0.11902208938800209</v>
      </c>
      <c r="T336" s="20">
        <f t="shared" ca="1" si="188"/>
        <v>-0.12392190376686274</v>
      </c>
      <c r="U336" s="20">
        <f t="shared" ca="1" si="188"/>
        <v>-0.12899257828913679</v>
      </c>
      <c r="V336" s="20">
        <f t="shared" ca="1" si="188"/>
        <v>-0.13423591627964851</v>
      </c>
      <c r="W336" s="20">
        <f t="shared" ca="1" si="188"/>
        <v>-0.13962546518492344</v>
      </c>
      <c r="X336" s="20">
        <f t="shared" ca="1" si="188"/>
        <v>-0.14517021076018949</v>
      </c>
      <c r="Y336" s="20">
        <f t="shared" ca="1" si="188"/>
        <v>-0.15089914854665781</v>
      </c>
      <c r="Z336" s="20">
        <f t="shared" ca="1" si="188"/>
        <v>-0.15681375612278492</v>
      </c>
    </row>
    <row r="337" spans="1:26" x14ac:dyDescent="0.25">
      <c r="A337" s="11" t="s">
        <v>1330</v>
      </c>
      <c r="D337" s="94">
        <f t="shared" ref="D337:P337" si="189">SUM(D$333:D$336)</f>
        <v>-7.1309999999999993</v>
      </c>
      <c r="E337" s="94">
        <f t="shared" si="189"/>
        <v>-8.7219999999999995</v>
      </c>
      <c r="F337" s="94">
        <f t="shared" si="189"/>
        <v>21.023</v>
      </c>
      <c r="G337" s="94">
        <f t="shared" si="189"/>
        <v>-6.7219999999999995</v>
      </c>
      <c r="H337" s="94">
        <f t="shared" si="189"/>
        <v>14.658000000000001</v>
      </c>
      <c r="I337" s="94">
        <f t="shared" si="189"/>
        <v>4.6669999999999998</v>
      </c>
      <c r="J337" s="94">
        <f t="shared" si="189"/>
        <v>8.870000000000001</v>
      </c>
      <c r="K337" s="94">
        <f t="shared" si="189"/>
        <v>11.251999999999999</v>
      </c>
      <c r="L337" s="95">
        <f t="shared" si="189"/>
        <v>5.5949999999999998</v>
      </c>
      <c r="M337" s="95">
        <f t="shared" si="189"/>
        <v>6.1859999999999999</v>
      </c>
      <c r="N337" s="95">
        <f t="shared" si="189"/>
        <v>6.67</v>
      </c>
      <c r="O337" s="95">
        <f t="shared" si="189"/>
        <v>7.1619999999999999</v>
      </c>
      <c r="P337" s="95">
        <f t="shared" si="189"/>
        <v>7.8049999999999997</v>
      </c>
      <c r="Q337" s="96">
        <f t="shared" ref="Q337:Z337" ca="1" si="190">SUM(Q$333:Q$336)</f>
        <v>8.1893578666957438</v>
      </c>
      <c r="R337" s="96">
        <f t="shared" ca="1" si="190"/>
        <v>8.6778170884748373</v>
      </c>
      <c r="S337" s="96">
        <f t="shared" ca="1" si="190"/>
        <v>9.1935424145827049</v>
      </c>
      <c r="T337" s="96">
        <f t="shared" ca="1" si="190"/>
        <v>9.7397335211931519</v>
      </c>
      <c r="U337" s="96">
        <f t="shared" ca="1" si="190"/>
        <v>10.315927609072595</v>
      </c>
      <c r="V337" s="96">
        <f t="shared" ca="1" si="190"/>
        <v>10.915288094060537</v>
      </c>
      <c r="W337" s="96">
        <f t="shared" ca="1" si="190"/>
        <v>11.541113549028129</v>
      </c>
      <c r="X337" s="96">
        <f t="shared" ca="1" si="190"/>
        <v>12.198297499928369</v>
      </c>
      <c r="Y337" s="96">
        <f t="shared" ca="1" si="190"/>
        <v>12.89401253208573</v>
      </c>
      <c r="Z337" s="96">
        <f t="shared" ca="1" si="190"/>
        <v>13.634820401576503</v>
      </c>
    </row>
    <row r="339" spans="1:26" x14ac:dyDescent="0.25">
      <c r="A339" s="11" t="s">
        <v>881</v>
      </c>
    </row>
    <row r="340" spans="1:26" x14ac:dyDescent="0.25">
      <c r="A340" s="11" t="s">
        <v>1331</v>
      </c>
      <c r="B340" s="14" t="str">
        <f>$B$38</f>
        <v>From Fiscal Forecasts</v>
      </c>
      <c r="D340" s="51">
        <f>'Fiscal Forecasts'!D$177-SUM('Fiscal Forecasts'!D$301,'Fiscal Forecasts'!D$307)</f>
        <v>4.0000000000000036E-3</v>
      </c>
      <c r="E340" s="51">
        <f>'Fiscal Forecasts'!E$177-SUM('Fiscal Forecasts'!E$301,'Fiscal Forecasts'!E$307)</f>
        <v>-4.2000000000000703E-2</v>
      </c>
      <c r="F340" s="51">
        <f>'Fiscal Forecasts'!F$177-SUM('Fiscal Forecasts'!F$301,'Fiscal Forecasts'!F$307)</f>
        <v>-3.199999999999914E-2</v>
      </c>
      <c r="G340" s="51">
        <f>'Fiscal Forecasts'!G$177-SUM('Fiscal Forecasts'!G$301,'Fiscal Forecasts'!G$307)</f>
        <v>-0.18699999999999939</v>
      </c>
      <c r="H340" s="51">
        <f>'Fiscal Forecasts'!H$177-SUM('Fiscal Forecasts'!H$301,'Fiscal Forecasts'!H$307)</f>
        <v>-9.5000000000000639E-2</v>
      </c>
      <c r="I340" s="51">
        <f>'Fiscal Forecasts'!I$177-SUM('Fiscal Forecasts'!I$301,'Fiscal Forecasts'!I$307)</f>
        <v>-9.9999999999997868E-3</v>
      </c>
      <c r="J340" s="51">
        <f>'Fiscal Forecasts'!J$177-SUM('Fiscal Forecasts'!J$301,'Fiscal Forecasts'!J$307)</f>
        <v>-5.7000000000000384E-2</v>
      </c>
      <c r="K340" s="51">
        <f>'Fiscal Forecasts'!K$177-SUM('Fiscal Forecasts'!K$301,'Fiscal Forecasts'!K$307)</f>
        <v>-3.2000000000000028E-2</v>
      </c>
      <c r="L340" s="47">
        <f>'Fiscal Forecasts'!L$177-SUM('Fiscal Forecasts'!L$301,'Fiscal Forecasts'!L$307)</f>
        <v>3.9999999999995595E-3</v>
      </c>
      <c r="M340" s="47">
        <f>'Fiscal Forecasts'!M$177-SUM('Fiscal Forecasts'!M$301,'Fiscal Forecasts'!M$307)</f>
        <v>1.499999999999968E-2</v>
      </c>
      <c r="N340" s="47">
        <f>'Fiscal Forecasts'!N$177-SUM('Fiscal Forecasts'!N$301,'Fiscal Forecasts'!N$307)</f>
        <v>1.1000000000001009E-2</v>
      </c>
      <c r="O340" s="47">
        <f>'Fiscal Forecasts'!O$177-SUM('Fiscal Forecasts'!O$301,'Fiscal Forecasts'!O$307)</f>
        <v>1.2000000000000455E-2</v>
      </c>
      <c r="P340" s="47">
        <f>'Fiscal Forecasts'!P$177-SUM('Fiscal Forecasts'!P$301,'Fiscal Forecasts'!P$307)</f>
        <v>1.0000000000000675E-2</v>
      </c>
      <c r="Q340" s="21">
        <f t="shared" ref="Q340:Z340" ca="1" si="191">P$340*(1+Q$14)</f>
        <v>1.0435308893054404E-2</v>
      </c>
      <c r="R340" s="21">
        <f t="shared" ca="1" si="191"/>
        <v>1.0879489201897944E-2</v>
      </c>
      <c r="S340" s="21">
        <f t="shared" ca="1" si="191"/>
        <v>1.1335437084572445E-2</v>
      </c>
      <c r="T340" s="21">
        <f t="shared" ca="1" si="191"/>
        <v>1.1802086073035397E-2</v>
      </c>
      <c r="U340" s="21">
        <f t="shared" ca="1" si="191"/>
        <v>1.2285007456109151E-2</v>
      </c>
      <c r="V340" s="21">
        <f t="shared" ca="1" si="191"/>
        <v>1.2784372979015064E-2</v>
      </c>
      <c r="W340" s="21">
        <f t="shared" ca="1" si="191"/>
        <v>1.3297663350946046E-2</v>
      </c>
      <c r="X340" s="21">
        <f t="shared" ca="1" si="191"/>
        <v>1.3825734358114281E-2</v>
      </c>
      <c r="Y340" s="21">
        <f t="shared" ca="1" si="191"/>
        <v>1.4371347480635113E-2</v>
      </c>
      <c r="Z340" s="21">
        <f t="shared" ca="1" si="191"/>
        <v>1.4934643440266305E-2</v>
      </c>
    </row>
    <row r="341" spans="1:26" x14ac:dyDescent="0.25">
      <c r="A341" s="11" t="s">
        <v>1332</v>
      </c>
      <c r="B341" s="14" t="str">
        <f>$B$38</f>
        <v>From Fiscal Forecasts</v>
      </c>
      <c r="D341" s="51">
        <f>'Fiscal Forecasts'!D$27</f>
        <v>0.20599999999999999</v>
      </c>
      <c r="E341" s="51">
        <f>'Fiscal Forecasts'!E$27</f>
        <v>1.1930000000000001</v>
      </c>
      <c r="F341" s="51">
        <f>'Fiscal Forecasts'!F$27</f>
        <v>-0.36</v>
      </c>
      <c r="G341" s="51">
        <f>'Fiscal Forecasts'!G$27</f>
        <v>-0.126</v>
      </c>
      <c r="H341" s="51">
        <f>'Fiscal Forecasts'!H$27</f>
        <v>2.9000000000000001E-2</v>
      </c>
      <c r="I341" s="51">
        <f>'Fiscal Forecasts'!I$27</f>
        <v>0.12</v>
      </c>
      <c r="J341" s="51">
        <f>'Fiscal Forecasts'!J$27</f>
        <v>0.214</v>
      </c>
      <c r="K341" s="51">
        <f>'Fiscal Forecasts'!K$27</f>
        <v>0.27400000000000002</v>
      </c>
      <c r="L341" s="47">
        <f>'Fiscal Forecasts'!L$27</f>
        <v>0.26500000000000001</v>
      </c>
      <c r="M341" s="47">
        <f>'Fiscal Forecasts'!M$27</f>
        <v>0.252</v>
      </c>
      <c r="N341" s="47">
        <f>'Fiscal Forecasts'!N$27</f>
        <v>0.22</v>
      </c>
      <c r="O341" s="47">
        <f>'Fiscal Forecasts'!O$27</f>
        <v>0.127</v>
      </c>
      <c r="P341" s="47">
        <f>'Fiscal Forecasts'!P$27</f>
        <v>7.0000000000000007E-2</v>
      </c>
      <c r="Q341" s="21">
        <f t="shared" ref="Q341:Z341" ca="1" si="192">Q$340+(P$341-P$340)*(1+Q$14)</f>
        <v>7.3047162251375891E-2</v>
      </c>
      <c r="R341" s="21">
        <f t="shared" ca="1" si="192"/>
        <v>7.6156424413280466E-2</v>
      </c>
      <c r="S341" s="21">
        <f t="shared" ca="1" si="192"/>
        <v>7.9348059592001752E-2</v>
      </c>
      <c r="T341" s="21">
        <f t="shared" ca="1" si="192"/>
        <v>8.2614602511242197E-2</v>
      </c>
      <c r="U341" s="21">
        <f t="shared" ca="1" si="192"/>
        <v>8.5995052192758242E-2</v>
      </c>
      <c r="V341" s="21">
        <f t="shared" ca="1" si="192"/>
        <v>8.9490610853099395E-2</v>
      </c>
      <c r="W341" s="21">
        <f t="shared" ca="1" si="192"/>
        <v>9.308364345661603E-2</v>
      </c>
      <c r="X341" s="21">
        <f t="shared" ca="1" si="192"/>
        <v>9.6780140506793413E-2</v>
      </c>
      <c r="Y341" s="21">
        <f t="shared" ca="1" si="192"/>
        <v>0.10059943236443897</v>
      </c>
      <c r="Z341" s="21">
        <f t="shared" ca="1" si="192"/>
        <v>0.10454250408185706</v>
      </c>
    </row>
    <row r="343" spans="1:26" x14ac:dyDescent="0.25">
      <c r="A343" s="11" t="s">
        <v>941</v>
      </c>
    </row>
    <row r="344" spans="1:26" x14ac:dyDescent="0.25">
      <c r="A344" s="12" t="s">
        <v>1333</v>
      </c>
      <c r="D344" s="50">
        <f ca="1">OFFSET(Assumptions!$B$50,0,$C$1)*(D$384-D$350-D$391)</f>
        <v>1.31616</v>
      </c>
      <c r="E344" s="50">
        <f ca="1">OFFSET(Assumptions!$B$50,0,$C$1)*(E$384-E$350-E$391)</f>
        <v>1.29735</v>
      </c>
      <c r="F344" s="50">
        <f ca="1">OFFSET(Assumptions!$B$50,0,$C$1)*(F$384-F$350-F$391)</f>
        <v>1.6793399999999998</v>
      </c>
      <c r="G344" s="50">
        <f ca="1">OFFSET(Assumptions!$B$50,0,$C$1)*(G$384-G$350-G$391)</f>
        <v>1.8089399999999998</v>
      </c>
      <c r="H344" s="50">
        <f ca="1">OFFSET(Assumptions!$B$50,0,$C$1)*(H$384-H$350-H$391)</f>
        <v>1.7712000000000003</v>
      </c>
      <c r="I344" s="50">
        <f ca="1">OFFSET(Assumptions!$B$50,0,$C$1)*(I$384-I$350-I$391)</f>
        <v>2.0238899999999997</v>
      </c>
      <c r="J344" s="50">
        <f ca="1">OFFSET(Assumptions!$B$50,0,$C$1)*(J$384-J$350-J$391)</f>
        <v>2.2551899999999998</v>
      </c>
      <c r="K344" s="50">
        <f ca="1">OFFSET(Assumptions!$B$50,0,$C$1)*(K$384-K$350-K$391)</f>
        <v>2.5261199999999997</v>
      </c>
      <c r="L344" s="48">
        <f ca="1">OFFSET(Assumptions!$B$50,0,$C$1)*(L$384-L$350-L$391)</f>
        <v>2.8082699999999998</v>
      </c>
      <c r="M344" s="48">
        <f ca="1">OFFSET(Assumptions!$B$50,0,$C$1)*(M$384-M$350-M$391)</f>
        <v>3.0734999999999997</v>
      </c>
      <c r="N344" s="48">
        <f ca="1">OFFSET(Assumptions!$B$50,0,$C$1)*(N$384-N$350-N$391)</f>
        <v>3.2325900000000001</v>
      </c>
      <c r="O344" s="48">
        <f ca="1">OFFSET(Assumptions!$B$50,0,$C$1)*(O$384-O$350-O$391)</f>
        <v>3.4293900000000002</v>
      </c>
      <c r="P344" s="48">
        <f ca="1">OFFSET(Assumptions!$B$50,0,$C$1)*(P$384-P$350-P$391)</f>
        <v>3.6507000000000001</v>
      </c>
      <c r="Q344" s="20">
        <f ca="1">OFFSET(Assumptions!$B$50,0,$C$1)*(Q$384-Q$350-Q$391)</f>
        <v>3.8555168836921516</v>
      </c>
      <c r="R344" s="20">
        <f ca="1">OFFSET(Assumptions!$B$50,0,$C$1)*(R$384-R$350-R$391)</f>
        <v>4.0907614936116232</v>
      </c>
      <c r="S344" s="20">
        <f ca="1">OFFSET(Assumptions!$B$50,0,$C$1)*(S$384-S$350-S$391)</f>
        <v>4.3355826994696205</v>
      </c>
      <c r="T344" s="20">
        <f ca="1">OFFSET(Assumptions!$B$50,0,$C$1)*(T$384-T$350-T$391)</f>
        <v>4.5908237902422755</v>
      </c>
      <c r="U344" s="20">
        <f ca="1">OFFSET(Assumptions!$B$50,0,$C$1)*(U$384-U$350-U$391)</f>
        <v>4.8554975253519128</v>
      </c>
      <c r="V344" s="20">
        <f ca="1">OFFSET(Assumptions!$B$50,0,$C$1)*(V$384-V$350-V$391)</f>
        <v>5.1312818162294684</v>
      </c>
      <c r="W344" s="20">
        <f ca="1">OFFSET(Assumptions!$B$50,0,$C$1)*(W$384-W$350-W$391)</f>
        <v>5.4208727375388328</v>
      </c>
      <c r="X344" s="20">
        <f ca="1">OFFSET(Assumptions!$B$50,0,$C$1)*(X$384-X$350-X$391)</f>
        <v>5.7271350366906253</v>
      </c>
      <c r="Y344" s="20">
        <f ca="1">OFFSET(Assumptions!$B$50,0,$C$1)*(Y$384-Y$350-Y$391)</f>
        <v>6.0539090089442951</v>
      </c>
      <c r="Z344" s="20">
        <f ca="1">OFFSET(Assumptions!$B$50,0,$C$1)*(Z$384-Z$350-Z$391)</f>
        <v>6.4046646546135451</v>
      </c>
    </row>
    <row r="345" spans="1:26" x14ac:dyDescent="0.25">
      <c r="A345" s="12" t="s">
        <v>1334</v>
      </c>
      <c r="B345" s="14" t="str">
        <f>$B$38</f>
        <v>From Fiscal Forecasts</v>
      </c>
      <c r="D345" s="50">
        <f ca="1">'Fiscal Forecasts'!D$180-D$344</f>
        <v>16.06184</v>
      </c>
      <c r="E345" s="50">
        <f ca="1">'Fiscal Forecasts'!E$180-E$344</f>
        <v>16.883649999999999</v>
      </c>
      <c r="F345" s="50">
        <f ca="1">'Fiscal Forecasts'!F$180-F$344</f>
        <v>11.44966</v>
      </c>
      <c r="G345" s="50">
        <f ca="1">'Fiscal Forecasts'!G$180-G$344</f>
        <v>9.5990599999999997</v>
      </c>
      <c r="H345" s="50">
        <f ca="1">'Fiscal Forecasts'!H$180-H$344</f>
        <v>9.2018000000000004</v>
      </c>
      <c r="I345" s="50">
        <f ca="1">'Fiscal Forecasts'!I$180-I$344</f>
        <v>7.0871100000000009</v>
      </c>
      <c r="J345" s="50">
        <f ca="1">'Fiscal Forecasts'!J$180-J$344</f>
        <v>13.806810000000002</v>
      </c>
      <c r="K345" s="50">
        <f ca="1">'Fiscal Forecasts'!K$180-K$344</f>
        <v>17.553879999999999</v>
      </c>
      <c r="L345" s="48">
        <f ca="1">'Fiscal Forecasts'!L$180-L$344</f>
        <v>18.414729999999999</v>
      </c>
      <c r="M345" s="48">
        <f ca="1">'Fiscal Forecasts'!M$180-M$344</f>
        <v>18.426500000000001</v>
      </c>
      <c r="N345" s="48">
        <f ca="1">'Fiscal Forecasts'!N$180-N$344</f>
        <v>18.488410000000002</v>
      </c>
      <c r="O345" s="48">
        <f ca="1">'Fiscal Forecasts'!O$180-O$344</f>
        <v>18.16161</v>
      </c>
      <c r="P345" s="48">
        <f ca="1">'Fiscal Forecasts'!P$180-P$344</f>
        <v>17.622299999999999</v>
      </c>
      <c r="Q345" s="20">
        <f t="shared" ref="Q345:Z345" ca="1" si="193">P$345*(1+Q$14)</f>
        <v>18.389414390606017</v>
      </c>
      <c r="R345" s="20">
        <f t="shared" ca="1" si="193"/>
        <v>19.172162256259313</v>
      </c>
      <c r="S345" s="20">
        <f t="shared" ca="1" si="193"/>
        <v>19.975647293544743</v>
      </c>
      <c r="T345" s="20">
        <f t="shared" ca="1" si="193"/>
        <v>20.797990140483755</v>
      </c>
      <c r="U345" s="20">
        <f t="shared" ca="1" si="193"/>
        <v>21.649008689377759</v>
      </c>
      <c r="V345" s="20">
        <f t="shared" ca="1" si="193"/>
        <v>22.529005594808186</v>
      </c>
      <c r="W345" s="20">
        <f t="shared" ca="1" si="193"/>
        <v>23.433541286936059</v>
      </c>
      <c r="X345" s="20">
        <f t="shared" ca="1" si="193"/>
        <v>24.364123857898072</v>
      </c>
      <c r="Y345" s="20">
        <f t="shared" ca="1" si="193"/>
        <v>25.325619670797892</v>
      </c>
      <c r="Z345" s="20">
        <f t="shared" ca="1" si="193"/>
        <v>26.318276709738701</v>
      </c>
    </row>
    <row r="346" spans="1:26" x14ac:dyDescent="0.25">
      <c r="A346" s="11" t="s">
        <v>1335</v>
      </c>
      <c r="D346" s="94">
        <f t="shared" ref="D346:Z346" ca="1" si="194">SUM(D$344:D$345)</f>
        <v>17.378</v>
      </c>
      <c r="E346" s="94">
        <f t="shared" ca="1" si="194"/>
        <v>18.181000000000001</v>
      </c>
      <c r="F346" s="94">
        <f t="shared" ca="1" si="194"/>
        <v>13.129</v>
      </c>
      <c r="G346" s="94">
        <f t="shared" ca="1" si="194"/>
        <v>11.407999999999999</v>
      </c>
      <c r="H346" s="94">
        <f t="shared" ca="1" si="194"/>
        <v>10.973000000000001</v>
      </c>
      <c r="I346" s="94">
        <f t="shared" ca="1" si="194"/>
        <v>9.1110000000000007</v>
      </c>
      <c r="J346" s="94">
        <f t="shared" ca="1" si="194"/>
        <v>16.062000000000001</v>
      </c>
      <c r="K346" s="94">
        <f t="shared" ca="1" si="194"/>
        <v>20.079999999999998</v>
      </c>
      <c r="L346" s="95">
        <f t="shared" ca="1" si="194"/>
        <v>21.222999999999999</v>
      </c>
      <c r="M346" s="95">
        <f t="shared" ca="1" si="194"/>
        <v>21.5</v>
      </c>
      <c r="N346" s="95">
        <f t="shared" ca="1" si="194"/>
        <v>21.721000000000004</v>
      </c>
      <c r="O346" s="95">
        <f t="shared" ca="1" si="194"/>
        <v>21.591000000000001</v>
      </c>
      <c r="P346" s="95">
        <f t="shared" ca="1" si="194"/>
        <v>21.273</v>
      </c>
      <c r="Q346" s="96">
        <f t="shared" ca="1" si="194"/>
        <v>22.244931274298168</v>
      </c>
      <c r="R346" s="96">
        <f t="shared" ca="1" si="194"/>
        <v>23.262923749870936</v>
      </c>
      <c r="S346" s="96">
        <f t="shared" ca="1" si="194"/>
        <v>24.311229993014365</v>
      </c>
      <c r="T346" s="96">
        <f t="shared" ca="1" si="194"/>
        <v>25.38881393072603</v>
      </c>
      <c r="U346" s="96">
        <f t="shared" ca="1" si="194"/>
        <v>26.504506214729673</v>
      </c>
      <c r="V346" s="96">
        <f t="shared" ca="1" si="194"/>
        <v>27.660287411037654</v>
      </c>
      <c r="W346" s="96">
        <f t="shared" ca="1" si="194"/>
        <v>28.854414024474892</v>
      </c>
      <c r="X346" s="96">
        <f t="shared" ca="1" si="194"/>
        <v>30.091258894588698</v>
      </c>
      <c r="Y346" s="96">
        <f t="shared" ca="1" si="194"/>
        <v>31.379528679742187</v>
      </c>
      <c r="Z346" s="96">
        <f t="shared" ca="1" si="194"/>
        <v>32.722941364352245</v>
      </c>
    </row>
    <row r="347" spans="1:26" x14ac:dyDescent="0.25">
      <c r="A347" s="11" t="s">
        <v>1336</v>
      </c>
      <c r="B347" s="14" t="str">
        <f>$B$38</f>
        <v>From Fiscal Forecasts</v>
      </c>
      <c r="D347" s="51">
        <f>'Fiscal Forecasts'!D$120</f>
        <v>20.248000000000001</v>
      </c>
      <c r="E347" s="51">
        <f>'Fiscal Forecasts'!E$120</f>
        <v>21.927</v>
      </c>
      <c r="F347" s="51">
        <f>'Fiscal Forecasts'!F$120</f>
        <v>18.754999999999999</v>
      </c>
      <c r="G347" s="51">
        <f>'Fiscal Forecasts'!G$120</f>
        <v>17.835000000000001</v>
      </c>
      <c r="H347" s="51">
        <f>'Fiscal Forecasts'!H$120</f>
        <v>18.791</v>
      </c>
      <c r="I347" s="51">
        <f>'Fiscal Forecasts'!I$120</f>
        <v>16.212</v>
      </c>
      <c r="J347" s="51">
        <f>'Fiscal Forecasts'!J$120</f>
        <v>23.667999999999999</v>
      </c>
      <c r="K347" s="51">
        <f>'Fiscal Forecasts'!K$120</f>
        <v>28.646000000000001</v>
      </c>
      <c r="L347" s="47">
        <f>'Fiscal Forecasts'!L$120</f>
        <v>28.898</v>
      </c>
      <c r="M347" s="47">
        <f>'Fiscal Forecasts'!M$120</f>
        <v>28.678000000000001</v>
      </c>
      <c r="N347" s="47">
        <f>'Fiscal Forecasts'!N$120</f>
        <v>28.951000000000001</v>
      </c>
      <c r="O347" s="47">
        <f>'Fiscal Forecasts'!O$120</f>
        <v>28.582000000000001</v>
      </c>
      <c r="P347" s="47">
        <f>'Fiscal Forecasts'!P$120</f>
        <v>28.151</v>
      </c>
      <c r="Q347" s="21">
        <f t="shared" ref="Q347:Z347" ca="1" si="195">Q$346+(P$347-P$346)*(1+Q$14)</f>
        <v>29.422336730940501</v>
      </c>
      <c r="R347" s="21">
        <f t="shared" ca="1" si="195"/>
        <v>30.745836422935835</v>
      </c>
      <c r="S347" s="21">
        <f t="shared" ca="1" si="195"/>
        <v>32.107743619782767</v>
      </c>
      <c r="T347" s="21">
        <f t="shared" ca="1" si="195"/>
        <v>33.506288731759227</v>
      </c>
      <c r="U347" s="21">
        <f t="shared" ca="1" si="195"/>
        <v>34.954134343040977</v>
      </c>
      <c r="V347" s="21">
        <f t="shared" ca="1" si="195"/>
        <v>36.45337914600362</v>
      </c>
      <c r="W347" s="21">
        <f t="shared" ca="1" si="195"/>
        <v>38.000546877254962</v>
      </c>
      <c r="X347" s="21">
        <f t="shared" ca="1" si="195"/>
        <v>39.600598986099058</v>
      </c>
      <c r="Y347" s="21">
        <f t="shared" ca="1" si="195"/>
        <v>41.264141476922347</v>
      </c>
      <c r="Z347" s="21">
        <f t="shared" ca="1" si="195"/>
        <v>42.994989122566714</v>
      </c>
    </row>
    <row r="349" spans="1:26" x14ac:dyDescent="0.25">
      <c r="A349" s="11" t="s">
        <v>942</v>
      </c>
    </row>
    <row r="350" spans="1:26" x14ac:dyDescent="0.25">
      <c r="A350" s="12" t="s">
        <v>1337</v>
      </c>
      <c r="D350" s="50">
        <f t="shared" ref="D350:P350" si="196">D$384-D$76+D$75-D$72</f>
        <v>-1.567999999999997</v>
      </c>
      <c r="E350" s="50">
        <f t="shared" si="196"/>
        <v>1.2899999999999934</v>
      </c>
      <c r="F350" s="50">
        <f t="shared" si="196"/>
        <v>0.86300000000000299</v>
      </c>
      <c r="G350" s="50">
        <f t="shared" si="196"/>
        <v>0.49900000000000599</v>
      </c>
      <c r="H350" s="50">
        <f t="shared" si="196"/>
        <v>1.8429999999999807</v>
      </c>
      <c r="I350" s="50">
        <f t="shared" si="196"/>
        <v>2.6770000000000094</v>
      </c>
      <c r="J350" s="50">
        <f t="shared" si="196"/>
        <v>2.1510000000000047</v>
      </c>
      <c r="K350" s="50">
        <f t="shared" si="196"/>
        <v>4.8140000000000036</v>
      </c>
      <c r="L350" s="48">
        <f t="shared" si="196"/>
        <v>2.475000000000013</v>
      </c>
      <c r="M350" s="48">
        <f t="shared" si="196"/>
        <v>1.1260000000000125</v>
      </c>
      <c r="N350" s="48">
        <f t="shared" si="196"/>
        <v>1.8230000000000068</v>
      </c>
      <c r="O350" s="48">
        <f t="shared" si="196"/>
        <v>2.1649999999999965</v>
      </c>
      <c r="P350" s="48">
        <f t="shared" si="196"/>
        <v>2.3500000000000014</v>
      </c>
      <c r="Q350" s="20">
        <f t="shared" ref="Q350:Z350" ca="1" si="197">SUM(P$350,Q$442-P$442,Q$468-P$468)</f>
        <v>3.1163783738709481</v>
      </c>
      <c r="R350" s="20">
        <f t="shared" ca="1" si="197"/>
        <v>3.2719890369741136</v>
      </c>
      <c r="S350" s="20">
        <f t="shared" ca="1" si="197"/>
        <v>3.4339344698506422</v>
      </c>
      <c r="T350" s="20">
        <f t="shared" ca="1" si="197"/>
        <v>3.602772495087025</v>
      </c>
      <c r="U350" s="20">
        <f t="shared" ca="1" si="197"/>
        <v>3.7778500683436431</v>
      </c>
      <c r="V350" s="20">
        <f t="shared" ca="1" si="197"/>
        <v>3.9602771020239529</v>
      </c>
      <c r="W350" s="20">
        <f t="shared" ca="1" si="197"/>
        <v>4.1518370077282043</v>
      </c>
      <c r="X350" s="20">
        <f t="shared" ca="1" si="197"/>
        <v>4.3544247714640987</v>
      </c>
      <c r="Y350" s="20">
        <f t="shared" ca="1" si="197"/>
        <v>4.5705806890201046</v>
      </c>
      <c r="Z350" s="20">
        <f t="shared" ca="1" si="197"/>
        <v>4.802600111817739</v>
      </c>
    </row>
    <row r="351" spans="1:26" x14ac:dyDescent="0.25">
      <c r="A351" s="12" t="s">
        <v>1063</v>
      </c>
      <c r="B351" s="14" t="str">
        <f>$B$38</f>
        <v>From Fiscal Forecasts</v>
      </c>
      <c r="D351" s="50">
        <f>'Fiscal Forecasts'!D$319</f>
        <v>13.763999999999999</v>
      </c>
      <c r="E351" s="50">
        <f>'Fiscal Forecasts'!E$319</f>
        <v>14.29</v>
      </c>
      <c r="F351" s="50">
        <f>'Fiscal Forecasts'!F$319</f>
        <v>15.641999999999999</v>
      </c>
      <c r="G351" s="50">
        <f>'Fiscal Forecasts'!G$319</f>
        <v>20.076000000000001</v>
      </c>
      <c r="H351" s="50">
        <f>'Fiscal Forecasts'!H$319</f>
        <v>20.298999999999999</v>
      </c>
      <c r="I351" s="50">
        <f>'Fiscal Forecasts'!I$319</f>
        <v>22.413</v>
      </c>
      <c r="J351" s="50">
        <f>'Fiscal Forecasts'!J$319</f>
        <v>20.936</v>
      </c>
      <c r="K351" s="50">
        <f>'Fiscal Forecasts'!K$319</f>
        <v>19.382999999999999</v>
      </c>
      <c r="L351" s="48">
        <f>'Fiscal Forecasts'!L$319</f>
        <v>23.151</v>
      </c>
      <c r="M351" s="48">
        <f>'Fiscal Forecasts'!M$319</f>
        <v>24.097999999999999</v>
      </c>
      <c r="N351" s="48">
        <f>'Fiscal Forecasts'!N$319</f>
        <v>24.632999999999999</v>
      </c>
      <c r="O351" s="48">
        <f>'Fiscal Forecasts'!O$319</f>
        <v>25.231000000000002</v>
      </c>
      <c r="P351" s="48">
        <f>'Fiscal Forecasts'!P$319</f>
        <v>25.943000000000001</v>
      </c>
      <c r="Q351" s="20">
        <f t="shared" ref="Q351:Z351" ca="1" si="198">P$351*Q$142/P$142</f>
        <v>26.990957850673652</v>
      </c>
      <c r="R351" s="20">
        <f t="shared" ca="1" si="198"/>
        <v>28.038488020801154</v>
      </c>
      <c r="S351" s="20">
        <f t="shared" ca="1" si="198"/>
        <v>29.140919964062721</v>
      </c>
      <c r="T351" s="20">
        <f t="shared" ca="1" si="198"/>
        <v>30.31976260993504</v>
      </c>
      <c r="U351" s="20">
        <f t="shared" ca="1" si="198"/>
        <v>31.555552276252204</v>
      </c>
      <c r="V351" s="20">
        <f t="shared" ca="1" si="198"/>
        <v>32.833186730858728</v>
      </c>
      <c r="W351" s="20">
        <f t="shared" ca="1" si="198"/>
        <v>34.145889368220068</v>
      </c>
      <c r="X351" s="20">
        <f t="shared" ca="1" si="198"/>
        <v>35.496265878945337</v>
      </c>
      <c r="Y351" s="20">
        <f t="shared" ca="1" si="198"/>
        <v>36.891452498971518</v>
      </c>
      <c r="Z351" s="20">
        <f t="shared" ca="1" si="198"/>
        <v>38.331675365073757</v>
      </c>
    </row>
    <row r="352" spans="1:26" x14ac:dyDescent="0.25">
      <c r="A352" s="12" t="s">
        <v>1338</v>
      </c>
      <c r="B352" s="14" t="str">
        <f>$B$38</f>
        <v>From Fiscal Forecasts</v>
      </c>
      <c r="D352" s="50">
        <f>'Fiscal Forecasts'!D$181-SUM(D$350:D$351)</f>
        <v>4.3769999999999989</v>
      </c>
      <c r="E352" s="50">
        <f>'Fiscal Forecasts'!E$181-SUM(E$350:E$351)</f>
        <v>2.5200000000000085</v>
      </c>
      <c r="F352" s="50">
        <f>'Fiscal Forecasts'!F$181-SUM(F$350:F$351)</f>
        <v>3.7319999999999958</v>
      </c>
      <c r="G352" s="50">
        <f>'Fiscal Forecasts'!G$181-SUM(G$350:G$351)</f>
        <v>7.7129999999999939</v>
      </c>
      <c r="H352" s="50">
        <f>'Fiscal Forecasts'!H$181-SUM(H$350:H$351)</f>
        <v>3.5320000000000178</v>
      </c>
      <c r="I352" s="50">
        <f>'Fiscal Forecasts'!I$181-SUM(I$350:I$351)</f>
        <v>3.5489999999999888</v>
      </c>
      <c r="J352" s="50">
        <f>'Fiscal Forecasts'!J$181-SUM(J$350:J$351)</f>
        <v>3.1879999999999953</v>
      </c>
      <c r="K352" s="50">
        <f>'Fiscal Forecasts'!K$181-SUM(K$350:K$351)</f>
        <v>3.9099999999999966</v>
      </c>
      <c r="L352" s="48">
        <f>'Fiscal Forecasts'!L$181-SUM(L$350:L$351)</f>
        <v>3.8129999999999882</v>
      </c>
      <c r="M352" s="48">
        <f>'Fiscal Forecasts'!M$181-SUM(M$350:M$351)</f>
        <v>5.3349999999999902</v>
      </c>
      <c r="N352" s="48">
        <f>'Fiscal Forecasts'!N$181-SUM(N$350:N$351)</f>
        <v>4.9249999999999936</v>
      </c>
      <c r="O352" s="48">
        <f>'Fiscal Forecasts'!O$181-SUM(O$350:O$351)</f>
        <v>4.887000000000004</v>
      </c>
      <c r="P352" s="48">
        <f>'Fiscal Forecasts'!P$181-SUM(P$350:P$351)</f>
        <v>4.9369999999999941</v>
      </c>
      <c r="Q352" s="20">
        <f t="shared" ref="Q352:Z352" ca="1" si="199">SUM(P$352,Q$444-P$444,Q$469-P$469)</f>
        <v>5.1888399999999946</v>
      </c>
      <c r="R352" s="20">
        <f t="shared" ca="1" si="199"/>
        <v>5.4457167999999943</v>
      </c>
      <c r="S352" s="20">
        <f t="shared" ca="1" si="199"/>
        <v>5.7077311359999943</v>
      </c>
      <c r="T352" s="20">
        <f t="shared" ca="1" si="199"/>
        <v>5.9749857587199946</v>
      </c>
      <c r="U352" s="20">
        <f t="shared" ca="1" si="199"/>
        <v>6.2475854738943948</v>
      </c>
      <c r="V352" s="20">
        <f t="shared" ca="1" si="199"/>
        <v>6.5256371833722824</v>
      </c>
      <c r="W352" s="20">
        <f t="shared" ca="1" si="199"/>
        <v>6.809249927039728</v>
      </c>
      <c r="X352" s="20">
        <f t="shared" ca="1" si="199"/>
        <v>7.0985349255805223</v>
      </c>
      <c r="Y352" s="20">
        <f t="shared" ca="1" si="199"/>
        <v>7.3936056240921326</v>
      </c>
      <c r="Z352" s="20">
        <f t="shared" ca="1" si="199"/>
        <v>7.6945777365739758</v>
      </c>
    </row>
    <row r="353" spans="1:26" x14ac:dyDescent="0.25">
      <c r="A353" s="11" t="s">
        <v>1339</v>
      </c>
      <c r="D353" s="94">
        <f t="shared" ref="D353:P353" si="200">SUM(D$350:D$352)</f>
        <v>16.573</v>
      </c>
      <c r="E353" s="94">
        <f t="shared" si="200"/>
        <v>18.100000000000001</v>
      </c>
      <c r="F353" s="94">
        <f t="shared" si="200"/>
        <v>20.236999999999998</v>
      </c>
      <c r="G353" s="94">
        <f t="shared" si="200"/>
        <v>28.288</v>
      </c>
      <c r="H353" s="94">
        <f t="shared" si="200"/>
        <v>25.673999999999999</v>
      </c>
      <c r="I353" s="94">
        <f t="shared" si="200"/>
        <v>28.638999999999999</v>
      </c>
      <c r="J353" s="94">
        <f t="shared" si="200"/>
        <v>26.274999999999999</v>
      </c>
      <c r="K353" s="94">
        <f t="shared" si="200"/>
        <v>28.106999999999999</v>
      </c>
      <c r="L353" s="95">
        <f t="shared" si="200"/>
        <v>29.439</v>
      </c>
      <c r="M353" s="95">
        <f t="shared" si="200"/>
        <v>30.559000000000001</v>
      </c>
      <c r="N353" s="95">
        <f t="shared" si="200"/>
        <v>31.381</v>
      </c>
      <c r="O353" s="95">
        <f t="shared" si="200"/>
        <v>32.283000000000001</v>
      </c>
      <c r="P353" s="95">
        <f t="shared" si="200"/>
        <v>33.229999999999997</v>
      </c>
      <c r="Q353" s="96">
        <f t="shared" ref="Q353:Z353" ca="1" si="201">SUM(Q$350:Q$352)</f>
        <v>35.296176224544595</v>
      </c>
      <c r="R353" s="96">
        <f t="shared" ca="1" si="201"/>
        <v>36.756193857775258</v>
      </c>
      <c r="S353" s="96">
        <f t="shared" ca="1" si="201"/>
        <v>38.282585569913358</v>
      </c>
      <c r="T353" s="96">
        <f t="shared" ca="1" si="201"/>
        <v>39.897520863742059</v>
      </c>
      <c r="U353" s="96">
        <f t="shared" ca="1" si="201"/>
        <v>41.580987818490243</v>
      </c>
      <c r="V353" s="96">
        <f t="shared" ca="1" si="201"/>
        <v>43.319101016254962</v>
      </c>
      <c r="W353" s="96">
        <f t="shared" ca="1" si="201"/>
        <v>45.106976302988002</v>
      </c>
      <c r="X353" s="96">
        <f t="shared" ca="1" si="201"/>
        <v>46.949225575989956</v>
      </c>
      <c r="Y353" s="96">
        <f t="shared" ca="1" si="201"/>
        <v>48.855638812083754</v>
      </c>
      <c r="Z353" s="96">
        <f t="shared" ca="1" si="201"/>
        <v>50.828853213465472</v>
      </c>
    </row>
    <row r="354" spans="1:26" x14ac:dyDescent="0.25">
      <c r="A354" s="11" t="s">
        <v>1340</v>
      </c>
      <c r="B354" s="14" t="str">
        <f>$B$38</f>
        <v>From Fiscal Forecasts</v>
      </c>
      <c r="D354" s="51">
        <f>'Fiscal Forecasts'!D$121</f>
        <v>23.327000000000002</v>
      </c>
      <c r="E354" s="51">
        <f>'Fiscal Forecasts'!E$121</f>
        <v>24.742999999999999</v>
      </c>
      <c r="F354" s="51">
        <f>'Fiscal Forecasts'!F$121</f>
        <v>26.829000000000001</v>
      </c>
      <c r="G354" s="51">
        <f>'Fiscal Forecasts'!G$121</f>
        <v>35.134999999999998</v>
      </c>
      <c r="H354" s="51">
        <f>'Fiscal Forecasts'!H$121</f>
        <v>33.548000000000002</v>
      </c>
      <c r="I354" s="51">
        <f>'Fiscal Forecasts'!I$121</f>
        <v>37.231999999999999</v>
      </c>
      <c r="J354" s="51">
        <f>'Fiscal Forecasts'!J$121</f>
        <v>34.76</v>
      </c>
      <c r="K354" s="51">
        <f>'Fiscal Forecasts'!K$121</f>
        <v>36.582000000000001</v>
      </c>
      <c r="L354" s="47">
        <f>'Fiscal Forecasts'!L$121</f>
        <v>38.957000000000001</v>
      </c>
      <c r="M354" s="47">
        <f>'Fiscal Forecasts'!M$121</f>
        <v>40.423999999999999</v>
      </c>
      <c r="N354" s="47">
        <f>'Fiscal Forecasts'!N$121</f>
        <v>41.817999999999998</v>
      </c>
      <c r="O354" s="47">
        <f>'Fiscal Forecasts'!O$121</f>
        <v>43.411999999999999</v>
      </c>
      <c r="P354" s="47">
        <f>'Fiscal Forecasts'!P$121</f>
        <v>43.962000000000003</v>
      </c>
      <c r="Q354" s="21">
        <f t="shared" ref="Q354:Z354" ca="1" si="202">SUM(P$354,Q$353-P$353,,Q$446-P$446,Q$454-P$454,Q$471-P$471)-SUM(Q$445-P$445,Q$453-P$453,Q$470-P$470)</f>
        <v>46.301656224544608</v>
      </c>
      <c r="R354" s="21">
        <f t="shared" ca="1" si="202"/>
        <v>48.040623457775276</v>
      </c>
      <c r="S354" s="21">
        <f t="shared" ca="1" si="202"/>
        <v>49.851543761913376</v>
      </c>
      <c r="T354" s="21">
        <f t="shared" ca="1" si="202"/>
        <v>51.756698219582084</v>
      </c>
      <c r="U354" s="21">
        <f t="shared" ca="1" si="202"/>
        <v>53.736188721447064</v>
      </c>
      <c r="V354" s="21">
        <f t="shared" ca="1" si="202"/>
        <v>55.776245937270922</v>
      </c>
      <c r="W354" s="21">
        <f t="shared" ca="1" si="202"/>
        <v>57.872104122424275</v>
      </c>
      <c r="X354" s="21">
        <f t="shared" ca="1" si="202"/>
        <v>60.028495951814961</v>
      </c>
      <c r="Y354" s="21">
        <f t="shared" ca="1" si="202"/>
        <v>62.255334595425261</v>
      </c>
      <c r="Z354" s="21">
        <f t="shared" ca="1" si="202"/>
        <v>64.555382912473803</v>
      </c>
    </row>
    <row r="356" spans="1:26" x14ac:dyDescent="0.25">
      <c r="A356" s="11" t="s">
        <v>943</v>
      </c>
    </row>
    <row r="357" spans="1:26" x14ac:dyDescent="0.25">
      <c r="A357" s="12" t="s">
        <v>1341</v>
      </c>
      <c r="D357" s="50">
        <f ca="1">OFFSET(Assumptions!$B$51,0,$C$1)*(D$384-D$350-D$391)</f>
        <v>13.60032</v>
      </c>
      <c r="E357" s="50">
        <f ca="1">OFFSET(Assumptions!$B$51,0,$C$1)*(E$384-E$350-E$391)</f>
        <v>13.405950000000001</v>
      </c>
      <c r="F357" s="50">
        <f ca="1">OFFSET(Assumptions!$B$51,0,$C$1)*(F$384-F$350-F$391)</f>
        <v>17.353179999999998</v>
      </c>
      <c r="G357" s="50">
        <f ca="1">OFFSET(Assumptions!$B$51,0,$C$1)*(G$384-G$350-G$391)</f>
        <v>18.69238</v>
      </c>
      <c r="H357" s="50">
        <f ca="1">OFFSET(Assumptions!$B$51,0,$C$1)*(H$384-H$350-H$391)</f>
        <v>18.302400000000006</v>
      </c>
      <c r="I357" s="50">
        <f ca="1">OFFSET(Assumptions!$B$51,0,$C$1)*(I$384-I$350-I$391)</f>
        <v>20.913529999999998</v>
      </c>
      <c r="J357" s="50">
        <f ca="1">OFFSET(Assumptions!$B$51,0,$C$1)*(J$384-J$350-J$391)</f>
        <v>23.303630000000002</v>
      </c>
      <c r="K357" s="50">
        <f ca="1">OFFSET(Assumptions!$B$51,0,$C$1)*(K$384-K$350-K$391)</f>
        <v>26.10324</v>
      </c>
      <c r="L357" s="48">
        <f ca="1">OFFSET(Assumptions!$B$51,0,$C$1)*(L$384-L$350-L$391)</f>
        <v>29.018789999999999</v>
      </c>
      <c r="M357" s="48">
        <f ca="1">OFFSET(Assumptions!$B$51,0,$C$1)*(M$384-M$350-M$391)</f>
        <v>31.759499999999996</v>
      </c>
      <c r="N357" s="48">
        <f ca="1">OFFSET(Assumptions!$B$51,0,$C$1)*(N$384-N$350-N$391)</f>
        <v>33.40343</v>
      </c>
      <c r="O357" s="48">
        <f ca="1">OFFSET(Assumptions!$B$51,0,$C$1)*(O$384-O$350-O$391)</f>
        <v>35.437030000000007</v>
      </c>
      <c r="P357" s="48">
        <f ca="1">OFFSET(Assumptions!$B$51,0,$C$1)*(P$384-P$350-P$391)</f>
        <v>37.7239</v>
      </c>
      <c r="Q357" s="20">
        <f ca="1">OFFSET(Assumptions!$B$51,0,$C$1)*(Q$384-Q$350-Q$391)</f>
        <v>39.840341131485566</v>
      </c>
      <c r="R357" s="20">
        <f ca="1">OFFSET(Assumptions!$B$51,0,$C$1)*(R$384-R$350-R$391)</f>
        <v>42.27120210065344</v>
      </c>
      <c r="S357" s="20">
        <f ca="1">OFFSET(Assumptions!$B$51,0,$C$1)*(S$384-S$350-S$391)</f>
        <v>44.80102122785275</v>
      </c>
      <c r="T357" s="20">
        <f ca="1">OFFSET(Assumptions!$B$51,0,$C$1)*(T$384-T$350-T$391)</f>
        <v>47.43851249917018</v>
      </c>
      <c r="U357" s="20">
        <f ca="1">OFFSET(Assumptions!$B$51,0,$C$1)*(U$384-U$350-U$391)</f>
        <v>50.173474428636439</v>
      </c>
      <c r="V357" s="20">
        <f ca="1">OFFSET(Assumptions!$B$51,0,$C$1)*(V$384-V$350-V$391)</f>
        <v>53.023245434371177</v>
      </c>
      <c r="W357" s="20">
        <f ca="1">OFFSET(Assumptions!$B$51,0,$C$1)*(W$384-W$350-W$391)</f>
        <v>56.015684954567938</v>
      </c>
      <c r="X357" s="20">
        <f ca="1">OFFSET(Assumptions!$B$51,0,$C$1)*(X$384-X$350-X$391)</f>
        <v>59.180395379136463</v>
      </c>
      <c r="Y357" s="20">
        <f ca="1">OFFSET(Assumptions!$B$51,0,$C$1)*(Y$384-Y$350-Y$391)</f>
        <v>62.557059759091054</v>
      </c>
      <c r="Z357" s="20">
        <f ca="1">OFFSET(Assumptions!$B$51,0,$C$1)*(Z$384-Z$350-Z$391)</f>
        <v>66.181534764339972</v>
      </c>
    </row>
    <row r="358" spans="1:26" x14ac:dyDescent="0.25">
      <c r="A358" s="12" t="s">
        <v>1342</v>
      </c>
      <c r="B358" s="14" t="str">
        <f>$B$38</f>
        <v>From Fiscal Forecasts</v>
      </c>
      <c r="D358" s="50">
        <f ca="1">'Fiscal Forecasts'!D$182-D$357</f>
        <v>13.805679999999999</v>
      </c>
      <c r="E358" s="50">
        <f ca="1">'Fiscal Forecasts'!E$182-E$357</f>
        <v>30.260049999999996</v>
      </c>
      <c r="F358" s="50">
        <f ca="1">'Fiscal Forecasts'!F$182-F$357</f>
        <v>20.379819999999999</v>
      </c>
      <c r="G358" s="50">
        <f ca="1">'Fiscal Forecasts'!G$182-G$357</f>
        <v>25.071620000000003</v>
      </c>
      <c r="H358" s="50">
        <f ca="1">'Fiscal Forecasts'!H$182-H$357</f>
        <v>26.112599999999993</v>
      </c>
      <c r="I358" s="50">
        <f ca="1">'Fiscal Forecasts'!I$182-I$357</f>
        <v>31.057469999999999</v>
      </c>
      <c r="J358" s="50">
        <f ca="1">'Fiscal Forecasts'!J$182-J$357</f>
        <v>38.810369999999992</v>
      </c>
      <c r="K358" s="50">
        <f ca="1">'Fiscal Forecasts'!K$182-K$357</f>
        <v>42.483760000000004</v>
      </c>
      <c r="L358" s="48">
        <f ca="1">'Fiscal Forecasts'!L$182-L$357</f>
        <v>36.714210000000008</v>
      </c>
      <c r="M358" s="48">
        <f ca="1">'Fiscal Forecasts'!M$182-M$357</f>
        <v>38.716500000000003</v>
      </c>
      <c r="N358" s="48">
        <f ca="1">'Fiscal Forecasts'!N$182-N$357</f>
        <v>42.012569999999997</v>
      </c>
      <c r="O358" s="48">
        <f ca="1">'Fiscal Forecasts'!O$182-O$357</f>
        <v>43.351969999999994</v>
      </c>
      <c r="P358" s="48">
        <f ca="1">'Fiscal Forecasts'!P$182-P$357</f>
        <v>42.542100000000005</v>
      </c>
      <c r="Q358" s="20">
        <f t="shared" ref="Q358:Z358" ca="1" si="203">P$358*(1+Q$14)</f>
        <v>44.39399544591798</v>
      </c>
      <c r="R358" s="20">
        <f t="shared" ca="1" si="203"/>
        <v>46.283631757603125</v>
      </c>
      <c r="S358" s="20">
        <f t="shared" ca="1" si="203"/>
        <v>48.223329799555685</v>
      </c>
      <c r="T358" s="20">
        <f t="shared" ca="1" si="203"/>
        <v>50.208552592764534</v>
      </c>
      <c r="U358" s="20">
        <f t="shared" ca="1" si="203"/>
        <v>52.263001569850594</v>
      </c>
      <c r="V358" s="20">
        <f t="shared" ca="1" si="203"/>
        <v>54.387407371052014</v>
      </c>
      <c r="W358" s="20">
        <f t="shared" ca="1" si="203"/>
        <v>56.571052404224368</v>
      </c>
      <c r="X358" s="20">
        <f t="shared" ca="1" si="203"/>
        <v>58.81757736362939</v>
      </c>
      <c r="Y358" s="20">
        <f t="shared" ca="1" si="203"/>
        <v>61.138730165588584</v>
      </c>
      <c r="Z358" s="20">
        <f t="shared" ca="1" si="203"/>
        <v>63.535109470011037</v>
      </c>
    </row>
    <row r="359" spans="1:26" x14ac:dyDescent="0.25">
      <c r="A359" s="11" t="s">
        <v>1343</v>
      </c>
      <c r="D359" s="94">
        <f t="shared" ref="D359:Z359" ca="1" si="204">SUM(D$357:D$358)</f>
        <v>27.405999999999999</v>
      </c>
      <c r="E359" s="94">
        <f t="shared" ca="1" si="204"/>
        <v>43.665999999999997</v>
      </c>
      <c r="F359" s="94">
        <f t="shared" ca="1" si="204"/>
        <v>37.732999999999997</v>
      </c>
      <c r="G359" s="94">
        <f t="shared" ca="1" si="204"/>
        <v>43.764000000000003</v>
      </c>
      <c r="H359" s="94">
        <f t="shared" ca="1" si="204"/>
        <v>44.414999999999999</v>
      </c>
      <c r="I359" s="94">
        <f t="shared" ca="1" si="204"/>
        <v>51.970999999999997</v>
      </c>
      <c r="J359" s="94">
        <f t="shared" ca="1" si="204"/>
        <v>62.11399999999999</v>
      </c>
      <c r="K359" s="94">
        <f t="shared" ca="1" si="204"/>
        <v>68.587000000000003</v>
      </c>
      <c r="L359" s="95">
        <f t="shared" ca="1" si="204"/>
        <v>65.733000000000004</v>
      </c>
      <c r="M359" s="95">
        <f t="shared" ca="1" si="204"/>
        <v>70.475999999999999</v>
      </c>
      <c r="N359" s="95">
        <f t="shared" ca="1" si="204"/>
        <v>75.415999999999997</v>
      </c>
      <c r="O359" s="95">
        <f t="shared" ca="1" si="204"/>
        <v>78.789000000000001</v>
      </c>
      <c r="P359" s="95">
        <f t="shared" ca="1" si="204"/>
        <v>80.266000000000005</v>
      </c>
      <c r="Q359" s="96">
        <f t="shared" ca="1" si="204"/>
        <v>84.234336577403553</v>
      </c>
      <c r="R359" s="96">
        <f t="shared" ca="1" si="204"/>
        <v>88.554833858256558</v>
      </c>
      <c r="S359" s="96">
        <f t="shared" ca="1" si="204"/>
        <v>93.024351027408443</v>
      </c>
      <c r="T359" s="96">
        <f t="shared" ca="1" si="204"/>
        <v>97.647065091934707</v>
      </c>
      <c r="U359" s="96">
        <f t="shared" ca="1" si="204"/>
        <v>102.43647599848703</v>
      </c>
      <c r="V359" s="96">
        <f t="shared" ca="1" si="204"/>
        <v>107.41065280542318</v>
      </c>
      <c r="W359" s="96">
        <f t="shared" ca="1" si="204"/>
        <v>112.58673735879231</v>
      </c>
      <c r="X359" s="96">
        <f t="shared" ca="1" si="204"/>
        <v>117.99797274276585</v>
      </c>
      <c r="Y359" s="96">
        <f t="shared" ca="1" si="204"/>
        <v>123.69578992467964</v>
      </c>
      <c r="Z359" s="96">
        <f t="shared" ca="1" si="204"/>
        <v>129.71664423435101</v>
      </c>
    </row>
    <row r="360" spans="1:26" x14ac:dyDescent="0.25">
      <c r="A360" s="12" t="s">
        <v>1020</v>
      </c>
      <c r="B360" s="14" t="str">
        <f>$B$38</f>
        <v>From Fiscal Forecasts</v>
      </c>
      <c r="D360" s="50">
        <f>'Fiscal Forecasts'!D$214</f>
        <v>33.838000000000001</v>
      </c>
      <c r="E360" s="50">
        <f>'Fiscal Forecasts'!E$214</f>
        <v>34.494</v>
      </c>
      <c r="F360" s="50">
        <f>'Fiscal Forecasts'!F$214</f>
        <v>33.545999999999999</v>
      </c>
      <c r="G360" s="50">
        <f>'Fiscal Forecasts'!G$214</f>
        <v>31.513000000000002</v>
      </c>
      <c r="H360" s="50">
        <f>'Fiscal Forecasts'!H$214</f>
        <v>34.506</v>
      </c>
      <c r="I360" s="50">
        <f>'Fiscal Forecasts'!I$214</f>
        <v>39.212000000000003</v>
      </c>
      <c r="J360" s="50">
        <f>'Fiscal Forecasts'!J$214</f>
        <v>44.944000000000003</v>
      </c>
      <c r="K360" s="50">
        <f>'Fiscal Forecasts'!K$214</f>
        <v>47.911000000000001</v>
      </c>
      <c r="L360" s="48">
        <f>'Fiscal Forecasts'!L$214</f>
        <v>48.524999999999999</v>
      </c>
      <c r="M360" s="48">
        <f>'Fiscal Forecasts'!M$214</f>
        <v>49.545999999999999</v>
      </c>
      <c r="N360" s="48">
        <f>'Fiscal Forecasts'!N$214</f>
        <v>50.540999999999997</v>
      </c>
      <c r="O360" s="48">
        <f>'Fiscal Forecasts'!O$214</f>
        <v>52.61</v>
      </c>
      <c r="P360" s="48">
        <f>'Fiscal Forecasts'!P$214</f>
        <v>54.841999999999999</v>
      </c>
      <c r="Q360" s="20">
        <f ca="1">P$360*AVERAGE(Exogenous!AB$29/Exogenous!AA$29,1+Q$14)</f>
        <v>57.031776025129474</v>
      </c>
      <c r="R360" s="20">
        <f ca="1">Q$360*AVERAGE(Exogenous!AC$29/Exogenous!AB$29,1+R$14)</f>
        <v>59.455405252808703</v>
      </c>
      <c r="S360" s="20">
        <f ca="1">R$360*AVERAGE(Exogenous!AD$29/Exogenous!AC$29,1+S$14)</f>
        <v>62.152901174691372</v>
      </c>
      <c r="T360" s="20">
        <f ca="1">S$360*AVERAGE(Exogenous!AE$29/Exogenous!AD$29,1+T$14)</f>
        <v>65.185334557155159</v>
      </c>
      <c r="U360" s="20">
        <f ca="1">T$360*AVERAGE(Exogenous!AF$29/Exogenous!AE$29,1+U$14)</f>
        <v>68.550115135603448</v>
      </c>
      <c r="V360" s="20">
        <f ca="1">U$360*AVERAGE(Exogenous!AG$29/Exogenous!AF$29,1+V$14)</f>
        <v>72.04592937288129</v>
      </c>
      <c r="W360" s="20">
        <f ca="1">V$360*AVERAGE(Exogenous!AH$29/Exogenous!AG$29,1+W$14)</f>
        <v>75.642494203682332</v>
      </c>
      <c r="X360" s="20">
        <f ca="1">W$360*AVERAGE(Exogenous!AI$29/Exogenous!AH$29,1+X$14)</f>
        <v>79.329363736532812</v>
      </c>
      <c r="Y360" s="20">
        <f ca="1">X$360*AVERAGE(Exogenous!AJ$29/Exogenous!AI$29,1+Y$14)</f>
        <v>83.134569258151942</v>
      </c>
      <c r="Z360" s="20">
        <f ca="1">Y$360*AVERAGE(Exogenous!AK$29/Exogenous!AJ$29,1+Z$14)</f>
        <v>87.043844665109802</v>
      </c>
    </row>
    <row r="361" spans="1:26" x14ac:dyDescent="0.25">
      <c r="A361" s="12" t="s">
        <v>1227</v>
      </c>
      <c r="B361" s="14" t="str">
        <f>$B$38</f>
        <v>From Fiscal Forecasts</v>
      </c>
      <c r="D361" s="50">
        <f>'Fiscal Forecasts'!D$215</f>
        <v>3.3879999999999999</v>
      </c>
      <c r="E361" s="50">
        <f>'Fiscal Forecasts'!E$215</f>
        <v>3.88</v>
      </c>
      <c r="F361" s="50">
        <f>'Fiscal Forecasts'!F$215</f>
        <v>3.3250000000000002</v>
      </c>
      <c r="G361" s="50">
        <f>'Fiscal Forecasts'!G$215</f>
        <v>5.3479999999999999</v>
      </c>
      <c r="H361" s="50">
        <f>'Fiscal Forecasts'!H$215</f>
        <v>3.9380000000000002</v>
      </c>
      <c r="I361" s="50">
        <f>'Fiscal Forecasts'!I$215</f>
        <v>2.9710000000000001</v>
      </c>
      <c r="J361" s="50">
        <f>'Fiscal Forecasts'!J$215</f>
        <v>2.6240000000000001</v>
      </c>
      <c r="K361" s="50">
        <f>'Fiscal Forecasts'!K$215</f>
        <v>2.4279999999999999</v>
      </c>
      <c r="L361" s="48">
        <f>'Fiscal Forecasts'!L$215</f>
        <v>2.3250000000000002</v>
      </c>
      <c r="M361" s="48">
        <f>'Fiscal Forecasts'!M$215</f>
        <v>2.4729999999999999</v>
      </c>
      <c r="N361" s="48">
        <f>'Fiscal Forecasts'!N$215</f>
        <v>2.6179999999999999</v>
      </c>
      <c r="O361" s="48">
        <f>'Fiscal Forecasts'!O$215</f>
        <v>2.7669999999999999</v>
      </c>
      <c r="P361" s="48">
        <f>'Fiscal Forecasts'!P$215</f>
        <v>2.6669999999999998</v>
      </c>
      <c r="Q361" s="20">
        <f t="shared" ref="Q361:Z361" ca="1" si="205">P$361*(1+Q$14)</f>
        <v>2.7830968817774213</v>
      </c>
      <c r="R361" s="20">
        <f t="shared" ca="1" si="205"/>
        <v>2.901559770145985</v>
      </c>
      <c r="S361" s="20">
        <f t="shared" ca="1" si="205"/>
        <v>3.0231610704552661</v>
      </c>
      <c r="T361" s="20">
        <f t="shared" ca="1" si="205"/>
        <v>3.147616355678327</v>
      </c>
      <c r="U361" s="20">
        <f t="shared" ca="1" si="205"/>
        <v>3.2764114885440887</v>
      </c>
      <c r="V361" s="20">
        <f t="shared" ca="1" si="205"/>
        <v>3.4095922735030868</v>
      </c>
      <c r="W361" s="20">
        <f t="shared" ca="1" si="205"/>
        <v>3.5464868156970701</v>
      </c>
      <c r="X361" s="20">
        <f t="shared" ca="1" si="205"/>
        <v>3.6873233533088285</v>
      </c>
      <c r="Y361" s="20">
        <f t="shared" ca="1" si="205"/>
        <v>3.8328383730851243</v>
      </c>
      <c r="Z361" s="20">
        <f t="shared" ca="1" si="205"/>
        <v>3.9830694055187532</v>
      </c>
    </row>
    <row r="362" spans="1:26" x14ac:dyDescent="0.25">
      <c r="A362" s="12" t="s">
        <v>1228</v>
      </c>
      <c r="B362" s="14" t="str">
        <f>$B$38</f>
        <v>From Fiscal Forecasts</v>
      </c>
      <c r="D362" s="50">
        <f ca="1">'Fiscal Forecasts'!D$122-SUM(D$359:D$361)</f>
        <v>-21.016000000000005</v>
      </c>
      <c r="E362" s="50">
        <f ca="1">'Fiscal Forecasts'!E$122-SUM(E$359:E$361)</f>
        <v>-21.034999999999989</v>
      </c>
      <c r="F362" s="50">
        <f ca="1">'Fiscal Forecasts'!F$122-SUM(F$359:F$361)</f>
        <v>-17.820999999999998</v>
      </c>
      <c r="G362" s="50">
        <f ca="1">'Fiscal Forecasts'!G$122-SUM(G$359:G$361)</f>
        <v>-15.168999999999997</v>
      </c>
      <c r="H362" s="50">
        <f ca="1">'Fiscal Forecasts'!H$122-SUM(H$359:H$361)</f>
        <v>-16.369</v>
      </c>
      <c r="I362" s="50">
        <f ca="1">'Fiscal Forecasts'!I$122-SUM(I$359:I$361)</f>
        <v>-20.507999999999996</v>
      </c>
      <c r="J362" s="50">
        <f ca="1">'Fiscal Forecasts'!J$122-SUM(J$359:J$361)</f>
        <v>-27.137999999999991</v>
      </c>
      <c r="K362" s="50">
        <f ca="1">'Fiscal Forecasts'!K$122-SUM(K$359:K$361)</f>
        <v>-29.459000000000003</v>
      </c>
      <c r="L362" s="48">
        <f ca="1">'Fiscal Forecasts'!L$122-SUM(L$359:L$361)</f>
        <v>-29.169000000000011</v>
      </c>
      <c r="M362" s="48">
        <f ca="1">'Fiscal Forecasts'!M$122-SUM(M$359:M$361)</f>
        <v>-29.719999999999985</v>
      </c>
      <c r="N362" s="48">
        <f ca="1">'Fiscal Forecasts'!N$122-SUM(N$359:N$361)</f>
        <v>-30.209999999999994</v>
      </c>
      <c r="O362" s="48">
        <f ca="1">'Fiscal Forecasts'!O$122-SUM(O$359:O$361)</f>
        <v>-30.920999999999992</v>
      </c>
      <c r="P362" s="48">
        <f ca="1">'Fiscal Forecasts'!P$122-SUM(P$359:P$361)</f>
        <v>-31.77600000000001</v>
      </c>
      <c r="Q362" s="20">
        <f t="shared" ref="Q362:Z362" ca="1" si="206">P$362*Q$360/P$360</f>
        <v>-33.044777998149499</v>
      </c>
      <c r="R362" s="20">
        <f t="shared" ca="1" si="206"/>
        <v>-34.449052866657851</v>
      </c>
      <c r="S362" s="20">
        <f t="shared" ca="1" si="206"/>
        <v>-36.012008820374781</v>
      </c>
      <c r="T362" s="20">
        <f t="shared" ca="1" si="206"/>
        <v>-37.769030868461449</v>
      </c>
      <c r="U362" s="20">
        <f t="shared" ca="1" si="206"/>
        <v>-39.718618185860024</v>
      </c>
      <c r="V362" s="20">
        <f t="shared" ca="1" si="206"/>
        <v>-41.744127707827509</v>
      </c>
      <c r="W362" s="20">
        <f t="shared" ca="1" si="206"/>
        <v>-43.828013125272783</v>
      </c>
      <c r="X362" s="20">
        <f t="shared" ca="1" si="206"/>
        <v>-45.964221984830367</v>
      </c>
      <c r="Y362" s="20">
        <f t="shared" ca="1" si="206"/>
        <v>-48.168995892692401</v>
      </c>
      <c r="Z362" s="20">
        <f t="shared" ca="1" si="206"/>
        <v>-50.434068926708171</v>
      </c>
    </row>
    <row r="363" spans="1:26" x14ac:dyDescent="0.25">
      <c r="A363" s="11" t="s">
        <v>1344</v>
      </c>
      <c r="D363" s="94">
        <f t="shared" ref="D363:Z363" ca="1" si="207">SUM(D$359:D$362)</f>
        <v>43.616</v>
      </c>
      <c r="E363" s="94">
        <f t="shared" ca="1" si="207"/>
        <v>61.005000000000003</v>
      </c>
      <c r="F363" s="94">
        <f t="shared" ca="1" si="207"/>
        <v>56.783000000000001</v>
      </c>
      <c r="G363" s="94">
        <f t="shared" ca="1" si="207"/>
        <v>65.456000000000003</v>
      </c>
      <c r="H363" s="94">
        <f t="shared" ca="1" si="207"/>
        <v>66.489999999999995</v>
      </c>
      <c r="I363" s="94">
        <f t="shared" ca="1" si="207"/>
        <v>73.646000000000001</v>
      </c>
      <c r="J363" s="94">
        <f t="shared" ca="1" si="207"/>
        <v>82.543999999999997</v>
      </c>
      <c r="K363" s="94">
        <f t="shared" ca="1" si="207"/>
        <v>89.466999999999999</v>
      </c>
      <c r="L363" s="95">
        <f t="shared" ca="1" si="207"/>
        <v>87.414000000000001</v>
      </c>
      <c r="M363" s="95">
        <f t="shared" ca="1" si="207"/>
        <v>92.775000000000006</v>
      </c>
      <c r="N363" s="95">
        <f t="shared" ca="1" si="207"/>
        <v>98.364999999999995</v>
      </c>
      <c r="O363" s="95">
        <f t="shared" ca="1" si="207"/>
        <v>103.245</v>
      </c>
      <c r="P363" s="95">
        <f t="shared" ca="1" si="207"/>
        <v>105.999</v>
      </c>
      <c r="Q363" s="96">
        <f t="shared" ca="1" si="207"/>
        <v>111.00443148616097</v>
      </c>
      <c r="R363" s="96">
        <f t="shared" ca="1" si="207"/>
        <v>116.46274601455339</v>
      </c>
      <c r="S363" s="96">
        <f t="shared" ca="1" si="207"/>
        <v>122.18840445218032</v>
      </c>
      <c r="T363" s="96">
        <f t="shared" ca="1" si="207"/>
        <v>128.21098513630676</v>
      </c>
      <c r="U363" s="96">
        <f t="shared" ca="1" si="207"/>
        <v>134.54438443677452</v>
      </c>
      <c r="V363" s="96">
        <f t="shared" ca="1" si="207"/>
        <v>141.12204674398004</v>
      </c>
      <c r="W363" s="96">
        <f t="shared" ca="1" si="207"/>
        <v>147.94770525289894</v>
      </c>
      <c r="X363" s="96">
        <f t="shared" ca="1" si="207"/>
        <v>155.05043784777712</v>
      </c>
      <c r="Y363" s="96">
        <f t="shared" ca="1" si="207"/>
        <v>162.49420166322432</v>
      </c>
      <c r="Z363" s="96">
        <f t="shared" ca="1" si="207"/>
        <v>170.30948937827142</v>
      </c>
    </row>
    <row r="365" spans="1:26" x14ac:dyDescent="0.25">
      <c r="A365" s="11" t="s">
        <v>944</v>
      </c>
    </row>
    <row r="366" spans="1:26" x14ac:dyDescent="0.25">
      <c r="A366" s="12" t="s">
        <v>1345</v>
      </c>
      <c r="D366" s="50">
        <f ca="1">SUM(OFFSET(Assumptions!$B$52,0,$C$1),OFFSET(Assumptions!$B$53,0,$C$1))*(D$384-D$350-D$391)-D$388</f>
        <v>25.267520000000001</v>
      </c>
      <c r="E366" s="50">
        <f ca="1">SUM(OFFSET(Assumptions!$B$52,0,$C$1),OFFSET(Assumptions!$B$53,0,$C$1))*(E$384-E$350-E$391)-E$388</f>
        <v>24.321700000000007</v>
      </c>
      <c r="F366" s="50">
        <f ca="1">SUM(OFFSET(Assumptions!$B$52,0,$C$1),OFFSET(Assumptions!$B$53,0,$C$1))*(F$384-F$350-F$391)-F$388</f>
        <v>32.22748</v>
      </c>
      <c r="G366" s="50">
        <f ca="1">SUM(OFFSET(Assumptions!$B$52,0,$C$1),OFFSET(Assumptions!$B$53,0,$C$1))*(G$384-G$350-G$391)-G$388</f>
        <v>33.700679999999991</v>
      </c>
      <c r="H366" s="50">
        <f ca="1">SUM(OFFSET(Assumptions!$B$52,0,$C$1),OFFSET(Assumptions!$B$53,0,$C$1))*(H$384-H$350-H$391)-H$388</f>
        <v>31.649400000000007</v>
      </c>
      <c r="I366" s="50">
        <f ca="1">SUM(OFFSET(Assumptions!$B$52,0,$C$1),OFFSET(Assumptions!$B$53,0,$C$1))*(I$384-I$350-I$391)-I$388</f>
        <v>37.351579999999998</v>
      </c>
      <c r="J366" s="50">
        <f ca="1">SUM(OFFSET(Assumptions!$B$52,0,$C$1),OFFSET(Assumptions!$B$53,0,$C$1))*(J$384-J$350-J$391)-J$388</f>
        <v>41.521180000000001</v>
      </c>
      <c r="K366" s="50">
        <f ca="1">SUM(OFFSET(Assumptions!$B$52,0,$C$1),OFFSET(Assumptions!$B$53,0,$C$1))*(K$384-K$350-K$391)-K$388</f>
        <v>45.071639999999995</v>
      </c>
      <c r="L366" s="48">
        <f ca="1">SUM(OFFSET(Assumptions!$B$52,0,$C$1),OFFSET(Assumptions!$B$53,0,$C$1))*(L$384-L$350-L$391)-L$388</f>
        <v>50.456940000000003</v>
      </c>
      <c r="M366" s="48">
        <f ca="1">SUM(OFFSET(Assumptions!$B$52,0,$C$1),OFFSET(Assumptions!$B$53,0,$C$1))*(M$384-M$350-M$391)-M$388</f>
        <v>55.367999999999988</v>
      </c>
      <c r="N366" s="48">
        <f ca="1">SUM(OFFSET(Assumptions!$B$52,0,$C$1),OFFSET(Assumptions!$B$53,0,$C$1))*(N$384-N$350-N$391)-N$388</f>
        <v>57.913979999999995</v>
      </c>
      <c r="O366" s="48">
        <f ca="1">SUM(OFFSET(Assumptions!$B$52,0,$C$1),OFFSET(Assumptions!$B$53,0,$C$1))*(O$384-O$350-O$391)-O$388</f>
        <v>61.21858000000001</v>
      </c>
      <c r="P366" s="48">
        <f ca="1">SUM(OFFSET(Assumptions!$B$52,0,$C$1),OFFSET(Assumptions!$B$53,0,$C$1))*(P$384-P$350-P$391)-P$388</f>
        <v>64.983400000000017</v>
      </c>
      <c r="Q366" s="20">
        <f ca="1">OFFSET(Assumptions!$B$52,0,$C$1)*(Q$384-Q$350-Q$391)</f>
        <v>70.68447620102279</v>
      </c>
      <c r="R366" s="20">
        <f ca="1">OFFSET(Assumptions!$B$52,0,$C$1)*(R$384-R$350-R$391)</f>
        <v>74.997294049546426</v>
      </c>
      <c r="S366" s="20">
        <f ca="1">OFFSET(Assumptions!$B$52,0,$C$1)*(S$384-S$350-S$391)</f>
        <v>79.485682823609721</v>
      </c>
      <c r="T366" s="20">
        <f ca="1">OFFSET(Assumptions!$B$52,0,$C$1)*(T$384-T$350-T$391)</f>
        <v>84.165102821108391</v>
      </c>
      <c r="U366" s="20">
        <f ca="1">OFFSET(Assumptions!$B$52,0,$C$1)*(U$384-U$350-U$391)</f>
        <v>89.017454631451756</v>
      </c>
      <c r="V366" s="20">
        <f ca="1">OFFSET(Assumptions!$B$52,0,$C$1)*(V$384-V$350-V$391)</f>
        <v>94.073499964206945</v>
      </c>
      <c r="W366" s="20">
        <f ca="1">OFFSET(Assumptions!$B$52,0,$C$1)*(W$384-W$350-W$391)</f>
        <v>99.382666854878607</v>
      </c>
      <c r="X366" s="20">
        <f ca="1">OFFSET(Assumptions!$B$52,0,$C$1)*(X$384-X$350-X$391)</f>
        <v>104.99747567266147</v>
      </c>
      <c r="Y366" s="20">
        <f ca="1">OFFSET(Assumptions!$B$52,0,$C$1)*(Y$384-Y$350-Y$391)</f>
        <v>110.98833183064544</v>
      </c>
      <c r="Z366" s="20">
        <f ca="1">OFFSET(Assumptions!$B$52,0,$C$1)*(Z$384-Z$350-Z$391)</f>
        <v>117.41885200124834</v>
      </c>
    </row>
    <row r="367" spans="1:26" x14ac:dyDescent="0.25">
      <c r="A367" s="12" t="s">
        <v>1346</v>
      </c>
      <c r="B367" s="14" t="str">
        <f>$B$38</f>
        <v>From Fiscal Forecasts</v>
      </c>
      <c r="D367" s="50">
        <f ca="1">'Fiscal Forecasts'!D$183-D$366</f>
        <v>1.1274799999999985</v>
      </c>
      <c r="E367" s="50">
        <f ca="1">'Fiscal Forecasts'!E$183-E$366</f>
        <v>-6.4617000000000075</v>
      </c>
      <c r="F367" s="50">
        <f ca="1">'Fiscal Forecasts'!F$183-F$366</f>
        <v>-3.5834800000000016</v>
      </c>
      <c r="G367" s="50">
        <f ca="1">'Fiscal Forecasts'!G$183-G$366</f>
        <v>-4.5476799999999926</v>
      </c>
      <c r="H367" s="50">
        <f ca="1">'Fiscal Forecasts'!H$183-H$366</f>
        <v>-2.651400000000006</v>
      </c>
      <c r="I367" s="50">
        <f ca="1">'Fiscal Forecasts'!I$183-I$366</f>
        <v>-1.3579999999997483E-2</v>
      </c>
      <c r="J367" s="50">
        <f ca="1">'Fiscal Forecasts'!J$183-J$366</f>
        <v>1.4638199999999983</v>
      </c>
      <c r="K367" s="50">
        <f ca="1">'Fiscal Forecasts'!K$183-K$366</f>
        <v>5.6813600000000051</v>
      </c>
      <c r="L367" s="48">
        <f ca="1">'Fiscal Forecasts'!L$183-L$366</f>
        <v>3.6750599999999949</v>
      </c>
      <c r="M367" s="48">
        <f ca="1">'Fiscal Forecasts'!M$183-M$366</f>
        <v>3.0080000000000098</v>
      </c>
      <c r="N367" s="48">
        <f ca="1">'Fiscal Forecasts'!N$183-N$366</f>
        <v>3.1720200000000034</v>
      </c>
      <c r="O367" s="48">
        <f ca="1">'Fiscal Forecasts'!O$183-O$366</f>
        <v>3.6244199999999935</v>
      </c>
      <c r="P367" s="48">
        <f ca="1">'Fiscal Forecasts'!P$183-P$366</f>
        <v>3.9635999999999854</v>
      </c>
      <c r="Q367" s="20">
        <f t="shared" ref="Q367:Z367" ca="1" si="208">P$367*(1+Q$14)</f>
        <v>4.1361390328507488</v>
      </c>
      <c r="R367" s="20">
        <f t="shared" ca="1" si="208"/>
        <v>4.3121943400639617</v>
      </c>
      <c r="S367" s="20">
        <f t="shared" ca="1" si="208"/>
        <v>4.4929138428408137</v>
      </c>
      <c r="T367" s="20">
        <f t="shared" ca="1" si="208"/>
        <v>4.6778748359079767</v>
      </c>
      <c r="U367" s="20">
        <f t="shared" ca="1" si="208"/>
        <v>4.8692855553030761</v>
      </c>
      <c r="V367" s="20">
        <f t="shared" ca="1" si="208"/>
        <v>5.0672140739620497</v>
      </c>
      <c r="W367" s="20">
        <f t="shared" ca="1" si="208"/>
        <v>5.2706618457805989</v>
      </c>
      <c r="X367" s="20">
        <f t="shared" ca="1" si="208"/>
        <v>5.4799680701817852</v>
      </c>
      <c r="Y367" s="20">
        <f t="shared" ca="1" si="208"/>
        <v>5.6962272874241267</v>
      </c>
      <c r="Z367" s="20">
        <f t="shared" ca="1" si="208"/>
        <v>5.9194952739835305</v>
      </c>
    </row>
    <row r="368" spans="1:26" x14ac:dyDescent="0.25">
      <c r="A368" s="11" t="s">
        <v>1347</v>
      </c>
      <c r="D368" s="94">
        <f t="shared" ref="D368:Z368" ca="1" si="209">SUM(D$366:D$367)</f>
        <v>26.395</v>
      </c>
      <c r="E368" s="94">
        <f t="shared" ca="1" si="209"/>
        <v>17.86</v>
      </c>
      <c r="F368" s="94">
        <f t="shared" ca="1" si="209"/>
        <v>28.643999999999998</v>
      </c>
      <c r="G368" s="94">
        <f t="shared" ca="1" si="209"/>
        <v>29.152999999999999</v>
      </c>
      <c r="H368" s="94">
        <f t="shared" ca="1" si="209"/>
        <v>28.998000000000001</v>
      </c>
      <c r="I368" s="94">
        <f t="shared" ca="1" si="209"/>
        <v>37.338000000000001</v>
      </c>
      <c r="J368" s="94">
        <f t="shared" ca="1" si="209"/>
        <v>42.984999999999999</v>
      </c>
      <c r="K368" s="94">
        <f t="shared" ca="1" si="209"/>
        <v>50.753</v>
      </c>
      <c r="L368" s="95">
        <f t="shared" ca="1" si="209"/>
        <v>54.131999999999998</v>
      </c>
      <c r="M368" s="95">
        <f t="shared" ca="1" si="209"/>
        <v>58.375999999999998</v>
      </c>
      <c r="N368" s="95">
        <f t="shared" ca="1" si="209"/>
        <v>61.085999999999999</v>
      </c>
      <c r="O368" s="95">
        <f t="shared" ca="1" si="209"/>
        <v>64.843000000000004</v>
      </c>
      <c r="P368" s="95">
        <f t="shared" ca="1" si="209"/>
        <v>68.947000000000003</v>
      </c>
      <c r="Q368" s="96">
        <f t="shared" ca="1" si="209"/>
        <v>74.820615233873539</v>
      </c>
      <c r="R368" s="96">
        <f t="shared" ca="1" si="209"/>
        <v>79.309488389610394</v>
      </c>
      <c r="S368" s="96">
        <f t="shared" ca="1" si="209"/>
        <v>83.978596666450528</v>
      </c>
      <c r="T368" s="96">
        <f t="shared" ca="1" si="209"/>
        <v>88.842977657016363</v>
      </c>
      <c r="U368" s="96">
        <f t="shared" ca="1" si="209"/>
        <v>93.886740186754835</v>
      </c>
      <c r="V368" s="96">
        <f t="shared" ca="1" si="209"/>
        <v>99.140714038168994</v>
      </c>
      <c r="W368" s="96">
        <f t="shared" ca="1" si="209"/>
        <v>104.6533287006592</v>
      </c>
      <c r="X368" s="96">
        <f t="shared" ca="1" si="209"/>
        <v>110.47744374284325</v>
      </c>
      <c r="Y368" s="96">
        <f t="shared" ca="1" si="209"/>
        <v>116.68455911806956</v>
      </c>
      <c r="Z368" s="96">
        <f t="shared" ca="1" si="209"/>
        <v>123.33834727523187</v>
      </c>
    </row>
    <row r="369" spans="1:26" x14ac:dyDescent="0.25">
      <c r="A369" s="12" t="s">
        <v>1020</v>
      </c>
      <c r="B369" s="14" t="str">
        <f>$B$38</f>
        <v>From Fiscal Forecasts</v>
      </c>
      <c r="D369" s="50">
        <f>'Fiscal Forecasts'!D$216</f>
        <v>14.254</v>
      </c>
      <c r="E369" s="50">
        <f>'Fiscal Forecasts'!E$216</f>
        <v>17.135000000000002</v>
      </c>
      <c r="F369" s="50">
        <f>'Fiscal Forecasts'!F$216</f>
        <v>21.521999999999998</v>
      </c>
      <c r="G369" s="50">
        <f>'Fiscal Forecasts'!G$216</f>
        <v>18.613</v>
      </c>
      <c r="H369" s="50">
        <f>'Fiscal Forecasts'!H$216</f>
        <v>19.635000000000002</v>
      </c>
      <c r="I369" s="50">
        <f>'Fiscal Forecasts'!I$216</f>
        <v>16.818999999999999</v>
      </c>
      <c r="J369" s="50">
        <f>'Fiscal Forecasts'!J$216</f>
        <v>17.253</v>
      </c>
      <c r="K369" s="50">
        <f>'Fiscal Forecasts'!K$216</f>
        <v>17.209</v>
      </c>
      <c r="L369" s="48">
        <f>'Fiscal Forecasts'!L$216</f>
        <v>16.515999999999998</v>
      </c>
      <c r="M369" s="48">
        <f>'Fiscal Forecasts'!M$216</f>
        <v>16.759</v>
      </c>
      <c r="N369" s="48">
        <f>'Fiscal Forecasts'!N$216</f>
        <v>16.863</v>
      </c>
      <c r="O369" s="48">
        <f>'Fiscal Forecasts'!O$216</f>
        <v>16.975000000000001</v>
      </c>
      <c r="P369" s="48">
        <f>'Fiscal Forecasts'!P$216</f>
        <v>17.091000000000001</v>
      </c>
      <c r="Q369" s="20">
        <f ca="1">P$369*AVERAGE(Exogenous!AB$29/Exogenous!AA$29,1+Q$14)</f>
        <v>17.773423362486561</v>
      </c>
      <c r="R369" s="20">
        <f ca="1">Q$369*AVERAGE(Exogenous!AC$29/Exogenous!AB$29,1+R$14)</f>
        <v>18.528724903828337</v>
      </c>
      <c r="S369" s="20">
        <f ca="1">R$369*AVERAGE(Exogenous!AD$29/Exogenous!AC$29,1+S$14)</f>
        <v>19.369374457106787</v>
      </c>
      <c r="T369" s="20">
        <f ca="1">S$369*AVERAGE(Exogenous!AE$29/Exogenous!AD$29,1+T$14)</f>
        <v>20.314404159518965</v>
      </c>
      <c r="U369" s="20">
        <f ca="1">T$369*AVERAGE(Exogenous!AF$29/Exogenous!AE$29,1+U$14)</f>
        <v>21.363006779158287</v>
      </c>
      <c r="V369" s="20">
        <f ca="1">U$369*AVERAGE(Exogenous!AG$29/Exogenous!AF$29,1+V$14)</f>
        <v>22.452444821704432</v>
      </c>
      <c r="W369" s="20">
        <f ca="1">V$369*AVERAGE(Exogenous!AH$29/Exogenous!AG$29,1+W$14)</f>
        <v>23.573280851083751</v>
      </c>
      <c r="X369" s="20">
        <f ca="1">W$369*AVERAGE(Exogenous!AI$29/Exogenous!AH$29,1+X$14)</f>
        <v>24.72225950222608</v>
      </c>
      <c r="Y369" s="20">
        <f ca="1">X$369*AVERAGE(Exogenous!AJ$29/Exogenous!AI$29,1+Y$14)</f>
        <v>25.908116465319925</v>
      </c>
      <c r="Z369" s="20">
        <f ca="1">Y$369*AVERAGE(Exogenous!AK$29/Exogenous!AJ$29,1+Z$14)</f>
        <v>27.126405841716061</v>
      </c>
    </row>
    <row r="370" spans="1:26" x14ac:dyDescent="0.25">
      <c r="A370" s="12" t="s">
        <v>1227</v>
      </c>
      <c r="B370" s="14" t="str">
        <f>$B$38</f>
        <v>From Fiscal Forecasts</v>
      </c>
      <c r="D370" s="50">
        <f>'Fiscal Forecasts'!D$217</f>
        <v>0.27900000000000003</v>
      </c>
      <c r="E370" s="50">
        <f>'Fiscal Forecasts'!E$217</f>
        <v>3.7999999999999999E-2</v>
      </c>
      <c r="F370" s="50">
        <f>'Fiscal Forecasts'!F$217</f>
        <v>3.7999999999999999E-2</v>
      </c>
      <c r="G370" s="50">
        <f>'Fiscal Forecasts'!G$217</f>
        <v>3.4000000000000002E-2</v>
      </c>
      <c r="H370" s="50">
        <f>'Fiscal Forecasts'!H$217</f>
        <v>3.5999999999999997E-2</v>
      </c>
      <c r="I370" s="50">
        <f>'Fiscal Forecasts'!I$217</f>
        <v>3.2000000000000001E-2</v>
      </c>
      <c r="J370" s="50">
        <f>'Fiscal Forecasts'!J$217</f>
        <v>0.04</v>
      </c>
      <c r="K370" s="50">
        <f>'Fiscal Forecasts'!K$217</f>
        <v>4.2000000000000003E-2</v>
      </c>
      <c r="L370" s="48">
        <f>'Fiscal Forecasts'!L$217</f>
        <v>4.2000000000000003E-2</v>
      </c>
      <c r="M370" s="48">
        <f>'Fiscal Forecasts'!M$217</f>
        <v>4.2000000000000003E-2</v>
      </c>
      <c r="N370" s="48">
        <f>'Fiscal Forecasts'!N$217</f>
        <v>4.2000000000000003E-2</v>
      </c>
      <c r="O370" s="48">
        <f>'Fiscal Forecasts'!O$217</f>
        <v>4.2000000000000003E-2</v>
      </c>
      <c r="P370" s="48">
        <f>'Fiscal Forecasts'!P$217</f>
        <v>4.2000000000000003E-2</v>
      </c>
      <c r="Q370" s="20">
        <f t="shared" ref="Q370:Z370" ca="1" si="210">P$370*(1+Q$14)</f>
        <v>4.3828297350825537E-2</v>
      </c>
      <c r="R370" s="20">
        <f t="shared" ca="1" si="210"/>
        <v>4.5693854647968275E-2</v>
      </c>
      <c r="S370" s="20">
        <f t="shared" ca="1" si="210"/>
        <v>4.760883575520105E-2</v>
      </c>
      <c r="T370" s="20">
        <f t="shared" ca="1" si="210"/>
        <v>4.9568761506745322E-2</v>
      </c>
      <c r="U370" s="20">
        <f t="shared" ca="1" si="210"/>
        <v>5.1597031315654955E-2</v>
      </c>
      <c r="V370" s="20">
        <f t="shared" ca="1" si="210"/>
        <v>5.3694366511859652E-2</v>
      </c>
      <c r="W370" s="20">
        <f t="shared" ca="1" si="210"/>
        <v>5.5850186073969632E-2</v>
      </c>
      <c r="X370" s="20">
        <f t="shared" ca="1" si="210"/>
        <v>5.8068084304076062E-2</v>
      </c>
      <c r="Y370" s="20">
        <f t="shared" ca="1" si="210"/>
        <v>6.0359659418663399E-2</v>
      </c>
      <c r="Z370" s="20">
        <f t="shared" ca="1" si="210"/>
        <v>6.2725502449114248E-2</v>
      </c>
    </row>
    <row r="371" spans="1:26" x14ac:dyDescent="0.25">
      <c r="A371" s="12" t="s">
        <v>1228</v>
      </c>
      <c r="B371" s="14" t="str">
        <f>$B$38</f>
        <v>From Fiscal Forecasts</v>
      </c>
      <c r="D371" s="50">
        <f ca="1">'Fiscal Forecasts'!D$123-SUM(D$368:D$370)</f>
        <v>-1.3760000000000048</v>
      </c>
      <c r="E371" s="50">
        <f ca="1">'Fiscal Forecasts'!E$123-SUM(E$368:E$370)</f>
        <v>-1.2420000000000044</v>
      </c>
      <c r="F371" s="50">
        <f ca="1">'Fiscal Forecasts'!F$123-SUM(F$368:F$370)</f>
        <v>-1.664999999999992</v>
      </c>
      <c r="G371" s="50">
        <f ca="1">'Fiscal Forecasts'!G$123-SUM(G$368:G$370)</f>
        <v>-1.5389999999999944</v>
      </c>
      <c r="H371" s="50">
        <f ca="1">'Fiscal Forecasts'!H$123-SUM(H$368:H$370)</f>
        <v>-0.62300000000000466</v>
      </c>
      <c r="I371" s="50">
        <f ca="1">'Fiscal Forecasts'!I$123-SUM(I$368:I$370)</f>
        <v>-0.69399999999999551</v>
      </c>
      <c r="J371" s="50">
        <f ca="1">'Fiscal Forecasts'!J$123-SUM(J$368:J$370)</f>
        <v>-0.70499999999999829</v>
      </c>
      <c r="K371" s="50">
        <f ca="1">'Fiscal Forecasts'!K$123-SUM(K$368:K$370)</f>
        <v>-0.78300000000000125</v>
      </c>
      <c r="L371" s="48">
        <f ca="1">'Fiscal Forecasts'!L$123-SUM(L$368:L$370)</f>
        <v>-0.80100000000000193</v>
      </c>
      <c r="M371" s="48">
        <f ca="1">'Fiscal Forecasts'!M$123-SUM(M$368:M$370)</f>
        <v>-0.82599999999999341</v>
      </c>
      <c r="N371" s="48">
        <f ca="1">'Fiscal Forecasts'!N$123-SUM(N$368:N$370)</f>
        <v>-0.85599999999999454</v>
      </c>
      <c r="O371" s="48">
        <f ca="1">'Fiscal Forecasts'!O$123-SUM(O$368:O$370)</f>
        <v>-0.89300000000001489</v>
      </c>
      <c r="P371" s="48">
        <f ca="1">'Fiscal Forecasts'!P$123-SUM(P$368:P$370)</f>
        <v>-0.93300000000000693</v>
      </c>
      <c r="Q371" s="20">
        <f t="shared" ref="Q371:Z371" ca="1" si="211">P$371*AVERAGE(Q$368/P$368,Q$369/P$369)</f>
        <v>-0.99136806417422074</v>
      </c>
      <c r="R371" s="20">
        <f t="shared" ca="1" si="211"/>
        <v>-1.0421713445826555</v>
      </c>
      <c r="S371" s="20">
        <f t="shared" ca="1" si="211"/>
        <v>-1.096490394418975</v>
      </c>
      <c r="T371" s="20">
        <f t="shared" ca="1" si="211"/>
        <v>-1.1549958046523725</v>
      </c>
      <c r="U371" s="20">
        <f t="shared" ca="1" si="211"/>
        <v>-1.2175909904198992</v>
      </c>
      <c r="V371" s="20">
        <f t="shared" ca="1" si="211"/>
        <v>-1.2827060766582203</v>
      </c>
      <c r="W371" s="20">
        <f t="shared" ca="1" si="211"/>
        <v>-1.3503844636311129</v>
      </c>
      <c r="X371" s="20">
        <f t="shared" ca="1" si="211"/>
        <v>-1.4208692808337247</v>
      </c>
      <c r="Y371" s="20">
        <f t="shared" ca="1" si="211"/>
        <v>-1.4948622097055599</v>
      </c>
      <c r="Z371" s="20">
        <f t="shared" ca="1" si="211"/>
        <v>-1.5726303146332583</v>
      </c>
    </row>
    <row r="372" spans="1:26" x14ac:dyDescent="0.25">
      <c r="A372" s="11" t="s">
        <v>1348</v>
      </c>
      <c r="D372" s="94">
        <f t="shared" ref="D372:Z372" ca="1" si="212">SUM(D$368:D$371)</f>
        <v>39.552</v>
      </c>
      <c r="E372" s="94">
        <f t="shared" ca="1" si="212"/>
        <v>33.790999999999997</v>
      </c>
      <c r="F372" s="94">
        <f t="shared" ca="1" si="212"/>
        <v>48.539000000000001</v>
      </c>
      <c r="G372" s="94">
        <f t="shared" ca="1" si="212"/>
        <v>46.261000000000003</v>
      </c>
      <c r="H372" s="94">
        <f t="shared" ca="1" si="212"/>
        <v>48.045999999999999</v>
      </c>
      <c r="I372" s="94">
        <f t="shared" ca="1" si="212"/>
        <v>53.494999999999997</v>
      </c>
      <c r="J372" s="94">
        <f t="shared" ca="1" si="212"/>
        <v>59.573</v>
      </c>
      <c r="K372" s="94">
        <f t="shared" ca="1" si="212"/>
        <v>67.221000000000004</v>
      </c>
      <c r="L372" s="95">
        <f t="shared" ca="1" si="212"/>
        <v>69.888999999999996</v>
      </c>
      <c r="M372" s="95">
        <f t="shared" ca="1" si="212"/>
        <v>74.350999999999999</v>
      </c>
      <c r="N372" s="95">
        <f t="shared" ca="1" si="212"/>
        <v>77.135000000000005</v>
      </c>
      <c r="O372" s="95">
        <f t="shared" ca="1" si="212"/>
        <v>80.966999999999999</v>
      </c>
      <c r="P372" s="95">
        <f t="shared" ca="1" si="212"/>
        <v>85.147000000000006</v>
      </c>
      <c r="Q372" s="96">
        <f t="shared" ca="1" si="212"/>
        <v>91.646498829536696</v>
      </c>
      <c r="R372" s="96">
        <f t="shared" ca="1" si="212"/>
        <v>96.841735803504037</v>
      </c>
      <c r="S372" s="96">
        <f t="shared" ca="1" si="212"/>
        <v>102.29908956489353</v>
      </c>
      <c r="T372" s="96">
        <f t="shared" ca="1" si="212"/>
        <v>108.0519547733897</v>
      </c>
      <c r="U372" s="96">
        <f t="shared" ca="1" si="212"/>
        <v>114.08375300680888</v>
      </c>
      <c r="V372" s="96">
        <f t="shared" ca="1" si="212"/>
        <v>120.36414714972707</v>
      </c>
      <c r="W372" s="96">
        <f t="shared" ca="1" si="212"/>
        <v>126.93207527418582</v>
      </c>
      <c r="X372" s="96">
        <f t="shared" ca="1" si="212"/>
        <v>133.83690204853966</v>
      </c>
      <c r="Y372" s="96">
        <f t="shared" ca="1" si="212"/>
        <v>141.15817303310257</v>
      </c>
      <c r="Z372" s="96">
        <f t="shared" ca="1" si="212"/>
        <v>148.9548483047638</v>
      </c>
    </row>
    <row r="374" spans="1:26" x14ac:dyDescent="0.25">
      <c r="A374" s="11" t="s">
        <v>1088</v>
      </c>
    </row>
    <row r="375" spans="1:26" x14ac:dyDescent="0.25">
      <c r="A375" s="12" t="s">
        <v>524</v>
      </c>
      <c r="B375" s="14" t="str">
        <f>$B$38</f>
        <v>From Fiscal Forecasts</v>
      </c>
      <c r="D375" s="50">
        <f>'Fiscal Forecasts'!D$358</f>
        <v>0.98199999999999998</v>
      </c>
      <c r="E375" s="50">
        <f>'Fiscal Forecasts'!E$358</f>
        <v>0.80300000000000005</v>
      </c>
      <c r="F375" s="50">
        <f>'Fiscal Forecasts'!F$358</f>
        <v>0.74199999999999999</v>
      </c>
      <c r="G375" s="50">
        <f>'Fiscal Forecasts'!G$358</f>
        <v>1.077</v>
      </c>
      <c r="H375" s="50">
        <f>'Fiscal Forecasts'!H$358</f>
        <v>1.32</v>
      </c>
      <c r="I375" s="50">
        <f>'Fiscal Forecasts'!I$358</f>
        <v>1.659</v>
      </c>
      <c r="J375" s="50">
        <f>'Fiscal Forecasts'!J$358</f>
        <v>1.784</v>
      </c>
      <c r="K375" s="50">
        <f>'Fiscal Forecasts'!K$358</f>
        <v>1.794</v>
      </c>
      <c r="L375" s="48">
        <f>'Fiscal Forecasts'!L$358</f>
        <v>1.7829999999999999</v>
      </c>
      <c r="M375" s="48">
        <f>'Fiscal Forecasts'!M$358</f>
        <v>1.8460000000000001</v>
      </c>
      <c r="N375" s="48">
        <f>'Fiscal Forecasts'!N$358</f>
        <v>1.9339999999999999</v>
      </c>
      <c r="O375" s="48">
        <f>'Fiscal Forecasts'!O$358</f>
        <v>2.0230000000000001</v>
      </c>
      <c r="P375" s="48">
        <f>'Fiscal Forecasts'!P$358</f>
        <v>2.117</v>
      </c>
      <c r="Q375" s="20">
        <f>Exogenous!AB$7</f>
        <v>2.2826423397519768</v>
      </c>
      <c r="R375" s="20">
        <f>Exogenous!AC$7</f>
        <v>2.4227195267047787</v>
      </c>
      <c r="S375" s="20">
        <f>Exogenous!AD$7</f>
        <v>2.5686040258743446</v>
      </c>
      <c r="T375" s="20">
        <f>Exogenous!AE$7</f>
        <v>2.7205525842122014</v>
      </c>
      <c r="U375" s="20">
        <f>Exogenous!AF$7</f>
        <v>2.8785731084689492</v>
      </c>
      <c r="V375" s="20">
        <f>Exogenous!AG$7</f>
        <v>3.0428005523082655</v>
      </c>
      <c r="W375" s="20">
        <f>Exogenous!AH$7</f>
        <v>3.2145377933622776</v>
      </c>
      <c r="X375" s="20">
        <f>Exogenous!AI$7</f>
        <v>3.3954730466939047</v>
      </c>
      <c r="Y375" s="20">
        <f>Exogenous!AJ$7</f>
        <v>3.5876200801183402</v>
      </c>
      <c r="Z375" s="20">
        <f>Exogenous!AK$7</f>
        <v>3.7932149643970732</v>
      </c>
    </row>
    <row r="376" spans="1:26" x14ac:dyDescent="0.25">
      <c r="A376" s="12" t="s">
        <v>672</v>
      </c>
      <c r="B376" s="14" t="str">
        <f>$B$38</f>
        <v>From Fiscal Forecasts</v>
      </c>
      <c r="D376" s="50">
        <f>'Fiscal Forecasts'!D$359</f>
        <v>0.504</v>
      </c>
      <c r="E376" s="50">
        <f>'Fiscal Forecasts'!E$359</f>
        <v>0.44800000000000001</v>
      </c>
      <c r="F376" s="50">
        <f>'Fiscal Forecasts'!F$359</f>
        <v>2.1560000000000001</v>
      </c>
      <c r="G376" s="50">
        <f>'Fiscal Forecasts'!G$359</f>
        <v>3.5000000000000003E-2</v>
      </c>
      <c r="H376" s="50">
        <f>'Fiscal Forecasts'!H$359</f>
        <v>0.127</v>
      </c>
      <c r="I376" s="50">
        <f>'Fiscal Forecasts'!I$359</f>
        <v>1.29</v>
      </c>
      <c r="J376" s="50">
        <f>'Fiscal Forecasts'!J$359</f>
        <v>1.7549999999999999</v>
      </c>
      <c r="K376" s="50">
        <f>'Fiscal Forecasts'!K$359</f>
        <v>1.196</v>
      </c>
      <c r="L376" s="48">
        <f>'Fiscal Forecasts'!L$359</f>
        <v>1.1910000000000001</v>
      </c>
      <c r="M376" s="48">
        <f>'Fiscal Forecasts'!M$359</f>
        <v>1.2689999999999999</v>
      </c>
      <c r="N376" s="48">
        <f>'Fiscal Forecasts'!N$359</f>
        <v>1.351</v>
      </c>
      <c r="O376" s="48">
        <f>'Fiscal Forecasts'!O$359</f>
        <v>1.4419999999999999</v>
      </c>
      <c r="P376" s="48">
        <f>'Fiscal Forecasts'!P$359</f>
        <v>1.54</v>
      </c>
      <c r="Q376" s="20">
        <f>Exogenous!AB$8</f>
        <v>1.6465642618703413</v>
      </c>
      <c r="R376" s="20">
        <f>Exogenous!AC$8</f>
        <v>1.7476077262463132</v>
      </c>
      <c r="S376" s="20">
        <f>Exogenous!AD$8</f>
        <v>1.8528402449419756</v>
      </c>
      <c r="T376" s="20">
        <f>Exogenous!AE$8</f>
        <v>1.9624470201448843</v>
      </c>
      <c r="U376" s="20">
        <f>Exogenous!AF$8</f>
        <v>2.0764337553210344</v>
      </c>
      <c r="V376" s="20">
        <f>Exogenous!AG$8</f>
        <v>2.194897798125707</v>
      </c>
      <c r="W376" s="20">
        <f>Exogenous!AH$8</f>
        <v>2.3187789680432305</v>
      </c>
      <c r="X376" s="20">
        <f>Exogenous!AI$8</f>
        <v>2.4492950443728607</v>
      </c>
      <c r="Y376" s="20">
        <f>Exogenous!AJ$8</f>
        <v>2.5878986410692479</v>
      </c>
      <c r="Z376" s="20">
        <f>Exogenous!AK$8</f>
        <v>2.736202728390047</v>
      </c>
    </row>
    <row r="377" spans="1:26" x14ac:dyDescent="0.25">
      <c r="A377" s="12" t="s">
        <v>664</v>
      </c>
      <c r="B377" s="14" t="str">
        <f>$B$38</f>
        <v>From Fiscal Forecasts</v>
      </c>
      <c r="D377" s="50">
        <f>'Fiscal Forecasts'!D$360</f>
        <v>0.13</v>
      </c>
      <c r="E377" s="50">
        <f>'Fiscal Forecasts'!E$360</f>
        <v>0.15</v>
      </c>
      <c r="F377" s="50">
        <f>'Fiscal Forecasts'!F$360</f>
        <v>0.125</v>
      </c>
      <c r="G377" s="50">
        <f>'Fiscal Forecasts'!G$360</f>
        <v>-0.51700000000000002</v>
      </c>
      <c r="H377" s="50">
        <f>'Fiscal Forecasts'!H$360</f>
        <v>1.054</v>
      </c>
      <c r="I377" s="50">
        <f>'Fiscal Forecasts'!I$360</f>
        <v>0.189</v>
      </c>
      <c r="J377" s="50">
        <f>'Fiscal Forecasts'!J$360</f>
        <v>0.193</v>
      </c>
      <c r="K377" s="50">
        <f>'Fiscal Forecasts'!K$360</f>
        <v>0.215</v>
      </c>
      <c r="L377" s="48">
        <f>'Fiscal Forecasts'!L$360</f>
        <v>0.32200000000000001</v>
      </c>
      <c r="M377" s="48">
        <f>'Fiscal Forecasts'!M$360</f>
        <v>0.33600000000000002</v>
      </c>
      <c r="N377" s="48">
        <f>'Fiscal Forecasts'!N$360</f>
        <v>0.35199999999999998</v>
      </c>
      <c r="O377" s="48">
        <f>'Fiscal Forecasts'!O$360</f>
        <v>0.371</v>
      </c>
      <c r="P377" s="48">
        <f>'Fiscal Forecasts'!P$360</f>
        <v>0.39100000000000001</v>
      </c>
      <c r="Q377" s="20">
        <f>Exogenous!AB$9</f>
        <v>0.41851304952192758</v>
      </c>
      <c r="R377" s="20">
        <f>Exogenous!AC$9</f>
        <v>0.44419562346666575</v>
      </c>
      <c r="S377" s="20">
        <f>Exogenous!AD$9</f>
        <v>0.47094294413192073</v>
      </c>
      <c r="T377" s="20">
        <f>Exogenous!AE$9</f>
        <v>0.49880208501132234</v>
      </c>
      <c r="U377" s="20">
        <f>Exogenous!AF$9</f>
        <v>0.52777449577495117</v>
      </c>
      <c r="V377" s="20">
        <f>Exogenous!AG$9</f>
        <v>0.55788491961991127</v>
      </c>
      <c r="W377" s="20">
        <f>Exogenous!AH$9</f>
        <v>0.58937223378136083</v>
      </c>
      <c r="X377" s="20">
        <f>Exogenous!AI$9</f>
        <v>0.62254596552159913</v>
      </c>
      <c r="Y377" s="20">
        <f>Exogenous!AJ$9</f>
        <v>0.65777533085606932</v>
      </c>
      <c r="Z377" s="20">
        <f>Exogenous!AK$9</f>
        <v>0.69547030412768118</v>
      </c>
    </row>
    <row r="378" spans="1:26" x14ac:dyDescent="0.25">
      <c r="A378" s="12" t="s">
        <v>527</v>
      </c>
      <c r="B378" s="14" t="str">
        <f>$B$38</f>
        <v>From Fiscal Forecasts</v>
      </c>
      <c r="D378" s="50">
        <f>'Fiscal Forecasts'!D$361</f>
        <v>1.9550000000000001</v>
      </c>
      <c r="E378" s="50">
        <f>'Fiscal Forecasts'!E$361</f>
        <v>1.7000000000000001E-2</v>
      </c>
      <c r="F378" s="50">
        <f>'Fiscal Forecasts'!F$361</f>
        <v>12.786</v>
      </c>
      <c r="G378" s="50">
        <f>'Fiscal Forecasts'!G$361</f>
        <v>-5.133</v>
      </c>
      <c r="H378" s="50">
        <f>'Fiscal Forecasts'!H$361</f>
        <v>5.766</v>
      </c>
      <c r="I378" s="50">
        <f>'Fiscal Forecasts'!I$361</f>
        <v>8.3520000000000003</v>
      </c>
      <c r="J378" s="50">
        <f>'Fiscal Forecasts'!J$361</f>
        <v>7.3129999999999997</v>
      </c>
      <c r="K378" s="50">
        <f>'Fiscal Forecasts'!K$361</f>
        <v>10.266999999999999</v>
      </c>
      <c r="L378" s="48">
        <f>'Fiscal Forecasts'!L$361</f>
        <v>5.2359999999999998</v>
      </c>
      <c r="M378" s="48">
        <f>'Fiscal Forecasts'!M$361</f>
        <v>5.6260000000000003</v>
      </c>
      <c r="N378" s="48">
        <f>'Fiscal Forecasts'!N$361</f>
        <v>6.0119999999999996</v>
      </c>
      <c r="O378" s="48">
        <f>'Fiscal Forecasts'!O$361</f>
        <v>6.4580000000000002</v>
      </c>
      <c r="P378" s="48">
        <f>'Fiscal Forecasts'!P$361</f>
        <v>6.9329999999999998</v>
      </c>
      <c r="Q378" s="20">
        <f>Exogenous!AB$10</f>
        <v>7.2834499423829602</v>
      </c>
      <c r="R378" s="20">
        <f>Exogenous!AC$10</f>
        <v>7.7304079092414062</v>
      </c>
      <c r="S378" s="20">
        <f>Exogenous!AD$10</f>
        <v>8.1958958346018864</v>
      </c>
      <c r="T378" s="20">
        <f>Exogenous!AE$10</f>
        <v>8.6807329460484794</v>
      </c>
      <c r="U378" s="20">
        <f>Exogenous!AF$10</f>
        <v>9.1849444724228615</v>
      </c>
      <c r="V378" s="20">
        <f>Exogenous!AG$10</f>
        <v>9.7089610235655766</v>
      </c>
      <c r="W378" s="20">
        <f>Exogenous!AH$10</f>
        <v>10.256939818437033</v>
      </c>
      <c r="X378" s="20">
        <f>Exogenous!AI$10</f>
        <v>10.834267609788034</v>
      </c>
      <c r="Y378" s="20">
        <f>Exogenous!AJ$10</f>
        <v>11.447369923344665</v>
      </c>
      <c r="Z378" s="20">
        <f>Exogenous!AK$10</f>
        <v>12.103381608564206</v>
      </c>
    </row>
    <row r="379" spans="1:26" x14ac:dyDescent="0.25">
      <c r="A379" s="11" t="s">
        <v>1349</v>
      </c>
      <c r="D379" s="94">
        <f t="shared" ref="D379:Z379" si="213">D$375-D$376-D$377+D$378</f>
        <v>2.3029999999999999</v>
      </c>
      <c r="E379" s="94">
        <f t="shared" si="213"/>
        <v>0.22200000000000003</v>
      </c>
      <c r="F379" s="94">
        <f t="shared" si="213"/>
        <v>11.247</v>
      </c>
      <c r="G379" s="94">
        <f t="shared" si="213"/>
        <v>-3.5739999999999998</v>
      </c>
      <c r="H379" s="94">
        <f t="shared" si="213"/>
        <v>5.9050000000000002</v>
      </c>
      <c r="I379" s="94">
        <f t="shared" si="213"/>
        <v>8.532</v>
      </c>
      <c r="J379" s="94">
        <f t="shared" si="213"/>
        <v>7.149</v>
      </c>
      <c r="K379" s="94">
        <f t="shared" si="213"/>
        <v>10.65</v>
      </c>
      <c r="L379" s="95">
        <f t="shared" si="213"/>
        <v>5.5059999999999993</v>
      </c>
      <c r="M379" s="95">
        <f t="shared" si="213"/>
        <v>5.8670000000000009</v>
      </c>
      <c r="N379" s="95">
        <f t="shared" si="213"/>
        <v>6.2429999999999994</v>
      </c>
      <c r="O379" s="95">
        <f t="shared" si="213"/>
        <v>6.6680000000000001</v>
      </c>
      <c r="P379" s="95">
        <f t="shared" si="213"/>
        <v>7.1189999999999998</v>
      </c>
      <c r="Q379" s="96">
        <f t="shared" si="213"/>
        <v>7.5010149707426681</v>
      </c>
      <c r="R379" s="96">
        <f t="shared" si="213"/>
        <v>7.9613240862332058</v>
      </c>
      <c r="S379" s="96">
        <f t="shared" si="213"/>
        <v>8.4407166714023347</v>
      </c>
      <c r="T379" s="96">
        <f t="shared" si="213"/>
        <v>8.9400364251044735</v>
      </c>
      <c r="U379" s="96">
        <f t="shared" si="213"/>
        <v>9.4593093297958255</v>
      </c>
      <c r="V379" s="96">
        <f t="shared" si="213"/>
        <v>9.9989788581282237</v>
      </c>
      <c r="W379" s="96">
        <f t="shared" si="213"/>
        <v>10.563326409974719</v>
      </c>
      <c r="X379" s="96">
        <f t="shared" si="213"/>
        <v>11.157899646587479</v>
      </c>
      <c r="Y379" s="96">
        <f t="shared" si="213"/>
        <v>11.789316031537687</v>
      </c>
      <c r="Z379" s="96">
        <f t="shared" si="213"/>
        <v>12.46492354044355</v>
      </c>
    </row>
    <row r="380" spans="1:26" x14ac:dyDescent="0.25">
      <c r="A380" s="12" t="s">
        <v>1350</v>
      </c>
      <c r="B380" s="14" t="str">
        <f>$B$38</f>
        <v>From Fiscal Forecasts</v>
      </c>
      <c r="D380" s="50">
        <f>'Fiscal Forecasts'!D$362</f>
        <v>1</v>
      </c>
      <c r="E380" s="50">
        <f>'Fiscal Forecasts'!E$362</f>
        <v>1.46</v>
      </c>
      <c r="F380" s="50">
        <f>'Fiscal Forecasts'!F$362</f>
        <v>2.12</v>
      </c>
      <c r="G380" s="50">
        <f>'Fiscal Forecasts'!G$362</f>
        <v>2.42</v>
      </c>
      <c r="H380" s="50">
        <f>'Fiscal Forecasts'!H$362</f>
        <v>2.5579999999999998</v>
      </c>
      <c r="I380" s="50">
        <f>'Fiscal Forecasts'!I$362</f>
        <v>1.6140000000000001</v>
      </c>
      <c r="J380" s="50">
        <f>'Fiscal Forecasts'!J$362</f>
        <v>0.879</v>
      </c>
      <c r="K380" s="50">
        <f>'Fiscal Forecasts'!K$362</f>
        <v>0</v>
      </c>
      <c r="L380" s="48">
        <f>'Fiscal Forecasts'!L$362</f>
        <v>0.56200000000000006</v>
      </c>
      <c r="M380" s="48">
        <f>'Fiscal Forecasts'!M$362</f>
        <v>0.155</v>
      </c>
      <c r="N380" s="48">
        <f>'Fiscal Forecasts'!N$362</f>
        <v>0.35</v>
      </c>
      <c r="O380" s="48">
        <f>'Fiscal Forecasts'!O$362</f>
        <v>0.44900000000000001</v>
      </c>
      <c r="P380" s="48">
        <f>'Fiscal Forecasts'!P$362</f>
        <v>0.47299999999999998</v>
      </c>
      <c r="Q380" s="20">
        <f>Exogenous!AB$11</f>
        <v>0.35431289191672377</v>
      </c>
      <c r="R380" s="20">
        <f>Exogenous!AC$11</f>
        <v>0.22475822866131523</v>
      </c>
      <c r="S380" s="20">
        <f>Exogenous!AD$11</f>
        <v>7.8613672750343255E-2</v>
      </c>
      <c r="T380" s="20">
        <f>Exogenous!AE$11</f>
        <v>-5.8113137154620631E-2</v>
      </c>
      <c r="U380" s="20">
        <f>Exogenous!AF$11</f>
        <v>-0.24914726512719909</v>
      </c>
      <c r="V380" s="20">
        <f>Exogenous!AG$11</f>
        <v>-0.40218976675939189</v>
      </c>
      <c r="W380" s="20">
        <f>Exogenous!AH$11</f>
        <v>-0.48609182297989406</v>
      </c>
      <c r="X380" s="20">
        <f>Exogenous!AI$11</f>
        <v>-0.50053159184796669</v>
      </c>
      <c r="Y380" s="20">
        <f>Exogenous!AJ$11</f>
        <v>-0.41817925544185641</v>
      </c>
      <c r="Z380" s="20">
        <f>Exogenous!AK$11</f>
        <v>-0.2592683764618755</v>
      </c>
    </row>
    <row r="381" spans="1:26" x14ac:dyDescent="0.25">
      <c r="A381" s="12" t="s">
        <v>529</v>
      </c>
      <c r="B381" s="14" t="str">
        <f>$B$38</f>
        <v>From Fiscal Forecasts</v>
      </c>
      <c r="D381" s="50">
        <f>'Fiscal Forecasts'!D$363</f>
        <v>8.8999999999999996E-2</v>
      </c>
      <c r="E381" s="50">
        <f>'Fiscal Forecasts'!E$363</f>
        <v>-0.13</v>
      </c>
      <c r="F381" s="50">
        <f>'Fiscal Forecasts'!F$363</f>
        <v>1E-3</v>
      </c>
      <c r="G381" s="50">
        <f>'Fiscal Forecasts'!G$363</f>
        <v>-1E-3</v>
      </c>
      <c r="H381" s="50">
        <f>'Fiscal Forecasts'!H$363</f>
        <v>0</v>
      </c>
      <c r="I381" s="50">
        <f>'Fiscal Forecasts'!I$363</f>
        <v>0</v>
      </c>
      <c r="J381" s="50">
        <f>'Fiscal Forecasts'!J$363</f>
        <v>0</v>
      </c>
      <c r="K381" s="50">
        <f>'Fiscal Forecasts'!K$363</f>
        <v>0</v>
      </c>
      <c r="L381" s="48">
        <f>'Fiscal Forecasts'!L$363</f>
        <v>0</v>
      </c>
      <c r="M381" s="48">
        <f>'Fiscal Forecasts'!M$363</f>
        <v>0</v>
      </c>
      <c r="N381" s="48">
        <f>'Fiscal Forecasts'!N$363</f>
        <v>0</v>
      </c>
      <c r="O381" s="48">
        <f>'Fiscal Forecasts'!O$363</f>
        <v>0</v>
      </c>
      <c r="P381" s="48">
        <f>'Fiscal Forecasts'!P$363</f>
        <v>0</v>
      </c>
      <c r="Q381" s="20">
        <f>Exogenous!AB$12</f>
        <v>0</v>
      </c>
      <c r="R381" s="20">
        <f>Exogenous!AC$12</f>
        <v>0</v>
      </c>
      <c r="S381" s="20">
        <f>Exogenous!AD$12</f>
        <v>0</v>
      </c>
      <c r="T381" s="20">
        <f>Exogenous!AE$12</f>
        <v>0</v>
      </c>
      <c r="U381" s="20">
        <f>Exogenous!AF$12</f>
        <v>0</v>
      </c>
      <c r="V381" s="20">
        <f>Exogenous!AG$12</f>
        <v>0</v>
      </c>
      <c r="W381" s="20">
        <f>Exogenous!AH$12</f>
        <v>0</v>
      </c>
      <c r="X381" s="20">
        <f>Exogenous!AI$12</f>
        <v>0</v>
      </c>
      <c r="Y381" s="20">
        <f>Exogenous!AJ$12</f>
        <v>0</v>
      </c>
      <c r="Z381" s="20">
        <f>Exogenous!AK$12</f>
        <v>0</v>
      </c>
    </row>
    <row r="382" spans="1:26" x14ac:dyDescent="0.25">
      <c r="A382" s="11" t="s">
        <v>1093</v>
      </c>
      <c r="C382" s="103">
        <f>'Fiscal Forecasts'!$C$364</f>
        <v>39.052999999999997</v>
      </c>
      <c r="D382" s="94">
        <f t="shared" ref="D382:Z382" si="214">SUM(C$382,D$379,D$380,D$381)</f>
        <v>42.444999999999993</v>
      </c>
      <c r="E382" s="94">
        <f t="shared" si="214"/>
        <v>43.996999999999993</v>
      </c>
      <c r="F382" s="94">
        <f t="shared" si="214"/>
        <v>57.364999999999988</v>
      </c>
      <c r="G382" s="94">
        <f t="shared" si="214"/>
        <v>56.209999999999994</v>
      </c>
      <c r="H382" s="94">
        <f t="shared" si="214"/>
        <v>64.673000000000002</v>
      </c>
      <c r="I382" s="94">
        <f t="shared" si="214"/>
        <v>74.819000000000003</v>
      </c>
      <c r="J382" s="94">
        <f t="shared" si="214"/>
        <v>82.847000000000008</v>
      </c>
      <c r="K382" s="94">
        <f t="shared" si="214"/>
        <v>93.497000000000014</v>
      </c>
      <c r="L382" s="95">
        <f t="shared" si="214"/>
        <v>99.565000000000012</v>
      </c>
      <c r="M382" s="95">
        <f t="shared" si="214"/>
        <v>105.58700000000002</v>
      </c>
      <c r="N382" s="95">
        <f t="shared" si="214"/>
        <v>112.18</v>
      </c>
      <c r="O382" s="95">
        <f t="shared" si="214"/>
        <v>119.29700000000001</v>
      </c>
      <c r="P382" s="95">
        <f t="shared" si="214"/>
        <v>126.88900000000001</v>
      </c>
      <c r="Q382" s="96">
        <f t="shared" si="214"/>
        <v>134.74432786265939</v>
      </c>
      <c r="R382" s="96">
        <f t="shared" si="214"/>
        <v>142.93041017755394</v>
      </c>
      <c r="S382" s="96">
        <f t="shared" si="214"/>
        <v>151.44974052170662</v>
      </c>
      <c r="T382" s="96">
        <f t="shared" si="214"/>
        <v>160.33166380965645</v>
      </c>
      <c r="U382" s="96">
        <f t="shared" si="214"/>
        <v>169.54182587432507</v>
      </c>
      <c r="V382" s="96">
        <f t="shared" si="214"/>
        <v>179.1386149656939</v>
      </c>
      <c r="W382" s="96">
        <f t="shared" si="214"/>
        <v>189.21584955268872</v>
      </c>
      <c r="X382" s="96">
        <f t="shared" si="214"/>
        <v>199.87321760742824</v>
      </c>
      <c r="Y382" s="96">
        <f t="shared" si="214"/>
        <v>211.24435438352407</v>
      </c>
      <c r="Z382" s="96">
        <f t="shared" si="214"/>
        <v>223.45000954750574</v>
      </c>
    </row>
    <row r="383" spans="1:26" x14ac:dyDescent="0.25">
      <c r="A383" s="14" t="s">
        <v>1351</v>
      </c>
    </row>
    <row r="384" spans="1:26" x14ac:dyDescent="0.25">
      <c r="A384" s="12" t="s">
        <v>1094</v>
      </c>
      <c r="B384" s="14" t="str">
        <f>$B$38</f>
        <v>From Fiscal Forecasts</v>
      </c>
      <c r="D384" s="50">
        <f>'Fiscal Forecasts'!D$365</f>
        <v>44.307000000000002</v>
      </c>
      <c r="E384" s="50">
        <f>'Fiscal Forecasts'!E$365</f>
        <v>48.220999999999997</v>
      </c>
      <c r="F384" s="50">
        <f>'Fiscal Forecasts'!F$365</f>
        <v>62.311999999999998</v>
      </c>
      <c r="G384" s="50">
        <f>'Fiscal Forecasts'!G$365</f>
        <v>65.411000000000001</v>
      </c>
      <c r="H384" s="50">
        <f>'Fiscal Forecasts'!H$365</f>
        <v>68.233999999999995</v>
      </c>
      <c r="I384" s="50">
        <f>'Fiscal Forecasts'!I$365</f>
        <v>79.058000000000007</v>
      </c>
      <c r="J384" s="50">
        <f>'Fiscal Forecasts'!J$365</f>
        <v>87.295000000000002</v>
      </c>
      <c r="K384" s="50">
        <f>'Fiscal Forecasts'!K$365</f>
        <v>98.241</v>
      </c>
      <c r="L384" s="48">
        <f>'Fiscal Forecasts'!L$365</f>
        <v>105.30500000000001</v>
      </c>
      <c r="M384" s="48">
        <f>'Fiscal Forecasts'!M$365</f>
        <v>112.79900000000001</v>
      </c>
      <c r="N384" s="48">
        <f>'Fiscal Forecasts'!N$365</f>
        <v>118.80200000000001</v>
      </c>
      <c r="O384" s="48">
        <f>'Fiscal Forecasts'!O$365</f>
        <v>125.7</v>
      </c>
      <c r="P384" s="48">
        <f>'Fiscal Forecasts'!P$365</f>
        <v>133.26300000000001</v>
      </c>
      <c r="Q384" s="20">
        <f ca="1">IF(Q$6=OFFSET(Assumptions!$B$8,0,$C$1),AVERAGE(N$384/N$382,O$384/O$382,P$384/P$382),P$384/P$382)*Q$382</f>
        <v>142.06255178800495</v>
      </c>
      <c r="R384" s="20">
        <f ca="1">IF(R$6=OFFSET(Assumptions!$B$8,0,$C$1),AVERAGE(O$384/O$382,P$384/P$382,Q$384/Q$382),Q$384/Q$382)*R$382</f>
        <v>150.69323599747997</v>
      </c>
      <c r="S384" s="20">
        <f ca="1">IF(S$6=OFFSET(Assumptions!$B$8,0,$C$1),AVERAGE(P$384/P$382,Q$384/Q$382,R$384/R$382),R$384/R$382)*S$382</f>
        <v>159.67526757842273</v>
      </c>
      <c r="T384" s="20">
        <f ca="1">IF(T$6=OFFSET(Assumptions!$B$8,0,$C$1),AVERAGE(Q$384/Q$382,R$384/R$382,S$384/S$382),S$384/S$382)*T$382</f>
        <v>169.0395852241908</v>
      </c>
      <c r="U384" s="20">
        <f ca="1">IF(U$6=OFFSET(Assumptions!$B$8,0,$C$1),AVERAGE(R$384/R$382,S$384/S$382,T$384/T$382),T$384/T$382)*U$382</f>
        <v>178.74996892673548</v>
      </c>
      <c r="V384" s="20">
        <f ca="1">IF(V$6=OFFSET(Assumptions!$B$8,0,$C$1),AVERAGE(S$384/S$382,T$384/T$382,U$384/U$382),U$384/U$382)*V$382</f>
        <v>188.86797811433377</v>
      </c>
      <c r="W384" s="20">
        <f ca="1">IF(W$6=OFFSET(Assumptions!$B$8,0,$C$1),AVERAGE(T$384/T$382,U$384/U$382,V$384/V$382),V$384/V$382)*W$382</f>
        <v>199.49252671762645</v>
      </c>
      <c r="X384" s="20">
        <f ca="1">IF(X$6=OFFSET(Assumptions!$B$8,0,$C$1),AVERAGE(U$384/U$382,V$384/V$382,W$384/W$382),W$384/W$382)*X$382</f>
        <v>210.72871695446852</v>
      </c>
      <c r="Y384" s="20">
        <f ca="1">IF(Y$6=OFFSET(Assumptions!$B$8,0,$C$1),AVERAGE(V$384/V$382,W$384/W$382,X$384/X$382),X$384/X$382)*Y$382</f>
        <v>222.71744206643865</v>
      </c>
      <c r="Z384" s="20">
        <f ca="1">IF(Z$6=OFFSET(Assumptions!$B$8,0,$C$1),AVERAGE(W$384/W$382,X$384/X$382,Y$384/Y$382),Y$384/Y$382)*Z$382</f>
        <v>235.58600986698499</v>
      </c>
    </row>
    <row r="385" spans="1:26" x14ac:dyDescent="0.25">
      <c r="A385" s="12" t="s">
        <v>1352</v>
      </c>
      <c r="B385" s="14" t="str">
        <f>$B$38</f>
        <v>From Fiscal Forecasts</v>
      </c>
      <c r="D385" s="50">
        <f>-'Fiscal Forecasts'!D$366</f>
        <v>1.9910000000000001</v>
      </c>
      <c r="E385" s="50">
        <f>-'Fiscal Forecasts'!E$366</f>
        <v>4.226</v>
      </c>
      <c r="F385" s="50">
        <f>-'Fiscal Forecasts'!F$366</f>
        <v>4.9489999999999998</v>
      </c>
      <c r="G385" s="50">
        <f>-'Fiscal Forecasts'!G$366</f>
        <v>9.1020000000000003</v>
      </c>
      <c r="H385" s="50">
        <f>-'Fiscal Forecasts'!H$366</f>
        <v>3.5009999999999999</v>
      </c>
      <c r="I385" s="50">
        <f>-'Fiscal Forecasts'!I$366</f>
        <v>4.2350000000000003</v>
      </c>
      <c r="J385" s="50">
        <f>-'Fiscal Forecasts'!J$366</f>
        <v>4.5149999999999997</v>
      </c>
      <c r="K385" s="50">
        <f>-'Fiscal Forecasts'!K$366</f>
        <v>4.7569999999999997</v>
      </c>
      <c r="L385" s="48">
        <f>-'Fiscal Forecasts'!L$366</f>
        <v>5.7220000000000004</v>
      </c>
      <c r="M385" s="48">
        <f>-'Fiscal Forecasts'!M$366</f>
        <v>7.1920000000000002</v>
      </c>
      <c r="N385" s="48">
        <f>-'Fiscal Forecasts'!N$366</f>
        <v>6.5979999999999999</v>
      </c>
      <c r="O385" s="48">
        <f>-'Fiscal Forecasts'!O$366</f>
        <v>6.3760000000000003</v>
      </c>
      <c r="P385" s="48">
        <f>-'Fiscal Forecasts'!P$366</f>
        <v>6.343</v>
      </c>
      <c r="Q385" s="20">
        <f t="shared" ref="Q385:Z385" ca="1" si="215">Q$384-Q$382</f>
        <v>7.3182239253455634</v>
      </c>
      <c r="R385" s="20">
        <f t="shared" ca="1" si="215"/>
        <v>7.7628258199260358</v>
      </c>
      <c r="S385" s="20">
        <f t="shared" ca="1" si="215"/>
        <v>8.2255270567161176</v>
      </c>
      <c r="T385" s="20">
        <f t="shared" ca="1" si="215"/>
        <v>8.7079214145343542</v>
      </c>
      <c r="U385" s="20">
        <f t="shared" ca="1" si="215"/>
        <v>9.2081430524104064</v>
      </c>
      <c r="V385" s="20">
        <f t="shared" ca="1" si="215"/>
        <v>9.7293631486398624</v>
      </c>
      <c r="W385" s="20">
        <f t="shared" ca="1" si="215"/>
        <v>10.276677164937723</v>
      </c>
      <c r="X385" s="20">
        <f t="shared" ca="1" si="215"/>
        <v>10.855499347040279</v>
      </c>
      <c r="Y385" s="20">
        <f t="shared" ca="1" si="215"/>
        <v>11.473087682914581</v>
      </c>
      <c r="Z385" s="20">
        <f t="shared" ca="1" si="215"/>
        <v>12.136000319479251</v>
      </c>
    </row>
    <row r="386" spans="1:26" x14ac:dyDescent="0.25">
      <c r="A386" s="12" t="s">
        <v>1096</v>
      </c>
      <c r="B386" s="14" t="str">
        <f>$B$38</f>
        <v>From Fiscal Forecasts</v>
      </c>
      <c r="D386" s="50">
        <f>'Fiscal Forecasts'!D$367</f>
        <v>0</v>
      </c>
      <c r="E386" s="50">
        <f>'Fiscal Forecasts'!E$367</f>
        <v>2E-3</v>
      </c>
      <c r="F386" s="50">
        <f>'Fiscal Forecasts'!F$367</f>
        <v>2E-3</v>
      </c>
      <c r="G386" s="50">
        <f>'Fiscal Forecasts'!G$367</f>
        <v>-9.9000000000000005E-2</v>
      </c>
      <c r="H386" s="50">
        <f>'Fiscal Forecasts'!H$367</f>
        <v>-0.06</v>
      </c>
      <c r="I386" s="50">
        <f>'Fiscal Forecasts'!I$367</f>
        <v>-4.0000000000000001E-3</v>
      </c>
      <c r="J386" s="50">
        <f>'Fiscal Forecasts'!J$367</f>
        <v>6.7000000000000004E-2</v>
      </c>
      <c r="K386" s="50">
        <f>'Fiscal Forecasts'!K$367</f>
        <v>1.2999999999999999E-2</v>
      </c>
      <c r="L386" s="48">
        <f>'Fiscal Forecasts'!L$367</f>
        <v>-1.7999999999999999E-2</v>
      </c>
      <c r="M386" s="48">
        <f>'Fiscal Forecasts'!M$367</f>
        <v>-0.02</v>
      </c>
      <c r="N386" s="48">
        <f>'Fiscal Forecasts'!N$367</f>
        <v>-2.4E-2</v>
      </c>
      <c r="O386" s="48">
        <f>'Fiscal Forecasts'!O$367</f>
        <v>-2.7E-2</v>
      </c>
      <c r="P386" s="48">
        <f>'Fiscal Forecasts'!P$367</f>
        <v>-3.1E-2</v>
      </c>
      <c r="Q386" s="20">
        <f ca="1">IF(Q$6=OFFSET(Assumptions!$B$8,0,$C$1),OFFSET(Assumptions!$B$9,0,$C$1),P$386)</f>
        <v>0</v>
      </c>
      <c r="R386" s="20">
        <f ca="1">IF(R$6=OFFSET(Assumptions!$B$8,0,$C$1),OFFSET(Assumptions!$B$9,0,$C$1),Q$386)</f>
        <v>0</v>
      </c>
      <c r="S386" s="20">
        <f ca="1">IF(S$6=OFFSET(Assumptions!$B$8,0,$C$1),OFFSET(Assumptions!$B$9,0,$C$1),R$386)</f>
        <v>0</v>
      </c>
      <c r="T386" s="20">
        <f ca="1">IF(T$6=OFFSET(Assumptions!$B$8,0,$C$1),OFFSET(Assumptions!$B$9,0,$C$1),S$386)</f>
        <v>0</v>
      </c>
      <c r="U386" s="20">
        <f ca="1">IF(U$6=OFFSET(Assumptions!$B$8,0,$C$1),OFFSET(Assumptions!$B$9,0,$C$1),T$386)</f>
        <v>0</v>
      </c>
      <c r="V386" s="20">
        <f ca="1">IF(V$6=OFFSET(Assumptions!$B$8,0,$C$1),OFFSET(Assumptions!$B$9,0,$C$1),U$386)</f>
        <v>0</v>
      </c>
      <c r="W386" s="20">
        <f ca="1">IF(W$6=OFFSET(Assumptions!$B$8,0,$C$1),OFFSET(Assumptions!$B$9,0,$C$1),V$386)</f>
        <v>0</v>
      </c>
      <c r="X386" s="20">
        <f ca="1">IF(X$6=OFFSET(Assumptions!$B$8,0,$C$1),OFFSET(Assumptions!$B$9,0,$C$1),W$386)</f>
        <v>0</v>
      </c>
      <c r="Y386" s="20">
        <f ca="1">IF(Y$6=OFFSET(Assumptions!$B$8,0,$C$1),OFFSET(Assumptions!$B$9,0,$C$1),X$386)</f>
        <v>0</v>
      </c>
      <c r="Z386" s="20">
        <f ca="1">IF(Z$6=OFFSET(Assumptions!$B$8,0,$C$1),OFFSET(Assumptions!$B$9,0,$C$1),Y$386)</f>
        <v>0</v>
      </c>
    </row>
    <row r="388" spans="1:26" x14ac:dyDescent="0.25">
      <c r="A388" s="11" t="s">
        <v>1353</v>
      </c>
      <c r="B388" s="14" t="str">
        <f>$B$38</f>
        <v>From Fiscal Forecasts</v>
      </c>
      <c r="D388" s="51">
        <f>'Fiscal Forecasts'!D$125</f>
        <v>3.6880000000000002</v>
      </c>
      <c r="E388" s="51">
        <f>'Fiscal Forecasts'!E$125</f>
        <v>4.22</v>
      </c>
      <c r="F388" s="51">
        <f>'Fiscal Forecasts'!F$125</f>
        <v>4.718</v>
      </c>
      <c r="G388" s="51">
        <f>'Fiscal Forecasts'!G$125</f>
        <v>6.0960000000000001</v>
      </c>
      <c r="H388" s="51">
        <f>'Fiscal Forecasts'!H$125</f>
        <v>7.3170000000000002</v>
      </c>
      <c r="I388" s="51">
        <f>'Fiscal Forecasts'!I$125</f>
        <v>7.1740000000000004</v>
      </c>
      <c r="J388" s="51">
        <f>'Fiscal Forecasts'!J$125</f>
        <v>8.093</v>
      </c>
      <c r="K388" s="51">
        <f>'Fiscal Forecasts'!K$125</f>
        <v>10.503</v>
      </c>
      <c r="L388" s="47">
        <f>'Fiscal Forecasts'!L$125</f>
        <v>11.324999999999999</v>
      </c>
      <c r="M388" s="47">
        <f>'Fiscal Forecasts'!M$125</f>
        <v>12.249000000000001</v>
      </c>
      <c r="N388" s="47">
        <f>'Fiscal Forecasts'!N$125</f>
        <v>13.202999999999999</v>
      </c>
      <c r="O388" s="47">
        <f>'Fiscal Forecasts'!O$125</f>
        <v>14.228</v>
      </c>
      <c r="P388" s="47">
        <f>'Fiscal Forecasts'!P$125</f>
        <v>15.332000000000001</v>
      </c>
      <c r="Q388" s="21">
        <f ca="1">OFFSET(Assumptions!$B$53,0,$C$1)*(Q$384-Q$350-Q$391)</f>
        <v>14.136895240204558</v>
      </c>
      <c r="R388" s="21">
        <f ca="1">OFFSET(Assumptions!$B$53,0,$C$1)*(R$384-R$350-R$391)</f>
        <v>14.999458809909285</v>
      </c>
      <c r="S388" s="21">
        <f ca="1">OFFSET(Assumptions!$B$53,0,$C$1)*(S$384-S$350-S$391)</f>
        <v>15.897136564721942</v>
      </c>
      <c r="T388" s="21">
        <f ca="1">OFFSET(Assumptions!$B$53,0,$C$1)*(T$384-T$350-T$391)</f>
        <v>16.833020564221677</v>
      </c>
      <c r="U388" s="21">
        <f ca="1">OFFSET(Assumptions!$B$53,0,$C$1)*(U$384-U$350-U$391)</f>
        <v>17.803490926290348</v>
      </c>
      <c r="V388" s="21">
        <f ca="1">OFFSET(Assumptions!$B$53,0,$C$1)*(V$384-V$350-V$391)</f>
        <v>18.814699992841387</v>
      </c>
      <c r="W388" s="21">
        <f ca="1">OFFSET(Assumptions!$B$53,0,$C$1)*(W$384-W$350-W$391)</f>
        <v>19.876533370975721</v>
      </c>
      <c r="X388" s="21">
        <f ca="1">OFFSET(Assumptions!$B$53,0,$C$1)*(X$384-X$350-X$391)</f>
        <v>20.999495134532292</v>
      </c>
      <c r="Y388" s="21">
        <f ca="1">OFFSET(Assumptions!$B$53,0,$C$1)*(Y$384-Y$350-Y$391)</f>
        <v>22.197666366129084</v>
      </c>
      <c r="Z388" s="21">
        <f ca="1">OFFSET(Assumptions!$B$53,0,$C$1)*(Z$384-Z$350-Z$391)</f>
        <v>23.483770400249664</v>
      </c>
    </row>
    <row r="389" spans="1:26" x14ac:dyDescent="0.25">
      <c r="A389" s="11"/>
      <c r="B389" s="14"/>
      <c r="D389" s="50"/>
      <c r="E389" s="50"/>
      <c r="F389" s="50"/>
      <c r="G389" s="50"/>
      <c r="H389" s="50"/>
      <c r="I389" s="50"/>
      <c r="J389" s="50"/>
      <c r="K389" s="50"/>
      <c r="L389" s="48"/>
      <c r="M389" s="48"/>
      <c r="N389" s="48"/>
      <c r="O389" s="48"/>
      <c r="P389" s="48"/>
    </row>
    <row r="390" spans="1:26" x14ac:dyDescent="0.25">
      <c r="A390" s="11" t="s">
        <v>945</v>
      </c>
    </row>
    <row r="391" spans="1:26" x14ac:dyDescent="0.25">
      <c r="A391" s="12" t="s">
        <v>1354</v>
      </c>
      <c r="B391" s="14" t="str">
        <f>$B$38</f>
        <v>From Fiscal Forecasts</v>
      </c>
      <c r="D391" s="50">
        <f>'Fiscal Forecasts'!D$185-D$77</f>
        <v>2.0030000000000001</v>
      </c>
      <c r="E391" s="50">
        <f>'Fiscal Forecasts'!E$185-E$77</f>
        <v>3.6860000000000017</v>
      </c>
      <c r="F391" s="50">
        <f>'Fiscal Forecasts'!F$185-F$77</f>
        <v>5.4710000000000001</v>
      </c>
      <c r="G391" s="50">
        <f>'Fiscal Forecasts'!G$185-G$77</f>
        <v>4.6139999999999972</v>
      </c>
      <c r="H391" s="50">
        <f>'Fiscal Forecasts'!H$185-H$77</f>
        <v>7.3510000000000062</v>
      </c>
      <c r="I391" s="50">
        <f>'Fiscal Forecasts'!I$185-I$77</f>
        <v>8.9179999999999993</v>
      </c>
      <c r="J391" s="50">
        <f>'Fiscal Forecasts'!J$185-J$77</f>
        <v>9.9709999999999965</v>
      </c>
      <c r="K391" s="50">
        <f>'Fiscal Forecasts'!K$185-K$77</f>
        <v>9.2230000000000025</v>
      </c>
      <c r="L391" s="48">
        <f>'Fiscal Forecasts'!L$185-L$77</f>
        <v>9.2210000000000001</v>
      </c>
      <c r="M391" s="48">
        <f>'Fiscal Forecasts'!M$185-M$77</f>
        <v>9.222999999999999</v>
      </c>
      <c r="N391" s="48">
        <f>'Fiscal Forecasts'!N$185-N$77</f>
        <v>9.2259999999999991</v>
      </c>
      <c r="O391" s="48">
        <f>'Fiscal Forecasts'!O$185-O$77</f>
        <v>9.2220000000000013</v>
      </c>
      <c r="P391" s="48">
        <f>'Fiscal Forecasts'!P$185-P$77</f>
        <v>9.222999999999999</v>
      </c>
      <c r="Q391" s="20">
        <f ca="1">IF(Q$6=OFFSET(Assumptions!$B$8,0,$C$1),AVERAGE(N$391/N$384,O$391/O$384,P$391/P$384),P$391/P$384)*Q$384</f>
        <v>10.428943957728947</v>
      </c>
      <c r="R391" s="20">
        <f ca="1">IF(R$6=OFFSET(Assumptions!$B$8,0,$C$1),AVERAGE(O$391/O$384,P$391/P$384,Q$391/Q$384),Q$391/Q$384)*R$384</f>
        <v>11.062530506785087</v>
      </c>
      <c r="S391" s="20">
        <f ca="1">IF(S$6=OFFSET(Assumptions!$B$8,0,$C$1),AVERAGE(P$391/P$384,Q$391/Q$384,R$391/R$384),R$391/R$384)*S$384</f>
        <v>11.721909792918062</v>
      </c>
      <c r="T391" s="20">
        <f ca="1">IF(T$6=OFFSET(Assumptions!$B$8,0,$C$1),AVERAGE(Q$391/Q$384,R$391/R$384,S$391/S$384),S$391/S$384)*T$384</f>
        <v>12.409353054361247</v>
      </c>
      <c r="U391" s="20">
        <f ca="1">IF(U$6=OFFSET(Assumptions!$B$8,0,$C$1),AVERAGE(R$391/R$384,S$391/S$384,T$391/T$384),T$391/T$384)*U$384</f>
        <v>13.122201346661411</v>
      </c>
      <c r="V391" s="20">
        <f ca="1">IF(V$6=OFFSET(Assumptions!$B$8,0,$C$1),AVERAGE(S$391/S$384,T$391/T$384,U$391/U$384),U$391/U$384)*V$384</f>
        <v>13.864973804660851</v>
      </c>
      <c r="W391" s="20">
        <f ca="1">IF(W$6=OFFSET(Assumptions!$B$8,0,$C$1),AVERAGE(T$391/T$384,U$391/U$384,V$391/V$384),V$391/V$384)*W$384</f>
        <v>14.644931791937145</v>
      </c>
      <c r="X391" s="20">
        <f ca="1">IF(X$6=OFFSET(Assumptions!$B$8,0,$C$1),AVERAGE(U$391/U$384,V$391/V$384,W$391/W$384),W$391/W$384)*X$384</f>
        <v>15.46979095998358</v>
      </c>
      <c r="Y391" s="20">
        <f ca="1">IF(Y$6=OFFSET(Assumptions!$B$8,0,$C$1),AVERAGE(V$391/V$384,W$391/W$384,X$391/X$384),X$391/X$384)*Y$384</f>
        <v>16.349894412608673</v>
      </c>
      <c r="Z391" s="20">
        <f ca="1">IF(Z$6=OFFSET(Assumptions!$B$8,0,$C$1),AVERAGE(W$391/W$384,X$391/X$384,Y$391/Y$384),Y$391/Y$384)*Z$384</f>
        <v>17.294587934715778</v>
      </c>
    </row>
    <row r="392" spans="1:26" x14ac:dyDescent="0.25">
      <c r="A392" s="12" t="s">
        <v>1355</v>
      </c>
      <c r="D392" s="50">
        <f t="shared" ref="D392:Z392" si="216">D$406</f>
        <v>10.731</v>
      </c>
      <c r="E392" s="50">
        <f t="shared" si="216"/>
        <v>10.395</v>
      </c>
      <c r="F392" s="50">
        <f t="shared" si="216"/>
        <v>10.841000000000001</v>
      </c>
      <c r="G392" s="50">
        <f t="shared" si="216"/>
        <v>9.2089999999999996</v>
      </c>
      <c r="H392" s="50">
        <f t="shared" si="216"/>
        <v>9.3729999999999993</v>
      </c>
      <c r="I392" s="50">
        <f t="shared" si="216"/>
        <v>9.5960000000000001</v>
      </c>
      <c r="J392" s="50">
        <f t="shared" si="216"/>
        <v>10.053999999999998</v>
      </c>
      <c r="K392" s="50">
        <f t="shared" si="216"/>
        <v>10.545</v>
      </c>
      <c r="L392" s="48">
        <f t="shared" si="216"/>
        <v>10.648</v>
      </c>
      <c r="M392" s="48">
        <f t="shared" si="216"/>
        <v>10.73</v>
      </c>
      <c r="N392" s="48">
        <f t="shared" si="216"/>
        <v>10.746000000000002</v>
      </c>
      <c r="O392" s="48">
        <f t="shared" si="216"/>
        <v>10.714000000000002</v>
      </c>
      <c r="P392" s="48">
        <f t="shared" si="216"/>
        <v>10.643000000000004</v>
      </c>
      <c r="Q392" s="20">
        <f t="shared" si="216"/>
        <v>10.645000000000003</v>
      </c>
      <c r="R392" s="20">
        <f t="shared" si="216"/>
        <v>10.643000000000002</v>
      </c>
      <c r="S392" s="20">
        <f t="shared" si="216"/>
        <v>10.637000000000002</v>
      </c>
      <c r="T392" s="20">
        <f t="shared" si="216"/>
        <v>10.622000000000003</v>
      </c>
      <c r="U392" s="20">
        <f t="shared" si="216"/>
        <v>10.598000000000003</v>
      </c>
      <c r="V392" s="20">
        <f t="shared" si="216"/>
        <v>10.571000000000002</v>
      </c>
      <c r="W392" s="20">
        <f t="shared" si="216"/>
        <v>10.539000000000003</v>
      </c>
      <c r="X392" s="20">
        <f t="shared" si="216"/>
        <v>10.508000000000003</v>
      </c>
      <c r="Y392" s="20">
        <f t="shared" si="216"/>
        <v>10.485000000000005</v>
      </c>
      <c r="Z392" s="20">
        <f t="shared" si="216"/>
        <v>10.470000000000004</v>
      </c>
    </row>
    <row r="393" spans="1:26" x14ac:dyDescent="0.25">
      <c r="A393" s="12" t="s">
        <v>1356</v>
      </c>
      <c r="D393" s="50">
        <f t="shared" ref="D393:P393" si="217">D$77-D$406</f>
        <v>3.1140000000000008</v>
      </c>
      <c r="E393" s="50">
        <f t="shared" si="217"/>
        <v>4.1609999999999996</v>
      </c>
      <c r="F393" s="50">
        <f t="shared" si="217"/>
        <v>7.8870000000000005</v>
      </c>
      <c r="G393" s="50">
        <f t="shared" si="217"/>
        <v>16.894000000000002</v>
      </c>
      <c r="H393" s="50">
        <f t="shared" si="217"/>
        <v>27.167999999999999</v>
      </c>
      <c r="I393" s="50">
        <f t="shared" si="217"/>
        <v>30.791999999999998</v>
      </c>
      <c r="J393" s="50">
        <f t="shared" si="217"/>
        <v>24.257000000000001</v>
      </c>
      <c r="K393" s="50">
        <f t="shared" si="217"/>
        <v>17.386000000000003</v>
      </c>
      <c r="L393" s="48">
        <f t="shared" si="217"/>
        <v>20.164000000000001</v>
      </c>
      <c r="M393" s="48">
        <f t="shared" si="217"/>
        <v>22.080000000000002</v>
      </c>
      <c r="N393" s="48">
        <f t="shared" si="217"/>
        <v>24.045999999999999</v>
      </c>
      <c r="O393" s="48">
        <f t="shared" si="217"/>
        <v>25.786999999999995</v>
      </c>
      <c r="P393" s="48">
        <f t="shared" si="217"/>
        <v>25.721999999999998</v>
      </c>
      <c r="Q393" s="20">
        <f t="shared" ref="Q393:Z393" ca="1" si="218">P$393*(1+Q$29)</f>
        <v>26.236439999999998</v>
      </c>
      <c r="R393" s="20">
        <f t="shared" ca="1" si="218"/>
        <v>26.7611688</v>
      </c>
      <c r="S393" s="20">
        <f t="shared" ca="1" si="218"/>
        <v>27.296392176000001</v>
      </c>
      <c r="T393" s="20">
        <f t="shared" ca="1" si="218"/>
        <v>27.842320019520002</v>
      </c>
      <c r="U393" s="20">
        <f t="shared" ca="1" si="218"/>
        <v>28.399166419910404</v>
      </c>
      <c r="V393" s="20">
        <f t="shared" ca="1" si="218"/>
        <v>28.967149748308614</v>
      </c>
      <c r="W393" s="20">
        <f t="shared" ca="1" si="218"/>
        <v>29.546492743274786</v>
      </c>
      <c r="X393" s="20">
        <f t="shared" ca="1" si="218"/>
        <v>30.137422598140283</v>
      </c>
      <c r="Y393" s="20">
        <f t="shared" ca="1" si="218"/>
        <v>30.74017105010309</v>
      </c>
      <c r="Z393" s="20">
        <f t="shared" ca="1" si="218"/>
        <v>31.354974471105152</v>
      </c>
    </row>
    <row r="394" spans="1:26" x14ac:dyDescent="0.25">
      <c r="A394" s="11" t="s">
        <v>1357</v>
      </c>
      <c r="D394" s="94">
        <f t="shared" ref="D394:P394" si="219">SUM(D$391:D$393)</f>
        <v>15.848000000000001</v>
      </c>
      <c r="E394" s="94">
        <f t="shared" si="219"/>
        <v>18.242000000000001</v>
      </c>
      <c r="F394" s="94">
        <f t="shared" si="219"/>
        <v>24.199000000000002</v>
      </c>
      <c r="G394" s="94">
        <f t="shared" si="219"/>
        <v>30.716999999999999</v>
      </c>
      <c r="H394" s="94">
        <f t="shared" si="219"/>
        <v>43.892000000000003</v>
      </c>
      <c r="I394" s="94">
        <f t="shared" si="219"/>
        <v>49.305999999999997</v>
      </c>
      <c r="J394" s="94">
        <f t="shared" si="219"/>
        <v>44.281999999999996</v>
      </c>
      <c r="K394" s="94">
        <f t="shared" si="219"/>
        <v>37.154000000000003</v>
      </c>
      <c r="L394" s="95">
        <f t="shared" si="219"/>
        <v>40.033000000000001</v>
      </c>
      <c r="M394" s="95">
        <f t="shared" si="219"/>
        <v>42.033000000000001</v>
      </c>
      <c r="N394" s="95">
        <f t="shared" si="219"/>
        <v>44.018000000000001</v>
      </c>
      <c r="O394" s="95">
        <f t="shared" si="219"/>
        <v>45.722999999999999</v>
      </c>
      <c r="P394" s="95">
        <f t="shared" si="219"/>
        <v>45.588000000000001</v>
      </c>
      <c r="Q394" s="96">
        <f t="shared" ref="Q394:Z394" ca="1" si="220">SUM(Q$391:Q$393)</f>
        <v>47.310383957728945</v>
      </c>
      <c r="R394" s="96">
        <f t="shared" ca="1" si="220"/>
        <v>48.466699306785088</v>
      </c>
      <c r="S394" s="96">
        <f t="shared" ca="1" si="220"/>
        <v>49.655301968918067</v>
      </c>
      <c r="T394" s="96">
        <f t="shared" ca="1" si="220"/>
        <v>50.87367307388125</v>
      </c>
      <c r="U394" s="96">
        <f t="shared" ca="1" si="220"/>
        <v>52.119367766571813</v>
      </c>
      <c r="V394" s="96">
        <f t="shared" ca="1" si="220"/>
        <v>53.403123552969468</v>
      </c>
      <c r="W394" s="96">
        <f t="shared" ca="1" si="220"/>
        <v>54.730424535211938</v>
      </c>
      <c r="X394" s="96">
        <f t="shared" ca="1" si="220"/>
        <v>56.11521355812387</v>
      </c>
      <c r="Y394" s="96">
        <f t="shared" ca="1" si="220"/>
        <v>57.575065462711763</v>
      </c>
      <c r="Z394" s="96">
        <f t="shared" ca="1" si="220"/>
        <v>59.119562405820936</v>
      </c>
    </row>
    <row r="395" spans="1:26" x14ac:dyDescent="0.25">
      <c r="A395" s="12" t="s">
        <v>1358</v>
      </c>
      <c r="B395" s="14" t="str">
        <f>$B$38</f>
        <v>From Fiscal Forecasts</v>
      </c>
      <c r="D395" s="50">
        <f>'Fiscal Forecasts'!D$324</f>
        <v>20.411000000000001</v>
      </c>
      <c r="E395" s="50">
        <f>'Fiscal Forecasts'!E$324</f>
        <v>22.189</v>
      </c>
      <c r="F395" s="50">
        <f>'Fiscal Forecasts'!F$324</f>
        <v>25.206</v>
      </c>
      <c r="G395" s="50">
        <f>'Fiscal Forecasts'!G$324</f>
        <v>27.786000000000001</v>
      </c>
      <c r="H395" s="50">
        <f>'Fiscal Forecasts'!H$324</f>
        <v>29.785</v>
      </c>
      <c r="I395" s="50">
        <f>'Fiscal Forecasts'!I$324</f>
        <v>32.487000000000002</v>
      </c>
      <c r="J395" s="50">
        <f>'Fiscal Forecasts'!J$324</f>
        <v>35.942</v>
      </c>
      <c r="K395" s="50">
        <f>'Fiscal Forecasts'!K$324</f>
        <v>38.999000000000002</v>
      </c>
      <c r="L395" s="48">
        <f>'Fiscal Forecasts'!L$324</f>
        <v>42.354999999999997</v>
      </c>
      <c r="M395" s="48">
        <f>'Fiscal Forecasts'!M$324</f>
        <v>46.854999999999997</v>
      </c>
      <c r="N395" s="48">
        <f>'Fiscal Forecasts'!N$324</f>
        <v>52.057000000000002</v>
      </c>
      <c r="O395" s="48">
        <f>'Fiscal Forecasts'!O$324</f>
        <v>57.710999999999999</v>
      </c>
      <c r="P395" s="48">
        <f>'Fiscal Forecasts'!P$324</f>
        <v>63.762999999999998</v>
      </c>
      <c r="Q395" s="20">
        <f t="shared" ref="Q395:Z395" ca="1" si="221">P$395*(1+Q$14)</f>
        <v>66.538660094778294</v>
      </c>
      <c r="R395" s="20">
        <f t="shared" ca="1" si="221"/>
        <v>69.370886998057159</v>
      </c>
      <c r="S395" s="20">
        <f t="shared" ca="1" si="221"/>
        <v>72.278147482354385</v>
      </c>
      <c r="T395" s="20">
        <f t="shared" ca="1" si="221"/>
        <v>75.253641427490507</v>
      </c>
      <c r="U395" s="20">
        <f t="shared" ca="1" si="221"/>
        <v>78.332893042383475</v>
      </c>
      <c r="V395" s="20">
        <f t="shared" ca="1" si="221"/>
        <v>81.516997426088238</v>
      </c>
      <c r="W395" s="20">
        <f t="shared" ca="1" si="221"/>
        <v>84.789890824631541</v>
      </c>
      <c r="X395" s="20">
        <f t="shared" ca="1" si="221"/>
        <v>88.157029987638126</v>
      </c>
      <c r="Y395" s="20">
        <f t="shared" ca="1" si="221"/>
        <v>91.636022940767475</v>
      </c>
      <c r="Z395" s="20">
        <f t="shared" ca="1" si="221"/>
        <v>95.227766968163607</v>
      </c>
    </row>
    <row r="396" spans="1:26" x14ac:dyDescent="0.25">
      <c r="A396" s="12" t="s">
        <v>1359</v>
      </c>
      <c r="B396" s="14" t="str">
        <f>$B$38</f>
        <v>From Fiscal Forecasts</v>
      </c>
      <c r="D396" s="50">
        <f>'Fiscal Forecasts'!D$124-SUM(D$394:D$395)</f>
        <v>-2.5690000000000026</v>
      </c>
      <c r="E396" s="50">
        <f>'Fiscal Forecasts'!E$124-SUM(E$394:E$395)</f>
        <v>-2.8019999999999996</v>
      </c>
      <c r="F396" s="50">
        <f>'Fiscal Forecasts'!F$124-SUM(F$394:F$395)</f>
        <v>-3.7929999999999993</v>
      </c>
      <c r="G396" s="50">
        <f>'Fiscal Forecasts'!G$124-SUM(G$394:G$395)</f>
        <v>-3.8440000000000012</v>
      </c>
      <c r="H396" s="50">
        <f>'Fiscal Forecasts'!H$124-SUM(H$394:H$395)</f>
        <v>-7.1880000000000024</v>
      </c>
      <c r="I396" s="50">
        <f>'Fiscal Forecasts'!I$124-SUM(I$394:I$395)</f>
        <v>-12.415000000000006</v>
      </c>
      <c r="J396" s="50">
        <f>'Fiscal Forecasts'!J$124-SUM(J$394:J$395)</f>
        <v>-15.312999999999988</v>
      </c>
      <c r="K396" s="50">
        <f>'Fiscal Forecasts'!K$124-SUM(K$394:K$395)</f>
        <v>-15.880000000000003</v>
      </c>
      <c r="L396" s="48">
        <f>'Fiscal Forecasts'!L$124-SUM(L$394:L$395)</f>
        <v>-18.657000000000004</v>
      </c>
      <c r="M396" s="48">
        <f>'Fiscal Forecasts'!M$124-SUM(M$394:M$395)</f>
        <v>-20.274000000000001</v>
      </c>
      <c r="N396" s="48">
        <f>'Fiscal Forecasts'!N$124-SUM(N$394:N$395)</f>
        <v>-22.240000000000009</v>
      </c>
      <c r="O396" s="48">
        <f>'Fiscal Forecasts'!O$124-SUM(O$394:O$395)</f>
        <v>-23.875999999999991</v>
      </c>
      <c r="P396" s="48">
        <f>'Fiscal Forecasts'!P$124-SUM(P$394:P$395)</f>
        <v>-23.781000000000006</v>
      </c>
      <c r="Q396" s="20">
        <f t="shared" ref="Q396:Z396" ca="1" si="222">P$396-(Q$393-P$393)</f>
        <v>-24.295440000000006</v>
      </c>
      <c r="R396" s="20">
        <f t="shared" ca="1" si="222"/>
        <v>-24.820168800000008</v>
      </c>
      <c r="S396" s="20">
        <f t="shared" ca="1" si="222"/>
        <v>-25.355392176000009</v>
      </c>
      <c r="T396" s="20">
        <f t="shared" ca="1" si="222"/>
        <v>-25.901320019520011</v>
      </c>
      <c r="U396" s="20">
        <f t="shared" ca="1" si="222"/>
        <v>-26.458166419910413</v>
      </c>
      <c r="V396" s="20">
        <f t="shared" ca="1" si="222"/>
        <v>-27.026149748308622</v>
      </c>
      <c r="W396" s="20">
        <f t="shared" ca="1" si="222"/>
        <v>-27.605492743274795</v>
      </c>
      <c r="X396" s="20">
        <f t="shared" ca="1" si="222"/>
        <v>-28.196422598140291</v>
      </c>
      <c r="Y396" s="20">
        <f t="shared" ca="1" si="222"/>
        <v>-28.799171050103098</v>
      </c>
      <c r="Z396" s="20">
        <f t="shared" ca="1" si="222"/>
        <v>-29.41397447110516</v>
      </c>
    </row>
    <row r="397" spans="1:26" x14ac:dyDescent="0.25">
      <c r="A397" s="11" t="s">
        <v>1360</v>
      </c>
      <c r="D397" s="94">
        <f t="shared" ref="D397:P397" si="223">SUM(D$394:D$396)</f>
        <v>33.69</v>
      </c>
      <c r="E397" s="94">
        <f t="shared" si="223"/>
        <v>37.628999999999998</v>
      </c>
      <c r="F397" s="94">
        <f t="shared" si="223"/>
        <v>45.612000000000002</v>
      </c>
      <c r="G397" s="94">
        <f t="shared" si="223"/>
        <v>54.658999999999999</v>
      </c>
      <c r="H397" s="94">
        <f t="shared" si="223"/>
        <v>66.489000000000004</v>
      </c>
      <c r="I397" s="94">
        <f t="shared" si="223"/>
        <v>69.378</v>
      </c>
      <c r="J397" s="94">
        <f t="shared" si="223"/>
        <v>64.911000000000001</v>
      </c>
      <c r="K397" s="94">
        <f t="shared" si="223"/>
        <v>60.273000000000003</v>
      </c>
      <c r="L397" s="95">
        <f t="shared" si="223"/>
        <v>63.731000000000002</v>
      </c>
      <c r="M397" s="95">
        <f t="shared" si="223"/>
        <v>68.614000000000004</v>
      </c>
      <c r="N397" s="95">
        <f t="shared" si="223"/>
        <v>73.834999999999994</v>
      </c>
      <c r="O397" s="95">
        <f t="shared" si="223"/>
        <v>79.558000000000007</v>
      </c>
      <c r="P397" s="95">
        <f t="shared" si="223"/>
        <v>85.57</v>
      </c>
      <c r="Q397" s="96">
        <f t="shared" ref="Q397:Z397" ca="1" si="224">SUM(Q$394:Q$396)</f>
        <v>89.553604052507239</v>
      </c>
      <c r="R397" s="96">
        <f t="shared" ca="1" si="224"/>
        <v>93.017417504842243</v>
      </c>
      <c r="S397" s="96">
        <f t="shared" ca="1" si="224"/>
        <v>96.578057275272442</v>
      </c>
      <c r="T397" s="96">
        <f t="shared" ca="1" si="224"/>
        <v>100.22599448185174</v>
      </c>
      <c r="U397" s="96">
        <f t="shared" ca="1" si="224"/>
        <v>103.99409438904488</v>
      </c>
      <c r="V397" s="96">
        <f t="shared" ca="1" si="224"/>
        <v>107.89397123074909</v>
      </c>
      <c r="W397" s="96">
        <f t="shared" ca="1" si="224"/>
        <v>111.9148226165687</v>
      </c>
      <c r="X397" s="96">
        <f t="shared" ca="1" si="224"/>
        <v>116.07582094762171</v>
      </c>
      <c r="Y397" s="96">
        <f t="shared" ca="1" si="224"/>
        <v>120.41191735337614</v>
      </c>
      <c r="Z397" s="96">
        <f t="shared" ca="1" si="224"/>
        <v>124.93335490287937</v>
      </c>
    </row>
    <row r="399" spans="1:26" x14ac:dyDescent="0.25">
      <c r="A399" s="11" t="s">
        <v>1355</v>
      </c>
    </row>
    <row r="400" spans="1:26" x14ac:dyDescent="0.25">
      <c r="A400" s="12" t="s">
        <v>532</v>
      </c>
      <c r="B400" s="14" t="str">
        <f t="shared" ref="B400:B405" si="225">$B$38</f>
        <v>From Fiscal Forecasts</v>
      </c>
      <c r="D400" s="50">
        <f>'Fiscal Forecasts'!D$326</f>
        <v>1.361</v>
      </c>
      <c r="E400" s="50">
        <f>'Fiscal Forecasts'!E$326</f>
        <v>1.413</v>
      </c>
      <c r="F400" s="50">
        <f>'Fiscal Forecasts'!F$326</f>
        <v>1.43</v>
      </c>
      <c r="G400" s="50">
        <f>'Fiscal Forecasts'!G$326</f>
        <v>1.2949999999999999</v>
      </c>
      <c r="H400" s="50">
        <f>'Fiscal Forecasts'!H$326</f>
        <v>1.2709999999999999</v>
      </c>
      <c r="I400" s="50">
        <f>'Fiscal Forecasts'!I$326</f>
        <v>1.3480000000000001</v>
      </c>
      <c r="J400" s="50">
        <f>'Fiscal Forecasts'!J$326</f>
        <v>1.7090000000000001</v>
      </c>
      <c r="K400" s="50">
        <f>'Fiscal Forecasts'!K$326</f>
        <v>2.0089999999999999</v>
      </c>
      <c r="L400" s="48">
        <f>'Fiscal Forecasts'!L$326</f>
        <v>2.1560000000000001</v>
      </c>
      <c r="M400" s="48">
        <f>'Fiscal Forecasts'!M$326</f>
        <v>2.1890000000000001</v>
      </c>
      <c r="N400" s="48">
        <f>'Fiscal Forecasts'!N$326</f>
        <v>2.1920000000000002</v>
      </c>
      <c r="O400" s="48">
        <f>'Fiscal Forecasts'!O$326</f>
        <v>2.2149999999999999</v>
      </c>
      <c r="P400" s="48">
        <f>'Fiscal Forecasts'!P$326</f>
        <v>2.2530000000000001</v>
      </c>
      <c r="Q400" s="20">
        <f>Exogenous!AB$16</f>
        <v>2.2959999999999998</v>
      </c>
      <c r="R400" s="20">
        <f>Exogenous!AC$16</f>
        <v>2.3319999999999999</v>
      </c>
      <c r="S400" s="20">
        <f>Exogenous!AD$16</f>
        <v>2.3660000000000001</v>
      </c>
      <c r="T400" s="20">
        <f>Exogenous!AE$16</f>
        <v>2.3969999999999998</v>
      </c>
      <c r="U400" s="20">
        <f>Exogenous!AF$16</f>
        <v>2.4260000000000002</v>
      </c>
      <c r="V400" s="20">
        <f>Exogenous!AG$16</f>
        <v>2.456</v>
      </c>
      <c r="W400" s="20">
        <f>Exogenous!AH$16</f>
        <v>2.4860000000000002</v>
      </c>
      <c r="X400" s="20">
        <f>Exogenous!AI$16</f>
        <v>2.5179999999999998</v>
      </c>
      <c r="Y400" s="20">
        <f>Exogenous!AJ$16</f>
        <v>2.5510000000000002</v>
      </c>
      <c r="Z400" s="20">
        <f>Exogenous!AK$16</f>
        <v>2.5840000000000001</v>
      </c>
    </row>
    <row r="401" spans="1:26" x14ac:dyDescent="0.25">
      <c r="A401" s="12" t="s">
        <v>533</v>
      </c>
      <c r="B401" s="14" t="str">
        <f t="shared" si="225"/>
        <v>From Fiscal Forecasts</v>
      </c>
      <c r="D401" s="50">
        <f>'Fiscal Forecasts'!D$327</f>
        <v>3.5999999999999997E-2</v>
      </c>
      <c r="E401" s="50">
        <f>'Fiscal Forecasts'!E$327</f>
        <v>3.5999999999999997E-2</v>
      </c>
      <c r="F401" s="50">
        <f>'Fiscal Forecasts'!F$327</f>
        <v>3.7999999999999999E-2</v>
      </c>
      <c r="G401" s="50">
        <f>'Fiscal Forecasts'!G$327</f>
        <v>3.7999999999999999E-2</v>
      </c>
      <c r="H401" s="50">
        <f>'Fiscal Forecasts'!H$327</f>
        <v>0.03</v>
      </c>
      <c r="I401" s="50">
        <f>'Fiscal Forecasts'!I$327</f>
        <v>2.8000000000000001E-2</v>
      </c>
      <c r="J401" s="50">
        <f>'Fiscal Forecasts'!J$327</f>
        <v>2.5999999999999999E-2</v>
      </c>
      <c r="K401" s="50">
        <f>'Fiscal Forecasts'!K$327</f>
        <v>2.8000000000000001E-2</v>
      </c>
      <c r="L401" s="48">
        <f>'Fiscal Forecasts'!L$327</f>
        <v>3.4000000000000002E-2</v>
      </c>
      <c r="M401" s="48">
        <f>'Fiscal Forecasts'!M$327</f>
        <v>3.4000000000000002E-2</v>
      </c>
      <c r="N401" s="48">
        <f>'Fiscal Forecasts'!N$327</f>
        <v>3.4000000000000002E-2</v>
      </c>
      <c r="O401" s="48">
        <f>'Fiscal Forecasts'!O$327</f>
        <v>3.6999999999999998E-2</v>
      </c>
      <c r="P401" s="48">
        <f>'Fiscal Forecasts'!P$327</f>
        <v>3.7999999999999999E-2</v>
      </c>
      <c r="Q401" s="20">
        <f>Exogenous!AB$17</f>
        <v>3.9E-2</v>
      </c>
      <c r="R401" s="20">
        <f>Exogenous!AC$17</f>
        <v>0.04</v>
      </c>
      <c r="S401" s="20">
        <f>Exogenous!AD$17</f>
        <v>4.1000000000000002E-2</v>
      </c>
      <c r="T401" s="20">
        <f>Exogenous!AE$17</f>
        <v>4.2000000000000003E-2</v>
      </c>
      <c r="U401" s="20">
        <f>Exogenous!AF$17</f>
        <v>4.2999999999999997E-2</v>
      </c>
      <c r="V401" s="20">
        <f>Exogenous!AG$17</f>
        <v>4.3999999999999997E-2</v>
      </c>
      <c r="W401" s="20">
        <f>Exogenous!AH$17</f>
        <v>4.4999999999999998E-2</v>
      </c>
      <c r="X401" s="20">
        <f>Exogenous!AI$17</f>
        <v>4.5999999999999999E-2</v>
      </c>
      <c r="Y401" s="20">
        <f>Exogenous!AJ$17</f>
        <v>4.7E-2</v>
      </c>
      <c r="Z401" s="20">
        <f>Exogenous!AK$17</f>
        <v>4.8000000000000001E-2</v>
      </c>
    </row>
    <row r="402" spans="1:26" x14ac:dyDescent="0.25">
      <c r="A402" s="12" t="s">
        <v>1361</v>
      </c>
      <c r="B402" s="14" t="str">
        <f t="shared" si="225"/>
        <v>From Fiscal Forecasts</v>
      </c>
      <c r="D402" s="50">
        <f>'Fiscal Forecasts'!D$328</f>
        <v>0.56299999999999994</v>
      </c>
      <c r="E402" s="50">
        <f>'Fiscal Forecasts'!E$328</f>
        <v>0.50600000000000001</v>
      </c>
      <c r="F402" s="50">
        <f>'Fiscal Forecasts'!F$328</f>
        <v>0.46899999999999997</v>
      </c>
      <c r="G402" s="50">
        <f>'Fiscal Forecasts'!G$328</f>
        <v>0.48899999999999999</v>
      </c>
      <c r="H402" s="50">
        <f>'Fiscal Forecasts'!H$328</f>
        <v>0.55100000000000005</v>
      </c>
      <c r="I402" s="50">
        <f>'Fiscal Forecasts'!I$328</f>
        <v>0.54400000000000004</v>
      </c>
      <c r="J402" s="50">
        <f>'Fiscal Forecasts'!J$328</f>
        <v>0.58499999999999996</v>
      </c>
      <c r="K402" s="50">
        <f>'Fiscal Forecasts'!K$328</f>
        <v>0.76300000000000001</v>
      </c>
      <c r="L402" s="48">
        <f>'Fiscal Forecasts'!L$328</f>
        <v>0.72399999999999998</v>
      </c>
      <c r="M402" s="48">
        <f>'Fiscal Forecasts'!M$328</f>
        <v>0.78600000000000003</v>
      </c>
      <c r="N402" s="48">
        <f>'Fiscal Forecasts'!N$328</f>
        <v>0.82099999999999995</v>
      </c>
      <c r="O402" s="48">
        <f>'Fiscal Forecasts'!O$328</f>
        <v>0.85299999999999998</v>
      </c>
      <c r="P402" s="48">
        <f>'Fiscal Forecasts'!P$328</f>
        <v>0.88300000000000001</v>
      </c>
      <c r="Q402" s="20">
        <f>Exogenous!AB$18</f>
        <v>0.91100000000000003</v>
      </c>
      <c r="R402" s="20">
        <f>Exogenous!AC$18</f>
        <v>0.93799999999999994</v>
      </c>
      <c r="S402" s="20">
        <f>Exogenous!AD$18</f>
        <v>0.96199999999999997</v>
      </c>
      <c r="T402" s="20">
        <f>Exogenous!AE$18</f>
        <v>0.98499999999999999</v>
      </c>
      <c r="U402" s="20">
        <f>Exogenous!AF$18</f>
        <v>1.006</v>
      </c>
      <c r="V402" s="20">
        <f>Exogenous!AG$18</f>
        <v>1.0249999999999999</v>
      </c>
      <c r="W402" s="20">
        <f>Exogenous!AH$18</f>
        <v>1.046</v>
      </c>
      <c r="X402" s="20">
        <f>Exogenous!AI$18</f>
        <v>1.0669999999999999</v>
      </c>
      <c r="Y402" s="20">
        <f>Exogenous!AJ$18</f>
        <v>1.0880000000000001</v>
      </c>
      <c r="Z402" s="20">
        <f>Exogenous!AK$18</f>
        <v>1.109</v>
      </c>
    </row>
    <row r="403" spans="1:26" x14ac:dyDescent="0.25">
      <c r="A403" s="12" t="s">
        <v>1362</v>
      </c>
      <c r="B403" s="14" t="str">
        <f t="shared" si="225"/>
        <v>From Fiscal Forecasts</v>
      </c>
      <c r="D403" s="50">
        <f>'Fiscal Forecasts'!D$329</f>
        <v>1.371</v>
      </c>
      <c r="E403" s="50">
        <f>'Fiscal Forecasts'!E$329</f>
        <v>1.4770000000000001</v>
      </c>
      <c r="F403" s="50">
        <f>'Fiscal Forecasts'!F$329</f>
        <v>1.4950000000000001</v>
      </c>
      <c r="G403" s="50">
        <f>'Fiscal Forecasts'!G$329</f>
        <v>1.605</v>
      </c>
      <c r="H403" s="50">
        <f>'Fiscal Forecasts'!H$329</f>
        <v>1.6339999999999999</v>
      </c>
      <c r="I403" s="50">
        <f>'Fiscal Forecasts'!I$329</f>
        <v>1.5980000000000001</v>
      </c>
      <c r="J403" s="50">
        <f>'Fiscal Forecasts'!J$329</f>
        <v>1.5620000000000001</v>
      </c>
      <c r="K403" s="50">
        <f>'Fiscal Forecasts'!K$329</f>
        <v>1.6279999999999999</v>
      </c>
      <c r="L403" s="48">
        <f>'Fiscal Forecasts'!L$329</f>
        <v>1.726</v>
      </c>
      <c r="M403" s="48">
        <f>'Fiscal Forecasts'!M$329</f>
        <v>1.8009999999999999</v>
      </c>
      <c r="N403" s="48">
        <f>'Fiscal Forecasts'!N$329</f>
        <v>1.863</v>
      </c>
      <c r="O403" s="48">
        <f>'Fiscal Forecasts'!O$329</f>
        <v>1.9319999999999999</v>
      </c>
      <c r="P403" s="48">
        <f>'Fiscal Forecasts'!P$329</f>
        <v>2.0049999999999999</v>
      </c>
      <c r="Q403" s="20">
        <f>Exogenous!AB$19</f>
        <v>1.9910000000000001</v>
      </c>
      <c r="R403" s="20">
        <f>Exogenous!AC$19</f>
        <v>2.0409999999999999</v>
      </c>
      <c r="S403" s="20">
        <f>Exogenous!AD$19</f>
        <v>2.09</v>
      </c>
      <c r="T403" s="20">
        <f>Exogenous!AE$19</f>
        <v>2.1389999999999998</v>
      </c>
      <c r="U403" s="20">
        <f>Exogenous!AF$19</f>
        <v>2.1859999999999999</v>
      </c>
      <c r="V403" s="20">
        <f>Exogenous!AG$19</f>
        <v>2.2309999999999999</v>
      </c>
      <c r="W403" s="20">
        <f>Exogenous!AH$19</f>
        <v>2.2759999999999998</v>
      </c>
      <c r="X403" s="20">
        <f>Exogenous!AI$19</f>
        <v>2.319</v>
      </c>
      <c r="Y403" s="20">
        <f>Exogenous!AJ$19</f>
        <v>2.3570000000000002</v>
      </c>
      <c r="Z403" s="20">
        <f>Exogenous!AK$19</f>
        <v>2.395</v>
      </c>
    </row>
    <row r="404" spans="1:26" x14ac:dyDescent="0.25">
      <c r="A404" s="12" t="s">
        <v>536</v>
      </c>
      <c r="B404" s="14" t="str">
        <f t="shared" si="225"/>
        <v>From Fiscal Forecasts</v>
      </c>
      <c r="D404" s="50">
        <f>'Fiscal Forecasts'!D$330</f>
        <v>0.39400000000000002</v>
      </c>
      <c r="E404" s="50">
        <f>'Fiscal Forecasts'!E$330</f>
        <v>0.33100000000000002</v>
      </c>
      <c r="F404" s="50">
        <f>'Fiscal Forecasts'!F$330</f>
        <v>0.23499999999999999</v>
      </c>
      <c r="G404" s="50">
        <f>'Fiscal Forecasts'!G$330</f>
        <v>0.28000000000000003</v>
      </c>
      <c r="H404" s="50">
        <f>'Fiscal Forecasts'!H$330</f>
        <v>0.57699999999999996</v>
      </c>
      <c r="I404" s="50">
        <f>'Fiscal Forecasts'!I$330</f>
        <v>0.63400000000000001</v>
      </c>
      <c r="J404" s="50">
        <f>'Fiscal Forecasts'!J$330</f>
        <v>0.49199999999999999</v>
      </c>
      <c r="K404" s="50">
        <f>'Fiscal Forecasts'!K$330</f>
        <v>0.311</v>
      </c>
      <c r="L404" s="48">
        <f>'Fiscal Forecasts'!L$330</f>
        <v>0.36299999999999999</v>
      </c>
      <c r="M404" s="48">
        <f>'Fiscal Forecasts'!M$330</f>
        <v>0.44600000000000001</v>
      </c>
      <c r="N404" s="48">
        <f>'Fiscal Forecasts'!N$330</f>
        <v>0.47399999999999998</v>
      </c>
      <c r="O404" s="48">
        <f>'Fiscal Forecasts'!O$330</f>
        <v>0.501</v>
      </c>
      <c r="P404" s="48">
        <f>'Fiscal Forecasts'!P$330</f>
        <v>0.52600000000000002</v>
      </c>
      <c r="Q404" s="20">
        <f>Exogenous!AB$20</f>
        <v>0.56899999999999995</v>
      </c>
      <c r="R404" s="20">
        <f>Exogenous!AC$20</f>
        <v>0.60499999999999998</v>
      </c>
      <c r="S404" s="20">
        <f>Exogenous!AD$20</f>
        <v>0.63900000000000001</v>
      </c>
      <c r="T404" s="20">
        <f>Exogenous!AE$20</f>
        <v>0.67</v>
      </c>
      <c r="U404" s="20">
        <f>Exogenous!AF$20</f>
        <v>0.69899999999999995</v>
      </c>
      <c r="V404" s="20">
        <f>Exogenous!AG$20</f>
        <v>0.72899999999999998</v>
      </c>
      <c r="W404" s="20">
        <f>Exogenous!AH$20</f>
        <v>0.75900000000000001</v>
      </c>
      <c r="X404" s="20">
        <f>Exogenous!AI$20</f>
        <v>0.79100000000000004</v>
      </c>
      <c r="Y404" s="20">
        <f>Exogenous!AJ$20</f>
        <v>0.82399999999999995</v>
      </c>
      <c r="Z404" s="20">
        <f>Exogenous!AK$20</f>
        <v>0.85699999999999998</v>
      </c>
    </row>
    <row r="405" spans="1:26" x14ac:dyDescent="0.25">
      <c r="A405" s="12" t="s">
        <v>537</v>
      </c>
      <c r="B405" s="14" t="str">
        <f t="shared" si="225"/>
        <v>From Fiscal Forecasts</v>
      </c>
      <c r="D405" s="50">
        <f>'Fiscal Forecasts'!D$331</f>
        <v>0.94499999999999995</v>
      </c>
      <c r="E405" s="50">
        <f>'Fiscal Forecasts'!E$331</f>
        <v>-0.13300000000000001</v>
      </c>
      <c r="F405" s="50">
        <f>'Fiscal Forecasts'!F$331</f>
        <v>0.70699999999999996</v>
      </c>
      <c r="G405" s="50">
        <f>'Fiscal Forecasts'!G$331</f>
        <v>-1.151</v>
      </c>
      <c r="H405" s="50">
        <f>'Fiscal Forecasts'!H$331</f>
        <v>0.47099999999999997</v>
      </c>
      <c r="I405" s="50">
        <f>'Fiscal Forecasts'!I$331</f>
        <v>0.35499999999999998</v>
      </c>
      <c r="J405" s="50">
        <f>'Fiscal Forecasts'!J$331</f>
        <v>0.378</v>
      </c>
      <c r="K405" s="50">
        <f>'Fiscal Forecasts'!K$331</f>
        <v>0.53400000000000003</v>
      </c>
      <c r="L405" s="48">
        <f>'Fiscal Forecasts'!L$331</f>
        <v>0</v>
      </c>
      <c r="M405" s="48">
        <f>'Fiscal Forecasts'!M$331</f>
        <v>0</v>
      </c>
      <c r="N405" s="48">
        <f>'Fiscal Forecasts'!N$331</f>
        <v>0</v>
      </c>
      <c r="O405" s="48">
        <f>'Fiscal Forecasts'!O$331</f>
        <v>0</v>
      </c>
      <c r="P405" s="48">
        <f>'Fiscal Forecasts'!P$331</f>
        <v>0</v>
      </c>
      <c r="Q405" s="20">
        <f>Exogenous!AB$21</f>
        <v>0</v>
      </c>
      <c r="R405" s="20">
        <f>Exogenous!AC$21</f>
        <v>0</v>
      </c>
      <c r="S405" s="20">
        <f>Exogenous!AD$21</f>
        <v>0</v>
      </c>
      <c r="T405" s="20">
        <f>Exogenous!AE$21</f>
        <v>0</v>
      </c>
      <c r="U405" s="20">
        <f>Exogenous!AF$21</f>
        <v>0</v>
      </c>
      <c r="V405" s="20">
        <f>Exogenous!AG$21</f>
        <v>0</v>
      </c>
      <c r="W405" s="20">
        <f>Exogenous!AH$21</f>
        <v>0</v>
      </c>
      <c r="X405" s="20">
        <f>Exogenous!AI$21</f>
        <v>0</v>
      </c>
      <c r="Y405" s="20">
        <f>Exogenous!AJ$21</f>
        <v>0</v>
      </c>
      <c r="Z405" s="20">
        <f>Exogenous!AK$21</f>
        <v>0</v>
      </c>
    </row>
    <row r="406" spans="1:26" x14ac:dyDescent="0.25">
      <c r="A406" s="11" t="s">
        <v>1071</v>
      </c>
      <c r="C406" s="103">
        <f>'Fiscal Forecasts'!$C$332</f>
        <v>9.9290000000000003</v>
      </c>
      <c r="D406" s="94">
        <f>SUM(C$406,D$400,D$401,-D$402,-D$403,D$404,D$405)</f>
        <v>10.731</v>
      </c>
      <c r="E406" s="94">
        <f t="shared" ref="E406:Z406" si="226">SUM(D$406,E$400,E$401,-E$402,-E$403,E$404,E$405)</f>
        <v>10.395</v>
      </c>
      <c r="F406" s="94">
        <f t="shared" si="226"/>
        <v>10.841000000000001</v>
      </c>
      <c r="G406" s="94">
        <f t="shared" si="226"/>
        <v>9.2089999999999996</v>
      </c>
      <c r="H406" s="94">
        <f t="shared" si="226"/>
        <v>9.3729999999999993</v>
      </c>
      <c r="I406" s="94">
        <f t="shared" si="226"/>
        <v>9.5960000000000001</v>
      </c>
      <c r="J406" s="94">
        <f t="shared" si="226"/>
        <v>10.053999999999998</v>
      </c>
      <c r="K406" s="94">
        <f t="shared" si="226"/>
        <v>10.545</v>
      </c>
      <c r="L406" s="95">
        <f t="shared" si="226"/>
        <v>10.648</v>
      </c>
      <c r="M406" s="95">
        <f t="shared" si="226"/>
        <v>10.73</v>
      </c>
      <c r="N406" s="95">
        <f t="shared" si="226"/>
        <v>10.746000000000002</v>
      </c>
      <c r="O406" s="95">
        <f t="shared" si="226"/>
        <v>10.714000000000002</v>
      </c>
      <c r="P406" s="95">
        <f t="shared" si="226"/>
        <v>10.643000000000004</v>
      </c>
      <c r="Q406" s="96">
        <f t="shared" si="226"/>
        <v>10.645000000000003</v>
      </c>
      <c r="R406" s="96">
        <f t="shared" si="226"/>
        <v>10.643000000000002</v>
      </c>
      <c r="S406" s="96">
        <f t="shared" si="226"/>
        <v>10.637000000000002</v>
      </c>
      <c r="T406" s="96">
        <f t="shared" si="226"/>
        <v>10.622000000000003</v>
      </c>
      <c r="U406" s="96">
        <f t="shared" si="226"/>
        <v>10.598000000000003</v>
      </c>
      <c r="V406" s="96">
        <f t="shared" si="226"/>
        <v>10.571000000000002</v>
      </c>
      <c r="W406" s="96">
        <f t="shared" si="226"/>
        <v>10.539000000000003</v>
      </c>
      <c r="X406" s="96">
        <f t="shared" si="226"/>
        <v>10.508000000000003</v>
      </c>
      <c r="Y406" s="96">
        <f t="shared" si="226"/>
        <v>10.485000000000005</v>
      </c>
      <c r="Z406" s="96">
        <f t="shared" si="226"/>
        <v>10.470000000000004</v>
      </c>
    </row>
    <row r="408" spans="1:26" x14ac:dyDescent="0.25">
      <c r="A408" s="11" t="s">
        <v>947</v>
      </c>
    </row>
    <row r="409" spans="1:26" x14ac:dyDescent="0.25">
      <c r="A409" s="11" t="s">
        <v>1363</v>
      </c>
      <c r="B409" s="14" t="str">
        <f>$B$38</f>
        <v>From Fiscal Forecasts</v>
      </c>
      <c r="D409" s="51">
        <f>ROUND('Fiscal Forecasts'!D$189*D$410/SUM(D$410,D$414),3)</f>
        <v>0.75700000000000001</v>
      </c>
      <c r="E409" s="51">
        <f>ROUND('Fiscal Forecasts'!E$189*E$410/SUM(E$410,E$414),3)</f>
        <v>1.0569999999999999</v>
      </c>
      <c r="F409" s="51">
        <f>ROUND('Fiscal Forecasts'!F$189*F$410/SUM(F$410,F$414),3)</f>
        <v>1.169</v>
      </c>
      <c r="G409" s="51">
        <f>ROUND('Fiscal Forecasts'!G$189*G$410/SUM(G$410,G$414),3)</f>
        <v>1.7330000000000001</v>
      </c>
      <c r="H409" s="51">
        <f>ROUND('Fiscal Forecasts'!H$189*H$410/SUM(H$410,H$414),3)</f>
        <v>1.5860000000000001</v>
      </c>
      <c r="I409" s="51">
        <f>ROUND('Fiscal Forecasts'!I$189*I$410/SUM(I$410,I$414),3)</f>
        <v>1.6120000000000001</v>
      </c>
      <c r="J409" s="51">
        <f>ROUND('Fiscal Forecasts'!J$189*J$410/SUM(J$410,J$414),3)</f>
        <v>1.704</v>
      </c>
      <c r="K409" s="51">
        <f>ROUND('Fiscal Forecasts'!K$189*K$410/SUM(K$410,K$414),3)</f>
        <v>1.722</v>
      </c>
      <c r="L409" s="47">
        <f>ROUND('Fiscal Forecasts'!L$189*L$410/SUM(L$410,L$414),3)</f>
        <v>1.7230000000000001</v>
      </c>
      <c r="M409" s="47">
        <f>ROUND('Fiscal Forecasts'!M$189*M$410/SUM(M$410,M$414),3)</f>
        <v>1.6459999999999999</v>
      </c>
      <c r="N409" s="47">
        <f>ROUND('Fiscal Forecasts'!N$189*N$410/SUM(N$410,N$414),3)</f>
        <v>1.6339999999999999</v>
      </c>
      <c r="O409" s="47">
        <f>ROUND('Fiscal Forecasts'!O$189*O$410/SUM(O$410,O$414),3)</f>
        <v>1.629</v>
      </c>
      <c r="P409" s="47">
        <f>ROUND('Fiscal Forecasts'!P$189*P$410/SUM(P$410,P$414),3)</f>
        <v>1.61</v>
      </c>
      <c r="Q409" s="21">
        <f t="shared" ref="Q409:Z409" ca="1" si="227">P$409*(1+Q$29)</f>
        <v>1.6422000000000001</v>
      </c>
      <c r="R409" s="21">
        <f t="shared" ca="1" si="227"/>
        <v>1.6750440000000002</v>
      </c>
      <c r="S409" s="21">
        <f t="shared" ca="1" si="227"/>
        <v>1.7085448800000003</v>
      </c>
      <c r="T409" s="21">
        <f t="shared" ca="1" si="227"/>
        <v>1.7427157776000004</v>
      </c>
      <c r="U409" s="21">
        <f t="shared" ca="1" si="227"/>
        <v>1.7775700931520004</v>
      </c>
      <c r="V409" s="21">
        <f t="shared" ca="1" si="227"/>
        <v>1.8131214950150405</v>
      </c>
      <c r="W409" s="21">
        <f t="shared" ca="1" si="227"/>
        <v>1.8493839249153414</v>
      </c>
      <c r="X409" s="21">
        <f t="shared" ca="1" si="227"/>
        <v>1.8863716034136482</v>
      </c>
      <c r="Y409" s="21">
        <f t="shared" ca="1" si="227"/>
        <v>1.9240990354819212</v>
      </c>
      <c r="Z409" s="21">
        <f t="shared" ca="1" si="227"/>
        <v>1.9625810161915596</v>
      </c>
    </row>
    <row r="410" spans="1:26" x14ac:dyDescent="0.25">
      <c r="A410" s="11" t="s">
        <v>1364</v>
      </c>
      <c r="B410" s="14" t="str">
        <f>$B$38</f>
        <v>From Fiscal Forecasts</v>
      </c>
      <c r="D410" s="51">
        <f>'Fiscal Forecasts'!D$126</f>
        <v>1.5169999999999999</v>
      </c>
      <c r="E410" s="51">
        <f>'Fiscal Forecasts'!E$126</f>
        <v>1.7729999999999999</v>
      </c>
      <c r="F410" s="51">
        <f>'Fiscal Forecasts'!F$126</f>
        <v>2.194</v>
      </c>
      <c r="G410" s="51">
        <f>'Fiscal Forecasts'!G$126</f>
        <v>3.0680000000000001</v>
      </c>
      <c r="H410" s="51">
        <f>'Fiscal Forecasts'!H$126</f>
        <v>3.0409999999999999</v>
      </c>
      <c r="I410" s="51">
        <f>'Fiscal Forecasts'!I$126</f>
        <v>2.8610000000000002</v>
      </c>
      <c r="J410" s="51">
        <f>'Fiscal Forecasts'!J$126</f>
        <v>3.1</v>
      </c>
      <c r="K410" s="51">
        <f>'Fiscal Forecasts'!K$126</f>
        <v>3.2650000000000001</v>
      </c>
      <c r="L410" s="47">
        <f>'Fiscal Forecasts'!L$126</f>
        <v>3.1110000000000002</v>
      </c>
      <c r="M410" s="47">
        <f>'Fiscal Forecasts'!M$126</f>
        <v>3.03</v>
      </c>
      <c r="N410" s="47">
        <f>'Fiscal Forecasts'!N$126</f>
        <v>3.05</v>
      </c>
      <c r="O410" s="47">
        <f>'Fiscal Forecasts'!O$126</f>
        <v>3.0790000000000002</v>
      </c>
      <c r="P410" s="47">
        <f>'Fiscal Forecasts'!P$126</f>
        <v>3.0670000000000002</v>
      </c>
      <c r="Q410" s="21">
        <f t="shared" ref="Q410:Z410" ca="1" si="228">Q$409+(P$410-P$409)*(1+Q$29)</f>
        <v>3.1283400000000001</v>
      </c>
      <c r="R410" s="21">
        <f t="shared" ca="1" si="228"/>
        <v>3.1909068000000005</v>
      </c>
      <c r="S410" s="21">
        <f t="shared" ca="1" si="228"/>
        <v>3.2547249360000006</v>
      </c>
      <c r="T410" s="21">
        <f t="shared" ca="1" si="228"/>
        <v>3.3198194347200007</v>
      </c>
      <c r="U410" s="21">
        <f t="shared" ca="1" si="228"/>
        <v>3.3862158234144006</v>
      </c>
      <c r="V410" s="21">
        <f t="shared" ca="1" si="228"/>
        <v>3.4539401398826888</v>
      </c>
      <c r="W410" s="21">
        <f t="shared" ca="1" si="228"/>
        <v>3.5230189426803427</v>
      </c>
      <c r="X410" s="21">
        <f t="shared" ca="1" si="228"/>
        <v>3.5934793215339496</v>
      </c>
      <c r="Y410" s="21">
        <f t="shared" ca="1" si="228"/>
        <v>3.6653489079646286</v>
      </c>
      <c r="Z410" s="21">
        <f t="shared" ca="1" si="228"/>
        <v>3.7386558861239214</v>
      </c>
    </row>
    <row r="412" spans="1:26" x14ac:dyDescent="0.25">
      <c r="A412" s="11" t="s">
        <v>1365</v>
      </c>
    </row>
    <row r="413" spans="1:26" x14ac:dyDescent="0.25">
      <c r="A413" s="11" t="s">
        <v>1366</v>
      </c>
      <c r="B413" s="14" t="str">
        <f>$B$38</f>
        <v>From Fiscal Forecasts</v>
      </c>
      <c r="D413" s="51">
        <f>'Fiscal Forecasts'!D$189-D$409</f>
        <v>1.4119999999999999</v>
      </c>
      <c r="E413" s="51">
        <f>'Fiscal Forecasts'!E$189-E$409</f>
        <v>2.153</v>
      </c>
      <c r="F413" s="51">
        <f>'Fiscal Forecasts'!F$189-F$409</f>
        <v>2.0920000000000001</v>
      </c>
      <c r="G413" s="51">
        <f>'Fiscal Forecasts'!G$189-G$409</f>
        <v>2.3759999999999999</v>
      </c>
      <c r="H413" s="51">
        <f>'Fiscal Forecasts'!H$189-H$409</f>
        <v>2.4050000000000002</v>
      </c>
      <c r="I413" s="51">
        <f>'Fiscal Forecasts'!I$189-I$409</f>
        <v>2.8419999999999996</v>
      </c>
      <c r="J413" s="51">
        <f>'Fiscal Forecasts'!J$189-J$409</f>
        <v>2.835</v>
      </c>
      <c r="K413" s="51">
        <f>'Fiscal Forecasts'!K$189-K$409</f>
        <v>2.927</v>
      </c>
      <c r="L413" s="47">
        <f>'Fiscal Forecasts'!L$189-L$409</f>
        <v>3.1180000000000003</v>
      </c>
      <c r="M413" s="47">
        <f>'Fiscal Forecasts'!M$189-M$409</f>
        <v>3.0280000000000005</v>
      </c>
      <c r="N413" s="47">
        <f>'Fiscal Forecasts'!N$189-N$409</f>
        <v>2.8540000000000005</v>
      </c>
      <c r="O413" s="47">
        <f>'Fiscal Forecasts'!O$189-O$409</f>
        <v>2.8160000000000003</v>
      </c>
      <c r="P413" s="47">
        <f>'Fiscal Forecasts'!P$189-P$409</f>
        <v>2.7879999999999994</v>
      </c>
      <c r="Q413" s="21">
        <f t="shared" ref="Q413:Z413" ca="1" si="229">P$413*(1+Q$29)</f>
        <v>2.8437599999999996</v>
      </c>
      <c r="R413" s="21">
        <f t="shared" ca="1" si="229"/>
        <v>2.9006351999999995</v>
      </c>
      <c r="S413" s="21">
        <f t="shared" ca="1" si="229"/>
        <v>2.9586479039999998</v>
      </c>
      <c r="T413" s="21">
        <f t="shared" ca="1" si="229"/>
        <v>3.0178208620799998</v>
      </c>
      <c r="U413" s="21">
        <f t="shared" ca="1" si="229"/>
        <v>3.0781772793215998</v>
      </c>
      <c r="V413" s="21">
        <f t="shared" ca="1" si="229"/>
        <v>3.1397408249080319</v>
      </c>
      <c r="W413" s="21">
        <f t="shared" ca="1" si="229"/>
        <v>3.2025356414061927</v>
      </c>
      <c r="X413" s="21">
        <f t="shared" ca="1" si="229"/>
        <v>3.2665863542343168</v>
      </c>
      <c r="Y413" s="21">
        <f t="shared" ca="1" si="229"/>
        <v>3.331918081319003</v>
      </c>
      <c r="Z413" s="21">
        <f t="shared" ca="1" si="229"/>
        <v>3.3985564429453832</v>
      </c>
    </row>
    <row r="414" spans="1:26" x14ac:dyDescent="0.25">
      <c r="A414" s="11" t="s">
        <v>1367</v>
      </c>
      <c r="B414" s="14" t="str">
        <f>$B$38</f>
        <v>From Fiscal Forecasts</v>
      </c>
      <c r="D414" s="51">
        <f>'Fiscal Forecasts'!D$127</f>
        <v>2.8279999999999998</v>
      </c>
      <c r="E414" s="51">
        <f>'Fiscal Forecasts'!E$127</f>
        <v>3.61</v>
      </c>
      <c r="F414" s="51">
        <f>'Fiscal Forecasts'!F$127</f>
        <v>3.9279999999999999</v>
      </c>
      <c r="G414" s="51">
        <f>'Fiscal Forecasts'!G$127</f>
        <v>4.2080000000000002</v>
      </c>
      <c r="H414" s="51">
        <f>'Fiscal Forecasts'!H$127</f>
        <v>4.6120000000000001</v>
      </c>
      <c r="I414" s="51">
        <f>'Fiscal Forecasts'!I$127</f>
        <v>5.0449999999999999</v>
      </c>
      <c r="J414" s="51">
        <f>'Fiscal Forecasts'!J$127</f>
        <v>5.157</v>
      </c>
      <c r="K414" s="51">
        <f>'Fiscal Forecasts'!K$127</f>
        <v>5.55</v>
      </c>
      <c r="L414" s="47">
        <f>'Fiscal Forecasts'!L$127</f>
        <v>5.6280000000000001</v>
      </c>
      <c r="M414" s="47">
        <f>'Fiscal Forecasts'!M$127</f>
        <v>5.5730000000000004</v>
      </c>
      <c r="N414" s="47">
        <f>'Fiscal Forecasts'!N$127</f>
        <v>5.3250000000000002</v>
      </c>
      <c r="O414" s="47">
        <f>'Fiscal Forecasts'!O$127</f>
        <v>5.3239999999999998</v>
      </c>
      <c r="P414" s="47">
        <f>'Fiscal Forecasts'!P$127</f>
        <v>5.3129999999999997</v>
      </c>
      <c r="Q414" s="21">
        <f t="shared" ref="Q414:Z414" ca="1" si="230">Q$413+(P$414-P$413)*(1+Q$29)</f>
        <v>5.4192599999999995</v>
      </c>
      <c r="R414" s="21">
        <f t="shared" ca="1" si="230"/>
        <v>5.5276451999999994</v>
      </c>
      <c r="S414" s="21">
        <f t="shared" ca="1" si="230"/>
        <v>5.6381981039999998</v>
      </c>
      <c r="T414" s="21">
        <f t="shared" ca="1" si="230"/>
        <v>5.7509620660799996</v>
      </c>
      <c r="U414" s="21">
        <f t="shared" ca="1" si="230"/>
        <v>5.8659813074015998</v>
      </c>
      <c r="V414" s="21">
        <f t="shared" ca="1" si="230"/>
        <v>5.9833009335496321</v>
      </c>
      <c r="W414" s="21">
        <f t="shared" ca="1" si="230"/>
        <v>6.1029669522206245</v>
      </c>
      <c r="X414" s="21">
        <f t="shared" ca="1" si="230"/>
        <v>6.2250262912650367</v>
      </c>
      <c r="Y414" s="21">
        <f t="shared" ca="1" si="230"/>
        <v>6.3495268170903376</v>
      </c>
      <c r="Z414" s="21">
        <f t="shared" ca="1" si="230"/>
        <v>6.4765173534321443</v>
      </c>
    </row>
    <row r="416" spans="1:26" x14ac:dyDescent="0.25">
      <c r="A416" s="11" t="s">
        <v>1368</v>
      </c>
    </row>
    <row r="417" spans="1:26" x14ac:dyDescent="0.25">
      <c r="A417" s="11" t="s">
        <v>1369</v>
      </c>
      <c r="B417" s="14" t="str">
        <f>$B$38</f>
        <v>From Fiscal Forecasts</v>
      </c>
      <c r="D417" s="51">
        <f>'Fiscal Forecasts'!D$186</f>
        <v>43.683999999999997</v>
      </c>
      <c r="E417" s="51">
        <f>'Fiscal Forecasts'!E$186</f>
        <v>45.167000000000002</v>
      </c>
      <c r="F417" s="51">
        <f>'Fiscal Forecasts'!F$186</f>
        <v>51.92</v>
      </c>
      <c r="G417" s="51">
        <f>'Fiscal Forecasts'!G$186</f>
        <v>56.518999999999998</v>
      </c>
      <c r="H417" s="51">
        <f>'Fiscal Forecasts'!H$186</f>
        <v>63.033999999999999</v>
      </c>
      <c r="I417" s="51">
        <f>'Fiscal Forecasts'!I$186</f>
        <v>67.997</v>
      </c>
      <c r="J417" s="51">
        <f>'Fiscal Forecasts'!J$186</f>
        <v>67.518000000000001</v>
      </c>
      <c r="K417" s="51">
        <f>'Fiscal Forecasts'!K$186</f>
        <v>65.867999999999995</v>
      </c>
      <c r="L417" s="47">
        <f>'Fiscal Forecasts'!L$186</f>
        <v>67.391000000000005</v>
      </c>
      <c r="M417" s="47">
        <f>'Fiscal Forecasts'!M$186</f>
        <v>68.777000000000001</v>
      </c>
      <c r="N417" s="47">
        <f>'Fiscal Forecasts'!N$186</f>
        <v>69.62</v>
      </c>
      <c r="O417" s="47">
        <f>'Fiscal Forecasts'!O$186</f>
        <v>69.459000000000003</v>
      </c>
      <c r="P417" s="47">
        <f>'Fiscal Forecasts'!P$186</f>
        <v>69.108000000000004</v>
      </c>
      <c r="Q417" s="21">
        <f t="shared" ref="Q417:Z417" si="231">P$417</f>
        <v>69.108000000000004</v>
      </c>
      <c r="R417" s="21">
        <f t="shared" si="231"/>
        <v>69.108000000000004</v>
      </c>
      <c r="S417" s="21">
        <f t="shared" si="231"/>
        <v>69.108000000000004</v>
      </c>
      <c r="T417" s="21">
        <f t="shared" si="231"/>
        <v>69.108000000000004</v>
      </c>
      <c r="U417" s="21">
        <f t="shared" si="231"/>
        <v>69.108000000000004</v>
      </c>
      <c r="V417" s="21">
        <f t="shared" si="231"/>
        <v>69.108000000000004</v>
      </c>
      <c r="W417" s="21">
        <f t="shared" si="231"/>
        <v>69.108000000000004</v>
      </c>
      <c r="X417" s="21">
        <f t="shared" si="231"/>
        <v>69.108000000000004</v>
      </c>
      <c r="Y417" s="21">
        <f t="shared" si="231"/>
        <v>69.108000000000004</v>
      </c>
      <c r="Z417" s="21">
        <f t="shared" si="231"/>
        <v>69.108000000000004</v>
      </c>
    </row>
    <row r="418" spans="1:26" x14ac:dyDescent="0.25">
      <c r="A418" s="12" t="s">
        <v>1370</v>
      </c>
      <c r="B418" s="14" t="str">
        <f>$B$38</f>
        <v>From Fiscal Forecasts</v>
      </c>
      <c r="D418" s="50">
        <f>'Fiscal Forecasts'!D$335</f>
        <v>93.730999999999995</v>
      </c>
      <c r="E418" s="50">
        <f>'Fiscal Forecasts'!E$335</f>
        <v>101.509</v>
      </c>
      <c r="F418" s="50">
        <f>'Fiscal Forecasts'!F$335</f>
        <v>119.682</v>
      </c>
      <c r="G418" s="50">
        <f>'Fiscal Forecasts'!G$335</f>
        <v>145.18600000000001</v>
      </c>
      <c r="H418" s="50">
        <f>'Fiscal Forecasts'!H$335</f>
        <v>151.042</v>
      </c>
      <c r="I418" s="50">
        <f>'Fiscal Forecasts'!I$335</f>
        <v>158.06800000000001</v>
      </c>
      <c r="J418" s="50">
        <f>'Fiscal Forecasts'!J$335</f>
        <v>164.292</v>
      </c>
      <c r="K418" s="50">
        <f>'Fiscal Forecasts'!K$335</f>
        <v>165.83799999999999</v>
      </c>
      <c r="L418" s="48">
        <f>'Fiscal Forecasts'!L$335</f>
        <v>169.78800000000001</v>
      </c>
      <c r="M418" s="48">
        <f>'Fiscal Forecasts'!M$335</f>
        <v>173.96600000000001</v>
      </c>
      <c r="N418" s="48">
        <f>'Fiscal Forecasts'!N$335</f>
        <v>177.459</v>
      </c>
      <c r="O418" s="48">
        <f>'Fiscal Forecasts'!O$335</f>
        <v>179.83199999999999</v>
      </c>
      <c r="P418" s="48">
        <f>'Fiscal Forecasts'!P$335</f>
        <v>181.584</v>
      </c>
      <c r="Q418" s="20">
        <f t="shared" ref="Q418:Z418" ca="1" si="232">(P$418-P$423)*(1+Q$29)+Q$423</f>
        <v>183.21564000000001</v>
      </c>
      <c r="R418" s="20">
        <f t="shared" ca="1" si="232"/>
        <v>184.8799128</v>
      </c>
      <c r="S418" s="20">
        <f t="shared" ca="1" si="232"/>
        <v>186.57747105600001</v>
      </c>
      <c r="T418" s="20">
        <f t="shared" ca="1" si="232"/>
        <v>188.30898047712</v>
      </c>
      <c r="U418" s="20">
        <f t="shared" ca="1" si="232"/>
        <v>190.07512008666242</v>
      </c>
      <c r="V418" s="20">
        <f t="shared" ca="1" si="232"/>
        <v>191.87658248839568</v>
      </c>
      <c r="W418" s="20">
        <f t="shared" ca="1" si="232"/>
        <v>193.7140741381636</v>
      </c>
      <c r="X418" s="20">
        <f t="shared" ca="1" si="232"/>
        <v>195.58831562092686</v>
      </c>
      <c r="Y418" s="20">
        <f t="shared" ca="1" si="232"/>
        <v>197.50004193334541</v>
      </c>
      <c r="Z418" s="20">
        <f t="shared" ca="1" si="232"/>
        <v>199.45000277201234</v>
      </c>
    </row>
    <row r="419" spans="1:26" x14ac:dyDescent="0.25">
      <c r="A419" s="12" t="s">
        <v>1371</v>
      </c>
      <c r="B419" s="14" t="str">
        <f>$B$38</f>
        <v>From Fiscal Forecasts</v>
      </c>
      <c r="D419" s="50">
        <f>SUM('Fiscal Forecasts'!D$336:D$337)</f>
        <v>40.21</v>
      </c>
      <c r="E419" s="50">
        <f>SUM('Fiscal Forecasts'!E$336:E$337)</f>
        <v>39.826000000000001</v>
      </c>
      <c r="F419" s="50">
        <f>SUM('Fiscal Forecasts'!F$336:F$337)</f>
        <v>41.613999999999997</v>
      </c>
      <c r="G419" s="50">
        <f>SUM('Fiscal Forecasts'!G$336:G$337)</f>
        <v>47.476999999999997</v>
      </c>
      <c r="H419" s="50">
        <f>SUM('Fiscal Forecasts'!H$336:H$337)</f>
        <v>53.314</v>
      </c>
      <c r="I419" s="50">
        <f>SUM('Fiscal Forecasts'!I$336:I$337)</f>
        <v>57.724999999999994</v>
      </c>
      <c r="J419" s="50">
        <f>SUM('Fiscal Forecasts'!J$336:J$337)</f>
        <v>60.790999999999997</v>
      </c>
      <c r="K419" s="50">
        <f>SUM('Fiscal Forecasts'!K$336:K$337)</f>
        <v>64.260999999999996</v>
      </c>
      <c r="L419" s="48">
        <f>SUM('Fiscal Forecasts'!L$336:L$337)</f>
        <v>65.998000000000005</v>
      </c>
      <c r="M419" s="48">
        <f>SUM('Fiscal Forecasts'!M$336:M$337)</f>
        <v>67.91</v>
      </c>
      <c r="N419" s="48">
        <f>SUM('Fiscal Forecasts'!N$336:N$337)</f>
        <v>69.397999999999996</v>
      </c>
      <c r="O419" s="48">
        <f>SUM('Fiscal Forecasts'!O$336:O$337)</f>
        <v>70.602999999999994</v>
      </c>
      <c r="P419" s="48">
        <f>SUM('Fiscal Forecasts'!P$336:P$337)</f>
        <v>72.019000000000005</v>
      </c>
      <c r="Q419" s="20">
        <f t="shared" ref="Q419:Z419" ca="1" si="233">P$419*(1+Q$29)</f>
        <v>73.45938000000001</v>
      </c>
      <c r="R419" s="20">
        <f t="shared" ca="1" si="233"/>
        <v>74.928567600000008</v>
      </c>
      <c r="S419" s="20">
        <f t="shared" ca="1" si="233"/>
        <v>76.427138952000007</v>
      </c>
      <c r="T419" s="20">
        <f t="shared" ca="1" si="233"/>
        <v>77.955681731040002</v>
      </c>
      <c r="U419" s="20">
        <f t="shared" ca="1" si="233"/>
        <v>79.514795365660802</v>
      </c>
      <c r="V419" s="20">
        <f t="shared" ca="1" si="233"/>
        <v>81.105091272974022</v>
      </c>
      <c r="W419" s="20">
        <f t="shared" ca="1" si="233"/>
        <v>82.727193098433503</v>
      </c>
      <c r="X419" s="20">
        <f t="shared" ca="1" si="233"/>
        <v>84.381736960402179</v>
      </c>
      <c r="Y419" s="20">
        <f t="shared" ca="1" si="233"/>
        <v>86.06937169961023</v>
      </c>
      <c r="Z419" s="20">
        <f t="shared" ca="1" si="233"/>
        <v>87.790759133602435</v>
      </c>
    </row>
    <row r="420" spans="1:26" x14ac:dyDescent="0.25">
      <c r="A420" s="11" t="s">
        <v>1372</v>
      </c>
      <c r="D420" s="94">
        <f t="shared" ref="D420:I420" si="234">SUM(D$417:D$419)</f>
        <v>177.625</v>
      </c>
      <c r="E420" s="94">
        <f t="shared" si="234"/>
        <v>186.50199999999998</v>
      </c>
      <c r="F420" s="94">
        <f t="shared" si="234"/>
        <v>213.21600000000001</v>
      </c>
      <c r="G420" s="94">
        <f t="shared" si="234"/>
        <v>249.18200000000002</v>
      </c>
      <c r="H420" s="94">
        <f t="shared" si="234"/>
        <v>267.39</v>
      </c>
      <c r="I420" s="94">
        <f t="shared" si="234"/>
        <v>283.78999999999996</v>
      </c>
      <c r="J420" s="94">
        <f t="shared" ref="J420:P420" si="235">SUM(J$417:J$419)</f>
        <v>292.601</v>
      </c>
      <c r="K420" s="94">
        <f t="shared" si="235"/>
        <v>295.96699999999998</v>
      </c>
      <c r="L420" s="95">
        <f t="shared" si="235"/>
        <v>303.17700000000002</v>
      </c>
      <c r="M420" s="95">
        <f t="shared" si="235"/>
        <v>310.65300000000002</v>
      </c>
      <c r="N420" s="95">
        <f t="shared" si="235"/>
        <v>316.47699999999998</v>
      </c>
      <c r="O420" s="95">
        <f t="shared" si="235"/>
        <v>319.89400000000001</v>
      </c>
      <c r="P420" s="95">
        <f t="shared" si="235"/>
        <v>322.71100000000001</v>
      </c>
      <c r="Q420" s="96">
        <f t="shared" ref="Q420:Z420" ca="1" si="236">SUM(Q$417:Q$419)</f>
        <v>325.78302000000002</v>
      </c>
      <c r="R420" s="96">
        <f t="shared" ca="1" si="236"/>
        <v>328.91648040000001</v>
      </c>
      <c r="S420" s="96">
        <f t="shared" ca="1" si="236"/>
        <v>332.11261000800005</v>
      </c>
      <c r="T420" s="96">
        <f t="shared" ca="1" si="236"/>
        <v>335.37266220815997</v>
      </c>
      <c r="U420" s="96">
        <f t="shared" ca="1" si="236"/>
        <v>338.69791545232323</v>
      </c>
      <c r="V420" s="96">
        <f t="shared" ca="1" si="236"/>
        <v>342.08967376136968</v>
      </c>
      <c r="W420" s="96">
        <f t="shared" ca="1" si="236"/>
        <v>345.54926723659707</v>
      </c>
      <c r="X420" s="96">
        <f t="shared" ca="1" si="236"/>
        <v>349.07805258132902</v>
      </c>
      <c r="Y420" s="96">
        <f t="shared" ca="1" si="236"/>
        <v>352.67741363295568</v>
      </c>
      <c r="Z420" s="96">
        <f t="shared" ca="1" si="236"/>
        <v>356.34876190561477</v>
      </c>
    </row>
    <row r="422" spans="1:26" x14ac:dyDescent="0.25">
      <c r="A422" s="11" t="s">
        <v>950</v>
      </c>
    </row>
    <row r="423" spans="1:26" x14ac:dyDescent="0.25">
      <c r="A423" s="11" t="s">
        <v>1373</v>
      </c>
      <c r="B423" s="14" t="str">
        <f>$B$38</f>
        <v>From Fiscal Forecasts</v>
      </c>
      <c r="D423" s="51">
        <f>'Fiscal Forecasts'!D$187</f>
        <v>46.601999999999997</v>
      </c>
      <c r="E423" s="51">
        <f>'Fiscal Forecasts'!E$187</f>
        <v>49.604999999999997</v>
      </c>
      <c r="F423" s="51">
        <f>'Fiscal Forecasts'!F$187</f>
        <v>53.877000000000002</v>
      </c>
      <c r="G423" s="51">
        <f>'Fiscal Forecasts'!G$187</f>
        <v>57.801000000000002</v>
      </c>
      <c r="H423" s="51">
        <f>'Fiscal Forecasts'!H$187</f>
        <v>64.816999999999993</v>
      </c>
      <c r="I423" s="51">
        <f>'Fiscal Forecasts'!I$187</f>
        <v>69.174000000000007</v>
      </c>
      <c r="J423" s="51">
        <f>'Fiscal Forecasts'!J$187</f>
        <v>74.98</v>
      </c>
      <c r="K423" s="51">
        <f>'Fiscal Forecasts'!K$187</f>
        <v>79.525999999999996</v>
      </c>
      <c r="L423" s="47">
        <f>'Fiscal Forecasts'!L$187</f>
        <v>85.882999999999996</v>
      </c>
      <c r="M423" s="47">
        <f>'Fiscal Forecasts'!M$187</f>
        <v>91.435000000000002</v>
      </c>
      <c r="N423" s="47">
        <f>'Fiscal Forecasts'!N$187</f>
        <v>95.393000000000001</v>
      </c>
      <c r="O423" s="47">
        <f>'Fiscal Forecasts'!O$187</f>
        <v>98.093000000000004</v>
      </c>
      <c r="P423" s="47">
        <f>'Fiscal Forecasts'!P$187</f>
        <v>100.002</v>
      </c>
      <c r="Q423" s="21">
        <f t="shared" ref="Q423:Z423" si="237">P$423</f>
        <v>100.002</v>
      </c>
      <c r="R423" s="21">
        <f t="shared" si="237"/>
        <v>100.002</v>
      </c>
      <c r="S423" s="21">
        <f t="shared" si="237"/>
        <v>100.002</v>
      </c>
      <c r="T423" s="21">
        <f t="shared" si="237"/>
        <v>100.002</v>
      </c>
      <c r="U423" s="21">
        <f t="shared" si="237"/>
        <v>100.002</v>
      </c>
      <c r="V423" s="21">
        <f t="shared" si="237"/>
        <v>100.002</v>
      </c>
      <c r="W423" s="21">
        <f t="shared" si="237"/>
        <v>100.002</v>
      </c>
      <c r="X423" s="21">
        <f t="shared" si="237"/>
        <v>100.002</v>
      </c>
      <c r="Y423" s="21">
        <f t="shared" si="237"/>
        <v>100.002</v>
      </c>
      <c r="Z423" s="21">
        <f t="shared" si="237"/>
        <v>100.002</v>
      </c>
    </row>
    <row r="424" spans="1:26" x14ac:dyDescent="0.25">
      <c r="A424" s="11" t="s">
        <v>1374</v>
      </c>
      <c r="B424" s="14" t="str">
        <f>$B$38</f>
        <v>From Fiscal Forecasts</v>
      </c>
      <c r="D424" s="51">
        <f>'Fiscal Forecasts'!D$129</f>
        <v>14.65</v>
      </c>
      <c r="E424" s="51">
        <f>'Fiscal Forecasts'!E$129</f>
        <v>14.308</v>
      </c>
      <c r="F424" s="51">
        <f>'Fiscal Forecasts'!F$129</f>
        <v>14.420999999999999</v>
      </c>
      <c r="G424" s="51">
        <f>'Fiscal Forecasts'!G$129</f>
        <v>16.247</v>
      </c>
      <c r="H424" s="51">
        <f>'Fiscal Forecasts'!H$129</f>
        <v>17.033999999999999</v>
      </c>
      <c r="I424" s="51">
        <f>'Fiscal Forecasts'!I$129</f>
        <v>17.951000000000001</v>
      </c>
      <c r="J424" s="51">
        <f>'Fiscal Forecasts'!J$129</f>
        <v>19.478000000000002</v>
      </c>
      <c r="K424" s="51">
        <f>'Fiscal Forecasts'!K$129</f>
        <v>18.126999999999999</v>
      </c>
      <c r="L424" s="47">
        <f>'Fiscal Forecasts'!L$129</f>
        <v>18.913</v>
      </c>
      <c r="M424" s="47">
        <f>'Fiscal Forecasts'!M$129</f>
        <v>19.36</v>
      </c>
      <c r="N424" s="47">
        <f>'Fiscal Forecasts'!N$129</f>
        <v>19.609000000000002</v>
      </c>
      <c r="O424" s="47">
        <f>'Fiscal Forecasts'!O$129</f>
        <v>19.724</v>
      </c>
      <c r="P424" s="47">
        <f>'Fiscal Forecasts'!P$129</f>
        <v>19.824999999999999</v>
      </c>
      <c r="Q424" s="21">
        <f t="shared" ref="Q424:Z424" ca="1" si="238">P$424*(1+Q$29)</f>
        <v>20.221499999999999</v>
      </c>
      <c r="R424" s="21">
        <f t="shared" ca="1" si="238"/>
        <v>20.62593</v>
      </c>
      <c r="S424" s="21">
        <f t="shared" ca="1" si="238"/>
        <v>21.038448600000002</v>
      </c>
      <c r="T424" s="21">
        <f t="shared" ca="1" si="238"/>
        <v>21.459217572000004</v>
      </c>
      <c r="U424" s="21">
        <f t="shared" ca="1" si="238"/>
        <v>21.888401923440004</v>
      </c>
      <c r="V424" s="21">
        <f t="shared" ca="1" si="238"/>
        <v>22.326169961908803</v>
      </c>
      <c r="W424" s="21">
        <f t="shared" ca="1" si="238"/>
        <v>22.772693361146981</v>
      </c>
      <c r="X424" s="21">
        <f t="shared" ca="1" si="238"/>
        <v>23.22814722836992</v>
      </c>
      <c r="Y424" s="21">
        <f t="shared" ca="1" si="238"/>
        <v>23.692710172937318</v>
      </c>
      <c r="Z424" s="21">
        <f t="shared" ca="1" si="238"/>
        <v>24.166564376396064</v>
      </c>
    </row>
    <row r="426" spans="1:26" x14ac:dyDescent="0.25">
      <c r="A426" s="11" t="s">
        <v>951</v>
      </c>
    </row>
    <row r="427" spans="1:26" x14ac:dyDescent="0.25">
      <c r="A427" s="11" t="s">
        <v>1375</v>
      </c>
      <c r="B427" s="14" t="str">
        <f>$B$38</f>
        <v>From Fiscal Forecasts</v>
      </c>
      <c r="D427" s="51">
        <f>'Fiscal Forecasts'!D$188</f>
        <v>1.681</v>
      </c>
      <c r="E427" s="51">
        <f>'Fiscal Forecasts'!E$188</f>
        <v>1.57</v>
      </c>
      <c r="F427" s="51">
        <f>'Fiscal Forecasts'!F$188</f>
        <v>1.637</v>
      </c>
      <c r="G427" s="51">
        <f>'Fiscal Forecasts'!G$188</f>
        <v>1.4650000000000001</v>
      </c>
      <c r="H427" s="51">
        <f>'Fiscal Forecasts'!H$188</f>
        <v>1.583</v>
      </c>
      <c r="I427" s="51">
        <f>'Fiscal Forecasts'!I$188</f>
        <v>1.577</v>
      </c>
      <c r="J427" s="51">
        <f>'Fiscal Forecasts'!J$188</f>
        <v>1.53</v>
      </c>
      <c r="K427" s="51">
        <f>'Fiscal Forecasts'!K$188</f>
        <v>1.4570000000000001</v>
      </c>
      <c r="L427" s="47">
        <f>'Fiscal Forecasts'!L$188</f>
        <v>1.4379999999999999</v>
      </c>
      <c r="M427" s="47">
        <f>'Fiscal Forecasts'!M$188</f>
        <v>1.389</v>
      </c>
      <c r="N427" s="47">
        <f>'Fiscal Forecasts'!N$188</f>
        <v>1.294</v>
      </c>
      <c r="O427" s="47">
        <f>'Fiscal Forecasts'!O$188</f>
        <v>1.224</v>
      </c>
      <c r="P427" s="47">
        <f>'Fiscal Forecasts'!P$188</f>
        <v>1.163</v>
      </c>
      <c r="Q427" s="21">
        <f t="shared" ref="Q427:Z427" si="239">P$427</f>
        <v>1.163</v>
      </c>
      <c r="R427" s="21">
        <f t="shared" si="239"/>
        <v>1.163</v>
      </c>
      <c r="S427" s="21">
        <f t="shared" si="239"/>
        <v>1.163</v>
      </c>
      <c r="T427" s="21">
        <f t="shared" si="239"/>
        <v>1.163</v>
      </c>
      <c r="U427" s="21">
        <f t="shared" si="239"/>
        <v>1.163</v>
      </c>
      <c r="V427" s="21">
        <f t="shared" si="239"/>
        <v>1.163</v>
      </c>
      <c r="W427" s="21">
        <f t="shared" si="239"/>
        <v>1.163</v>
      </c>
      <c r="X427" s="21">
        <f t="shared" si="239"/>
        <v>1.163</v>
      </c>
      <c r="Y427" s="21">
        <f t="shared" si="239"/>
        <v>1.163</v>
      </c>
      <c r="Z427" s="21">
        <f t="shared" si="239"/>
        <v>1.163</v>
      </c>
    </row>
    <row r="428" spans="1:26" x14ac:dyDescent="0.25">
      <c r="A428" s="12" t="s">
        <v>1376</v>
      </c>
      <c r="B428" s="14" t="str">
        <f>$B$38</f>
        <v>From Fiscal Forecasts</v>
      </c>
      <c r="D428" s="50">
        <f>SUM('Fiscal Forecasts'!D$353:D$355)</f>
        <v>2.23</v>
      </c>
      <c r="E428" s="50">
        <f>SUM('Fiscal Forecasts'!E$353:E$355)</f>
        <v>2.3220000000000001</v>
      </c>
      <c r="F428" s="50">
        <f>SUM('Fiscal Forecasts'!F$353:F$355)</f>
        <v>1.964</v>
      </c>
      <c r="G428" s="50">
        <f>SUM('Fiscal Forecasts'!G$353:G$355)</f>
        <v>2.2320000000000002</v>
      </c>
      <c r="H428" s="50">
        <f>SUM('Fiscal Forecasts'!H$353:H$355)</f>
        <v>2.3249999999999997</v>
      </c>
      <c r="I428" s="50">
        <f>SUM('Fiscal Forecasts'!I$353:I$355)</f>
        <v>2.5069999999999997</v>
      </c>
      <c r="J428" s="50">
        <f>SUM('Fiscal Forecasts'!J$353:J$355)</f>
        <v>2.5609999999999999</v>
      </c>
      <c r="K428" s="50">
        <f>SUM('Fiscal Forecasts'!K$353:K$355)</f>
        <v>2.5070000000000001</v>
      </c>
      <c r="L428" s="48">
        <f>SUM('Fiscal Forecasts'!L$353:L$355)</f>
        <v>2.5920000000000001</v>
      </c>
      <c r="M428" s="48">
        <f>SUM('Fiscal Forecasts'!M$353:M$355)</f>
        <v>2.5659999999999998</v>
      </c>
      <c r="N428" s="48">
        <f>SUM('Fiscal Forecasts'!N$353:N$355)</f>
        <v>2.6120000000000001</v>
      </c>
      <c r="O428" s="48">
        <f>SUM('Fiscal Forecasts'!O$353:O$355)</f>
        <v>2.7010000000000001</v>
      </c>
      <c r="P428" s="48">
        <f>SUM('Fiscal Forecasts'!P$353:P$355)</f>
        <v>2.7700000000000005</v>
      </c>
      <c r="Q428" s="20">
        <f t="shared" ref="Q428:Z428" ca="1" si="240">P$428*(1+Q$14)</f>
        <v>2.8905805633758748</v>
      </c>
      <c r="R428" s="20">
        <f t="shared" ca="1" si="240"/>
        <v>3.0136185089255267</v>
      </c>
      <c r="S428" s="20">
        <f t="shared" ca="1" si="240"/>
        <v>3.1399160724263551</v>
      </c>
      <c r="T428" s="20">
        <f t="shared" ca="1" si="240"/>
        <v>3.2691778422305844</v>
      </c>
      <c r="U428" s="20">
        <f t="shared" ca="1" si="240"/>
        <v>3.4029470653420053</v>
      </c>
      <c r="V428" s="20">
        <f t="shared" ca="1" si="240"/>
        <v>3.5412713151869339</v>
      </c>
      <c r="W428" s="20">
        <f t="shared" ca="1" si="240"/>
        <v>3.6834527482118062</v>
      </c>
      <c r="X428" s="20">
        <f t="shared" ca="1" si="240"/>
        <v>3.8297284171973973</v>
      </c>
      <c r="Y428" s="20">
        <f t="shared" ca="1" si="240"/>
        <v>3.9808632521356575</v>
      </c>
      <c r="Z428" s="20">
        <f t="shared" ca="1" si="240"/>
        <v>4.1368962329534877</v>
      </c>
    </row>
    <row r="429" spans="1:26" x14ac:dyDescent="0.25">
      <c r="A429" s="11" t="s">
        <v>1377</v>
      </c>
      <c r="D429" s="94">
        <f t="shared" ref="D429:Z429" si="241">SUM(D$427:D$428)</f>
        <v>3.911</v>
      </c>
      <c r="E429" s="94">
        <f t="shared" si="241"/>
        <v>3.8920000000000003</v>
      </c>
      <c r="F429" s="94">
        <f t="shared" si="241"/>
        <v>3.601</v>
      </c>
      <c r="G429" s="94">
        <f t="shared" si="241"/>
        <v>3.6970000000000001</v>
      </c>
      <c r="H429" s="94">
        <f t="shared" si="241"/>
        <v>3.9079999999999995</v>
      </c>
      <c r="I429" s="94">
        <f t="shared" si="241"/>
        <v>4.0839999999999996</v>
      </c>
      <c r="J429" s="94">
        <f t="shared" si="241"/>
        <v>4.0910000000000002</v>
      </c>
      <c r="K429" s="94">
        <f t="shared" si="241"/>
        <v>3.9640000000000004</v>
      </c>
      <c r="L429" s="95">
        <f t="shared" si="241"/>
        <v>4.03</v>
      </c>
      <c r="M429" s="95">
        <f t="shared" si="241"/>
        <v>3.9550000000000001</v>
      </c>
      <c r="N429" s="95">
        <f t="shared" si="241"/>
        <v>3.9060000000000001</v>
      </c>
      <c r="O429" s="95">
        <f t="shared" si="241"/>
        <v>3.9249999999999998</v>
      </c>
      <c r="P429" s="95">
        <f t="shared" si="241"/>
        <v>3.9330000000000007</v>
      </c>
      <c r="Q429" s="96">
        <f t="shared" ca="1" si="241"/>
        <v>4.053580563375875</v>
      </c>
      <c r="R429" s="96">
        <f t="shared" ca="1" si="241"/>
        <v>4.176618508925527</v>
      </c>
      <c r="S429" s="96">
        <f t="shared" ca="1" si="241"/>
        <v>4.3029160724263553</v>
      </c>
      <c r="T429" s="96">
        <f t="shared" ca="1" si="241"/>
        <v>4.4321778422305842</v>
      </c>
      <c r="U429" s="96">
        <f t="shared" ca="1" si="241"/>
        <v>4.5659470653420051</v>
      </c>
      <c r="V429" s="96">
        <f t="shared" ca="1" si="241"/>
        <v>4.7042713151869338</v>
      </c>
      <c r="W429" s="96">
        <f t="shared" ca="1" si="241"/>
        <v>4.8464527482118065</v>
      </c>
      <c r="X429" s="96">
        <f t="shared" ca="1" si="241"/>
        <v>4.9927284171973971</v>
      </c>
      <c r="Y429" s="96">
        <f t="shared" ca="1" si="241"/>
        <v>5.1438632521356578</v>
      </c>
      <c r="Z429" s="96">
        <f t="shared" ca="1" si="241"/>
        <v>5.299896232953488</v>
      </c>
    </row>
    <row r="431" spans="1:26" x14ac:dyDescent="0.25">
      <c r="A431" s="11" t="s">
        <v>1378</v>
      </c>
    </row>
    <row r="432" spans="1:26" x14ac:dyDescent="0.25">
      <c r="A432" s="11" t="s">
        <v>1048</v>
      </c>
      <c r="D432" s="51">
        <f>SUM($D$433:D$434)</f>
        <v>0</v>
      </c>
      <c r="E432" s="51">
        <f>SUM($D$433:E$434)</f>
        <v>0</v>
      </c>
      <c r="F432" s="51">
        <f>SUM($D$433:F$434)</f>
        <v>0</v>
      </c>
      <c r="G432" s="51">
        <f>SUM($D$433:G$434)</f>
        <v>0</v>
      </c>
      <c r="H432" s="51">
        <f>SUM($D$433:H$434)</f>
        <v>0</v>
      </c>
      <c r="I432" s="51">
        <f>SUM($D$433:I$434)</f>
        <v>0</v>
      </c>
      <c r="J432" s="51">
        <f>SUM($D$433:J$434)</f>
        <v>0</v>
      </c>
      <c r="K432" s="51">
        <f>SUM($D$433:K$434)</f>
        <v>0</v>
      </c>
      <c r="L432" s="47">
        <f>SUM($D$433:L$434)</f>
        <v>1.994</v>
      </c>
      <c r="M432" s="47">
        <f>SUM($D$433:M$434)</f>
        <v>5.0810000000000004</v>
      </c>
      <c r="N432" s="47">
        <f>SUM($D$433:N$434)</f>
        <v>8.8090000000000011</v>
      </c>
      <c r="O432" s="47">
        <f>SUM($D$433:O$434)</f>
        <v>13.289000000000001</v>
      </c>
      <c r="P432" s="47">
        <f>SUM($D$433:P$434)</f>
        <v>18.557000000000002</v>
      </c>
      <c r="Q432" s="21">
        <f ca="1">SUM($D$433:Q$434)</f>
        <v>24.339000000000002</v>
      </c>
      <c r="R432" s="21">
        <f ca="1">SUM($D$433:R$434)</f>
        <v>31.093500000000002</v>
      </c>
      <c r="S432" s="21">
        <f ca="1">SUM($D$433:S$434)</f>
        <v>38.499125000000006</v>
      </c>
      <c r="T432" s="21">
        <f ca="1">SUM($D$433:T$434)</f>
        <v>46.206431250000009</v>
      </c>
      <c r="U432" s="21">
        <f ca="1">SUM($D$433:U$434)</f>
        <v>54.29910281250001</v>
      </c>
      <c r="V432" s="21">
        <f ca="1">SUM($D$433:V$434)</f>
        <v>62.796407953125012</v>
      </c>
      <c r="W432" s="21">
        <f ca="1">SUM($D$433:W$434)</f>
        <v>71.718578350781257</v>
      </c>
      <c r="X432" s="21">
        <f ca="1">SUM($D$433:X$434)</f>
        <v>81.08685726832033</v>
      </c>
      <c r="Y432" s="21">
        <f ca="1">SUM($D$433:Y$434)</f>
        <v>90.923550131736349</v>
      </c>
      <c r="Z432" s="21">
        <f ca="1">SUM($D$433:Z$434)</f>
        <v>101.25207763832317</v>
      </c>
    </row>
    <row r="433" spans="1:26" x14ac:dyDescent="0.25">
      <c r="A433" s="12" t="s">
        <v>1049</v>
      </c>
      <c r="B433" s="14" t="str">
        <f>$B$38</f>
        <v>From Fiscal Forecasts</v>
      </c>
      <c r="D433" s="50">
        <f>'Fiscal Forecasts'!D$294</f>
        <v>0</v>
      </c>
      <c r="E433" s="50">
        <f>'Fiscal Forecasts'!E$294</f>
        <v>0</v>
      </c>
      <c r="F433" s="50">
        <f>'Fiscal Forecasts'!F$294</f>
        <v>0</v>
      </c>
      <c r="G433" s="50">
        <f>'Fiscal Forecasts'!G$294</f>
        <v>0</v>
      </c>
      <c r="H433" s="50">
        <f>'Fiscal Forecasts'!H$294</f>
        <v>0</v>
      </c>
      <c r="I433" s="50">
        <f>'Fiscal Forecasts'!I$294</f>
        <v>0</v>
      </c>
      <c r="J433" s="50">
        <f>'Fiscal Forecasts'!J$294</f>
        <v>0</v>
      </c>
      <c r="K433" s="50">
        <f>'Fiscal Forecasts'!K$294</f>
        <v>0</v>
      </c>
      <c r="L433" s="48">
        <f>'Fiscal Forecasts'!L$294</f>
        <v>1.8939999999999999</v>
      </c>
      <c r="M433" s="48">
        <f>'Fiscal Forecasts'!M$294</f>
        <v>1.8620000000000001</v>
      </c>
      <c r="N433" s="48">
        <f>'Fiscal Forecasts'!N$294</f>
        <v>1.278</v>
      </c>
      <c r="O433" s="48">
        <f>'Fiscal Forecasts'!O$294</f>
        <v>0.80500000000000005</v>
      </c>
      <c r="P433" s="48">
        <f>'Fiscal Forecasts'!P$294</f>
        <v>0.71799999999999997</v>
      </c>
      <c r="Q433" s="20">
        <f ca="1">IF(Q$6&lt;OFFSET(Assumptions!$B$8,0,$C$1)+3,OFFSET(Assumptions!$B$45,0,$C$1)/3,OFFSET(Assumptions!$B$9,0,$C$1))</f>
        <v>0.23199999999999998</v>
      </c>
      <c r="R433" s="20">
        <f ca="1">IF(R$6&lt;OFFSET(Assumptions!$B$8,0,$C$1)+3,OFFSET(Assumptions!$B$45,0,$C$1)/3,OFFSET(Assumptions!$B$9,0,$C$1))</f>
        <v>0.23199999999999998</v>
      </c>
      <c r="S433" s="20">
        <f ca="1">IF(S$6&lt;OFFSET(Assumptions!$B$8,0,$C$1)+3,OFFSET(Assumptions!$B$45,0,$C$1)/3,OFFSET(Assumptions!$B$9,0,$C$1))</f>
        <v>0.23199999999999998</v>
      </c>
      <c r="T433" s="20">
        <f ca="1">IF(T$6&lt;OFFSET(Assumptions!$B$8,0,$C$1)+3,OFFSET(Assumptions!$B$45,0,$C$1)/3,OFFSET(Assumptions!$B$9,0,$C$1))</f>
        <v>0</v>
      </c>
      <c r="U433" s="20">
        <f ca="1">IF(U$6&lt;OFFSET(Assumptions!$B$8,0,$C$1)+3,OFFSET(Assumptions!$B$45,0,$C$1)/3,OFFSET(Assumptions!$B$9,0,$C$1))</f>
        <v>0</v>
      </c>
      <c r="V433" s="20">
        <f ca="1">IF(V$6&lt;OFFSET(Assumptions!$B$8,0,$C$1)+3,OFFSET(Assumptions!$B$45,0,$C$1)/3,OFFSET(Assumptions!$B$9,0,$C$1))</f>
        <v>0</v>
      </c>
      <c r="W433" s="20">
        <f ca="1">IF(W$6&lt;OFFSET(Assumptions!$B$8,0,$C$1)+3,OFFSET(Assumptions!$B$45,0,$C$1)/3,OFFSET(Assumptions!$B$9,0,$C$1))</f>
        <v>0</v>
      </c>
      <c r="X433" s="20">
        <f ca="1">IF(X$6&lt;OFFSET(Assumptions!$B$8,0,$C$1)+3,OFFSET(Assumptions!$B$45,0,$C$1)/3,OFFSET(Assumptions!$B$9,0,$C$1))</f>
        <v>0</v>
      </c>
      <c r="Y433" s="20">
        <f ca="1">IF(Y$6&lt;OFFSET(Assumptions!$B$8,0,$C$1)+3,OFFSET(Assumptions!$B$45,0,$C$1)/3,OFFSET(Assumptions!$B$9,0,$C$1))</f>
        <v>0</v>
      </c>
      <c r="Z433" s="20">
        <f ca="1">IF(Z$6&lt;OFFSET(Assumptions!$B$8,0,$C$1)+3,OFFSET(Assumptions!$B$45,0,$C$1)/3,OFFSET(Assumptions!$B$9,0,$C$1))</f>
        <v>0</v>
      </c>
    </row>
    <row r="434" spans="1:26" x14ac:dyDescent="0.25">
      <c r="A434" s="12" t="s">
        <v>1379</v>
      </c>
      <c r="B434" s="14" t="str">
        <f>$B$38</f>
        <v>From Fiscal Forecasts</v>
      </c>
      <c r="D434" s="50">
        <f>SUM('Fiscal Forecasts'!D$295:D$298)</f>
        <v>0</v>
      </c>
      <c r="E434" s="50">
        <f>SUM('Fiscal Forecasts'!E$295:E$298)</f>
        <v>0</v>
      </c>
      <c r="F434" s="50">
        <f>SUM('Fiscal Forecasts'!F$295:F$298)</f>
        <v>0</v>
      </c>
      <c r="G434" s="50">
        <f>SUM('Fiscal Forecasts'!G$295:G$298)</f>
        <v>0</v>
      </c>
      <c r="H434" s="50">
        <f>SUM('Fiscal Forecasts'!H$295:H$298)</f>
        <v>0</v>
      </c>
      <c r="I434" s="50">
        <f>SUM('Fiscal Forecasts'!I$295:I$298)</f>
        <v>0</v>
      </c>
      <c r="J434" s="50">
        <f>SUM('Fiscal Forecasts'!J$295:J$298)</f>
        <v>0</v>
      </c>
      <c r="K434" s="50">
        <f>SUM('Fiscal Forecasts'!K$295:K$298)</f>
        <v>0</v>
      </c>
      <c r="L434" s="48">
        <f>SUM('Fiscal Forecasts'!L$295:L$298)</f>
        <v>0.1</v>
      </c>
      <c r="M434" s="48">
        <f>SUM('Fiscal Forecasts'!M$295:M$298)</f>
        <v>1.2250000000000001</v>
      </c>
      <c r="N434" s="48">
        <f>SUM('Fiscal Forecasts'!N$295:N$298)</f>
        <v>2.4500000000000002</v>
      </c>
      <c r="O434" s="48">
        <f>SUM('Fiscal Forecasts'!O$295:O$298)</f>
        <v>3.6749999999999998</v>
      </c>
      <c r="P434" s="48">
        <f>SUM('Fiscal Forecasts'!P$295:P$298)</f>
        <v>4.55</v>
      </c>
      <c r="Q434" s="20">
        <f ca="1">IF(Q$6=OFFSET(Assumptions!$B$8,0,$C$1),0.35*Q$436+Exogenous!$AB$41,IF(Q$6=OFFSET(Assumptions!$B$8,0,$C$1)+1,0.35*Q$436+0.35*P$436+Exogenous!$AC$41,IF(Q$6=OFFSET(Assumptions!$B$8,0,$C$1)+2,0.35*Q$436+0.35*P$436+0.2*O$436+Exogenous!$AD$41,0.35*Q$436+0.35*P$436+0.2*O$436+0.1*N$436)))</f>
        <v>5.55</v>
      </c>
      <c r="R434" s="20">
        <f ca="1">IF(R$6=OFFSET(Assumptions!$B$8,0,$C$1),0.35*R$436+Exogenous!$AB$41,IF(R$6=OFFSET(Assumptions!$B$8,0,$C$1)+1,0.35*R$436+0.35*Q$436+Exogenous!$AC$41,IF(R$6=OFFSET(Assumptions!$B$8,0,$C$1)+2,0.35*R$436+0.35*Q$436+0.2*P$436+Exogenous!$AD$41,0.35*R$436+0.35*Q$436+0.2*P$436+0.1*O$436)))</f>
        <v>6.5225</v>
      </c>
      <c r="S434" s="20">
        <f ca="1">IF(S$6=OFFSET(Assumptions!$B$8,0,$C$1),0.35*S$436+Exogenous!$AB$41,IF(S$6=OFFSET(Assumptions!$B$8,0,$C$1)+1,0.35*S$436+0.35*R$436+Exogenous!$AC$41,IF(S$6=OFFSET(Assumptions!$B$8,0,$C$1)+2,0.35*S$436+0.35*R$436+0.2*Q$436+Exogenous!$AD$41,0.35*S$436+0.35*R$436+0.2*Q$436+0.1*P$436)))</f>
        <v>7.1736250000000013</v>
      </c>
      <c r="T434" s="20">
        <f ca="1">IF(T$6=OFFSET(Assumptions!$B$8,0,$C$1),0.35*T$436+Exogenous!$AB$41,IF(T$6=OFFSET(Assumptions!$B$8,0,$C$1)+1,0.35*T$436+0.35*S$436+Exogenous!$AC$41,IF(T$6=OFFSET(Assumptions!$B$8,0,$C$1)+2,0.35*T$436+0.35*S$436+0.2*R$436+Exogenous!$AD$41,0.35*T$436+0.35*S$436+0.2*R$436+0.1*Q$436)))</f>
        <v>7.7073062500000011</v>
      </c>
      <c r="U434" s="20">
        <f ca="1">IF(U$6=OFFSET(Assumptions!$B$8,0,$C$1),0.35*U$436+Exogenous!$AB$41,IF(U$6=OFFSET(Assumptions!$B$8,0,$C$1)+1,0.35*U$436+0.35*T$436+Exogenous!$AC$41,IF(U$6=OFFSET(Assumptions!$B$8,0,$C$1)+2,0.35*U$436+0.35*T$436+0.2*S$436+Exogenous!$AD$41,0.35*U$436+0.35*T$436+0.2*S$436+0.1*R$436)))</f>
        <v>8.0926715624999996</v>
      </c>
      <c r="V434" s="20">
        <f ca="1">IF(V$6=OFFSET(Assumptions!$B$8,0,$C$1),0.35*V$436+Exogenous!$AB$41,IF(V$6=OFFSET(Assumptions!$B$8,0,$C$1)+1,0.35*V$436+0.35*U$436+Exogenous!$AC$41,IF(V$6=OFFSET(Assumptions!$B$8,0,$C$1)+2,0.35*V$436+0.35*U$436+0.2*T$436+Exogenous!$AD$41,0.35*V$436+0.35*U$436+0.2*T$436+0.1*S$436)))</f>
        <v>8.4973051406250022</v>
      </c>
      <c r="W434" s="20">
        <f ca="1">IF(W$6=OFFSET(Assumptions!$B$8,0,$C$1),0.35*W$436+Exogenous!$AB$41,IF(W$6=OFFSET(Assumptions!$B$8,0,$C$1)+1,0.35*W$436+0.35*V$436+Exogenous!$AC$41,IF(W$6=OFFSET(Assumptions!$B$8,0,$C$1)+2,0.35*W$436+0.35*V$436+0.2*U$436+Exogenous!$AD$41,0.35*W$436+0.35*V$436+0.2*U$436+0.1*T$436)))</f>
        <v>8.9221703976562523</v>
      </c>
      <c r="X434" s="20">
        <f ca="1">IF(X$6=OFFSET(Assumptions!$B$8,0,$C$1),0.35*X$436+Exogenous!$AB$41,IF(X$6=OFFSET(Assumptions!$B$8,0,$C$1)+1,0.35*X$436+0.35*W$436+Exogenous!$AC$41,IF(X$6=OFFSET(Assumptions!$B$8,0,$C$1)+2,0.35*X$436+0.35*W$436+0.2*V$436+Exogenous!$AD$41,0.35*X$436+0.35*W$436+0.2*V$436+0.1*U$436)))</f>
        <v>9.3682789175390653</v>
      </c>
      <c r="Y434" s="20">
        <f ca="1">IF(Y$6=OFFSET(Assumptions!$B$8,0,$C$1),0.35*Y$436+Exogenous!$AB$41,IF(Y$6=OFFSET(Assumptions!$B$8,0,$C$1)+1,0.35*Y$436+0.35*X$436+Exogenous!$AC$41,IF(Y$6=OFFSET(Assumptions!$B$8,0,$C$1)+2,0.35*Y$436+0.35*X$436+0.2*W$436+Exogenous!$AD$41,0.35*Y$436+0.35*X$436+0.2*W$436+0.1*V$436)))</f>
        <v>9.8366928634160171</v>
      </c>
      <c r="Z434" s="20">
        <f ca="1">IF(Z$6=OFFSET(Assumptions!$B$8,0,$C$1),0.35*Z$436+Exogenous!$AB$41,IF(Z$6=OFFSET(Assumptions!$B$8,0,$C$1)+1,0.35*Z$436+0.35*Y$436+Exogenous!$AC$41,IF(Z$6=OFFSET(Assumptions!$B$8,0,$C$1)+2,0.35*Z$436+0.35*Y$436+0.2*X$436+Exogenous!$AD$41,0.35*Z$436+0.35*Y$436+0.2*X$436+0.1*W$436)))</f>
        <v>10.328527506586818</v>
      </c>
    </row>
    <row r="435" spans="1:26" x14ac:dyDescent="0.25">
      <c r="A435" s="11" t="s">
        <v>1380</v>
      </c>
      <c r="B435" s="14" t="str">
        <f>$B$38</f>
        <v>From Fiscal Forecasts</v>
      </c>
      <c r="D435" s="51">
        <f>'Fiscal Forecasts'!D$132</f>
        <v>0</v>
      </c>
      <c r="E435" s="51">
        <f>'Fiscal Forecasts'!E$132</f>
        <v>0</v>
      </c>
      <c r="F435" s="51">
        <f>'Fiscal Forecasts'!F$132</f>
        <v>0</v>
      </c>
      <c r="G435" s="51">
        <f>'Fiscal Forecasts'!G$132</f>
        <v>0</v>
      </c>
      <c r="H435" s="51">
        <f>'Fiscal Forecasts'!H$132</f>
        <v>0</v>
      </c>
      <c r="I435" s="51">
        <f>'Fiscal Forecasts'!I$132</f>
        <v>0</v>
      </c>
      <c r="J435" s="51">
        <f>'Fiscal Forecasts'!J$132</f>
        <v>0</v>
      </c>
      <c r="K435" s="51">
        <f>'Fiscal Forecasts'!K$132</f>
        <v>0</v>
      </c>
      <c r="L435" s="47">
        <f>'Fiscal Forecasts'!L$132</f>
        <v>-2</v>
      </c>
      <c r="M435" s="47">
        <f>'Fiscal Forecasts'!M$132</f>
        <v>-2.7</v>
      </c>
      <c r="N435" s="47">
        <f>'Fiscal Forecasts'!N$132</f>
        <v>-2.8</v>
      </c>
      <c r="O435" s="47">
        <f>'Fiscal Forecasts'!O$132</f>
        <v>-2.9</v>
      </c>
      <c r="P435" s="47">
        <f>'Fiscal Forecasts'!P$132</f>
        <v>-3</v>
      </c>
      <c r="Q435" s="21">
        <f t="shared" ref="Q435:Z435" si="242">P$435</f>
        <v>-3</v>
      </c>
      <c r="R435" s="21">
        <f t="shared" si="242"/>
        <v>-3</v>
      </c>
      <c r="S435" s="21">
        <f t="shared" si="242"/>
        <v>-3</v>
      </c>
      <c r="T435" s="21">
        <f t="shared" si="242"/>
        <v>-3</v>
      </c>
      <c r="U435" s="21">
        <f t="shared" si="242"/>
        <v>-3</v>
      </c>
      <c r="V435" s="21">
        <f t="shared" si="242"/>
        <v>-3</v>
      </c>
      <c r="W435" s="21">
        <f t="shared" si="242"/>
        <v>-3</v>
      </c>
      <c r="X435" s="21">
        <f t="shared" si="242"/>
        <v>-3</v>
      </c>
      <c r="Y435" s="21">
        <f t="shared" si="242"/>
        <v>-3</v>
      </c>
      <c r="Z435" s="21">
        <f t="shared" si="242"/>
        <v>-3</v>
      </c>
    </row>
    <row r="436" spans="1:26" x14ac:dyDescent="0.25">
      <c r="A436" s="11" t="s">
        <v>1381</v>
      </c>
      <c r="Q436" s="20">
        <f ca="1">IF(Q$6=OFFSET(Assumptions!$B$8,0,$C$1),OFFSET(Assumptions!$B$43,0,$C$1),P$436*(1+OFFSET(Assumptions!$B$44,0,$C$1)))</f>
        <v>7</v>
      </c>
      <c r="R436" s="20">
        <f ca="1">IF(R$6=OFFSET(Assumptions!$B$8,0,$C$1),OFFSET(Assumptions!$B$43,0,$C$1),Q$436*(1+OFFSET(Assumptions!$B$44,0,$C$1)))</f>
        <v>7.3500000000000005</v>
      </c>
      <c r="S436" s="20">
        <f ca="1">IF(S$6=OFFSET(Assumptions!$B$8,0,$C$1),OFFSET(Assumptions!$B$43,0,$C$1),R$436*(1+OFFSET(Assumptions!$B$44,0,$C$1)))</f>
        <v>7.7175000000000011</v>
      </c>
      <c r="T436" s="20">
        <f ca="1">IF(T$6=OFFSET(Assumptions!$B$8,0,$C$1),OFFSET(Assumptions!$B$43,0,$C$1),S$436*(1+OFFSET(Assumptions!$B$44,0,$C$1)))</f>
        <v>8.1033750000000015</v>
      </c>
      <c r="U436" s="20">
        <f ca="1">IF(U$6=OFFSET(Assumptions!$B$8,0,$C$1),OFFSET(Assumptions!$B$43,0,$C$1),T$436*(1+OFFSET(Assumptions!$B$44,0,$C$1)))</f>
        <v>8.5085437500000012</v>
      </c>
      <c r="V436" s="20">
        <f ca="1">IF(V$6=OFFSET(Assumptions!$B$8,0,$C$1),OFFSET(Assumptions!$B$43,0,$C$1),U$436*(1+OFFSET(Assumptions!$B$44,0,$C$1)))</f>
        <v>8.9339709375000016</v>
      </c>
      <c r="W436" s="20">
        <f ca="1">IF(W$6=OFFSET(Assumptions!$B$8,0,$C$1),OFFSET(Assumptions!$B$43,0,$C$1),V$436*(1+OFFSET(Assumptions!$B$44,0,$C$1)))</f>
        <v>9.3806694843750016</v>
      </c>
      <c r="X436" s="20">
        <f ca="1">IF(X$6=OFFSET(Assumptions!$B$8,0,$C$1),OFFSET(Assumptions!$B$43,0,$C$1),W$436*(1+OFFSET(Assumptions!$B$44,0,$C$1)))</f>
        <v>9.8497029585937526</v>
      </c>
      <c r="Y436" s="20">
        <f ca="1">IF(Y$6=OFFSET(Assumptions!$B$8,0,$C$1),OFFSET(Assumptions!$B$43,0,$C$1),X$436*(1+OFFSET(Assumptions!$B$44,0,$C$1)))</f>
        <v>10.342188106523441</v>
      </c>
      <c r="Z436" s="20">
        <f ca="1">IF(Z$6=OFFSET(Assumptions!$B$8,0,$C$1),OFFSET(Assumptions!$B$43,0,$C$1),Y$436*(1+OFFSET(Assumptions!$B$44,0,$C$1)))</f>
        <v>10.859297511849613</v>
      </c>
    </row>
    <row r="437" spans="1:26" x14ac:dyDescent="0.25">
      <c r="A437" s="11"/>
      <c r="Q437" s="82"/>
      <c r="R437" s="82"/>
      <c r="S437" s="82"/>
      <c r="T437" s="82"/>
      <c r="U437" s="82"/>
      <c r="V437" s="82"/>
      <c r="W437" s="82"/>
      <c r="X437" s="82"/>
      <c r="Y437" s="82"/>
      <c r="Z437" s="82"/>
    </row>
    <row r="438" spans="1:26" x14ac:dyDescent="0.25">
      <c r="A438" s="11" t="s">
        <v>955</v>
      </c>
    </row>
    <row r="439" spans="1:26" x14ac:dyDescent="0.25">
      <c r="A439" s="11" t="s">
        <v>1382</v>
      </c>
      <c r="B439" s="14" t="str">
        <f>$B$38</f>
        <v>From Fiscal Forecasts</v>
      </c>
      <c r="D439" s="51">
        <f>'Fiscal Forecasts'!D$134</f>
        <v>6.8129999999999997</v>
      </c>
      <c r="E439" s="51">
        <f>'Fiscal Forecasts'!E$134</f>
        <v>8.0220000000000002</v>
      </c>
      <c r="F439" s="51">
        <f>'Fiscal Forecasts'!F$134</f>
        <v>8.2560000000000002</v>
      </c>
      <c r="G439" s="51">
        <f>'Fiscal Forecasts'!G$134</f>
        <v>9.0609999999999999</v>
      </c>
      <c r="H439" s="51">
        <f>'Fiscal Forecasts'!H$134</f>
        <v>9.0020000000000007</v>
      </c>
      <c r="I439" s="51">
        <f>'Fiscal Forecasts'!I$134</f>
        <v>8.9770000000000003</v>
      </c>
      <c r="J439" s="51">
        <f>'Fiscal Forecasts'!J$134</f>
        <v>9.1519999999999992</v>
      </c>
      <c r="K439" s="51">
        <f>'Fiscal Forecasts'!K$134</f>
        <v>10.262</v>
      </c>
      <c r="L439" s="47">
        <f>'Fiscal Forecasts'!L$134</f>
        <v>9.8059999999999992</v>
      </c>
      <c r="M439" s="47">
        <f>'Fiscal Forecasts'!M$134</f>
        <v>9.9039999999999999</v>
      </c>
      <c r="N439" s="47">
        <f>'Fiscal Forecasts'!N$134</f>
        <v>10.003</v>
      </c>
      <c r="O439" s="47">
        <f>'Fiscal Forecasts'!O$134</f>
        <v>10.103</v>
      </c>
      <c r="P439" s="47">
        <f>'Fiscal Forecasts'!P$134</f>
        <v>10.204000000000001</v>
      </c>
      <c r="Q439" s="21">
        <f t="shared" ref="Q439:Z439" ca="1" si="243">P$439*(1+Q$29)</f>
        <v>10.40808</v>
      </c>
      <c r="R439" s="21">
        <f t="shared" ca="1" si="243"/>
        <v>10.6162416</v>
      </c>
      <c r="S439" s="21">
        <f t="shared" ca="1" si="243"/>
        <v>10.828566432000001</v>
      </c>
      <c r="T439" s="21">
        <f t="shared" ca="1" si="243"/>
        <v>11.045137760640001</v>
      </c>
      <c r="U439" s="21">
        <f t="shared" ca="1" si="243"/>
        <v>11.266040515852801</v>
      </c>
      <c r="V439" s="21">
        <f t="shared" ca="1" si="243"/>
        <v>11.491361326169857</v>
      </c>
      <c r="W439" s="21">
        <f t="shared" ca="1" si="243"/>
        <v>11.721188552693254</v>
      </c>
      <c r="X439" s="21">
        <f t="shared" ca="1" si="243"/>
        <v>11.95561232374712</v>
      </c>
      <c r="Y439" s="21">
        <f t="shared" ca="1" si="243"/>
        <v>12.194724570222062</v>
      </c>
      <c r="Z439" s="21">
        <f t="shared" ca="1" si="243"/>
        <v>12.438619061626504</v>
      </c>
    </row>
    <row r="441" spans="1:26" x14ac:dyDescent="0.25">
      <c r="A441" s="11" t="s">
        <v>956</v>
      </c>
    </row>
    <row r="442" spans="1:26" x14ac:dyDescent="0.25">
      <c r="A442" s="12" t="s">
        <v>1383</v>
      </c>
      <c r="D442" s="50">
        <f t="shared" ref="D442:Z442" si="244">D$385-D$73</f>
        <v>1.0880000000000001</v>
      </c>
      <c r="E442" s="50">
        <f t="shared" si="244"/>
        <v>1.5510000000000002</v>
      </c>
      <c r="F442" s="50">
        <f t="shared" si="244"/>
        <v>2.7319999999999998</v>
      </c>
      <c r="G442" s="50">
        <f t="shared" si="244"/>
        <v>-0.8879999999999999</v>
      </c>
      <c r="H442" s="50">
        <f t="shared" si="244"/>
        <v>0.40799999999999992</v>
      </c>
      <c r="I442" s="50">
        <f t="shared" si="244"/>
        <v>1.4810000000000003</v>
      </c>
      <c r="J442" s="50">
        <f t="shared" si="244"/>
        <v>1.7999999999999998</v>
      </c>
      <c r="K442" s="50">
        <f t="shared" si="244"/>
        <v>0.34199999999999964</v>
      </c>
      <c r="L442" s="48">
        <f t="shared" si="244"/>
        <v>1.3720000000000008</v>
      </c>
      <c r="M442" s="48">
        <f t="shared" si="244"/>
        <v>1.4710000000000001</v>
      </c>
      <c r="N442" s="48">
        <f t="shared" si="244"/>
        <v>1.5510000000000002</v>
      </c>
      <c r="O442" s="48">
        <f t="shared" si="244"/>
        <v>1.6400000000000006</v>
      </c>
      <c r="P442" s="48">
        <f t="shared" si="244"/>
        <v>1.7640000000000002</v>
      </c>
      <c r="Q442" s="20">
        <f t="shared" ca="1" si="244"/>
        <v>2.561378373870947</v>
      </c>
      <c r="R442" s="20">
        <f t="shared" ca="1" si="244"/>
        <v>2.7169890369741125</v>
      </c>
      <c r="S442" s="20">
        <f t="shared" ca="1" si="244"/>
        <v>2.8789344698506412</v>
      </c>
      <c r="T442" s="20">
        <f t="shared" ca="1" si="244"/>
        <v>3.047772495087024</v>
      </c>
      <c r="U442" s="20">
        <f t="shared" ca="1" si="244"/>
        <v>3.2228500683436421</v>
      </c>
      <c r="V442" s="20">
        <f t="shared" ca="1" si="244"/>
        <v>3.4052771020239518</v>
      </c>
      <c r="W442" s="20">
        <f t="shared" ca="1" si="244"/>
        <v>3.5968370077282028</v>
      </c>
      <c r="X442" s="20">
        <f t="shared" ca="1" si="244"/>
        <v>3.7994247714640972</v>
      </c>
      <c r="Y442" s="20">
        <f t="shared" ca="1" si="244"/>
        <v>4.0155806890201031</v>
      </c>
      <c r="Z442" s="20">
        <f t="shared" ca="1" si="244"/>
        <v>4.2476001118177376</v>
      </c>
    </row>
    <row r="443" spans="1:26" x14ac:dyDescent="0.25">
      <c r="A443" s="12" t="s">
        <v>1099</v>
      </c>
      <c r="B443" s="14" t="str">
        <f>$B$38</f>
        <v>From Fiscal Forecasts</v>
      </c>
      <c r="D443" s="50">
        <f>'Fiscal Forecasts'!D$371</f>
        <v>6.2930000000000001</v>
      </c>
      <c r="E443" s="50">
        <f>'Fiscal Forecasts'!E$371</f>
        <v>5.0430000000000001</v>
      </c>
      <c r="F443" s="50">
        <f>'Fiscal Forecasts'!F$371</f>
        <v>5.3979999999999997</v>
      </c>
      <c r="G443" s="50">
        <f>'Fiscal Forecasts'!G$371</f>
        <v>5.4870000000000001</v>
      </c>
      <c r="H443" s="50">
        <f>'Fiscal Forecasts'!H$371</f>
        <v>6.2060000000000004</v>
      </c>
      <c r="I443" s="50">
        <f>'Fiscal Forecasts'!I$371</f>
        <v>6.65</v>
      </c>
      <c r="J443" s="50">
        <f>'Fiscal Forecasts'!J$371</f>
        <v>7.024</v>
      </c>
      <c r="K443" s="50">
        <f>'Fiscal Forecasts'!K$371</f>
        <v>6.77</v>
      </c>
      <c r="L443" s="48">
        <f>'Fiscal Forecasts'!L$371</f>
        <v>7.0110000000000001</v>
      </c>
      <c r="M443" s="48">
        <f>'Fiscal Forecasts'!M$371</f>
        <v>7.3529999999999998</v>
      </c>
      <c r="N443" s="48">
        <f>'Fiscal Forecasts'!N$371</f>
        <v>7.5469999999999997</v>
      </c>
      <c r="O443" s="48">
        <f>'Fiscal Forecasts'!O$371</f>
        <v>7.7809999999999997</v>
      </c>
      <c r="P443" s="48">
        <f>'Fiscal Forecasts'!P$371</f>
        <v>8.1940000000000008</v>
      </c>
      <c r="Q443" s="20">
        <f t="shared" ref="Q443:Z443" ca="1" si="245">P$443*Q$142/P$142</f>
        <v>8.5249935870338795</v>
      </c>
      <c r="R443" s="20">
        <f t="shared" ca="1" si="245"/>
        <v>8.8558520927589193</v>
      </c>
      <c r="S443" s="20">
        <f t="shared" ca="1" si="245"/>
        <v>9.2040511192047916</v>
      </c>
      <c r="T443" s="20">
        <f t="shared" ca="1" si="245"/>
        <v>9.5763841816986339</v>
      </c>
      <c r="U443" s="20">
        <f t="shared" ca="1" si="245"/>
        <v>9.9667037486647843</v>
      </c>
      <c r="V443" s="20">
        <f t="shared" ca="1" si="245"/>
        <v>10.370239836281709</v>
      </c>
      <c r="W443" s="20">
        <f t="shared" ca="1" si="245"/>
        <v>10.784852078911277</v>
      </c>
      <c r="X443" s="20">
        <f t="shared" ca="1" si="245"/>
        <v>11.211363474234982</v>
      </c>
      <c r="Y443" s="20">
        <f t="shared" ca="1" si="245"/>
        <v>11.652027975815157</v>
      </c>
      <c r="Z443" s="20">
        <f t="shared" ca="1" si="245"/>
        <v>12.10691700811064</v>
      </c>
    </row>
    <row r="444" spans="1:26" x14ac:dyDescent="0.25">
      <c r="A444" s="12" t="s">
        <v>1384</v>
      </c>
      <c r="B444" s="14" t="str">
        <f>$B$38</f>
        <v>From Fiscal Forecasts</v>
      </c>
      <c r="D444" s="50">
        <f>'Fiscal Forecasts'!D$192-SUM(D$442:D$443)</f>
        <v>3.0849999999999991</v>
      </c>
      <c r="E444" s="50">
        <f>'Fiscal Forecasts'!E$192-SUM(E$442:E$443)</f>
        <v>4.2559999999999993</v>
      </c>
      <c r="F444" s="50">
        <f>'Fiscal Forecasts'!F$192-SUM(F$442:F$443)</f>
        <v>3.9080000000000013</v>
      </c>
      <c r="G444" s="50">
        <f>'Fiscal Forecasts'!G$192-SUM(G$442:G$443)</f>
        <v>11.707999999999998</v>
      </c>
      <c r="H444" s="50">
        <f>'Fiscal Forecasts'!H$192-SUM(H$442:H$443)</f>
        <v>5.7219999999999995</v>
      </c>
      <c r="I444" s="50">
        <f>'Fiscal Forecasts'!I$192-SUM(I$442:I$443)</f>
        <v>4.6649999999999991</v>
      </c>
      <c r="J444" s="50">
        <f>'Fiscal Forecasts'!J$192-SUM(J$442:J$443)</f>
        <v>3.1690000000000005</v>
      </c>
      <c r="K444" s="50">
        <f>'Fiscal Forecasts'!K$192-SUM(K$442:K$443)</f>
        <v>4.926000000000001</v>
      </c>
      <c r="L444" s="48">
        <f>'Fiscal Forecasts'!L$192-SUM(L$442:L$443)</f>
        <v>3.3359999999999985</v>
      </c>
      <c r="M444" s="48">
        <f>'Fiscal Forecasts'!M$192-SUM(M$442:M$443)</f>
        <v>4.6810000000000009</v>
      </c>
      <c r="N444" s="48">
        <f>'Fiscal Forecasts'!N$192-SUM(N$442:N$443)</f>
        <v>4.1620000000000008</v>
      </c>
      <c r="O444" s="48">
        <f>'Fiscal Forecasts'!O$192-SUM(O$442:O$443)</f>
        <v>4.0230000000000015</v>
      </c>
      <c r="P444" s="48">
        <f>'Fiscal Forecasts'!P$192-SUM(P$442:P$443)</f>
        <v>3.8559999999999981</v>
      </c>
      <c r="Q444" s="20">
        <f t="shared" ref="Q444:Z444" ca="1" si="246">P$444*(1+Q$29)</f>
        <v>3.933119999999998</v>
      </c>
      <c r="R444" s="20">
        <f t="shared" ca="1" si="246"/>
        <v>4.0117823999999978</v>
      </c>
      <c r="S444" s="20">
        <f t="shared" ca="1" si="246"/>
        <v>4.0920180479999981</v>
      </c>
      <c r="T444" s="20">
        <f t="shared" ca="1" si="246"/>
        <v>4.1738584089599984</v>
      </c>
      <c r="U444" s="20">
        <f t="shared" ca="1" si="246"/>
        <v>4.2573355771391981</v>
      </c>
      <c r="V444" s="20">
        <f t="shared" ca="1" si="246"/>
        <v>4.3424822886819818</v>
      </c>
      <c r="W444" s="20">
        <f t="shared" ca="1" si="246"/>
        <v>4.4293319344556217</v>
      </c>
      <c r="X444" s="20">
        <f t="shared" ca="1" si="246"/>
        <v>4.5179185731447342</v>
      </c>
      <c r="Y444" s="20">
        <f t="shared" ca="1" si="246"/>
        <v>4.6082769446076286</v>
      </c>
      <c r="Z444" s="20">
        <f t="shared" ca="1" si="246"/>
        <v>4.7004424834997813</v>
      </c>
    </row>
    <row r="445" spans="1:26" x14ac:dyDescent="0.25">
      <c r="A445" s="11" t="s">
        <v>1385</v>
      </c>
      <c r="D445" s="94">
        <f t="shared" ref="D445:P445" si="247">SUM(D$442:D$444)</f>
        <v>10.465999999999999</v>
      </c>
      <c r="E445" s="94">
        <f t="shared" si="247"/>
        <v>10.85</v>
      </c>
      <c r="F445" s="94">
        <f t="shared" si="247"/>
        <v>12.038</v>
      </c>
      <c r="G445" s="94">
        <f t="shared" si="247"/>
        <v>16.306999999999999</v>
      </c>
      <c r="H445" s="94">
        <f t="shared" si="247"/>
        <v>12.336</v>
      </c>
      <c r="I445" s="94">
        <f t="shared" si="247"/>
        <v>12.795999999999999</v>
      </c>
      <c r="J445" s="94">
        <f t="shared" si="247"/>
        <v>11.993</v>
      </c>
      <c r="K445" s="94">
        <f t="shared" si="247"/>
        <v>12.038</v>
      </c>
      <c r="L445" s="95">
        <f t="shared" si="247"/>
        <v>11.718999999999999</v>
      </c>
      <c r="M445" s="95">
        <f t="shared" si="247"/>
        <v>13.505000000000001</v>
      </c>
      <c r="N445" s="95">
        <f t="shared" si="247"/>
        <v>13.26</v>
      </c>
      <c r="O445" s="95">
        <f t="shared" si="247"/>
        <v>13.444000000000001</v>
      </c>
      <c r="P445" s="95">
        <f t="shared" si="247"/>
        <v>13.814</v>
      </c>
      <c r="Q445" s="96">
        <f t="shared" ref="Q445:Z445" ca="1" si="248">SUM(Q$442:Q$444)</f>
        <v>15.019491960904826</v>
      </c>
      <c r="R445" s="96">
        <f t="shared" ca="1" si="248"/>
        <v>15.58462352973303</v>
      </c>
      <c r="S445" s="96">
        <f t="shared" ca="1" si="248"/>
        <v>16.175003637055433</v>
      </c>
      <c r="T445" s="96">
        <f t="shared" ca="1" si="248"/>
        <v>16.798015085745657</v>
      </c>
      <c r="U445" s="96">
        <f t="shared" ca="1" si="248"/>
        <v>17.446889394147625</v>
      </c>
      <c r="V445" s="96">
        <f t="shared" ca="1" si="248"/>
        <v>18.117999226987642</v>
      </c>
      <c r="W445" s="96">
        <f t="shared" ca="1" si="248"/>
        <v>18.811021021095101</v>
      </c>
      <c r="X445" s="96">
        <f t="shared" ca="1" si="248"/>
        <v>19.528706818843812</v>
      </c>
      <c r="Y445" s="96">
        <f t="shared" ca="1" si="248"/>
        <v>20.275885609442888</v>
      </c>
      <c r="Z445" s="96">
        <f t="shared" ca="1" si="248"/>
        <v>21.054959603428159</v>
      </c>
    </row>
    <row r="446" spans="1:26" x14ac:dyDescent="0.25">
      <c r="A446" s="11" t="s">
        <v>1386</v>
      </c>
      <c r="B446" s="14" t="str">
        <f>$B$38</f>
        <v>From Fiscal Forecasts</v>
      </c>
      <c r="D446" s="51">
        <f>'Fiscal Forecasts'!D$135</f>
        <v>16.742000000000001</v>
      </c>
      <c r="E446" s="51">
        <f>'Fiscal Forecasts'!E$135</f>
        <v>16.971</v>
      </c>
      <c r="F446" s="51">
        <f>'Fiscal Forecasts'!F$135</f>
        <v>17.577000000000002</v>
      </c>
      <c r="G446" s="51">
        <f>'Fiscal Forecasts'!G$135</f>
        <v>21.42</v>
      </c>
      <c r="H446" s="51">
        <f>'Fiscal Forecasts'!H$135</f>
        <v>18.725999999999999</v>
      </c>
      <c r="I446" s="51">
        <f>'Fiscal Forecasts'!I$135</f>
        <v>19.863</v>
      </c>
      <c r="J446" s="51">
        <f>'Fiscal Forecasts'!J$135</f>
        <v>21.957000000000001</v>
      </c>
      <c r="K446" s="51">
        <f>'Fiscal Forecasts'!K$135</f>
        <v>20.308</v>
      </c>
      <c r="L446" s="47">
        <f>'Fiscal Forecasts'!L$135</f>
        <v>20.341000000000001</v>
      </c>
      <c r="M446" s="47">
        <f>'Fiscal Forecasts'!M$135</f>
        <v>22.204999999999998</v>
      </c>
      <c r="N446" s="47">
        <f>'Fiscal Forecasts'!N$135</f>
        <v>21.843</v>
      </c>
      <c r="O446" s="47">
        <f>'Fiscal Forecasts'!O$135</f>
        <v>22.009</v>
      </c>
      <c r="P446" s="47">
        <f>'Fiscal Forecasts'!P$135</f>
        <v>22.122</v>
      </c>
      <c r="Q446" s="21">
        <f t="shared" ref="Q446:Z446" ca="1" si="249">Q$445+(P$446-P$445)*(1+Q$29)</f>
        <v>23.493651960904828</v>
      </c>
      <c r="R446" s="21">
        <f t="shared" ca="1" si="249"/>
        <v>24.228266729733029</v>
      </c>
      <c r="S446" s="21">
        <f t="shared" ca="1" si="249"/>
        <v>24.991519701055431</v>
      </c>
      <c r="T446" s="21">
        <f t="shared" ca="1" si="249"/>
        <v>25.790861471025657</v>
      </c>
      <c r="U446" s="21">
        <f t="shared" ca="1" si="249"/>
        <v>26.619592707133226</v>
      </c>
      <c r="V446" s="21">
        <f t="shared" ca="1" si="249"/>
        <v>27.474156606232953</v>
      </c>
      <c r="W446" s="21">
        <f t="shared" ca="1" si="249"/>
        <v>28.354301547925317</v>
      </c>
      <c r="X446" s="21">
        <f t="shared" ca="1" si="249"/>
        <v>29.262852956210633</v>
      </c>
      <c r="Y446" s="21">
        <f t="shared" ca="1" si="249"/>
        <v>30.204714669557045</v>
      </c>
      <c r="Z446" s="21">
        <f t="shared" ca="1" si="249"/>
        <v>31.182365244744602</v>
      </c>
    </row>
    <row r="448" spans="1:26" x14ac:dyDescent="0.25">
      <c r="A448" s="11" t="s">
        <v>957</v>
      </c>
    </row>
    <row r="449" spans="1:26" x14ac:dyDescent="0.25">
      <c r="A449" s="11" t="s">
        <v>1387</v>
      </c>
      <c r="B449" s="14" t="str">
        <f>$B$38</f>
        <v>From Fiscal Forecasts</v>
      </c>
      <c r="D449" s="51">
        <f>'Fiscal Forecasts'!D$193</f>
        <v>0.44900000000000001</v>
      </c>
      <c r="E449" s="51">
        <f>'Fiscal Forecasts'!E$193</f>
        <v>0.39800000000000002</v>
      </c>
      <c r="F449" s="51">
        <f>'Fiscal Forecasts'!F$193</f>
        <v>0.505</v>
      </c>
      <c r="G449" s="51">
        <f>'Fiscal Forecasts'!G$193</f>
        <v>0.56999999999999995</v>
      </c>
      <c r="H449" s="51">
        <f>'Fiscal Forecasts'!H$193</f>
        <v>0.504</v>
      </c>
      <c r="I449" s="51">
        <f>'Fiscal Forecasts'!I$193</f>
        <v>0.498</v>
      </c>
      <c r="J449" s="51">
        <f>'Fiscal Forecasts'!J$193</f>
        <v>0.47599999999999998</v>
      </c>
      <c r="K449" s="51">
        <f>'Fiscal Forecasts'!K$193</f>
        <v>0.441</v>
      </c>
      <c r="L449" s="47">
        <f>'Fiscal Forecasts'!L$193</f>
        <v>0.4</v>
      </c>
      <c r="M449" s="47">
        <f>'Fiscal Forecasts'!M$193</f>
        <v>0.35899999999999999</v>
      </c>
      <c r="N449" s="47">
        <f>'Fiscal Forecasts'!N$193</f>
        <v>0.318</v>
      </c>
      <c r="O449" s="47">
        <f>'Fiscal Forecasts'!O$193</f>
        <v>0.27700000000000002</v>
      </c>
      <c r="P449" s="47">
        <f>'Fiscal Forecasts'!P$193</f>
        <v>0.23599999999999999</v>
      </c>
      <c r="Q449" s="21">
        <f t="shared" ref="Q449:Z449" ca="1" si="250">SUM(P$449,Q$409-P$409,Q$413-P$413)</f>
        <v>0.32396000000000025</v>
      </c>
      <c r="R449" s="21">
        <f t="shared" ca="1" si="250"/>
        <v>0.41367920000000025</v>
      </c>
      <c r="S449" s="21">
        <f t="shared" ca="1" si="250"/>
        <v>0.50519278400000056</v>
      </c>
      <c r="T449" s="21">
        <f t="shared" ca="1" si="250"/>
        <v>0.5985366396800007</v>
      </c>
      <c r="U449" s="21">
        <f t="shared" ca="1" si="250"/>
        <v>0.69374737247360074</v>
      </c>
      <c r="V449" s="21">
        <f t="shared" ca="1" si="250"/>
        <v>0.79086231992307288</v>
      </c>
      <c r="W449" s="21">
        <f t="shared" ca="1" si="250"/>
        <v>0.88991956632153468</v>
      </c>
      <c r="X449" s="21">
        <f t="shared" ca="1" si="250"/>
        <v>0.99095795764796546</v>
      </c>
      <c r="Y449" s="21">
        <f t="shared" ca="1" si="250"/>
        <v>1.0940171168009247</v>
      </c>
      <c r="Z449" s="21">
        <f t="shared" ca="1" si="250"/>
        <v>1.1991374591369433</v>
      </c>
    </row>
    <row r="450" spans="1:26" x14ac:dyDescent="0.25">
      <c r="A450" s="11" t="s">
        <v>1388</v>
      </c>
      <c r="B450" s="14" t="str">
        <f>$B$38</f>
        <v>From Fiscal Forecasts</v>
      </c>
      <c r="D450" s="51">
        <f>'Fiscal Forecasts'!D$136</f>
        <v>2.5230000000000001</v>
      </c>
      <c r="E450" s="51">
        <f>'Fiscal Forecasts'!E$136</f>
        <v>2.59</v>
      </c>
      <c r="F450" s="51">
        <f>'Fiscal Forecasts'!F$136</f>
        <v>2.5489999999999999</v>
      </c>
      <c r="G450" s="51">
        <f>'Fiscal Forecasts'!G$136</f>
        <v>3.3679999999999999</v>
      </c>
      <c r="H450" s="51">
        <f>'Fiscal Forecasts'!H$136</f>
        <v>3.61</v>
      </c>
      <c r="I450" s="51">
        <f>'Fiscal Forecasts'!I$136</f>
        <v>3.4529999999999998</v>
      </c>
      <c r="J450" s="51">
        <f>'Fiscal Forecasts'!J$136</f>
        <v>3.5270000000000001</v>
      </c>
      <c r="K450" s="51">
        <f>'Fiscal Forecasts'!K$136</f>
        <v>3.806</v>
      </c>
      <c r="L450" s="47">
        <f>'Fiscal Forecasts'!L$136</f>
        <v>3.7029999999999998</v>
      </c>
      <c r="M450" s="47">
        <f>'Fiscal Forecasts'!M$136</f>
        <v>3.6640000000000001</v>
      </c>
      <c r="N450" s="47">
        <f>'Fiscal Forecasts'!N$136</f>
        <v>3.6930000000000001</v>
      </c>
      <c r="O450" s="47">
        <f>'Fiscal Forecasts'!O$136</f>
        <v>3.7509999999999999</v>
      </c>
      <c r="P450" s="47">
        <f>'Fiscal Forecasts'!P$136</f>
        <v>3.847</v>
      </c>
      <c r="Q450" s="21">
        <f t="shared" ref="Q450:Z450" ca="1" si="251">SUM(P$450,Q$410-P$410,Q$414-P$414)</f>
        <v>4.0145999999999997</v>
      </c>
      <c r="R450" s="21">
        <f t="shared" ca="1" si="251"/>
        <v>4.1855520000000004</v>
      </c>
      <c r="S450" s="21">
        <f t="shared" ca="1" si="251"/>
        <v>4.3599230400000009</v>
      </c>
      <c r="T450" s="21">
        <f t="shared" ca="1" si="251"/>
        <v>4.5377815008000004</v>
      </c>
      <c r="U450" s="21">
        <f t="shared" ca="1" si="251"/>
        <v>4.7191971308160001</v>
      </c>
      <c r="V450" s="21">
        <f t="shared" ca="1" si="251"/>
        <v>4.9042410734323205</v>
      </c>
      <c r="W450" s="21">
        <f t="shared" ca="1" si="251"/>
        <v>5.0929858949009663</v>
      </c>
      <c r="X450" s="21">
        <f t="shared" ca="1" si="251"/>
        <v>5.2855056127989855</v>
      </c>
      <c r="Y450" s="21">
        <f t="shared" ca="1" si="251"/>
        <v>5.4818757250549659</v>
      </c>
      <c r="Z450" s="21">
        <f t="shared" ca="1" si="251"/>
        <v>5.6821732395560653</v>
      </c>
    </row>
    <row r="452" spans="1:26" x14ac:dyDescent="0.25">
      <c r="A452" s="11" t="s">
        <v>1389</v>
      </c>
    </row>
    <row r="453" spans="1:26" x14ac:dyDescent="0.25">
      <c r="A453" s="11" t="s">
        <v>1390</v>
      </c>
      <c r="B453" s="14" t="str">
        <f>$B$38</f>
        <v>From Fiscal Forecasts</v>
      </c>
      <c r="D453" s="51">
        <f>'Fiscal Forecasts'!D$194</f>
        <v>2.8839999999999999</v>
      </c>
      <c r="E453" s="51">
        <f>'Fiscal Forecasts'!E$194</f>
        <v>3.8039999999999998</v>
      </c>
      <c r="F453" s="51">
        <f>'Fiscal Forecasts'!F$194</f>
        <v>5.8239999999999998</v>
      </c>
      <c r="G453" s="51">
        <f>'Fiscal Forecasts'!G$194</f>
        <v>11.461</v>
      </c>
      <c r="H453" s="51">
        <f>'Fiscal Forecasts'!H$194</f>
        <v>6.093</v>
      </c>
      <c r="I453" s="51">
        <f>'Fiscal Forecasts'!I$194</f>
        <v>6.8659999999999997</v>
      </c>
      <c r="J453" s="51">
        <f>'Fiscal Forecasts'!J$194</f>
        <v>7.3860000000000001</v>
      </c>
      <c r="K453" s="51">
        <f>'Fiscal Forecasts'!K$194</f>
        <v>6.407</v>
      </c>
      <c r="L453" s="47">
        <f>'Fiscal Forecasts'!L$194</f>
        <v>5.8460000000000001</v>
      </c>
      <c r="M453" s="47">
        <f>'Fiscal Forecasts'!M$194</f>
        <v>5.4980000000000002</v>
      </c>
      <c r="N453" s="47">
        <f>'Fiscal Forecasts'!N$194</f>
        <v>5.1710000000000003</v>
      </c>
      <c r="O453" s="47">
        <f>'Fiscal Forecasts'!O$194</f>
        <v>4.9290000000000003</v>
      </c>
      <c r="P453" s="47">
        <f>'Fiscal Forecasts'!P$194</f>
        <v>4.7519999999999998</v>
      </c>
      <c r="Q453" s="21">
        <f t="shared" ref="Q453:Z453" ca="1" si="252">SUM(P$453,-Q$145,Q$151,Q$313)</f>
        <v>4.7049199999999995</v>
      </c>
      <c r="R453" s="21">
        <f t="shared" ca="1" si="252"/>
        <v>4.6873383999999998</v>
      </c>
      <c r="S453" s="21">
        <f t="shared" ca="1" si="252"/>
        <v>4.6998451679999995</v>
      </c>
      <c r="T453" s="21">
        <f t="shared" ca="1" si="252"/>
        <v>4.7368451679999994</v>
      </c>
      <c r="U453" s="21">
        <f t="shared" ca="1" si="252"/>
        <v>4.7738451679999994</v>
      </c>
      <c r="V453" s="21">
        <f t="shared" ca="1" si="252"/>
        <v>4.8108451679999993</v>
      </c>
      <c r="W453" s="21">
        <f t="shared" ca="1" si="252"/>
        <v>4.8478451679999992</v>
      </c>
      <c r="X453" s="21">
        <f t="shared" ca="1" si="252"/>
        <v>4.8848451679999991</v>
      </c>
      <c r="Y453" s="21">
        <f t="shared" ca="1" si="252"/>
        <v>4.921845167999999</v>
      </c>
      <c r="Z453" s="21">
        <f t="shared" ca="1" si="252"/>
        <v>4.958845167999999</v>
      </c>
    </row>
    <row r="454" spans="1:26" x14ac:dyDescent="0.25">
      <c r="A454" s="11" t="s">
        <v>1391</v>
      </c>
      <c r="B454" s="14" t="str">
        <f>$B$38</f>
        <v>From Fiscal Forecasts</v>
      </c>
      <c r="D454" s="51">
        <f>'Fiscal Forecasts'!D$138</f>
        <v>2.8839999999999999</v>
      </c>
      <c r="E454" s="51">
        <f>'Fiscal Forecasts'!E$138</f>
        <v>3.8039999999999998</v>
      </c>
      <c r="F454" s="51">
        <f>'Fiscal Forecasts'!F$138</f>
        <v>5.8239999999999998</v>
      </c>
      <c r="G454" s="51">
        <f>'Fiscal Forecasts'!G$138</f>
        <v>11.308</v>
      </c>
      <c r="H454" s="51">
        <f>'Fiscal Forecasts'!H$138</f>
        <v>6.125</v>
      </c>
      <c r="I454" s="51">
        <f>'Fiscal Forecasts'!I$138</f>
        <v>6.6260000000000003</v>
      </c>
      <c r="J454" s="51">
        <f>'Fiscal Forecasts'!J$138</f>
        <v>7.1559999999999997</v>
      </c>
      <c r="K454" s="51">
        <f>'Fiscal Forecasts'!K$138</f>
        <v>6.2789999999999999</v>
      </c>
      <c r="L454" s="47">
        <f>'Fiscal Forecasts'!L$138</f>
        <v>5.7809999999999997</v>
      </c>
      <c r="M454" s="47">
        <f>'Fiscal Forecasts'!M$138</f>
        <v>5.4080000000000004</v>
      </c>
      <c r="N454" s="47">
        <f>'Fiscal Forecasts'!N$138</f>
        <v>5.0949999999999998</v>
      </c>
      <c r="O454" s="47">
        <f>'Fiscal Forecasts'!O$138</f>
        <v>4.8460000000000001</v>
      </c>
      <c r="P454" s="47">
        <f>'Fiscal Forecasts'!P$138</f>
        <v>4.6710000000000003</v>
      </c>
      <c r="Q454" s="21">
        <f t="shared" ref="Q454:Z454" ca="1" si="253">SUM(P$454,-Q$145,Q$151,Q$313)</f>
        <v>4.62392</v>
      </c>
      <c r="R454" s="21">
        <f t="shared" ca="1" si="253"/>
        <v>4.6063384000000003</v>
      </c>
      <c r="S454" s="21">
        <f t="shared" ca="1" si="253"/>
        <v>4.618845168</v>
      </c>
      <c r="T454" s="21">
        <f t="shared" ca="1" si="253"/>
        <v>4.6558451679999999</v>
      </c>
      <c r="U454" s="21">
        <f t="shared" ca="1" si="253"/>
        <v>4.6928451679999998</v>
      </c>
      <c r="V454" s="21">
        <f t="shared" ca="1" si="253"/>
        <v>4.7298451679999998</v>
      </c>
      <c r="W454" s="21">
        <f t="shared" ca="1" si="253"/>
        <v>4.7668451679999997</v>
      </c>
      <c r="X454" s="21">
        <f t="shared" ca="1" si="253"/>
        <v>4.8038451679999996</v>
      </c>
      <c r="Y454" s="21">
        <f t="shared" ca="1" si="253"/>
        <v>4.8408451679999995</v>
      </c>
      <c r="Z454" s="21">
        <f t="shared" ca="1" si="253"/>
        <v>4.8778451679999995</v>
      </c>
    </row>
    <row r="456" spans="1:26" x14ac:dyDescent="0.25">
      <c r="A456" s="11" t="s">
        <v>959</v>
      </c>
    </row>
    <row r="457" spans="1:26" x14ac:dyDescent="0.25">
      <c r="A457" s="11" t="s">
        <v>1392</v>
      </c>
      <c r="B457" s="14" t="str">
        <f>$B$38</f>
        <v>From Fiscal Forecasts</v>
      </c>
      <c r="D457" s="51">
        <f>'Fiscal Forecasts'!D$195</f>
        <v>4.0000000000000001E-3</v>
      </c>
      <c r="E457" s="51">
        <f>'Fiscal Forecasts'!E$195</f>
        <v>5.0000000000000001E-3</v>
      </c>
      <c r="F457" s="51">
        <f>'Fiscal Forecasts'!F$195</f>
        <v>4.0000000000000001E-3</v>
      </c>
      <c r="G457" s="51">
        <f>'Fiscal Forecasts'!G$195</f>
        <v>2E-3</v>
      </c>
      <c r="H457" s="51">
        <f>'Fiscal Forecasts'!H$195</f>
        <v>3.0000000000000001E-3</v>
      </c>
      <c r="I457" s="51">
        <f>'Fiscal Forecasts'!I$195</f>
        <v>2E-3</v>
      </c>
      <c r="J457" s="51">
        <f>'Fiscal Forecasts'!J$195</f>
        <v>2E-3</v>
      </c>
      <c r="K457" s="51">
        <f>'Fiscal Forecasts'!K$195</f>
        <v>2E-3</v>
      </c>
      <c r="L457" s="47">
        <f>'Fiscal Forecasts'!L$195</f>
        <v>2E-3</v>
      </c>
      <c r="M457" s="47">
        <f>'Fiscal Forecasts'!M$195</f>
        <v>2E-3</v>
      </c>
      <c r="N457" s="47">
        <f>'Fiscal Forecasts'!N$195</f>
        <v>2E-3</v>
      </c>
      <c r="O457" s="47">
        <f>'Fiscal Forecasts'!O$195</f>
        <v>2E-3</v>
      </c>
      <c r="P457" s="47">
        <f>'Fiscal Forecasts'!P$195</f>
        <v>2E-3</v>
      </c>
      <c r="Q457" s="21">
        <f ca="1">IF(Q$6=OFFSET(Assumptions!$B$8,0,$C$1),OFFSET(Assumptions!$B$9,0,$C$1),P$457)</f>
        <v>0</v>
      </c>
      <c r="R457" s="21">
        <f ca="1">IF(R$6=OFFSET(Assumptions!$B$8,0,$C$1),OFFSET(Assumptions!$B$9,0,$C$1),Q$457)</f>
        <v>0</v>
      </c>
      <c r="S457" s="21">
        <f ca="1">IF(S$6=OFFSET(Assumptions!$B$8,0,$C$1),OFFSET(Assumptions!$B$9,0,$C$1),R$457)</f>
        <v>0</v>
      </c>
      <c r="T457" s="21">
        <f ca="1">IF(T$6=OFFSET(Assumptions!$B$8,0,$C$1),OFFSET(Assumptions!$B$9,0,$C$1),S$457)</f>
        <v>0</v>
      </c>
      <c r="U457" s="21">
        <f ca="1">IF(U$6=OFFSET(Assumptions!$B$8,0,$C$1),OFFSET(Assumptions!$B$9,0,$C$1),T$457)</f>
        <v>0</v>
      </c>
      <c r="V457" s="21">
        <f ca="1">IF(V$6=OFFSET(Assumptions!$B$8,0,$C$1),OFFSET(Assumptions!$B$9,0,$C$1),U$457)</f>
        <v>0</v>
      </c>
      <c r="W457" s="21">
        <f ca="1">IF(W$6=OFFSET(Assumptions!$B$8,0,$C$1),OFFSET(Assumptions!$B$9,0,$C$1),V$457)</f>
        <v>0</v>
      </c>
      <c r="X457" s="21">
        <f ca="1">IF(X$6=OFFSET(Assumptions!$B$8,0,$C$1),OFFSET(Assumptions!$B$9,0,$C$1),W$457)</f>
        <v>0</v>
      </c>
      <c r="Y457" s="21">
        <f ca="1">IF(Y$6=OFFSET(Assumptions!$B$8,0,$C$1),OFFSET(Assumptions!$B$9,0,$C$1),X$457)</f>
        <v>0</v>
      </c>
      <c r="Z457" s="21">
        <f ca="1">IF(Z$6=OFFSET(Assumptions!$B$8,0,$C$1),OFFSET(Assumptions!$B$9,0,$C$1),Y$457)</f>
        <v>0</v>
      </c>
    </row>
    <row r="458" spans="1:26" x14ac:dyDescent="0.25">
      <c r="A458" s="12" t="s">
        <v>1393</v>
      </c>
      <c r="B458" s="14" t="str">
        <f>$B$38</f>
        <v>From Fiscal Forecasts</v>
      </c>
      <c r="D458" s="50">
        <f>'Fiscal Forecasts'!D$381</f>
        <v>56.610999999999997</v>
      </c>
      <c r="E458" s="50">
        <f>'Fiscal Forecasts'!E$381</f>
        <v>64.945999999999998</v>
      </c>
      <c r="F458" s="50">
        <f>'Fiscal Forecasts'!F$381</f>
        <v>59.133000000000003</v>
      </c>
      <c r="G458" s="50">
        <f>'Fiscal Forecasts'!G$381</f>
        <v>54.115000000000002</v>
      </c>
      <c r="H458" s="50">
        <f>'Fiscal Forecasts'!H$381</f>
        <v>55.664000000000001</v>
      </c>
      <c r="I458" s="50">
        <f>'Fiscal Forecasts'!I$381</f>
        <v>65.049000000000007</v>
      </c>
      <c r="J458" s="50">
        <f>'Fiscal Forecasts'!J$381</f>
        <v>68.766000000000005</v>
      </c>
      <c r="K458" s="50">
        <f>'Fiscal Forecasts'!K$381</f>
        <v>73.116</v>
      </c>
      <c r="L458" s="48">
        <f>'Fiscal Forecasts'!L$381</f>
        <v>62.813000000000002</v>
      </c>
      <c r="M458" s="48">
        <f>'Fiscal Forecasts'!M$381</f>
        <v>64.894000000000005</v>
      </c>
      <c r="N458" s="48">
        <f>'Fiscal Forecasts'!N$381</f>
        <v>67.055999999999997</v>
      </c>
      <c r="O458" s="48">
        <f>'Fiscal Forecasts'!O$381</f>
        <v>69.384</v>
      </c>
      <c r="P458" s="48">
        <f>'Fiscal Forecasts'!P$381</f>
        <v>71.867999999999995</v>
      </c>
      <c r="Q458" s="20">
        <f>P$458*Exogenous!AB$30/Exogenous!AA$30</f>
        <v>75.350373541238483</v>
      </c>
      <c r="R458" s="20">
        <f>Q$458*Exogenous!AC$30/Exogenous!AB$30</f>
        <v>79.011918457579867</v>
      </c>
      <c r="S458" s="20">
        <f>R$458*Exogenous!AD$30/Exogenous!AC$30</f>
        <v>82.770264303008062</v>
      </c>
      <c r="T458" s="20">
        <f>S$458*Exogenous!AE$30/Exogenous!AD$30</f>
        <v>86.723163331358961</v>
      </c>
      <c r="U458" s="20">
        <f>T$458*Exogenous!AF$30/Exogenous!AE$30</f>
        <v>90.857478323377009</v>
      </c>
      <c r="V458" s="20">
        <f>U$458*Exogenous!AG$30/Exogenous!AF$30</f>
        <v>95.196291127292156</v>
      </c>
      <c r="W458" s="20">
        <f>V$458*Exogenous!AH$30/Exogenous!AG$30</f>
        <v>99.750002013249556</v>
      </c>
      <c r="X458" s="20">
        <f>W$458*Exogenous!AI$30/Exogenous!AH$30</f>
        <v>104.48871142629368</v>
      </c>
      <c r="Y458" s="20">
        <f>X$458*Exogenous!AJ$30/Exogenous!AI$30</f>
        <v>109.45571050869646</v>
      </c>
      <c r="Z458" s="20">
        <f>Y$458*Exogenous!AK$30/Exogenous!AJ$30</f>
        <v>114.59747181447723</v>
      </c>
    </row>
    <row r="459" spans="1:26" x14ac:dyDescent="0.25">
      <c r="A459" s="12" t="s">
        <v>1394</v>
      </c>
      <c r="B459" s="14" t="str">
        <f>$B$38</f>
        <v>From Fiscal Forecasts</v>
      </c>
      <c r="D459" s="50">
        <f>SUM('Fiscal Forecasts'!D$382:D$383)-D$457</f>
        <v>1.601</v>
      </c>
      <c r="E459" s="50">
        <f>SUM('Fiscal Forecasts'!E$382:E$383)-E$457</f>
        <v>1.7390000000000001</v>
      </c>
      <c r="F459" s="50">
        <f>SUM('Fiscal Forecasts'!F$382:F$383)-F$457</f>
        <v>1.1990000000000001</v>
      </c>
      <c r="G459" s="50">
        <f>SUM('Fiscal Forecasts'!G$382:G$383)-G$457</f>
        <v>1.1839999999999999</v>
      </c>
      <c r="H459" s="50">
        <f>SUM('Fiscal Forecasts'!H$382:H$383)-H$457</f>
        <v>1.8440000000000001</v>
      </c>
      <c r="I459" s="50">
        <f>SUM('Fiscal Forecasts'!I$382:I$383)-I$457</f>
        <v>1.524</v>
      </c>
      <c r="J459" s="50">
        <f>SUM('Fiscal Forecasts'!J$382:J$383)-J$457</f>
        <v>1.5579999999999998</v>
      </c>
      <c r="K459" s="50">
        <f>SUM('Fiscal Forecasts'!K$382:K$383)-K$457</f>
        <v>1.4259999999999999</v>
      </c>
      <c r="L459" s="48">
        <f>SUM('Fiscal Forecasts'!L$382:L$383)-L$457</f>
        <v>1.24</v>
      </c>
      <c r="M459" s="48">
        <f>SUM('Fiscal Forecasts'!M$382:M$383)-M$457</f>
        <v>1.157</v>
      </c>
      <c r="N459" s="48">
        <f>SUM('Fiscal Forecasts'!N$382:N$383)-N$457</f>
        <v>1.097</v>
      </c>
      <c r="O459" s="48">
        <f>SUM('Fiscal Forecasts'!O$382:O$383)-O$457</f>
        <v>1.056</v>
      </c>
      <c r="P459" s="48">
        <f>SUM('Fiscal Forecasts'!P$382:P$383)-P$457</f>
        <v>1.03</v>
      </c>
      <c r="Q459" s="20">
        <f t="shared" ref="Q459:Z459" si="254">P$459*Q$458/P$458</f>
        <v>1.0799087876033233</v>
      </c>
      <c r="R459" s="20">
        <f t="shared" si="254"/>
        <v>1.1323854289990993</v>
      </c>
      <c r="S459" s="20">
        <f t="shared" si="254"/>
        <v>1.1862494049103678</v>
      </c>
      <c r="T459" s="20">
        <f t="shared" si="254"/>
        <v>1.24290168407775</v>
      </c>
      <c r="U459" s="20">
        <f t="shared" si="254"/>
        <v>1.3021539861006057</v>
      </c>
      <c r="V459" s="20">
        <f t="shared" si="254"/>
        <v>1.3643371161172</v>
      </c>
      <c r="W459" s="20">
        <f t="shared" si="254"/>
        <v>1.4296001290372218</v>
      </c>
      <c r="X459" s="20">
        <f t="shared" si="254"/>
        <v>1.4975145095046822</v>
      </c>
      <c r="Y459" s="20">
        <f t="shared" si="254"/>
        <v>1.5687006988361631</v>
      </c>
      <c r="Z459" s="20">
        <f t="shared" si="254"/>
        <v>1.6423915507445812</v>
      </c>
    </row>
    <row r="460" spans="1:26" x14ac:dyDescent="0.25">
      <c r="A460" s="11" t="s">
        <v>1395</v>
      </c>
      <c r="D460" s="94">
        <f t="shared" ref="D460:P460" si="255">SUM(D$457:D$459)</f>
        <v>58.215999999999994</v>
      </c>
      <c r="E460" s="94">
        <f t="shared" si="255"/>
        <v>66.69</v>
      </c>
      <c r="F460" s="94">
        <f t="shared" si="255"/>
        <v>60.335999999999999</v>
      </c>
      <c r="G460" s="94">
        <f t="shared" si="255"/>
        <v>55.301000000000002</v>
      </c>
      <c r="H460" s="94">
        <f t="shared" si="255"/>
        <v>57.511000000000003</v>
      </c>
      <c r="I460" s="94">
        <f t="shared" si="255"/>
        <v>66.575000000000003</v>
      </c>
      <c r="J460" s="94">
        <f t="shared" si="255"/>
        <v>70.325999999999993</v>
      </c>
      <c r="K460" s="94">
        <f t="shared" si="255"/>
        <v>74.543999999999997</v>
      </c>
      <c r="L460" s="95">
        <f t="shared" si="255"/>
        <v>64.055000000000007</v>
      </c>
      <c r="M460" s="95">
        <f t="shared" si="255"/>
        <v>66.052999999999997</v>
      </c>
      <c r="N460" s="95">
        <f t="shared" si="255"/>
        <v>68.154999999999987</v>
      </c>
      <c r="O460" s="95">
        <f t="shared" si="255"/>
        <v>70.441999999999993</v>
      </c>
      <c r="P460" s="95">
        <f t="shared" si="255"/>
        <v>72.899999999999991</v>
      </c>
      <c r="Q460" s="96">
        <f t="shared" ref="Q460:Z460" ca="1" si="256">SUM(Q$457:Q$459)</f>
        <v>76.430282328841813</v>
      </c>
      <c r="R460" s="96">
        <f t="shared" ca="1" si="256"/>
        <v>80.144303886578967</v>
      </c>
      <c r="S460" s="96">
        <f t="shared" ca="1" si="256"/>
        <v>83.956513707918432</v>
      </c>
      <c r="T460" s="96">
        <f t="shared" ca="1" si="256"/>
        <v>87.966065015436712</v>
      </c>
      <c r="U460" s="96">
        <f t="shared" ca="1" si="256"/>
        <v>92.159632309477615</v>
      </c>
      <c r="V460" s="96">
        <f t="shared" ca="1" si="256"/>
        <v>96.560628243409354</v>
      </c>
      <c r="W460" s="96">
        <f t="shared" ca="1" si="256"/>
        <v>101.17960214228678</v>
      </c>
      <c r="X460" s="96">
        <f t="shared" ca="1" si="256"/>
        <v>105.98622593579836</v>
      </c>
      <c r="Y460" s="96">
        <f t="shared" ca="1" si="256"/>
        <v>111.02441120753262</v>
      </c>
      <c r="Z460" s="96">
        <f t="shared" ca="1" si="256"/>
        <v>116.23986336522181</v>
      </c>
    </row>
    <row r="462" spans="1:26" x14ac:dyDescent="0.25">
      <c r="A462" s="11" t="s">
        <v>1396</v>
      </c>
    </row>
    <row r="463" spans="1:26" x14ac:dyDescent="0.25">
      <c r="A463" s="11" t="s">
        <v>1397</v>
      </c>
      <c r="B463" s="14" t="str">
        <f>$B$38</f>
        <v>From Fiscal Forecasts</v>
      </c>
      <c r="D463" s="51">
        <f>'Fiscal Forecasts'!D$196</f>
        <v>13.164999999999999</v>
      </c>
      <c r="E463" s="51">
        <f>'Fiscal Forecasts'!E$196</f>
        <v>13.976000000000001</v>
      </c>
      <c r="F463" s="51">
        <f>'Fiscal Forecasts'!F$196</f>
        <v>11.039</v>
      </c>
      <c r="G463" s="51">
        <f>'Fiscal Forecasts'!G$196</f>
        <v>8.7650000000000006</v>
      </c>
      <c r="H463" s="51">
        <f>'Fiscal Forecasts'!H$196</f>
        <v>8.0380000000000003</v>
      </c>
      <c r="I463" s="51">
        <f>'Fiscal Forecasts'!I$196</f>
        <v>7.3339999999999996</v>
      </c>
      <c r="J463" s="51">
        <f>'Fiscal Forecasts'!J$196</f>
        <v>6.6589999999999998</v>
      </c>
      <c r="K463" s="51">
        <f>'Fiscal Forecasts'!K$196</f>
        <v>6.2460000000000004</v>
      </c>
      <c r="L463" s="47">
        <f>'Fiscal Forecasts'!L$196</f>
        <v>5.633</v>
      </c>
      <c r="M463" s="47">
        <f>'Fiscal Forecasts'!M$196</f>
        <v>5.1289999999999996</v>
      </c>
      <c r="N463" s="47">
        <f>'Fiscal Forecasts'!N$196</f>
        <v>4.6379999999999999</v>
      </c>
      <c r="O463" s="47">
        <f>'Fiscal Forecasts'!O$196</f>
        <v>4.1639999999999997</v>
      </c>
      <c r="P463" s="47">
        <f>'Fiscal Forecasts'!P$196</f>
        <v>3.706</v>
      </c>
      <c r="Q463" s="20">
        <f>P$463*Exogenous!AB$35/Exogenous!AA$35</f>
        <v>3.5338867837338257</v>
      </c>
      <c r="R463" s="20">
        <f>Q$463*Exogenous!AC$35/Exogenous!AB$35</f>
        <v>3.3579202865064692</v>
      </c>
      <c r="S463" s="20">
        <f>R$463*Exogenous!AD$35/Exogenous!AC$35</f>
        <v>3.1806693622920514</v>
      </c>
      <c r="T463" s="20">
        <f>S$463*Exogenous!AE$35/Exogenous!AD$35</f>
        <v>3.0029902957486132</v>
      </c>
      <c r="U463" s="20">
        <f>T$463*Exogenous!AF$35/Exogenous!AE$35</f>
        <v>2.8313052218114598</v>
      </c>
      <c r="V463" s="20">
        <f>U$463*Exogenous!AG$35/Exogenous!AF$35</f>
        <v>2.6617608595194078</v>
      </c>
      <c r="W463" s="20">
        <f>V$463*Exogenous!AH$35/Exogenous!AG$35</f>
        <v>2.4947853512014784</v>
      </c>
      <c r="X463" s="20">
        <f>W$463*Exogenous!AI$35/Exogenous!AH$35</f>
        <v>2.3308068391866907</v>
      </c>
      <c r="Y463" s="20">
        <f>X$463*Exogenous!AJ$35/Exogenous!AI$35</f>
        <v>2.1711097504621066</v>
      </c>
      <c r="Z463" s="20">
        <f>Y$463*Exogenous!AK$35/Exogenous!AJ$35</f>
        <v>2.0152659426987056</v>
      </c>
    </row>
    <row r="464" spans="1:26" x14ac:dyDescent="0.25">
      <c r="A464" s="12" t="s">
        <v>1398</v>
      </c>
      <c r="B464" s="14" t="str">
        <f>$B$38</f>
        <v>From Fiscal Forecasts</v>
      </c>
      <c r="D464" s="50">
        <f>'Fiscal Forecasts'!D$140-D$463</f>
        <v>1.4000000000001123E-2</v>
      </c>
      <c r="E464" s="50">
        <f>'Fiscal Forecasts'!E$140-E$463</f>
        <v>6.9999999999996732E-3</v>
      </c>
      <c r="F464" s="50">
        <f>'Fiscal Forecasts'!F$140-F$463</f>
        <v>-9.9999999999944578E-4</v>
      </c>
      <c r="G464" s="50">
        <f>'Fiscal Forecasts'!G$140-G$463</f>
        <v>3.9999999999995595E-3</v>
      </c>
      <c r="H464" s="50">
        <f>'Fiscal Forecasts'!H$140-H$463</f>
        <v>9.9999999999944578E-4</v>
      </c>
      <c r="I464" s="50">
        <f>'Fiscal Forecasts'!I$140-I$463</f>
        <v>3.0000000000001137E-3</v>
      </c>
      <c r="J464" s="50">
        <f>'Fiscal Forecasts'!J$140-J$463</f>
        <v>1.9999999999997797E-3</v>
      </c>
      <c r="K464" s="50">
        <f>'Fiscal Forecasts'!K$140-K$463</f>
        <v>1.9999999999997797E-3</v>
      </c>
      <c r="L464" s="48">
        <f>'Fiscal Forecasts'!L$140-L$463</f>
        <v>1.000000000000334E-3</v>
      </c>
      <c r="M464" s="48">
        <f>'Fiscal Forecasts'!M$140-M$463</f>
        <v>2.0000000000006679E-3</v>
      </c>
      <c r="N464" s="48">
        <f>'Fiscal Forecasts'!N$140-N$463</f>
        <v>1.000000000000334E-3</v>
      </c>
      <c r="O464" s="48">
        <f>'Fiscal Forecasts'!O$140-O$463</f>
        <v>1.000000000000334E-3</v>
      </c>
      <c r="P464" s="48">
        <f>'Fiscal Forecasts'!P$140-P$463</f>
        <v>2.0000000000002238E-3</v>
      </c>
      <c r="Q464" s="20">
        <f ca="1">IF(Q$6=OFFSET(Assumptions!$B$8,0,$C$1),OFFSET(Assumptions!$B$9,0,$C$1),P$464)</f>
        <v>0</v>
      </c>
      <c r="R464" s="20">
        <f ca="1">IF(R$6=OFFSET(Assumptions!$B$8,0,$C$1),OFFSET(Assumptions!$B$9,0,$C$1),Q$464)</f>
        <v>0</v>
      </c>
      <c r="S464" s="20">
        <f ca="1">IF(S$6=OFFSET(Assumptions!$B$8,0,$C$1),OFFSET(Assumptions!$B$9,0,$C$1),R$464)</f>
        <v>0</v>
      </c>
      <c r="T464" s="20">
        <f ca="1">IF(T$6=OFFSET(Assumptions!$B$8,0,$C$1),OFFSET(Assumptions!$B$9,0,$C$1),S$464)</f>
        <v>0</v>
      </c>
      <c r="U464" s="20">
        <f ca="1">IF(U$6=OFFSET(Assumptions!$B$8,0,$C$1),OFFSET(Assumptions!$B$9,0,$C$1),T$464)</f>
        <v>0</v>
      </c>
      <c r="V464" s="20">
        <f ca="1">IF(V$6=OFFSET(Assumptions!$B$8,0,$C$1),OFFSET(Assumptions!$B$9,0,$C$1),U$464)</f>
        <v>0</v>
      </c>
      <c r="W464" s="20">
        <f ca="1">IF(W$6=OFFSET(Assumptions!$B$8,0,$C$1),OFFSET(Assumptions!$B$9,0,$C$1),V$464)</f>
        <v>0</v>
      </c>
      <c r="X464" s="20">
        <f ca="1">IF(X$6=OFFSET(Assumptions!$B$8,0,$C$1),OFFSET(Assumptions!$B$9,0,$C$1),W$464)</f>
        <v>0</v>
      </c>
      <c r="Y464" s="20">
        <f ca="1">IF(Y$6=OFFSET(Assumptions!$B$8,0,$C$1),OFFSET(Assumptions!$B$9,0,$C$1),X$464)</f>
        <v>0</v>
      </c>
      <c r="Z464" s="20">
        <f ca="1">IF(Z$6=OFFSET(Assumptions!$B$8,0,$C$1),OFFSET(Assumptions!$B$9,0,$C$1),Y$464)</f>
        <v>0</v>
      </c>
    </row>
    <row r="465" spans="1:26" x14ac:dyDescent="0.25">
      <c r="A465" s="11" t="s">
        <v>1399</v>
      </c>
      <c r="D465" s="94">
        <f t="shared" ref="D465:Z465" si="257">SUM(D$463:D$464)</f>
        <v>13.179</v>
      </c>
      <c r="E465" s="94">
        <f t="shared" si="257"/>
        <v>13.983000000000001</v>
      </c>
      <c r="F465" s="94">
        <f t="shared" si="257"/>
        <v>11.038</v>
      </c>
      <c r="G465" s="94">
        <f t="shared" si="257"/>
        <v>8.7690000000000001</v>
      </c>
      <c r="H465" s="94">
        <f t="shared" si="257"/>
        <v>8.0389999999999997</v>
      </c>
      <c r="I465" s="94">
        <f t="shared" si="257"/>
        <v>7.3369999999999997</v>
      </c>
      <c r="J465" s="94">
        <f t="shared" si="257"/>
        <v>6.6609999999999996</v>
      </c>
      <c r="K465" s="94">
        <f t="shared" si="257"/>
        <v>6.2480000000000002</v>
      </c>
      <c r="L465" s="95">
        <f t="shared" si="257"/>
        <v>5.6340000000000003</v>
      </c>
      <c r="M465" s="95">
        <f t="shared" si="257"/>
        <v>5.1310000000000002</v>
      </c>
      <c r="N465" s="95">
        <f t="shared" si="257"/>
        <v>4.6390000000000002</v>
      </c>
      <c r="O465" s="95">
        <f t="shared" si="257"/>
        <v>4.165</v>
      </c>
      <c r="P465" s="95">
        <f t="shared" si="257"/>
        <v>3.7080000000000002</v>
      </c>
      <c r="Q465" s="96">
        <f t="shared" ca="1" si="257"/>
        <v>3.5338867837338257</v>
      </c>
      <c r="R465" s="96">
        <f t="shared" ca="1" si="257"/>
        <v>3.3579202865064692</v>
      </c>
      <c r="S465" s="96">
        <f t="shared" ca="1" si="257"/>
        <v>3.1806693622920514</v>
      </c>
      <c r="T465" s="96">
        <f t="shared" ca="1" si="257"/>
        <v>3.0029902957486132</v>
      </c>
      <c r="U465" s="96">
        <f t="shared" ca="1" si="257"/>
        <v>2.8313052218114598</v>
      </c>
      <c r="V465" s="96">
        <f t="shared" ca="1" si="257"/>
        <v>2.6617608595194078</v>
      </c>
      <c r="W465" s="96">
        <f t="shared" ca="1" si="257"/>
        <v>2.4947853512014784</v>
      </c>
      <c r="X465" s="96">
        <f t="shared" ca="1" si="257"/>
        <v>2.3308068391866907</v>
      </c>
      <c r="Y465" s="96">
        <f t="shared" ca="1" si="257"/>
        <v>2.1711097504621066</v>
      </c>
      <c r="Z465" s="96">
        <f t="shared" ca="1" si="257"/>
        <v>2.0152659426987056</v>
      </c>
    </row>
    <row r="467" spans="1:26" x14ac:dyDescent="0.25">
      <c r="A467" s="11" t="s">
        <v>961</v>
      </c>
    </row>
    <row r="468" spans="1:26" x14ac:dyDescent="0.25">
      <c r="A468" s="12" t="s">
        <v>1400</v>
      </c>
      <c r="D468" s="50">
        <f t="shared" ref="D468:P468" si="258">-D$386</f>
        <v>0</v>
      </c>
      <c r="E468" s="50">
        <f t="shared" si="258"/>
        <v>-2E-3</v>
      </c>
      <c r="F468" s="50">
        <f t="shared" si="258"/>
        <v>-2E-3</v>
      </c>
      <c r="G468" s="50">
        <f t="shared" si="258"/>
        <v>9.9000000000000005E-2</v>
      </c>
      <c r="H468" s="50">
        <f t="shared" si="258"/>
        <v>0.06</v>
      </c>
      <c r="I468" s="50">
        <f t="shared" si="258"/>
        <v>4.0000000000000001E-3</v>
      </c>
      <c r="J468" s="50">
        <f t="shared" si="258"/>
        <v>-6.7000000000000004E-2</v>
      </c>
      <c r="K468" s="50">
        <f t="shared" si="258"/>
        <v>-1.2999999999999999E-2</v>
      </c>
      <c r="L468" s="48">
        <f t="shared" si="258"/>
        <v>1.7999999999999999E-2</v>
      </c>
      <c r="M468" s="48">
        <f t="shared" si="258"/>
        <v>0.02</v>
      </c>
      <c r="N468" s="48">
        <f t="shared" si="258"/>
        <v>2.4E-2</v>
      </c>
      <c r="O468" s="48">
        <f t="shared" si="258"/>
        <v>2.7E-2</v>
      </c>
      <c r="P468" s="48">
        <f t="shared" si="258"/>
        <v>3.1E-2</v>
      </c>
      <c r="Q468" s="20">
        <f ca="1">IF(Q$6=OFFSET(Assumptions!$B$8,0,$C$1),OFFSET(Assumptions!$B$9,0,$C$1),P$468)</f>
        <v>0</v>
      </c>
      <c r="R468" s="20">
        <f ca="1">IF(R$6=OFFSET(Assumptions!$B$8,0,$C$1),OFFSET(Assumptions!$B$9,0,$C$1),Q$468)</f>
        <v>0</v>
      </c>
      <c r="S468" s="20">
        <f ca="1">IF(S$6=OFFSET(Assumptions!$B$8,0,$C$1),OFFSET(Assumptions!$B$9,0,$C$1),R$468)</f>
        <v>0</v>
      </c>
      <c r="T468" s="20">
        <f ca="1">IF(T$6=OFFSET(Assumptions!$B$8,0,$C$1),OFFSET(Assumptions!$B$9,0,$C$1),S$468)</f>
        <v>0</v>
      </c>
      <c r="U468" s="20">
        <f ca="1">IF(U$6=OFFSET(Assumptions!$B$8,0,$C$1),OFFSET(Assumptions!$B$9,0,$C$1),T$468)</f>
        <v>0</v>
      </c>
      <c r="V468" s="20">
        <f ca="1">IF(V$6=OFFSET(Assumptions!$B$8,0,$C$1),OFFSET(Assumptions!$B$9,0,$C$1),U$468)</f>
        <v>0</v>
      </c>
      <c r="W468" s="20">
        <f ca="1">IF(W$6=OFFSET(Assumptions!$B$8,0,$C$1),OFFSET(Assumptions!$B$9,0,$C$1),V$468)</f>
        <v>0</v>
      </c>
      <c r="X468" s="20">
        <f ca="1">IF(X$6=OFFSET(Assumptions!$B$8,0,$C$1),OFFSET(Assumptions!$B$9,0,$C$1),W$468)</f>
        <v>0</v>
      </c>
      <c r="Y468" s="20">
        <f ca="1">IF(Y$6=OFFSET(Assumptions!$B$8,0,$C$1),OFFSET(Assumptions!$B$9,0,$C$1),X$468)</f>
        <v>0</v>
      </c>
      <c r="Z468" s="20">
        <f ca="1">IF(Z$6=OFFSET(Assumptions!$B$8,0,$C$1),OFFSET(Assumptions!$B$9,0,$C$1),Y$468)</f>
        <v>0</v>
      </c>
    </row>
    <row r="469" spans="1:26" x14ac:dyDescent="0.25">
      <c r="A469" s="12" t="s">
        <v>1401</v>
      </c>
      <c r="B469" s="14" t="str">
        <f>$B$38</f>
        <v>From Fiscal Forecasts</v>
      </c>
      <c r="D469" s="50">
        <f>'Fiscal Forecasts'!D$197-D$468</f>
        <v>7.5890000000000004</v>
      </c>
      <c r="E469" s="50">
        <f>'Fiscal Forecasts'!E$197-E$468</f>
        <v>9.3109999999999999</v>
      </c>
      <c r="F469" s="50">
        <f>'Fiscal Forecasts'!F$197-F$468</f>
        <v>8.6100000000000012</v>
      </c>
      <c r="G469" s="50">
        <f>'Fiscal Forecasts'!G$197-G$468</f>
        <v>8.7850000000000001</v>
      </c>
      <c r="H469" s="50">
        <f>'Fiscal Forecasts'!H$197-H$468</f>
        <v>8.2880000000000003</v>
      </c>
      <c r="I469" s="50">
        <f>'Fiscal Forecasts'!I$197-I$468</f>
        <v>8.875</v>
      </c>
      <c r="J469" s="50">
        <f>'Fiscal Forecasts'!J$197-J$468</f>
        <v>10.871</v>
      </c>
      <c r="K469" s="50">
        <f>'Fiscal Forecasts'!K$197-K$468</f>
        <v>9.802999999999999</v>
      </c>
      <c r="L469" s="48">
        <f>'Fiscal Forecasts'!L$197-L$468</f>
        <v>9.3669999999999991</v>
      </c>
      <c r="M469" s="48">
        <f>'Fiscal Forecasts'!M$197-M$468</f>
        <v>8.9779999999999998</v>
      </c>
      <c r="N469" s="48">
        <f>'Fiscal Forecasts'!N$197-N$468</f>
        <v>8.8250000000000011</v>
      </c>
      <c r="O469" s="48">
        <f>'Fiscal Forecasts'!O$197-O$468</f>
        <v>8.7780000000000005</v>
      </c>
      <c r="P469" s="48">
        <f>'Fiscal Forecasts'!P$197-P$468</f>
        <v>8.7359999999999989</v>
      </c>
      <c r="Q469" s="20">
        <f t="shared" ref="Q469:Z469" ca="1" si="259">P$469*(1+Q$29)</f>
        <v>8.9107199999999995</v>
      </c>
      <c r="R469" s="20">
        <f t="shared" ca="1" si="259"/>
        <v>9.0889343999999994</v>
      </c>
      <c r="S469" s="20">
        <f t="shared" ca="1" si="259"/>
        <v>9.270713087999999</v>
      </c>
      <c r="T469" s="20">
        <f t="shared" ca="1" si="259"/>
        <v>9.4561273497599991</v>
      </c>
      <c r="U469" s="20">
        <f t="shared" ca="1" si="259"/>
        <v>9.6452498967551996</v>
      </c>
      <c r="V469" s="20">
        <f t="shared" ca="1" si="259"/>
        <v>9.8381548946903035</v>
      </c>
      <c r="W469" s="20">
        <f t="shared" ca="1" si="259"/>
        <v>10.034917992584109</v>
      </c>
      <c r="X469" s="20">
        <f t="shared" ca="1" si="259"/>
        <v>10.235616352435791</v>
      </c>
      <c r="Y469" s="20">
        <f t="shared" ca="1" si="259"/>
        <v>10.440328679484507</v>
      </c>
      <c r="Z469" s="20">
        <f t="shared" ca="1" si="259"/>
        <v>10.649135253074197</v>
      </c>
    </row>
    <row r="470" spans="1:26" x14ac:dyDescent="0.25">
      <c r="A470" s="11" t="s">
        <v>1402</v>
      </c>
      <c r="D470" s="94">
        <f t="shared" ref="D470:P470" si="260">SUM(D$468:D$469)</f>
        <v>7.5890000000000004</v>
      </c>
      <c r="E470" s="94">
        <f t="shared" si="260"/>
        <v>9.3089999999999993</v>
      </c>
      <c r="F470" s="94">
        <f t="shared" si="260"/>
        <v>8.6080000000000005</v>
      </c>
      <c r="G470" s="94">
        <f t="shared" si="260"/>
        <v>8.8840000000000003</v>
      </c>
      <c r="H470" s="94">
        <f t="shared" si="260"/>
        <v>8.3480000000000008</v>
      </c>
      <c r="I470" s="94">
        <f t="shared" si="260"/>
        <v>8.8789999999999996</v>
      </c>
      <c r="J470" s="94">
        <f t="shared" si="260"/>
        <v>10.804</v>
      </c>
      <c r="K470" s="94">
        <f t="shared" si="260"/>
        <v>9.7899999999999991</v>
      </c>
      <c r="L470" s="95">
        <f t="shared" si="260"/>
        <v>9.3849999999999998</v>
      </c>
      <c r="M470" s="95">
        <f t="shared" si="260"/>
        <v>8.9979999999999993</v>
      </c>
      <c r="N470" s="95">
        <f t="shared" si="260"/>
        <v>8.8490000000000002</v>
      </c>
      <c r="O470" s="95">
        <f t="shared" si="260"/>
        <v>8.8049999999999997</v>
      </c>
      <c r="P470" s="95">
        <f t="shared" si="260"/>
        <v>8.7669999999999995</v>
      </c>
      <c r="Q470" s="96">
        <f t="shared" ref="Q470:Z470" ca="1" si="261">SUM(Q$468:Q$469)</f>
        <v>8.9107199999999995</v>
      </c>
      <c r="R470" s="96">
        <f t="shared" ca="1" si="261"/>
        <v>9.0889343999999994</v>
      </c>
      <c r="S470" s="96">
        <f t="shared" ca="1" si="261"/>
        <v>9.270713087999999</v>
      </c>
      <c r="T470" s="96">
        <f t="shared" ca="1" si="261"/>
        <v>9.4561273497599991</v>
      </c>
      <c r="U470" s="96">
        <f t="shared" ca="1" si="261"/>
        <v>9.6452498967551996</v>
      </c>
      <c r="V470" s="96">
        <f t="shared" ca="1" si="261"/>
        <v>9.8381548946903035</v>
      </c>
      <c r="W470" s="96">
        <f t="shared" ca="1" si="261"/>
        <v>10.034917992584109</v>
      </c>
      <c r="X470" s="96">
        <f t="shared" ca="1" si="261"/>
        <v>10.235616352435791</v>
      </c>
      <c r="Y470" s="96">
        <f t="shared" ca="1" si="261"/>
        <v>10.440328679484507</v>
      </c>
      <c r="Z470" s="96">
        <f t="shared" ca="1" si="261"/>
        <v>10.649135253074197</v>
      </c>
    </row>
    <row r="471" spans="1:26" x14ac:dyDescent="0.25">
      <c r="A471" s="11" t="s">
        <v>1403</v>
      </c>
      <c r="B471" s="14" t="str">
        <f>$B$38</f>
        <v>From Fiscal Forecasts</v>
      </c>
      <c r="D471" s="51">
        <f>'Fiscal Forecasts'!D$141</f>
        <v>10.708</v>
      </c>
      <c r="E471" s="51">
        <f>'Fiscal Forecasts'!E$141</f>
        <v>12.68</v>
      </c>
      <c r="F471" s="51">
        <f>'Fiscal Forecasts'!F$141</f>
        <v>13.263</v>
      </c>
      <c r="G471" s="51">
        <f>'Fiscal Forecasts'!G$141</f>
        <v>14.333</v>
      </c>
      <c r="H471" s="51">
        <f>'Fiscal Forecasts'!H$141</f>
        <v>15.426</v>
      </c>
      <c r="I471" s="51">
        <f>'Fiscal Forecasts'!I$141</f>
        <v>16.045000000000002</v>
      </c>
      <c r="J471" s="51">
        <f>'Fiscal Forecasts'!J$141</f>
        <v>17.984000000000002</v>
      </c>
      <c r="K471" s="51">
        <f>'Fiscal Forecasts'!K$141</f>
        <v>16.405000000000001</v>
      </c>
      <c r="L471" s="47">
        <f>'Fiscal Forecasts'!L$141</f>
        <v>14.760999999999999</v>
      </c>
      <c r="M471" s="47">
        <f>'Fiscal Forecasts'!M$141</f>
        <v>14.428000000000001</v>
      </c>
      <c r="N471" s="47">
        <f>'Fiscal Forecasts'!N$141</f>
        <v>14.282999999999999</v>
      </c>
      <c r="O471" s="47">
        <f>'Fiscal Forecasts'!O$141</f>
        <v>14.246</v>
      </c>
      <c r="P471" s="47">
        <f>'Fiscal Forecasts'!P$141</f>
        <v>14.132999999999999</v>
      </c>
      <c r="Q471" s="21">
        <f t="shared" ref="Q471:Z471" ca="1" si="262">Q$470+(P$471-P$470)*(1+Q$29)</f>
        <v>14.384039999999999</v>
      </c>
      <c r="R471" s="21">
        <f t="shared" ca="1" si="262"/>
        <v>14.671720799999999</v>
      </c>
      <c r="S471" s="21">
        <f t="shared" ca="1" si="262"/>
        <v>14.965155215999999</v>
      </c>
      <c r="T471" s="21">
        <f t="shared" ca="1" si="262"/>
        <v>15.264458320319999</v>
      </c>
      <c r="U471" s="21">
        <f t="shared" ca="1" si="262"/>
        <v>15.569747486726399</v>
      </c>
      <c r="V471" s="21">
        <f t="shared" ca="1" si="262"/>
        <v>15.881142436460927</v>
      </c>
      <c r="W471" s="21">
        <f t="shared" ca="1" si="262"/>
        <v>16.198765285190145</v>
      </c>
      <c r="X471" s="21">
        <f t="shared" ca="1" si="262"/>
        <v>16.522740590893946</v>
      </c>
      <c r="Y471" s="21">
        <f t="shared" ca="1" si="262"/>
        <v>16.853195402711826</v>
      </c>
      <c r="Z471" s="21">
        <f t="shared" ca="1" si="262"/>
        <v>17.190259310766063</v>
      </c>
    </row>
    <row r="473" spans="1:26" x14ac:dyDescent="0.25">
      <c r="A473" s="11" t="s">
        <v>1404</v>
      </c>
    </row>
    <row r="474" spans="1:26" x14ac:dyDescent="0.25">
      <c r="A474" s="12" t="s">
        <v>1111</v>
      </c>
      <c r="B474" s="14" t="str">
        <f t="shared" ref="B474:B480" si="263">$B$38</f>
        <v>From Fiscal Forecasts</v>
      </c>
      <c r="D474" s="50">
        <f>'Fiscal Forecasts'!D$387</f>
        <v>83.715999999999994</v>
      </c>
      <c r="E474" s="50">
        <f>'Fiscal Forecasts'!E$387</f>
        <v>84.31</v>
      </c>
      <c r="F474" s="50">
        <f>'Fiscal Forecasts'!F$387</f>
        <v>96.551000000000002</v>
      </c>
      <c r="G474" s="50">
        <f>'Fiscal Forecasts'!G$387</f>
        <v>105.48699999999999</v>
      </c>
      <c r="H474" s="50">
        <f>'Fiscal Forecasts'!H$387</f>
        <v>111.292</v>
      </c>
      <c r="I474" s="50">
        <f>'Fiscal Forecasts'!I$387</f>
        <v>116.73699999999999</v>
      </c>
      <c r="J474" s="50">
        <f>'Fiscal Forecasts'!J$387</f>
        <v>123.536</v>
      </c>
      <c r="K474" s="50">
        <f>'Fiscal Forecasts'!K$387</f>
        <v>129.00200000000001</v>
      </c>
      <c r="L474" s="48">
        <f>'Fiscal Forecasts'!L$387</f>
        <v>132.791</v>
      </c>
      <c r="M474" s="48">
        <f>'Fiscal Forecasts'!M$387</f>
        <v>143.83000000000001</v>
      </c>
      <c r="N474" s="48">
        <f>'Fiscal Forecasts'!N$387</f>
        <v>152.727</v>
      </c>
      <c r="O474" s="48">
        <f>'Fiscal Forecasts'!O$387</f>
        <v>161.23400000000001</v>
      </c>
      <c r="P474" s="48">
        <f>'Fiscal Forecasts'!P$387</f>
        <v>169.50700000000001</v>
      </c>
      <c r="Q474" s="20">
        <f t="shared" ref="Q474:Z474" ca="1" si="264">SUM(Q$142,Q$376,Q$443-P$443)-SUM(Q$351-P$351,Q$273)</f>
        <v>175.988481001586</v>
      </c>
      <c r="R474" s="20">
        <f t="shared" ca="1" si="264"/>
        <v>182.88392420338661</v>
      </c>
      <c r="S474" s="20">
        <f t="shared" ca="1" si="264"/>
        <v>190.10178641277807</v>
      </c>
      <c r="T474" s="20">
        <f t="shared" ca="1" si="264"/>
        <v>197.80489462263114</v>
      </c>
      <c r="U474" s="20">
        <f t="shared" ca="1" si="264"/>
        <v>205.89504788318922</v>
      </c>
      <c r="V474" s="20">
        <f t="shared" ca="1" si="264"/>
        <v>214.27140906409105</v>
      </c>
      <c r="W474" s="20">
        <f t="shared" ca="1" si="264"/>
        <v>222.88527003557277</v>
      </c>
      <c r="X474" s="20">
        <f t="shared" ca="1" si="264"/>
        <v>231.74832972171311</v>
      </c>
      <c r="Y474" s="20">
        <f t="shared" ca="1" si="264"/>
        <v>240.90522559104033</v>
      </c>
      <c r="Z474" s="20">
        <f t="shared" ca="1" si="264"/>
        <v>250.36376486952989</v>
      </c>
    </row>
    <row r="475" spans="1:26" x14ac:dyDescent="0.25">
      <c r="A475" s="12" t="s">
        <v>899</v>
      </c>
      <c r="B475" s="14" t="str">
        <f t="shared" si="263"/>
        <v>From Fiscal Forecasts</v>
      </c>
      <c r="D475" s="50">
        <f>'Fiscal Forecasts'!D$388</f>
        <v>1.359</v>
      </c>
      <c r="E475" s="50">
        <f>'Fiscal Forecasts'!E$388</f>
        <v>1.226</v>
      </c>
      <c r="F475" s="50">
        <f>'Fiscal Forecasts'!F$388</f>
        <v>2.2869999999999999</v>
      </c>
      <c r="G475" s="50">
        <f>'Fiscal Forecasts'!G$388</f>
        <v>3.3639999999999999</v>
      </c>
      <c r="H475" s="50">
        <f>'Fiscal Forecasts'!H$388</f>
        <v>2.492</v>
      </c>
      <c r="I475" s="50">
        <f>'Fiscal Forecasts'!I$388</f>
        <v>1.79</v>
      </c>
      <c r="J475" s="50">
        <f>'Fiscal Forecasts'!J$388</f>
        <v>1.9159999999999999</v>
      </c>
      <c r="K475" s="50">
        <f>'Fiscal Forecasts'!K$388</f>
        <v>1.829</v>
      </c>
      <c r="L475" s="48">
        <f>'Fiscal Forecasts'!L$388</f>
        <v>2.0750000000000002</v>
      </c>
      <c r="M475" s="48">
        <f>'Fiscal Forecasts'!M$388</f>
        <v>2.3180000000000001</v>
      </c>
      <c r="N475" s="48">
        <f>'Fiscal Forecasts'!N$388</f>
        <v>2.2839999999999998</v>
      </c>
      <c r="O475" s="48">
        <f>'Fiscal Forecasts'!O$388</f>
        <v>2.2469999999999999</v>
      </c>
      <c r="P475" s="48">
        <f>'Fiscal Forecasts'!P$388</f>
        <v>2.1859999999999999</v>
      </c>
      <c r="Q475" s="20">
        <f t="shared" ref="Q475:Z475" ca="1" si="265">SUM(Q$146,Q$151)</f>
        <v>2.5836072037006064</v>
      </c>
      <c r="R475" s="20">
        <f t="shared" ca="1" si="265"/>
        <v>2.6664345532857028</v>
      </c>
      <c r="S475" s="20">
        <f t="shared" ca="1" si="265"/>
        <v>2.7510619086961858</v>
      </c>
      <c r="T475" s="20">
        <f t="shared" ca="1" si="265"/>
        <v>2.8366891544140054</v>
      </c>
      <c r="U475" s="20">
        <f t="shared" ca="1" si="265"/>
        <v>2.9247796313687799</v>
      </c>
      <c r="V475" s="20">
        <f t="shared" ca="1" si="265"/>
        <v>3.0145825292665065</v>
      </c>
      <c r="W475" s="20">
        <f t="shared" ca="1" si="265"/>
        <v>3.1038362788321723</v>
      </c>
      <c r="X475" s="20">
        <f t="shared" ca="1" si="265"/>
        <v>3.1949687962199564</v>
      </c>
      <c r="Y475" s="20">
        <f t="shared" ca="1" si="265"/>
        <v>3.2888643701806703</v>
      </c>
      <c r="Z475" s="20">
        <f t="shared" ca="1" si="265"/>
        <v>3.3848166078557522</v>
      </c>
    </row>
    <row r="476" spans="1:26" x14ac:dyDescent="0.25">
      <c r="A476" s="12" t="s">
        <v>1112</v>
      </c>
      <c r="B476" s="14" t="str">
        <f t="shared" si="263"/>
        <v>From Fiscal Forecasts</v>
      </c>
      <c r="D476" s="50">
        <f>'Fiscal Forecasts'!D$389</f>
        <v>0.71199999999999997</v>
      </c>
      <c r="E476" s="50">
        <f>'Fiscal Forecasts'!E$389</f>
        <v>0.42799999999999999</v>
      </c>
      <c r="F476" s="50">
        <f>'Fiscal Forecasts'!F$389</f>
        <v>0.249</v>
      </c>
      <c r="G476" s="50">
        <f>'Fiscal Forecasts'!G$389</f>
        <v>0.39300000000000002</v>
      </c>
      <c r="H476" s="50">
        <f>'Fiscal Forecasts'!H$389</f>
        <v>0.98199999999999998</v>
      </c>
      <c r="I476" s="50">
        <f>'Fiscal Forecasts'!I$389</f>
        <v>1.8779999999999999</v>
      </c>
      <c r="J476" s="50">
        <f>'Fiscal Forecasts'!J$389</f>
        <v>3.3290000000000002</v>
      </c>
      <c r="K476" s="50">
        <f>'Fiscal Forecasts'!K$389</f>
        <v>2.9820000000000002</v>
      </c>
      <c r="L476" s="48">
        <f>'Fiscal Forecasts'!L$389</f>
        <v>1.5740000000000001</v>
      </c>
      <c r="M476" s="48">
        <f>'Fiscal Forecasts'!M$389</f>
        <v>0.9</v>
      </c>
      <c r="N476" s="48">
        <f>'Fiscal Forecasts'!N$389</f>
        <v>1.7070000000000001</v>
      </c>
      <c r="O476" s="48">
        <f>'Fiscal Forecasts'!O$389</f>
        <v>2.1059999999999999</v>
      </c>
      <c r="P476" s="48">
        <f>'Fiscal Forecasts'!P$389</f>
        <v>2.0499999999999998</v>
      </c>
      <c r="Q476" s="20">
        <f t="shared" ref="Q476:Z476" ca="1" si="266">SUM(Q$154,Q$169,Q$177)</f>
        <v>4.9972801498208321</v>
      </c>
      <c r="R476" s="20">
        <f t="shared" ca="1" si="266"/>
        <v>5.1598146268074663</v>
      </c>
      <c r="S476" s="20">
        <f t="shared" ca="1" si="266"/>
        <v>5.3258813067061528</v>
      </c>
      <c r="T476" s="20">
        <f t="shared" ca="1" si="266"/>
        <v>5.4939100999521955</v>
      </c>
      <c r="U476" s="20">
        <f t="shared" ca="1" si="266"/>
        <v>5.6667725623039269</v>
      </c>
      <c r="V476" s="20">
        <f t="shared" ca="1" si="266"/>
        <v>5.8429953572479461</v>
      </c>
      <c r="W476" s="20">
        <f t="shared" ca="1" si="266"/>
        <v>6.0181405427140984</v>
      </c>
      <c r="X476" s="20">
        <f t="shared" ca="1" si="266"/>
        <v>6.1969724880111139</v>
      </c>
      <c r="Y476" s="20">
        <f t="shared" ca="1" si="266"/>
        <v>6.3812264582457301</v>
      </c>
      <c r="Z476" s="20">
        <f t="shared" ca="1" si="266"/>
        <v>6.5695162785084653</v>
      </c>
    </row>
    <row r="477" spans="1:26" x14ac:dyDescent="0.25">
      <c r="A477" s="12" t="s">
        <v>900</v>
      </c>
      <c r="B477" s="14" t="str">
        <f t="shared" si="263"/>
        <v>From Fiscal Forecasts</v>
      </c>
      <c r="D477" s="50">
        <f>'Fiscal Forecasts'!D$390</f>
        <v>3.2</v>
      </c>
      <c r="E477" s="50">
        <f>'Fiscal Forecasts'!E$390</f>
        <v>3.2429999999999999</v>
      </c>
      <c r="F477" s="50">
        <f>'Fiscal Forecasts'!F$390</f>
        <v>2.98</v>
      </c>
      <c r="G477" s="50">
        <f>'Fiscal Forecasts'!G$390</f>
        <v>2.883</v>
      </c>
      <c r="H477" s="50">
        <f>'Fiscal Forecasts'!H$390</f>
        <v>3.9540000000000002</v>
      </c>
      <c r="I477" s="50">
        <f>'Fiscal Forecasts'!I$390</f>
        <v>3.7789999999999999</v>
      </c>
      <c r="J477" s="50">
        <f>'Fiscal Forecasts'!J$390</f>
        <v>3.7040000000000002</v>
      </c>
      <c r="K477" s="50">
        <f>'Fiscal Forecasts'!K$390</f>
        <v>4.173</v>
      </c>
      <c r="L477" s="48">
        <f>'Fiscal Forecasts'!L$390</f>
        <v>3.956</v>
      </c>
      <c r="M477" s="48">
        <f>'Fiscal Forecasts'!M$390</f>
        <v>4.133</v>
      </c>
      <c r="N477" s="48">
        <f>'Fiscal Forecasts'!N$390</f>
        <v>4.359</v>
      </c>
      <c r="O477" s="48">
        <f>'Fiscal Forecasts'!O$390</f>
        <v>4.4089999999999998</v>
      </c>
      <c r="P477" s="48">
        <f>'Fiscal Forecasts'!P$390</f>
        <v>4.5069999999999997</v>
      </c>
      <c r="Q477" s="20">
        <f t="shared" ref="Q477:Z477" ca="1" si="267">SUM(Q$160,Q$332)</f>
        <v>3.7728371999999997</v>
      </c>
      <c r="R477" s="20">
        <f t="shared" ca="1" si="267"/>
        <v>3.8482939439999999</v>
      </c>
      <c r="S477" s="20">
        <f t="shared" ca="1" si="267"/>
        <v>3.9252598228800002</v>
      </c>
      <c r="T477" s="20">
        <f t="shared" ca="1" si="267"/>
        <v>4.0037650193376004</v>
      </c>
      <c r="U477" s="20">
        <f t="shared" ca="1" si="267"/>
        <v>4.0838403197243522</v>
      </c>
      <c r="V477" s="20">
        <f t="shared" ca="1" si="267"/>
        <v>4.1655171261188393</v>
      </c>
      <c r="W477" s="20">
        <f t="shared" ca="1" si="267"/>
        <v>4.2488274686412169</v>
      </c>
      <c r="X477" s="20">
        <f t="shared" ca="1" si="267"/>
        <v>4.3338040180140416</v>
      </c>
      <c r="Y477" s="20">
        <f t="shared" ca="1" si="267"/>
        <v>4.4204800983743215</v>
      </c>
      <c r="Z477" s="20">
        <f t="shared" ca="1" si="267"/>
        <v>4.5088897003418085</v>
      </c>
    </row>
    <row r="478" spans="1:26" x14ac:dyDescent="0.25">
      <c r="A478" s="12" t="s">
        <v>870</v>
      </c>
      <c r="B478" s="14" t="str">
        <f t="shared" si="263"/>
        <v>From Fiscal Forecasts</v>
      </c>
      <c r="D478" s="50">
        <f>'Fiscal Forecasts'!D$391</f>
        <v>28.91</v>
      </c>
      <c r="E478" s="50">
        <f>'Fiscal Forecasts'!E$391</f>
        <v>43.915999999999997</v>
      </c>
      <c r="F478" s="50">
        <f>'Fiscal Forecasts'!F$391</f>
        <v>36.573999999999998</v>
      </c>
      <c r="G478" s="50">
        <f>'Fiscal Forecasts'!G$391</f>
        <v>45.44</v>
      </c>
      <c r="H478" s="50">
        <f>'Fiscal Forecasts'!H$391</f>
        <v>40.417000000000002</v>
      </c>
      <c r="I478" s="50">
        <f>'Fiscal Forecasts'!I$391</f>
        <v>43.494999999999997</v>
      </c>
      <c r="J478" s="50">
        <f>'Fiscal Forecasts'!J$391</f>
        <v>47.421999999999997</v>
      </c>
      <c r="K478" s="50">
        <f>'Fiscal Forecasts'!K$391</f>
        <v>49.707000000000001</v>
      </c>
      <c r="L478" s="48">
        <f>'Fiscal Forecasts'!L$391</f>
        <v>51.792999999999999</v>
      </c>
      <c r="M478" s="48">
        <f>'Fiscal Forecasts'!M$391</f>
        <v>53.119</v>
      </c>
      <c r="N478" s="48">
        <f>'Fiscal Forecasts'!N$391</f>
        <v>54.475999999999999</v>
      </c>
      <c r="O478" s="48">
        <f>'Fiscal Forecasts'!O$391</f>
        <v>56.414999999999999</v>
      </c>
      <c r="P478" s="48">
        <f>'Fiscal Forecasts'!P$391</f>
        <v>58.664999999999999</v>
      </c>
      <c r="Q478" s="20">
        <f t="shared" ref="Q478:Z478" ca="1" si="268">Q$195</f>
        <v>59.10456213375442</v>
      </c>
      <c r="R478" s="20">
        <f t="shared" ca="1" si="268"/>
        <v>61.74023700058391</v>
      </c>
      <c r="S478" s="20">
        <f t="shared" ca="1" si="268"/>
        <v>64.469799952134792</v>
      </c>
      <c r="T478" s="20">
        <f t="shared" ca="1" si="268"/>
        <v>67.280230577711919</v>
      </c>
      <c r="U478" s="20">
        <f t="shared" ca="1" si="268"/>
        <v>70.249267855938541</v>
      </c>
      <c r="V478" s="20">
        <f t="shared" ca="1" si="268"/>
        <v>73.285258596479949</v>
      </c>
      <c r="W478" s="20">
        <f t="shared" ca="1" si="268"/>
        <v>76.330855742633858</v>
      </c>
      <c r="X478" s="20">
        <f t="shared" ca="1" si="268"/>
        <v>79.398091511624841</v>
      </c>
      <c r="Y478" s="20">
        <f t="shared" ca="1" si="268"/>
        <v>82.473442912902243</v>
      </c>
      <c r="Z478" s="20">
        <f t="shared" ca="1" si="268"/>
        <v>85.578471046868486</v>
      </c>
    </row>
    <row r="479" spans="1:26" x14ac:dyDescent="0.25">
      <c r="A479" s="12" t="s">
        <v>1405</v>
      </c>
      <c r="B479" s="14" t="str">
        <f t="shared" si="263"/>
        <v>From Fiscal Forecasts</v>
      </c>
      <c r="D479" s="50">
        <f>'Fiscal Forecasts'!D$392</f>
        <v>50.591000000000001</v>
      </c>
      <c r="E479" s="50">
        <f>'Fiscal Forecasts'!E$392</f>
        <v>56.582999999999998</v>
      </c>
      <c r="F479" s="50">
        <f>'Fiscal Forecasts'!F$392</f>
        <v>63.893999999999998</v>
      </c>
      <c r="G479" s="50">
        <f>'Fiscal Forecasts'!G$392</f>
        <v>71.98</v>
      </c>
      <c r="H479" s="50">
        <f>'Fiscal Forecasts'!H$392</f>
        <v>76.433999999999997</v>
      </c>
      <c r="I479" s="50">
        <f>'Fiscal Forecasts'!I$392</f>
        <v>79.747</v>
      </c>
      <c r="J479" s="50">
        <f>'Fiscal Forecasts'!J$392</f>
        <v>79.742000000000004</v>
      </c>
      <c r="K479" s="50">
        <f>'Fiscal Forecasts'!K$392</f>
        <v>83.323999999999998</v>
      </c>
      <c r="L479" s="48">
        <f ca="1">'Fiscal Forecasts'!L$392+IF(OFFSET(Assumptions!$B$57,0,$C$1)="Yes",SUM(Allocation!C$10:C$20),0)</f>
        <v>87.867999999999995</v>
      </c>
      <c r="M479" s="48">
        <f ca="1">'Fiscal Forecasts'!M$392+IF(OFFSET(Assumptions!$B$57,0,$C$1)="Yes",SUM(Allocation!D$10:D$20),0)</f>
        <v>87.927999999999997</v>
      </c>
      <c r="N479" s="48">
        <f ca="1">'Fiscal Forecasts'!N$392+IF(OFFSET(Assumptions!$B$57,0,$C$1)="Yes",SUM(Allocation!E$10:E$20),0)</f>
        <v>89.748999999999995</v>
      </c>
      <c r="O479" s="48">
        <f ca="1">'Fiscal Forecasts'!O$392+IF(OFFSET(Assumptions!$B$57,0,$C$1)="Yes",SUM(Allocation!F$10:F$20),0)</f>
        <v>91.915999999999997</v>
      </c>
      <c r="P479" s="48">
        <f ca="1">'Fiscal Forecasts'!P$392+IF(OFFSET(Assumptions!$B$57,0,$C$1)="Yes",SUM(Allocation!G$10:G$20),0)</f>
        <v>94.658999999999992</v>
      </c>
      <c r="Q479" s="20">
        <f t="shared" ref="Q479:Z479" ca="1" si="269">SUM(Q$208,Q$223,Q$238)-SUM(Q$219,Q$263,Q$271,Q$273,Q$313,Q$457-P$457,Q$463-P$463)</f>
        <v>102.83561033422278</v>
      </c>
      <c r="R479" s="20">
        <f t="shared" ca="1" si="269"/>
        <v>108.73101029988896</v>
      </c>
      <c r="S479" s="20">
        <f t="shared" ca="1" si="269"/>
        <v>113.86459425758835</v>
      </c>
      <c r="T479" s="20">
        <f t="shared" ca="1" si="269"/>
        <v>119.06598291258258</v>
      </c>
      <c r="U479" s="20">
        <f t="shared" ca="1" si="269"/>
        <v>124.4516569279253</v>
      </c>
      <c r="V479" s="20">
        <f t="shared" ca="1" si="269"/>
        <v>130.048065565298</v>
      </c>
      <c r="W479" s="20">
        <f t="shared" ca="1" si="269"/>
        <v>135.84606499380337</v>
      </c>
      <c r="X479" s="20">
        <f t="shared" ca="1" si="269"/>
        <v>141.88237719294554</v>
      </c>
      <c r="Y479" s="20">
        <f t="shared" ca="1" si="269"/>
        <v>148.1663958990024</v>
      </c>
      <c r="Z479" s="20">
        <f t="shared" ca="1" si="269"/>
        <v>154.74029577151362</v>
      </c>
    </row>
    <row r="480" spans="1:26" x14ac:dyDescent="0.25">
      <c r="A480" s="12" t="s">
        <v>904</v>
      </c>
      <c r="B480" s="14" t="str">
        <f t="shared" si="263"/>
        <v>From Fiscal Forecasts</v>
      </c>
      <c r="D480" s="50">
        <f>'Fiscal Forecasts'!D$393</f>
        <v>3.45</v>
      </c>
      <c r="E480" s="50">
        <f>'Fiscal Forecasts'!E$393</f>
        <v>3.016</v>
      </c>
      <c r="F480" s="50">
        <f>'Fiscal Forecasts'!F$393</f>
        <v>2.6419999999999999</v>
      </c>
      <c r="G480" s="50">
        <f>'Fiscal Forecasts'!G$393</f>
        <v>2.8410000000000002</v>
      </c>
      <c r="H480" s="50">
        <f>'Fiscal Forecasts'!H$393</f>
        <v>5.3049999999999997</v>
      </c>
      <c r="I480" s="50">
        <f>'Fiscal Forecasts'!I$393</f>
        <v>7.0439999999999996</v>
      </c>
      <c r="J480" s="50">
        <f>'Fiscal Forecasts'!J$393</f>
        <v>7.0010000000000003</v>
      </c>
      <c r="K480" s="50">
        <f>'Fiscal Forecasts'!K$393</f>
        <v>7.1029999999999998</v>
      </c>
      <c r="L480" s="48">
        <f>'Fiscal Forecasts'!L$393</f>
        <v>8.2070000000000007</v>
      </c>
      <c r="M480" s="48">
        <f>'Fiscal Forecasts'!M$393</f>
        <v>9.19</v>
      </c>
      <c r="N480" s="48">
        <f>'Fiscal Forecasts'!N$393</f>
        <v>10.423999999999999</v>
      </c>
      <c r="O480" s="48">
        <f>'Fiscal Forecasts'!O$393</f>
        <v>11.253</v>
      </c>
      <c r="P480" s="48">
        <f>'Fiscal Forecasts'!P$393</f>
        <v>11.305</v>
      </c>
      <c r="Q480" s="20">
        <f t="shared" ref="Q480:Z480" ca="1" si="270">(2*P$71-SUM(Q$474:Q$477,Q$488,Q$494)+SUM(Q$478,Q$479,Q$481,Q$493,Q$345-P$345))/(2/Q$235-1)</f>
        <v>13.704733347861225</v>
      </c>
      <c r="R480" s="20">
        <f t="shared" ca="1" si="270"/>
        <v>13.903027509683255</v>
      </c>
      <c r="S480" s="20">
        <f t="shared" ca="1" si="270"/>
        <v>14.191058915437539</v>
      </c>
      <c r="T480" s="20">
        <f t="shared" ca="1" si="270"/>
        <v>14.522042416502456</v>
      </c>
      <c r="U480" s="20">
        <f t="shared" ca="1" si="270"/>
        <v>14.882537445347634</v>
      </c>
      <c r="V480" s="20">
        <f t="shared" ca="1" si="270"/>
        <v>15.179608289894341</v>
      </c>
      <c r="W480" s="20">
        <f t="shared" ca="1" si="270"/>
        <v>15.505164689036119</v>
      </c>
      <c r="X480" s="20">
        <f t="shared" ca="1" si="270"/>
        <v>15.864367725787988</v>
      </c>
      <c r="Y480" s="20">
        <f t="shared" ca="1" si="270"/>
        <v>16.263792070067105</v>
      </c>
      <c r="Z480" s="20">
        <f t="shared" ca="1" si="270"/>
        <v>16.710561193790934</v>
      </c>
    </row>
    <row r="481" spans="1:26" x14ac:dyDescent="0.25">
      <c r="A481" s="12" t="s">
        <v>1185</v>
      </c>
      <c r="D481" s="50">
        <f t="shared" ref="D481:Z481" si="271">SUM(D$246,D$249)</f>
        <v>0</v>
      </c>
      <c r="E481" s="50">
        <f t="shared" si="271"/>
        <v>0</v>
      </c>
      <c r="F481" s="50">
        <f t="shared" si="271"/>
        <v>0</v>
      </c>
      <c r="G481" s="50">
        <f t="shared" si="271"/>
        <v>0</v>
      </c>
      <c r="H481" s="50">
        <f t="shared" si="271"/>
        <v>0</v>
      </c>
      <c r="I481" s="50">
        <f t="shared" si="271"/>
        <v>0</v>
      </c>
      <c r="J481" s="50">
        <f t="shared" si="271"/>
        <v>0</v>
      </c>
      <c r="K481" s="50">
        <f t="shared" si="271"/>
        <v>0</v>
      </c>
      <c r="L481" s="48">
        <f t="shared" ca="1" si="271"/>
        <v>0</v>
      </c>
      <c r="M481" s="48">
        <f t="shared" ca="1" si="271"/>
        <v>0</v>
      </c>
      <c r="N481" s="48">
        <f t="shared" ca="1" si="271"/>
        <v>0</v>
      </c>
      <c r="O481" s="48">
        <f t="shared" ca="1" si="271"/>
        <v>0</v>
      </c>
      <c r="P481" s="48">
        <f t="shared" ca="1" si="271"/>
        <v>0</v>
      </c>
      <c r="Q481" s="20">
        <f t="shared" ca="1" si="271"/>
        <v>0</v>
      </c>
      <c r="R481" s="20">
        <f t="shared" ca="1" si="271"/>
        <v>0</v>
      </c>
      <c r="S481" s="20">
        <f t="shared" ca="1" si="271"/>
        <v>0</v>
      </c>
      <c r="T481" s="20">
        <f t="shared" ca="1" si="271"/>
        <v>0</v>
      </c>
      <c r="U481" s="20">
        <f t="shared" ca="1" si="271"/>
        <v>0</v>
      </c>
      <c r="V481" s="20">
        <f t="shared" ca="1" si="271"/>
        <v>0</v>
      </c>
      <c r="W481" s="20">
        <f t="shared" ca="1" si="271"/>
        <v>0</v>
      </c>
      <c r="X481" s="20">
        <f t="shared" ca="1" si="271"/>
        <v>0</v>
      </c>
      <c r="Y481" s="20">
        <f t="shared" ca="1" si="271"/>
        <v>0</v>
      </c>
      <c r="Z481" s="20">
        <f t="shared" ca="1" si="271"/>
        <v>0</v>
      </c>
    </row>
    <row r="482" spans="1:26" x14ac:dyDescent="0.25">
      <c r="A482" s="11" t="s">
        <v>1406</v>
      </c>
      <c r="D482" s="94">
        <f t="shared" ref="D482:K482" si="272">SUM(D$474:D$477)-SUM(D$478:D$481)</f>
        <v>6.0359999999999872</v>
      </c>
      <c r="E482" s="94">
        <f t="shared" si="272"/>
        <v>-14.308000000000007</v>
      </c>
      <c r="F482" s="94">
        <f t="shared" si="272"/>
        <v>-1.0429999999999779</v>
      </c>
      <c r="G482" s="94">
        <f t="shared" si="272"/>
        <v>-8.1340000000000003</v>
      </c>
      <c r="H482" s="94">
        <f t="shared" si="272"/>
        <v>-3.436000000000007</v>
      </c>
      <c r="I482" s="94">
        <f t="shared" si="272"/>
        <v>-6.1020000000000039</v>
      </c>
      <c r="J482" s="94">
        <f t="shared" si="272"/>
        <v>-1.6799999999999784</v>
      </c>
      <c r="K482" s="94">
        <f t="shared" si="272"/>
        <v>-2.1479999999999961</v>
      </c>
      <c r="L482" s="95">
        <f t="shared" ref="L482:Z482" ca="1" si="273">SUM(L$474:L$477)-SUM(L$478:L$481)</f>
        <v>-7.4720000000000084</v>
      </c>
      <c r="M482" s="95">
        <f t="shared" ca="1" si="273"/>
        <v>0.94400000000004525</v>
      </c>
      <c r="N482" s="95">
        <f t="shared" ca="1" si="273"/>
        <v>6.4279999999999973</v>
      </c>
      <c r="O482" s="95">
        <f t="shared" ca="1" si="273"/>
        <v>10.411999999999978</v>
      </c>
      <c r="P482" s="95">
        <f t="shared" ca="1" si="273"/>
        <v>13.621000000000038</v>
      </c>
      <c r="Q482" s="96">
        <f t="shared" ca="1" si="273"/>
        <v>11.697299739268999</v>
      </c>
      <c r="R482" s="96">
        <f t="shared" ca="1" si="273"/>
        <v>10.18419251732368</v>
      </c>
      <c r="S482" s="96">
        <f t="shared" ca="1" si="273"/>
        <v>9.5785363258997336</v>
      </c>
      <c r="T482" s="96">
        <f t="shared" ca="1" si="273"/>
        <v>9.2710029895380046</v>
      </c>
      <c r="U482" s="96">
        <f t="shared" ca="1" si="273"/>
        <v>8.9869781673747866</v>
      </c>
      <c r="V482" s="96">
        <f t="shared" ca="1" si="273"/>
        <v>8.7815716250520381</v>
      </c>
      <c r="W482" s="96">
        <f t="shared" ca="1" si="273"/>
        <v>8.5739889002869063</v>
      </c>
      <c r="X482" s="96">
        <f t="shared" ca="1" si="273"/>
        <v>8.3292385935998539</v>
      </c>
      <c r="Y482" s="96">
        <f t="shared" ca="1" si="273"/>
        <v>8.0921656358693212</v>
      </c>
      <c r="Z482" s="96">
        <f t="shared" ca="1" si="273"/>
        <v>7.7976594440628446</v>
      </c>
    </row>
    <row r="483" spans="1:26" x14ac:dyDescent="0.25">
      <c r="A483" s="12" t="s">
        <v>1188</v>
      </c>
      <c r="B483" s="14" t="str">
        <f>$B$38</f>
        <v>From Fiscal Forecasts</v>
      </c>
      <c r="D483" s="50">
        <f>-'Fiscal Forecasts'!D$395</f>
        <v>3.0019999999999998</v>
      </c>
      <c r="E483" s="50">
        <f>-'Fiscal Forecasts'!E$395</f>
        <v>2.9550000000000001</v>
      </c>
      <c r="F483" s="50">
        <f>-'Fiscal Forecasts'!F$395</f>
        <v>3.137</v>
      </c>
      <c r="G483" s="50">
        <f>-'Fiscal Forecasts'!G$395</f>
        <v>3.4740000000000002</v>
      </c>
      <c r="H483" s="50">
        <f>-'Fiscal Forecasts'!H$395</f>
        <v>4.4349999999999996</v>
      </c>
      <c r="I483" s="50">
        <f>-'Fiscal Forecasts'!I$395</f>
        <v>4.7009999999999996</v>
      </c>
      <c r="J483" s="50">
        <f>-'Fiscal Forecasts'!J$395</f>
        <v>3.669</v>
      </c>
      <c r="K483" s="50">
        <f>-'Fiscal Forecasts'!K$395</f>
        <v>3.9510000000000001</v>
      </c>
      <c r="L483" s="48">
        <f>-'Fiscal Forecasts'!L$395</f>
        <v>4.55</v>
      </c>
      <c r="M483" s="48">
        <f>-'Fiscal Forecasts'!M$395</f>
        <v>4.2439999999999998</v>
      </c>
      <c r="N483" s="48">
        <f>-'Fiscal Forecasts'!N$395</f>
        <v>3.6379999999999999</v>
      </c>
      <c r="O483" s="48">
        <f>-'Fiscal Forecasts'!O$395</f>
        <v>2.8149999999999999</v>
      </c>
      <c r="P483" s="48">
        <f>-'Fiscal Forecasts'!P$395</f>
        <v>2.7480000000000002</v>
      </c>
      <c r="Q483" s="20">
        <f t="shared" ref="Q483:Z483" ca="1" si="274">SUM(Q$417-P$417,Q$215,Q$427-P$427,Q$219)</f>
        <v>3.158094136181139</v>
      </c>
      <c r="R483" s="20">
        <f t="shared" ca="1" si="274"/>
        <v>3.158094136181139</v>
      </c>
      <c r="S483" s="20">
        <f t="shared" ca="1" si="274"/>
        <v>3.158094136181139</v>
      </c>
      <c r="T483" s="20">
        <f t="shared" ca="1" si="274"/>
        <v>3.158094136181139</v>
      </c>
      <c r="U483" s="20">
        <f t="shared" ca="1" si="274"/>
        <v>3.158094136181139</v>
      </c>
      <c r="V483" s="20">
        <f t="shared" ca="1" si="274"/>
        <v>3.158094136181139</v>
      </c>
      <c r="W483" s="20">
        <f t="shared" ca="1" si="274"/>
        <v>3.158094136181139</v>
      </c>
      <c r="X483" s="20">
        <f t="shared" ca="1" si="274"/>
        <v>3.158094136181139</v>
      </c>
      <c r="Y483" s="20">
        <f t="shared" ca="1" si="274"/>
        <v>3.158094136181139</v>
      </c>
      <c r="Z483" s="20">
        <f t="shared" ca="1" si="274"/>
        <v>3.158094136181139</v>
      </c>
    </row>
    <row r="484" spans="1:26" x14ac:dyDescent="0.25">
      <c r="A484" s="12" t="s">
        <v>1407</v>
      </c>
      <c r="B484" s="14" t="str">
        <f>$B$38</f>
        <v>From Fiscal Forecasts</v>
      </c>
      <c r="D484" s="50">
        <f>-'Fiscal Forecasts'!D$396</f>
        <v>8.5999999999999993E-2</v>
      </c>
      <c r="E484" s="50">
        <f>-'Fiscal Forecasts'!E$396</f>
        <v>1.798</v>
      </c>
      <c r="F484" s="50">
        <f>-'Fiscal Forecasts'!F$396</f>
        <v>3.8679999999999999</v>
      </c>
      <c r="G484" s="50">
        <f>-'Fiscal Forecasts'!G$396</f>
        <v>9.1920000000000002</v>
      </c>
      <c r="H484" s="50">
        <f>-'Fiscal Forecasts'!H$396</f>
        <v>9.1590000000000007</v>
      </c>
      <c r="I484" s="50">
        <f>-'Fiscal Forecasts'!I$396</f>
        <v>2.5329999999999999</v>
      </c>
      <c r="J484" s="50">
        <f>-'Fiscal Forecasts'!J$396</f>
        <v>-6.194</v>
      </c>
      <c r="K484" s="50">
        <f>-'Fiscal Forecasts'!K$396</f>
        <v>-5.851</v>
      </c>
      <c r="L484" s="48">
        <f>-'Fiscal Forecasts'!L$396</f>
        <v>3.1070000000000002</v>
      </c>
      <c r="M484" s="48">
        <f>-'Fiscal Forecasts'!M$396</f>
        <v>2.2669999999999999</v>
      </c>
      <c r="N484" s="48">
        <f>-'Fiscal Forecasts'!N$396</f>
        <v>2.2570000000000001</v>
      </c>
      <c r="O484" s="48">
        <f>-'Fiscal Forecasts'!O$396</f>
        <v>1.9950000000000001</v>
      </c>
      <c r="P484" s="48">
        <f>-'Fiscal Forecasts'!P$396</f>
        <v>0.17799999999999999</v>
      </c>
      <c r="Q484" s="20">
        <f t="shared" ref="Q484:Z484" ca="1" si="275">SUM(Q$392-P$392-Q$404+Q$402,Q$393-P$393)</f>
        <v>0.85843999999999943</v>
      </c>
      <c r="R484" s="20">
        <f t="shared" ca="1" si="275"/>
        <v>0.85572880000000118</v>
      </c>
      <c r="S484" s="20">
        <f t="shared" ca="1" si="275"/>
        <v>0.85222337600000087</v>
      </c>
      <c r="T484" s="20">
        <f t="shared" ca="1" si="275"/>
        <v>0.84592784352000239</v>
      </c>
      <c r="U484" s="20">
        <f t="shared" ca="1" si="275"/>
        <v>0.83984640039040104</v>
      </c>
      <c r="V484" s="20">
        <f t="shared" ca="1" si="275"/>
        <v>0.83698332839820877</v>
      </c>
      <c r="W484" s="20">
        <f t="shared" ca="1" si="275"/>
        <v>0.83434299496617392</v>
      </c>
      <c r="X484" s="20">
        <f t="shared" ca="1" si="275"/>
        <v>0.83592985486549598</v>
      </c>
      <c r="Y484" s="20">
        <f t="shared" ca="1" si="275"/>
        <v>0.84374845196280901</v>
      </c>
      <c r="Z484" s="20">
        <f t="shared" ca="1" si="275"/>
        <v>0.8518034210020613</v>
      </c>
    </row>
    <row r="485" spans="1:26" x14ac:dyDescent="0.25">
      <c r="A485" s="12" t="s">
        <v>1408</v>
      </c>
      <c r="B485" s="14" t="str">
        <f>$B$38</f>
        <v>From Fiscal Forecasts</v>
      </c>
      <c r="D485" s="50">
        <f>-'Fiscal Forecasts'!D$397</f>
        <v>2.6579999999999999</v>
      </c>
      <c r="E485" s="50">
        <f>-'Fiscal Forecasts'!E$397</f>
        <v>3.1709999999999998</v>
      </c>
      <c r="F485" s="50">
        <f>-'Fiscal Forecasts'!F$397</f>
        <v>3.5990000000000002</v>
      </c>
      <c r="G485" s="50">
        <f>-'Fiscal Forecasts'!G$397</f>
        <v>3.823</v>
      </c>
      <c r="H485" s="50">
        <f>-'Fiscal Forecasts'!H$397</f>
        <v>6.06</v>
      </c>
      <c r="I485" s="50">
        <f>-'Fiscal Forecasts'!I$397</f>
        <v>4.3520000000000003</v>
      </c>
      <c r="J485" s="50">
        <f>-'Fiscal Forecasts'!J$397</f>
        <v>5.9619999999999997</v>
      </c>
      <c r="K485" s="50">
        <f>-'Fiscal Forecasts'!K$397</f>
        <v>4.6440000000000001</v>
      </c>
      <c r="L485" s="48">
        <f>-'Fiscal Forecasts'!L$397</f>
        <v>6.3</v>
      </c>
      <c r="M485" s="48">
        <f>-'Fiscal Forecasts'!M$397</f>
        <v>5.4260000000000002</v>
      </c>
      <c r="N485" s="48">
        <f>-'Fiscal Forecasts'!N$397</f>
        <v>3.84</v>
      </c>
      <c r="O485" s="48">
        <f>-'Fiscal Forecasts'!O$397</f>
        <v>2.5550000000000002</v>
      </c>
      <c r="P485" s="48">
        <f>-'Fiscal Forecasts'!P$397</f>
        <v>1.756</v>
      </c>
      <c r="Q485" s="20">
        <f t="shared" ref="Q485:Z485" ca="1" si="276">SUM(Q$423-P$423,-Q$340)</f>
        <v>-1.0435308893054404E-2</v>
      </c>
      <c r="R485" s="20">
        <f t="shared" ca="1" si="276"/>
        <v>-1.0879489201897944E-2</v>
      </c>
      <c r="S485" s="20">
        <f t="shared" ca="1" si="276"/>
        <v>-1.1335437084572445E-2</v>
      </c>
      <c r="T485" s="20">
        <f t="shared" ca="1" si="276"/>
        <v>-1.1802086073035397E-2</v>
      </c>
      <c r="U485" s="20">
        <f t="shared" ca="1" si="276"/>
        <v>-1.2285007456109151E-2</v>
      </c>
      <c r="V485" s="20">
        <f t="shared" ca="1" si="276"/>
        <v>-1.2784372979015064E-2</v>
      </c>
      <c r="W485" s="20">
        <f t="shared" ca="1" si="276"/>
        <v>-1.3297663350946046E-2</v>
      </c>
      <c r="X485" s="20">
        <f t="shared" ca="1" si="276"/>
        <v>-1.3825734358114281E-2</v>
      </c>
      <c r="Y485" s="20">
        <f t="shared" ca="1" si="276"/>
        <v>-1.4371347480635113E-2</v>
      </c>
      <c r="Z485" s="20">
        <f t="shared" ca="1" si="276"/>
        <v>-1.4934643440266305E-2</v>
      </c>
    </row>
    <row r="486" spans="1:26" x14ac:dyDescent="0.25">
      <c r="A486" s="12" t="s">
        <v>1409</v>
      </c>
      <c r="D486" s="50">
        <f t="shared" ref="D486:Z486" si="277">D$380</f>
        <v>1</v>
      </c>
      <c r="E486" s="50">
        <f t="shared" si="277"/>
        <v>1.46</v>
      </c>
      <c r="F486" s="50">
        <f t="shared" si="277"/>
        <v>2.12</v>
      </c>
      <c r="G486" s="50">
        <f t="shared" si="277"/>
        <v>2.42</v>
      </c>
      <c r="H486" s="50">
        <f t="shared" si="277"/>
        <v>2.5579999999999998</v>
      </c>
      <c r="I486" s="50">
        <f t="shared" si="277"/>
        <v>1.6140000000000001</v>
      </c>
      <c r="J486" s="50">
        <f t="shared" si="277"/>
        <v>0.879</v>
      </c>
      <c r="K486" s="50">
        <f t="shared" si="277"/>
        <v>0</v>
      </c>
      <c r="L486" s="48">
        <f t="shared" si="277"/>
        <v>0.56200000000000006</v>
      </c>
      <c r="M486" s="48">
        <f t="shared" si="277"/>
        <v>0.155</v>
      </c>
      <c r="N486" s="48">
        <f t="shared" si="277"/>
        <v>0.35</v>
      </c>
      <c r="O486" s="48">
        <f t="shared" si="277"/>
        <v>0.44900000000000001</v>
      </c>
      <c r="P486" s="48">
        <f t="shared" si="277"/>
        <v>0.47299999999999998</v>
      </c>
      <c r="Q486" s="20">
        <f t="shared" si="277"/>
        <v>0.35431289191672377</v>
      </c>
      <c r="R486" s="20">
        <f t="shared" si="277"/>
        <v>0.22475822866131523</v>
      </c>
      <c r="S486" s="20">
        <f t="shared" si="277"/>
        <v>7.8613672750343255E-2</v>
      </c>
      <c r="T486" s="20">
        <f t="shared" si="277"/>
        <v>-5.8113137154620631E-2</v>
      </c>
      <c r="U486" s="20">
        <f t="shared" si="277"/>
        <v>-0.24914726512719909</v>
      </c>
      <c r="V486" s="20">
        <f t="shared" si="277"/>
        <v>-0.40218976675939189</v>
      </c>
      <c r="W486" s="20">
        <f t="shared" si="277"/>
        <v>-0.48609182297989406</v>
      </c>
      <c r="X486" s="20">
        <f t="shared" si="277"/>
        <v>-0.50053159184796669</v>
      </c>
      <c r="Y486" s="20">
        <f t="shared" si="277"/>
        <v>-0.41817925544185641</v>
      </c>
      <c r="Z486" s="20">
        <f t="shared" si="277"/>
        <v>-0.2592683764618755</v>
      </c>
    </row>
    <row r="487" spans="1:26" x14ac:dyDescent="0.25">
      <c r="A487" s="12" t="s">
        <v>1193</v>
      </c>
      <c r="D487" s="50">
        <f t="shared" ref="D487:Z487" si="278">SUM(D$432-C$432,D$435-C$435)</f>
        <v>0</v>
      </c>
      <c r="E487" s="50">
        <f t="shared" si="278"/>
        <v>0</v>
      </c>
      <c r="F487" s="50">
        <f t="shared" si="278"/>
        <v>0</v>
      </c>
      <c r="G487" s="50">
        <f t="shared" si="278"/>
        <v>0</v>
      </c>
      <c r="H487" s="50">
        <f t="shared" si="278"/>
        <v>0</v>
      </c>
      <c r="I487" s="50">
        <f t="shared" si="278"/>
        <v>0</v>
      </c>
      <c r="J487" s="50">
        <f t="shared" si="278"/>
        <v>0</v>
      </c>
      <c r="K487" s="50">
        <f t="shared" si="278"/>
        <v>0</v>
      </c>
      <c r="L487" s="48">
        <f t="shared" si="278"/>
        <v>-6.0000000000000053E-3</v>
      </c>
      <c r="M487" s="48">
        <f t="shared" si="278"/>
        <v>2.3870000000000005</v>
      </c>
      <c r="N487" s="48">
        <f t="shared" si="278"/>
        <v>3.628000000000001</v>
      </c>
      <c r="O487" s="48">
        <f t="shared" si="278"/>
        <v>4.3800000000000008</v>
      </c>
      <c r="P487" s="48">
        <f t="shared" si="278"/>
        <v>5.168000000000001</v>
      </c>
      <c r="Q487" s="20">
        <f t="shared" ca="1" si="278"/>
        <v>5.782</v>
      </c>
      <c r="R487" s="20">
        <f t="shared" ca="1" si="278"/>
        <v>6.7545000000000002</v>
      </c>
      <c r="S487" s="20">
        <f t="shared" ca="1" si="278"/>
        <v>7.4056250000000041</v>
      </c>
      <c r="T487" s="20">
        <f t="shared" ca="1" si="278"/>
        <v>7.707306250000002</v>
      </c>
      <c r="U487" s="20">
        <f t="shared" ca="1" si="278"/>
        <v>8.0926715625000014</v>
      </c>
      <c r="V487" s="20">
        <f t="shared" ca="1" si="278"/>
        <v>8.4973051406250022</v>
      </c>
      <c r="W487" s="20">
        <f t="shared" ca="1" si="278"/>
        <v>8.9221703976562452</v>
      </c>
      <c r="X487" s="20">
        <f t="shared" ca="1" si="278"/>
        <v>9.3682789175390724</v>
      </c>
      <c r="Y487" s="20">
        <f t="shared" ca="1" si="278"/>
        <v>9.8366928634160189</v>
      </c>
      <c r="Z487" s="20">
        <f t="shared" ca="1" si="278"/>
        <v>10.328527506586823</v>
      </c>
    </row>
    <row r="488" spans="1:26" x14ac:dyDescent="0.25">
      <c r="A488" s="11" t="s">
        <v>1410</v>
      </c>
      <c r="D488" s="94">
        <f t="shared" ref="D488:K488" si="279">-SUM(D$483:D$487)</f>
        <v>-6.7459999999999996</v>
      </c>
      <c r="E488" s="94">
        <f t="shared" si="279"/>
        <v>-9.3840000000000003</v>
      </c>
      <c r="F488" s="94">
        <f t="shared" si="279"/>
        <v>-12.724</v>
      </c>
      <c r="G488" s="94">
        <f t="shared" si="279"/>
        <v>-18.908999999999999</v>
      </c>
      <c r="H488" s="94">
        <f t="shared" si="279"/>
        <v>-22.212</v>
      </c>
      <c r="I488" s="94">
        <f t="shared" si="279"/>
        <v>-13.200000000000001</v>
      </c>
      <c r="J488" s="94">
        <f t="shared" si="279"/>
        <v>-4.3159999999999998</v>
      </c>
      <c r="K488" s="94">
        <f t="shared" si="279"/>
        <v>-2.7440000000000002</v>
      </c>
      <c r="L488" s="95">
        <f>-SUM(L$483:L$487)</f>
        <v>-14.513</v>
      </c>
      <c r="M488" s="95">
        <f>-SUM(M$483:M$487)</f>
        <v>-14.478999999999999</v>
      </c>
      <c r="N488" s="95">
        <f>-SUM(N$483:N$487)</f>
        <v>-13.713000000000001</v>
      </c>
      <c r="O488" s="95">
        <f>-SUM(O$483:O$487)</f>
        <v>-12.194000000000001</v>
      </c>
      <c r="P488" s="95">
        <f>-SUM(P$483:P$487)</f>
        <v>-10.323</v>
      </c>
      <c r="Q488" s="96">
        <f t="shared" ref="Q488:Z488" ca="1" si="280">-SUM(Q$483:Q$487)</f>
        <v>-10.142411719204809</v>
      </c>
      <c r="R488" s="96">
        <f t="shared" ca="1" si="280"/>
        <v>-10.982201675640557</v>
      </c>
      <c r="S488" s="96">
        <f t="shared" ca="1" si="280"/>
        <v>-11.483220747846914</v>
      </c>
      <c r="T488" s="96">
        <f t="shared" ca="1" si="280"/>
        <v>-11.641413006473488</v>
      </c>
      <c r="U488" s="96">
        <f t="shared" ca="1" si="280"/>
        <v>-11.829179826488232</v>
      </c>
      <c r="V488" s="96">
        <f t="shared" ca="1" si="280"/>
        <v>-12.077408465465943</v>
      </c>
      <c r="W488" s="96">
        <f t="shared" ca="1" si="280"/>
        <v>-12.415218042472718</v>
      </c>
      <c r="X488" s="96">
        <f t="shared" ca="1" si="280"/>
        <v>-12.847945582379626</v>
      </c>
      <c r="Y488" s="96">
        <f t="shared" ca="1" si="280"/>
        <v>-13.405984848637475</v>
      </c>
      <c r="Z488" s="96">
        <f t="shared" ca="1" si="280"/>
        <v>-14.064222043867883</v>
      </c>
    </row>
    <row r="489" spans="1:26" x14ac:dyDescent="0.25">
      <c r="A489" s="11" t="s">
        <v>1411</v>
      </c>
      <c r="D489" s="94">
        <f t="shared" ref="D489:Z489" si="281">SUM(D$482,D$488)</f>
        <v>-0.7100000000000124</v>
      </c>
      <c r="E489" s="94">
        <f t="shared" si="281"/>
        <v>-23.692000000000007</v>
      </c>
      <c r="F489" s="94">
        <f t="shared" si="281"/>
        <v>-13.766999999999978</v>
      </c>
      <c r="G489" s="94">
        <f t="shared" si="281"/>
        <v>-27.042999999999999</v>
      </c>
      <c r="H489" s="94">
        <f t="shared" si="281"/>
        <v>-25.648000000000007</v>
      </c>
      <c r="I489" s="94">
        <f t="shared" si="281"/>
        <v>-19.302000000000007</v>
      </c>
      <c r="J489" s="94">
        <f t="shared" si="281"/>
        <v>-5.9959999999999782</v>
      </c>
      <c r="K489" s="94">
        <f t="shared" si="281"/>
        <v>-4.8919999999999959</v>
      </c>
      <c r="L489" s="95">
        <f t="shared" ca="1" si="281"/>
        <v>-21.985000000000007</v>
      </c>
      <c r="M489" s="95">
        <f t="shared" ca="1" si="281"/>
        <v>-13.534999999999954</v>
      </c>
      <c r="N489" s="95">
        <f t="shared" ca="1" si="281"/>
        <v>-7.2850000000000037</v>
      </c>
      <c r="O489" s="95">
        <f t="shared" ca="1" si="281"/>
        <v>-1.7820000000000231</v>
      </c>
      <c r="P489" s="95">
        <f t="shared" ca="1" si="281"/>
        <v>3.2980000000000373</v>
      </c>
      <c r="Q489" s="96">
        <f t="shared" ca="1" si="281"/>
        <v>1.5548880200641904</v>
      </c>
      <c r="R489" s="96">
        <f t="shared" ca="1" si="281"/>
        <v>-0.79800915831687647</v>
      </c>
      <c r="S489" s="96">
        <f t="shared" ca="1" si="281"/>
        <v>-1.9046844219471808</v>
      </c>
      <c r="T489" s="96">
        <f t="shared" ca="1" si="281"/>
        <v>-2.3704100169354838</v>
      </c>
      <c r="U489" s="96">
        <f t="shared" ca="1" si="281"/>
        <v>-2.8422016591134458</v>
      </c>
      <c r="V489" s="96">
        <f t="shared" ca="1" si="281"/>
        <v>-3.2958368404139051</v>
      </c>
      <c r="W489" s="96">
        <f t="shared" ca="1" si="281"/>
        <v>-3.8412291421858118</v>
      </c>
      <c r="X489" s="96">
        <f t="shared" ca="1" si="281"/>
        <v>-4.5187069887797726</v>
      </c>
      <c r="Y489" s="96">
        <f t="shared" ca="1" si="281"/>
        <v>-5.3138192127681538</v>
      </c>
      <c r="Z489" s="96">
        <f t="shared" ca="1" si="281"/>
        <v>-6.266562599805038</v>
      </c>
    </row>
    <row r="490" spans="1:26" x14ac:dyDescent="0.25">
      <c r="A490" s="11" t="s">
        <v>1412</v>
      </c>
      <c r="B490" s="14" t="str">
        <f>$B$62</f>
        <v>Projected Years only</v>
      </c>
      <c r="Q490" s="97" t="str">
        <f t="shared" ref="Q490:Z490" ca="1" si="282">IF(ROUND(SUM(Q$489,Q$78-P$78,Q$494),3)=0,"OK","ERROR")</f>
        <v>OK</v>
      </c>
      <c r="R490" s="97" t="str">
        <f t="shared" ca="1" si="282"/>
        <v>OK</v>
      </c>
      <c r="S490" s="97" t="str">
        <f t="shared" ca="1" si="282"/>
        <v>OK</v>
      </c>
      <c r="T490" s="97" t="str">
        <f t="shared" ca="1" si="282"/>
        <v>OK</v>
      </c>
      <c r="U490" s="97" t="str">
        <f t="shared" ca="1" si="282"/>
        <v>OK</v>
      </c>
      <c r="V490" s="97" t="str">
        <f t="shared" ca="1" si="282"/>
        <v>OK</v>
      </c>
      <c r="W490" s="97" t="str">
        <f t="shared" ca="1" si="282"/>
        <v>OK</v>
      </c>
      <c r="X490" s="97" t="str">
        <f t="shared" ca="1" si="282"/>
        <v>OK</v>
      </c>
      <c r="Y490" s="97" t="str">
        <f t="shared" ca="1" si="282"/>
        <v>OK</v>
      </c>
      <c r="Z490" s="97" t="str">
        <f t="shared" ca="1" si="282"/>
        <v>OK</v>
      </c>
    </row>
    <row r="491" spans="1:26" x14ac:dyDescent="0.25">
      <c r="A491" s="11"/>
    </row>
    <row r="492" spans="1:26" x14ac:dyDescent="0.25">
      <c r="A492" s="11" t="s">
        <v>1123</v>
      </c>
      <c r="B492" s="14" t="str">
        <f>$B$38</f>
        <v>From Fiscal Forecasts</v>
      </c>
      <c r="D492" s="51">
        <f>'Fiscal Forecasts'!D$401</f>
        <v>-4.9580000000000002</v>
      </c>
      <c r="E492" s="51">
        <f>'Fiscal Forecasts'!E$401</f>
        <v>33.061999999999998</v>
      </c>
      <c r="F492" s="51">
        <f>'Fiscal Forecasts'!F$401</f>
        <v>3.8090000000000002</v>
      </c>
      <c r="G492" s="51">
        <f>'Fiscal Forecasts'!G$401</f>
        <v>28.693999999999999</v>
      </c>
      <c r="H492" s="51">
        <f>'Fiscal Forecasts'!H$401</f>
        <v>22.715</v>
      </c>
      <c r="I492" s="51">
        <f>'Fiscal Forecasts'!I$401</f>
        <v>25.202999999999999</v>
      </c>
      <c r="J492" s="51">
        <f>'Fiscal Forecasts'!J$401</f>
        <v>21.693999999999999</v>
      </c>
      <c r="K492" s="51">
        <f>'Fiscal Forecasts'!K$401</f>
        <v>11.654</v>
      </c>
      <c r="L492" s="47">
        <f>'Fiscal Forecasts'!L$401</f>
        <v>18.459</v>
      </c>
      <c r="M492" s="47">
        <f>'Fiscal Forecasts'!M$401</f>
        <v>14.315</v>
      </c>
      <c r="N492" s="47">
        <f>'Fiscal Forecasts'!N$401</f>
        <v>8.83</v>
      </c>
      <c r="O492" s="47">
        <f>'Fiscal Forecasts'!O$401</f>
        <v>1.5569999999999999</v>
      </c>
      <c r="P492" s="47">
        <f>'Fiscal Forecasts'!P$401</f>
        <v>-5.915</v>
      </c>
      <c r="Q492" s="21">
        <f t="shared" ref="Q492:Z492" ca="1" si="283">-SUM(Q$482,Q$488,Q$496)</f>
        <v>1.032580849310567</v>
      </c>
      <c r="R492" s="21">
        <f t="shared" ca="1" si="283"/>
        <v>3.438287042868529</v>
      </c>
      <c r="S492" s="21">
        <f t="shared" ca="1" si="283"/>
        <v>4.6162621719620232</v>
      </c>
      <c r="T492" s="21">
        <f t="shared" ca="1" si="283"/>
        <v>5.1463653215105065</v>
      </c>
      <c r="U492" s="21">
        <f t="shared" ca="1" si="283"/>
        <v>5.7181771492758102</v>
      </c>
      <c r="V492" s="21">
        <f t="shared" ca="1" si="283"/>
        <v>6.2728472553876697</v>
      </c>
      <c r="W492" s="21">
        <f t="shared" ca="1" si="283"/>
        <v>6.9030304127811899</v>
      </c>
      <c r="X492" s="21">
        <f t="shared" ca="1" si="283"/>
        <v>7.6706969724941283</v>
      </c>
      <c r="Y492" s="21">
        <f t="shared" ca="1" si="283"/>
        <v>8.5736147983945656</v>
      </c>
      <c r="Z492" s="21">
        <f t="shared" ca="1" si="283"/>
        <v>9.6349724383232633</v>
      </c>
    </row>
    <row r="493" spans="1:26" x14ac:dyDescent="0.25">
      <c r="A493" s="12" t="s">
        <v>1413</v>
      </c>
      <c r="B493" s="14" t="str">
        <f>$B$38</f>
        <v>From Fiscal Forecasts</v>
      </c>
      <c r="D493" s="50">
        <f>-'Fiscal Forecasts'!D$402</f>
        <v>-5.1630000000000003</v>
      </c>
      <c r="E493" s="50">
        <f>-'Fiscal Forecasts'!E$402</f>
        <v>14.911</v>
      </c>
      <c r="F493" s="50">
        <f>-'Fiscal Forecasts'!F$402</f>
        <v>-6.0419999999999998</v>
      </c>
      <c r="G493" s="50">
        <f>-'Fiscal Forecasts'!G$402</f>
        <v>2.8000000000000001E-2</v>
      </c>
      <c r="H493" s="50">
        <f>-'Fiscal Forecasts'!H$402</f>
        <v>-2.7749999999999999</v>
      </c>
      <c r="I493" s="50">
        <f>-'Fiscal Forecasts'!I$402</f>
        <v>8.4169999999999998</v>
      </c>
      <c r="J493" s="50">
        <f>-'Fiscal Forecasts'!J$402</f>
        <v>8.8219999999999992</v>
      </c>
      <c r="K493" s="50">
        <f>-'Fiscal Forecasts'!K$402</f>
        <v>3.7349999999999999</v>
      </c>
      <c r="L493" s="48">
        <f>-'Fiscal Forecasts'!L$402</f>
        <v>-3.702</v>
      </c>
      <c r="M493" s="48">
        <f>-'Fiscal Forecasts'!M$402</f>
        <v>0.80700000000000005</v>
      </c>
      <c r="N493" s="48">
        <f>-'Fiscal Forecasts'!N$402</f>
        <v>1.5580000000000001</v>
      </c>
      <c r="O493" s="48">
        <f>-'Fiscal Forecasts'!O$402</f>
        <v>-0.224</v>
      </c>
      <c r="P493" s="48">
        <f>-'Fiscal Forecasts'!P$402</f>
        <v>-2.6150000000000002</v>
      </c>
      <c r="Q493" s="20">
        <f t="shared" ref="Q493:Z493" ca="1" si="284">SUM(Q$358-P$358,Q$367-P$367)</f>
        <v>2.0244344787687387</v>
      </c>
      <c r="R493" s="20">
        <f t="shared" ca="1" si="284"/>
        <v>2.0656916188983576</v>
      </c>
      <c r="S493" s="20">
        <f t="shared" ca="1" si="284"/>
        <v>2.1204175447294125</v>
      </c>
      <c r="T493" s="20">
        <f t="shared" ca="1" si="284"/>
        <v>2.1701837862760112</v>
      </c>
      <c r="U493" s="20">
        <f t="shared" ca="1" si="284"/>
        <v>2.2458596964811601</v>
      </c>
      <c r="V493" s="20">
        <f t="shared" ca="1" si="284"/>
        <v>2.322334319860393</v>
      </c>
      <c r="W493" s="20">
        <f t="shared" ca="1" si="284"/>
        <v>2.3870928049909033</v>
      </c>
      <c r="X493" s="20">
        <f t="shared" ca="1" si="284"/>
        <v>2.4558311838062084</v>
      </c>
      <c r="Y493" s="20">
        <f t="shared" ca="1" si="284"/>
        <v>2.5374120192015353</v>
      </c>
      <c r="Z493" s="20">
        <f t="shared" ca="1" si="284"/>
        <v>2.6196472909818569</v>
      </c>
    </row>
    <row r="494" spans="1:26" x14ac:dyDescent="0.25">
      <c r="A494" s="12" t="s">
        <v>914</v>
      </c>
      <c r="D494" s="50">
        <f t="shared" ref="D494:Z494" si="285">D$107</f>
        <v>0.437</v>
      </c>
      <c r="E494" s="50">
        <f t="shared" si="285"/>
        <v>1.2090000000000001</v>
      </c>
      <c r="F494" s="50">
        <f t="shared" si="285"/>
        <v>0.23400000000000001</v>
      </c>
      <c r="G494" s="50">
        <f t="shared" si="285"/>
        <v>0.80500000000000005</v>
      </c>
      <c r="H494" s="50">
        <f t="shared" si="285"/>
        <v>-5.8999999999999997E-2</v>
      </c>
      <c r="I494" s="50">
        <f t="shared" si="285"/>
        <v>-2.4E-2</v>
      </c>
      <c r="J494" s="50">
        <f t="shared" si="285"/>
        <v>0.17499999999999999</v>
      </c>
      <c r="K494" s="50">
        <f t="shared" si="285"/>
        <v>1.1100000000000001</v>
      </c>
      <c r="L494" s="48">
        <f t="shared" si="285"/>
        <v>-0.45600000000000002</v>
      </c>
      <c r="M494" s="48">
        <f t="shared" si="285"/>
        <v>9.8000000000000004E-2</v>
      </c>
      <c r="N494" s="48">
        <f t="shared" si="285"/>
        <v>9.9000000000000005E-2</v>
      </c>
      <c r="O494" s="48">
        <f t="shared" si="285"/>
        <v>0.1</v>
      </c>
      <c r="P494" s="48">
        <f t="shared" si="285"/>
        <v>0.10100000000000001</v>
      </c>
      <c r="Q494" s="20">
        <f t="shared" ca="1" si="285"/>
        <v>0.20407999999999937</v>
      </c>
      <c r="R494" s="20">
        <f t="shared" ca="1" si="285"/>
        <v>0.20816160000000039</v>
      </c>
      <c r="S494" s="20">
        <f t="shared" ca="1" si="285"/>
        <v>0.21232483200000019</v>
      </c>
      <c r="T494" s="20">
        <f t="shared" ca="1" si="285"/>
        <v>0.21657132864000062</v>
      </c>
      <c r="U494" s="20">
        <f t="shared" ca="1" si="285"/>
        <v>0.22090275521279956</v>
      </c>
      <c r="V494" s="20">
        <f t="shared" ca="1" si="285"/>
        <v>0.22532081031705609</v>
      </c>
      <c r="W494" s="20">
        <f t="shared" ca="1" si="285"/>
        <v>0.2298272265233976</v>
      </c>
      <c r="X494" s="20">
        <f t="shared" ca="1" si="285"/>
        <v>0.23442377105386569</v>
      </c>
      <c r="Y494" s="20">
        <f t="shared" ca="1" si="285"/>
        <v>0.23911224647494222</v>
      </c>
      <c r="Z494" s="20">
        <f t="shared" ca="1" si="285"/>
        <v>0.24389449140444164</v>
      </c>
    </row>
    <row r="495" spans="1:26" x14ac:dyDescent="0.25">
      <c r="A495" s="12" t="s">
        <v>921</v>
      </c>
      <c r="B495" s="14" t="str">
        <f>$B$38</f>
        <v>From Fiscal Forecasts</v>
      </c>
      <c r="D495" s="50">
        <f>-'Fiscal Forecasts'!D$403</f>
        <v>-6.8000000000000005E-2</v>
      </c>
      <c r="E495" s="50">
        <f>-'Fiscal Forecasts'!E$403</f>
        <v>-4.3319999999999999</v>
      </c>
      <c r="F495" s="50">
        <f>-'Fiscal Forecasts'!F$403</f>
        <v>-3.6819999999999999</v>
      </c>
      <c r="G495" s="50">
        <f>-'Fiscal Forecasts'!G$403</f>
        <v>2.4279999999999999</v>
      </c>
      <c r="H495" s="50">
        <f>-'Fiscal Forecasts'!H$403</f>
        <v>-0.217</v>
      </c>
      <c r="I495" s="50">
        <f>-'Fiscal Forecasts'!I$403</f>
        <v>-2.54</v>
      </c>
      <c r="J495" s="50">
        <f>-'Fiscal Forecasts'!J$403</f>
        <v>7.0510000000000002</v>
      </c>
      <c r="K495" s="50">
        <f>-'Fiscal Forecasts'!K$403</f>
        <v>4.1369999999999996</v>
      </c>
      <c r="L495" s="48">
        <f>-'Fiscal Forecasts'!L$403</f>
        <v>-0.28000000000000003</v>
      </c>
      <c r="M495" s="48">
        <f>-'Fiscal Forecasts'!M$403</f>
        <v>7.0999999999999994E-2</v>
      </c>
      <c r="N495" s="48">
        <f>-'Fiscal Forecasts'!N$403</f>
        <v>8.5999999999999993E-2</v>
      </c>
      <c r="O495" s="48">
        <f>-'Fiscal Forecasts'!O$403</f>
        <v>9.9000000000000005E-2</v>
      </c>
      <c r="P495" s="48">
        <f>-'Fiscal Forecasts'!P$403</f>
        <v>9.9000000000000005E-2</v>
      </c>
      <c r="Q495" s="20">
        <f t="shared" ref="Q495:Z495" ca="1" si="286">Q$345-P$345</f>
        <v>0.76711439060601805</v>
      </c>
      <c r="R495" s="20">
        <f t="shared" ca="1" si="286"/>
        <v>0.78274786565329535</v>
      </c>
      <c r="S495" s="20">
        <f t="shared" ca="1" si="286"/>
        <v>0.80348503728543008</v>
      </c>
      <c r="T495" s="20">
        <f t="shared" ca="1" si="286"/>
        <v>0.82234284693901216</v>
      </c>
      <c r="U495" s="20">
        <f t="shared" ca="1" si="286"/>
        <v>0.85101854889400386</v>
      </c>
      <c r="V495" s="20">
        <f t="shared" ca="1" si="286"/>
        <v>0.87999690543042774</v>
      </c>
      <c r="W495" s="20">
        <f t="shared" ca="1" si="286"/>
        <v>0.90453569212787244</v>
      </c>
      <c r="X495" s="20">
        <f t="shared" ca="1" si="286"/>
        <v>0.93058257096201302</v>
      </c>
      <c r="Y495" s="20">
        <f t="shared" ca="1" si="286"/>
        <v>0.96149581289981967</v>
      </c>
      <c r="Z495" s="20">
        <f t="shared" ca="1" si="286"/>
        <v>0.99265703894080914</v>
      </c>
    </row>
    <row r="496" spans="1:26" x14ac:dyDescent="0.25">
      <c r="A496" s="11" t="s">
        <v>1414</v>
      </c>
      <c r="D496" s="94">
        <f t="shared" ref="D496:Z496" si="287">SUM(-D$493,D$494,-D$495)</f>
        <v>5.6680000000000001</v>
      </c>
      <c r="E496" s="94">
        <f t="shared" si="287"/>
        <v>-9.370000000000001</v>
      </c>
      <c r="F496" s="94">
        <f t="shared" si="287"/>
        <v>9.9580000000000002</v>
      </c>
      <c r="G496" s="94">
        <f t="shared" si="287"/>
        <v>-1.6509999999999998</v>
      </c>
      <c r="H496" s="94">
        <f t="shared" si="287"/>
        <v>2.9329999999999998</v>
      </c>
      <c r="I496" s="94">
        <f t="shared" si="287"/>
        <v>-5.9009999999999989</v>
      </c>
      <c r="J496" s="94">
        <f t="shared" si="287"/>
        <v>-15.697999999999999</v>
      </c>
      <c r="K496" s="94">
        <f t="shared" si="287"/>
        <v>-6.7619999999999996</v>
      </c>
      <c r="L496" s="95">
        <f t="shared" si="287"/>
        <v>3.5259999999999998</v>
      </c>
      <c r="M496" s="95">
        <f t="shared" si="287"/>
        <v>-0.78</v>
      </c>
      <c r="N496" s="95">
        <f t="shared" si="287"/>
        <v>-1.5450000000000002</v>
      </c>
      <c r="O496" s="95">
        <f t="shared" si="287"/>
        <v>0.22500000000000001</v>
      </c>
      <c r="P496" s="95">
        <f t="shared" si="287"/>
        <v>2.617</v>
      </c>
      <c r="Q496" s="96">
        <f t="shared" ca="1" si="287"/>
        <v>-2.5874688693747574</v>
      </c>
      <c r="R496" s="96">
        <f t="shared" ca="1" si="287"/>
        <v>-2.6402778845516526</v>
      </c>
      <c r="S496" s="96">
        <f t="shared" ca="1" si="287"/>
        <v>-2.7115777500148424</v>
      </c>
      <c r="T496" s="96">
        <f t="shared" ca="1" si="287"/>
        <v>-2.7759553045750227</v>
      </c>
      <c r="U496" s="96">
        <f t="shared" ca="1" si="287"/>
        <v>-2.8759754901623644</v>
      </c>
      <c r="V496" s="96">
        <f t="shared" ca="1" si="287"/>
        <v>-2.9770104149737646</v>
      </c>
      <c r="W496" s="96">
        <f t="shared" ca="1" si="287"/>
        <v>-3.0618012705953781</v>
      </c>
      <c r="X496" s="96">
        <f t="shared" ca="1" si="287"/>
        <v>-3.1519899837143557</v>
      </c>
      <c r="Y496" s="96">
        <f t="shared" ca="1" si="287"/>
        <v>-3.2597955856264127</v>
      </c>
      <c r="Z496" s="96">
        <f t="shared" ca="1" si="287"/>
        <v>-3.3684098385182244</v>
      </c>
    </row>
    <row r="497" spans="1:26" x14ac:dyDescent="0.25">
      <c r="A497" s="11" t="s">
        <v>1415</v>
      </c>
      <c r="D497" s="97" t="str">
        <f t="shared" ref="D497:Z497" si="288">IF(ROUND(SUM(D$489,D$492,D$496),3)=0,"OK","ERROR")</f>
        <v>OK</v>
      </c>
      <c r="E497" s="97" t="str">
        <f t="shared" si="288"/>
        <v>OK</v>
      </c>
      <c r="F497" s="97" t="str">
        <f t="shared" si="288"/>
        <v>OK</v>
      </c>
      <c r="G497" s="97" t="str">
        <f t="shared" si="288"/>
        <v>OK</v>
      </c>
      <c r="H497" s="97" t="str">
        <f t="shared" si="288"/>
        <v>OK</v>
      </c>
      <c r="I497" s="97" t="str">
        <f t="shared" si="288"/>
        <v>OK</v>
      </c>
      <c r="J497" s="97" t="str">
        <f t="shared" si="288"/>
        <v>OK</v>
      </c>
      <c r="K497" s="97" t="str">
        <f t="shared" si="288"/>
        <v>OK</v>
      </c>
      <c r="L497" s="97" t="str">
        <f t="shared" ca="1" si="288"/>
        <v>OK</v>
      </c>
      <c r="M497" s="97" t="str">
        <f t="shared" ca="1" si="288"/>
        <v>OK</v>
      </c>
      <c r="N497" s="97" t="str">
        <f t="shared" ca="1" si="288"/>
        <v>OK</v>
      </c>
      <c r="O497" s="97" t="str">
        <f t="shared" ca="1" si="288"/>
        <v>OK</v>
      </c>
      <c r="P497" s="97" t="str">
        <f t="shared" ca="1" si="288"/>
        <v>OK</v>
      </c>
      <c r="Q497" s="97" t="str">
        <f t="shared" ca="1" si="288"/>
        <v>OK</v>
      </c>
      <c r="R497" s="97" t="str">
        <f t="shared" ca="1" si="288"/>
        <v>OK</v>
      </c>
      <c r="S497" s="97" t="str">
        <f t="shared" ca="1" si="288"/>
        <v>OK</v>
      </c>
      <c r="T497" s="97" t="str">
        <f t="shared" ca="1" si="288"/>
        <v>OK</v>
      </c>
      <c r="U497" s="97" t="str">
        <f t="shared" ca="1" si="288"/>
        <v>OK</v>
      </c>
      <c r="V497" s="97" t="str">
        <f t="shared" ca="1" si="288"/>
        <v>OK</v>
      </c>
      <c r="W497" s="97" t="str">
        <f t="shared" ca="1" si="288"/>
        <v>OK</v>
      </c>
      <c r="X497" s="97" t="str">
        <f t="shared" ca="1" si="288"/>
        <v>OK</v>
      </c>
      <c r="Y497" s="97" t="str">
        <f t="shared" ca="1" si="288"/>
        <v>OK</v>
      </c>
      <c r="Z497" s="97" t="str">
        <f t="shared" ca="1" si="288"/>
        <v>OK</v>
      </c>
    </row>
    <row r="499" spans="1:26" x14ac:dyDescent="0.25">
      <c r="A499" s="57" t="s">
        <v>1416</v>
      </c>
      <c r="B499" s="14" t="str">
        <f>$B$62</f>
        <v>Projected Years only</v>
      </c>
    </row>
    <row r="500" spans="1:26" x14ac:dyDescent="0.25">
      <c r="A500" s="12" t="s">
        <v>1417</v>
      </c>
      <c r="Q500" s="20">
        <f t="shared" ref="Q500:Z500" ca="1" si="289">Q$482-Q$376+Q$375-Q$377</f>
        <v>11.914864767628707</v>
      </c>
      <c r="R500" s="20">
        <f t="shared" ca="1" si="289"/>
        <v>10.41510869431548</v>
      </c>
      <c r="S500" s="20">
        <f t="shared" ca="1" si="289"/>
        <v>9.8233571627001819</v>
      </c>
      <c r="T500" s="20">
        <f t="shared" ca="1" si="289"/>
        <v>9.5303064685940004</v>
      </c>
      <c r="U500" s="20">
        <f t="shared" ca="1" si="289"/>
        <v>9.2613430247477506</v>
      </c>
      <c r="V500" s="20">
        <f t="shared" ca="1" si="289"/>
        <v>9.0715894596146871</v>
      </c>
      <c r="W500" s="20">
        <f t="shared" ca="1" si="289"/>
        <v>8.8803754918245925</v>
      </c>
      <c r="X500" s="20">
        <f t="shared" ca="1" si="289"/>
        <v>8.652870630399299</v>
      </c>
      <c r="Y500" s="20">
        <f t="shared" ca="1" si="289"/>
        <v>8.4341117440623439</v>
      </c>
      <c r="Z500" s="20">
        <f t="shared" ca="1" si="289"/>
        <v>8.1592013759421889</v>
      </c>
    </row>
    <row r="501" spans="1:26" x14ac:dyDescent="0.25">
      <c r="A501" s="12" t="s">
        <v>1418</v>
      </c>
      <c r="Q501" s="20">
        <f t="shared" ref="Q501:Z501" ca="1" si="290">Q$488+Q$486-Q$493-SUM(Q$357-P$357,Q$366-P$366,Q$388-P$388,Q$391-P$391,-Q$331)</f>
        <v>-12.357439894115707</v>
      </c>
      <c r="R501" s="20">
        <f t="shared" ca="1" si="290"/>
        <v>-13.33255609308857</v>
      </c>
      <c r="S501" s="20">
        <f t="shared" ca="1" si="290"/>
        <v>-13.904393727432335</v>
      </c>
      <c r="T501" s="20">
        <f t="shared" ca="1" si="290"/>
        <v>-14.12921551361466</v>
      </c>
      <c r="U501" s="20">
        <f t="shared" ca="1" si="290"/>
        <v>-14.409874709852188</v>
      </c>
      <c r="V501" s="20">
        <f t="shared" ca="1" si="290"/>
        <v>-14.752769391560557</v>
      </c>
      <c r="W501" s="20">
        <f t="shared" ca="1" si="290"/>
        <v>-15.174860628285535</v>
      </c>
      <c r="X501" s="20">
        <f t="shared" ca="1" si="290"/>
        <v>-15.697380922200157</v>
      </c>
      <c r="Y501" s="20">
        <f t="shared" ca="1" si="290"/>
        <v>-16.360001422096644</v>
      </c>
      <c r="Z501" s="20">
        <f t="shared" ca="1" si="290"/>
        <v>-17.125548834826915</v>
      </c>
    </row>
    <row r="502" spans="1:26" x14ac:dyDescent="0.25">
      <c r="A502" s="12" t="s">
        <v>914</v>
      </c>
      <c r="Q502" s="20">
        <f t="shared" ref="Q502:Z502" ca="1" si="291">Q$494</f>
        <v>0.20407999999999937</v>
      </c>
      <c r="R502" s="20">
        <f t="shared" ca="1" si="291"/>
        <v>0.20816160000000039</v>
      </c>
      <c r="S502" s="20">
        <f t="shared" ca="1" si="291"/>
        <v>0.21232483200000019</v>
      </c>
      <c r="T502" s="20">
        <f t="shared" ca="1" si="291"/>
        <v>0.21657132864000062</v>
      </c>
      <c r="U502" s="20">
        <f t="shared" ca="1" si="291"/>
        <v>0.22090275521279956</v>
      </c>
      <c r="V502" s="20">
        <f t="shared" ca="1" si="291"/>
        <v>0.22532081031705609</v>
      </c>
      <c r="W502" s="20">
        <f t="shared" ca="1" si="291"/>
        <v>0.2298272265233976</v>
      </c>
      <c r="X502" s="20">
        <f t="shared" ca="1" si="291"/>
        <v>0.23442377105386569</v>
      </c>
      <c r="Y502" s="20">
        <f t="shared" ca="1" si="291"/>
        <v>0.23911224647494222</v>
      </c>
      <c r="Z502" s="20">
        <f t="shared" ca="1" si="291"/>
        <v>0.24389449140444164</v>
      </c>
    </row>
    <row r="503" spans="1:26" x14ac:dyDescent="0.25">
      <c r="A503" s="12" t="s">
        <v>1419</v>
      </c>
      <c r="Q503" s="20">
        <f t="shared" ref="Q503:Z503" ca="1" si="292">SUM(Q$495,Q$344-P$344)-SUM(Q$500:Q$502)</f>
        <v>1.2104264007851704</v>
      </c>
      <c r="R503" s="20">
        <f t="shared" ca="1" si="292"/>
        <v>3.7272782743458568</v>
      </c>
      <c r="S503" s="20">
        <f t="shared" ca="1" si="292"/>
        <v>4.9170179758755808</v>
      </c>
      <c r="T503" s="20">
        <f t="shared" ca="1" si="292"/>
        <v>5.4599216540923265</v>
      </c>
      <c r="U503" s="20">
        <f t="shared" ca="1" si="292"/>
        <v>6.043321213895279</v>
      </c>
      <c r="V503" s="20">
        <f t="shared" ca="1" si="292"/>
        <v>6.6116403179367973</v>
      </c>
      <c r="W503" s="20">
        <f t="shared" ca="1" si="292"/>
        <v>7.2587845233747812</v>
      </c>
      <c r="X503" s="20">
        <f t="shared" ca="1" si="292"/>
        <v>8.0469313908607987</v>
      </c>
      <c r="Y503" s="20">
        <f t="shared" ca="1" si="292"/>
        <v>8.9750472167128486</v>
      </c>
      <c r="Z503" s="20">
        <f t="shared" ca="1" si="292"/>
        <v>10.065865652090345</v>
      </c>
    </row>
    <row r="504" spans="1:26" x14ac:dyDescent="0.25">
      <c r="A504" s="11" t="s">
        <v>1420</v>
      </c>
      <c r="Q504" s="96">
        <f t="shared" ref="Q504:Z504" ca="1" si="293">SUM(Q$500:Q$503)</f>
        <v>0.97193127429816961</v>
      </c>
      <c r="R504" s="96">
        <f t="shared" ca="1" si="293"/>
        <v>1.017992475572767</v>
      </c>
      <c r="S504" s="96">
        <f t="shared" ca="1" si="293"/>
        <v>1.0483062431434274</v>
      </c>
      <c r="T504" s="96">
        <f t="shared" ca="1" si="293"/>
        <v>1.0775839377116672</v>
      </c>
      <c r="U504" s="96">
        <f t="shared" ca="1" si="293"/>
        <v>1.1156922840036412</v>
      </c>
      <c r="V504" s="96">
        <f t="shared" ca="1" si="293"/>
        <v>1.1557811963079834</v>
      </c>
      <c r="W504" s="96">
        <f t="shared" ca="1" si="293"/>
        <v>1.1941266134372368</v>
      </c>
      <c r="X504" s="96">
        <f t="shared" ca="1" si="293"/>
        <v>1.2368448701138064</v>
      </c>
      <c r="Y504" s="96">
        <f t="shared" ca="1" si="293"/>
        <v>1.2882697851534903</v>
      </c>
      <c r="Z504" s="96">
        <f t="shared" ca="1" si="293"/>
        <v>1.34341268461006</v>
      </c>
    </row>
    <row r="505" spans="1:26" x14ac:dyDescent="0.25">
      <c r="A505" s="57" t="s">
        <v>1198</v>
      </c>
    </row>
    <row r="506" spans="1:26" x14ac:dyDescent="0.25">
      <c r="A506" s="11" t="s">
        <v>1187</v>
      </c>
      <c r="Q506" s="21">
        <f t="shared" ref="Q506:Z506" ca="1" si="294">Q$500</f>
        <v>11.914864767628707</v>
      </c>
      <c r="R506" s="21">
        <f t="shared" ca="1" si="294"/>
        <v>10.41510869431548</v>
      </c>
      <c r="S506" s="21">
        <f t="shared" ca="1" si="294"/>
        <v>9.8233571627001819</v>
      </c>
      <c r="T506" s="21">
        <f t="shared" ca="1" si="294"/>
        <v>9.5303064685940004</v>
      </c>
      <c r="U506" s="21">
        <f t="shared" ca="1" si="294"/>
        <v>9.2613430247477506</v>
      </c>
      <c r="V506" s="21">
        <f t="shared" ca="1" si="294"/>
        <v>9.0715894596146871</v>
      </c>
      <c r="W506" s="21">
        <f t="shared" ca="1" si="294"/>
        <v>8.8803754918245925</v>
      </c>
      <c r="X506" s="21">
        <f t="shared" ca="1" si="294"/>
        <v>8.652870630399299</v>
      </c>
      <c r="Y506" s="21">
        <f t="shared" ca="1" si="294"/>
        <v>8.4341117440623439</v>
      </c>
      <c r="Z506" s="21">
        <f t="shared" ca="1" si="294"/>
        <v>8.1592013759421889</v>
      </c>
    </row>
    <row r="507" spans="1:26" x14ac:dyDescent="0.25">
      <c r="A507" s="11" t="s">
        <v>880</v>
      </c>
      <c r="Q507" s="21">
        <f t="shared" ref="Q507:Z507" ca="1" si="295">Q$333</f>
        <v>7.14676994238296</v>
      </c>
      <c r="R507" s="21">
        <f t="shared" ca="1" si="295"/>
        <v>7.5909943092414061</v>
      </c>
      <c r="S507" s="21">
        <f t="shared" ca="1" si="295"/>
        <v>8.0536939626018853</v>
      </c>
      <c r="T507" s="21">
        <f t="shared" ca="1" si="295"/>
        <v>8.5356870366084792</v>
      </c>
      <c r="U507" s="21">
        <f t="shared" ca="1" si="295"/>
        <v>9.0369976447940612</v>
      </c>
      <c r="V507" s="21">
        <f t="shared" ca="1" si="295"/>
        <v>9.5580552593842008</v>
      </c>
      <c r="W507" s="21">
        <f t="shared" ca="1" si="295"/>
        <v>10.103015938972028</v>
      </c>
      <c r="X507" s="21">
        <f t="shared" ca="1" si="295"/>
        <v>10.677265252733729</v>
      </c>
      <c r="Y507" s="21">
        <f t="shared" ca="1" si="295"/>
        <v>11.287227519149274</v>
      </c>
      <c r="Z507" s="21">
        <f t="shared" ca="1" si="295"/>
        <v>11.940036356284908</v>
      </c>
    </row>
    <row r="508" spans="1:26" x14ac:dyDescent="0.25">
      <c r="A508" s="12" t="s">
        <v>1421</v>
      </c>
      <c r="Q508" s="20">
        <f t="shared" ref="Q508:Z508" ca="1" si="296">SUM(Q$215,Q$219)</f>
        <v>3.158094136181139</v>
      </c>
      <c r="R508" s="20">
        <f t="shared" ca="1" si="296"/>
        <v>3.158094136181139</v>
      </c>
      <c r="S508" s="20">
        <f t="shared" ca="1" si="296"/>
        <v>3.158094136181139</v>
      </c>
      <c r="T508" s="20">
        <f t="shared" ca="1" si="296"/>
        <v>3.158094136181139</v>
      </c>
      <c r="U508" s="20">
        <f t="shared" ca="1" si="296"/>
        <v>3.158094136181139</v>
      </c>
      <c r="V508" s="20">
        <f t="shared" ca="1" si="296"/>
        <v>3.158094136181139</v>
      </c>
      <c r="W508" s="20">
        <f t="shared" ca="1" si="296"/>
        <v>3.158094136181139</v>
      </c>
      <c r="X508" s="20">
        <f t="shared" ca="1" si="296"/>
        <v>3.158094136181139</v>
      </c>
      <c r="Y508" s="20">
        <f t="shared" ca="1" si="296"/>
        <v>3.158094136181139</v>
      </c>
      <c r="Z508" s="20">
        <f t="shared" ca="1" si="296"/>
        <v>3.158094136181139</v>
      </c>
    </row>
    <row r="509" spans="1:26" x14ac:dyDescent="0.25">
      <c r="A509" s="12" t="s">
        <v>1422</v>
      </c>
      <c r="Q509" s="20">
        <f t="shared" ref="Q509:Z509" si="297">Q$402</f>
        <v>0.91100000000000003</v>
      </c>
      <c r="R509" s="20">
        <f t="shared" si="297"/>
        <v>0.93799999999999994</v>
      </c>
      <c r="S509" s="20">
        <f t="shared" si="297"/>
        <v>0.96199999999999997</v>
      </c>
      <c r="T509" s="20">
        <f t="shared" si="297"/>
        <v>0.98499999999999999</v>
      </c>
      <c r="U509" s="20">
        <f t="shared" si="297"/>
        <v>1.006</v>
      </c>
      <c r="V509" s="20">
        <f t="shared" si="297"/>
        <v>1.0249999999999999</v>
      </c>
      <c r="W509" s="20">
        <f t="shared" si="297"/>
        <v>1.046</v>
      </c>
      <c r="X509" s="20">
        <f t="shared" si="297"/>
        <v>1.0669999999999999</v>
      </c>
      <c r="Y509" s="20">
        <f t="shared" si="297"/>
        <v>1.0880000000000001</v>
      </c>
      <c r="Z509" s="20">
        <f t="shared" si="297"/>
        <v>1.109</v>
      </c>
    </row>
    <row r="510" spans="1:26" x14ac:dyDescent="0.25">
      <c r="A510" s="12" t="s">
        <v>1423</v>
      </c>
      <c r="Q510" s="20">
        <f t="shared" ref="Q510:Z510" ca="1" si="298">Q$457-P$457</f>
        <v>-2E-3</v>
      </c>
      <c r="R510" s="20">
        <f t="shared" ca="1" si="298"/>
        <v>0</v>
      </c>
      <c r="S510" s="20">
        <f t="shared" ca="1" si="298"/>
        <v>0</v>
      </c>
      <c r="T510" s="20">
        <f t="shared" ca="1" si="298"/>
        <v>0</v>
      </c>
      <c r="U510" s="20">
        <f t="shared" ca="1" si="298"/>
        <v>0</v>
      </c>
      <c r="V510" s="20">
        <f t="shared" ca="1" si="298"/>
        <v>0</v>
      </c>
      <c r="W510" s="20">
        <f t="shared" ca="1" si="298"/>
        <v>0</v>
      </c>
      <c r="X510" s="20">
        <f t="shared" ca="1" si="298"/>
        <v>0</v>
      </c>
      <c r="Y510" s="20">
        <f t="shared" ca="1" si="298"/>
        <v>0</v>
      </c>
      <c r="Z510" s="20">
        <f t="shared" ca="1" si="298"/>
        <v>0</v>
      </c>
    </row>
    <row r="511" spans="1:26" x14ac:dyDescent="0.25">
      <c r="A511" s="12" t="s">
        <v>769</v>
      </c>
      <c r="Q511" s="20">
        <f t="shared" ref="Q511:Z511" ca="1" si="299">-Q$340</f>
        <v>-1.0435308893054404E-2</v>
      </c>
      <c r="R511" s="20">
        <f t="shared" ca="1" si="299"/>
        <v>-1.0879489201897944E-2</v>
      </c>
      <c r="S511" s="20">
        <f t="shared" ca="1" si="299"/>
        <v>-1.1335437084572445E-2</v>
      </c>
      <c r="T511" s="20">
        <f t="shared" ca="1" si="299"/>
        <v>-1.1802086073035397E-2</v>
      </c>
      <c r="U511" s="20">
        <f t="shared" ca="1" si="299"/>
        <v>-1.2285007456109151E-2</v>
      </c>
      <c r="V511" s="20">
        <f t="shared" ca="1" si="299"/>
        <v>-1.2784372979015064E-2</v>
      </c>
      <c r="W511" s="20">
        <f t="shared" ca="1" si="299"/>
        <v>-1.3297663350946046E-2</v>
      </c>
      <c r="X511" s="20">
        <f t="shared" ca="1" si="299"/>
        <v>-1.3825734358114281E-2</v>
      </c>
      <c r="Y511" s="20">
        <f t="shared" ca="1" si="299"/>
        <v>-1.4371347480635113E-2</v>
      </c>
      <c r="Z511" s="20">
        <f t="shared" ca="1" si="299"/>
        <v>-1.4934643440266305E-2</v>
      </c>
    </row>
    <row r="512" spans="1:26" x14ac:dyDescent="0.25">
      <c r="A512" s="11" t="s">
        <v>1201</v>
      </c>
      <c r="Q512" s="96">
        <f t="shared" ref="Q512:Z512" ca="1" si="300">-SUM(Q$508:Q$511)</f>
        <v>-4.0566588272880848</v>
      </c>
      <c r="R512" s="96">
        <f t="shared" ca="1" si="300"/>
        <v>-4.0852146469792414</v>
      </c>
      <c r="S512" s="96">
        <f t="shared" ca="1" si="300"/>
        <v>-4.1087586990965663</v>
      </c>
      <c r="T512" s="96">
        <f t="shared" ca="1" si="300"/>
        <v>-4.1312920501081036</v>
      </c>
      <c r="U512" s="96">
        <f t="shared" ca="1" si="300"/>
        <v>-4.1518091287250298</v>
      </c>
      <c r="V512" s="96">
        <f t="shared" ca="1" si="300"/>
        <v>-4.1703097632021242</v>
      </c>
      <c r="W512" s="96">
        <f t="shared" ca="1" si="300"/>
        <v>-4.1907964728301925</v>
      </c>
      <c r="X512" s="96">
        <f t="shared" ca="1" si="300"/>
        <v>-4.2112684018230242</v>
      </c>
      <c r="Y512" s="96">
        <f t="shared" ca="1" si="300"/>
        <v>-4.2317227887005036</v>
      </c>
      <c r="Z512" s="96">
        <f t="shared" ca="1" si="300"/>
        <v>-4.2521594927408728</v>
      </c>
    </row>
    <row r="513" spans="1:26" x14ac:dyDescent="0.25">
      <c r="A513" s="12" t="s">
        <v>932</v>
      </c>
      <c r="Q513" s="20">
        <f t="shared" ref="Q513:Z513" ca="1" si="301">Q$353-P$353</f>
        <v>2.0661762245445985</v>
      </c>
      <c r="R513" s="20">
        <f t="shared" ca="1" si="301"/>
        <v>1.4600176332306631</v>
      </c>
      <c r="S513" s="20">
        <f t="shared" ca="1" si="301"/>
        <v>1.5263917121380999</v>
      </c>
      <c r="T513" s="20">
        <f t="shared" ca="1" si="301"/>
        <v>1.6149352938287009</v>
      </c>
      <c r="U513" s="20">
        <f t="shared" ca="1" si="301"/>
        <v>1.6834669547481838</v>
      </c>
      <c r="V513" s="20">
        <f t="shared" ca="1" si="301"/>
        <v>1.7381131977647186</v>
      </c>
      <c r="W513" s="20">
        <f t="shared" ca="1" si="301"/>
        <v>1.7878752867330405</v>
      </c>
      <c r="X513" s="20">
        <f t="shared" ca="1" si="301"/>
        <v>1.8422492730019542</v>
      </c>
      <c r="Y513" s="20">
        <f t="shared" ca="1" si="301"/>
        <v>1.9064132360937975</v>
      </c>
      <c r="Z513" s="20">
        <f t="shared" ca="1" si="301"/>
        <v>1.9732144013817177</v>
      </c>
    </row>
    <row r="514" spans="1:26" x14ac:dyDescent="0.25">
      <c r="A514" s="12" t="s">
        <v>933</v>
      </c>
      <c r="Q514" s="20">
        <f t="shared" ref="Q514:Z514" ca="1" si="302">Q$404-Q$332</f>
        <v>0.70568000000000031</v>
      </c>
      <c r="R514" s="20">
        <f t="shared" ca="1" si="302"/>
        <v>0.74441360000000034</v>
      </c>
      <c r="S514" s="20">
        <f t="shared" ca="1" si="302"/>
        <v>0.78120187200000035</v>
      </c>
      <c r="T514" s="20">
        <f t="shared" ca="1" si="302"/>
        <v>0.81504590944000044</v>
      </c>
      <c r="U514" s="20">
        <f t="shared" ca="1" si="302"/>
        <v>0.84694682762880036</v>
      </c>
      <c r="V514" s="20">
        <f t="shared" ca="1" si="302"/>
        <v>0.87990576418137634</v>
      </c>
      <c r="W514" s="20">
        <f t="shared" ca="1" si="302"/>
        <v>0.91292387946500386</v>
      </c>
      <c r="X514" s="20">
        <f t="shared" ca="1" si="302"/>
        <v>0.94800235705430402</v>
      </c>
      <c r="Y514" s="20">
        <f t="shared" ca="1" si="302"/>
        <v>0.98414240419539001</v>
      </c>
      <c r="Z514" s="20">
        <f t="shared" ca="1" si="302"/>
        <v>1.020345252279298</v>
      </c>
    </row>
    <row r="515" spans="1:26" x14ac:dyDescent="0.25">
      <c r="A515" s="12" t="s">
        <v>934</v>
      </c>
      <c r="Q515" s="20">
        <f t="shared" ref="Q515:Z515" ca="1" si="303">Q$409-P$409</f>
        <v>3.2200000000000006E-2</v>
      </c>
      <c r="R515" s="20">
        <f t="shared" ca="1" si="303"/>
        <v>3.2844000000000095E-2</v>
      </c>
      <c r="S515" s="20">
        <f t="shared" ca="1" si="303"/>
        <v>3.3500880000000066E-2</v>
      </c>
      <c r="T515" s="20">
        <f t="shared" ca="1" si="303"/>
        <v>3.4170897600000139E-2</v>
      </c>
      <c r="U515" s="20">
        <f t="shared" ca="1" si="303"/>
        <v>3.4854315552000026E-2</v>
      </c>
      <c r="V515" s="20">
        <f t="shared" ca="1" si="303"/>
        <v>3.5551401863040066E-2</v>
      </c>
      <c r="W515" s="20">
        <f t="shared" ca="1" si="303"/>
        <v>3.626242990030093E-2</v>
      </c>
      <c r="X515" s="20">
        <f t="shared" ca="1" si="303"/>
        <v>3.6987678498306753E-2</v>
      </c>
      <c r="Y515" s="20">
        <f t="shared" ca="1" si="303"/>
        <v>3.7727432068273004E-2</v>
      </c>
      <c r="Z515" s="20">
        <f t="shared" ca="1" si="303"/>
        <v>3.8481980709638375E-2</v>
      </c>
    </row>
    <row r="516" spans="1:26" x14ac:dyDescent="0.25">
      <c r="A516" s="12" t="s">
        <v>935</v>
      </c>
      <c r="Q516" s="20">
        <f t="shared" ref="Q516:Z516" ca="1" si="304">Q$413-P$413</f>
        <v>5.5760000000000254E-2</v>
      </c>
      <c r="R516" s="20">
        <f t="shared" ca="1" si="304"/>
        <v>5.6875199999999904E-2</v>
      </c>
      <c r="S516" s="20">
        <f t="shared" ca="1" si="304"/>
        <v>5.8012704000000248E-2</v>
      </c>
      <c r="T516" s="20">
        <f t="shared" ca="1" si="304"/>
        <v>5.9172958080000004E-2</v>
      </c>
      <c r="U516" s="20">
        <f t="shared" ca="1" si="304"/>
        <v>6.0356417241600013E-2</v>
      </c>
      <c r="V516" s="20">
        <f t="shared" ca="1" si="304"/>
        <v>6.1563545586432067E-2</v>
      </c>
      <c r="W516" s="20">
        <f t="shared" ca="1" si="304"/>
        <v>6.2794816498160877E-2</v>
      </c>
      <c r="X516" s="20">
        <f t="shared" ca="1" si="304"/>
        <v>6.4050712828124023E-2</v>
      </c>
      <c r="Y516" s="20">
        <f t="shared" ca="1" si="304"/>
        <v>6.5331727084686264E-2</v>
      </c>
      <c r="Z516" s="20">
        <f t="shared" ca="1" si="304"/>
        <v>6.6638361626380149E-2</v>
      </c>
    </row>
    <row r="517" spans="1:26" x14ac:dyDescent="0.25">
      <c r="A517" s="12" t="s">
        <v>1424</v>
      </c>
      <c r="Q517" s="20">
        <f t="shared" ref="Q517:Z517" ca="1" si="305">Q$449-P$449</f>
        <v>8.796000000000026E-2</v>
      </c>
      <c r="R517" s="20">
        <f t="shared" ca="1" si="305"/>
        <v>8.9719199999999999E-2</v>
      </c>
      <c r="S517" s="20">
        <f t="shared" ca="1" si="305"/>
        <v>9.1513584000000314E-2</v>
      </c>
      <c r="T517" s="20">
        <f t="shared" ca="1" si="305"/>
        <v>9.3343855680000143E-2</v>
      </c>
      <c r="U517" s="20">
        <f t="shared" ca="1" si="305"/>
        <v>9.5210732793600039E-2</v>
      </c>
      <c r="V517" s="20">
        <f t="shared" ca="1" si="305"/>
        <v>9.7114947449472133E-2</v>
      </c>
      <c r="W517" s="20">
        <f t="shared" ca="1" si="305"/>
        <v>9.9057246398461807E-2</v>
      </c>
      <c r="X517" s="20">
        <f t="shared" ca="1" si="305"/>
        <v>0.10103839132643078</v>
      </c>
      <c r="Y517" s="20">
        <f t="shared" ca="1" si="305"/>
        <v>0.10305915915295927</v>
      </c>
      <c r="Z517" s="20">
        <f t="shared" ca="1" si="305"/>
        <v>0.10512034233601852</v>
      </c>
    </row>
    <row r="518" spans="1:26" x14ac:dyDescent="0.25">
      <c r="A518" s="12" t="s">
        <v>1425</v>
      </c>
      <c r="Q518" s="20">
        <f t="shared" ref="Q518:Z518" ca="1" si="306">SUM(Q$445-P$445,Q$453-P$453,Q$470-P$470)</f>
        <v>1.3021319609048261</v>
      </c>
      <c r="R518" s="20">
        <f t="shared" ca="1" si="306"/>
        <v>0.72576436882820339</v>
      </c>
      <c r="S518" s="20">
        <f t="shared" ca="1" si="306"/>
        <v>0.78466556332240245</v>
      </c>
      <c r="T518" s="20">
        <f t="shared" ca="1" si="306"/>
        <v>0.84542571045022452</v>
      </c>
      <c r="U518" s="20">
        <f t="shared" ca="1" si="306"/>
        <v>0.87499685539716854</v>
      </c>
      <c r="V518" s="20">
        <f t="shared" ca="1" si="306"/>
        <v>0.90101483077512068</v>
      </c>
      <c r="W518" s="20">
        <f t="shared" ca="1" si="306"/>
        <v>0.92678489200126446</v>
      </c>
      <c r="X518" s="20">
        <f t="shared" ca="1" si="306"/>
        <v>0.95538415760039275</v>
      </c>
      <c r="Y518" s="20">
        <f t="shared" ca="1" si="306"/>
        <v>0.9888911176477917</v>
      </c>
      <c r="Z518" s="20">
        <f t="shared" ca="1" si="306"/>
        <v>1.0248805675749617</v>
      </c>
    </row>
    <row r="519" spans="1:26" x14ac:dyDescent="0.25">
      <c r="A519" s="12" t="s">
        <v>1426</v>
      </c>
      <c r="Q519" s="20">
        <f t="shared" ref="Q519:Z519" si="307">Q$463-P$463</f>
        <v>-0.17211321626617426</v>
      </c>
      <c r="R519" s="20">
        <f t="shared" si="307"/>
        <v>-0.17596649722735647</v>
      </c>
      <c r="S519" s="20">
        <f t="shared" si="307"/>
        <v>-0.17725092421441779</v>
      </c>
      <c r="T519" s="20">
        <f t="shared" si="307"/>
        <v>-0.17767906654343824</v>
      </c>
      <c r="U519" s="20">
        <f t="shared" si="307"/>
        <v>-0.17168507393715338</v>
      </c>
      <c r="V519" s="20">
        <f t="shared" si="307"/>
        <v>-0.16954436229205205</v>
      </c>
      <c r="W519" s="20">
        <f t="shared" si="307"/>
        <v>-0.1669755083179294</v>
      </c>
      <c r="X519" s="20">
        <f t="shared" si="307"/>
        <v>-0.16397851201478764</v>
      </c>
      <c r="Y519" s="20">
        <f t="shared" si="307"/>
        <v>-0.1596970887245841</v>
      </c>
      <c r="Z519" s="20">
        <f t="shared" si="307"/>
        <v>-0.15584380776340101</v>
      </c>
    </row>
    <row r="520" spans="1:26" x14ac:dyDescent="0.25">
      <c r="A520" s="11" t="s">
        <v>938</v>
      </c>
      <c r="Q520" s="96">
        <f t="shared" ref="Q520:Z520" ca="1" si="308">SUM(Q$513:Q$516)-SUM(Q$517:Q$519)</f>
        <v>1.6418374799059468</v>
      </c>
      <c r="R520" s="96">
        <f t="shared" ca="1" si="308"/>
        <v>1.6546333616298166</v>
      </c>
      <c r="S520" s="96">
        <f t="shared" ca="1" si="308"/>
        <v>1.7001789450301157</v>
      </c>
      <c r="T520" s="96">
        <f t="shared" ca="1" si="308"/>
        <v>1.7622345593619149</v>
      </c>
      <c r="U520" s="96">
        <f t="shared" ca="1" si="308"/>
        <v>1.8271020009169685</v>
      </c>
      <c r="V520" s="96">
        <f t="shared" ca="1" si="308"/>
        <v>1.8865484934630263</v>
      </c>
      <c r="W520" s="96">
        <f t="shared" ca="1" si="308"/>
        <v>1.9409897825147095</v>
      </c>
      <c r="X520" s="96">
        <f t="shared" ca="1" si="308"/>
        <v>1.9988459844706532</v>
      </c>
      <c r="Y520" s="96">
        <f t="shared" ca="1" si="308"/>
        <v>2.0613616113659798</v>
      </c>
      <c r="Z520" s="96">
        <f t="shared" ca="1" si="308"/>
        <v>2.1245228938494547</v>
      </c>
    </row>
    <row r="521" spans="1:26" x14ac:dyDescent="0.25">
      <c r="A521" s="11" t="s">
        <v>1204</v>
      </c>
      <c r="Q521" s="96">
        <f t="shared" ref="Q521:Z521" ca="1" si="309">SUM(Q$506,Q$507,Q$512,Q$520)</f>
        <v>16.64681336262953</v>
      </c>
      <c r="R521" s="96">
        <f t="shared" ca="1" si="309"/>
        <v>15.575521718207462</v>
      </c>
      <c r="S521" s="96">
        <f t="shared" ca="1" si="309"/>
        <v>15.468471371235617</v>
      </c>
      <c r="T521" s="96">
        <f t="shared" ca="1" si="309"/>
        <v>15.696936014456288</v>
      </c>
      <c r="U521" s="96">
        <f t="shared" ca="1" si="309"/>
        <v>15.973633541733749</v>
      </c>
      <c r="V521" s="96">
        <f t="shared" ca="1" si="309"/>
        <v>16.345883449259794</v>
      </c>
      <c r="W521" s="96">
        <f t="shared" ca="1" si="309"/>
        <v>16.733584740481138</v>
      </c>
      <c r="X521" s="96">
        <f t="shared" ca="1" si="309"/>
        <v>17.117713465780657</v>
      </c>
      <c r="Y521" s="96">
        <f t="shared" ca="1" si="309"/>
        <v>17.550978085877095</v>
      </c>
      <c r="Z521" s="96">
        <f t="shared" ca="1" si="309"/>
        <v>17.971601133335678</v>
      </c>
    </row>
    <row r="522" spans="1:26" x14ac:dyDescent="0.25">
      <c r="A522" s="60" t="s">
        <v>1427</v>
      </c>
      <c r="Q522" s="97" t="str">
        <f t="shared" ref="Q522:Z522" ca="1" si="310">IF(ROUND(Q$49-Q$521,3)=0,"OK","ERROR")</f>
        <v>OK</v>
      </c>
      <c r="R522" s="97" t="str">
        <f t="shared" ca="1" si="310"/>
        <v>OK</v>
      </c>
      <c r="S522" s="97" t="str">
        <f t="shared" ca="1" si="310"/>
        <v>OK</v>
      </c>
      <c r="T522" s="97" t="str">
        <f t="shared" ca="1" si="310"/>
        <v>OK</v>
      </c>
      <c r="U522" s="97" t="str">
        <f t="shared" ca="1" si="310"/>
        <v>OK</v>
      </c>
      <c r="V522" s="97" t="str">
        <f t="shared" ca="1" si="310"/>
        <v>OK</v>
      </c>
      <c r="W522" s="97" t="str">
        <f t="shared" ca="1" si="310"/>
        <v>OK</v>
      </c>
      <c r="X522" s="97" t="str">
        <f t="shared" ca="1" si="310"/>
        <v>OK</v>
      </c>
      <c r="Y522" s="97" t="str">
        <f t="shared" ca="1" si="310"/>
        <v>OK</v>
      </c>
      <c r="Z522" s="97" t="str">
        <f t="shared" ca="1" si="310"/>
        <v>OK</v>
      </c>
    </row>
    <row r="524" spans="1:26" x14ac:dyDescent="0.25">
      <c r="A524" s="11" t="s">
        <v>1428</v>
      </c>
    </row>
    <row r="525" spans="1:26" x14ac:dyDescent="0.25">
      <c r="A525" s="12" t="s">
        <v>1429</v>
      </c>
      <c r="B525" s="14" t="str">
        <f>$B$38</f>
        <v>From Fiscal Forecasts</v>
      </c>
      <c r="D525" s="50">
        <f>Exogenous!$B$81*'Fiscal Forecasts'!D$58</f>
        <v>3.3978480000000002</v>
      </c>
      <c r="E525" s="50">
        <f>Exogenous!$B$81*'Fiscal Forecasts'!E$58</f>
        <v>3.6997259999999996</v>
      </c>
      <c r="F525" s="50">
        <f>Exogenous!$B$81*'Fiscal Forecasts'!F$58</f>
        <v>4.2378239999999998</v>
      </c>
      <c r="G525" s="50">
        <f>Exogenous!$B$81*'Fiscal Forecasts'!G$58</f>
        <v>5.1672659999999997</v>
      </c>
      <c r="H525" s="50">
        <f>Exogenous!$B$81*'Fiscal Forecasts'!H$58</f>
        <v>5.2989540000000002</v>
      </c>
      <c r="I525" s="50">
        <f>Exogenous!$B$81*'Fiscal Forecasts'!I$58</f>
        <v>5.5798139999999998</v>
      </c>
      <c r="J525" s="50">
        <f>Exogenous!$B$81*'Fiscal Forecasts'!J$58</f>
        <v>5.6378459999999997</v>
      </c>
      <c r="K525" s="50">
        <f>Exogenous!$B$81*'Fiscal Forecasts'!K$58</f>
        <v>6.1225620000000003</v>
      </c>
      <c r="L525" s="48">
        <f>Exogenous!$B$81*('Fiscal Forecasts'!L$58+Allocation!C$11)</f>
        <v>6.3194355599999996</v>
      </c>
      <c r="M525" s="48">
        <f>Exogenous!$B$81*('Fiscal Forecasts'!M$58+Allocation!D$11)</f>
        <v>6.4906857599999999</v>
      </c>
      <c r="N525" s="48">
        <f>Exogenous!$B$81*('Fiscal Forecasts'!N$58+Allocation!E$11)</f>
        <v>6.6639615000000001</v>
      </c>
      <c r="O525" s="48">
        <f>Exogenous!$B$81*('Fiscal Forecasts'!O$58+Allocation!F$11)</f>
        <v>6.8695770599999992</v>
      </c>
      <c r="P525" s="48">
        <f>Exogenous!$B$81*('Fiscal Forecasts'!P$58+Allocation!G$11)</f>
        <v>7.0595221199999996</v>
      </c>
      <c r="Q525" s="20">
        <f ca="1">P$525*(1+SUMPRODUCT(Exogenous!$B$84:$B$101,'Population Treasury'!AB$239:AB$256)/('Population Treasury'!AB$275/'Population Treasury'!AA$275)+SUMPRODUCT(Exogenous!$C$84:$C$101,'Population Treasury'!AB$257:AB$274)/('Population Treasury'!AB$277/'Population Treasury'!AA$277))*(1+Q$25)*(1+Q$29)*(1+OFFSET(Assumptions!$B$62,0,$C$1))</f>
        <v>7.4289136356005177</v>
      </c>
      <c r="R525" s="20">
        <f ca="1">Q$525*(1+SUMPRODUCT(Exogenous!$B$84:$B$101,'Population Treasury'!AC$239:AC$256)/('Population Treasury'!AC$275/'Population Treasury'!AB$275)+SUMPRODUCT(Exogenous!$C$84:$C$101,'Population Treasury'!AC$257:AC$274)/('Population Treasury'!AC$277/'Population Treasury'!AB$277))*(1+R$25)*(1+R$29)*(1+OFFSET(Assumptions!$B$62,0,$C$1))</f>
        <v>7.8089864545948906</v>
      </c>
      <c r="S525" s="20">
        <f ca="1">R$525*(1+SUMPRODUCT(Exogenous!$B$84:$B$101,'Population Treasury'!AD$239:AD$256)/('Population Treasury'!AD$275/'Population Treasury'!AC$275)+SUMPRODUCT(Exogenous!$C$84:$C$101,'Population Treasury'!AD$257:AD$274)/('Population Treasury'!AD$277/'Population Treasury'!AC$277))*(1+S$25)*(1+S$29)*(1+OFFSET(Assumptions!$B$62,0,$C$1))</f>
        <v>8.2004967158157598</v>
      </c>
      <c r="T525" s="20">
        <f ca="1">S$525*(1+SUMPRODUCT(Exogenous!$B$84:$B$101,'Population Treasury'!AE$239:AE$256)/('Population Treasury'!AE$275/'Population Treasury'!AD$275)+SUMPRODUCT(Exogenous!$C$84:$C$101,'Population Treasury'!AE$257:AE$274)/('Population Treasury'!AE$277/'Population Treasury'!AD$277))*(1+T$25)*(1+T$29)*(1+OFFSET(Assumptions!$B$62,0,$C$1))</f>
        <v>8.6077692084863369</v>
      </c>
      <c r="U525" s="20">
        <f ca="1">T$525*(1+SUMPRODUCT(Exogenous!$B$84:$B$101,'Population Treasury'!AF$239:AF$256)/('Population Treasury'!AF$275/'Population Treasury'!AE$275)+SUMPRODUCT(Exogenous!$C$84:$C$101,'Population Treasury'!AF$257:AF$274)/('Population Treasury'!AF$277/'Population Treasury'!AE$277))*(1+U$25)*(1+U$29)*(1+OFFSET(Assumptions!$B$62,0,$C$1))</f>
        <v>9.0327962198194633</v>
      </c>
      <c r="V525" s="20">
        <f ca="1">U$525*(1+SUMPRODUCT(Exogenous!$B$84:$B$101,'Population Treasury'!AG$239:AG$256)/('Population Treasury'!AG$275/'Population Treasury'!AF$275)+SUMPRODUCT(Exogenous!$C$84:$C$101,'Population Treasury'!AG$257:AG$274)/('Population Treasury'!AG$277/'Population Treasury'!AF$277))*(1+V$25)*(1+V$29)*(1+OFFSET(Assumptions!$B$62,0,$C$1))</f>
        <v>9.4765936735039134</v>
      </c>
      <c r="W525" s="20">
        <f ca="1">V$525*(1+SUMPRODUCT(Exogenous!$B$84:$B$101,'Population Treasury'!AH$239:AH$256)/('Population Treasury'!AH$275/'Population Treasury'!AG$275)+SUMPRODUCT(Exogenous!$C$84:$C$101,'Population Treasury'!AH$257:AH$274)/('Population Treasury'!AH$277/'Population Treasury'!AG$277))*(1+W$25)*(1+W$29)*(1+OFFSET(Assumptions!$B$62,0,$C$1))</f>
        <v>9.9379445038904652</v>
      </c>
      <c r="X525" s="20">
        <f ca="1">W$525*(1+SUMPRODUCT(Exogenous!$B$84:$B$101,'Population Treasury'!AI$239:AI$256)/('Population Treasury'!AI$275/'Population Treasury'!AH$275)+SUMPRODUCT(Exogenous!$C$84:$C$101,'Population Treasury'!AI$257:AI$274)/('Population Treasury'!AI$277/'Population Treasury'!AH$277))*(1+X$25)*(1+X$29)*(1+OFFSET(Assumptions!$B$62,0,$C$1))</f>
        <v>10.418112207876447</v>
      </c>
      <c r="Y525" s="20">
        <f ca="1">X$525*(1+SUMPRODUCT(Exogenous!$B$84:$B$101,'Population Treasury'!AJ$239:AJ$256)/('Population Treasury'!AJ$275/'Population Treasury'!AI$275)+SUMPRODUCT(Exogenous!$C$84:$C$101,'Population Treasury'!AJ$257:AJ$274)/('Population Treasury'!AJ$277/'Population Treasury'!AI$277))*(1+Y$25)*(1+Y$29)*(1+OFFSET(Assumptions!$B$62,0,$C$1))</f>
        <v>10.920632978553819</v>
      </c>
      <c r="Z525" s="20">
        <f ca="1">Y$525*(1+SUMPRODUCT(Exogenous!$B$84:$B$101,'Population Treasury'!AK$239:AK$256)/('Population Treasury'!AK$275/'Population Treasury'!AJ$275)+SUMPRODUCT(Exogenous!$C$84:$C$101,'Population Treasury'!AK$257:AK$274)/('Population Treasury'!AK$277/'Population Treasury'!AJ$277))*(1+Z$25)*(1+Z$29)*(1+OFFSET(Assumptions!$B$62,0,$C$1))</f>
        <v>11.444226989175426</v>
      </c>
    </row>
    <row r="526" spans="1:26" x14ac:dyDescent="0.25">
      <c r="A526" s="12" t="s">
        <v>1430</v>
      </c>
      <c r="B526" s="14" t="str">
        <f>$B$38</f>
        <v>From Fiscal Forecasts</v>
      </c>
      <c r="D526" s="50">
        <f>Exogenous!$E$81*'Fiscal Forecasts'!D$58</f>
        <v>10.540635999999999</v>
      </c>
      <c r="E526" s="50">
        <f>Exogenous!$E$81*'Fiscal Forecasts'!E$58</f>
        <v>11.477106999999998</v>
      </c>
      <c r="F526" s="50">
        <f>Exogenous!$E$81*'Fiscal Forecasts'!F$58</f>
        <v>13.146367999999999</v>
      </c>
      <c r="G526" s="50">
        <f>Exogenous!$E$81*'Fiscal Forecasts'!G$58</f>
        <v>16.029636999999997</v>
      </c>
      <c r="H526" s="50">
        <f>Exogenous!$E$81*'Fiscal Forecasts'!H$58</f>
        <v>16.438153</v>
      </c>
      <c r="I526" s="50">
        <f>Exogenous!$E$81*'Fiscal Forecasts'!I$58</f>
        <v>17.309422999999999</v>
      </c>
      <c r="J526" s="50">
        <f>Exogenous!$E$81*'Fiscal Forecasts'!J$58</f>
        <v>17.489446999999998</v>
      </c>
      <c r="K526" s="50">
        <f>Exogenous!$E$81*'Fiscal Forecasts'!K$58</f>
        <v>18.993109</v>
      </c>
      <c r="L526" s="48">
        <f>Exogenous!$E$81*('Fiscal Forecasts'!L$58+Allocation!C$11)</f>
        <v>19.603840419999997</v>
      </c>
      <c r="M526" s="48">
        <f>Exogenous!$E$81*('Fiscal Forecasts'!M$58+Allocation!D$11)</f>
        <v>20.135084320000001</v>
      </c>
      <c r="N526" s="48">
        <f>Exogenous!$E$81*('Fiscal Forecasts'!N$58+Allocation!E$11)</f>
        <v>20.672611749999998</v>
      </c>
      <c r="O526" s="48">
        <f>Exogenous!$E$81*('Fiscal Forecasts'!O$58+Allocation!F$11)</f>
        <v>21.310462169999997</v>
      </c>
      <c r="P526" s="48">
        <f>Exogenous!$E$81*('Fiscal Forecasts'!P$58+Allocation!G$11)</f>
        <v>21.899700339999999</v>
      </c>
      <c r="Q526" s="20">
        <f ca="1">P$526*(1+SUMPRODUCT(Exogenous!$E$84:$E$101,'Population Treasury'!AB$239:AB$256)/('Population Treasury'!AB$275/'Population Treasury'!AA$275)+SUMPRODUCT(Exogenous!$F$84:$F$101,'Population Treasury'!AB$257:AB$274)/('Population Treasury'!AB$277/'Population Treasury'!AA$277))*(1+Q$25)*(1+Q$29)*(1+OFFSET(Assumptions!$B$62,0,$C$1))</f>
        <v>23.052601947296143</v>
      </c>
      <c r="R526" s="20">
        <f ca="1">Q$526*(1+SUMPRODUCT(Exogenous!$E$84:$E$101,'Population Treasury'!AC$239:AC$256)/('Population Treasury'!AC$275/'Population Treasury'!AB$275)+SUMPRODUCT(Exogenous!$F$84:$F$101,'Population Treasury'!AC$257:AC$274)/('Population Treasury'!AC$277/'Population Treasury'!AB$277))*(1+R$25)*(1+R$29)*(1+OFFSET(Assumptions!$B$62,0,$C$1))</f>
        <v>24.234511086806748</v>
      </c>
      <c r="S526" s="20">
        <f ca="1">R$526*(1+SUMPRODUCT(Exogenous!$E$84:$E$101,'Population Treasury'!AD$239:AD$256)/('Population Treasury'!AD$275/'Population Treasury'!AC$275)+SUMPRODUCT(Exogenous!$F$84:$F$101,'Population Treasury'!AD$257:AD$274)/('Population Treasury'!AD$277/'Population Treasury'!AC$277))*(1+S$25)*(1+S$29)*(1+OFFSET(Assumptions!$B$62,0,$C$1))</f>
        <v>25.451344799096869</v>
      </c>
      <c r="T526" s="20">
        <f ca="1">S$526*(1+SUMPRODUCT(Exogenous!$E$84:$E$101,'Population Treasury'!AE$239:AE$256)/('Population Treasury'!AE$275/'Population Treasury'!AD$275)+SUMPRODUCT(Exogenous!$F$84:$F$101,'Population Treasury'!AE$257:AE$274)/('Population Treasury'!AE$277/'Population Treasury'!AD$277))*(1+T$25)*(1+T$29)*(1+OFFSET(Assumptions!$B$62,0,$C$1))</f>
        <v>26.712076249096864</v>
      </c>
      <c r="U526" s="20">
        <f ca="1">T$526*(1+SUMPRODUCT(Exogenous!$E$84:$E$101,'Population Treasury'!AF$239:AF$256)/('Population Treasury'!AF$275/'Population Treasury'!AE$275)+SUMPRODUCT(Exogenous!$F$84:$F$101,'Population Treasury'!AF$257:AF$274)/('Population Treasury'!AF$277/'Population Treasury'!AE$277))*(1+U$25)*(1+U$29)*(1+OFFSET(Assumptions!$B$62,0,$C$1))</f>
        <v>28.029342885296561</v>
      </c>
      <c r="V526" s="20">
        <f ca="1">U$526*(1+SUMPRODUCT(Exogenous!$E$84:$E$101,'Population Treasury'!AG$239:AG$256)/('Population Treasury'!AG$275/'Population Treasury'!AF$275)+SUMPRODUCT(Exogenous!$F$84:$F$101,'Population Treasury'!AG$257:AG$274)/('Population Treasury'!AG$277/'Population Treasury'!AF$277))*(1+V$25)*(1+V$29)*(1+OFFSET(Assumptions!$B$62,0,$C$1))</f>
        <v>29.410650097994946</v>
      </c>
      <c r="W526" s="20">
        <f ca="1">V$526*(1+SUMPRODUCT(Exogenous!$E$84:$E$101,'Population Treasury'!AH$239:AH$256)/('Population Treasury'!AH$275/'Population Treasury'!AG$275)+SUMPRODUCT(Exogenous!$F$84:$F$101,'Population Treasury'!AH$257:AH$274)/('Population Treasury'!AH$277/'Population Treasury'!AG$277))*(1+W$25)*(1+W$29)*(1+OFFSET(Assumptions!$B$62,0,$C$1))</f>
        <v>30.84858233451013</v>
      </c>
      <c r="X526" s="20">
        <f ca="1">W$526*(1+SUMPRODUCT(Exogenous!$E$84:$E$101,'Population Treasury'!AI$239:AI$256)/('Population Treasury'!AI$275/'Population Treasury'!AH$275)+SUMPRODUCT(Exogenous!$F$84:$F$101,'Population Treasury'!AI$257:AI$274)/('Population Treasury'!AI$277/'Population Treasury'!AH$277))*(1+X$25)*(1+X$29)*(1+OFFSET(Assumptions!$B$62,0,$C$1))</f>
        <v>32.348987844377653</v>
      </c>
      <c r="Y526" s="20">
        <f ca="1">X$526*(1+SUMPRODUCT(Exogenous!$E$84:$E$101,'Population Treasury'!AJ$239:AJ$256)/('Population Treasury'!AJ$275/'Population Treasury'!AI$275)+SUMPRODUCT(Exogenous!$F$84:$F$101,'Population Treasury'!AJ$257:AJ$274)/('Population Treasury'!AJ$277/'Population Treasury'!AI$277))*(1+Y$25)*(1+Y$29)*(1+OFFSET(Assumptions!$B$62,0,$C$1))</f>
        <v>33.915625471157881</v>
      </c>
      <c r="Z526" s="20">
        <f ca="1">Y$526*(1+SUMPRODUCT(Exogenous!$E$84:$E$101,'Population Treasury'!AK$239:AK$256)/('Population Treasury'!AK$275/'Population Treasury'!AJ$275)+SUMPRODUCT(Exogenous!$F$84:$F$101,'Population Treasury'!AK$257:AK$274)/('Population Treasury'!AK$277/'Population Treasury'!AJ$277))*(1+Z$25)*(1+Z$29)*(1+OFFSET(Assumptions!$B$62,0,$C$1))</f>
        <v>35.551773266129644</v>
      </c>
    </row>
    <row r="527" spans="1:26" x14ac:dyDescent="0.25">
      <c r="A527" s="12" t="s">
        <v>1431</v>
      </c>
      <c r="B527" s="14" t="str">
        <f>$B$38</f>
        <v>From Fiscal Forecasts</v>
      </c>
      <c r="D527" s="50">
        <f>Exogenous!$H$81*'Fiscal Forecasts'!D$58</f>
        <v>1.6806559999999999</v>
      </c>
      <c r="E527" s="50">
        <f>Exogenous!$H$81*'Fiscal Forecasts'!E$58</f>
        <v>1.8299719999999997</v>
      </c>
      <c r="F527" s="50">
        <f>Exogenous!$H$81*'Fiscal Forecasts'!F$58</f>
        <v>2.0961279999999998</v>
      </c>
      <c r="G527" s="50">
        <f>Exogenous!$H$81*'Fiscal Forecasts'!G$58</f>
        <v>2.5558519999999998</v>
      </c>
      <c r="H527" s="50">
        <f>Exogenous!$H$81*'Fiscal Forecasts'!H$58</f>
        <v>2.6209880000000001</v>
      </c>
      <c r="I527" s="50">
        <f>Exogenous!$H$81*'Fiscal Forecasts'!I$58</f>
        <v>2.7599079999999998</v>
      </c>
      <c r="J527" s="50">
        <f>Exogenous!$H$81*'Fiscal Forecasts'!J$58</f>
        <v>2.7886120000000001</v>
      </c>
      <c r="K527" s="50">
        <f>Exogenous!$H$81*'Fiscal Forecasts'!K$58</f>
        <v>3.0283640000000003</v>
      </c>
      <c r="L527" s="48">
        <f>Exogenous!$H$81*('Fiscal Forecasts'!L$58+Allocation!C$11)</f>
        <v>3.1257423199999996</v>
      </c>
      <c r="M527" s="48">
        <f>Exogenous!$H$81*('Fiscal Forecasts'!M$58+Allocation!D$11)</f>
        <v>3.2104467200000002</v>
      </c>
      <c r="N527" s="48">
        <f>Exogenous!$H$81*('Fiscal Forecasts'!N$58+Allocation!E$11)</f>
        <v>3.2961529999999999</v>
      </c>
      <c r="O527" s="48">
        <f>Exogenous!$H$81*('Fiscal Forecasts'!O$58+Allocation!F$11)</f>
        <v>3.3978553199999997</v>
      </c>
      <c r="P527" s="48">
        <f>Exogenous!$H$81*('Fiscal Forecasts'!P$58+Allocation!G$11)</f>
        <v>3.4918066399999996</v>
      </c>
      <c r="Q527" s="20">
        <f ca="1">P$527*(1+SUMPRODUCT(Exogenous!$H$84:$H$101,'Population Treasury'!AB$239:AB$256)/('Population Treasury'!AB$275/'Population Treasury'!AA$275)+SUMPRODUCT(Exogenous!$I$84:$I$101,'Population Treasury'!AB$257:AB$274)/('Population Treasury'!AB$277/'Population Treasury'!AA$277))*(1+Q$25)*(1+Q$29)*(1+OFFSET(Assumptions!$B$62,0,$C$1))</f>
        <v>3.6537129003716093</v>
      </c>
      <c r="R527" s="20">
        <f ca="1">Q$527*(1+SUMPRODUCT(Exogenous!$H$84:$H$101,'Population Treasury'!AC$239:AC$256)/('Population Treasury'!AC$275/'Population Treasury'!AB$275)+SUMPRODUCT(Exogenous!$I$84:$I$101,'Population Treasury'!AC$257:AC$274)/('Population Treasury'!AC$277/'Population Treasury'!AB$277))*(1+R$25)*(1+R$29)*(1+OFFSET(Assumptions!$B$62,0,$C$1))</f>
        <v>3.8193038881661181</v>
      </c>
      <c r="S527" s="20">
        <f ca="1">R$527*(1+SUMPRODUCT(Exogenous!$H$84:$H$101,'Population Treasury'!AD$239:AD$256)/('Population Treasury'!AD$275/'Population Treasury'!AC$275)+SUMPRODUCT(Exogenous!$I$84:$I$101,'Population Treasury'!AD$257:AD$274)/('Population Treasury'!AD$277/'Population Treasury'!AC$277))*(1+S$25)*(1+S$29)*(1+OFFSET(Assumptions!$B$62,0,$C$1))</f>
        <v>3.9901051321366552</v>
      </c>
      <c r="T527" s="20">
        <f ca="1">S$527*(1+SUMPRODUCT(Exogenous!$H$84:$H$101,'Population Treasury'!AE$239:AE$256)/('Population Treasury'!AE$275/'Population Treasury'!AD$275)+SUMPRODUCT(Exogenous!$I$84:$I$101,'Population Treasury'!AE$257:AE$274)/('Population Treasury'!AE$277/'Population Treasury'!AD$277))*(1+T$25)*(1+T$29)*(1+OFFSET(Assumptions!$B$62,0,$C$1))</f>
        <v>4.1671390190779007</v>
      </c>
      <c r="U527" s="20">
        <f ca="1">T$527*(1+SUMPRODUCT(Exogenous!$H$84:$H$101,'Population Treasury'!AF$239:AF$256)/('Population Treasury'!AF$275/'Population Treasury'!AE$275)+SUMPRODUCT(Exogenous!$I$84:$I$101,'Population Treasury'!AF$257:AF$274)/('Population Treasury'!AF$277/'Population Treasury'!AE$277))*(1+U$25)*(1+U$29)*(1+OFFSET(Assumptions!$B$62,0,$C$1))</f>
        <v>4.3519758878716051</v>
      </c>
      <c r="V527" s="20">
        <f ca="1">U$527*(1+SUMPRODUCT(Exogenous!$H$84:$H$101,'Population Treasury'!AG$239:AG$256)/('Population Treasury'!AG$275/'Population Treasury'!AF$275)+SUMPRODUCT(Exogenous!$I$84:$I$101,'Population Treasury'!AG$257:AG$274)/('Population Treasury'!AG$277/'Population Treasury'!AF$277))*(1+V$25)*(1+V$29)*(1+OFFSET(Assumptions!$B$62,0,$C$1))</f>
        <v>4.545102903131367</v>
      </c>
      <c r="W527" s="20">
        <f ca="1">V$527*(1+SUMPRODUCT(Exogenous!$H$84:$H$101,'Population Treasury'!AH$239:AH$256)/('Population Treasury'!AH$275/'Population Treasury'!AG$275)+SUMPRODUCT(Exogenous!$I$84:$I$101,'Population Treasury'!AH$257:AH$274)/('Population Treasury'!AH$277/'Population Treasury'!AG$277))*(1+W$25)*(1+W$29)*(1+OFFSET(Assumptions!$B$62,0,$C$1))</f>
        <v>4.7428816365340367</v>
      </c>
      <c r="X527" s="20">
        <f ca="1">W$527*(1+SUMPRODUCT(Exogenous!$H$84:$H$101,'Population Treasury'!AI$239:AI$256)/('Population Treasury'!AI$275/'Population Treasury'!AH$275)+SUMPRODUCT(Exogenous!$I$84:$I$101,'Population Treasury'!AI$257:AI$274)/('Population Treasury'!AI$277/'Population Treasury'!AH$277))*(1+X$25)*(1+X$29)*(1+OFFSET(Assumptions!$B$62,0,$C$1))</f>
        <v>4.9484375652464072</v>
      </c>
      <c r="Y527" s="20">
        <f ca="1">X$527*(1+SUMPRODUCT(Exogenous!$H$84:$H$101,'Population Treasury'!AJ$239:AJ$256)/('Population Treasury'!AJ$275/'Population Treasury'!AI$275)+SUMPRODUCT(Exogenous!$I$84:$I$101,'Population Treasury'!AJ$257:AJ$274)/('Population Treasury'!AJ$277/'Population Treasury'!AI$277))*(1+Y$25)*(1+Y$29)*(1+OFFSET(Assumptions!$B$62,0,$C$1))</f>
        <v>5.1636257897273579</v>
      </c>
      <c r="Z527" s="20">
        <f ca="1">Y$527*(1+SUMPRODUCT(Exogenous!$H$84:$H$101,'Population Treasury'!AK$239:AK$256)/('Population Treasury'!AK$275/'Population Treasury'!AJ$275)+SUMPRODUCT(Exogenous!$I$84:$I$101,'Population Treasury'!AK$257:AK$274)/('Population Treasury'!AK$277/'Population Treasury'!AJ$277))*(1+Z$25)*(1+Z$29)*(1+OFFSET(Assumptions!$B$62,0,$C$1))</f>
        <v>5.3870590363441053</v>
      </c>
    </row>
    <row r="528" spans="1:26" x14ac:dyDescent="0.25">
      <c r="A528" s="12" t="s">
        <v>1432</v>
      </c>
      <c r="B528" s="14" t="str">
        <f>$B$38</f>
        <v>From Fiscal Forecasts</v>
      </c>
      <c r="D528" s="50">
        <f>Exogenous!$K$81*'Fiscal Forecasts'!D$58</f>
        <v>1.3701000000000001</v>
      </c>
      <c r="E528" s="50">
        <f>Exogenous!$K$81*'Fiscal Forecasts'!E$58</f>
        <v>1.4918249999999997</v>
      </c>
      <c r="F528" s="50">
        <f>Exogenous!$K$81*'Fiscal Forecasts'!F$58</f>
        <v>1.7087999999999999</v>
      </c>
      <c r="G528" s="50">
        <f>Exogenous!$K$81*'Fiscal Forecasts'!G$58</f>
        <v>2.0835749999999997</v>
      </c>
      <c r="H528" s="50">
        <f>Exogenous!$K$81*'Fiscal Forecasts'!H$58</f>
        <v>2.1366749999999999</v>
      </c>
      <c r="I528" s="50">
        <f>Exogenous!$K$81*'Fiscal Forecasts'!I$58</f>
        <v>2.2499249999999997</v>
      </c>
      <c r="J528" s="50">
        <f>Exogenous!$K$81*'Fiscal Forecasts'!J$58</f>
        <v>2.2733249999999998</v>
      </c>
      <c r="K528" s="50">
        <f>Exogenous!$K$81*'Fiscal Forecasts'!K$58</f>
        <v>2.4687749999999999</v>
      </c>
      <c r="L528" s="48">
        <f>Exogenous!$K$81*('Fiscal Forecasts'!L$58+Allocation!C$11)</f>
        <v>2.5481594999999997</v>
      </c>
      <c r="M528" s="48">
        <f>Exogenous!$K$81*('Fiscal Forecasts'!M$58+Allocation!D$11)</f>
        <v>2.6172119999999999</v>
      </c>
      <c r="N528" s="48">
        <f>Exogenous!$K$81*('Fiscal Forecasts'!N$58+Allocation!E$11)</f>
        <v>2.6870812499999999</v>
      </c>
      <c r="O528" s="48">
        <f>Exogenous!$K$81*('Fiscal Forecasts'!O$58+Allocation!F$11)</f>
        <v>2.7699907499999994</v>
      </c>
      <c r="P528" s="48">
        <f>Exogenous!$K$81*('Fiscal Forecasts'!P$58+Allocation!G$11)</f>
        <v>2.8465814999999997</v>
      </c>
      <c r="Q528" s="20">
        <f ca="1">P$528*(1+SUMPRODUCT(Exogenous!$K$84:$K$101,'Population Treasury'!AB$239:AB$256)/('Population Treasury'!AB$276/'Population Treasury'!AA$276)+SUMPRODUCT(Exogenous!$L$84:$L$101,'Population Treasury'!AB$257:AB$274)/('Population Treasury'!AB$278/'Population Treasury'!AA$278))*(1+Q$25)*(1+Q$29)*(1+OFFSET(Assumptions!$B$62,0,$C$1))</f>
        <v>3.0874855282296045</v>
      </c>
      <c r="R528" s="20">
        <f ca="1">Q$528*(1+SUMPRODUCT(Exogenous!$K$84:$K$101,'Population Treasury'!AC$239:AC$256)/('Population Treasury'!AC$276/'Population Treasury'!AB$276)+SUMPRODUCT(Exogenous!$L$84:$L$101,'Population Treasury'!AC$257:AC$274)/('Population Treasury'!AC$278/'Population Treasury'!AB$278))*(1+R$25)*(1+R$29)*(1+OFFSET(Assumptions!$B$62,0,$C$1))</f>
        <v>3.3319428592428166</v>
      </c>
      <c r="S528" s="20">
        <f ca="1">R$528*(1+SUMPRODUCT(Exogenous!$K$84:$K$101,'Population Treasury'!AD$239:AD$256)/('Population Treasury'!AD$276/'Population Treasury'!AC$276)+SUMPRODUCT(Exogenous!$L$84:$L$101,'Population Treasury'!AD$257:AD$274)/('Population Treasury'!AD$278/'Population Treasury'!AC$278))*(1+S$25)*(1+S$29)*(1+OFFSET(Assumptions!$B$62,0,$C$1))</f>
        <v>3.5790959442523009</v>
      </c>
      <c r="T528" s="20">
        <f ca="1">S$528*(1+SUMPRODUCT(Exogenous!$K$84:$K$101,'Population Treasury'!AE$239:AE$256)/('Population Treasury'!AE$276/'Population Treasury'!AD$276)+SUMPRODUCT(Exogenous!$L$84:$L$101,'Population Treasury'!AE$257:AE$274)/('Population Treasury'!AE$278/'Population Treasury'!AD$278))*(1+T$25)*(1+T$29)*(1+OFFSET(Assumptions!$B$62,0,$C$1))</f>
        <v>3.8385640344022876</v>
      </c>
      <c r="U528" s="20">
        <f ca="1">T$528*(1+SUMPRODUCT(Exogenous!$K$84:$K$101,'Population Treasury'!AF$239:AF$256)/('Population Treasury'!AF$276/'Population Treasury'!AE$276)+SUMPRODUCT(Exogenous!$L$84:$L$101,'Population Treasury'!AF$257:AF$274)/('Population Treasury'!AF$278/'Population Treasury'!AE$278))*(1+U$25)*(1+U$29)*(1+OFFSET(Assumptions!$B$62,0,$C$1))</f>
        <v>4.1054307609820002</v>
      </c>
      <c r="V528" s="20">
        <f ca="1">U$528*(1+SUMPRODUCT(Exogenous!$K$84:$K$101,'Population Treasury'!AG$239:AG$256)/('Population Treasury'!AG$276/'Population Treasury'!AF$276)+SUMPRODUCT(Exogenous!$L$84:$L$101,'Population Treasury'!AG$257:AG$274)/('Population Treasury'!AG$278/'Population Treasury'!AF$278))*(1+V$25)*(1+V$29)*(1+OFFSET(Assumptions!$B$62,0,$C$1))</f>
        <v>4.3871140108467168</v>
      </c>
      <c r="W528" s="20">
        <f ca="1">V$528*(1+SUMPRODUCT(Exogenous!$K$84:$K$101,'Population Treasury'!AH$239:AH$256)/('Population Treasury'!AH$276/'Population Treasury'!AG$276)+SUMPRODUCT(Exogenous!$L$84:$L$101,'Population Treasury'!AH$257:AH$274)/('Population Treasury'!AH$278/'Population Treasury'!AG$278))*(1+W$25)*(1+W$29)*(1+OFFSET(Assumptions!$B$62,0,$C$1))</f>
        <v>4.6806104282027867</v>
      </c>
      <c r="X528" s="20">
        <f ca="1">W$528*(1+SUMPRODUCT(Exogenous!$K$84:$K$101,'Population Treasury'!AI$239:AI$256)/('Population Treasury'!AI$276/'Population Treasury'!AH$276)+SUMPRODUCT(Exogenous!$L$84:$L$101,'Population Treasury'!AI$257:AI$274)/('Population Treasury'!AI$278/'Population Treasury'!AH$278))*(1+X$25)*(1+X$29)*(1+OFFSET(Assumptions!$B$62,0,$C$1))</f>
        <v>4.9923185868644184</v>
      </c>
      <c r="Y528" s="20">
        <f ca="1">X$528*(1+SUMPRODUCT(Exogenous!$K$84:$K$101,'Population Treasury'!AJ$239:AJ$256)/('Population Treasury'!AJ$276/'Population Treasury'!AI$276)+SUMPRODUCT(Exogenous!$L$84:$L$101,'Population Treasury'!AJ$257:AJ$274)/('Population Treasury'!AJ$278/'Population Treasury'!AI$278))*(1+Y$25)*(1+Y$29)*(1+OFFSET(Assumptions!$B$62,0,$C$1))</f>
        <v>5.3166139956171197</v>
      </c>
      <c r="Z528" s="20">
        <f ca="1">Y$528*(1+SUMPRODUCT(Exogenous!$K$84:$K$101,'Population Treasury'!AK$239:AK$256)/('Population Treasury'!AK$276/'Population Treasury'!AJ$276)+SUMPRODUCT(Exogenous!$L$84:$L$101,'Population Treasury'!AK$257:AK$274)/('Population Treasury'!AK$278/'Population Treasury'!AJ$278))*(1+Z$25)*(1+Z$29)*(1+OFFSET(Assumptions!$B$62,0,$C$1))</f>
        <v>5.6609245870496947</v>
      </c>
    </row>
    <row r="529" spans="1:26" x14ac:dyDescent="0.25">
      <c r="A529" s="12" t="s">
        <v>1433</v>
      </c>
      <c r="B529" s="14" t="str">
        <f>$B$38</f>
        <v>From Fiscal Forecasts</v>
      </c>
      <c r="D529" s="50">
        <f>Exogenous!$N$81*'Fiscal Forecasts'!D$58</f>
        <v>1.2787600000000001</v>
      </c>
      <c r="E529" s="50">
        <f>Exogenous!$N$81*'Fiscal Forecasts'!E$58</f>
        <v>1.3923700000000001</v>
      </c>
      <c r="F529" s="50">
        <f>Exogenous!$N$81*'Fiscal Forecasts'!F$58</f>
        <v>1.5948800000000001</v>
      </c>
      <c r="G529" s="50">
        <f>Exogenous!$N$81*'Fiscal Forecasts'!G$58</f>
        <v>1.9446700000000001</v>
      </c>
      <c r="H529" s="50">
        <f>Exogenous!$N$81*'Fiscal Forecasts'!H$58</f>
        <v>1.9942300000000002</v>
      </c>
      <c r="I529" s="50">
        <f>Exogenous!$N$81*'Fiscal Forecasts'!I$58</f>
        <v>2.0999300000000001</v>
      </c>
      <c r="J529" s="50">
        <f>Exogenous!$N$81*'Fiscal Forecasts'!J$58</f>
        <v>2.1217700000000002</v>
      </c>
      <c r="K529" s="50">
        <f>Exogenous!$N$81*'Fiscal Forecasts'!K$58</f>
        <v>2.3041900000000002</v>
      </c>
      <c r="L529" s="48">
        <f>Exogenous!$N$81*('Fiscal Forecasts'!L$58+Allocation!C$11)</f>
        <v>2.3782822000000001</v>
      </c>
      <c r="M529" s="48">
        <f>Exogenous!$N$81*('Fiscal Forecasts'!M$58+Allocation!D$11)</f>
        <v>2.4427312000000003</v>
      </c>
      <c r="N529" s="48">
        <f>Exogenous!$N$81*('Fiscal Forecasts'!N$58+Allocation!E$11)</f>
        <v>2.5079425000000004</v>
      </c>
      <c r="O529" s="48">
        <f>Exogenous!$N$81*('Fiscal Forecasts'!O$58+Allocation!F$11)</f>
        <v>2.5853247000000001</v>
      </c>
      <c r="P529" s="48">
        <f>Exogenous!$N$81*('Fiscal Forecasts'!P$58+Allocation!G$11)</f>
        <v>2.6568094000000002</v>
      </c>
      <c r="Q529" s="20">
        <f ca="1">P$529*(1+SUMPRODUCT(Exogenous!$N$84:$N$101,'Population Treasury'!AB$239:AB$256)/('Population Treasury'!AB$276/'Population Treasury'!AA$276)+SUMPRODUCT(Exogenous!$O$84:$O$101,'Population Treasury'!AB$257:AB$274)/('Population Treasury'!AB$278/'Population Treasury'!AA$278))*(1+Q$25)*(1+Q$29)*(1+OFFSET(Assumptions!$B$62,0,$C$1))</f>
        <v>2.860532667525741</v>
      </c>
      <c r="R529" s="20">
        <f ca="1">Q$529*(1+SUMPRODUCT(Exogenous!$N$84:$N$101,'Population Treasury'!AC$239:AC$256)/('Population Treasury'!AC$276/'Population Treasury'!AB$276)+SUMPRODUCT(Exogenous!$O$84:$O$101,'Population Treasury'!AC$257:AC$274)/('Population Treasury'!AC$278/'Population Treasury'!AB$278))*(1+R$25)*(1+R$29)*(1+OFFSET(Assumptions!$B$62,0,$C$1))</f>
        <v>3.0681927900839883</v>
      </c>
      <c r="S529" s="20">
        <f ca="1">R$529*(1+SUMPRODUCT(Exogenous!$N$84:$N$101,'Population Treasury'!AD$239:AD$256)/('Population Treasury'!AD$276/'Population Treasury'!AC$276)+SUMPRODUCT(Exogenous!$O$84:$O$101,'Population Treasury'!AD$257:AD$274)/('Population Treasury'!AD$278/'Population Treasury'!AC$278))*(1+S$25)*(1+S$29)*(1+OFFSET(Assumptions!$B$62,0,$C$1))</f>
        <v>3.2799278302759483</v>
      </c>
      <c r="T529" s="20">
        <f ca="1">S$529*(1+SUMPRODUCT(Exogenous!$N$84:$N$101,'Population Treasury'!AE$239:AE$256)/('Population Treasury'!AE$276/'Population Treasury'!AD$276)+SUMPRODUCT(Exogenous!$O$84:$O$101,'Population Treasury'!AE$257:AE$274)/('Population Treasury'!AE$278/'Population Treasury'!AD$278))*(1+T$25)*(1+T$29)*(1+OFFSET(Assumptions!$B$62,0,$C$1))</f>
        <v>3.5003944589464093</v>
      </c>
      <c r="U529" s="20">
        <f ca="1">T$529*(1+SUMPRODUCT(Exogenous!$N$84:$N$101,'Population Treasury'!AF$239:AF$256)/('Population Treasury'!AF$276/'Population Treasury'!AE$276)+SUMPRODUCT(Exogenous!$O$84:$O$101,'Population Treasury'!AF$257:AF$274)/('Population Treasury'!AF$278/'Population Treasury'!AE$278))*(1+U$25)*(1+U$29)*(1+OFFSET(Assumptions!$B$62,0,$C$1))</f>
        <v>3.7290545008005065</v>
      </c>
      <c r="V529" s="20">
        <f ca="1">U$529*(1+SUMPRODUCT(Exogenous!$N$84:$N$101,'Population Treasury'!AG$239:AG$256)/('Population Treasury'!AG$276/'Population Treasury'!AF$276)+SUMPRODUCT(Exogenous!$O$84:$O$101,'Population Treasury'!AG$257:AG$274)/('Population Treasury'!AG$278/'Population Treasury'!AF$278))*(1+V$25)*(1+V$29)*(1+OFFSET(Assumptions!$B$62,0,$C$1))</f>
        <v>3.9690540100741778</v>
      </c>
      <c r="W529" s="20">
        <f ca="1">V$529*(1+SUMPRODUCT(Exogenous!$N$84:$N$101,'Population Treasury'!AH$239:AH$256)/('Population Treasury'!AH$276/'Population Treasury'!AG$276)+SUMPRODUCT(Exogenous!$O$84:$O$101,'Population Treasury'!AH$257:AH$274)/('Population Treasury'!AH$278/'Population Treasury'!AG$278))*(1+W$25)*(1+W$29)*(1+OFFSET(Assumptions!$B$62,0,$C$1))</f>
        <v>4.2183855861107116</v>
      </c>
      <c r="X529" s="20">
        <f ca="1">W$529*(1+SUMPRODUCT(Exogenous!$N$84:$N$101,'Population Treasury'!AI$239:AI$256)/('Population Treasury'!AI$276/'Population Treasury'!AH$276)+SUMPRODUCT(Exogenous!$O$84:$O$101,'Population Treasury'!AI$257:AI$274)/('Population Treasury'!AI$278/'Population Treasury'!AH$278))*(1+X$25)*(1+X$29)*(1+OFFSET(Assumptions!$B$62,0,$C$1))</f>
        <v>4.4808322631300177</v>
      </c>
      <c r="Y529" s="20">
        <f ca="1">X$529*(1+SUMPRODUCT(Exogenous!$N$84:$N$101,'Population Treasury'!AJ$239:AJ$256)/('Population Treasury'!AJ$276/'Population Treasury'!AI$276)+SUMPRODUCT(Exogenous!$O$84:$O$101,'Population Treasury'!AJ$257:AJ$274)/('Population Treasury'!AJ$278/'Population Treasury'!AI$278))*(1+Y$25)*(1+Y$29)*(1+OFFSET(Assumptions!$B$62,0,$C$1))</f>
        <v>4.7521146106172338</v>
      </c>
      <c r="Z529" s="20">
        <f ca="1">Y$529*(1+SUMPRODUCT(Exogenous!$N$84:$N$101,'Population Treasury'!AK$239:AK$256)/('Population Treasury'!AK$276/'Population Treasury'!AJ$276)+SUMPRODUCT(Exogenous!$O$84:$O$101,'Population Treasury'!AK$257:AK$274)/('Population Treasury'!AK$278/'Population Treasury'!AJ$278))*(1+Z$25)*(1+Z$29)*(1+OFFSET(Assumptions!$B$62,0,$C$1))</f>
        <v>5.0381418012433974</v>
      </c>
    </row>
    <row r="530" spans="1:26" x14ac:dyDescent="0.25">
      <c r="A530" s="11" t="s">
        <v>1275</v>
      </c>
      <c r="D530" s="94">
        <f t="shared" ref="D530:Z530" si="311">SUM(D$525:D$529)</f>
        <v>18.268000000000001</v>
      </c>
      <c r="E530" s="94">
        <f t="shared" si="311"/>
        <v>19.890999999999998</v>
      </c>
      <c r="F530" s="94">
        <f t="shared" si="311"/>
        <v>22.783999999999999</v>
      </c>
      <c r="G530" s="94">
        <f t="shared" si="311"/>
        <v>27.780999999999999</v>
      </c>
      <c r="H530" s="94">
        <f t="shared" si="311"/>
        <v>28.489000000000004</v>
      </c>
      <c r="I530" s="94">
        <f t="shared" si="311"/>
        <v>29.998999999999999</v>
      </c>
      <c r="J530" s="94">
        <f t="shared" si="311"/>
        <v>30.311</v>
      </c>
      <c r="K530" s="94">
        <f t="shared" si="311"/>
        <v>32.917000000000002</v>
      </c>
      <c r="L530" s="95">
        <f t="shared" si="311"/>
        <v>33.975459999999998</v>
      </c>
      <c r="M530" s="95">
        <f t="shared" si="311"/>
        <v>34.896160000000002</v>
      </c>
      <c r="N530" s="95">
        <f t="shared" si="311"/>
        <v>35.827749999999995</v>
      </c>
      <c r="O530" s="95">
        <f t="shared" si="311"/>
        <v>36.933209999999995</v>
      </c>
      <c r="P530" s="95">
        <f t="shared" si="311"/>
        <v>37.954419999999999</v>
      </c>
      <c r="Q530" s="96">
        <f t="shared" ca="1" si="311"/>
        <v>40.083246679023617</v>
      </c>
      <c r="R530" s="96">
        <f t="shared" ca="1" si="311"/>
        <v>42.262937078894559</v>
      </c>
      <c r="S530" s="96">
        <f t="shared" ca="1" si="311"/>
        <v>44.500970421577534</v>
      </c>
      <c r="T530" s="96">
        <f t="shared" ca="1" si="311"/>
        <v>46.825942970009798</v>
      </c>
      <c r="U530" s="96">
        <f t="shared" ca="1" si="311"/>
        <v>49.248600254770139</v>
      </c>
      <c r="V530" s="96">
        <f t="shared" ca="1" si="311"/>
        <v>51.788514695551115</v>
      </c>
      <c r="W530" s="96">
        <f t="shared" ca="1" si="311"/>
        <v>54.428404489248138</v>
      </c>
      <c r="X530" s="96">
        <f t="shared" ca="1" si="311"/>
        <v>57.188688467494948</v>
      </c>
      <c r="Y530" s="96">
        <f t="shared" ca="1" si="311"/>
        <v>60.068612845673407</v>
      </c>
      <c r="Z530" s="96">
        <f t="shared" ca="1" si="311"/>
        <v>63.082125679942266</v>
      </c>
    </row>
    <row r="532" spans="1:26" x14ac:dyDescent="0.25">
      <c r="A532" s="11" t="s">
        <v>1277</v>
      </c>
    </row>
    <row r="533" spans="1:26" x14ac:dyDescent="0.25">
      <c r="A533" s="12" t="s">
        <v>728</v>
      </c>
      <c r="B533" s="14" t="str">
        <f>$B$38</f>
        <v>From Fiscal Forecasts</v>
      </c>
      <c r="D533" s="50">
        <f>'Fiscal Forecasts'!D$408</f>
        <v>1.8959999999999999</v>
      </c>
      <c r="E533" s="50">
        <f>'Fiscal Forecasts'!E$408</f>
        <v>2.0070000000000001</v>
      </c>
      <c r="F533" s="50">
        <f>'Fiscal Forecasts'!F$408</f>
        <v>2.1320000000000001</v>
      </c>
      <c r="G533" s="50">
        <f>'Fiscal Forecasts'!G$408</f>
        <v>2.2469999999999999</v>
      </c>
      <c r="H533" s="50">
        <f>'Fiscal Forecasts'!H$408</f>
        <v>2.355</v>
      </c>
      <c r="I533" s="50">
        <f>'Fiscal Forecasts'!I$408</f>
        <v>2.71</v>
      </c>
      <c r="J533" s="50">
        <f>'Fiscal Forecasts'!J$408</f>
        <v>3.0739999999999998</v>
      </c>
      <c r="K533" s="50">
        <f>'Fiscal Forecasts'!K$408</f>
        <v>3.0179999999999998</v>
      </c>
      <c r="L533" s="48">
        <f>'Fiscal Forecasts'!L$408+Allocation!C$24</f>
        <v>3.05780165</v>
      </c>
      <c r="M533" s="48">
        <f>'Fiscal Forecasts'!M$408+Allocation!D$24</f>
        <v>3.2386334000000003</v>
      </c>
      <c r="N533" s="48">
        <f>'Fiscal Forecasts'!N$408+Allocation!E$24</f>
        <v>3.3726093750000001</v>
      </c>
      <c r="O533" s="48">
        <f>'Fiscal Forecasts'!O$408+Allocation!F$24</f>
        <v>3.5015535249999998</v>
      </c>
      <c r="P533" s="48">
        <f>'Fiscal Forecasts'!P$408+Allocation!G$24</f>
        <v>3.6058670499999996</v>
      </c>
      <c r="Q533" s="20">
        <f ca="1">P$533*(1+SUMPRODUCT(Exogenous!$B$67:$B$72,'Population Treasury'!AB$280:AB$285)+SUMPRODUCT(Exogenous!$C$67:$C$72,'Population Treasury'!AB$304:AB$309))*(1+Q$25)*(1+Q$29)*(1+OFFSET(Assumptions!$B$63,0,$C$1))</f>
        <v>3.7381593928494494</v>
      </c>
      <c r="R533" s="20">
        <f ca="1">Q$533*(1+SUMPRODUCT(Exogenous!$B$67:$B$72,'Population Treasury'!AC$280:AC$285)+SUMPRODUCT(Exogenous!$C$67:$C$72,'Population Treasury'!AC$304:AC$309))*(1+R$25)*(1+R$29)*(1+OFFSET(Assumptions!$B$63,0,$C$1))</f>
        <v>3.8735749199424725</v>
      </c>
      <c r="S533" s="20">
        <f ca="1">R$533*(1+SUMPRODUCT(Exogenous!$B$67:$B$72,'Population Treasury'!AD$280:AD$285)+SUMPRODUCT(Exogenous!$C$67:$C$72,'Population Treasury'!AD$304:AD$309))*(1+S$25)*(1+S$29)*(1+OFFSET(Assumptions!$B$63,0,$C$1))</f>
        <v>4.0135175292436447</v>
      </c>
      <c r="T533" s="20">
        <f ca="1">S$533*(1+SUMPRODUCT(Exogenous!$B$67:$B$72,'Population Treasury'!AE$280:AE$285)+SUMPRODUCT(Exogenous!$C$67:$C$72,'Population Treasury'!AE$304:AE$309))*(1+T$25)*(1+T$29)*(1+OFFSET(Assumptions!$B$63,0,$C$1))</f>
        <v>4.1606999679535024</v>
      </c>
      <c r="U533" s="20">
        <f ca="1">T$533*(1+SUMPRODUCT(Exogenous!$B$67:$B$72,'Population Treasury'!AF$280:AF$285)+SUMPRODUCT(Exogenous!$C$67:$C$72,'Population Treasury'!AF$304:AF$309))*(1+U$25)*(1+U$29)*(1+OFFSET(Assumptions!$B$63,0,$C$1))</f>
        <v>4.3172500258791429</v>
      </c>
      <c r="V533" s="20">
        <f ca="1">U$533*(1+SUMPRODUCT(Exogenous!$B$67:$B$72,'Population Treasury'!AG$280:AG$285)+SUMPRODUCT(Exogenous!$C$67:$C$72,'Population Treasury'!AG$304:AG$309))*(1+V$25)*(1+V$29)*(1+OFFSET(Assumptions!$B$63,0,$C$1))</f>
        <v>4.484471206476095</v>
      </c>
      <c r="W533" s="20">
        <f ca="1">V$533*(1+SUMPRODUCT(Exogenous!$B$67:$B$72,'Population Treasury'!AH$280:AH$285)+SUMPRODUCT(Exogenous!$C$67:$C$72,'Population Treasury'!AH$304:AH$309))*(1+W$25)*(1+W$29)*(1+OFFSET(Assumptions!$B$63,0,$C$1))</f>
        <v>4.6628813449209119</v>
      </c>
      <c r="X533" s="20">
        <f ca="1">W$533*(1+SUMPRODUCT(Exogenous!$B$67:$B$72,'Population Treasury'!AI$280:AI$285)+SUMPRODUCT(Exogenous!$C$67:$C$72,'Population Treasury'!AI$304:AI$309))*(1+X$25)*(1+X$29)*(1+OFFSET(Assumptions!$B$63,0,$C$1))</f>
        <v>4.8527621000834378</v>
      </c>
      <c r="Y533" s="20">
        <f ca="1">X$533*(1+SUMPRODUCT(Exogenous!$B$67:$B$72,'Population Treasury'!AJ$280:AJ$285)+SUMPRODUCT(Exogenous!$C$67:$C$72,'Population Treasury'!AJ$304:AJ$309))*(1+Y$25)*(1+Y$29)*(1+OFFSET(Assumptions!$B$63,0,$C$1))</f>
        <v>5.0545512941973714</v>
      </c>
      <c r="Z533" s="20">
        <f ca="1">Y$533*(1+SUMPRODUCT(Exogenous!$B$67:$B$72,'Population Treasury'!AK$280:AK$285)+SUMPRODUCT(Exogenous!$C$67:$C$72,'Population Treasury'!AK$304:AK$309))*(1+Z$25)*(1+Z$29)*(1+OFFSET(Assumptions!$B$63,0,$C$1))</f>
        <v>5.2672900103709868</v>
      </c>
    </row>
    <row r="534" spans="1:26" x14ac:dyDescent="0.25">
      <c r="A534" s="12" t="s">
        <v>1434</v>
      </c>
      <c r="B534" s="14" t="str">
        <f t="shared" ref="B534:B539" si="312">$B$38</f>
        <v>From Fiscal Forecasts</v>
      </c>
      <c r="D534" s="50">
        <f>'Fiscal Forecasts'!D$409</f>
        <v>3.835</v>
      </c>
      <c r="E534" s="50">
        <f>'Fiscal Forecasts'!E$409</f>
        <v>4.0129999999999999</v>
      </c>
      <c r="F534" s="50">
        <f>'Fiscal Forecasts'!F$409</f>
        <v>4.6470000000000002</v>
      </c>
      <c r="G534" s="50">
        <f>'Fiscal Forecasts'!G$409</f>
        <v>4.7329999999999997</v>
      </c>
      <c r="H534" s="50">
        <f>'Fiscal Forecasts'!H$409</f>
        <v>4.7789999999999999</v>
      </c>
      <c r="I534" s="50">
        <f>'Fiscal Forecasts'!I$409</f>
        <v>5.39</v>
      </c>
      <c r="J534" s="50">
        <f>'Fiscal Forecasts'!J$409</f>
        <v>5.5259999999999998</v>
      </c>
      <c r="K534" s="50">
        <f>'Fiscal Forecasts'!K$409</f>
        <v>5.6630000000000003</v>
      </c>
      <c r="L534" s="48">
        <f>'Fiscal Forecasts'!L$409+Allocation!C$25</f>
        <v>6.1281812000000002</v>
      </c>
      <c r="M534" s="48">
        <f>'Fiscal Forecasts'!M$409+Allocation!D$25</f>
        <v>6.4117951999999994</v>
      </c>
      <c r="N534" s="48">
        <f>'Fiscal Forecasts'!N$409+Allocation!E$25</f>
        <v>6.4693750000000003</v>
      </c>
      <c r="O534" s="48">
        <f>'Fiscal Forecasts'!O$409+Allocation!F$25</f>
        <v>6.6502961999999997</v>
      </c>
      <c r="P534" s="48">
        <f>'Fiscal Forecasts'!P$409+Allocation!G$25</f>
        <v>6.8068724000000005</v>
      </c>
      <c r="Q534" s="20">
        <f ca="1">P$534*(1+SUMPRODUCT(Exogenous!$G$67:$G$75,'Population Treasury'!AB$285:AB$293)+SUMPRODUCT(Exogenous!$H$67:$H$75,'Population Treasury'!AB$309:AB$317))*(1+Q$25)*(1+Q$29)*(1+OFFSET(Assumptions!$B$63,0,$C$1))</f>
        <v>7.0213923532428204</v>
      </c>
      <c r="R534" s="20">
        <f ca="1">Q$534*(1+SUMPRODUCT(Exogenous!$G$67:$G$75,'Population Treasury'!AC$285:AC$293)+SUMPRODUCT(Exogenous!$H$67:$H$75,'Population Treasury'!AC$309:AC$317))*(1+R$25)*(1+R$29)*(1+OFFSET(Assumptions!$B$63,0,$C$1))</f>
        <v>7.2434910204359726</v>
      </c>
      <c r="S534" s="20">
        <f ca="1">R$534*(1+SUMPRODUCT(Exogenous!$G$67:$G$75,'Population Treasury'!AD$285:AD$293)+SUMPRODUCT(Exogenous!$H$67:$H$75,'Population Treasury'!AD$309:AD$317))*(1+S$25)*(1+S$29)*(1+OFFSET(Assumptions!$B$63,0,$C$1))</f>
        <v>7.4698970476595266</v>
      </c>
      <c r="T534" s="20">
        <f ca="1">S$534*(1+SUMPRODUCT(Exogenous!$G$67:$G$75,'Population Treasury'!AE$285:AE$293)+SUMPRODUCT(Exogenous!$H$67:$H$75,'Population Treasury'!AE$309:AE$317))*(1+T$25)*(1+T$29)*(1+OFFSET(Assumptions!$B$63,0,$C$1))</f>
        <v>7.7000963704380743</v>
      </c>
      <c r="U534" s="20">
        <f ca="1">T$534*(1+SUMPRODUCT(Exogenous!$G$67:$G$75,'Population Treasury'!AF$285:AF$293)+SUMPRODUCT(Exogenous!$H$67:$H$75,'Population Treasury'!AF$309:AF$317))*(1+U$25)*(1+U$29)*(1+OFFSET(Assumptions!$B$63,0,$C$1))</f>
        <v>7.968115934886363</v>
      </c>
      <c r="V534" s="20">
        <f ca="1">U$534*(1+SUMPRODUCT(Exogenous!$G$67:$G$75,'Population Treasury'!AG$285:AG$293)+SUMPRODUCT(Exogenous!$H$67:$H$75,'Population Treasury'!AG$309:AG$317))*(1+V$25)*(1+V$29)*(1+OFFSET(Assumptions!$B$63,0,$C$1))</f>
        <v>8.2717781950830123</v>
      </c>
      <c r="W534" s="20">
        <f ca="1">V$534*(1+SUMPRODUCT(Exogenous!$G$67:$G$75,'Population Treasury'!AH$285:AH$293)+SUMPRODUCT(Exogenous!$H$67:$H$75,'Population Treasury'!AH$309:AH$317))*(1+W$25)*(1+W$29)*(1+OFFSET(Assumptions!$B$63,0,$C$1))</f>
        <v>8.5801378433312792</v>
      </c>
      <c r="X534" s="20">
        <f ca="1">W$534*(1+SUMPRODUCT(Exogenous!$G$67:$G$75,'Population Treasury'!AI$285:AI$293)+SUMPRODUCT(Exogenous!$H$67:$H$75,'Population Treasury'!AI$309:AI$317))*(1+X$25)*(1+X$29)*(1+OFFSET(Assumptions!$B$63,0,$C$1))</f>
        <v>8.8936625059541523</v>
      </c>
      <c r="Y534" s="20">
        <f ca="1">X$534*(1+SUMPRODUCT(Exogenous!$G$67:$G$75,'Population Treasury'!AJ$285:AJ$293)+SUMPRODUCT(Exogenous!$H$67:$H$75,'Population Treasury'!AJ$309:AJ$317))*(1+Y$25)*(1+Y$29)*(1+OFFSET(Assumptions!$B$63,0,$C$1))</f>
        <v>9.221137254313188</v>
      </c>
      <c r="Z534" s="20">
        <f ca="1">Y$534*(1+SUMPRODUCT(Exogenous!$G$67:$G$75,'Population Treasury'!AK$285:AK$293)+SUMPRODUCT(Exogenous!$H$67:$H$75,'Population Treasury'!AK$309:AK$317))*(1+Z$25)*(1+Z$29)*(1+OFFSET(Assumptions!$B$63,0,$C$1))</f>
        <v>9.5655850701206955</v>
      </c>
    </row>
    <row r="535" spans="1:26" x14ac:dyDescent="0.25">
      <c r="A535" s="12" t="s">
        <v>1435</v>
      </c>
      <c r="B535" s="14" t="str">
        <f t="shared" si="312"/>
        <v>From Fiscal Forecasts</v>
      </c>
      <c r="D535" s="50">
        <f>'Fiscal Forecasts'!D$410</f>
        <v>2.988</v>
      </c>
      <c r="E535" s="50">
        <f>'Fiscal Forecasts'!E$410</f>
        <v>3.0950000000000002</v>
      </c>
      <c r="F535" s="50">
        <f>'Fiscal Forecasts'!F$410</f>
        <v>3.5830000000000002</v>
      </c>
      <c r="G535" s="50">
        <f>'Fiscal Forecasts'!G$410</f>
        <v>3.7450000000000001</v>
      </c>
      <c r="H535" s="50">
        <f>'Fiscal Forecasts'!H$410</f>
        <v>3.8370000000000002</v>
      </c>
      <c r="I535" s="50">
        <f>'Fiscal Forecasts'!I$410</f>
        <v>4.351</v>
      </c>
      <c r="J535" s="50">
        <f>'Fiscal Forecasts'!J$410</f>
        <v>4.4240000000000004</v>
      </c>
      <c r="K535" s="50">
        <f>'Fiscal Forecasts'!K$410</f>
        <v>4.5599999999999996</v>
      </c>
      <c r="L535" s="48">
        <f>'Fiscal Forecasts'!L$410+Allocation!C$26</f>
        <v>4.9147138000000004</v>
      </c>
      <c r="M535" s="48">
        <f>'Fiscal Forecasts'!M$410+Allocation!D$26</f>
        <v>5.1386248000000005</v>
      </c>
      <c r="N535" s="48">
        <f>'Fiscal Forecasts'!N$410+Allocation!E$26</f>
        <v>5.1814375000000004</v>
      </c>
      <c r="O535" s="48">
        <f>'Fiscal Forecasts'!O$410+Allocation!F$26</f>
        <v>5.3241613000000001</v>
      </c>
      <c r="P535" s="48">
        <f>'Fiscal Forecasts'!P$410+Allocation!G$26</f>
        <v>5.4460426000000002</v>
      </c>
      <c r="Q535" s="20">
        <f ca="1">P$535*(1+SUMPRODUCT(Exogenous!$L$67:$L$73,'Population Treasury'!AB$293:AB$299)+SUMPRODUCT(Exogenous!$M$67:$M$73,'Population Treasury'!AB$317:AB$323))*(1+Q$25)*(1+Q$29)*(1+OFFSET(Assumptions!$B$63,0,$C$1))</f>
        <v>5.6304125364865794</v>
      </c>
      <c r="R535" s="20">
        <f ca="1">Q$535*(1+SUMPRODUCT(Exogenous!$L$67:$L$73,'Population Treasury'!AC$293:AC$299)+SUMPRODUCT(Exogenous!$M$67:$M$73,'Population Treasury'!AC$317:AC$323))*(1+R$25)*(1+R$29)*(1+OFFSET(Assumptions!$B$63,0,$C$1))</f>
        <v>5.8114915747315221</v>
      </c>
      <c r="S535" s="20">
        <f ca="1">R$535*(1+SUMPRODUCT(Exogenous!$L$67:$L$73,'Population Treasury'!AD$293:AD$299)+SUMPRODUCT(Exogenous!$M$67:$M$73,'Population Treasury'!AD$317:AD$323))*(1+S$25)*(1+S$29)*(1+OFFSET(Assumptions!$B$63,0,$C$1))</f>
        <v>6.0024096194187493</v>
      </c>
      <c r="T535" s="20">
        <f ca="1">S$535*(1+SUMPRODUCT(Exogenous!$L$67:$L$73,'Population Treasury'!AE$293:AE$299)+SUMPRODUCT(Exogenous!$M$67:$M$73,'Population Treasury'!AE$317:AE$323))*(1+T$25)*(1+T$29)*(1+OFFSET(Assumptions!$B$63,0,$C$1))</f>
        <v>6.2003281633263878</v>
      </c>
      <c r="U535" s="20">
        <f ca="1">T$535*(1+SUMPRODUCT(Exogenous!$L$67:$L$73,'Population Treasury'!AF$293:AF$299)+SUMPRODUCT(Exogenous!$M$67:$M$73,'Population Treasury'!AF$317:AF$323))*(1+U$25)*(1+U$29)*(1+OFFSET(Assumptions!$B$63,0,$C$1))</f>
        <v>6.373706012087184</v>
      </c>
      <c r="V535" s="20">
        <f ca="1">U$535*(1+SUMPRODUCT(Exogenous!$L$67:$L$73,'Population Treasury'!AG$293:AG$299)+SUMPRODUCT(Exogenous!$M$67:$M$73,'Population Treasury'!AG$317:AG$323))*(1+V$25)*(1+V$29)*(1+OFFSET(Assumptions!$B$63,0,$C$1))</f>
        <v>6.5114889765022825</v>
      </c>
      <c r="W535" s="20">
        <f ca="1">V$535*(1+SUMPRODUCT(Exogenous!$L$67:$L$73,'Population Treasury'!AH$293:AH$299)+SUMPRODUCT(Exogenous!$M$67:$M$73,'Population Treasury'!AH$317:AH$323))*(1+W$25)*(1+W$29)*(1+OFFSET(Assumptions!$B$63,0,$C$1))</f>
        <v>6.6685362998528506</v>
      </c>
      <c r="X535" s="20">
        <f ca="1">W$535*(1+SUMPRODUCT(Exogenous!$L$67:$L$73,'Population Treasury'!AI$293:AI$299)+SUMPRODUCT(Exogenous!$M$67:$M$73,'Population Treasury'!AI$317:AI$323))*(1+X$25)*(1+X$29)*(1+OFFSET(Assumptions!$B$63,0,$C$1))</f>
        <v>6.8454207260889373</v>
      </c>
      <c r="Y535" s="20">
        <f ca="1">X$535*(1+SUMPRODUCT(Exogenous!$L$67:$L$73,'Population Treasury'!AJ$293:AJ$299)+SUMPRODUCT(Exogenous!$M$67:$M$73,'Population Treasury'!AJ$317:AJ$323))*(1+Y$25)*(1+Y$29)*(1+OFFSET(Assumptions!$B$63,0,$C$1))</f>
        <v>7.0508573342863441</v>
      </c>
      <c r="Z535" s="20">
        <f ca="1">Y$535*(1+SUMPRODUCT(Exogenous!$L$67:$L$73,'Population Treasury'!AK$293:AK$299)+SUMPRODUCT(Exogenous!$M$67:$M$73,'Population Treasury'!AK$317:AK$323))*(1+Z$25)*(1+Z$29)*(1+OFFSET(Assumptions!$B$63,0,$C$1))</f>
        <v>7.3195185114415509</v>
      </c>
    </row>
    <row r="536" spans="1:26" x14ac:dyDescent="0.25">
      <c r="A536" s="12" t="s">
        <v>1436</v>
      </c>
      <c r="B536" s="14" t="str">
        <f t="shared" si="312"/>
        <v>From Fiscal Forecasts</v>
      </c>
      <c r="D536" s="50">
        <f>'Fiscal Forecasts'!D$411</f>
        <v>2.9660000000000002</v>
      </c>
      <c r="E536" s="50">
        <f>'Fiscal Forecasts'!E$411</f>
        <v>4.548</v>
      </c>
      <c r="F536" s="50">
        <f>'Fiscal Forecasts'!F$411</f>
        <v>2.7170000000000001</v>
      </c>
      <c r="G536" s="50">
        <f>'Fiscal Forecasts'!G$411</f>
        <v>3.96</v>
      </c>
      <c r="H536" s="50">
        <f>'Fiscal Forecasts'!H$411</f>
        <v>3.8639999999999999</v>
      </c>
      <c r="I536" s="50">
        <f>'Fiscal Forecasts'!I$411</f>
        <v>3.8849999999999998</v>
      </c>
      <c r="J536" s="50">
        <f>'Fiscal Forecasts'!J$411</f>
        <v>3.9209999999999998</v>
      </c>
      <c r="K536" s="50">
        <f>'Fiscal Forecasts'!K$411</f>
        <v>3.8889999999999998</v>
      </c>
      <c r="L536" s="48">
        <f>'Fiscal Forecasts'!L$411+Allocation!C$27</f>
        <v>3.8792917</v>
      </c>
      <c r="M536" s="48">
        <f>'Fiscal Forecasts'!M$411+Allocation!D$27</f>
        <v>3.9521532000000001</v>
      </c>
      <c r="N536" s="48">
        <f>'Fiscal Forecasts'!N$411+Allocation!E$27</f>
        <v>3.9805937500000002</v>
      </c>
      <c r="O536" s="48">
        <f>'Fiscal Forecasts'!O$411+Allocation!F$27</f>
        <v>4.1443504500000001</v>
      </c>
      <c r="P536" s="48">
        <f>'Fiscal Forecasts'!P$411+Allocation!G$27</f>
        <v>4.2821809000000002</v>
      </c>
      <c r="Q536" s="20">
        <f ca="1">P$536*(1+Exogenous!$Q$67*'Population Treasury'!AB$297+SUMPRODUCT(Exogenous!$Q$68:$Q$71,'Population Treasury'!AB$300:AB$303)+Exogenous!$R$67*'Population Treasury'!AB$321+SUMPRODUCT(Exogenous!$R$68:$R$71,'Population Treasury'!AB$324:AB$327))*(1+Q$25)*(1+Q$29)*(1+OFFSET(Assumptions!$B$63,0,$C$1))</f>
        <v>4.4712945393024457</v>
      </c>
      <c r="R536" s="20">
        <f ca="1">Q$536*(1+Exogenous!$Q$67*'Population Treasury'!AC$297+SUMPRODUCT(Exogenous!$Q$68:$Q$71,'Population Treasury'!AC$300:AC$303)+Exogenous!$R$67*'Population Treasury'!AC$321+SUMPRODUCT(Exogenous!$R$68:$R$71,'Population Treasury'!AC$324:AC$327))*(1+R$25)*(1+R$29)*(1+OFFSET(Assumptions!$B$63,0,$C$1))</f>
        <v>4.6554585671214923</v>
      </c>
      <c r="S536" s="20">
        <f ca="1">R$536*(1+Exogenous!$Q$67*'Population Treasury'!AD$297+SUMPRODUCT(Exogenous!$Q$68:$Q$71,'Population Treasury'!AD$300:AD$303)+Exogenous!$R$67*'Population Treasury'!AD$321+SUMPRODUCT(Exogenous!$R$68:$R$71,'Population Treasury'!AD$324:AD$327))*(1+S$25)*(1+S$29)*(1+OFFSET(Assumptions!$B$63,0,$C$1))</f>
        <v>4.8443374941630992</v>
      </c>
      <c r="T536" s="20">
        <f ca="1">S$536*(1+Exogenous!$Q$67*'Population Treasury'!AE$297+SUMPRODUCT(Exogenous!$Q$68:$Q$71,'Population Treasury'!AE$300:AE$303)+Exogenous!$R$67*'Population Treasury'!AE$321+SUMPRODUCT(Exogenous!$R$68:$R$71,'Population Treasury'!AE$324:AE$327))*(1+T$25)*(1+T$29)*(1+OFFSET(Assumptions!$B$63,0,$C$1))</f>
        <v>5.0327257906779934</v>
      </c>
      <c r="U536" s="20">
        <f ca="1">T$536*(1+Exogenous!$Q$67*'Population Treasury'!AF$297+SUMPRODUCT(Exogenous!$Q$68:$Q$71,'Population Treasury'!AF$300:AF$303)+Exogenous!$R$67*'Population Treasury'!AF$321+SUMPRODUCT(Exogenous!$R$68:$R$71,'Population Treasury'!AF$324:AF$327))*(1+U$25)*(1+U$29)*(1+OFFSET(Assumptions!$B$63,0,$C$1))</f>
        <v>5.2254430833794805</v>
      </c>
      <c r="V536" s="20">
        <f ca="1">U$536*(1+Exogenous!$Q$67*'Population Treasury'!AG$297+SUMPRODUCT(Exogenous!$Q$68:$Q$71,'Population Treasury'!AG$300:AG$303)+Exogenous!$R$67*'Population Treasury'!AG$321+SUMPRODUCT(Exogenous!$R$68:$R$71,'Population Treasury'!AG$324:AG$327))*(1+V$25)*(1+V$29)*(1+OFFSET(Assumptions!$B$63,0,$C$1))</f>
        <v>5.4228220255260826</v>
      </c>
      <c r="W536" s="20">
        <f ca="1">V$536*(1+Exogenous!$Q$67*'Population Treasury'!AH$297+SUMPRODUCT(Exogenous!$Q$68:$Q$71,'Population Treasury'!AH$300:AH$303)+Exogenous!$R$67*'Population Treasury'!AH$321+SUMPRODUCT(Exogenous!$R$68:$R$71,'Population Treasury'!AH$324:AH$327))*(1+W$25)*(1+W$29)*(1+OFFSET(Assumptions!$B$63,0,$C$1))</f>
        <v>5.6243492347034856</v>
      </c>
      <c r="X536" s="20">
        <f ca="1">W$536*(1+Exogenous!$Q$67*'Population Treasury'!AI$297+SUMPRODUCT(Exogenous!$Q$68:$Q$71,'Population Treasury'!AI$300:AI$303)+Exogenous!$R$67*'Population Treasury'!AI$321+SUMPRODUCT(Exogenous!$R$68:$R$71,'Population Treasury'!AI$324:AI$327))*(1+X$25)*(1+X$29)*(1+OFFSET(Assumptions!$B$63,0,$C$1))</f>
        <v>5.8410173890930386</v>
      </c>
      <c r="Y536" s="20">
        <f ca="1">X$536*(1+Exogenous!$Q$67*'Population Treasury'!AJ$297+SUMPRODUCT(Exogenous!$Q$68:$Q$71,'Population Treasury'!AJ$300:AJ$303)+Exogenous!$R$67*'Population Treasury'!AJ$321+SUMPRODUCT(Exogenous!$R$68:$R$71,'Population Treasury'!AJ$324:AJ$327))*(1+Y$25)*(1+Y$29)*(1+OFFSET(Assumptions!$B$63,0,$C$1))</f>
        <v>6.0531752151494453</v>
      </c>
      <c r="Z536" s="20">
        <f ca="1">Y$536*(1+Exogenous!$Q$67*'Population Treasury'!AK$297+SUMPRODUCT(Exogenous!$Q$68:$Q$71,'Population Treasury'!AK$300:AK$303)+Exogenous!$R$67*'Population Treasury'!AK$321+SUMPRODUCT(Exogenous!$R$68:$R$71,'Population Treasury'!AK$324:AK$327))*(1+Z$25)*(1+Z$29)*(1+OFFSET(Assumptions!$B$63,0,$C$1))</f>
        <v>6.2502142583243172</v>
      </c>
    </row>
    <row r="537" spans="1:26" x14ac:dyDescent="0.25">
      <c r="A537" s="12" t="s">
        <v>693</v>
      </c>
      <c r="B537" s="14" t="str">
        <f t="shared" si="312"/>
        <v>From Fiscal Forecasts</v>
      </c>
      <c r="D537" s="50">
        <f>'Fiscal Forecasts'!D$412</f>
        <v>0.58299999999999996</v>
      </c>
      <c r="E537" s="50">
        <f>'Fiscal Forecasts'!E$412</f>
        <v>0.56699999999999995</v>
      </c>
      <c r="F537" s="50">
        <f>'Fiscal Forecasts'!F$412</f>
        <v>0.59</v>
      </c>
      <c r="G537" s="50">
        <f>'Fiscal Forecasts'!G$412</f>
        <v>0.55600000000000005</v>
      </c>
      <c r="H537" s="50">
        <f>'Fiscal Forecasts'!H$412</f>
        <v>0.52500000000000002</v>
      </c>
      <c r="I537" s="50">
        <f>'Fiscal Forecasts'!I$412</f>
        <v>0.52600000000000002</v>
      </c>
      <c r="J537" s="50">
        <f>'Fiscal Forecasts'!J$412</f>
        <v>0.57399999999999995</v>
      </c>
      <c r="K537" s="50">
        <f>'Fiscal Forecasts'!K$412</f>
        <v>0.64100000000000001</v>
      </c>
      <c r="L537" s="48">
        <f>'Fiscal Forecasts'!L$412</f>
        <v>0.70399999999999996</v>
      </c>
      <c r="M537" s="48">
        <f>'Fiscal Forecasts'!M$412</f>
        <v>0.71499999999999997</v>
      </c>
      <c r="N537" s="48">
        <f>'Fiscal Forecasts'!N$412</f>
        <v>0.69899999999999995</v>
      </c>
      <c r="O537" s="48">
        <f>'Fiscal Forecasts'!O$412</f>
        <v>0.68899999999999995</v>
      </c>
      <c r="P537" s="48">
        <f>'Fiscal Forecasts'!P$412</f>
        <v>0.68899999999999995</v>
      </c>
      <c r="Q537" s="20">
        <f t="shared" ref="Q537:Z537" ca="1" si="313">Q$190</f>
        <v>0.7042704052526918</v>
      </c>
      <c r="R537" s="20">
        <f t="shared" ca="1" si="313"/>
        <v>0.7200817868108712</v>
      </c>
      <c r="S537" s="20">
        <f t="shared" ca="1" si="313"/>
        <v>0.7364441451154754</v>
      </c>
      <c r="T537" s="20">
        <f t="shared" ca="1" si="313"/>
        <v>0.75426820881386147</v>
      </c>
      <c r="U537" s="20">
        <f t="shared" ca="1" si="313"/>
        <v>0.77251950077583986</v>
      </c>
      <c r="V537" s="20">
        <f t="shared" ca="1" si="313"/>
        <v>0.79212822197401689</v>
      </c>
      <c r="W537" s="20">
        <f t="shared" ca="1" si="313"/>
        <v>0.81256650909083683</v>
      </c>
      <c r="X537" s="20">
        <f t="shared" ca="1" si="313"/>
        <v>0.834167094857449</v>
      </c>
      <c r="Y537" s="20">
        <f t="shared" ca="1" si="313"/>
        <v>0.85705810709086938</v>
      </c>
      <c r="Z537" s="20">
        <f t="shared" ca="1" si="313"/>
        <v>0.87732856685740601</v>
      </c>
    </row>
    <row r="538" spans="1:26" x14ac:dyDescent="0.25">
      <c r="A538" s="12" t="s">
        <v>1278</v>
      </c>
      <c r="B538" s="14" t="str">
        <f t="shared" si="312"/>
        <v>From Fiscal Forecasts</v>
      </c>
      <c r="D538" s="50">
        <f>'Fiscal Forecasts'!D$413</f>
        <v>0.56299999999999994</v>
      </c>
      <c r="E538" s="50">
        <f>'Fiscal Forecasts'!E$413</f>
        <v>0.50600000000000001</v>
      </c>
      <c r="F538" s="50">
        <f>'Fiscal Forecasts'!F$413</f>
        <v>0.21199999999999999</v>
      </c>
      <c r="G538" s="50">
        <f>'Fiscal Forecasts'!G$413</f>
        <v>0.28799999999999998</v>
      </c>
      <c r="H538" s="50">
        <f>'Fiscal Forecasts'!H$413</f>
        <v>0.27400000000000002</v>
      </c>
      <c r="I538" s="50">
        <f>'Fiscal Forecasts'!I$413</f>
        <v>0.60299999999999998</v>
      </c>
      <c r="J538" s="50">
        <f>'Fiscal Forecasts'!J$413</f>
        <v>0.67600000000000005</v>
      </c>
      <c r="K538" s="50">
        <f>'Fiscal Forecasts'!K$413</f>
        <v>0.76300000000000001</v>
      </c>
      <c r="L538" s="48">
        <f>'Fiscal Forecasts'!L$413</f>
        <v>0.72399999999999998</v>
      </c>
      <c r="M538" s="48">
        <f>'Fiscal Forecasts'!M$413</f>
        <v>0.78600000000000003</v>
      </c>
      <c r="N538" s="48">
        <f>'Fiscal Forecasts'!N$413</f>
        <v>0.82099999999999995</v>
      </c>
      <c r="O538" s="48">
        <f>'Fiscal Forecasts'!O$413</f>
        <v>0.85299999999999998</v>
      </c>
      <c r="P538" s="48">
        <f>'Fiscal Forecasts'!P$413</f>
        <v>0.88300000000000001</v>
      </c>
      <c r="Q538" s="20">
        <f t="shared" ref="Q538:Z538" si="314">Q$402</f>
        <v>0.91100000000000003</v>
      </c>
      <c r="R538" s="20">
        <f t="shared" si="314"/>
        <v>0.93799999999999994</v>
      </c>
      <c r="S538" s="20">
        <f t="shared" si="314"/>
        <v>0.96199999999999997</v>
      </c>
      <c r="T538" s="20">
        <f t="shared" si="314"/>
        <v>0.98499999999999999</v>
      </c>
      <c r="U538" s="20">
        <f t="shared" si="314"/>
        <v>1.006</v>
      </c>
      <c r="V538" s="20">
        <f t="shared" si="314"/>
        <v>1.0249999999999999</v>
      </c>
      <c r="W538" s="20">
        <f t="shared" si="314"/>
        <v>1.046</v>
      </c>
      <c r="X538" s="20">
        <f t="shared" si="314"/>
        <v>1.0669999999999999</v>
      </c>
      <c r="Y538" s="20">
        <f t="shared" si="314"/>
        <v>1.0880000000000001</v>
      </c>
      <c r="Z538" s="20">
        <f t="shared" si="314"/>
        <v>1.109</v>
      </c>
    </row>
    <row r="539" spans="1:26" x14ac:dyDescent="0.25">
      <c r="A539" s="12" t="s">
        <v>1437</v>
      </c>
      <c r="B539" s="14" t="str">
        <f t="shared" si="312"/>
        <v>From Fiscal Forecasts</v>
      </c>
      <c r="C539" s="100" cm="1">
        <f t="array" aca="1" ref="C539" ca="1">SUMPRODUCT(OFFSET($P$539,0,0,1,-OFFSET(Assumptions!$B$60,0,$C$1))/OFFSET($P$13,0,0,1,-OFFSET(Assumptions!$B$60,0,$C$1)))/OFFSET(Assumptions!$B$60,0,$C$1)</f>
        <v>5.6224178894803091E-3</v>
      </c>
      <c r="D539" s="50">
        <f>'Fiscal Forecasts'!D$414</f>
        <v>1.462</v>
      </c>
      <c r="E539" s="50">
        <f>'Fiscal Forecasts'!E$414</f>
        <v>1.5860000000000001</v>
      </c>
      <c r="F539" s="50">
        <f>'Fiscal Forecasts'!F$414</f>
        <v>2.1579999999999999</v>
      </c>
      <c r="G539" s="50">
        <f>'Fiscal Forecasts'!G$414</f>
        <v>2.4940000000000002</v>
      </c>
      <c r="H539" s="50">
        <f>'Fiscal Forecasts'!H$414</f>
        <v>2.7690000000000001</v>
      </c>
      <c r="I539" s="50">
        <f>'Fiscal Forecasts'!I$414</f>
        <v>2.758</v>
      </c>
      <c r="J539" s="50">
        <f>'Fiscal Forecasts'!J$414</f>
        <v>2.7</v>
      </c>
      <c r="K539" s="50">
        <f>'Fiscal Forecasts'!K$414</f>
        <v>2.6720000000000002</v>
      </c>
      <c r="L539" s="48">
        <f>'Fiscal Forecasts'!L$414+Allocation!C$28</f>
        <v>2.43680165</v>
      </c>
      <c r="M539" s="48">
        <f>'Fiscal Forecasts'!M$414+Allocation!D$28</f>
        <v>2.3796334000000003</v>
      </c>
      <c r="N539" s="48">
        <f>'Fiscal Forecasts'!N$414+Allocation!E$28</f>
        <v>2.5396093749999999</v>
      </c>
      <c r="O539" s="48">
        <f>'Fiscal Forecasts'!O$414+Allocation!F$28</f>
        <v>2.608553525</v>
      </c>
      <c r="P539" s="48">
        <f>'Fiscal Forecasts'!P$414+Allocation!G$28</f>
        <v>2.71986705</v>
      </c>
      <c r="Q539" s="20">
        <f ca="1">(P$539/P$13+MIN(ABS($C$539-P$539/P$13),OFFSET(Assumptions!$B$61,0,$C$1))*SIGN($C$539-P$539/P$13))*Q$13</f>
        <v>3.142119562295921</v>
      </c>
      <c r="R539" s="20">
        <f ca="1">(Q$539/Q$13+MIN(ABS($C$539-Q$539/Q$13),OFFSET(Assumptions!$B$61,0,$C$1))*SIGN($C$539-Q$539/Q$13))*R$13</f>
        <v>3.5622276719812782</v>
      </c>
      <c r="S539" s="20">
        <f ca="1">(R$539/R$13+MIN(ABS($C$539-R$539/R$13),OFFSET(Assumptions!$B$61,0,$C$1))*SIGN($C$539-R$539/R$13))*S$13</f>
        <v>3.7115168651137136</v>
      </c>
      <c r="T539" s="20">
        <f ca="1">(S$539/S$13+MIN(ABS($C$539-S$539/S$13),OFFSET(Assumptions!$B$61,0,$C$1))*SIGN($C$539-S$539/S$13))*T$13</f>
        <v>3.8643098785499337</v>
      </c>
      <c r="U539" s="20">
        <f ca="1">(T$539/T$13+MIN(ABS($C$539-T$539/T$13),OFFSET(Assumptions!$B$61,0,$C$1))*SIGN($C$539-T$539/T$13))*U$13</f>
        <v>4.0224308971246572</v>
      </c>
      <c r="V539" s="20">
        <f ca="1">(U$539/U$13+MIN(ABS($C$539-U$539/U$13),OFFSET(Assumptions!$B$61,0,$C$1))*SIGN($C$539-U$539/U$13))*V$13</f>
        <v>4.1859361546893705</v>
      </c>
      <c r="W539" s="20">
        <f ca="1">(V$539/V$13+MIN(ABS($C$539-V$539/V$13),OFFSET(Assumptions!$B$61,0,$C$1))*SIGN($C$539-V$539/V$13))*W$13</f>
        <v>4.3540007699228811</v>
      </c>
      <c r="X539" s="20">
        <f ca="1">(W$539/W$13+MIN(ABS($C$539-W$539/W$13),OFFSET(Assumptions!$B$61,0,$C$1))*SIGN($C$539-W$539/W$13))*X$13</f>
        <v>4.5269049494846891</v>
      </c>
      <c r="Y539" s="20">
        <f ca="1">(X$539/X$13+MIN(ABS($C$539-X$539/X$13),OFFSET(Assumptions!$B$61,0,$C$1))*SIGN($C$539-X$539/X$13))*Y$13</f>
        <v>4.7055528737733363</v>
      </c>
      <c r="Z539" s="20">
        <f ca="1">(Y$539/Y$13+MIN(ABS($C$539-Y$539/Y$13),OFFSET(Assumptions!$B$61,0,$C$1))*SIGN($C$539-Y$539/Y$13))*Z$13</f>
        <v>4.8899906187516047</v>
      </c>
    </row>
    <row r="540" spans="1:26" x14ac:dyDescent="0.25">
      <c r="A540" s="11" t="s">
        <v>1128</v>
      </c>
      <c r="D540" s="94">
        <f>SUM(D$533:D$539)</f>
        <v>14.292999999999999</v>
      </c>
      <c r="E540" s="94">
        <f t="shared" ref="E540:Z540" si="315">SUM(E$533:E$539)</f>
        <v>16.321999999999999</v>
      </c>
      <c r="F540" s="94">
        <f t="shared" si="315"/>
        <v>16.039000000000001</v>
      </c>
      <c r="G540" s="94">
        <f t="shared" si="315"/>
        <v>18.023</v>
      </c>
      <c r="H540" s="94">
        <f t="shared" si="315"/>
        <v>18.402999999999999</v>
      </c>
      <c r="I540" s="94">
        <f t="shared" si="315"/>
        <v>20.222999999999999</v>
      </c>
      <c r="J540" s="94">
        <f t="shared" si="315"/>
        <v>20.895</v>
      </c>
      <c r="K540" s="94">
        <f t="shared" si="315"/>
        <v>21.206000000000003</v>
      </c>
      <c r="L540" s="95">
        <f t="shared" si="315"/>
        <v>21.84479</v>
      </c>
      <c r="M540" s="95">
        <f t="shared" si="315"/>
        <v>22.621840000000002</v>
      </c>
      <c r="N540" s="95">
        <f t="shared" si="315"/>
        <v>23.063625000000005</v>
      </c>
      <c r="O540" s="95">
        <f t="shared" si="315"/>
        <v>23.770915000000002</v>
      </c>
      <c r="P540" s="95">
        <f t="shared" si="315"/>
        <v>24.432830000000003</v>
      </c>
      <c r="Q540" s="96">
        <f t="shared" ca="1" si="315"/>
        <v>25.618648789429912</v>
      </c>
      <c r="R540" s="96">
        <f t="shared" ca="1" si="315"/>
        <v>26.804325541023612</v>
      </c>
      <c r="S540" s="96">
        <f t="shared" ca="1" si="315"/>
        <v>27.74012270071421</v>
      </c>
      <c r="T540" s="96">
        <f t="shared" ca="1" si="315"/>
        <v>28.697428379759749</v>
      </c>
      <c r="U540" s="96">
        <f t="shared" ca="1" si="315"/>
        <v>29.685465454132668</v>
      </c>
      <c r="V540" s="96">
        <f t="shared" ca="1" si="315"/>
        <v>30.693624780250857</v>
      </c>
      <c r="W540" s="96">
        <f t="shared" ca="1" si="315"/>
        <v>31.74847200182224</v>
      </c>
      <c r="X540" s="96">
        <f t="shared" ca="1" si="315"/>
        <v>32.860934765561701</v>
      </c>
      <c r="Y540" s="96">
        <f t="shared" ca="1" si="315"/>
        <v>34.030332078810552</v>
      </c>
      <c r="Z540" s="96">
        <f t="shared" ca="1" si="315"/>
        <v>35.278927035866559</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Drop Down 1">
              <controlPr defaultSize="0" autoLine="0" autoPict="0">
                <anchor moveWithCells="1">
                  <from>
                    <xdr:col>0</xdr:col>
                    <xdr:colOff>47625</xdr:colOff>
                    <xdr:row>6</xdr:row>
                    <xdr:rowOff>0</xdr:rowOff>
                  </from>
                  <to>
                    <xdr:col>0</xdr:col>
                    <xdr:colOff>5629275</xdr:colOff>
                    <xdr:row>7</xdr:row>
                    <xdr:rowOff>9525</xdr:rowOff>
                  </to>
                </anchor>
              </controlPr>
            </control>
          </mc:Choice>
        </mc:AlternateContent>
        <mc:AlternateContent xmlns:mc="http://schemas.openxmlformats.org/markup-compatibility/2006">
          <mc:Choice Requires="x14">
            <control shapeId="38914" r:id="rId5" name="Drop Down 2">
              <controlPr defaultSize="0" autoLine="0" autoPict="0">
                <anchor moveWithCells="1">
                  <from>
                    <xdr:col>0</xdr:col>
                    <xdr:colOff>47625</xdr:colOff>
                    <xdr:row>6</xdr:row>
                    <xdr:rowOff>0</xdr:rowOff>
                  </from>
                  <to>
                    <xdr:col>1</xdr:col>
                    <xdr:colOff>19050</xdr:colOff>
                    <xdr:row>7</xdr:row>
                    <xdr:rowOff>9525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86326-947D-41EC-ABB3-65B60A5AAC17}">
  <dimension ref="A1:Z540"/>
  <sheetViews>
    <sheetView zoomScaleNormal="100" workbookViewId="0">
      <pane xSplit="2" ySplit="8" topLeftCell="H122" activePane="bottomRight" state="frozen"/>
      <selection pane="topRight" activeCell="C1" sqref="C1"/>
      <selection pane="bottomLeft" activeCell="A9" sqref="A9"/>
      <selection pane="bottomRight"/>
    </sheetView>
  </sheetViews>
  <sheetFormatPr defaultRowHeight="15" x14ac:dyDescent="0.25"/>
  <cols>
    <col min="1" max="1" width="85.7109375" customWidth="1"/>
    <col min="2" max="2" width="25.7109375" customWidth="1"/>
    <col min="3" max="3" width="7.7109375" customWidth="1"/>
    <col min="4" max="26" width="10.7109375" customWidth="1"/>
  </cols>
  <sheetData>
    <row r="1" spans="1:26" x14ac:dyDescent="0.25">
      <c r="A1" s="11" t="s">
        <v>1133</v>
      </c>
      <c r="B1" s="15" t="s">
        <v>797</v>
      </c>
      <c r="C1" s="15">
        <f>MATCH($B$1,Assumptions!$C$7:$K$7,0)</f>
        <v>5</v>
      </c>
      <c r="D1" s="14" t="s">
        <v>1134</v>
      </c>
      <c r="E1" s="12"/>
      <c r="F1" s="12"/>
      <c r="G1" s="12"/>
      <c r="H1" s="12"/>
      <c r="I1" s="12"/>
      <c r="J1" s="12"/>
      <c r="K1" s="12"/>
      <c r="L1" s="12"/>
      <c r="M1" s="12"/>
      <c r="N1" s="12"/>
      <c r="O1" s="12"/>
      <c r="P1" s="12"/>
    </row>
    <row r="2" spans="1:26" x14ac:dyDescent="0.25">
      <c r="A2" s="14" t="s">
        <v>709</v>
      </c>
      <c r="B2" s="74" t="s">
        <v>1438</v>
      </c>
      <c r="C2" s="15" t="s">
        <v>846</v>
      </c>
      <c r="D2" s="14"/>
      <c r="E2" s="12"/>
      <c r="F2" s="12"/>
      <c r="G2" s="12"/>
      <c r="H2" s="12"/>
      <c r="I2" s="12"/>
      <c r="J2" s="12"/>
      <c r="K2" s="83" t="s">
        <v>1458</v>
      </c>
      <c r="L2" s="12"/>
      <c r="M2" s="12"/>
      <c r="N2" s="12"/>
      <c r="O2" s="12"/>
      <c r="P2" s="12"/>
      <c r="Q2" s="12"/>
    </row>
    <row r="3" spans="1:26" x14ac:dyDescent="0.25">
      <c r="A3" s="14"/>
      <c r="B3" s="74" t="s">
        <v>1439</v>
      </c>
      <c r="C3" s="15" t="s">
        <v>846</v>
      </c>
      <c r="D3" s="83" t="s">
        <v>1135</v>
      </c>
      <c r="E3" s="83" t="s">
        <v>1135</v>
      </c>
      <c r="F3" s="83" t="s">
        <v>1135</v>
      </c>
      <c r="G3" s="83" t="s">
        <v>1135</v>
      </c>
      <c r="H3" s="83" t="s">
        <v>1135</v>
      </c>
      <c r="I3" s="83" t="s">
        <v>1135</v>
      </c>
      <c r="J3" s="83" t="s">
        <v>1135</v>
      </c>
      <c r="K3" s="83" t="s">
        <v>1135</v>
      </c>
      <c r="L3" s="64" t="s">
        <v>1455</v>
      </c>
      <c r="M3" s="12"/>
      <c r="N3" s="12"/>
      <c r="O3" s="12"/>
      <c r="P3" s="12"/>
      <c r="Q3" s="11" t="s">
        <v>1454</v>
      </c>
    </row>
    <row r="4" spans="1:26" x14ac:dyDescent="0.25">
      <c r="A4" s="12"/>
      <c r="B4" s="12"/>
      <c r="C4" s="15"/>
      <c r="D4" s="83" t="s">
        <v>1136</v>
      </c>
      <c r="E4" s="83" t="s">
        <v>1136</v>
      </c>
      <c r="F4" s="83" t="s">
        <v>1136</v>
      </c>
      <c r="G4" s="83" t="s">
        <v>1136</v>
      </c>
      <c r="H4" s="83" t="s">
        <v>1136</v>
      </c>
      <c r="I4" s="83" t="s">
        <v>1136</v>
      </c>
      <c r="J4" s="83" t="s">
        <v>1136</v>
      </c>
      <c r="K4" s="83" t="s">
        <v>1136</v>
      </c>
      <c r="L4" s="84" t="s">
        <v>1137</v>
      </c>
      <c r="M4" s="12"/>
      <c r="N4" s="12"/>
      <c r="O4" s="12"/>
      <c r="P4" s="12"/>
      <c r="Q4" s="12" t="s">
        <v>1138</v>
      </c>
    </row>
    <row r="5" spans="1:26" x14ac:dyDescent="0.25">
      <c r="A5" s="11" t="s">
        <v>739</v>
      </c>
      <c r="B5" s="11"/>
      <c r="C5" s="15"/>
      <c r="D5" s="85" t="s">
        <v>355</v>
      </c>
      <c r="E5" s="85" t="s">
        <v>356</v>
      </c>
      <c r="F5" s="85" t="s">
        <v>357</v>
      </c>
      <c r="G5" s="85" t="s">
        <v>358</v>
      </c>
      <c r="H5" s="85" t="s">
        <v>359</v>
      </c>
      <c r="I5" s="85" t="s">
        <v>360</v>
      </c>
      <c r="J5" s="85" t="s">
        <v>1139</v>
      </c>
      <c r="K5" s="85" t="s">
        <v>362</v>
      </c>
      <c r="L5" s="65" t="s">
        <v>363</v>
      </c>
      <c r="M5" s="65" t="s">
        <v>364</v>
      </c>
      <c r="N5" s="65" t="s">
        <v>365</v>
      </c>
      <c r="O5" s="65" t="s">
        <v>366</v>
      </c>
      <c r="P5" s="65" t="s">
        <v>367</v>
      </c>
      <c r="Q5" s="15" t="s">
        <v>368</v>
      </c>
      <c r="R5" s="15" t="s">
        <v>369</v>
      </c>
      <c r="S5" s="15" t="s">
        <v>370</v>
      </c>
      <c r="T5" s="15" t="s">
        <v>371</v>
      </c>
      <c r="U5" s="15" t="s">
        <v>372</v>
      </c>
      <c r="V5" s="15" t="s">
        <v>373</v>
      </c>
      <c r="W5" s="15" t="s">
        <v>374</v>
      </c>
      <c r="X5" s="15" t="s">
        <v>375</v>
      </c>
      <c r="Y5" s="15" t="s">
        <v>376</v>
      </c>
      <c r="Z5" s="15" t="s">
        <v>1451</v>
      </c>
    </row>
    <row r="6" spans="1:26" x14ac:dyDescent="0.25">
      <c r="A6" s="12"/>
      <c r="B6" s="12"/>
      <c r="C6" s="15"/>
      <c r="D6" s="83">
        <v>2019</v>
      </c>
      <c r="E6" s="83">
        <v>2020</v>
      </c>
      <c r="F6" s="83">
        <v>2021</v>
      </c>
      <c r="G6" s="83">
        <v>2022</v>
      </c>
      <c r="H6" s="83">
        <v>2023</v>
      </c>
      <c r="I6" s="83">
        <v>2024</v>
      </c>
      <c r="J6" s="83">
        <v>2025</v>
      </c>
      <c r="K6" s="83">
        <v>2026</v>
      </c>
      <c r="L6" s="64">
        <v>2027</v>
      </c>
      <c r="M6" s="64">
        <v>2028</v>
      </c>
      <c r="N6" s="64">
        <v>2029</v>
      </c>
      <c r="O6" s="64">
        <v>2030</v>
      </c>
      <c r="P6" s="64">
        <v>2031</v>
      </c>
      <c r="Q6" s="11">
        <v>2032</v>
      </c>
      <c r="R6" s="11">
        <v>2033</v>
      </c>
      <c r="S6" s="11">
        <v>2034</v>
      </c>
      <c r="T6" s="11">
        <v>2035</v>
      </c>
      <c r="U6" s="11">
        <v>2036</v>
      </c>
      <c r="V6" s="11">
        <v>2037</v>
      </c>
      <c r="W6" s="11">
        <v>2038</v>
      </c>
      <c r="X6" s="11">
        <v>2039</v>
      </c>
      <c r="Y6" s="11">
        <v>2040</v>
      </c>
      <c r="Z6" s="11">
        <v>2041</v>
      </c>
    </row>
    <row r="7" spans="1:26" x14ac:dyDescent="0.25">
      <c r="A7" s="12"/>
      <c r="B7" s="12"/>
      <c r="C7" s="15"/>
      <c r="D7" s="51">
        <f ca="1">OFFSET(D$1,Display!$C$1-1,0)</f>
        <v>57.736000000000004</v>
      </c>
      <c r="E7" s="51">
        <f ca="1">OFFSET(E$1,Display!$C$1-1,0)</f>
        <v>83.375</v>
      </c>
      <c r="F7" s="51">
        <f ca="1">OFFSET(F$1,Display!$C$1-1,0)</f>
        <v>102.08000000000001</v>
      </c>
      <c r="G7" s="51">
        <f ca="1">OFFSET(G$1,Display!$C$1-1,0)</f>
        <v>128.87299999999996</v>
      </c>
      <c r="H7" s="51">
        <f ca="1">OFFSET(H$1,Display!$C$1-1,0)</f>
        <v>155.27300000000002</v>
      </c>
      <c r="I7" s="51">
        <f ca="1">OFFSET(I$1,Display!$C$1-1,0)</f>
        <v>175.46399999999997</v>
      </c>
      <c r="J7" s="51">
        <f ca="1">OFFSET(J$1,Display!$C$1-1,0)</f>
        <v>182.17099999999996</v>
      </c>
      <c r="K7" s="51">
        <f ca="1">OFFSET(K$1,Display!$C$1-1,0)</f>
        <v>186.70299999999995</v>
      </c>
      <c r="L7" s="47">
        <f ca="1">OFFSET(L$1,Display!$C$1-1,0)</f>
        <v>209.63100000000003</v>
      </c>
      <c r="M7" s="47">
        <f ca="1">OFFSET(M$1,Display!$C$1-1,0)</f>
        <v>222.95499999999998</v>
      </c>
      <c r="N7" s="47">
        <f ca="1">OFFSET(N$1,Display!$C$1-1,0)</f>
        <v>230.53400000000005</v>
      </c>
      <c r="O7" s="47">
        <f ca="1">OFFSET(O$1,Display!$C$1-1,0)</f>
        <v>232.76300000000001</v>
      </c>
      <c r="P7" s="47">
        <f ca="1">OFFSET(P$1,Display!$C$1-1,0)</f>
        <v>229.76900000000003</v>
      </c>
      <c r="Q7" s="21">
        <f ca="1">OFFSET(Q$1,Display!$C$1-1,0)</f>
        <v>223.45846966614181</v>
      </c>
      <c r="R7" s="21">
        <f ca="1">OFFSET(R$1,Display!$C$1-1,0)</f>
        <v>215.04649008425469</v>
      </c>
      <c r="S7" s="21">
        <f ca="1">OFFSET(S$1,Display!$C$1-1,0)</f>
        <v>204.22976743571809</v>
      </c>
      <c r="T7" s="21">
        <f ca="1">OFFSET(T$1,Display!$C$1-1,0)</f>
        <v>190.66305202368596</v>
      </c>
      <c r="U7" s="21">
        <f ca="1">OFFSET(U$1,Display!$C$1-1,0)</f>
        <v>174.4384546583517</v>
      </c>
      <c r="V7" s="21">
        <f ca="1">OFFSET(V$1,Display!$C$1-1,0)</f>
        <v>155.33916690873747</v>
      </c>
      <c r="W7" s="21">
        <f ca="1">OFFSET(W$1,Display!$C$1-1,0)</f>
        <v>133.24915398791484</v>
      </c>
      <c r="X7" s="21">
        <f ca="1">OFFSET(X$1,Display!$C$1-1,0)</f>
        <v>108.05329298661019</v>
      </c>
      <c r="Y7" s="21">
        <f ca="1">OFFSET(Y$1,Display!$C$1-1,0)</f>
        <v>79.609455361439245</v>
      </c>
      <c r="Z7" s="21">
        <f ca="1">OFFSET(Z$1,Display!$C$1-1,0)</f>
        <v>47.769722158252534</v>
      </c>
    </row>
    <row r="8" spans="1:26" x14ac:dyDescent="0.25">
      <c r="A8" s="62" t="s">
        <v>1140</v>
      </c>
      <c r="B8" s="12"/>
      <c r="C8" s="15"/>
      <c r="D8" s="86">
        <f t="shared" ref="D8:Z8" ca="1" si="0">D$7/D$13</f>
        <v>0.18614068232669406</v>
      </c>
      <c r="E8" s="86">
        <f t="shared" ca="1" si="0"/>
        <v>0.26228863546991743</v>
      </c>
      <c r="F8" s="86">
        <f t="shared" ca="1" si="0"/>
        <v>0.2969695030240968</v>
      </c>
      <c r="G8" s="86">
        <f t="shared" ca="1" si="0"/>
        <v>0.35278288767711269</v>
      </c>
      <c r="H8" s="86">
        <f t="shared" ca="1" si="0"/>
        <v>0.38641753789566163</v>
      </c>
      <c r="I8" s="86">
        <f t="shared" ca="1" si="0"/>
        <v>0.41691972114109738</v>
      </c>
      <c r="J8" s="86">
        <f t="shared" ca="1" si="0"/>
        <v>0.41871556596509524</v>
      </c>
      <c r="K8" s="86">
        <f t="shared" ca="1" si="0"/>
        <v>0.40954238158119854</v>
      </c>
      <c r="L8" s="87">
        <f t="shared" ca="1" si="0"/>
        <v>0.43662300388028802</v>
      </c>
      <c r="M8" s="87">
        <f t="shared" ca="1" si="0"/>
        <v>0.43931933139048002</v>
      </c>
      <c r="N8" s="87">
        <f t="shared" ca="1" si="0"/>
        <v>0.43305212577510543</v>
      </c>
      <c r="O8" s="87">
        <f t="shared" ca="1" si="0"/>
        <v>0.41762372364990824</v>
      </c>
      <c r="P8" s="87">
        <f t="shared" ca="1" si="0"/>
        <v>0.39454940088399243</v>
      </c>
      <c r="Q8" s="88">
        <f t="shared" ca="1" si="0"/>
        <v>0.3677066340241672</v>
      </c>
      <c r="R8" s="88">
        <f t="shared" ca="1" si="0"/>
        <v>0.33941716932628946</v>
      </c>
      <c r="S8" s="88">
        <f t="shared" ca="1" si="0"/>
        <v>0.30937892503953474</v>
      </c>
      <c r="T8" s="88">
        <f t="shared" ca="1" si="0"/>
        <v>0.27740719255235957</v>
      </c>
      <c r="U8" s="88">
        <f t="shared" ca="1" si="0"/>
        <v>0.24382417328424325</v>
      </c>
      <c r="V8" s="88">
        <f t="shared" ca="1" si="0"/>
        <v>0.208646687070521</v>
      </c>
      <c r="W8" s="88">
        <f t="shared" ca="1" si="0"/>
        <v>0.17206759179168415</v>
      </c>
      <c r="X8" s="88">
        <f t="shared" ca="1" si="0"/>
        <v>0.13420223624848368</v>
      </c>
      <c r="Y8" s="88">
        <f t="shared" ca="1" si="0"/>
        <v>9.5121155367449098E-2</v>
      </c>
      <c r="Z8" s="88">
        <f t="shared" ca="1" si="0"/>
        <v>5.4924714867168947E-2</v>
      </c>
    </row>
    <row r="9" spans="1:26" ht="16.5" x14ac:dyDescent="0.25">
      <c r="A9" s="63" t="s">
        <v>1141</v>
      </c>
      <c r="B9" s="11"/>
      <c r="C9" s="15"/>
      <c r="N9" s="21"/>
      <c r="O9" s="21"/>
      <c r="P9" s="21"/>
    </row>
    <row r="10" spans="1:26" x14ac:dyDescent="0.25">
      <c r="A10" s="57" t="s">
        <v>1142</v>
      </c>
      <c r="B10" s="11"/>
      <c r="C10" s="15"/>
    </row>
    <row r="11" spans="1:26" x14ac:dyDescent="0.25">
      <c r="A11" s="11" t="s">
        <v>1143</v>
      </c>
      <c r="B11" s="11"/>
      <c r="C11" s="15"/>
      <c r="D11" s="50">
        <f>'Economic Forecasts'!Q$6</f>
        <v>254.292</v>
      </c>
      <c r="E11" s="50">
        <f>'Economic Forecasts'!R$6</f>
        <v>252.36600000000001</v>
      </c>
      <c r="F11" s="50">
        <f>'Economic Forecasts'!S$6</f>
        <v>268.197</v>
      </c>
      <c r="G11" s="50">
        <f>'Economic Forecasts'!T$6</f>
        <v>269.44099999999997</v>
      </c>
      <c r="H11" s="50">
        <f>'Economic Forecasts'!U$6</f>
        <v>280.19900000000001</v>
      </c>
      <c r="I11" s="50">
        <f>'Economic Forecasts'!V$6</f>
        <v>283.19900000000001</v>
      </c>
      <c r="J11" s="50">
        <f>'Economic Forecasts'!W$6</f>
        <v>280.02600000000001</v>
      </c>
      <c r="K11" s="50">
        <f>'Economic Forecasts'!X$6</f>
        <v>284.452</v>
      </c>
      <c r="L11" s="48">
        <f>'Economic Forecasts'!Y$6</f>
        <v>290.95600000000002</v>
      </c>
      <c r="M11" s="48">
        <f>'Economic Forecasts'!Z$6</f>
        <v>299.44799999999998</v>
      </c>
      <c r="N11" s="48">
        <f>'Economic Forecasts'!AA$6</f>
        <v>307.44</v>
      </c>
      <c r="O11" s="48">
        <f>'Economic Forecasts'!AB$6</f>
        <v>315.48</v>
      </c>
      <c r="P11" s="48">
        <f>'Economic Forecasts'!AC$6</f>
        <v>323.28500000000003</v>
      </c>
      <c r="Q11" s="20">
        <f t="shared" ref="Q11:Z11" ca="1" si="1">P$11*Q$16*(1-Q$23)*Q$24/(P$16*(1-P$23)*P$24)*(1+Q$25)</f>
        <v>330.74302308733979</v>
      </c>
      <c r="R11" s="20">
        <f t="shared" ca="1" si="1"/>
        <v>338.05994488997879</v>
      </c>
      <c r="S11" s="20">
        <f t="shared" ca="1" si="1"/>
        <v>345.32125444641918</v>
      </c>
      <c r="T11" s="20">
        <f t="shared" ca="1" si="1"/>
        <v>352.4874386696892</v>
      </c>
      <c r="U11" s="20">
        <f t="shared" ca="1" si="1"/>
        <v>359.71630191712956</v>
      </c>
      <c r="V11" s="20">
        <f t="shared" ca="1" si="1"/>
        <v>366.99821871357733</v>
      </c>
      <c r="W11" s="20">
        <f t="shared" ca="1" si="1"/>
        <v>374.24817053805771</v>
      </c>
      <c r="X11" s="20">
        <f t="shared" ca="1" si="1"/>
        <v>381.4805398595646</v>
      </c>
      <c r="Y11" s="20">
        <f t="shared" ca="1" si="1"/>
        <v>388.75993310147635</v>
      </c>
      <c r="Z11" s="20">
        <f t="shared" ca="1" si="1"/>
        <v>396.07615304809468</v>
      </c>
    </row>
    <row r="12" spans="1:26" x14ac:dyDescent="0.25">
      <c r="A12" s="14" t="s">
        <v>741</v>
      </c>
      <c r="B12" s="11"/>
      <c r="C12" s="15"/>
      <c r="D12" s="50"/>
      <c r="E12" s="89">
        <f t="shared" ref="E12:Z12" si="2">E$11/D$11-1</f>
        <v>-7.5739700816384037E-3</v>
      </c>
      <c r="F12" s="89">
        <f t="shared" si="2"/>
        <v>6.2730320249161808E-2</v>
      </c>
      <c r="G12" s="89">
        <f t="shared" si="2"/>
        <v>4.6383814882342556E-3</v>
      </c>
      <c r="H12" s="89">
        <f t="shared" si="2"/>
        <v>3.9927108346539786E-2</v>
      </c>
      <c r="I12" s="89">
        <f t="shared" si="2"/>
        <v>1.0706676326468045E-2</v>
      </c>
      <c r="J12" s="89">
        <f t="shared" si="2"/>
        <v>-1.1204135607823518E-2</v>
      </c>
      <c r="K12" s="89">
        <f t="shared" si="2"/>
        <v>1.5805675187303914E-2</v>
      </c>
      <c r="L12" s="66">
        <f>L$11/K$11-1</f>
        <v>2.2865017647968777E-2</v>
      </c>
      <c r="M12" s="66">
        <f>M$11/L$11-1</f>
        <v>2.9186543669833087E-2</v>
      </c>
      <c r="N12" s="66">
        <f>N$11/M$11-1</f>
        <v>2.6689107958643987E-2</v>
      </c>
      <c r="O12" s="66">
        <f>O$11/N$11-1</f>
        <v>2.615144418423121E-2</v>
      </c>
      <c r="P12" s="66">
        <f>P$11/O$11-1</f>
        <v>2.474007861037153E-2</v>
      </c>
      <c r="Q12" s="17">
        <f t="shared" ca="1" si="2"/>
        <v>2.3069499318990161E-2</v>
      </c>
      <c r="R12" s="17">
        <f t="shared" ca="1" si="2"/>
        <v>2.2122679215841767E-2</v>
      </c>
      <c r="S12" s="17">
        <f t="shared" ca="1" si="2"/>
        <v>2.1479354967071096E-2</v>
      </c>
      <c r="T12" s="17">
        <f t="shared" ca="1" si="2"/>
        <v>2.0752224576382039E-2</v>
      </c>
      <c r="U12" s="17">
        <f t="shared" ca="1" si="2"/>
        <v>2.0508144275218854E-2</v>
      </c>
      <c r="V12" s="17">
        <f t="shared" ca="1" si="2"/>
        <v>2.0243499551280797E-2</v>
      </c>
      <c r="W12" s="17">
        <f t="shared" ca="1" si="2"/>
        <v>1.9754733006316361E-2</v>
      </c>
      <c r="X12" s="17">
        <f t="shared" ca="1" si="2"/>
        <v>1.9325062594451436E-2</v>
      </c>
      <c r="Y12" s="17">
        <f t="shared" ca="1" si="2"/>
        <v>1.9081951715260503E-2</v>
      </c>
      <c r="Z12" s="17">
        <f t="shared" ca="1" si="2"/>
        <v>1.8819377522396596E-2</v>
      </c>
    </row>
    <row r="13" spans="1:26" x14ac:dyDescent="0.25">
      <c r="A13" s="11" t="s">
        <v>1144</v>
      </c>
      <c r="B13" s="11"/>
      <c r="C13" s="15"/>
      <c r="D13" s="51">
        <f>'Economic Forecasts'!Q$7</f>
        <v>310.17399999999998</v>
      </c>
      <c r="E13" s="51">
        <f>'Economic Forecasts'!R$7</f>
        <v>317.875</v>
      </c>
      <c r="F13" s="51">
        <f>'Economic Forecasts'!S$7</f>
        <v>343.73899999999998</v>
      </c>
      <c r="G13" s="51">
        <f>'Economic Forecasts'!T$7</f>
        <v>365.30399999999997</v>
      </c>
      <c r="H13" s="51">
        <f>'Economic Forecasts'!U$7</f>
        <v>401.827</v>
      </c>
      <c r="I13" s="51">
        <f>'Economic Forecasts'!V$7</f>
        <v>420.858</v>
      </c>
      <c r="J13" s="51">
        <f>'Economic Forecasts'!W$7</f>
        <v>435.07100000000003</v>
      </c>
      <c r="K13" s="51">
        <f>'Economic Forecasts'!X$7</f>
        <v>455.88200000000001</v>
      </c>
      <c r="L13" s="47">
        <f>'Economic Forecasts'!Y$7</f>
        <v>480.11900000000003</v>
      </c>
      <c r="M13" s="47">
        <f>'Economic Forecasts'!Z$7</f>
        <v>507.50099999999998</v>
      </c>
      <c r="N13" s="47">
        <f>'Economic Forecasts'!AA$7</f>
        <v>532.34699999999998</v>
      </c>
      <c r="O13" s="47">
        <f>'Economic Forecasts'!AB$7</f>
        <v>557.351</v>
      </c>
      <c r="P13" s="47">
        <f>'Economic Forecasts'!AC$7</f>
        <v>582.35799999999995</v>
      </c>
      <c r="Q13" s="21">
        <f t="shared" ref="Q13:Z13" ca="1" si="3">P$13*Q$11/P$11*(1+Q$29)</f>
        <v>607.70856163409655</v>
      </c>
      <c r="R13" s="21">
        <f t="shared" ca="1" si="3"/>
        <v>633.57575726384539</v>
      </c>
      <c r="S13" s="21">
        <f t="shared" ca="1" si="3"/>
        <v>660.12824696969938</v>
      </c>
      <c r="T13" s="21">
        <f t="shared" ca="1" si="3"/>
        <v>687.30392413202844</v>
      </c>
      <c r="U13" s="21">
        <f t="shared" ca="1" si="3"/>
        <v>715.42723721243317</v>
      </c>
      <c r="V13" s="21">
        <f t="shared" ca="1" si="3"/>
        <v>744.50818793127542</v>
      </c>
      <c r="W13" s="21">
        <f t="shared" ca="1" si="3"/>
        <v>774.40006337297166</v>
      </c>
      <c r="X13" s="21">
        <f t="shared" ca="1" si="3"/>
        <v>805.1527009322175</v>
      </c>
      <c r="Y13" s="21">
        <f t="shared" ca="1" si="3"/>
        <v>836.92691761271408</v>
      </c>
      <c r="Z13" s="21">
        <f t="shared" ca="1" si="3"/>
        <v>869.73090845860202</v>
      </c>
    </row>
    <row r="14" spans="1:26" x14ac:dyDescent="0.25">
      <c r="A14" s="14" t="str">
        <f>$A$12</f>
        <v>Annual percentage growth</v>
      </c>
      <c r="B14" s="11"/>
      <c r="C14" s="15"/>
      <c r="D14" s="89"/>
      <c r="E14" s="89">
        <f t="shared" ref="E14:Z14" si="4">E$13/D$13-1</f>
        <v>2.48279997678722E-2</v>
      </c>
      <c r="F14" s="89">
        <f t="shared" si="4"/>
        <v>8.13653165552497E-2</v>
      </c>
      <c r="G14" s="89">
        <f t="shared" si="4"/>
        <v>6.2736553024242303E-2</v>
      </c>
      <c r="H14" s="89">
        <f t="shared" si="4"/>
        <v>9.9979742899064972E-2</v>
      </c>
      <c r="I14" s="89">
        <f t="shared" si="4"/>
        <v>4.73611778203058E-2</v>
      </c>
      <c r="J14" s="89">
        <f t="shared" si="4"/>
        <v>3.3771485869343199E-2</v>
      </c>
      <c r="K14" s="89">
        <f t="shared" si="4"/>
        <v>4.7833571991697799E-2</v>
      </c>
      <c r="L14" s="66">
        <f>L$13/K$13-1</f>
        <v>5.3165073418121489E-2</v>
      </c>
      <c r="M14" s="66">
        <f>M$13/L$13-1</f>
        <v>5.7031694225806451E-2</v>
      </c>
      <c r="N14" s="66">
        <f>N$13/M$13-1</f>
        <v>4.8957538999923056E-2</v>
      </c>
      <c r="O14" s="66">
        <f>O$13/N$13-1</f>
        <v>4.6969363967487299E-2</v>
      </c>
      <c r="P14" s="66">
        <f>P$13/O$13-1</f>
        <v>4.486759690033737E-2</v>
      </c>
      <c r="Q14" s="17">
        <f t="shared" ca="1" si="4"/>
        <v>4.3530889305369858E-2</v>
      </c>
      <c r="R14" s="17">
        <f t="shared" ca="1" si="4"/>
        <v>4.2565132800158834E-2</v>
      </c>
      <c r="S14" s="17">
        <f t="shared" ca="1" si="4"/>
        <v>4.1908942066412491E-2</v>
      </c>
      <c r="T14" s="17">
        <f t="shared" ca="1" si="4"/>
        <v>4.1167269067909462E-2</v>
      </c>
      <c r="U14" s="17">
        <f t="shared" ca="1" si="4"/>
        <v>4.0918307160723089E-2</v>
      </c>
      <c r="V14" s="17">
        <f t="shared" ca="1" si="4"/>
        <v>4.0648369542306328E-2</v>
      </c>
      <c r="W14" s="17">
        <f t="shared" ca="1" si="4"/>
        <v>4.0149827666442706E-2</v>
      </c>
      <c r="X14" s="17">
        <f t="shared" ca="1" si="4"/>
        <v>3.9711563846340336E-2</v>
      </c>
      <c r="Y14" s="17">
        <f t="shared" ca="1" si="4"/>
        <v>3.9463590749565736E-2</v>
      </c>
      <c r="Z14" s="17">
        <f t="shared" ca="1" si="4"/>
        <v>3.9195765072844724E-2</v>
      </c>
    </row>
    <row r="15" spans="1:26" x14ac:dyDescent="0.25">
      <c r="A15" s="57" t="s">
        <v>1145</v>
      </c>
      <c r="B15" s="11"/>
      <c r="C15" s="15"/>
      <c r="D15" s="50"/>
    </row>
    <row r="16" spans="1:26" x14ac:dyDescent="0.25">
      <c r="A16" s="11" t="s">
        <v>1146</v>
      </c>
      <c r="B16" s="11"/>
      <c r="C16" s="15"/>
      <c r="D16" s="50">
        <f>'Economic Forecasts'!Q$8</f>
        <v>2.7928000000000002</v>
      </c>
      <c r="E16" s="50">
        <f>'Economic Forecasts'!R$8</f>
        <v>2.831</v>
      </c>
      <c r="F16" s="50">
        <f>'Economic Forecasts'!S$8</f>
        <v>2.8598000000000003</v>
      </c>
      <c r="G16" s="50">
        <f>'Economic Forecasts'!T$8</f>
        <v>2.8898000000000001</v>
      </c>
      <c r="H16" s="50">
        <f>'Economic Forecasts'!U$8</f>
        <v>2.9653</v>
      </c>
      <c r="I16" s="50">
        <f>'Economic Forecasts'!V$8</f>
        <v>3.0393000000000003</v>
      </c>
      <c r="J16" s="50">
        <f>'Economic Forecasts'!W$8</f>
        <v>3.0343</v>
      </c>
      <c r="K16" s="50">
        <f>'Economic Forecasts'!X$8</f>
        <v>3.0533000000000001</v>
      </c>
      <c r="L16" s="48">
        <f>'Economic Forecasts'!Y$8</f>
        <v>3.1035999999999997</v>
      </c>
      <c r="M16" s="48">
        <f>'Economic Forecasts'!Z$8</f>
        <v>3.1566999999999998</v>
      </c>
      <c r="N16" s="48">
        <f>'Economic Forecasts'!AA$8</f>
        <v>3.2050000000000001</v>
      </c>
      <c r="O16" s="48">
        <f>'Economic Forecasts'!AB$8</f>
        <v>3.2505999999999999</v>
      </c>
      <c r="P16" s="48">
        <f>'Economic Forecasts'!AC$8</f>
        <v>3.2938000000000001</v>
      </c>
      <c r="Q16" s="20">
        <f>P$16*'Labour Force Treasury'!J$4/'Labour Force Treasury'!I$4</f>
        <v>3.3335325529278124</v>
      </c>
      <c r="R16" s="20">
        <f>Q$16*'Labour Force Treasury'!K$4/'Labour Force Treasury'!J$4</f>
        <v>3.3721792638940307</v>
      </c>
      <c r="S16" s="20">
        <f>R$16*'Labour Force Treasury'!L$4/'Labour Force Treasury'!K$4</f>
        <v>3.4096753280890426</v>
      </c>
      <c r="T16" s="20">
        <f>S$16*'Labour Force Treasury'!M$4/'Labour Force Treasury'!L$4</f>
        <v>3.4459739368614799</v>
      </c>
      <c r="U16" s="20">
        <f>T$16*'Labour Force Treasury'!N$4/'Labour Force Treasury'!M$4</f>
        <v>3.4818262054725535</v>
      </c>
      <c r="V16" s="20">
        <f>U$16*'Labour Force Treasury'!O$4/'Labour Force Treasury'!N$4</f>
        <v>3.5171391610897769</v>
      </c>
      <c r="W16" s="20">
        <f>V$16*'Labour Force Treasury'!P$4/'Labour Force Treasury'!O$4</f>
        <v>3.5511082239239253</v>
      </c>
      <c r="X16" s="20">
        <f>W$16*'Labour Force Treasury'!Q$4/'Labour Force Treasury'!P$4</f>
        <v>3.5838946659712145</v>
      </c>
      <c r="Y16" s="20">
        <f>X$16*'Labour Force Treasury'!R$4/'Labour Force Treasury'!Q$4</f>
        <v>3.6161211593463936</v>
      </c>
      <c r="Z16" s="20">
        <f>Y$16*'Labour Force Treasury'!S$4/'Labour Force Treasury'!R$4</f>
        <v>3.6476973352582767</v>
      </c>
    </row>
    <row r="17" spans="1:26" x14ac:dyDescent="0.25">
      <c r="A17" s="14" t="str">
        <f>$A$12</f>
        <v>Annual percentage growth</v>
      </c>
      <c r="B17" s="11"/>
      <c r="C17" s="15"/>
      <c r="D17" s="90"/>
      <c r="E17" s="89">
        <f t="shared" ref="E17:Z17" si="5">E$16/D$16-1</f>
        <v>1.3678029217988996E-2</v>
      </c>
      <c r="F17" s="89">
        <f t="shared" si="5"/>
        <v>1.0173083716001452E-2</v>
      </c>
      <c r="G17" s="89">
        <f t="shared" si="5"/>
        <v>1.0490244073012134E-2</v>
      </c>
      <c r="H17" s="89">
        <f t="shared" si="5"/>
        <v>2.6126375527718126E-2</v>
      </c>
      <c r="I17" s="89">
        <f t="shared" si="5"/>
        <v>2.495531649411542E-2</v>
      </c>
      <c r="J17" s="89">
        <f t="shared" si="5"/>
        <v>-1.6451156516303911E-3</v>
      </c>
      <c r="K17" s="89">
        <f t="shared" si="5"/>
        <v>6.2617407639324885E-3</v>
      </c>
      <c r="L17" s="66">
        <f>L$16/K$16-1</f>
        <v>1.6473978973569503E-2</v>
      </c>
      <c r="M17" s="66">
        <f>M$16/L$16-1</f>
        <v>1.7109163552004203E-2</v>
      </c>
      <c r="N17" s="66">
        <f>N$16/M$16-1</f>
        <v>1.5300788798428888E-2</v>
      </c>
      <c r="O17" s="66">
        <f>O$16/N$16-1</f>
        <v>1.4227769110764399E-2</v>
      </c>
      <c r="P17" s="66">
        <f>P$16/O$16-1</f>
        <v>1.3289854180766669E-2</v>
      </c>
      <c r="Q17" s="17">
        <f t="shared" si="5"/>
        <v>1.2062831054651779E-2</v>
      </c>
      <c r="R17" s="17">
        <f t="shared" si="5"/>
        <v>1.1593320404888585E-2</v>
      </c>
      <c r="S17" s="17">
        <f t="shared" si="5"/>
        <v>1.111923811301585E-2</v>
      </c>
      <c r="T17" s="17">
        <f t="shared" si="5"/>
        <v>1.0645766907308785E-2</v>
      </c>
      <c r="U17" s="17">
        <f t="shared" si="5"/>
        <v>1.0404103242790841E-2</v>
      </c>
      <c r="V17" s="17">
        <f t="shared" si="5"/>
        <v>1.0142078763644369E-2</v>
      </c>
      <c r="W17" s="17">
        <f t="shared" si="5"/>
        <v>9.6581514914022559E-3</v>
      </c>
      <c r="X17" s="17">
        <f t="shared" si="5"/>
        <v>9.2327352420311648E-3</v>
      </c>
      <c r="Y17" s="17">
        <f t="shared" si="5"/>
        <v>8.9920314012481573E-3</v>
      </c>
      <c r="Z17" s="17">
        <f t="shared" si="5"/>
        <v>8.7320569528677172E-3</v>
      </c>
    </row>
    <row r="18" spans="1:26" x14ac:dyDescent="0.25">
      <c r="A18" s="11" t="s">
        <v>1147</v>
      </c>
      <c r="B18" s="11"/>
      <c r="C18" s="15"/>
      <c r="D18" s="50">
        <f>'Economic Forecasts'!Q$9</f>
        <v>3.9419</v>
      </c>
      <c r="E18" s="50">
        <f>'Economic Forecasts'!R$9</f>
        <v>4.0198</v>
      </c>
      <c r="F18" s="50">
        <f>'Economic Forecasts'!S$9</f>
        <v>4.0667</v>
      </c>
      <c r="G18" s="50">
        <f>'Economic Forecasts'!T$9</f>
        <v>4.0703000000000005</v>
      </c>
      <c r="H18" s="50">
        <f>'Economic Forecasts'!U$9</f>
        <v>4.1178999999999997</v>
      </c>
      <c r="I18" s="50">
        <f>'Economic Forecasts'!V$9</f>
        <v>4.2371999999999996</v>
      </c>
      <c r="J18" s="50">
        <f>'Economic Forecasts'!W$9</f>
        <v>4.2868999999999993</v>
      </c>
      <c r="K18" s="50">
        <f>'Economic Forecasts'!X$9</f>
        <v>4.3319999999999999</v>
      </c>
      <c r="L18" s="48">
        <f>'Economic Forecasts'!Y$9</f>
        <v>4.3866999999999994</v>
      </c>
      <c r="M18" s="48">
        <f>'Economic Forecasts'!Z$9</f>
        <v>4.4423000000000004</v>
      </c>
      <c r="N18" s="48">
        <f>'Economic Forecasts'!AA$9</f>
        <v>4.5003000000000002</v>
      </c>
      <c r="O18" s="48">
        <f>'Economic Forecasts'!AB$9</f>
        <v>4.5590000000000002</v>
      </c>
      <c r="P18" s="48">
        <f>'Economic Forecasts'!AC$9</f>
        <v>4.6177999999999999</v>
      </c>
      <c r="Q18" s="20">
        <f>P$18*'Population Treasury'!AB$6/'Population Treasury'!AA$6</f>
        <v>4.6771358808609396</v>
      </c>
      <c r="R18" s="20">
        <f>Q$18*'Population Treasury'!AC$6/'Population Treasury'!AB$6</f>
        <v>4.7345664681015647</v>
      </c>
      <c r="S18" s="20">
        <f>R$18*'Population Treasury'!AD$6/'Population Treasury'!AC$6</f>
        <v>4.7911242127851628</v>
      </c>
      <c r="T18" s="20">
        <f>S$18*'Population Treasury'!AE$6/'Population Treasury'!AD$6</f>
        <v>4.8453742127851633</v>
      </c>
      <c r="U18" s="20">
        <f>T$18*'Population Treasury'!AF$6/'Population Treasury'!AE$6</f>
        <v>4.8998342127851631</v>
      </c>
      <c r="V18" s="20">
        <f>U$18*'Population Treasury'!AG$6/'Population Treasury'!AF$6</f>
        <v>4.9531442127851628</v>
      </c>
      <c r="W18" s="20">
        <f>V$18*'Population Treasury'!AH$6/'Population Treasury'!AG$6</f>
        <v>5.0015842127851631</v>
      </c>
      <c r="X18" s="20">
        <f>W$18*'Population Treasury'!AI$6/'Population Treasury'!AH$6</f>
        <v>5.0492242127851625</v>
      </c>
      <c r="Y18" s="20">
        <f>X$18*'Population Treasury'!AJ$6/'Population Treasury'!AI$6</f>
        <v>5.0974042127851638</v>
      </c>
      <c r="Z18" s="20">
        <f>Y$18*'Population Treasury'!AK$6/'Population Treasury'!AJ$6</f>
        <v>5.1449142127851628</v>
      </c>
    </row>
    <row r="19" spans="1:26" x14ac:dyDescent="0.25">
      <c r="A19" s="14" t="str">
        <f>$A$12</f>
        <v>Annual percentage growth</v>
      </c>
      <c r="B19" s="11"/>
      <c r="C19" s="15"/>
      <c r="D19" s="89"/>
      <c r="E19" s="89">
        <f t="shared" ref="E19:Z19" si="6">E$18/D$18-1</f>
        <v>1.9762043684517616E-2</v>
      </c>
      <c r="F19" s="89">
        <f t="shared" si="6"/>
        <v>1.1667247126722735E-2</v>
      </c>
      <c r="G19" s="89">
        <f t="shared" si="6"/>
        <v>8.852386455850958E-4</v>
      </c>
      <c r="H19" s="89">
        <f t="shared" si="6"/>
        <v>1.1694469695108234E-2</v>
      </c>
      <c r="I19" s="89">
        <f t="shared" si="6"/>
        <v>2.8971077490954178E-2</v>
      </c>
      <c r="J19" s="89">
        <f t="shared" si="6"/>
        <v>1.1729443972434472E-2</v>
      </c>
      <c r="K19" s="89">
        <f t="shared" si="6"/>
        <v>1.0520422683057751E-2</v>
      </c>
      <c r="L19" s="66">
        <f>L$18/K$18-1</f>
        <v>1.2626962142197495E-2</v>
      </c>
      <c r="M19" s="66">
        <f>M$18/L$18-1</f>
        <v>1.2674675724348772E-2</v>
      </c>
      <c r="N19" s="66">
        <f>N$18/M$18-1</f>
        <v>1.3056299664588211E-2</v>
      </c>
      <c r="O19" s="66">
        <f>O$18/N$18-1</f>
        <v>1.3043574872786179E-2</v>
      </c>
      <c r="P19" s="66">
        <f>P$18/O$18-1</f>
        <v>1.2897565255538535E-2</v>
      </c>
      <c r="Q19" s="17">
        <f t="shared" si="6"/>
        <v>1.2849383009428728E-2</v>
      </c>
      <c r="R19" s="17">
        <f t="shared" si="6"/>
        <v>1.2279007645604967E-2</v>
      </c>
      <c r="S19" s="17">
        <f t="shared" si="6"/>
        <v>1.1945707186634236E-2</v>
      </c>
      <c r="T19" s="17">
        <f t="shared" si="6"/>
        <v>1.132302098435134E-2</v>
      </c>
      <c r="U19" s="17">
        <f t="shared" si="6"/>
        <v>1.1239585965579169E-2</v>
      </c>
      <c r="V19" s="17">
        <f t="shared" si="6"/>
        <v>1.0879959950664819E-2</v>
      </c>
      <c r="W19" s="17">
        <f t="shared" si="6"/>
        <v>9.7796466081010447E-3</v>
      </c>
      <c r="X19" s="17">
        <f t="shared" si="6"/>
        <v>9.5249820803218199E-3</v>
      </c>
      <c r="Y19" s="17">
        <f t="shared" si="6"/>
        <v>9.5420599223945413E-3</v>
      </c>
      <c r="Z19" s="17">
        <f t="shared" si="6"/>
        <v>9.3204301673459611E-3</v>
      </c>
    </row>
    <row r="20" spans="1:26" x14ac:dyDescent="0.25">
      <c r="A20" s="11" t="s">
        <v>1148</v>
      </c>
      <c r="B20" s="11"/>
      <c r="C20" s="15"/>
      <c r="D20" s="89">
        <f t="shared" ref="D20:Z20" si="7">D$16/D$18</f>
        <v>0.70849082929551743</v>
      </c>
      <c r="E20" s="89">
        <f t="shared" si="7"/>
        <v>0.70426389372605602</v>
      </c>
      <c r="F20" s="89">
        <f t="shared" si="7"/>
        <v>0.70322374406767163</v>
      </c>
      <c r="G20" s="89">
        <f t="shared" si="7"/>
        <v>0.70997223791858088</v>
      </c>
      <c r="H20" s="89">
        <f t="shared" si="7"/>
        <v>0.72010005099686736</v>
      </c>
      <c r="I20" s="89">
        <f t="shared" si="7"/>
        <v>0.71728971962616839</v>
      </c>
      <c r="J20" s="89">
        <f t="shared" si="7"/>
        <v>0.70780750658984359</v>
      </c>
      <c r="K20" s="89">
        <f t="shared" si="7"/>
        <v>0.7048245614035088</v>
      </c>
      <c r="L20" s="66">
        <f t="shared" si="7"/>
        <v>0.70750222262748763</v>
      </c>
      <c r="M20" s="66">
        <f t="shared" si="7"/>
        <v>0.71060036467595611</v>
      </c>
      <c r="N20" s="66">
        <f t="shared" si="7"/>
        <v>0.7121747439059618</v>
      </c>
      <c r="O20" s="66">
        <f t="shared" si="7"/>
        <v>0.71300723842948011</v>
      </c>
      <c r="P20" s="66">
        <f t="shared" si="7"/>
        <v>0.71328338169691197</v>
      </c>
      <c r="Q20" s="17">
        <f t="shared" si="7"/>
        <v>0.71272946474973808</v>
      </c>
      <c r="R20" s="17">
        <f t="shared" si="7"/>
        <v>0.71224668332646413</v>
      </c>
      <c r="S20" s="17">
        <f t="shared" si="7"/>
        <v>0.71166498230003927</v>
      </c>
      <c r="T20" s="17">
        <f t="shared" si="7"/>
        <v>0.71118840063349908</v>
      </c>
      <c r="U20" s="17">
        <f t="shared" si="7"/>
        <v>0.71060081918433204</v>
      </c>
      <c r="V20" s="17">
        <f t="shared" si="7"/>
        <v>0.71008212359560652</v>
      </c>
      <c r="W20" s="17">
        <f t="shared" si="7"/>
        <v>0.7099966876187952</v>
      </c>
      <c r="X20" s="17">
        <f t="shared" si="7"/>
        <v>0.70979115106364643</v>
      </c>
      <c r="Y20" s="17">
        <f t="shared" si="7"/>
        <v>0.70940443574722634</v>
      </c>
      <c r="Z20" s="17">
        <f t="shared" si="7"/>
        <v>0.70899089555151618</v>
      </c>
    </row>
    <row r="21" spans="1:26" x14ac:dyDescent="0.25">
      <c r="A21" s="11" t="s">
        <v>779</v>
      </c>
      <c r="B21" s="11"/>
      <c r="C21" s="15"/>
      <c r="D21" s="50">
        <f>'Economic Forecasts'!Q$10</f>
        <v>4.9462000000000002</v>
      </c>
      <c r="E21" s="50">
        <f>'Economic Forecasts'!R$10</f>
        <v>5.0406000000000004</v>
      </c>
      <c r="F21" s="50">
        <f>'Economic Forecasts'!S$10</f>
        <v>5.0821000000000005</v>
      </c>
      <c r="G21" s="50">
        <f>'Economic Forecasts'!T$10</f>
        <v>5.0838000000000001</v>
      </c>
      <c r="H21" s="50">
        <f>'Economic Forecasts'!U$10</f>
        <v>5.1452</v>
      </c>
      <c r="I21" s="50">
        <f>'Economic Forecasts'!V$10</f>
        <v>5.2688000000000006</v>
      </c>
      <c r="J21" s="50">
        <f>'Economic Forecasts'!W$10</f>
        <v>5.3117999999999999</v>
      </c>
      <c r="K21" s="50">
        <f>'Economic Forecasts'!X$10</f>
        <v>5.3451000000000004</v>
      </c>
      <c r="L21" s="48">
        <f>'Economic Forecasts'!Y$10</f>
        <v>5.3923000000000005</v>
      </c>
      <c r="M21" s="48">
        <f>'Economic Forecasts'!Z$10</f>
        <v>5.4530000000000003</v>
      </c>
      <c r="N21" s="48">
        <f>'Economic Forecasts'!AA$10</f>
        <v>5.5176999999999996</v>
      </c>
      <c r="O21" s="48">
        <f>'Economic Forecasts'!AB$10</f>
        <v>5.5833999999999993</v>
      </c>
      <c r="P21" s="48">
        <f>'Economic Forecasts'!AC$10</f>
        <v>5.6493000000000002</v>
      </c>
      <c r="Q21" s="20">
        <f>P$21*'Population Treasury'!AB$4/'Population Treasury'!AA$4</f>
        <v>5.7052600060217733</v>
      </c>
      <c r="R21" s="20">
        <f>Q$21*'Population Treasury'!AC$4/'Population Treasury'!AB$4</f>
        <v>5.7601500100362912</v>
      </c>
      <c r="S21" s="20">
        <f>R$21*'Population Treasury'!AD$4/'Population Treasury'!AC$4</f>
        <v>5.8138600117090098</v>
      </c>
      <c r="T21" s="20">
        <f>S$21*'Population Treasury'!AE$4/'Population Treasury'!AD$4</f>
        <v>5.8664900117090104</v>
      </c>
      <c r="U21" s="20">
        <f>T$21*'Population Treasury'!AF$4/'Population Treasury'!AE$4</f>
        <v>5.9189500117090104</v>
      </c>
      <c r="V21" s="20">
        <f>U$21*'Population Treasury'!AG$4/'Population Treasury'!AF$4</f>
        <v>5.9709800117090097</v>
      </c>
      <c r="W21" s="20">
        <f>V$21*'Population Treasury'!AH$4/'Population Treasury'!AG$4</f>
        <v>6.0227600117090105</v>
      </c>
      <c r="X21" s="20">
        <f>W$21*'Population Treasury'!AI$4/'Population Treasury'!AH$4</f>
        <v>6.0742300117090098</v>
      </c>
      <c r="Y21" s="20">
        <f>X$21*'Population Treasury'!AJ$4/'Population Treasury'!AI$4</f>
        <v>6.1255100117090082</v>
      </c>
      <c r="Z21" s="20">
        <f>Y$21*'Population Treasury'!AK$4/'Population Treasury'!AJ$4</f>
        <v>6.1764800117090095</v>
      </c>
    </row>
    <row r="22" spans="1:26" x14ac:dyDescent="0.25">
      <c r="A22" s="14" t="str">
        <f>$A$12</f>
        <v>Annual percentage growth</v>
      </c>
      <c r="B22" s="57"/>
      <c r="C22" s="15"/>
      <c r="D22" s="91"/>
      <c r="E22" s="89">
        <f t="shared" ref="E22:Z22" si="8">E$21/D$21-1</f>
        <v>1.9085358456997437E-2</v>
      </c>
      <c r="F22" s="89">
        <f t="shared" si="8"/>
        <v>8.2331468475975722E-3</v>
      </c>
      <c r="G22" s="89">
        <f t="shared" si="8"/>
        <v>3.3450738867779606E-4</v>
      </c>
      <c r="H22" s="89">
        <f t="shared" si="8"/>
        <v>1.2077579763169366E-2</v>
      </c>
      <c r="I22" s="89">
        <f t="shared" si="8"/>
        <v>2.4022389800202326E-2</v>
      </c>
      <c r="J22" s="89">
        <f t="shared" si="8"/>
        <v>8.1612511387791908E-3</v>
      </c>
      <c r="K22" s="89">
        <f t="shared" si="8"/>
        <v>6.2690613351408242E-3</v>
      </c>
      <c r="L22" s="66">
        <f>L$21/K$21-1</f>
        <v>8.8305176703897814E-3</v>
      </c>
      <c r="M22" s="66">
        <f>M$21/L$21-1</f>
        <v>1.1256792092428025E-2</v>
      </c>
      <c r="N22" s="66">
        <f>N$21/M$21-1</f>
        <v>1.1865028424720148E-2</v>
      </c>
      <c r="O22" s="66">
        <f>O$21/N$21-1</f>
        <v>1.1907135219384912E-2</v>
      </c>
      <c r="P22" s="66">
        <f>P$21/O$21-1</f>
        <v>1.1802844145144764E-2</v>
      </c>
      <c r="Q22" s="17">
        <f t="shared" si="8"/>
        <v>9.9056530936174614E-3</v>
      </c>
      <c r="R22" s="17">
        <f t="shared" si="8"/>
        <v>9.6209469781540768E-3</v>
      </c>
      <c r="S22" s="17">
        <f t="shared" si="8"/>
        <v>9.3244102287504127E-3</v>
      </c>
      <c r="T22" s="17">
        <f t="shared" si="8"/>
        <v>9.0525055460579651E-3</v>
      </c>
      <c r="U22" s="17">
        <f t="shared" si="8"/>
        <v>8.9423147223117727E-3</v>
      </c>
      <c r="V22" s="17">
        <f t="shared" si="8"/>
        <v>8.7904104439253672E-3</v>
      </c>
      <c r="W22" s="17">
        <f t="shared" si="8"/>
        <v>8.6719432820845377E-3</v>
      </c>
      <c r="X22" s="17">
        <f t="shared" si="8"/>
        <v>8.5459158093523779E-3</v>
      </c>
      <c r="Y22" s="17">
        <f t="shared" si="8"/>
        <v>8.4422222900923938E-3</v>
      </c>
      <c r="Z22" s="17">
        <f t="shared" si="8"/>
        <v>8.3209397915555705E-3</v>
      </c>
    </row>
    <row r="23" spans="1:26" x14ac:dyDescent="0.25">
      <c r="A23" s="11" t="s">
        <v>780</v>
      </c>
      <c r="B23" s="11"/>
      <c r="C23" s="15"/>
      <c r="D23" s="89">
        <f>'Economic Forecasts'!Q$11</f>
        <v>4.1500000000000002E-2</v>
      </c>
      <c r="E23" s="89">
        <f>'Economic Forecasts'!R$11</f>
        <v>4.1299999999999996E-2</v>
      </c>
      <c r="F23" s="89">
        <f>'Economic Forecasts'!S$11</f>
        <v>4.6799999999999994E-2</v>
      </c>
      <c r="G23" s="89">
        <f>'Economic Forecasts'!T$11</f>
        <v>3.2799999999999996E-2</v>
      </c>
      <c r="H23" s="89">
        <f>'Economic Forecasts'!U$11</f>
        <v>3.4799999999999998E-2</v>
      </c>
      <c r="I23" s="89">
        <f>'Economic Forecasts'!V$11</f>
        <v>4.2500000000000003E-2</v>
      </c>
      <c r="J23" s="89">
        <f>'Economic Forecasts'!W$11</f>
        <v>5.0999999999999997E-2</v>
      </c>
      <c r="K23" s="89">
        <f>'Economic Forecasts'!X$11</f>
        <v>5.4299999999999994E-2</v>
      </c>
      <c r="L23" s="66">
        <f>'Economic Forecasts'!Y$11</f>
        <v>5.4199999999999998E-2</v>
      </c>
      <c r="M23" s="66">
        <f>'Economic Forecasts'!Z$11</f>
        <v>4.87E-2</v>
      </c>
      <c r="N23" s="66">
        <f>'Economic Forecasts'!AA$11</f>
        <v>4.5599999999999995E-2</v>
      </c>
      <c r="O23" s="66">
        <f>'Economic Forecasts'!AB$11</f>
        <v>4.3499999999999997E-2</v>
      </c>
      <c r="P23" s="66">
        <f>'Economic Forecasts'!AC$11</f>
        <v>4.3200000000000002E-2</v>
      </c>
      <c r="Q23" s="17">
        <f ca="1">P$23+IF(Q$6&lt;OFFSET(Assumptions!$B$8,0,$C$1)+OFFSET(Assumptions!$B$18,0,$C$1),(OFFSET(Assumptions!$B$12,0,$C$1)-P$23)/(OFFSET(Assumptions!$B$8,0,$C$1)+OFFSET(Assumptions!$B$18,0,$C$1)-Q$6),0)</f>
        <v>4.2966666666666667E-2</v>
      </c>
      <c r="R23" s="17">
        <f ca="1">Q$23+IF(R$6&lt;OFFSET(Assumptions!$B$8,0,$C$1)+OFFSET(Assumptions!$B$18,0,$C$1),(OFFSET(Assumptions!$B$12,0,$C$1)-Q$23)/(OFFSET(Assumptions!$B$8,0,$C$1)+OFFSET(Assumptions!$B$18,0,$C$1)-R$6),0)</f>
        <v>4.2733333333333332E-2</v>
      </c>
      <c r="S23" s="17">
        <f ca="1">R$23+IF(S$6&lt;OFFSET(Assumptions!$B$8,0,$C$1)+OFFSET(Assumptions!$B$18,0,$C$1),(OFFSET(Assumptions!$B$12,0,$C$1)-R$23)/(OFFSET(Assumptions!$B$8,0,$C$1)+OFFSET(Assumptions!$B$18,0,$C$1)-S$6),0)</f>
        <v>4.2500000000000003E-2</v>
      </c>
      <c r="T23" s="17">
        <f ca="1">S$23+IF(T$6&lt;OFFSET(Assumptions!$B$8,0,$C$1)+OFFSET(Assumptions!$B$18,0,$C$1),(OFFSET(Assumptions!$B$12,0,$C$1)-S$23)/(OFFSET(Assumptions!$B$8,0,$C$1)+OFFSET(Assumptions!$B$18,0,$C$1)-T$6),0)</f>
        <v>4.2500000000000003E-2</v>
      </c>
      <c r="U23" s="17">
        <f ca="1">T$23+IF(U$6&lt;OFFSET(Assumptions!$B$8,0,$C$1)+OFFSET(Assumptions!$B$18,0,$C$1),(OFFSET(Assumptions!$B$12,0,$C$1)-T$23)/(OFFSET(Assumptions!$B$8,0,$C$1)+OFFSET(Assumptions!$B$18,0,$C$1)-U$6),0)</f>
        <v>4.2500000000000003E-2</v>
      </c>
      <c r="V23" s="17">
        <f ca="1">U$23+IF(V$6&lt;OFFSET(Assumptions!$B$8,0,$C$1)+OFFSET(Assumptions!$B$18,0,$C$1),(OFFSET(Assumptions!$B$12,0,$C$1)-U$23)/(OFFSET(Assumptions!$B$8,0,$C$1)+OFFSET(Assumptions!$B$18,0,$C$1)-V$6),0)</f>
        <v>4.2500000000000003E-2</v>
      </c>
      <c r="W23" s="17">
        <f ca="1">V$23+IF(W$6&lt;OFFSET(Assumptions!$B$8,0,$C$1)+OFFSET(Assumptions!$B$18,0,$C$1),(OFFSET(Assumptions!$B$12,0,$C$1)-V$23)/(OFFSET(Assumptions!$B$8,0,$C$1)+OFFSET(Assumptions!$B$18,0,$C$1)-W$6),0)</f>
        <v>4.2500000000000003E-2</v>
      </c>
      <c r="X23" s="17">
        <f ca="1">W$23+IF(X$6&lt;OFFSET(Assumptions!$B$8,0,$C$1)+OFFSET(Assumptions!$B$18,0,$C$1),(OFFSET(Assumptions!$B$12,0,$C$1)-W$23)/(OFFSET(Assumptions!$B$8,0,$C$1)+OFFSET(Assumptions!$B$18,0,$C$1)-X$6),0)</f>
        <v>4.2500000000000003E-2</v>
      </c>
      <c r="Y23" s="17">
        <f ca="1">X$23+IF(Y$6&lt;OFFSET(Assumptions!$B$8,0,$C$1)+OFFSET(Assumptions!$B$18,0,$C$1),(OFFSET(Assumptions!$B$12,0,$C$1)-X$23)/(OFFSET(Assumptions!$B$8,0,$C$1)+OFFSET(Assumptions!$B$18,0,$C$1)-Y$6),0)</f>
        <v>4.2500000000000003E-2</v>
      </c>
      <c r="Z23" s="17">
        <f ca="1">Y$23+IF(Z$6&lt;OFFSET(Assumptions!$B$8,0,$C$1)+OFFSET(Assumptions!$B$18,0,$C$1),(OFFSET(Assumptions!$B$12,0,$C$1)-Y$23)/(OFFSET(Assumptions!$B$8,0,$C$1)+OFFSET(Assumptions!$B$18,0,$C$1)-Z$6),0)</f>
        <v>4.2500000000000003E-2</v>
      </c>
    </row>
    <row r="24" spans="1:26" x14ac:dyDescent="0.25">
      <c r="A24" s="11" t="s">
        <v>781</v>
      </c>
      <c r="B24" s="11"/>
      <c r="C24" s="15"/>
      <c r="D24" s="92">
        <f>'Economic Forecasts'!Q$12</f>
        <v>34.11</v>
      </c>
      <c r="E24" s="92">
        <f>'Economic Forecasts'!R$12</f>
        <v>33.18</v>
      </c>
      <c r="F24" s="92">
        <f>'Economic Forecasts'!S$12</f>
        <v>34.119999999999997</v>
      </c>
      <c r="G24" s="92">
        <f>'Economic Forecasts'!T$12</f>
        <v>32.94</v>
      </c>
      <c r="H24" s="92">
        <f>'Economic Forecasts'!U$12</f>
        <v>33.72</v>
      </c>
      <c r="I24" s="92">
        <f>'Economic Forecasts'!V$12</f>
        <v>33.549999999999997</v>
      </c>
      <c r="J24" s="92">
        <f>'Economic Forecasts'!W$12</f>
        <v>33.03</v>
      </c>
      <c r="K24" s="92">
        <f>'Economic Forecasts'!X$12</f>
        <v>33.299999999999997</v>
      </c>
      <c r="L24" s="68">
        <f>'Economic Forecasts'!Y$12</f>
        <v>33.28</v>
      </c>
      <c r="M24" s="68">
        <f>'Economic Forecasts'!Z$12</f>
        <v>33.26</v>
      </c>
      <c r="N24" s="68">
        <f>'Economic Forecasts'!AA$12</f>
        <v>33.25</v>
      </c>
      <c r="O24" s="68">
        <f>'Economic Forecasts'!AB$12</f>
        <v>33.229999999999997</v>
      </c>
      <c r="P24" s="68">
        <f>'Economic Forecasts'!AC$12</f>
        <v>33.22</v>
      </c>
      <c r="Q24" s="67">
        <f ca="1">P$24+IF(Q$6&lt;OFFSET(Assumptions!$B$8,0,$C$1)+OFFSET(Assumptions!$B$19,0,$C$1),(OFFSET(Assumptions!$B$13,0,$C$1)-P$24)/(OFFSET(Assumptions!$B$8,0,$C$1)+OFFSET(Assumptions!$B$19,0,$C$1)-Q$6),0)</f>
        <v>33.21</v>
      </c>
      <c r="R24" s="67">
        <f ca="1">Q$24+IF(R$6&lt;OFFSET(Assumptions!$B$8,0,$C$1)+OFFSET(Assumptions!$B$19,0,$C$1),(OFFSET(Assumptions!$B$13,0,$C$1)-Q$24)/(OFFSET(Assumptions!$B$8,0,$C$1)+OFFSET(Assumptions!$B$19,0,$C$1)-R$6),0)</f>
        <v>33.200000000000003</v>
      </c>
      <c r="S24" s="67">
        <f ca="1">R$24+IF(S$6&lt;OFFSET(Assumptions!$B$8,0,$C$1)+OFFSET(Assumptions!$B$19,0,$C$1),(OFFSET(Assumptions!$B$13,0,$C$1)-R$24)/(OFFSET(Assumptions!$B$8,0,$C$1)+OFFSET(Assumptions!$B$19,0,$C$1)-S$6),0)</f>
        <v>33.200000000000003</v>
      </c>
      <c r="T24" s="67">
        <f ca="1">S$24+IF(T$6&lt;OFFSET(Assumptions!$B$8,0,$C$1)+OFFSET(Assumptions!$B$19,0,$C$1),(OFFSET(Assumptions!$B$13,0,$C$1)-S$24)/(OFFSET(Assumptions!$B$8,0,$C$1)+OFFSET(Assumptions!$B$19,0,$C$1)-T$6),0)</f>
        <v>33.200000000000003</v>
      </c>
      <c r="U24" s="67">
        <f ca="1">T$24+IF(U$6&lt;OFFSET(Assumptions!$B$8,0,$C$1)+OFFSET(Assumptions!$B$19,0,$C$1),(OFFSET(Assumptions!$B$13,0,$C$1)-T$24)/(OFFSET(Assumptions!$B$8,0,$C$1)+OFFSET(Assumptions!$B$19,0,$C$1)-U$6),0)</f>
        <v>33.200000000000003</v>
      </c>
      <c r="V24" s="67">
        <f ca="1">U$24+IF(V$6&lt;OFFSET(Assumptions!$B$8,0,$C$1)+OFFSET(Assumptions!$B$19,0,$C$1),(OFFSET(Assumptions!$B$13,0,$C$1)-U$24)/(OFFSET(Assumptions!$B$8,0,$C$1)+OFFSET(Assumptions!$B$19,0,$C$1)-V$6),0)</f>
        <v>33.200000000000003</v>
      </c>
      <c r="W24" s="67">
        <f ca="1">V$24+IF(W$6&lt;OFFSET(Assumptions!$B$8,0,$C$1)+OFFSET(Assumptions!$B$19,0,$C$1),(OFFSET(Assumptions!$B$13,0,$C$1)-V$24)/(OFFSET(Assumptions!$B$8,0,$C$1)+OFFSET(Assumptions!$B$19,0,$C$1)-W$6),0)</f>
        <v>33.200000000000003</v>
      </c>
      <c r="X24" s="67">
        <f ca="1">W$24+IF(X$6&lt;OFFSET(Assumptions!$B$8,0,$C$1)+OFFSET(Assumptions!$B$19,0,$C$1),(OFFSET(Assumptions!$B$13,0,$C$1)-W$24)/(OFFSET(Assumptions!$B$8,0,$C$1)+OFFSET(Assumptions!$B$19,0,$C$1)-X$6),0)</f>
        <v>33.200000000000003</v>
      </c>
      <c r="Y24" s="67">
        <f ca="1">X$24+IF(Y$6&lt;OFFSET(Assumptions!$B$8,0,$C$1)+OFFSET(Assumptions!$B$19,0,$C$1),(OFFSET(Assumptions!$B$13,0,$C$1)-X$24)/(OFFSET(Assumptions!$B$8,0,$C$1)+OFFSET(Assumptions!$B$19,0,$C$1)-Y$6),0)</f>
        <v>33.200000000000003</v>
      </c>
      <c r="Z24" s="67">
        <f ca="1">Y$24+IF(Z$6&lt;OFFSET(Assumptions!$B$8,0,$C$1)+OFFSET(Assumptions!$B$19,0,$C$1),(OFFSET(Assumptions!$B$13,0,$C$1)-Y$24)/(OFFSET(Assumptions!$B$8,0,$C$1)+OFFSET(Assumptions!$B$19,0,$C$1)-Z$6),0)</f>
        <v>33.200000000000003</v>
      </c>
    </row>
    <row r="25" spans="1:26" x14ac:dyDescent="0.25">
      <c r="A25" s="11" t="s">
        <v>782</v>
      </c>
      <c r="B25" s="11"/>
      <c r="C25" s="15"/>
      <c r="D25" s="89">
        <f>'Economic Forecasts'!Q$13</f>
        <v>6.7000000000000002E-3</v>
      </c>
      <c r="E25" s="89">
        <f>'Economic Forecasts'!R$13</f>
        <v>6.4000000000000003E-3</v>
      </c>
      <c r="F25" s="89">
        <f>'Economic Forecasts'!S$13</f>
        <v>2.93E-2</v>
      </c>
      <c r="G25" s="89">
        <f>'Economic Forecasts'!T$13</f>
        <v>1.49E-2</v>
      </c>
      <c r="H25" s="89">
        <f>'Economic Forecasts'!U$13</f>
        <v>-8.6E-3</v>
      </c>
      <c r="I25" s="89">
        <f>'Economic Forecasts'!V$13</f>
        <v>-2.9999999999999997E-4</v>
      </c>
      <c r="J25" s="89">
        <f>'Economic Forecasts'!W$13</f>
        <v>1.46E-2</v>
      </c>
      <c r="K25" s="89">
        <f>'Economic Forecasts'!X$13</f>
        <v>4.7000000000000002E-3</v>
      </c>
      <c r="L25" s="66">
        <f>'Economic Forecasts'!Y$13</f>
        <v>7.1000000000000004E-3</v>
      </c>
      <c r="M25" s="66">
        <f>'Economic Forecasts'!Z$13</f>
        <v>6.4999999999999997E-3</v>
      </c>
      <c r="N25" s="66">
        <f>'Economic Forecasts'!AA$13</f>
        <v>8.3000000000000001E-3</v>
      </c>
      <c r="O25" s="66">
        <f>'Economic Forecasts'!AB$13</f>
        <v>9.9000000000000008E-3</v>
      </c>
      <c r="P25" s="66">
        <f>'Economic Forecasts'!AC$13</f>
        <v>1.14E-2</v>
      </c>
      <c r="Q25" s="17">
        <f ca="1">P$25+IF(Q$6&lt;OFFSET(Assumptions!$B$8,0,$C$1)+OFFSET(Assumptions!$B$20,0,$C$1),(OFFSET(Assumptions!$B$14,0,$C$1)-P$25)/(OFFSET(Assumptions!$B$8,0,$C$1)+OFFSET(Assumptions!$B$20,0,$C$1)-Q$6),0)</f>
        <v>1.0933333333333333E-2</v>
      </c>
      <c r="R25" s="17">
        <f ca="1">Q$25+IF(R$6&lt;OFFSET(Assumptions!$B$8,0,$C$1)+OFFSET(Assumptions!$B$20,0,$C$1),(OFFSET(Assumptions!$B$14,0,$C$1)-Q$25)/(OFFSET(Assumptions!$B$8,0,$C$1)+OFFSET(Assumptions!$B$20,0,$C$1)-R$6),0)</f>
        <v>1.0466666666666666E-2</v>
      </c>
      <c r="S25" s="17">
        <f ca="1">R$25+IF(S$6&lt;OFFSET(Assumptions!$B$8,0,$C$1)+OFFSET(Assumptions!$B$20,0,$C$1),(OFFSET(Assumptions!$B$14,0,$C$1)-R$25)/(OFFSET(Assumptions!$B$8,0,$C$1)+OFFSET(Assumptions!$B$20,0,$C$1)-S$6),0)</f>
        <v>0.01</v>
      </c>
      <c r="T25" s="17">
        <f ca="1">S$25+IF(T$6&lt;OFFSET(Assumptions!$B$8,0,$C$1)+OFFSET(Assumptions!$B$20,0,$C$1),(OFFSET(Assumptions!$B$14,0,$C$1)-S$25)/(OFFSET(Assumptions!$B$8,0,$C$1)+OFFSET(Assumptions!$B$20,0,$C$1)-T$6),0)</f>
        <v>0.01</v>
      </c>
      <c r="U25" s="17">
        <f ca="1">T$25+IF(U$6&lt;OFFSET(Assumptions!$B$8,0,$C$1)+OFFSET(Assumptions!$B$20,0,$C$1),(OFFSET(Assumptions!$B$14,0,$C$1)-T$25)/(OFFSET(Assumptions!$B$8,0,$C$1)+OFFSET(Assumptions!$B$20,0,$C$1)-U$6),0)</f>
        <v>0.01</v>
      </c>
      <c r="V25" s="17">
        <f ca="1">U$25+IF(V$6&lt;OFFSET(Assumptions!$B$8,0,$C$1)+OFFSET(Assumptions!$B$20,0,$C$1),(OFFSET(Assumptions!$B$14,0,$C$1)-U$25)/(OFFSET(Assumptions!$B$8,0,$C$1)+OFFSET(Assumptions!$B$20,0,$C$1)-V$6),0)</f>
        <v>0.01</v>
      </c>
      <c r="W25" s="17">
        <f ca="1">V$25+IF(W$6&lt;OFFSET(Assumptions!$B$8,0,$C$1)+OFFSET(Assumptions!$B$20,0,$C$1),(OFFSET(Assumptions!$B$14,0,$C$1)-V$25)/(OFFSET(Assumptions!$B$8,0,$C$1)+OFFSET(Assumptions!$B$20,0,$C$1)-W$6),0)</f>
        <v>0.01</v>
      </c>
      <c r="X25" s="17">
        <f ca="1">W$25+IF(X$6&lt;OFFSET(Assumptions!$B$8,0,$C$1)+OFFSET(Assumptions!$B$20,0,$C$1),(OFFSET(Assumptions!$B$14,0,$C$1)-W$25)/(OFFSET(Assumptions!$B$8,0,$C$1)+OFFSET(Assumptions!$B$20,0,$C$1)-X$6),0)</f>
        <v>0.01</v>
      </c>
      <c r="Y25" s="17">
        <f ca="1">X$25+IF(Y$6&lt;OFFSET(Assumptions!$B$8,0,$C$1)+OFFSET(Assumptions!$B$20,0,$C$1),(OFFSET(Assumptions!$B$14,0,$C$1)-X$25)/(OFFSET(Assumptions!$B$8,0,$C$1)+OFFSET(Assumptions!$B$20,0,$C$1)-Y$6),0)</f>
        <v>0.01</v>
      </c>
      <c r="Z25" s="17">
        <f ca="1">Y$25+IF(Z$6&lt;OFFSET(Assumptions!$B$8,0,$C$1)+OFFSET(Assumptions!$B$20,0,$C$1),(OFFSET(Assumptions!$B$14,0,$C$1)-Y$25)/(OFFSET(Assumptions!$B$8,0,$C$1)+OFFSET(Assumptions!$B$20,0,$C$1)-Z$6),0)</f>
        <v>0.01</v>
      </c>
    </row>
    <row r="26" spans="1:26" x14ac:dyDescent="0.25">
      <c r="A26" s="11" t="s">
        <v>784</v>
      </c>
      <c r="B26" s="57"/>
      <c r="C26" s="15"/>
      <c r="D26" s="89">
        <f>'Economic Forecasts'!Q$15</f>
        <v>3.3700000000000001E-2</v>
      </c>
      <c r="E26" s="89">
        <f>'Economic Forecasts'!R$15</f>
        <v>3.3300000000000003E-2</v>
      </c>
      <c r="F26" s="89">
        <f>'Economic Forecasts'!S$15</f>
        <v>4.1200000000000001E-2</v>
      </c>
      <c r="G26" s="89">
        <f>'Economic Forecasts'!T$15</f>
        <v>4.5999999999999999E-2</v>
      </c>
      <c r="H26" s="89">
        <f>'Economic Forecasts'!U$15</f>
        <v>7.2900000000000006E-2</v>
      </c>
      <c r="I26" s="89">
        <f>'Economic Forecasts'!V$15</f>
        <v>5.96E-2</v>
      </c>
      <c r="J26" s="89">
        <f>'Economic Forecasts'!W$15</f>
        <v>4.2799999999999998E-2</v>
      </c>
      <c r="K26" s="89">
        <f>'Economic Forecasts'!X$15</f>
        <v>3.2800000000000003E-2</v>
      </c>
      <c r="L26" s="66">
        <f>'Economic Forecasts'!Y$15</f>
        <v>3.1600000000000003E-2</v>
      </c>
      <c r="M26" s="66">
        <f>'Economic Forecasts'!Z$15</f>
        <v>3.09E-2</v>
      </c>
      <c r="N26" s="66">
        <f>'Economic Forecasts'!AA$15</f>
        <v>3.2800000000000003E-2</v>
      </c>
      <c r="O26" s="66">
        <f>'Economic Forecasts'!AB$15</f>
        <v>3.4200000000000001E-2</v>
      </c>
      <c r="P26" s="66">
        <f>'Economic Forecasts'!AC$15</f>
        <v>3.5099999999999999E-2</v>
      </c>
      <c r="Q26" s="17">
        <f t="shared" ref="Q26:Z26" ca="1" si="9">(1+Q$25)*(1+Q$29)-1</f>
        <v>3.1151999999999846E-2</v>
      </c>
      <c r="R26" s="17">
        <f t="shared" ca="1" si="9"/>
        <v>3.0675999999999926E-2</v>
      </c>
      <c r="S26" s="17">
        <f t="shared" ca="1" si="9"/>
        <v>3.0200000000000005E-2</v>
      </c>
      <c r="T26" s="17">
        <f t="shared" ca="1" si="9"/>
        <v>3.0200000000000005E-2</v>
      </c>
      <c r="U26" s="17">
        <f t="shared" ca="1" si="9"/>
        <v>3.0200000000000005E-2</v>
      </c>
      <c r="V26" s="17">
        <f t="shared" ca="1" si="9"/>
        <v>3.0200000000000005E-2</v>
      </c>
      <c r="W26" s="17">
        <f t="shared" ca="1" si="9"/>
        <v>3.0200000000000005E-2</v>
      </c>
      <c r="X26" s="17">
        <f t="shared" ca="1" si="9"/>
        <v>3.0200000000000005E-2</v>
      </c>
      <c r="Y26" s="17">
        <f t="shared" ca="1" si="9"/>
        <v>3.0200000000000005E-2</v>
      </c>
      <c r="Z26" s="17">
        <f t="shared" ca="1" si="9"/>
        <v>3.0200000000000005E-2</v>
      </c>
    </row>
    <row r="27" spans="1:26" x14ac:dyDescent="0.25">
      <c r="A27" s="57" t="s">
        <v>1149</v>
      </c>
      <c r="B27" s="11"/>
      <c r="C27" s="15"/>
    </row>
    <row r="28" spans="1:26" x14ac:dyDescent="0.25">
      <c r="A28" s="11" t="s">
        <v>1150</v>
      </c>
      <c r="B28" s="11"/>
      <c r="C28" s="15"/>
      <c r="D28" s="27">
        <f>'Economic Forecasts'!Q$14</f>
        <v>1032</v>
      </c>
      <c r="E28" s="27">
        <f>'Economic Forecasts'!R$14</f>
        <v>1047</v>
      </c>
      <c r="F28" s="27">
        <f>'Economic Forecasts'!S$14</f>
        <v>1082</v>
      </c>
      <c r="G28" s="27">
        <f>'Economic Forecasts'!T$14</f>
        <v>1161</v>
      </c>
      <c r="H28" s="27">
        <f>'Economic Forecasts'!U$14</f>
        <v>1231</v>
      </c>
      <c r="I28" s="27">
        <f>'Economic Forecasts'!V$14</f>
        <v>1272</v>
      </c>
      <c r="J28" s="27">
        <f>'Economic Forecasts'!W$14</f>
        <v>1306</v>
      </c>
      <c r="K28" s="27">
        <f>'Economic Forecasts'!X$14</f>
        <v>1359</v>
      </c>
      <c r="L28" s="28">
        <f>'Economic Forecasts'!Y$14</f>
        <v>1384.2</v>
      </c>
      <c r="M28" s="28">
        <f>'Economic Forecasts'!Z$14</f>
        <v>1411.8</v>
      </c>
      <c r="N28" s="28">
        <f>'Economic Forecasts'!AA$14</f>
        <v>1441.3</v>
      </c>
      <c r="O28" s="28">
        <f>'Economic Forecasts'!AB$14</f>
        <v>1471.1</v>
      </c>
      <c r="P28" s="28">
        <f>'Economic Forecasts'!AC$14</f>
        <v>1500.7</v>
      </c>
      <c r="Q28" s="18">
        <f t="shared" ref="Q28:Z28" ca="1" si="10">P$28*(1+Q$29)</f>
        <v>1530.7140000000002</v>
      </c>
      <c r="R28" s="18">
        <f t="shared" ca="1" si="10"/>
        <v>1561.3282800000002</v>
      </c>
      <c r="S28" s="18">
        <f t="shared" ca="1" si="10"/>
        <v>1592.5548456000001</v>
      </c>
      <c r="T28" s="18">
        <f t="shared" ca="1" si="10"/>
        <v>1624.4059425120001</v>
      </c>
      <c r="U28" s="18">
        <f t="shared" ca="1" si="10"/>
        <v>1656.8940613622401</v>
      </c>
      <c r="V28" s="18">
        <f t="shared" ca="1" si="10"/>
        <v>1690.031942589485</v>
      </c>
      <c r="W28" s="18">
        <f t="shared" ca="1" si="10"/>
        <v>1723.8325814412747</v>
      </c>
      <c r="X28" s="18">
        <f t="shared" ca="1" si="10"/>
        <v>1758.3092330701002</v>
      </c>
      <c r="Y28" s="18">
        <f t="shared" ca="1" si="10"/>
        <v>1793.4754177315021</v>
      </c>
      <c r="Z28" s="18">
        <f t="shared" ca="1" si="10"/>
        <v>1829.3449260861323</v>
      </c>
    </row>
    <row r="29" spans="1:26" x14ac:dyDescent="0.25">
      <c r="A29" s="14" t="str">
        <f>$A$12</f>
        <v>Annual percentage growth</v>
      </c>
      <c r="B29" s="11"/>
      <c r="C29" s="15"/>
      <c r="D29" s="93"/>
      <c r="E29" s="89">
        <f t="shared" ref="E29:K29" si="11">E$28/D$28-1</f>
        <v>1.4534883720930258E-2</v>
      </c>
      <c r="F29" s="89">
        <f t="shared" si="11"/>
        <v>3.3428844317096473E-2</v>
      </c>
      <c r="G29" s="89">
        <f t="shared" si="11"/>
        <v>7.3012939001848354E-2</v>
      </c>
      <c r="H29" s="89">
        <f t="shared" si="11"/>
        <v>6.0292850990525393E-2</v>
      </c>
      <c r="I29" s="89">
        <f t="shared" si="11"/>
        <v>3.3306255077172997E-2</v>
      </c>
      <c r="J29" s="89">
        <f t="shared" si="11"/>
        <v>2.6729559748427612E-2</v>
      </c>
      <c r="K29" s="89">
        <f t="shared" si="11"/>
        <v>4.058192955589579E-2</v>
      </c>
      <c r="L29" s="66">
        <f>L$28/K$28-1</f>
        <v>1.8543046357615944E-2</v>
      </c>
      <c r="M29" s="66">
        <f>M$28/L$28-1</f>
        <v>1.9939315127871726E-2</v>
      </c>
      <c r="N29" s="66">
        <f>N$28/M$28-1</f>
        <v>2.0895310950559631E-2</v>
      </c>
      <c r="O29" s="66">
        <f>O$28/N$28-1</f>
        <v>2.0675778810795853E-2</v>
      </c>
      <c r="P29" s="66">
        <f>P$28/O$28-1</f>
        <v>2.0120997892733472E-2</v>
      </c>
      <c r="Q29" s="17">
        <f ca="1">P$29+IF(Q$6&lt;OFFSET(Assumptions!$B$8,0,$C$1)+OFFSET(Assumptions!$B$21,0,$C$1),(OFFSET(Assumptions!$B$15,0,$C$1)-P$29)/(OFFSET(Assumptions!$B$8,0,$C$1)+OFFSET(Assumptions!$B$21,0,$C$1)-Q$6),0)</f>
        <v>0.02</v>
      </c>
      <c r="R29" s="17">
        <f ca="1">Q$29+IF(R$6&lt;OFFSET(Assumptions!$B$8,0,$C$1)+OFFSET(Assumptions!$B$21,0,$C$1),(OFFSET(Assumptions!$B$15,0,$C$1)-Q$29)/(OFFSET(Assumptions!$B$8,0,$C$1)+OFFSET(Assumptions!$B$21,0,$C$1)-R$6),0)</f>
        <v>0.02</v>
      </c>
      <c r="S29" s="17">
        <f ca="1">R$29+IF(S$6&lt;OFFSET(Assumptions!$B$8,0,$C$1)+OFFSET(Assumptions!$B$21,0,$C$1),(OFFSET(Assumptions!$B$15,0,$C$1)-R$29)/(OFFSET(Assumptions!$B$8,0,$C$1)+OFFSET(Assumptions!$B$21,0,$C$1)-S$6),0)</f>
        <v>0.02</v>
      </c>
      <c r="T29" s="17">
        <f ca="1">S$29+IF(T$6&lt;OFFSET(Assumptions!$B$8,0,$C$1)+OFFSET(Assumptions!$B$21,0,$C$1),(OFFSET(Assumptions!$B$15,0,$C$1)-S$29)/(OFFSET(Assumptions!$B$8,0,$C$1)+OFFSET(Assumptions!$B$21,0,$C$1)-T$6),0)</f>
        <v>0.02</v>
      </c>
      <c r="U29" s="17">
        <f ca="1">T$29+IF(U$6&lt;OFFSET(Assumptions!$B$8,0,$C$1)+OFFSET(Assumptions!$B$21,0,$C$1),(OFFSET(Assumptions!$B$15,0,$C$1)-T$29)/(OFFSET(Assumptions!$B$8,0,$C$1)+OFFSET(Assumptions!$B$21,0,$C$1)-U$6),0)</f>
        <v>0.02</v>
      </c>
      <c r="V29" s="17">
        <f ca="1">U$29+IF(V$6&lt;OFFSET(Assumptions!$B$8,0,$C$1)+OFFSET(Assumptions!$B$21,0,$C$1),(OFFSET(Assumptions!$B$15,0,$C$1)-U$29)/(OFFSET(Assumptions!$B$8,0,$C$1)+OFFSET(Assumptions!$B$21,0,$C$1)-V$6),0)</f>
        <v>0.02</v>
      </c>
      <c r="W29" s="17">
        <f ca="1">V$29+IF(W$6&lt;OFFSET(Assumptions!$B$8,0,$C$1)+OFFSET(Assumptions!$B$21,0,$C$1),(OFFSET(Assumptions!$B$15,0,$C$1)-V$29)/(OFFSET(Assumptions!$B$8,0,$C$1)+OFFSET(Assumptions!$B$21,0,$C$1)-W$6),0)</f>
        <v>0.02</v>
      </c>
      <c r="X29" s="17">
        <f ca="1">W$29+IF(X$6&lt;OFFSET(Assumptions!$B$8,0,$C$1)+OFFSET(Assumptions!$B$21,0,$C$1),(OFFSET(Assumptions!$B$15,0,$C$1)-W$29)/(OFFSET(Assumptions!$B$8,0,$C$1)+OFFSET(Assumptions!$B$21,0,$C$1)-X$6),0)</f>
        <v>0.02</v>
      </c>
      <c r="Y29" s="17">
        <f ca="1">X$29+IF(Y$6&lt;OFFSET(Assumptions!$B$8,0,$C$1)+OFFSET(Assumptions!$B$21,0,$C$1),(OFFSET(Assumptions!$B$15,0,$C$1)-X$29)/(OFFSET(Assumptions!$B$8,0,$C$1)+OFFSET(Assumptions!$B$21,0,$C$1)-Y$6),0)</f>
        <v>0.02</v>
      </c>
      <c r="Z29" s="17">
        <f ca="1">Y$29+IF(Z$6&lt;OFFSET(Assumptions!$B$8,0,$C$1)+OFFSET(Assumptions!$B$21,0,$C$1),(OFFSET(Assumptions!$B$15,0,$C$1)-Y$29)/(OFFSET(Assumptions!$B$8,0,$C$1)+OFFSET(Assumptions!$B$21,0,$C$1)-Z$6),0)</f>
        <v>0.02</v>
      </c>
    </row>
    <row r="30" spans="1:26" x14ac:dyDescent="0.25">
      <c r="A30" s="11" t="s">
        <v>785</v>
      </c>
      <c r="B30" s="11"/>
      <c r="C30" s="15"/>
      <c r="D30" s="89">
        <f>'Economic Forecasts'!Q$16</f>
        <v>2.3099999999999999E-2</v>
      </c>
      <c r="E30" s="89">
        <f>'Economic Forecasts'!R$16</f>
        <v>1.1899999999999999E-2</v>
      </c>
      <c r="F30" s="89">
        <f>'Economic Forecasts'!S$16</f>
        <v>1.1599999999999999E-2</v>
      </c>
      <c r="G30" s="89">
        <f>'Economic Forecasts'!T$16</f>
        <v>2.6499999999999999E-2</v>
      </c>
      <c r="H30" s="89">
        <f>'Economic Forecasts'!U$16</f>
        <v>4.1500000000000002E-2</v>
      </c>
      <c r="I30" s="89">
        <f>'Economic Forecasts'!V$16</f>
        <v>4.8499999999999995E-2</v>
      </c>
      <c r="J30" s="89">
        <f>'Economic Forecasts'!W$16</f>
        <v>4.4999999999999998E-2</v>
      </c>
      <c r="K30" s="89">
        <f>'Economic Forecasts'!X$16</f>
        <v>4.4600000000000001E-2</v>
      </c>
      <c r="L30" s="66">
        <f>'Economic Forecasts'!Y$16</f>
        <v>4.7E-2</v>
      </c>
      <c r="M30" s="66">
        <f>'Economic Forecasts'!Z$16</f>
        <v>4.7E-2</v>
      </c>
      <c r="N30" s="66">
        <f>'Economic Forecasts'!AA$16</f>
        <v>4.7E-2</v>
      </c>
      <c r="O30" s="66">
        <f>'Economic Forecasts'!AB$16</f>
        <v>4.7E-2</v>
      </c>
      <c r="P30" s="66">
        <f>'Economic Forecasts'!AC$16</f>
        <v>4.7E-2</v>
      </c>
      <c r="Q30" s="17">
        <f ca="1">P$30+IF(Q$6&lt;OFFSET(Assumptions!$B$8,0,$C$1)+OFFSET(Assumptions!$B$22,0,$C$1),(OFFSET(Assumptions!$B$16,0,$C$1)-P$30)/(OFFSET(Assumptions!$B$8,0,$C$1)+OFFSET(Assumptions!$B$22,0,$C$1)-Q$6),0)</f>
        <v>4.7E-2</v>
      </c>
      <c r="R30" s="17">
        <f ca="1">Q$30+IF(R$6&lt;OFFSET(Assumptions!$B$8,0,$C$1)+OFFSET(Assumptions!$B$22,0,$C$1),(OFFSET(Assumptions!$B$16,0,$C$1)-Q$30)/(OFFSET(Assumptions!$B$8,0,$C$1)+OFFSET(Assumptions!$B$22,0,$C$1)-R$6),0)</f>
        <v>4.7E-2</v>
      </c>
      <c r="S30" s="17">
        <f ca="1">R$30+IF(S$6&lt;OFFSET(Assumptions!$B$8,0,$C$1)+OFFSET(Assumptions!$B$22,0,$C$1),(OFFSET(Assumptions!$B$16,0,$C$1)-R$30)/(OFFSET(Assumptions!$B$8,0,$C$1)+OFFSET(Assumptions!$B$22,0,$C$1)-S$6),0)</f>
        <v>4.7E-2</v>
      </c>
      <c r="T30" s="17">
        <f ca="1">S$30+IF(T$6&lt;OFFSET(Assumptions!$B$8,0,$C$1)+OFFSET(Assumptions!$B$22,0,$C$1),(OFFSET(Assumptions!$B$16,0,$C$1)-S$30)/(OFFSET(Assumptions!$B$8,0,$C$1)+OFFSET(Assumptions!$B$22,0,$C$1)-T$6),0)</f>
        <v>4.7E-2</v>
      </c>
      <c r="U30" s="17">
        <f ca="1">T$30+IF(U$6&lt;OFFSET(Assumptions!$B$8,0,$C$1)+OFFSET(Assumptions!$B$22,0,$C$1),(OFFSET(Assumptions!$B$16,0,$C$1)-T$30)/(OFFSET(Assumptions!$B$8,0,$C$1)+OFFSET(Assumptions!$B$22,0,$C$1)-U$6),0)</f>
        <v>4.7E-2</v>
      </c>
      <c r="V30" s="17">
        <f ca="1">U$30+IF(V$6&lt;OFFSET(Assumptions!$B$8,0,$C$1)+OFFSET(Assumptions!$B$22,0,$C$1),(OFFSET(Assumptions!$B$16,0,$C$1)-U$30)/(OFFSET(Assumptions!$B$8,0,$C$1)+OFFSET(Assumptions!$B$22,0,$C$1)-V$6),0)</f>
        <v>4.7E-2</v>
      </c>
      <c r="W30" s="17">
        <f ca="1">V$30+IF(W$6&lt;OFFSET(Assumptions!$B$8,0,$C$1)+OFFSET(Assumptions!$B$22,0,$C$1),(OFFSET(Assumptions!$B$16,0,$C$1)-V$30)/(OFFSET(Assumptions!$B$8,0,$C$1)+OFFSET(Assumptions!$B$22,0,$C$1)-W$6),0)</f>
        <v>4.7E-2</v>
      </c>
      <c r="X30" s="17">
        <f ca="1">W$30+IF(X$6&lt;OFFSET(Assumptions!$B$8,0,$C$1)+OFFSET(Assumptions!$B$22,0,$C$1),(OFFSET(Assumptions!$B$16,0,$C$1)-W$30)/(OFFSET(Assumptions!$B$8,0,$C$1)+OFFSET(Assumptions!$B$22,0,$C$1)-X$6),0)</f>
        <v>4.7E-2</v>
      </c>
      <c r="Y30" s="17">
        <f ca="1">X$30+IF(Y$6&lt;OFFSET(Assumptions!$B$8,0,$C$1)+OFFSET(Assumptions!$B$22,0,$C$1),(OFFSET(Assumptions!$B$16,0,$C$1)-X$30)/(OFFSET(Assumptions!$B$8,0,$C$1)+OFFSET(Assumptions!$B$22,0,$C$1)-Y$6),0)</f>
        <v>4.7E-2</v>
      </c>
      <c r="Z30" s="17">
        <f ca="1">Y$30+IF(Z$6&lt;OFFSET(Assumptions!$B$8,0,$C$1)+OFFSET(Assumptions!$B$22,0,$C$1),(OFFSET(Assumptions!$B$16,0,$C$1)-Y$30)/(OFFSET(Assumptions!$B$8,0,$C$1)+OFFSET(Assumptions!$B$22,0,$C$1)-Z$6),0)</f>
        <v>4.7E-2</v>
      </c>
    </row>
    <row r="31" spans="1:26" x14ac:dyDescent="0.25">
      <c r="A31" s="11"/>
      <c r="B31" s="11"/>
      <c r="C31" s="15"/>
      <c r="D31" s="89"/>
      <c r="E31" s="89"/>
      <c r="F31" s="89"/>
      <c r="G31" s="89"/>
      <c r="H31" s="89"/>
      <c r="I31" s="89"/>
      <c r="J31" s="89"/>
      <c r="K31" s="89"/>
      <c r="L31" s="89"/>
      <c r="M31" s="89"/>
      <c r="N31" s="89"/>
      <c r="O31" s="89"/>
      <c r="P31" s="89"/>
      <c r="Q31" s="17"/>
      <c r="R31" s="17"/>
      <c r="S31" s="17"/>
      <c r="T31" s="17"/>
      <c r="U31" s="17"/>
      <c r="V31" s="17"/>
      <c r="W31" s="17"/>
      <c r="X31" s="17"/>
      <c r="Y31" s="17"/>
      <c r="Z31" s="17"/>
    </row>
    <row r="32" spans="1:26" ht="16.5" x14ac:dyDescent="0.25">
      <c r="A32" s="63" t="s">
        <v>1151</v>
      </c>
      <c r="B32" s="11"/>
      <c r="C32" s="15"/>
      <c r="D32" s="89"/>
      <c r="E32" s="89"/>
      <c r="F32" s="89"/>
      <c r="G32" s="89"/>
      <c r="H32" s="89"/>
      <c r="I32" s="89"/>
      <c r="J32" s="89"/>
      <c r="K32" s="89"/>
      <c r="L32" s="89"/>
      <c r="M32" s="89"/>
      <c r="N32" s="89"/>
      <c r="O32" s="89"/>
      <c r="P32" s="89"/>
      <c r="Q32" s="17"/>
      <c r="R32" s="17"/>
      <c r="S32" s="17"/>
      <c r="T32" s="17"/>
      <c r="U32" s="17"/>
      <c r="V32" s="17"/>
      <c r="W32" s="17"/>
      <c r="X32" s="17"/>
      <c r="Y32" s="17"/>
      <c r="Z32" s="17"/>
    </row>
    <row r="33" spans="1:26" x14ac:dyDescent="0.25">
      <c r="A33" s="57" t="s">
        <v>1152</v>
      </c>
      <c r="B33" s="11"/>
      <c r="C33" s="15"/>
      <c r="D33" s="89"/>
      <c r="E33" s="89"/>
      <c r="F33" s="89"/>
      <c r="G33" s="89"/>
      <c r="H33" s="89"/>
      <c r="I33" s="89"/>
      <c r="J33" s="89"/>
      <c r="K33" s="89"/>
      <c r="L33" s="89"/>
      <c r="M33" s="89"/>
      <c r="N33" s="89"/>
      <c r="O33" s="89"/>
      <c r="P33" s="89"/>
      <c r="Q33" s="17"/>
      <c r="R33" s="17"/>
      <c r="S33" s="17"/>
      <c r="T33" s="17"/>
      <c r="U33" s="17"/>
      <c r="V33" s="17"/>
      <c r="W33" s="17"/>
      <c r="X33" s="17"/>
      <c r="Y33" s="17"/>
      <c r="Z33" s="17"/>
    </row>
    <row r="34" spans="1:26" x14ac:dyDescent="0.25">
      <c r="A34" s="11" t="s">
        <v>1153</v>
      </c>
      <c r="B34" s="11"/>
      <c r="C34" s="15"/>
      <c r="D34" s="51">
        <f t="shared" ref="D34:Z34" ca="1" si="12">SUM(D$140,D$150,D$155,D$165,D$173,D$179)</f>
        <v>119.142</v>
      </c>
      <c r="E34" s="51">
        <f t="shared" ca="1" si="12"/>
        <v>116.003</v>
      </c>
      <c r="F34" s="51">
        <f t="shared" ca="1" si="12"/>
        <v>129.33500000000001</v>
      </c>
      <c r="G34" s="51">
        <f t="shared" ca="1" si="12"/>
        <v>141.62700000000001</v>
      </c>
      <c r="H34" s="51">
        <f t="shared" ca="1" si="12"/>
        <v>153.011</v>
      </c>
      <c r="I34" s="51">
        <f t="shared" ca="1" si="12"/>
        <v>167.34699999999998</v>
      </c>
      <c r="J34" s="51">
        <f t="shared" ca="1" si="12"/>
        <v>169.81099999999998</v>
      </c>
      <c r="K34" s="51">
        <f t="shared" ca="1" si="12"/>
        <v>172.334</v>
      </c>
      <c r="L34" s="47">
        <f t="shared" ca="1" si="12"/>
        <v>185.85700000000003</v>
      </c>
      <c r="M34" s="47">
        <f t="shared" ca="1" si="12"/>
        <v>195.21899999999999</v>
      </c>
      <c r="N34" s="47">
        <f t="shared" ca="1" si="12"/>
        <v>205.63200000000003</v>
      </c>
      <c r="O34" s="47">
        <f t="shared" ca="1" si="12"/>
        <v>216.68100000000001</v>
      </c>
      <c r="P34" s="47">
        <f t="shared" ca="1" si="12"/>
        <v>226.12200000000001</v>
      </c>
      <c r="Q34" s="21">
        <f t="shared" ca="1" si="12"/>
        <v>235.4463991577525</v>
      </c>
      <c r="R34" s="21">
        <f t="shared" ca="1" si="12"/>
        <v>244.74843760533881</v>
      </c>
      <c r="S34" s="21">
        <f t="shared" ca="1" si="12"/>
        <v>254.47520584078205</v>
      </c>
      <c r="T34" s="21">
        <f t="shared" ca="1" si="12"/>
        <v>264.80119566754439</v>
      </c>
      <c r="U34" s="21">
        <f t="shared" ca="1" si="12"/>
        <v>275.56837207368267</v>
      </c>
      <c r="V34" s="21">
        <f t="shared" ca="1" si="12"/>
        <v>286.45725588281186</v>
      </c>
      <c r="W34" s="21">
        <f t="shared" ca="1" si="12"/>
        <v>297.64206322196281</v>
      </c>
      <c r="X34" s="21">
        <f t="shared" ca="1" si="12"/>
        <v>309.12937859444685</v>
      </c>
      <c r="Y34" s="21">
        <f t="shared" ca="1" si="12"/>
        <v>321.00325354924536</v>
      </c>
      <c r="Z34" s="21">
        <f t="shared" ca="1" si="12"/>
        <v>333.25228364674138</v>
      </c>
    </row>
    <row r="35" spans="1:26" x14ac:dyDescent="0.25">
      <c r="A35" s="11" t="s">
        <v>1154</v>
      </c>
      <c r="B35" s="11"/>
      <c r="C35" s="15"/>
      <c r="D35" s="51">
        <f t="shared" ref="D35:Z35" si="13">SUM(D$194,D$212,D$218,D$227,D$234,D$241,D$246,D$249)</f>
        <v>111.376</v>
      </c>
      <c r="E35" s="51">
        <f t="shared" si="13"/>
        <v>138.91599999999997</v>
      </c>
      <c r="F35" s="51">
        <f t="shared" si="13"/>
        <v>133.72200000000004</v>
      </c>
      <c r="G35" s="51">
        <f t="shared" si="13"/>
        <v>150.95599999999999</v>
      </c>
      <c r="H35" s="51">
        <f t="shared" si="13"/>
        <v>161.822</v>
      </c>
      <c r="I35" s="51">
        <f t="shared" si="13"/>
        <v>180.06100000000001</v>
      </c>
      <c r="J35" s="51">
        <f t="shared" si="13"/>
        <v>183.50200000000001</v>
      </c>
      <c r="K35" s="51">
        <f t="shared" si="13"/>
        <v>182.691</v>
      </c>
      <c r="L35" s="47">
        <f t="shared" ca="1" si="13"/>
        <v>194.47299999999998</v>
      </c>
      <c r="M35" s="47">
        <f t="shared" ca="1" si="13"/>
        <v>197.73099999999997</v>
      </c>
      <c r="N35" s="47">
        <f t="shared" ca="1" si="13"/>
        <v>203.18200000000002</v>
      </c>
      <c r="O35" s="47">
        <f t="shared" ca="1" si="13"/>
        <v>209.95</v>
      </c>
      <c r="P35" s="47">
        <f t="shared" ca="1" si="13"/>
        <v>216.69899999999998</v>
      </c>
      <c r="Q35" s="21">
        <f t="shared" ca="1" si="13"/>
        <v>224.00048448502992</v>
      </c>
      <c r="R35" s="21">
        <f t="shared" ca="1" si="13"/>
        <v>230.98836977438313</v>
      </c>
      <c r="S35" s="21">
        <f t="shared" ca="1" si="13"/>
        <v>238.08041877067137</v>
      </c>
      <c r="T35" s="21">
        <f t="shared" ca="1" si="13"/>
        <v>245.44962329445912</v>
      </c>
      <c r="U35" s="21">
        <f t="shared" ca="1" si="13"/>
        <v>253.15206731972017</v>
      </c>
      <c r="V35" s="21">
        <f t="shared" ca="1" si="13"/>
        <v>261.04216604020178</v>
      </c>
      <c r="W35" s="21">
        <f t="shared" ca="1" si="13"/>
        <v>269.07552181377213</v>
      </c>
      <c r="X35" s="21">
        <f t="shared" ca="1" si="13"/>
        <v>277.22744346116826</v>
      </c>
      <c r="Y35" s="21">
        <f t="shared" ca="1" si="13"/>
        <v>285.45340900759402</v>
      </c>
      <c r="Z35" s="21">
        <f t="shared" ca="1" si="13"/>
        <v>293.84266244132078</v>
      </c>
    </row>
    <row r="36" spans="1:26" x14ac:dyDescent="0.25">
      <c r="A36" s="12" t="s">
        <v>1155</v>
      </c>
      <c r="B36" s="11"/>
      <c r="C36" s="15"/>
      <c r="D36" s="50">
        <f t="shared" ref="D36:Z36" si="14">D$337</f>
        <v>-7.1309999999999993</v>
      </c>
      <c r="E36" s="50">
        <f t="shared" si="14"/>
        <v>-8.7219999999999995</v>
      </c>
      <c r="F36" s="50">
        <f t="shared" si="14"/>
        <v>21.023</v>
      </c>
      <c r="G36" s="50">
        <f t="shared" si="14"/>
        <v>-6.7219999999999995</v>
      </c>
      <c r="H36" s="50">
        <f t="shared" si="14"/>
        <v>14.658000000000001</v>
      </c>
      <c r="I36" s="50">
        <f t="shared" si="14"/>
        <v>4.6669999999999998</v>
      </c>
      <c r="J36" s="50">
        <f t="shared" si="14"/>
        <v>8.870000000000001</v>
      </c>
      <c r="K36" s="50">
        <f t="shared" si="14"/>
        <v>11.251999999999999</v>
      </c>
      <c r="L36" s="48">
        <f t="shared" si="14"/>
        <v>5.5949999999999998</v>
      </c>
      <c r="M36" s="48">
        <f t="shared" si="14"/>
        <v>6.1859999999999999</v>
      </c>
      <c r="N36" s="48">
        <f t="shared" si="14"/>
        <v>6.67</v>
      </c>
      <c r="O36" s="48">
        <f t="shared" si="14"/>
        <v>7.1619999999999999</v>
      </c>
      <c r="P36" s="48">
        <f t="shared" si="14"/>
        <v>7.8049999999999997</v>
      </c>
      <c r="Q36" s="20">
        <f t="shared" ca="1" si="14"/>
        <v>8.1893578666957438</v>
      </c>
      <c r="R36" s="20">
        <f t="shared" ca="1" si="14"/>
        <v>8.6778170884748373</v>
      </c>
      <c r="S36" s="20">
        <f t="shared" ca="1" si="14"/>
        <v>9.1935424145827049</v>
      </c>
      <c r="T36" s="20">
        <f t="shared" ca="1" si="14"/>
        <v>9.7397335211931519</v>
      </c>
      <c r="U36" s="20">
        <f t="shared" ca="1" si="14"/>
        <v>10.315927609072595</v>
      </c>
      <c r="V36" s="20">
        <f t="shared" ca="1" si="14"/>
        <v>10.915288094060537</v>
      </c>
      <c r="W36" s="20">
        <f t="shared" ca="1" si="14"/>
        <v>11.541113549028129</v>
      </c>
      <c r="X36" s="20">
        <f t="shared" ca="1" si="14"/>
        <v>12.198297499928369</v>
      </c>
      <c r="Y36" s="20">
        <f t="shared" ca="1" si="14"/>
        <v>12.89401253208573</v>
      </c>
      <c r="Z36" s="20">
        <f t="shared" ca="1" si="14"/>
        <v>13.634820401576503</v>
      </c>
    </row>
    <row r="37" spans="1:26" x14ac:dyDescent="0.25">
      <c r="A37" s="12" t="s">
        <v>881</v>
      </c>
      <c r="B37" s="14"/>
      <c r="C37" s="15"/>
      <c r="D37" s="50">
        <f t="shared" ref="D37:Z37" si="15">D$341</f>
        <v>0.20599999999999999</v>
      </c>
      <c r="E37" s="50">
        <f t="shared" si="15"/>
        <v>1.1930000000000001</v>
      </c>
      <c r="F37" s="50">
        <f t="shared" si="15"/>
        <v>-0.36</v>
      </c>
      <c r="G37" s="50">
        <f t="shared" si="15"/>
        <v>-0.126</v>
      </c>
      <c r="H37" s="50">
        <f t="shared" si="15"/>
        <v>2.9000000000000001E-2</v>
      </c>
      <c r="I37" s="50">
        <f t="shared" si="15"/>
        <v>0.12</v>
      </c>
      <c r="J37" s="50">
        <f t="shared" si="15"/>
        <v>0.214</v>
      </c>
      <c r="K37" s="50">
        <f t="shared" si="15"/>
        <v>0.27400000000000002</v>
      </c>
      <c r="L37" s="48">
        <f t="shared" si="15"/>
        <v>0.26500000000000001</v>
      </c>
      <c r="M37" s="48">
        <f t="shared" si="15"/>
        <v>0.252</v>
      </c>
      <c r="N37" s="48">
        <f t="shared" si="15"/>
        <v>0.22</v>
      </c>
      <c r="O37" s="48">
        <f t="shared" si="15"/>
        <v>0.127</v>
      </c>
      <c r="P37" s="48">
        <f t="shared" si="15"/>
        <v>7.0000000000000007E-2</v>
      </c>
      <c r="Q37" s="20">
        <f t="shared" ca="1" si="15"/>
        <v>7.3047162251375891E-2</v>
      </c>
      <c r="R37" s="20">
        <f t="shared" ca="1" si="15"/>
        <v>7.6156424413280466E-2</v>
      </c>
      <c r="S37" s="20">
        <f t="shared" ca="1" si="15"/>
        <v>7.9348059592001752E-2</v>
      </c>
      <c r="T37" s="20">
        <f t="shared" ca="1" si="15"/>
        <v>8.2614602511242197E-2</v>
      </c>
      <c r="U37" s="20">
        <f t="shared" ca="1" si="15"/>
        <v>8.5995052192758242E-2</v>
      </c>
      <c r="V37" s="20">
        <f t="shared" ca="1" si="15"/>
        <v>8.9490610853099395E-2</v>
      </c>
      <c r="W37" s="20">
        <f t="shared" ca="1" si="15"/>
        <v>9.308364345661603E-2</v>
      </c>
      <c r="X37" s="20">
        <f t="shared" ca="1" si="15"/>
        <v>9.6780140506793413E-2</v>
      </c>
      <c r="Y37" s="20">
        <f t="shared" ca="1" si="15"/>
        <v>0.10059943236443897</v>
      </c>
      <c r="Z37" s="20">
        <f t="shared" ca="1" si="15"/>
        <v>0.10454250408185706</v>
      </c>
    </row>
    <row r="38" spans="1:26" x14ac:dyDescent="0.25">
      <c r="A38" s="12" t="s">
        <v>1156</v>
      </c>
      <c r="B38" s="14" t="s">
        <v>1157</v>
      </c>
      <c r="C38" s="15"/>
      <c r="D38" s="50">
        <f>'Fiscal Forecasts'!D$28</f>
        <v>0.45200000000000001</v>
      </c>
      <c r="E38" s="50">
        <f>'Fiscal Forecasts'!E$28</f>
        <v>-0.40200000000000002</v>
      </c>
      <c r="F38" s="50">
        <f>'Fiscal Forecasts'!F$28</f>
        <v>0.11700000000000001</v>
      </c>
      <c r="G38" s="50">
        <f>'Fiscal Forecasts'!G$28</f>
        <v>0.755</v>
      </c>
      <c r="H38" s="50">
        <f>'Fiscal Forecasts'!H$28</f>
        <v>0.55500000000000005</v>
      </c>
      <c r="I38" s="50">
        <f>'Fiscal Forecasts'!I$28</f>
        <v>0.438</v>
      </c>
      <c r="J38" s="50">
        <f>'Fiscal Forecasts'!J$28</f>
        <v>-0.20699999999999999</v>
      </c>
      <c r="K38" s="50">
        <f>'Fiscal Forecasts'!K$28</f>
        <v>3.3000000000000002E-2</v>
      </c>
      <c r="L38" s="48">
        <f>'Fiscal Forecasts'!L$28</f>
        <v>0.20699999999999999</v>
      </c>
      <c r="M38" s="48">
        <f>'Fiscal Forecasts'!M$28</f>
        <v>0.44900000000000001</v>
      </c>
      <c r="N38" s="48">
        <f>'Fiscal Forecasts'!N$28</f>
        <v>0.438</v>
      </c>
      <c r="O38" s="48">
        <f>'Fiscal Forecasts'!O$28</f>
        <v>0.47699999999999998</v>
      </c>
      <c r="P38" s="48">
        <f>'Fiscal Forecasts'!P$28</f>
        <v>0.60499999999999998</v>
      </c>
      <c r="Q38" s="20">
        <f t="shared" ref="Q38:Z38" si="16">P$38*P$59/O$59</f>
        <v>0.6051259367194004</v>
      </c>
      <c r="R38" s="20">
        <f t="shared" ca="1" si="16"/>
        <v>0.60128038076518797</v>
      </c>
      <c r="S38" s="20">
        <f t="shared" ca="1" si="16"/>
        <v>0.59822212694402666</v>
      </c>
      <c r="T38" s="20">
        <f t="shared" ca="1" si="16"/>
        <v>0.59625993199738303</v>
      </c>
      <c r="U38" s="20">
        <f t="shared" ca="1" si="16"/>
        <v>0.59605801996716767</v>
      </c>
      <c r="V38" s="20">
        <f t="shared" ca="1" si="16"/>
        <v>0.59757125817594159</v>
      </c>
      <c r="W38" s="20">
        <f t="shared" ca="1" si="16"/>
        <v>0.59918716695355234</v>
      </c>
      <c r="X38" s="20">
        <f t="shared" ca="1" si="16"/>
        <v>0.60072007493924939</v>
      </c>
      <c r="Y38" s="20">
        <f t="shared" ca="1" si="16"/>
        <v>0.60206254716912155</v>
      </c>
      <c r="Z38" s="20">
        <f t="shared" ca="1" si="16"/>
        <v>0.60345180187651026</v>
      </c>
    </row>
    <row r="39" spans="1:26" x14ac:dyDescent="0.25">
      <c r="A39" s="11" t="s">
        <v>755</v>
      </c>
      <c r="B39" s="11"/>
      <c r="C39" s="15"/>
      <c r="D39" s="94">
        <f t="shared" ref="D39:Z39" ca="1" si="17">SUM(D$34,D$36,D$37)-SUM(D$35,D$38)</f>
        <v>0.38899999999999579</v>
      </c>
      <c r="E39" s="94">
        <f t="shared" ca="1" si="17"/>
        <v>-30.039999999999978</v>
      </c>
      <c r="F39" s="94">
        <f t="shared" ca="1" si="17"/>
        <v>16.158999999999963</v>
      </c>
      <c r="G39" s="94">
        <f t="shared" ca="1" si="17"/>
        <v>-16.931999999999988</v>
      </c>
      <c r="H39" s="94">
        <f t="shared" ca="1" si="17"/>
        <v>5.3209999999999695</v>
      </c>
      <c r="I39" s="94">
        <f t="shared" ca="1" si="17"/>
        <v>-8.3650000000000091</v>
      </c>
      <c r="J39" s="94">
        <f t="shared" ca="1" si="17"/>
        <v>-4.4000000000000341</v>
      </c>
      <c r="K39" s="94">
        <f t="shared" ca="1" si="17"/>
        <v>1.1360000000000241</v>
      </c>
      <c r="L39" s="95">
        <f t="shared" ca="1" si="17"/>
        <v>-2.9629999999999654</v>
      </c>
      <c r="M39" s="95">
        <f t="shared" ca="1" si="17"/>
        <v>3.4770000000000323</v>
      </c>
      <c r="N39" s="95">
        <f t="shared" ca="1" si="17"/>
        <v>8.9020000000000152</v>
      </c>
      <c r="O39" s="95">
        <f t="shared" ca="1" si="17"/>
        <v>13.543000000000035</v>
      </c>
      <c r="P39" s="95">
        <f t="shared" ca="1" si="17"/>
        <v>16.69300000000004</v>
      </c>
      <c r="Q39" s="96">
        <f t="shared" ca="1" si="17"/>
        <v>19.103193764950333</v>
      </c>
      <c r="R39" s="96">
        <f t="shared" ca="1" si="17"/>
        <v>21.912760963078597</v>
      </c>
      <c r="S39" s="96">
        <f t="shared" ca="1" si="17"/>
        <v>25.069455417341345</v>
      </c>
      <c r="T39" s="96">
        <f t="shared" ca="1" si="17"/>
        <v>28.577660564792268</v>
      </c>
      <c r="U39" s="96">
        <f t="shared" ca="1" si="17"/>
        <v>32.222169395260693</v>
      </c>
      <c r="V39" s="96">
        <f t="shared" ca="1" si="17"/>
        <v>35.822297289347773</v>
      </c>
      <c r="W39" s="96">
        <f t="shared" ca="1" si="17"/>
        <v>39.601551433721909</v>
      </c>
      <c r="X39" s="96">
        <f t="shared" ca="1" si="17"/>
        <v>43.596292698774448</v>
      </c>
      <c r="Y39" s="96">
        <f t="shared" ca="1" si="17"/>
        <v>47.942393958932428</v>
      </c>
      <c r="Z39" s="96">
        <f t="shared" ca="1" si="17"/>
        <v>52.545532309202429</v>
      </c>
    </row>
    <row r="40" spans="1:26" x14ac:dyDescent="0.25">
      <c r="A40" s="12" t="s">
        <v>886</v>
      </c>
      <c r="B40" s="14" t="str">
        <f>$B$38</f>
        <v>From Fiscal Forecasts</v>
      </c>
      <c r="C40" s="15"/>
      <c r="D40" s="50">
        <f>'Fiscal Forecasts'!D$32</f>
        <v>0.115</v>
      </c>
      <c r="E40" s="50">
        <f>'Fiscal Forecasts'!E$32</f>
        <v>-0.54600000000000004</v>
      </c>
      <c r="F40" s="50">
        <f>'Fiscal Forecasts'!F$32</f>
        <v>-5.6000000000000001E-2</v>
      </c>
      <c r="G40" s="50">
        <f>'Fiscal Forecasts'!G$32</f>
        <v>0.39300000000000002</v>
      </c>
      <c r="H40" s="50">
        <f>'Fiscal Forecasts'!H$32</f>
        <v>-0.08</v>
      </c>
      <c r="I40" s="50">
        <f>'Fiscal Forecasts'!I$32</f>
        <v>0.29799999999999999</v>
      </c>
      <c r="J40" s="50">
        <f>'Fiscal Forecasts'!J$32</f>
        <v>-0.48899999999999999</v>
      </c>
      <c r="K40" s="50">
        <f>'Fiscal Forecasts'!K$32</f>
        <v>-0.34899999999999998</v>
      </c>
      <c r="L40" s="48">
        <f>'Fiscal Forecasts'!L$32</f>
        <v>9.2999999999999999E-2</v>
      </c>
      <c r="M40" s="48">
        <f>'Fiscal Forecasts'!M$32</f>
        <v>2.3E-2</v>
      </c>
      <c r="N40" s="48">
        <f>'Fiscal Forecasts'!N$32</f>
        <v>0.05</v>
      </c>
      <c r="O40" s="48">
        <f>'Fiscal Forecasts'!O$32</f>
        <v>5.6000000000000001E-2</v>
      </c>
      <c r="P40" s="48">
        <f>'Fiscal Forecasts'!P$32</f>
        <v>6.0999999999999999E-2</v>
      </c>
      <c r="Q40" s="20">
        <f t="shared" ref="Q40:Z40" si="18">P$40*Q$38/P$38</f>
        <v>6.1012697751873436E-2</v>
      </c>
      <c r="R40" s="20">
        <f t="shared" ca="1" si="18"/>
        <v>6.0624964011035488E-2</v>
      </c>
      <c r="S40" s="20">
        <f t="shared" ca="1" si="18"/>
        <v>6.0316611146422526E-2</v>
      </c>
      <c r="T40" s="20">
        <f t="shared" ca="1" si="18"/>
        <v>6.0118770003041937E-2</v>
      </c>
      <c r="U40" s="20">
        <f t="shared" ca="1" si="18"/>
        <v>6.0098411930573942E-2</v>
      </c>
      <c r="V40" s="20">
        <f t="shared" ca="1" si="18"/>
        <v>6.0250986361541234E-2</v>
      </c>
      <c r="W40" s="20">
        <f t="shared" ca="1" si="18"/>
        <v>6.0413912701101982E-2</v>
      </c>
      <c r="X40" s="20">
        <f t="shared" ca="1" si="18"/>
        <v>6.0568470365775569E-2</v>
      </c>
      <c r="Y40" s="20">
        <f t="shared" ca="1" si="18"/>
        <v>6.0703827069944497E-2</v>
      </c>
      <c r="Z40" s="20">
        <f t="shared" ca="1" si="18"/>
        <v>6.0843900685069639E-2</v>
      </c>
    </row>
    <row r="41" spans="1:26" x14ac:dyDescent="0.25">
      <c r="A41" s="11" t="s">
        <v>1158</v>
      </c>
      <c r="B41" s="11"/>
      <c r="C41" s="15"/>
      <c r="D41" s="94">
        <f t="shared" ref="D41:Z41" ca="1" si="19">D$34-D$35-(D$38-D$40)</f>
        <v>7.4289999999999914</v>
      </c>
      <c r="E41" s="94">
        <f t="shared" ca="1" si="19"/>
        <v>-23.056999999999967</v>
      </c>
      <c r="F41" s="94">
        <f t="shared" ca="1" si="19"/>
        <v>-4.5600000000000289</v>
      </c>
      <c r="G41" s="94">
        <f t="shared" ca="1" si="19"/>
        <v>-9.6909999999999794</v>
      </c>
      <c r="H41" s="94">
        <f t="shared" ca="1" si="19"/>
        <v>-9.4460000000000068</v>
      </c>
      <c r="I41" s="94">
        <f t="shared" ca="1" si="19"/>
        <v>-12.854000000000028</v>
      </c>
      <c r="J41" s="94">
        <f t="shared" ca="1" si="19"/>
        <v>-13.973000000000031</v>
      </c>
      <c r="K41" s="94">
        <f t="shared" ca="1" si="19"/>
        <v>-10.738999999999999</v>
      </c>
      <c r="L41" s="95">
        <f t="shared" ca="1" si="19"/>
        <v>-8.7299999999999578</v>
      </c>
      <c r="M41" s="95">
        <f t="shared" ca="1" si="19"/>
        <v>-2.9379999999999722</v>
      </c>
      <c r="N41" s="95">
        <f t="shared" ca="1" si="19"/>
        <v>2.0620000000000172</v>
      </c>
      <c r="O41" s="95">
        <f t="shared" ca="1" si="19"/>
        <v>6.3100000000000227</v>
      </c>
      <c r="P41" s="95">
        <f t="shared" ca="1" si="19"/>
        <v>8.8790000000000298</v>
      </c>
      <c r="Q41" s="96">
        <f t="shared" ca="1" si="19"/>
        <v>10.901801433755054</v>
      </c>
      <c r="R41" s="96">
        <f t="shared" ca="1" si="19"/>
        <v>13.219412414201525</v>
      </c>
      <c r="S41" s="96">
        <f t="shared" ca="1" si="19"/>
        <v>15.856881554313077</v>
      </c>
      <c r="T41" s="96">
        <f t="shared" ca="1" si="19"/>
        <v>18.815431211090935</v>
      </c>
      <c r="U41" s="96">
        <f t="shared" ca="1" si="19"/>
        <v>21.880345145925897</v>
      </c>
      <c r="V41" s="96">
        <f t="shared" ca="1" si="19"/>
        <v>24.877769570795685</v>
      </c>
      <c r="W41" s="96">
        <f t="shared" ca="1" si="19"/>
        <v>28.027768153938236</v>
      </c>
      <c r="X41" s="96">
        <f t="shared" ca="1" si="19"/>
        <v>31.361783528705111</v>
      </c>
      <c r="Y41" s="96">
        <f t="shared" ca="1" si="19"/>
        <v>35.008485821552163</v>
      </c>
      <c r="Z41" s="96">
        <f t="shared" ca="1" si="19"/>
        <v>38.867013304229154</v>
      </c>
    </row>
    <row r="42" spans="1:26" x14ac:dyDescent="0.25">
      <c r="A42" s="60" t="s">
        <v>1159</v>
      </c>
      <c r="B42" s="14" t="s">
        <v>1160</v>
      </c>
      <c r="C42" s="15"/>
      <c r="D42" s="97" t="str">
        <f ca="1">IF(ROUND('Fiscal Forecasts'!D$33-D$41,3)=0,"OK","ERROR")</f>
        <v>OK</v>
      </c>
      <c r="E42" s="97" t="str">
        <f ca="1">IF(ROUND('Fiscal Forecasts'!E$33-E$41,3)=0,"OK","ERROR")</f>
        <v>OK</v>
      </c>
      <c r="F42" s="97" t="str">
        <f ca="1">IF(ROUND('Fiscal Forecasts'!F$33-F$41,3)=0,"OK","ERROR")</f>
        <v>OK</v>
      </c>
      <c r="G42" s="97" t="str">
        <f ca="1">IF(ROUND('Fiscal Forecasts'!G$33-G$41,3)=0,"OK","ERROR")</f>
        <v>OK</v>
      </c>
      <c r="H42" s="97" t="str">
        <f ca="1">IF(ROUND('Fiscal Forecasts'!H$33-H$41,3)=0,"OK","ERROR")</f>
        <v>OK</v>
      </c>
      <c r="I42" s="97" t="str">
        <f ca="1">IF(ROUND('Fiscal Forecasts'!I$33-I$41,3)=0,"OK","ERROR")</f>
        <v>OK</v>
      </c>
      <c r="J42" s="97" t="str">
        <f ca="1">IF(ROUND('Fiscal Forecasts'!J$33-J$41,3)=0,"OK","ERROR")</f>
        <v>OK</v>
      </c>
      <c r="K42" s="97" t="str">
        <f ca="1">IF(ROUND('Fiscal Forecasts'!K$33-K$41,3)=0,"OK","ERROR")</f>
        <v>OK</v>
      </c>
      <c r="L42" s="97" t="str">
        <f ca="1">IF(ROUND('Fiscal Forecasts'!L$33-L$41+IF($C$2="Yes",('Fiscal Forecast Adjuster'!C$14-SUM('Fiscal Forecast Adjuster'!C$25,'Fiscal Forecast Adjuster'!C$26,'Fiscal Forecast Adjuster'!C$29,'Fiscal Forecast Adjuster'!C$38))/1000,0)+IF($C$3="Yes",'NZSF Adjuster'!W$24-'NZSF Adjuster'!W$15-('NZSF Adjuster'!W$26-'NZSF Adjuster'!W$17)-'NZSF Adjuster'!W$9,0),3)=0,"OK","ERROR")</f>
        <v>OK</v>
      </c>
      <c r="M42" s="97" t="str">
        <f ca="1">IF(ROUND('Fiscal Forecasts'!M$33-M$41+IF($C$2="Yes",('Fiscal Forecast Adjuster'!D$14-SUM('Fiscal Forecast Adjuster'!D$25,'Fiscal Forecast Adjuster'!D$26,'Fiscal Forecast Adjuster'!D$29,'Fiscal Forecast Adjuster'!D$38))/1000,0)+IF($C$3="Yes",'NZSF Adjuster'!X$24-'NZSF Adjuster'!X$15-('NZSF Adjuster'!X$26-'NZSF Adjuster'!X$17)-'NZSF Adjuster'!X$9,0),3)=0,"OK","ERROR")</f>
        <v>OK</v>
      </c>
      <c r="N42" s="97" t="str">
        <f ca="1">IF(ROUND('Fiscal Forecasts'!N$33-N$41+IF($C$2="Yes",('Fiscal Forecast Adjuster'!E$14-SUM('Fiscal Forecast Adjuster'!E$25,'Fiscal Forecast Adjuster'!E$26,'Fiscal Forecast Adjuster'!E$29,'Fiscal Forecast Adjuster'!E$38))/1000,0)+IF($C$3="Yes",'NZSF Adjuster'!Y$24-'NZSF Adjuster'!Y$15-('NZSF Adjuster'!Y$26-'NZSF Adjuster'!Y$17)-'NZSF Adjuster'!Y$9,0),3)=0,"OK","ERROR")</f>
        <v>OK</v>
      </c>
      <c r="O42" s="97" t="str">
        <f ca="1">IF(ROUND('Fiscal Forecasts'!O$33-O$41+IF($C$2="Yes",('Fiscal Forecast Adjuster'!F$14-SUM('Fiscal Forecast Adjuster'!F$25,'Fiscal Forecast Adjuster'!F$26,'Fiscal Forecast Adjuster'!F$29,'Fiscal Forecast Adjuster'!F$38))/1000,0)+IF($C$3="Yes",'NZSF Adjuster'!Z$24-'NZSF Adjuster'!Z$15-('NZSF Adjuster'!Z$26-'NZSF Adjuster'!Z$17)-'NZSF Adjuster'!Z$9,0),3)=0,"OK","ERROR")</f>
        <v>OK</v>
      </c>
      <c r="P42" s="97" t="str">
        <f ca="1">IF(ROUND('Fiscal Forecasts'!P$33-P$41+IF($C$2="Yes",('Fiscal Forecast Adjuster'!G$14-SUM('Fiscal Forecast Adjuster'!G$25,'Fiscal Forecast Adjuster'!G$26,'Fiscal Forecast Adjuster'!G$29,'Fiscal Forecast Adjuster'!G$38))/1000,0)+IF($C$3="Yes",'NZSF Adjuster'!AA$24-'NZSF Adjuster'!AA$15-('NZSF Adjuster'!AA$26-'NZSF Adjuster'!AA$17)-'NZSF Adjuster'!AA$9,0),3)=0,"OK","ERROR")</f>
        <v>OK</v>
      </c>
      <c r="Q42" s="17"/>
      <c r="R42" s="17"/>
      <c r="S42" s="17"/>
      <c r="T42" s="17"/>
      <c r="U42" s="17"/>
      <c r="V42" s="17"/>
      <c r="W42" s="17"/>
      <c r="X42" s="17"/>
      <c r="Y42" s="17"/>
      <c r="Z42" s="17"/>
    </row>
    <row r="43" spans="1:26" x14ac:dyDescent="0.25">
      <c r="A43" s="12" t="s">
        <v>889</v>
      </c>
      <c r="B43" s="14" t="str">
        <f>$B$38</f>
        <v>From Fiscal Forecasts</v>
      </c>
      <c r="C43" s="15"/>
      <c r="D43" s="50">
        <f>'Fiscal Forecasts'!D$35</f>
        <v>5.827</v>
      </c>
      <c r="E43" s="50">
        <f>'Fiscal Forecasts'!E$35</f>
        <v>5.73</v>
      </c>
      <c r="F43" s="50">
        <f>'Fiscal Forecasts'!F$35</f>
        <v>6.1950000000000003</v>
      </c>
      <c r="G43" s="50">
        <f>'Fiscal Forecasts'!G$35</f>
        <v>6.625</v>
      </c>
      <c r="H43" s="50">
        <f>'Fiscal Forecasts'!H$35</f>
        <v>7.39</v>
      </c>
      <c r="I43" s="50">
        <f>'Fiscal Forecasts'!I$35</f>
        <v>7.9290000000000003</v>
      </c>
      <c r="J43" s="50">
        <f>'Fiscal Forecasts'!J$35</f>
        <v>8.548</v>
      </c>
      <c r="K43" s="50">
        <f>'Fiscal Forecasts'!K$35</f>
        <v>8.9429999999999996</v>
      </c>
      <c r="L43" s="48">
        <f>'Fiscal Forecasts'!L$35</f>
        <v>9.5489999999999995</v>
      </c>
      <c r="M43" s="48">
        <f>'Fiscal Forecasts'!M$35</f>
        <v>10.170999999999999</v>
      </c>
      <c r="N43" s="48">
        <f>'Fiscal Forecasts'!N$35</f>
        <v>10.502000000000001</v>
      </c>
      <c r="O43" s="48">
        <f>'Fiscal Forecasts'!O$35</f>
        <v>11.176</v>
      </c>
      <c r="P43" s="48">
        <f>'Fiscal Forecasts'!P$35</f>
        <v>11.611000000000001</v>
      </c>
      <c r="Q43" s="20">
        <f>Q$148+(P$43-P$148)*(1+Exogenous!AB$31)</f>
        <v>12.429790158081012</v>
      </c>
      <c r="R43" s="20">
        <f>R$148+(Q$43-Q$148)*(1+Exogenous!AC$31)</f>
        <v>13.300830576338702</v>
      </c>
      <c r="S43" s="20">
        <f>S$148+(R$43-R$148)*(1+Exogenous!AD$31)</f>
        <v>14.211158217037488</v>
      </c>
      <c r="T43" s="20">
        <f>T$148+(S$43-S$148)*(1+Exogenous!AE$31)</f>
        <v>15.195726727748877</v>
      </c>
      <c r="U43" s="20">
        <f>U$148+(T$43-T$148)*(1+Exogenous!AF$31)</f>
        <v>16.183131105132009</v>
      </c>
      <c r="V43" s="20">
        <f>V$148+(U$43-U$148)*(1+Exogenous!AG$31)</f>
        <v>16.974959533771454</v>
      </c>
      <c r="W43" s="20">
        <f>W$148+(V$43-V$148)*(1+Exogenous!AH$31)</f>
        <v>17.803401698346804</v>
      </c>
      <c r="X43" s="20">
        <f>X$148+(W$43-W$148)*(1+Exogenous!AI$31)</f>
        <v>18.645891159817143</v>
      </c>
      <c r="Y43" s="20">
        <f>Y$148+(X$43-X$148)*(1+Exogenous!AJ$31)</f>
        <v>19.530079533294185</v>
      </c>
      <c r="Z43" s="20">
        <f>Z$148+(Y$43-Y$148)*(1+Exogenous!AK$31)</f>
        <v>20.444610791103781</v>
      </c>
    </row>
    <row r="44" spans="1:26" x14ac:dyDescent="0.25">
      <c r="A44" s="12" t="s">
        <v>890</v>
      </c>
      <c r="B44" s="14" t="str">
        <f>$B$38</f>
        <v>From Fiscal Forecasts</v>
      </c>
      <c r="C44" s="15"/>
      <c r="D44" s="50">
        <f>'Fiscal Forecasts'!D$36</f>
        <v>6.9020000000000001</v>
      </c>
      <c r="E44" s="50">
        <f>'Fiscal Forecasts'!E$36</f>
        <v>7.8849999999999998</v>
      </c>
      <c r="F44" s="50">
        <f>'Fiscal Forecasts'!F$36</f>
        <v>8.1959999999999997</v>
      </c>
      <c r="G44" s="50">
        <f>'Fiscal Forecasts'!G$36</f>
        <v>7.6520000000000001</v>
      </c>
      <c r="H44" s="50">
        <f>'Fiscal Forecasts'!H$36</f>
        <v>9.6370000000000005</v>
      </c>
      <c r="I44" s="50">
        <f>'Fiscal Forecasts'!I$36</f>
        <v>12.01</v>
      </c>
      <c r="J44" s="50">
        <f>'Fiscal Forecasts'!J$36</f>
        <v>13.215</v>
      </c>
      <c r="K44" s="50">
        <f>'Fiscal Forecasts'!K$36</f>
        <v>11.041</v>
      </c>
      <c r="L44" s="48">
        <f>'Fiscal Forecasts'!L$36</f>
        <v>11.529</v>
      </c>
      <c r="M44" s="48">
        <f>'Fiscal Forecasts'!M$36</f>
        <v>12.275</v>
      </c>
      <c r="N44" s="48">
        <f>'Fiscal Forecasts'!N$36</f>
        <v>12.456</v>
      </c>
      <c r="O44" s="48">
        <f>'Fiscal Forecasts'!O$36</f>
        <v>12.923</v>
      </c>
      <c r="P44" s="48">
        <f>'Fiscal Forecasts'!P$36</f>
        <v>14.425000000000001</v>
      </c>
      <c r="Q44" s="20">
        <f t="shared" ref="Q44:Z44" ca="1" si="20">Q$242+(P$44-P$242)*(1+Q$19)*(1+Q$29)</f>
        <v>15.132542110116781</v>
      </c>
      <c r="R44" s="20">
        <f t="shared" ca="1" si="20"/>
        <v>15.886093201540325</v>
      </c>
      <c r="S44" s="20">
        <f t="shared" ca="1" si="20"/>
        <v>16.639967033436427</v>
      </c>
      <c r="T44" s="20">
        <f t="shared" ca="1" si="20"/>
        <v>17.371953061124131</v>
      </c>
      <c r="U44" s="20">
        <f t="shared" ca="1" si="20"/>
        <v>18.14517403221479</v>
      </c>
      <c r="V44" s="20">
        <f t="shared" ca="1" si="20"/>
        <v>18.928661563922116</v>
      </c>
      <c r="W44" s="20">
        <f t="shared" ca="1" si="20"/>
        <v>19.736878867253129</v>
      </c>
      <c r="X44" s="20">
        <f t="shared" ca="1" si="20"/>
        <v>20.577209601100702</v>
      </c>
      <c r="Y44" s="20">
        <f t="shared" ca="1" si="20"/>
        <v>21.418673055638067</v>
      </c>
      <c r="Z44" s="20">
        <f t="shared" ca="1" si="20"/>
        <v>22.305541646289182</v>
      </c>
    </row>
    <row r="45" spans="1:26" x14ac:dyDescent="0.25">
      <c r="A45" s="11" t="s">
        <v>891</v>
      </c>
      <c r="B45" s="14"/>
      <c r="C45" s="15"/>
      <c r="D45" s="94">
        <f t="shared" ref="D45:Z45" ca="1" si="21">D$41-(D$43-D$44)</f>
        <v>8.5039999999999907</v>
      </c>
      <c r="E45" s="94">
        <f t="shared" ca="1" si="21"/>
        <v>-20.901999999999965</v>
      </c>
      <c r="F45" s="94">
        <f t="shared" ca="1" si="21"/>
        <v>-2.5590000000000295</v>
      </c>
      <c r="G45" s="94">
        <f t="shared" ca="1" si="21"/>
        <v>-8.6639999999999802</v>
      </c>
      <c r="H45" s="94">
        <f t="shared" ca="1" si="21"/>
        <v>-7.1990000000000061</v>
      </c>
      <c r="I45" s="94">
        <f t="shared" ca="1" si="21"/>
        <v>-8.7730000000000281</v>
      </c>
      <c r="J45" s="94">
        <f t="shared" ca="1" si="21"/>
        <v>-9.3060000000000311</v>
      </c>
      <c r="K45" s="94">
        <f t="shared" ca="1" si="21"/>
        <v>-8.6409999999999982</v>
      </c>
      <c r="L45" s="95">
        <f t="shared" ca="1" si="21"/>
        <v>-6.7499999999999574</v>
      </c>
      <c r="M45" s="95">
        <f t="shared" ca="1" si="21"/>
        <v>-0.83399999999997121</v>
      </c>
      <c r="N45" s="95">
        <f t="shared" ca="1" si="21"/>
        <v>4.016000000000016</v>
      </c>
      <c r="O45" s="95">
        <f t="shared" ca="1" si="21"/>
        <v>8.0570000000000235</v>
      </c>
      <c r="P45" s="95">
        <f t="shared" ca="1" si="21"/>
        <v>11.69300000000003</v>
      </c>
      <c r="Q45" s="96">
        <f t="shared" ca="1" si="21"/>
        <v>13.604553385790823</v>
      </c>
      <c r="R45" s="96">
        <f t="shared" ca="1" si="21"/>
        <v>15.804675039403147</v>
      </c>
      <c r="S45" s="96">
        <f t="shared" ca="1" si="21"/>
        <v>18.285690370712018</v>
      </c>
      <c r="T45" s="96">
        <f t="shared" ca="1" si="21"/>
        <v>20.991657544466189</v>
      </c>
      <c r="U45" s="96">
        <f t="shared" ca="1" si="21"/>
        <v>23.842388073008678</v>
      </c>
      <c r="V45" s="96">
        <f t="shared" ca="1" si="21"/>
        <v>26.831471600946347</v>
      </c>
      <c r="W45" s="96">
        <f t="shared" ca="1" si="21"/>
        <v>29.961245322844562</v>
      </c>
      <c r="X45" s="96">
        <f t="shared" ca="1" si="21"/>
        <v>33.293101969988669</v>
      </c>
      <c r="Y45" s="96">
        <f t="shared" ca="1" si="21"/>
        <v>36.897079343896046</v>
      </c>
      <c r="Z45" s="96">
        <f t="shared" ca="1" si="21"/>
        <v>40.727944159414555</v>
      </c>
    </row>
    <row r="46" spans="1:26" x14ac:dyDescent="0.25">
      <c r="A46" s="60" t="s">
        <v>1161</v>
      </c>
      <c r="B46" s="11"/>
      <c r="C46" s="15"/>
      <c r="D46" s="97" t="str">
        <f t="shared" ref="D46:Z46" si="22">IF(ROUND(D$35-SUM(D$200,D$234,D$246,D$249,D$253,D$259,D$268,D$276,D$280,D$287,D$294,D$298,D$302,D$306,D$310,D$316,D$320),3)=0,"OK","ERROR")</f>
        <v>OK</v>
      </c>
      <c r="E46" s="97" t="str">
        <f t="shared" si="22"/>
        <v>OK</v>
      </c>
      <c r="F46" s="97" t="str">
        <f t="shared" si="22"/>
        <v>OK</v>
      </c>
      <c r="G46" s="97" t="str">
        <f t="shared" si="22"/>
        <v>OK</v>
      </c>
      <c r="H46" s="97" t="str">
        <f t="shared" si="22"/>
        <v>OK</v>
      </c>
      <c r="I46" s="97" t="str">
        <f t="shared" si="22"/>
        <v>OK</v>
      </c>
      <c r="J46" s="97" t="str">
        <f t="shared" si="22"/>
        <v>OK</v>
      </c>
      <c r="K46" s="97" t="str">
        <f t="shared" si="22"/>
        <v>OK</v>
      </c>
      <c r="L46" s="97" t="str">
        <f t="shared" ca="1" si="22"/>
        <v>OK</v>
      </c>
      <c r="M46" s="97" t="str">
        <f t="shared" ca="1" si="22"/>
        <v>OK</v>
      </c>
      <c r="N46" s="97" t="str">
        <f t="shared" ca="1" si="22"/>
        <v>OK</v>
      </c>
      <c r="O46" s="97" t="str">
        <f t="shared" ca="1" si="22"/>
        <v>OK</v>
      </c>
      <c r="P46" s="97" t="str">
        <f t="shared" ca="1" si="22"/>
        <v>OK</v>
      </c>
      <c r="Q46" s="97" t="str">
        <f t="shared" ca="1" si="22"/>
        <v>OK</v>
      </c>
      <c r="R46" s="97" t="str">
        <f t="shared" ca="1" si="22"/>
        <v>OK</v>
      </c>
      <c r="S46" s="97" t="str">
        <f t="shared" ca="1" si="22"/>
        <v>OK</v>
      </c>
      <c r="T46" s="97" t="str">
        <f t="shared" ca="1" si="22"/>
        <v>OK</v>
      </c>
      <c r="U46" s="97" t="str">
        <f t="shared" ca="1" si="22"/>
        <v>OK</v>
      </c>
      <c r="V46" s="97" t="str">
        <f t="shared" ca="1" si="22"/>
        <v>OK</v>
      </c>
      <c r="W46" s="97" t="str">
        <f t="shared" ca="1" si="22"/>
        <v>OK</v>
      </c>
      <c r="X46" s="97" t="str">
        <f t="shared" ca="1" si="22"/>
        <v>OK</v>
      </c>
      <c r="Y46" s="97" t="str">
        <f t="shared" ca="1" si="22"/>
        <v>OK</v>
      </c>
      <c r="Z46" s="97" t="str">
        <f t="shared" ca="1" si="22"/>
        <v>OK</v>
      </c>
    </row>
    <row r="47" spans="1:26" x14ac:dyDescent="0.25">
      <c r="A47" s="11" t="s">
        <v>1162</v>
      </c>
      <c r="B47" s="11"/>
      <c r="C47" s="15"/>
      <c r="D47" s="51">
        <f t="shared" ref="D47:Z47" ca="1" si="23">SUM(D$142,D$147,D$154,D$161,D$170,D$178)</f>
        <v>93.474000000000004</v>
      </c>
      <c r="E47" s="51">
        <f t="shared" ca="1" si="23"/>
        <v>91.923000000000002</v>
      </c>
      <c r="F47" s="51">
        <f t="shared" ca="1" si="23"/>
        <v>104.968</v>
      </c>
      <c r="G47" s="51">
        <f t="shared" ca="1" si="23"/>
        <v>117.515</v>
      </c>
      <c r="H47" s="51">
        <f t="shared" ca="1" si="23"/>
        <v>123.398</v>
      </c>
      <c r="I47" s="51">
        <f t="shared" ca="1" si="23"/>
        <v>133.22</v>
      </c>
      <c r="J47" s="51">
        <f t="shared" ca="1" si="23"/>
        <v>134.41100000000003</v>
      </c>
      <c r="K47" s="51">
        <f t="shared" ca="1" si="23"/>
        <v>138.64900000000003</v>
      </c>
      <c r="L47" s="47">
        <f t="shared" ca="1" si="23"/>
        <v>150.47</v>
      </c>
      <c r="M47" s="47">
        <f t="shared" ca="1" si="23"/>
        <v>158.43299999999999</v>
      </c>
      <c r="N47" s="47">
        <f t="shared" ca="1" si="23"/>
        <v>167.75700000000003</v>
      </c>
      <c r="O47" s="47">
        <f t="shared" ca="1" si="23"/>
        <v>176.803</v>
      </c>
      <c r="P47" s="47">
        <f t="shared" ca="1" si="23"/>
        <v>185.00899999999999</v>
      </c>
      <c r="Q47" s="21">
        <f t="shared" ca="1" si="23"/>
        <v>192.38988432300397</v>
      </c>
      <c r="R47" s="21">
        <f t="shared" ca="1" si="23"/>
        <v>199.74055400068707</v>
      </c>
      <c r="S47" s="21">
        <f t="shared" ca="1" si="23"/>
        <v>207.46099471815756</v>
      </c>
      <c r="T47" s="21">
        <f t="shared" ca="1" si="23"/>
        <v>215.69499355858161</v>
      </c>
      <c r="U47" s="21">
        <f t="shared" ca="1" si="23"/>
        <v>224.33953929085504</v>
      </c>
      <c r="V47" s="21">
        <f t="shared" ca="1" si="23"/>
        <v>233.27232292469745</v>
      </c>
      <c r="W47" s="21">
        <f t="shared" ca="1" si="23"/>
        <v>242.44267328967234</v>
      </c>
      <c r="X47" s="21">
        <f t="shared" ca="1" si="23"/>
        <v>251.87855920929184</v>
      </c>
      <c r="Y47" s="21">
        <f t="shared" ca="1" si="23"/>
        <v>261.63033386193848</v>
      </c>
      <c r="Z47" s="21">
        <f t="shared" ca="1" si="23"/>
        <v>271.69866823678757</v>
      </c>
    </row>
    <row r="48" spans="1:26" x14ac:dyDescent="0.25">
      <c r="A48" s="11" t="s">
        <v>1163</v>
      </c>
      <c r="B48" s="11"/>
      <c r="C48" s="15"/>
      <c r="D48" s="51">
        <f t="shared" ref="D48:Z48" si="24">SUM(D$195,D$208,D$215,D$223,D$230,D$238,D$246,D$249)</f>
        <v>86.959000000000003</v>
      </c>
      <c r="E48" s="51">
        <f t="shared" si="24"/>
        <v>108.83199999999999</v>
      </c>
      <c r="F48" s="51">
        <f t="shared" si="24"/>
        <v>107.76400000000001</v>
      </c>
      <c r="G48" s="51">
        <f t="shared" si="24"/>
        <v>125.64100000000001</v>
      </c>
      <c r="H48" s="51">
        <f t="shared" si="24"/>
        <v>127.57400000000001</v>
      </c>
      <c r="I48" s="51">
        <f t="shared" si="24"/>
        <v>138.99800000000002</v>
      </c>
      <c r="J48" s="51">
        <f t="shared" si="24"/>
        <v>141.67499999999998</v>
      </c>
      <c r="K48" s="51">
        <f t="shared" si="24"/>
        <v>146.21899999999999</v>
      </c>
      <c r="L48" s="47">
        <f t="shared" ca="1" si="24"/>
        <v>154.60900000000001</v>
      </c>
      <c r="M48" s="47">
        <f t="shared" ca="1" si="24"/>
        <v>158.30799999999996</v>
      </c>
      <c r="N48" s="47">
        <f t="shared" ca="1" si="24"/>
        <v>163.238</v>
      </c>
      <c r="O48" s="47">
        <f t="shared" ca="1" si="24"/>
        <v>168.642</v>
      </c>
      <c r="P48" s="47">
        <f t="shared" ca="1" si="24"/>
        <v>173.66799999999998</v>
      </c>
      <c r="Q48" s="21">
        <f t="shared" ca="1" si="24"/>
        <v>179.04871389785643</v>
      </c>
      <c r="R48" s="21">
        <f t="shared" ca="1" si="24"/>
        <v>184.20007894071892</v>
      </c>
      <c r="S48" s="21">
        <f t="shared" ca="1" si="24"/>
        <v>189.45522050812468</v>
      </c>
      <c r="T48" s="21">
        <f t="shared" ca="1" si="24"/>
        <v>195.02708006647924</v>
      </c>
      <c r="U48" s="21">
        <f t="shared" ca="1" si="24"/>
        <v>200.88148400713658</v>
      </c>
      <c r="V48" s="21">
        <f t="shared" ca="1" si="24"/>
        <v>206.75527679683972</v>
      </c>
      <c r="W48" s="21">
        <f t="shared" ca="1" si="24"/>
        <v>212.67317885721673</v>
      </c>
      <c r="X48" s="21">
        <f t="shared" ca="1" si="24"/>
        <v>218.64844363086945</v>
      </c>
      <c r="Y48" s="21">
        <f t="shared" ca="1" si="24"/>
        <v>224.67289372648892</v>
      </c>
      <c r="Z48" s="21">
        <f t="shared" ca="1" si="24"/>
        <v>230.77064465061454</v>
      </c>
    </row>
    <row r="49" spans="1:26" x14ac:dyDescent="0.25">
      <c r="A49" s="11" t="s">
        <v>752</v>
      </c>
      <c r="B49" s="11"/>
      <c r="C49" s="15"/>
      <c r="D49" s="51">
        <f t="shared" ref="D49:Z49" ca="1" si="25">SUM(D$47,-D$48,D$333,D$340)</f>
        <v>9.7070000000000007</v>
      </c>
      <c r="E49" s="51">
        <f t="shared" ca="1" si="25"/>
        <v>-20.882999999999992</v>
      </c>
      <c r="F49" s="51">
        <f t="shared" ca="1" si="25"/>
        <v>4.7039999999999935</v>
      </c>
      <c r="G49" s="51">
        <f t="shared" ca="1" si="25"/>
        <v>-19.532000000000004</v>
      </c>
      <c r="H49" s="51">
        <f t="shared" ca="1" si="25"/>
        <v>8.2929999999999833</v>
      </c>
      <c r="I49" s="51">
        <f t="shared" ca="1" si="25"/>
        <v>2.1059999999999803</v>
      </c>
      <c r="J49" s="51">
        <f t="shared" ca="1" si="25"/>
        <v>0.42300000000004712</v>
      </c>
      <c r="K49" s="51">
        <f t="shared" ca="1" si="25"/>
        <v>4.4070000000000356</v>
      </c>
      <c r="L49" s="47">
        <f t="shared" ca="1" si="25"/>
        <v>1.0379999999999896</v>
      </c>
      <c r="M49" s="47">
        <f t="shared" ca="1" si="25"/>
        <v>5.669000000000028</v>
      </c>
      <c r="N49" s="47">
        <f t="shared" ca="1" si="25"/>
        <v>10.416000000000034</v>
      </c>
      <c r="O49" s="47">
        <f t="shared" ca="1" si="25"/>
        <v>14.500000000000002</v>
      </c>
      <c r="P49" s="47">
        <f t="shared" ca="1" si="25"/>
        <v>18.150000000000009</v>
      </c>
      <c r="Q49" s="21">
        <f t="shared" ca="1" si="25"/>
        <v>20.498375676423553</v>
      </c>
      <c r="R49" s="21">
        <f t="shared" ca="1" si="25"/>
        <v>23.142348858411449</v>
      </c>
      <c r="S49" s="21">
        <f t="shared" ca="1" si="25"/>
        <v>26.070803609719338</v>
      </c>
      <c r="T49" s="21">
        <f t="shared" ca="1" si="25"/>
        <v>29.215402614783887</v>
      </c>
      <c r="U49" s="21">
        <f t="shared" ca="1" si="25"/>
        <v>32.507337935968636</v>
      </c>
      <c r="V49" s="21">
        <f t="shared" ca="1" si="25"/>
        <v>36.087885760220942</v>
      </c>
      <c r="W49" s="21">
        <f t="shared" ca="1" si="25"/>
        <v>39.885808034778591</v>
      </c>
      <c r="X49" s="21">
        <f t="shared" ca="1" si="25"/>
        <v>43.921206565514233</v>
      </c>
      <c r="Y49" s="21">
        <f t="shared" ca="1" si="25"/>
        <v>48.259039002079469</v>
      </c>
      <c r="Z49" s="21">
        <f t="shared" ca="1" si="25"/>
        <v>52.882994585898196</v>
      </c>
    </row>
    <row r="50" spans="1:26" x14ac:dyDescent="0.25">
      <c r="A50" s="11" t="s">
        <v>857</v>
      </c>
      <c r="B50" s="11"/>
      <c r="C50" s="15"/>
      <c r="D50" s="51">
        <f t="shared" ref="D50:Z50" ca="1" si="26">(D$47-D$161)-(D$48-D$230)</f>
        <v>9.144999999999996</v>
      </c>
      <c r="E50" s="51">
        <f t="shared" ca="1" si="26"/>
        <v>-14.530999999999992</v>
      </c>
      <c r="F50" s="51">
        <f t="shared" ca="1" si="26"/>
        <v>-1.5939999999999941</v>
      </c>
      <c r="G50" s="51">
        <f t="shared" ca="1" si="26"/>
        <v>-6.1000000000000085</v>
      </c>
      <c r="H50" s="51">
        <f t="shared" ca="1" si="26"/>
        <v>-0.4690000000000083</v>
      </c>
      <c r="I50" s="51">
        <f t="shared" ca="1" si="26"/>
        <v>-1.2760000000000105</v>
      </c>
      <c r="J50" s="51">
        <f t="shared" ca="1" si="26"/>
        <v>-2.5909999999999513</v>
      </c>
      <c r="K50" s="51">
        <f t="shared" ca="1" si="26"/>
        <v>-2.0319999999999823</v>
      </c>
      <c r="L50" s="47">
        <f t="shared" ca="1" si="26"/>
        <v>2.1229999999999905</v>
      </c>
      <c r="M50" s="47">
        <f t="shared" ca="1" si="26"/>
        <v>7.0650000000000261</v>
      </c>
      <c r="N50" s="47">
        <f t="shared" ca="1" si="26"/>
        <v>12.291000000000025</v>
      </c>
      <c r="O50" s="47">
        <f t="shared" ca="1" si="26"/>
        <v>16.460000000000008</v>
      </c>
      <c r="P50" s="47">
        <f t="shared" ca="1" si="26"/>
        <v>19.782000000000011</v>
      </c>
      <c r="Q50" s="21">
        <f t="shared" ca="1" si="26"/>
        <v>21.504363151091468</v>
      </c>
      <c r="R50" s="21">
        <f t="shared" ca="1" si="26"/>
        <v>23.415686482588995</v>
      </c>
      <c r="S50" s="21">
        <f t="shared" ca="1" si="26"/>
        <v>25.492109153206854</v>
      </c>
      <c r="T50" s="21">
        <f t="shared" ca="1" si="26"/>
        <v>27.644011742466887</v>
      </c>
      <c r="U50" s="21">
        <f t="shared" ca="1" si="26"/>
        <v>29.794124101566922</v>
      </c>
      <c r="V50" s="21">
        <f t="shared" ca="1" si="26"/>
        <v>32.002705569743085</v>
      </c>
      <c r="W50" s="21">
        <f t="shared" ca="1" si="26"/>
        <v>34.267278536953455</v>
      </c>
      <c r="X50" s="21">
        <f t="shared" ca="1" si="26"/>
        <v>36.594288248506047</v>
      </c>
      <c r="Y50" s="21">
        <f t="shared" ca="1" si="26"/>
        <v>39.037050081226084</v>
      </c>
      <c r="Z50" s="21">
        <f t="shared" ca="1" si="26"/>
        <v>41.565988125503253</v>
      </c>
    </row>
    <row r="51" spans="1:26" x14ac:dyDescent="0.25">
      <c r="A51" s="11" t="s">
        <v>749</v>
      </c>
      <c r="B51" s="11"/>
      <c r="C51" s="15"/>
      <c r="D51" s="51">
        <f t="shared" ref="D51:Z51" si="27">D$489</f>
        <v>-0.7100000000000124</v>
      </c>
      <c r="E51" s="51">
        <f t="shared" si="27"/>
        <v>-23.692000000000007</v>
      </c>
      <c r="F51" s="51">
        <f t="shared" si="27"/>
        <v>-13.766999999999978</v>
      </c>
      <c r="G51" s="51">
        <f t="shared" si="27"/>
        <v>-27.042999999999999</v>
      </c>
      <c r="H51" s="51">
        <f t="shared" si="27"/>
        <v>-25.648000000000007</v>
      </c>
      <c r="I51" s="51">
        <f t="shared" si="27"/>
        <v>-19.302000000000007</v>
      </c>
      <c r="J51" s="51">
        <f t="shared" si="27"/>
        <v>-5.9959999999999782</v>
      </c>
      <c r="K51" s="51">
        <f t="shared" si="27"/>
        <v>-4.8919999999999959</v>
      </c>
      <c r="L51" s="47">
        <f t="shared" ca="1" si="27"/>
        <v>-21.984999999999978</v>
      </c>
      <c r="M51" s="47">
        <f t="shared" ca="1" si="27"/>
        <v>-13.534999999999982</v>
      </c>
      <c r="N51" s="47">
        <f t="shared" ca="1" si="27"/>
        <v>-7.2850000000000037</v>
      </c>
      <c r="O51" s="47">
        <f t="shared" ca="1" si="27"/>
        <v>-1.7820000000000515</v>
      </c>
      <c r="P51" s="47">
        <f t="shared" ca="1" si="27"/>
        <v>3.2980000000000089</v>
      </c>
      <c r="Q51" s="21">
        <f t="shared" ca="1" si="27"/>
        <v>6.106450333858195</v>
      </c>
      <c r="R51" s="21">
        <f t="shared" ca="1" si="27"/>
        <v>8.2038179818871235</v>
      </c>
      <c r="S51" s="21">
        <f t="shared" ca="1" si="27"/>
        <v>10.604397816536565</v>
      </c>
      <c r="T51" s="21">
        <f t="shared" ca="1" si="27"/>
        <v>13.350144083392092</v>
      </c>
      <c r="U51" s="21">
        <f t="shared" ca="1" si="27"/>
        <v>16.003694610121475</v>
      </c>
      <c r="V51" s="21">
        <f t="shared" ca="1" si="27"/>
        <v>18.873966939297233</v>
      </c>
      <c r="W51" s="21">
        <f t="shared" ca="1" si="27"/>
        <v>21.86018569429924</v>
      </c>
      <c r="X51" s="21">
        <f t="shared" ca="1" si="27"/>
        <v>24.961437230250741</v>
      </c>
      <c r="Y51" s="21">
        <f t="shared" ca="1" si="27"/>
        <v>28.204725378695954</v>
      </c>
      <c r="Z51" s="21">
        <f t="shared" ca="1" si="27"/>
        <v>31.595838711782324</v>
      </c>
    </row>
    <row r="52" spans="1:26" x14ac:dyDescent="0.25">
      <c r="A52" s="60" t="s">
        <v>1164</v>
      </c>
      <c r="B52" s="14" t="str">
        <f>$B$42</f>
        <v>Outturn &amp; Forecast only</v>
      </c>
      <c r="C52" s="15"/>
      <c r="D52" s="97" t="str">
        <f ca="1">IF(ROUND('Fiscal Forecasts'!D$178-D$49,3)=0,"OK","ERROR")</f>
        <v>OK</v>
      </c>
      <c r="E52" s="97" t="str">
        <f ca="1">IF(ROUND('Fiscal Forecasts'!E$178-E$49,3)=0,"OK","ERROR")</f>
        <v>OK</v>
      </c>
      <c r="F52" s="97" t="str">
        <f ca="1">IF(ROUND('Fiscal Forecasts'!F$178-F$49,3)=0,"OK","ERROR")</f>
        <v>OK</v>
      </c>
      <c r="G52" s="97" t="str">
        <f ca="1">IF(ROUND('Fiscal Forecasts'!G$178-G$49,3)=0,"OK","ERROR")</f>
        <v>OK</v>
      </c>
      <c r="H52" s="97" t="str">
        <f ca="1">IF(ROUND('Fiscal Forecasts'!H$178-H$49,3)=0,"OK","ERROR")</f>
        <v>OK</v>
      </c>
      <c r="I52" s="97" t="str">
        <f ca="1">IF(ROUND('Fiscal Forecasts'!I$178-I$49,3)=0,"OK","ERROR")</f>
        <v>OK</v>
      </c>
      <c r="J52" s="97" t="str">
        <f ca="1">IF(ROUND('Fiscal Forecasts'!J$178-J$49,3)=0,"OK","ERROR")</f>
        <v>OK</v>
      </c>
      <c r="K52" s="97" t="str">
        <f ca="1">IF(ROUND('Fiscal Forecasts'!K$178-K$49,3)=0,"OK","ERROR")</f>
        <v>OK</v>
      </c>
      <c r="L52" s="97" t="str">
        <f ca="1">IF(ROUND('Fiscal Forecasts'!L$178-L$49+IF($C$2="Yes",('Fiscal Forecast Adjuster'!C$14-SUM('Fiscal Forecast Adjuster'!C$25,'Fiscal Forecast Adjuster'!C$26,'Fiscal Forecast Adjuster'!C$29,'Fiscal Forecast Adjuster'!C$38))/1000,0)+IF($C$3="Yes",('NZSF Adjuster'!W$24-'NZSF Adjuster'!W$15-('NZSF Adjuster'!W$26-'NZSF Adjuster'!W$17)+'NZSF Adjuster'!W$27-'NZSF Adjuster'!W$18-'NZSF Adjuster'!W$9),0),3)=0,"OK","ERROR")</f>
        <v>OK</v>
      </c>
      <c r="M52" s="97" t="str">
        <f ca="1">IF(ROUND('Fiscal Forecasts'!M$178-M$49+IF($C$2="Yes",('Fiscal Forecast Adjuster'!D$14-SUM('Fiscal Forecast Adjuster'!D$25,'Fiscal Forecast Adjuster'!D$26,'Fiscal Forecast Adjuster'!D$29,'Fiscal Forecast Adjuster'!D$38))/1000,0)+IF($C$3="Yes",('NZSF Adjuster'!X$24-'NZSF Adjuster'!X$15-('NZSF Adjuster'!X$26-'NZSF Adjuster'!X$17)+'NZSF Adjuster'!X$27-'NZSF Adjuster'!X$18-'NZSF Adjuster'!X$9),0),3)=0,"OK","ERROR")</f>
        <v>OK</v>
      </c>
      <c r="N52" s="97" t="str">
        <f ca="1">IF(ROUND('Fiscal Forecasts'!N$178-N$49+IF($C$2="Yes",('Fiscal Forecast Adjuster'!E$14-SUM('Fiscal Forecast Adjuster'!E$25,'Fiscal Forecast Adjuster'!E$26,'Fiscal Forecast Adjuster'!E$29,'Fiscal Forecast Adjuster'!E$38))/1000,0)+IF($C$3="Yes",('NZSF Adjuster'!Y$24-'NZSF Adjuster'!Y$15-('NZSF Adjuster'!Y$26-'NZSF Adjuster'!Y$17)+'NZSF Adjuster'!Y$27-'NZSF Adjuster'!Y$18-'NZSF Adjuster'!Y$9),0),3)=0,"OK","ERROR")</f>
        <v>OK</v>
      </c>
      <c r="O52" s="97" t="str">
        <f ca="1">IF(ROUND('Fiscal Forecasts'!O$178-O$49+IF($C$2="Yes",('Fiscal Forecast Adjuster'!F$14-SUM('Fiscal Forecast Adjuster'!F$25,'Fiscal Forecast Adjuster'!F$26,'Fiscal Forecast Adjuster'!F$29,'Fiscal Forecast Adjuster'!F$38))/1000,0)+IF($C$3="Yes",('NZSF Adjuster'!Z$24-'NZSF Adjuster'!Z$15-('NZSF Adjuster'!Z$26-'NZSF Adjuster'!Z$17)+'NZSF Adjuster'!Z$27-'NZSF Adjuster'!Z$18-'NZSF Adjuster'!Z$9),0),3)=0,"OK","ERROR")</f>
        <v>OK</v>
      </c>
      <c r="P52" s="97" t="str">
        <f ca="1">IF(ROUND('Fiscal Forecasts'!P$178-P$49+IF($C$2="Yes",('Fiscal Forecast Adjuster'!G$14-SUM('Fiscal Forecast Adjuster'!G$25,'Fiscal Forecast Adjuster'!G$26,'Fiscal Forecast Adjuster'!G$29,'Fiscal Forecast Adjuster'!G$38))/1000,0)+IF($C$3="Yes",('NZSF Adjuster'!AA$24-'NZSF Adjuster'!AA$15-('NZSF Adjuster'!AA$26-'NZSF Adjuster'!AA$17)+'NZSF Adjuster'!AA$27-'NZSF Adjuster'!AA$18-'NZSF Adjuster'!AA$9),0),3)=0,"OK","ERROR")</f>
        <v>OK</v>
      </c>
      <c r="Q52" s="17"/>
      <c r="R52" s="17"/>
      <c r="S52" s="17"/>
      <c r="T52" s="17"/>
      <c r="U52" s="17"/>
      <c r="V52" s="17"/>
      <c r="W52" s="17"/>
      <c r="X52" s="17"/>
      <c r="Y52" s="17"/>
      <c r="Z52" s="17"/>
    </row>
    <row r="53" spans="1:26" x14ac:dyDescent="0.25">
      <c r="A53" s="60" t="s">
        <v>1165</v>
      </c>
      <c r="B53" s="11"/>
      <c r="C53" s="15"/>
      <c r="D53" s="97" t="str">
        <f>IF(ROUND(D$48-SUM(D$197,D$230,D$246,D$249,D$252,D$256,D$265,D$275,D$279,D$283,D$293,D$297,D$301,D$305,D$309,D$315,D$319),3)=0,"OK","ERROR")</f>
        <v>OK</v>
      </c>
      <c r="E53" s="97" t="str">
        <f t="shared" ref="E53:Z53" si="28">IF(ROUND(E$48-SUM(E$197,E$230,E$246,E$249,E$252,E$256,E$265,E$275,E$279,E$283,E$293,E$297,E$301,E$305,E$309,E$315,E$319),3)=0,"OK","ERROR")</f>
        <v>OK</v>
      </c>
      <c r="F53" s="97" t="str">
        <f t="shared" si="28"/>
        <v>OK</v>
      </c>
      <c r="G53" s="97" t="str">
        <f t="shared" si="28"/>
        <v>OK</v>
      </c>
      <c r="H53" s="97" t="str">
        <f t="shared" si="28"/>
        <v>OK</v>
      </c>
      <c r="I53" s="97" t="str">
        <f t="shared" si="28"/>
        <v>OK</v>
      </c>
      <c r="J53" s="97" t="str">
        <f t="shared" si="28"/>
        <v>OK</v>
      </c>
      <c r="K53" s="97" t="str">
        <f t="shared" si="28"/>
        <v>OK</v>
      </c>
      <c r="L53" s="97" t="str">
        <f t="shared" ca="1" si="28"/>
        <v>OK</v>
      </c>
      <c r="M53" s="97" t="str">
        <f t="shared" ca="1" si="28"/>
        <v>OK</v>
      </c>
      <c r="N53" s="97" t="str">
        <f t="shared" ca="1" si="28"/>
        <v>OK</v>
      </c>
      <c r="O53" s="97" t="str">
        <f t="shared" ca="1" si="28"/>
        <v>OK</v>
      </c>
      <c r="P53" s="97" t="str">
        <f t="shared" ca="1" si="28"/>
        <v>OK</v>
      </c>
      <c r="Q53" s="97" t="str">
        <f t="shared" ca="1" si="28"/>
        <v>OK</v>
      </c>
      <c r="R53" s="97" t="str">
        <f t="shared" ca="1" si="28"/>
        <v>OK</v>
      </c>
      <c r="S53" s="97" t="str">
        <f t="shared" ca="1" si="28"/>
        <v>OK</v>
      </c>
      <c r="T53" s="97" t="str">
        <f t="shared" ca="1" si="28"/>
        <v>OK</v>
      </c>
      <c r="U53" s="97" t="str">
        <f t="shared" ca="1" si="28"/>
        <v>OK</v>
      </c>
      <c r="V53" s="97" t="str">
        <f t="shared" ca="1" si="28"/>
        <v>OK</v>
      </c>
      <c r="W53" s="97" t="str">
        <f t="shared" ca="1" si="28"/>
        <v>OK</v>
      </c>
      <c r="X53" s="97" t="str">
        <f t="shared" ca="1" si="28"/>
        <v>OK</v>
      </c>
      <c r="Y53" s="97" t="str">
        <f t="shared" ca="1" si="28"/>
        <v>OK</v>
      </c>
      <c r="Z53" s="97" t="str">
        <f t="shared" ca="1" si="28"/>
        <v>OK</v>
      </c>
    </row>
    <row r="54" spans="1:26" x14ac:dyDescent="0.25">
      <c r="A54" s="11"/>
      <c r="B54" s="11"/>
      <c r="C54" s="15"/>
      <c r="D54" s="15"/>
      <c r="E54" s="15"/>
      <c r="F54" s="15"/>
      <c r="G54" s="15"/>
      <c r="H54" s="15"/>
      <c r="I54" s="15"/>
      <c r="J54" s="15"/>
      <c r="K54" s="15"/>
      <c r="L54" s="15"/>
      <c r="M54" s="15"/>
      <c r="N54" s="15"/>
      <c r="O54" s="15"/>
      <c r="P54" s="15"/>
      <c r="Q54" s="51"/>
      <c r="R54" s="51"/>
      <c r="S54" s="51"/>
      <c r="T54" s="51"/>
      <c r="U54" s="51"/>
      <c r="V54" s="51"/>
      <c r="W54" s="51"/>
      <c r="X54" s="51"/>
      <c r="Y54" s="51"/>
      <c r="Z54" s="51"/>
    </row>
    <row r="55" spans="1:26" x14ac:dyDescent="0.25">
      <c r="A55" s="57" t="s">
        <v>1166</v>
      </c>
      <c r="B55" s="11"/>
      <c r="C55" s="15"/>
      <c r="D55" s="98"/>
      <c r="E55" s="98"/>
      <c r="F55" s="98"/>
      <c r="G55" s="98"/>
      <c r="H55" s="98"/>
      <c r="I55" s="98"/>
      <c r="J55" s="98"/>
      <c r="K55" s="98"/>
      <c r="L55" s="98"/>
      <c r="M55" s="98"/>
      <c r="N55" s="98"/>
      <c r="O55" s="98"/>
      <c r="P55" s="98"/>
      <c r="Q55" s="17"/>
      <c r="R55" s="17"/>
      <c r="S55" s="17"/>
      <c r="T55" s="17"/>
      <c r="U55" s="17"/>
      <c r="V55" s="17"/>
      <c r="W55" s="17"/>
      <c r="X55" s="17"/>
      <c r="Y55" s="17"/>
      <c r="Z55" s="17"/>
    </row>
    <row r="56" spans="1:26" x14ac:dyDescent="0.25">
      <c r="A56" s="11" t="s">
        <v>1167</v>
      </c>
      <c r="B56" s="11"/>
      <c r="C56" s="15"/>
      <c r="D56" s="51">
        <f t="shared" ref="D56:Z56" ca="1" si="29">SUM(D$347,D$354,D$363,D$372,D$388,D$397,D$410,D$414,D$420,D$424,D$429,D$432,D$435)</f>
        <v>364.65199999999999</v>
      </c>
      <c r="E56" s="51">
        <f t="shared" ca="1" si="29"/>
        <v>393.4</v>
      </c>
      <c r="F56" s="51">
        <f t="shared" ca="1" si="29"/>
        <v>438.59599999999995</v>
      </c>
      <c r="G56" s="51">
        <f t="shared" ca="1" si="29"/>
        <v>501.84400000000005</v>
      </c>
      <c r="H56" s="51">
        <f t="shared" ca="1" si="29"/>
        <v>536.66599999999994</v>
      </c>
      <c r="I56" s="51">
        <f t="shared" ca="1" si="29"/>
        <v>570.86799999999994</v>
      </c>
      <c r="J56" s="51">
        <f t="shared" ca="1" si="29"/>
        <v>597.97599999999989</v>
      </c>
      <c r="K56" s="51">
        <f t="shared" ca="1" si="29"/>
        <v>619.56499999999994</v>
      </c>
      <c r="L56" s="47">
        <f t="shared" ca="1" si="29"/>
        <v>635.06700000000001</v>
      </c>
      <c r="M56" s="47">
        <f t="shared" ca="1" si="29"/>
        <v>662.04300000000001</v>
      </c>
      <c r="N56" s="47">
        <f t="shared" ca="1" si="29"/>
        <v>687.68299999999988</v>
      </c>
      <c r="O56" s="47">
        <f t="shared" ca="1" si="29"/>
        <v>712.327</v>
      </c>
      <c r="P56" s="47">
        <f t="shared" ca="1" si="29"/>
        <v>734.56700000000001</v>
      </c>
      <c r="Q56" s="21">
        <f t="shared" ca="1" si="29"/>
        <v>761.31012312727046</v>
      </c>
      <c r="R56" s="21">
        <f t="shared" ca="1" si="29"/>
        <v>788.50389892244561</v>
      </c>
      <c r="S56" s="21">
        <f t="shared" ca="1" si="29"/>
        <v>816.7262479591908</v>
      </c>
      <c r="T56" s="21">
        <f t="shared" ca="1" si="29"/>
        <v>845.88237478030169</v>
      </c>
      <c r="U56" s="21">
        <f t="shared" ca="1" si="29"/>
        <v>876.26358083282798</v>
      </c>
      <c r="V56" s="21">
        <f t="shared" ca="1" si="29"/>
        <v>907.79442342184484</v>
      </c>
      <c r="W56" s="21">
        <f t="shared" ca="1" si="29"/>
        <v>940.52374272000895</v>
      </c>
      <c r="X56" s="21">
        <f t="shared" ca="1" si="29"/>
        <v>974.58636851916629</v>
      </c>
      <c r="Y56" s="21">
        <f t="shared" ca="1" si="29"/>
        <v>1010.2136902225035</v>
      </c>
      <c r="Z56" s="21">
        <f t="shared" ca="1" si="29"/>
        <v>1047.5431433745275</v>
      </c>
    </row>
    <row r="57" spans="1:26" x14ac:dyDescent="0.25">
      <c r="A57" s="11" t="s">
        <v>1168</v>
      </c>
      <c r="B57" s="11"/>
      <c r="C57" s="15"/>
      <c r="D57" s="51">
        <f t="shared" ref="D57:Z57" si="30">SUM(D$70,D$439,D$446,D$450,D$454,D$460,D$465,D$471)</f>
        <v>221.31299999999999</v>
      </c>
      <c r="E57" s="51">
        <f t="shared" si="30"/>
        <v>277.45699999999999</v>
      </c>
      <c r="F57" s="51">
        <f t="shared" si="30"/>
        <v>281.40300000000002</v>
      </c>
      <c r="G57" s="51">
        <f t="shared" si="30"/>
        <v>327.52500000000003</v>
      </c>
      <c r="H57" s="51">
        <f t="shared" si="30"/>
        <v>345.19400000000002</v>
      </c>
      <c r="I57" s="51">
        <f t="shared" si="30"/>
        <v>379.81899999999996</v>
      </c>
      <c r="J57" s="51">
        <f t="shared" si="30"/>
        <v>408.84799999999996</v>
      </c>
      <c r="K57" s="51">
        <f t="shared" si="30"/>
        <v>431.851</v>
      </c>
      <c r="L57" s="47">
        <f t="shared" si="30"/>
        <v>438.512</v>
      </c>
      <c r="M57" s="47">
        <f t="shared" si="30"/>
        <v>461.971</v>
      </c>
      <c r="N57" s="47">
        <f t="shared" si="30"/>
        <v>478.56200000000001</v>
      </c>
      <c r="O57" s="47">
        <f t="shared" si="30"/>
        <v>489.92400000000004</v>
      </c>
      <c r="P57" s="47">
        <f t="shared" si="30"/>
        <v>495.339</v>
      </c>
      <c r="Q57" s="21">
        <f t="shared" ca="1" si="30"/>
        <v>502.37380342560073</v>
      </c>
      <c r="R57" s="21">
        <f t="shared" ca="1" si="30"/>
        <v>507.05353787693207</v>
      </c>
      <c r="S57" s="21">
        <f t="shared" ca="1" si="30"/>
        <v>509.60820936939183</v>
      </c>
      <c r="T57" s="21">
        <f t="shared" ca="1" si="30"/>
        <v>509.590415693713</v>
      </c>
      <c r="U57" s="21">
        <f t="shared" ca="1" si="30"/>
        <v>507.15339433101144</v>
      </c>
      <c r="V57" s="21">
        <f t="shared" ca="1" si="30"/>
        <v>502.26436837250463</v>
      </c>
      <c r="W57" s="21">
        <f t="shared" ca="1" si="30"/>
        <v>494.7929490699932</v>
      </c>
      <c r="X57" s="21">
        <f t="shared" ca="1" si="30"/>
        <v>484.65856209543648</v>
      </c>
      <c r="Y57" s="21">
        <f t="shared" ca="1" si="30"/>
        <v>471.74142729267254</v>
      </c>
      <c r="Z57" s="21">
        <f t="shared" ca="1" si="30"/>
        <v>455.92189633361738</v>
      </c>
    </row>
    <row r="58" spans="1:26" x14ac:dyDescent="0.25">
      <c r="A58" s="11" t="s">
        <v>759</v>
      </c>
      <c r="B58" s="11"/>
      <c r="C58" s="15"/>
      <c r="D58" s="94">
        <f t="shared" ref="D58:Z58" ca="1" si="31">D$56-D$57</f>
        <v>143.339</v>
      </c>
      <c r="E58" s="94">
        <f t="shared" ca="1" si="31"/>
        <v>115.94299999999998</v>
      </c>
      <c r="F58" s="94">
        <f t="shared" ca="1" si="31"/>
        <v>157.19299999999993</v>
      </c>
      <c r="G58" s="94">
        <f t="shared" ca="1" si="31"/>
        <v>174.31900000000002</v>
      </c>
      <c r="H58" s="94">
        <f t="shared" ca="1" si="31"/>
        <v>191.47199999999992</v>
      </c>
      <c r="I58" s="94">
        <f t="shared" ca="1" si="31"/>
        <v>191.04899999999998</v>
      </c>
      <c r="J58" s="94">
        <f t="shared" ca="1" si="31"/>
        <v>189.12799999999993</v>
      </c>
      <c r="K58" s="94">
        <f t="shared" ca="1" si="31"/>
        <v>187.71399999999994</v>
      </c>
      <c r="L58" s="95">
        <f t="shared" ca="1" si="31"/>
        <v>196.55500000000001</v>
      </c>
      <c r="M58" s="95">
        <f t="shared" ca="1" si="31"/>
        <v>200.072</v>
      </c>
      <c r="N58" s="95">
        <f t="shared" ca="1" si="31"/>
        <v>209.12099999999987</v>
      </c>
      <c r="O58" s="95">
        <f t="shared" ca="1" si="31"/>
        <v>222.40299999999996</v>
      </c>
      <c r="P58" s="95">
        <f t="shared" ca="1" si="31"/>
        <v>239.22800000000001</v>
      </c>
      <c r="Q58" s="96">
        <f t="shared" ca="1" si="31"/>
        <v>258.93631970166973</v>
      </c>
      <c r="R58" s="96">
        <f t="shared" ca="1" si="31"/>
        <v>281.45036104551355</v>
      </c>
      <c r="S58" s="96">
        <f t="shared" ca="1" si="31"/>
        <v>307.11803858979897</v>
      </c>
      <c r="T58" s="96">
        <f t="shared" ca="1" si="31"/>
        <v>336.29195908658869</v>
      </c>
      <c r="U58" s="96">
        <f t="shared" ca="1" si="31"/>
        <v>369.11018650181654</v>
      </c>
      <c r="V58" s="96">
        <f t="shared" ca="1" si="31"/>
        <v>405.53005504934021</v>
      </c>
      <c r="W58" s="96">
        <f t="shared" ca="1" si="31"/>
        <v>445.73079365001576</v>
      </c>
      <c r="X58" s="96">
        <f t="shared" ca="1" si="31"/>
        <v>489.92780642372981</v>
      </c>
      <c r="Y58" s="96">
        <f t="shared" ca="1" si="31"/>
        <v>538.472262929831</v>
      </c>
      <c r="Z58" s="96">
        <f t="shared" ca="1" si="31"/>
        <v>591.62124704091013</v>
      </c>
    </row>
    <row r="59" spans="1:26" x14ac:dyDescent="0.25">
      <c r="A59" s="12" t="s">
        <v>1169</v>
      </c>
      <c r="B59" s="14" t="str">
        <f>$B$38</f>
        <v>From Fiscal Forecasts</v>
      </c>
      <c r="C59" s="15"/>
      <c r="D59" s="50">
        <f>'Fiscal Forecasts'!D$145</f>
        <v>6.39</v>
      </c>
      <c r="E59" s="50">
        <f>'Fiscal Forecasts'!E$145</f>
        <v>5.6230000000000002</v>
      </c>
      <c r="F59" s="50">
        <f>'Fiscal Forecasts'!F$145</f>
        <v>5.7240000000000002</v>
      </c>
      <c r="G59" s="50">
        <f>'Fiscal Forecasts'!G$145</f>
        <v>7.2830000000000004</v>
      </c>
      <c r="H59" s="50">
        <f>'Fiscal Forecasts'!H$145</f>
        <v>7.9580000000000002</v>
      </c>
      <c r="I59" s="50">
        <f>'Fiscal Forecasts'!I$145</f>
        <v>9.2309999999999999</v>
      </c>
      <c r="J59" s="50">
        <f>'Fiscal Forecasts'!J$145</f>
        <v>9.8680000000000003</v>
      </c>
      <c r="K59" s="50">
        <f>'Fiscal Forecasts'!K$145</f>
        <v>10.510999999999999</v>
      </c>
      <c r="L59" s="48">
        <f>'Fiscal Forecasts'!L$145</f>
        <v>10.034000000000001</v>
      </c>
      <c r="M59" s="48">
        <f>'Fiscal Forecasts'!M$145</f>
        <v>9.9979999999999993</v>
      </c>
      <c r="N59" s="48">
        <f>'Fiscal Forecasts'!N$145</f>
        <v>9.9629999999999992</v>
      </c>
      <c r="O59" s="48">
        <f>'Fiscal Forecasts'!O$145</f>
        <v>9.6080000000000005</v>
      </c>
      <c r="P59" s="48">
        <f>'Fiscal Forecasts'!P$145</f>
        <v>9.61</v>
      </c>
      <c r="Q59" s="20">
        <f t="shared" ref="Q59:Z59" ca="1" si="32">P$59*(Q$58-Q$65)/(P$58-P$65)</f>
        <v>9.5489287576726056</v>
      </c>
      <c r="R59" s="20">
        <f t="shared" ca="1" si="32"/>
        <v>9.5003606540135674</v>
      </c>
      <c r="S59" s="20">
        <f t="shared" ca="1" si="32"/>
        <v>9.4691990522824074</v>
      </c>
      <c r="T59" s="20">
        <f t="shared" ca="1" si="32"/>
        <v>9.4659924889992517</v>
      </c>
      <c r="U59" s="20">
        <f t="shared" ca="1" si="32"/>
        <v>9.4900242124866896</v>
      </c>
      <c r="V59" s="20">
        <f t="shared" ca="1" si="32"/>
        <v>9.5156864464293083</v>
      </c>
      <c r="W59" s="20">
        <f t="shared" ca="1" si="32"/>
        <v>9.5400305454815015</v>
      </c>
      <c r="X59" s="20">
        <f t="shared" ca="1" si="32"/>
        <v>9.5613503358692888</v>
      </c>
      <c r="Y59" s="20">
        <f t="shared" ca="1" si="32"/>
        <v>9.5834130783958837</v>
      </c>
      <c r="Z59" s="20">
        <f t="shared" ca="1" si="32"/>
        <v>9.6039740402365048</v>
      </c>
    </row>
    <row r="60" spans="1:26" x14ac:dyDescent="0.25">
      <c r="A60" s="11" t="s">
        <v>760</v>
      </c>
      <c r="B60" s="14"/>
      <c r="C60" s="15"/>
      <c r="D60" s="94">
        <f t="shared" ref="D60:Z60" ca="1" si="33">D$58-D$59</f>
        <v>136.94900000000001</v>
      </c>
      <c r="E60" s="94">
        <f t="shared" ca="1" si="33"/>
        <v>110.31999999999998</v>
      </c>
      <c r="F60" s="94">
        <f t="shared" ca="1" si="33"/>
        <v>151.46899999999994</v>
      </c>
      <c r="G60" s="94">
        <f t="shared" ca="1" si="33"/>
        <v>167.03600000000003</v>
      </c>
      <c r="H60" s="94">
        <f t="shared" ca="1" si="33"/>
        <v>183.51399999999992</v>
      </c>
      <c r="I60" s="94">
        <f t="shared" ca="1" si="33"/>
        <v>181.81799999999998</v>
      </c>
      <c r="J60" s="94">
        <f t="shared" ca="1" si="33"/>
        <v>179.25999999999993</v>
      </c>
      <c r="K60" s="94">
        <f t="shared" ca="1" si="33"/>
        <v>177.20299999999995</v>
      </c>
      <c r="L60" s="95">
        <f t="shared" ca="1" si="33"/>
        <v>186.52100000000002</v>
      </c>
      <c r="M60" s="95">
        <f t="shared" ca="1" si="33"/>
        <v>190.07400000000001</v>
      </c>
      <c r="N60" s="95">
        <f t="shared" ca="1" si="33"/>
        <v>199.15799999999987</v>
      </c>
      <c r="O60" s="95">
        <f t="shared" ca="1" si="33"/>
        <v>212.79499999999996</v>
      </c>
      <c r="P60" s="95">
        <f t="shared" ca="1" si="33"/>
        <v>229.61799999999999</v>
      </c>
      <c r="Q60" s="96">
        <f t="shared" ca="1" si="33"/>
        <v>249.38739094399713</v>
      </c>
      <c r="R60" s="96">
        <f t="shared" ca="1" si="33"/>
        <v>271.9500003915</v>
      </c>
      <c r="S60" s="96">
        <f t="shared" ca="1" si="33"/>
        <v>297.64883953751655</v>
      </c>
      <c r="T60" s="96">
        <f t="shared" ca="1" si="33"/>
        <v>326.82596659758946</v>
      </c>
      <c r="U60" s="96">
        <f t="shared" ca="1" si="33"/>
        <v>359.62016228932987</v>
      </c>
      <c r="V60" s="96">
        <f t="shared" ca="1" si="33"/>
        <v>396.01436860291091</v>
      </c>
      <c r="W60" s="96">
        <f t="shared" ca="1" si="33"/>
        <v>436.19076310453426</v>
      </c>
      <c r="X60" s="96">
        <f t="shared" ca="1" si="33"/>
        <v>480.36645608786051</v>
      </c>
      <c r="Y60" s="96">
        <f t="shared" ca="1" si="33"/>
        <v>528.88884985143511</v>
      </c>
      <c r="Z60" s="96">
        <f t="shared" ca="1" si="33"/>
        <v>582.01727300067364</v>
      </c>
    </row>
    <row r="61" spans="1:26" x14ac:dyDescent="0.25">
      <c r="A61" s="60" t="s">
        <v>1170</v>
      </c>
      <c r="B61" s="14" t="str">
        <f>$B$42</f>
        <v>Outturn &amp; Forecast only</v>
      </c>
      <c r="C61" s="15"/>
      <c r="D61" s="97" t="str">
        <f ca="1">IF(ROUND('Fiscal Forecasts'!D$143-D$58,3)=0,"OK","ERROR")</f>
        <v>OK</v>
      </c>
      <c r="E61" s="97" t="str">
        <f ca="1">IF(ROUND('Fiscal Forecasts'!E$143-E$58,3)=0,"OK","ERROR")</f>
        <v>OK</v>
      </c>
      <c r="F61" s="97" t="str">
        <f ca="1">IF(ROUND('Fiscal Forecasts'!F$143-F$58,3)=0,"OK","ERROR")</f>
        <v>OK</v>
      </c>
      <c r="G61" s="97" t="str">
        <f ca="1">IF(ROUND('Fiscal Forecasts'!G$143-G$58,3)=0,"OK","ERROR")</f>
        <v>OK</v>
      </c>
      <c r="H61" s="97" t="str">
        <f ca="1">IF(ROUND('Fiscal Forecasts'!H$143-H$58,3)=0,"OK","ERROR")</f>
        <v>OK</v>
      </c>
      <c r="I61" s="97" t="str">
        <f ca="1">IF(ROUND('Fiscal Forecasts'!I$143-I$58,3)=0,"OK","ERROR")</f>
        <v>OK</v>
      </c>
      <c r="J61" s="97" t="str">
        <f ca="1">IF(ROUND('Fiscal Forecasts'!J$143-J$58,3)=0,"OK","ERROR")</f>
        <v>OK</v>
      </c>
      <c r="K61" s="97" t="str">
        <f ca="1">IF(ROUND('Fiscal Forecasts'!K$143-K$58,3)=0,"OK","ERROR")</f>
        <v>OK</v>
      </c>
      <c r="L61" s="97" t="str">
        <f ca="1">IF(ROUND('Fiscal Forecasts'!L$143-L$58+IF($C$2="Yes",('Fiscal Forecast Adjuster'!C$32-'Fiscal Forecast Adjuster'!C$41)/1000,0)+IF($C$3="Yes",('NZSF Adjuster'!W$29-'NZSF Adjuster'!W$20-'NZSF Adjuster'!W$11),0),3)=0,"OK","ERROR")</f>
        <v>OK</v>
      </c>
      <c r="M61" s="97" t="str">
        <f ca="1">IF(ROUND('Fiscal Forecasts'!M$143-M$58+IF($C$2="Yes",('Fiscal Forecast Adjuster'!D$32-'Fiscal Forecast Adjuster'!D$41)/1000,0)+IF($C$3="Yes",('NZSF Adjuster'!X$29-'NZSF Adjuster'!X$20-'NZSF Adjuster'!X$11),0),3)=0,"OK","ERROR")</f>
        <v>OK</v>
      </c>
      <c r="N61" s="97" t="str">
        <f ca="1">IF(ROUND('Fiscal Forecasts'!N$143-N$58+IF($C$2="Yes",('Fiscal Forecast Adjuster'!E$32-'Fiscal Forecast Adjuster'!E$41)/1000,0)+IF($C$3="Yes",('NZSF Adjuster'!Y$29-'NZSF Adjuster'!Y$20-'NZSF Adjuster'!Y$11),0),3)=0,"OK","ERROR")</f>
        <v>OK</v>
      </c>
      <c r="O61" s="97" t="str">
        <f ca="1">IF(ROUND('Fiscal Forecasts'!O$143-O$58+IF($C$2="Yes",('Fiscal Forecast Adjuster'!F$32-'Fiscal Forecast Adjuster'!F$41)/1000,0)+IF($C$3="Yes",('NZSF Adjuster'!Z$29-'NZSF Adjuster'!Z$20-'NZSF Adjuster'!Z$11),0),3)=0,"OK","ERROR")</f>
        <v>OK</v>
      </c>
      <c r="P61" s="97" t="str">
        <f ca="1">IF(ROUND('Fiscal Forecasts'!P$143-P$58+IF($C$2="Yes",('Fiscal Forecast Adjuster'!G$32-'Fiscal Forecast Adjuster'!G$41)/1000,0)+IF($C$3="Yes",('NZSF Adjuster'!AA$29-'NZSF Adjuster'!AA$20-'NZSF Adjuster'!AA$11),0),3)=0,"OK","ERROR")</f>
        <v>OK</v>
      </c>
      <c r="Q61" s="17"/>
      <c r="R61" s="17"/>
      <c r="S61" s="17"/>
      <c r="T61" s="17"/>
      <c r="U61" s="17"/>
      <c r="V61" s="17"/>
      <c r="W61" s="17"/>
      <c r="X61" s="17"/>
      <c r="Y61" s="17"/>
      <c r="Z61" s="17"/>
    </row>
    <row r="62" spans="1:26" x14ac:dyDescent="0.25">
      <c r="A62" s="60" t="s">
        <v>1171</v>
      </c>
      <c r="B62" s="14" t="s">
        <v>1172</v>
      </c>
      <c r="C62" s="15"/>
      <c r="D62" s="89"/>
      <c r="E62" s="89"/>
      <c r="F62" s="89"/>
      <c r="G62" s="89"/>
      <c r="H62" s="89"/>
      <c r="I62" s="89"/>
      <c r="J62" s="89"/>
      <c r="K62" s="89"/>
      <c r="L62" s="89"/>
      <c r="M62" s="89"/>
      <c r="N62" s="89"/>
      <c r="O62" s="89"/>
      <c r="P62" s="89"/>
      <c r="Q62" s="97" t="str">
        <f t="shared" ref="Q62:Z62" ca="1" si="34">IF(ROUND(Q$39+Q$38-(Q$58-P$58),3)=0,"OK","ERROR")</f>
        <v>OK</v>
      </c>
      <c r="R62" s="97" t="str">
        <f t="shared" ca="1" si="34"/>
        <v>OK</v>
      </c>
      <c r="S62" s="97" t="str">
        <f t="shared" ca="1" si="34"/>
        <v>OK</v>
      </c>
      <c r="T62" s="97" t="str">
        <f t="shared" ca="1" si="34"/>
        <v>OK</v>
      </c>
      <c r="U62" s="97" t="str">
        <f t="shared" ca="1" si="34"/>
        <v>OK</v>
      </c>
      <c r="V62" s="97" t="str">
        <f t="shared" ca="1" si="34"/>
        <v>OK</v>
      </c>
      <c r="W62" s="97" t="str">
        <f t="shared" ca="1" si="34"/>
        <v>OK</v>
      </c>
      <c r="X62" s="97" t="str">
        <f t="shared" ca="1" si="34"/>
        <v>OK</v>
      </c>
      <c r="Y62" s="97" t="str">
        <f t="shared" ca="1" si="34"/>
        <v>OK</v>
      </c>
      <c r="Z62" s="97" t="str">
        <f t="shared" ca="1" si="34"/>
        <v>OK</v>
      </c>
    </row>
    <row r="63" spans="1:26" x14ac:dyDescent="0.25">
      <c r="A63" s="11" t="s">
        <v>989</v>
      </c>
      <c r="B63" s="11"/>
      <c r="C63" s="15"/>
      <c r="D63" s="51">
        <f t="shared" ref="D63:Z63" ca="1" si="35">SUM(D$346,D$353,D$359,D$368,D$388,D$394,D$409,D$413,D$417,D$423,D$427,D$432,D$435)</f>
        <v>201.42400000000004</v>
      </c>
      <c r="E63" s="51">
        <f t="shared" ca="1" si="35"/>
        <v>219.821</v>
      </c>
      <c r="F63" s="51">
        <f t="shared" ca="1" si="35"/>
        <v>239.35500000000002</v>
      </c>
      <c r="G63" s="51">
        <f t="shared" ca="1" si="35"/>
        <v>269.32</v>
      </c>
      <c r="H63" s="51">
        <f t="shared" ca="1" si="35"/>
        <v>294.69400000000002</v>
      </c>
      <c r="I63" s="51">
        <f t="shared" ca="1" si="35"/>
        <v>326.74099999999999</v>
      </c>
      <c r="J63" s="51">
        <f t="shared" ca="1" si="35"/>
        <v>348.37799999999999</v>
      </c>
      <c r="K63" s="51">
        <f t="shared" ca="1" si="35"/>
        <v>366.68399999999997</v>
      </c>
      <c r="L63" s="47">
        <f t="shared" ca="1" si="35"/>
        <v>381.43200000000002</v>
      </c>
      <c r="M63" s="47">
        <f t="shared" ca="1" si="35"/>
        <v>403.84899999999999</v>
      </c>
      <c r="N63" s="47">
        <f t="shared" ca="1" si="35"/>
        <v>423.62900000000002</v>
      </c>
      <c r="O63" s="47">
        <f t="shared" ca="1" si="35"/>
        <v>441.06700000000006</v>
      </c>
      <c r="P63" s="47">
        <f t="shared" ca="1" si="35"/>
        <v>454.86400000000009</v>
      </c>
      <c r="Q63" s="21">
        <f t="shared" ca="1" si="35"/>
        <v>473.44129850805336</v>
      </c>
      <c r="R63" s="21">
        <f t="shared" ca="1" si="35"/>
        <v>492.15677717220757</v>
      </c>
      <c r="S63" s="21">
        <f t="shared" ca="1" si="35"/>
        <v>511.54676957442666</v>
      </c>
      <c r="T63" s="21">
        <f t="shared" ca="1" si="35"/>
        <v>531.47920157120211</v>
      </c>
      <c r="U63" s="21">
        <f t="shared" ca="1" si="35"/>
        <v>552.20338972129753</v>
      </c>
      <c r="V63" s="21">
        <f t="shared" ca="1" si="35"/>
        <v>573.78701824599364</v>
      </c>
      <c r="W63" s="21">
        <f t="shared" ca="1" si="35"/>
        <v>596.31888982426733</v>
      </c>
      <c r="X63" s="21">
        <f t="shared" ca="1" si="35"/>
        <v>619.93375136957775</v>
      </c>
      <c r="Y63" s="21">
        <f t="shared" ca="1" si="35"/>
        <v>644.8206584314571</v>
      </c>
      <c r="Z63" s="21">
        <f t="shared" ca="1" si="35"/>
        <v>671.12516895141039</v>
      </c>
    </row>
    <row r="64" spans="1:26" x14ac:dyDescent="0.25">
      <c r="A64" s="11" t="s">
        <v>991</v>
      </c>
      <c r="B64" s="11"/>
      <c r="C64" s="15"/>
      <c r="D64" s="51">
        <f t="shared" ref="D64:Z64" si="36">SUM(D$71,D$439,D$445,D$449,D$453,D$457,D$463,D$470)</f>
        <v>132.88</v>
      </c>
      <c r="E64" s="51">
        <f t="shared" si="36"/>
        <v>172.70499999999998</v>
      </c>
      <c r="F64" s="51">
        <f t="shared" si="36"/>
        <v>178.81700000000001</v>
      </c>
      <c r="G64" s="51">
        <f t="shared" si="36"/>
        <v>224.036</v>
      </c>
      <c r="H64" s="51">
        <f t="shared" si="36"/>
        <v>235.35300000000001</v>
      </c>
      <c r="I64" s="51">
        <f t="shared" si="36"/>
        <v>261.70100000000002</v>
      </c>
      <c r="J64" s="51">
        <f t="shared" si="36"/>
        <v>285.43900000000002</v>
      </c>
      <c r="K64" s="51">
        <f t="shared" si="36"/>
        <v>302.02299999999997</v>
      </c>
      <c r="L64" s="47">
        <f t="shared" si="36"/>
        <v>315.57599999999996</v>
      </c>
      <c r="M64" s="47">
        <f t="shared" si="36"/>
        <v>332.22199999999998</v>
      </c>
      <c r="N64" s="47">
        <f t="shared" si="36"/>
        <v>341.49499999999995</v>
      </c>
      <c r="O64" s="47">
        <f t="shared" si="36"/>
        <v>344.36099999999999</v>
      </c>
      <c r="P64" s="47">
        <f t="shared" si="36"/>
        <v>339.95700000000005</v>
      </c>
      <c r="Q64" s="21">
        <f t="shared" ca="1" si="36"/>
        <v>338.03592283162982</v>
      </c>
      <c r="R64" s="21">
        <f t="shared" ca="1" si="36"/>
        <v>333.60905263737254</v>
      </c>
      <c r="S64" s="21">
        <f t="shared" ca="1" si="36"/>
        <v>326.92824142987234</v>
      </c>
      <c r="T64" s="21">
        <f t="shared" ca="1" si="36"/>
        <v>317.64527081186378</v>
      </c>
      <c r="U64" s="21">
        <f t="shared" ca="1" si="36"/>
        <v>305.86212102599063</v>
      </c>
      <c r="V64" s="21">
        <f t="shared" ca="1" si="36"/>
        <v>291.3578637904659</v>
      </c>
      <c r="W64" s="21">
        <f t="shared" ca="1" si="36"/>
        <v>274.0039273339608</v>
      </c>
      <c r="X64" s="21">
        <f t="shared" ca="1" si="36"/>
        <v>253.69758231375698</v>
      </c>
      <c r="Y64" s="21">
        <f t="shared" ca="1" si="36"/>
        <v>230.32545037355686</v>
      </c>
      <c r="Z64" s="21">
        <f t="shared" ca="1" si="36"/>
        <v>203.74696630761187</v>
      </c>
    </row>
    <row r="65" spans="1:26" x14ac:dyDescent="0.25">
      <c r="A65" s="11" t="s">
        <v>761</v>
      </c>
      <c r="B65" s="11"/>
      <c r="C65" s="15"/>
      <c r="D65" s="94">
        <f t="shared" ref="D65:Z65" ca="1" si="37">D$63-D$64</f>
        <v>68.54400000000004</v>
      </c>
      <c r="E65" s="94">
        <f t="shared" ca="1" si="37"/>
        <v>47.116000000000014</v>
      </c>
      <c r="F65" s="94">
        <f t="shared" ca="1" si="37"/>
        <v>60.538000000000011</v>
      </c>
      <c r="G65" s="94">
        <f t="shared" ca="1" si="37"/>
        <v>45.283999999999992</v>
      </c>
      <c r="H65" s="94">
        <f t="shared" ca="1" si="37"/>
        <v>59.341000000000008</v>
      </c>
      <c r="I65" s="94">
        <f t="shared" ca="1" si="37"/>
        <v>65.039999999999964</v>
      </c>
      <c r="J65" s="94">
        <f t="shared" ca="1" si="37"/>
        <v>62.938999999999965</v>
      </c>
      <c r="K65" s="94">
        <f t="shared" ca="1" si="37"/>
        <v>64.661000000000001</v>
      </c>
      <c r="L65" s="95">
        <f t="shared" ca="1" si="37"/>
        <v>65.856000000000051</v>
      </c>
      <c r="M65" s="95">
        <f t="shared" ca="1" si="37"/>
        <v>71.62700000000001</v>
      </c>
      <c r="N65" s="95">
        <f t="shared" ca="1" si="37"/>
        <v>82.134000000000071</v>
      </c>
      <c r="O65" s="95">
        <f t="shared" ca="1" si="37"/>
        <v>96.706000000000074</v>
      </c>
      <c r="P65" s="95">
        <f t="shared" ca="1" si="37"/>
        <v>114.90700000000004</v>
      </c>
      <c r="Q65" s="96">
        <f t="shared" ca="1" si="37"/>
        <v>135.40537567642355</v>
      </c>
      <c r="R65" s="96">
        <f t="shared" ca="1" si="37"/>
        <v>158.54772453483503</v>
      </c>
      <c r="S65" s="96">
        <f t="shared" ca="1" si="37"/>
        <v>184.61852814455432</v>
      </c>
      <c r="T65" s="96">
        <f t="shared" ca="1" si="37"/>
        <v>213.83393075933833</v>
      </c>
      <c r="U65" s="96">
        <f t="shared" ca="1" si="37"/>
        <v>246.34126869530689</v>
      </c>
      <c r="V65" s="96">
        <f t="shared" ca="1" si="37"/>
        <v>282.42915445552774</v>
      </c>
      <c r="W65" s="96">
        <f t="shared" ca="1" si="37"/>
        <v>322.31496249030653</v>
      </c>
      <c r="X65" s="96">
        <f t="shared" ca="1" si="37"/>
        <v>366.23616905582077</v>
      </c>
      <c r="Y65" s="96">
        <f t="shared" ca="1" si="37"/>
        <v>414.49520805790024</v>
      </c>
      <c r="Z65" s="96">
        <f t="shared" ca="1" si="37"/>
        <v>467.37820264379855</v>
      </c>
    </row>
    <row r="66" spans="1:26" x14ac:dyDescent="0.25">
      <c r="A66" s="60" t="s">
        <v>1173</v>
      </c>
      <c r="B66" s="14" t="str">
        <f>$B$42</f>
        <v>Outturn &amp; Forecast only</v>
      </c>
      <c r="C66" s="15"/>
      <c r="D66" s="97" t="str">
        <f ca="1">IF(ROUND('Fiscal Forecasts'!D$200-D$65,3)=0,"OK","ERROR")</f>
        <v>OK</v>
      </c>
      <c r="E66" s="97" t="str">
        <f ca="1">IF(ROUND('Fiscal Forecasts'!E$200-E$65,3)=0,"OK","ERROR")</f>
        <v>OK</v>
      </c>
      <c r="F66" s="97" t="str">
        <f ca="1">IF(ROUND('Fiscal Forecasts'!F$200-F$65,3)=0,"OK","ERROR")</f>
        <v>OK</v>
      </c>
      <c r="G66" s="97" t="str">
        <f ca="1">IF(ROUND('Fiscal Forecasts'!G$200-G$65,3)=0,"OK","ERROR")</f>
        <v>OK</v>
      </c>
      <c r="H66" s="97" t="str">
        <f ca="1">IF(ROUND('Fiscal Forecasts'!H$200-H$65,3)=0,"OK","ERROR")</f>
        <v>OK</v>
      </c>
      <c r="I66" s="97" t="str">
        <f ca="1">IF(ROUND('Fiscal Forecasts'!I$200-I$65,3)=0,"OK","ERROR")</f>
        <v>OK</v>
      </c>
      <c r="J66" s="97" t="str">
        <f ca="1">IF(ROUND('Fiscal Forecasts'!J$200-J$65,3)=0,"OK","ERROR")</f>
        <v>OK</v>
      </c>
      <c r="K66" s="97" t="str">
        <f ca="1">IF(ROUND('Fiscal Forecasts'!K$200-K$65,3)=0,"OK","ERROR")</f>
        <v>OK</v>
      </c>
      <c r="L66" s="97" t="str">
        <f ca="1">IF(ROUND('Fiscal Forecasts'!L$200-L$65+IF($C$2="Yes",('Fiscal Forecast Adjuster'!C$32-'Fiscal Forecast Adjuster'!C$41)/1000,0)+IF($C$3="Yes",('NZSF Adjuster'!W$29-'NZSF Adjuster'!W$20-'NZSF Adjuster'!W$11),0),3)=0,"OK","ERROR")</f>
        <v>OK</v>
      </c>
      <c r="M66" s="97" t="str">
        <f ca="1">IF(ROUND('Fiscal Forecasts'!M$200-M$65+IF($C$2="Yes",('Fiscal Forecast Adjuster'!D$32-'Fiscal Forecast Adjuster'!D$41)/1000,0)+IF($C$3="Yes",('NZSF Adjuster'!X$29-'NZSF Adjuster'!X$20-'NZSF Adjuster'!X$11),0),3)=0,"OK","ERROR")</f>
        <v>OK</v>
      </c>
      <c r="N66" s="97" t="str">
        <f ca="1">IF(ROUND('Fiscal Forecasts'!N$200-N$65+IF($C$2="Yes",('Fiscal Forecast Adjuster'!E$32-'Fiscal Forecast Adjuster'!E$41)/1000,0)+IF($C$3="Yes",('NZSF Adjuster'!Y$29-'NZSF Adjuster'!Y$20-'NZSF Adjuster'!Y$11),0),3)=0,"OK","ERROR")</f>
        <v>OK</v>
      </c>
      <c r="O66" s="97" t="str">
        <f ca="1">IF(ROUND('Fiscal Forecasts'!O$200-O$65+IF($C$2="Yes",('Fiscal Forecast Adjuster'!F$32-'Fiscal Forecast Adjuster'!F$41)/1000,0)+IF($C$3="Yes",('NZSF Adjuster'!Z$29-'NZSF Adjuster'!Z$20-'NZSF Adjuster'!Z$11),0),3)=0,"OK","ERROR")</f>
        <v>OK</v>
      </c>
      <c r="P66" s="97" t="str">
        <f ca="1">IF(ROUND('Fiscal Forecasts'!P$200-P$65+IF($C$2="Yes",('Fiscal Forecast Adjuster'!G$32-'Fiscal Forecast Adjuster'!G$41)/1000,0)+IF($C$3="Yes",('NZSF Adjuster'!AA$29-'NZSF Adjuster'!AA$20-'NZSF Adjuster'!AA$11),0),3)=0,"OK","ERROR")</f>
        <v>OK</v>
      </c>
      <c r="Q66" s="17"/>
      <c r="R66" s="17"/>
      <c r="S66" s="17"/>
      <c r="T66" s="17"/>
      <c r="U66" s="17"/>
      <c r="V66" s="17"/>
      <c r="W66" s="17"/>
      <c r="X66" s="17"/>
      <c r="Y66" s="17"/>
      <c r="Z66" s="17"/>
    </row>
    <row r="67" spans="1:26" x14ac:dyDescent="0.25">
      <c r="A67" s="60" t="s">
        <v>1174</v>
      </c>
      <c r="B67" s="14" t="str">
        <f>$B$62</f>
        <v>Projected Years only</v>
      </c>
      <c r="C67" s="15"/>
      <c r="D67" s="89"/>
      <c r="E67" s="89"/>
      <c r="F67" s="89"/>
      <c r="G67" s="89"/>
      <c r="H67" s="89"/>
      <c r="I67" s="89"/>
      <c r="J67" s="89"/>
      <c r="K67" s="89"/>
      <c r="L67" s="89"/>
      <c r="M67" s="89"/>
      <c r="N67" s="89"/>
      <c r="O67" s="89"/>
      <c r="P67" s="89"/>
      <c r="Q67" s="97" t="str">
        <f t="shared" ref="Q67:Z67" ca="1" si="38">IF(ROUND(Q$49-(Q$65-P$65),3)=0,"OK","ERROR")</f>
        <v>OK</v>
      </c>
      <c r="R67" s="97" t="str">
        <f t="shared" ca="1" si="38"/>
        <v>OK</v>
      </c>
      <c r="S67" s="97" t="str">
        <f t="shared" ca="1" si="38"/>
        <v>OK</v>
      </c>
      <c r="T67" s="97" t="str">
        <f t="shared" ca="1" si="38"/>
        <v>OK</v>
      </c>
      <c r="U67" s="97" t="str">
        <f t="shared" ca="1" si="38"/>
        <v>OK</v>
      </c>
      <c r="V67" s="97" t="str">
        <f t="shared" ca="1" si="38"/>
        <v>OK</v>
      </c>
      <c r="W67" s="97" t="str">
        <f t="shared" ca="1" si="38"/>
        <v>OK</v>
      </c>
      <c r="X67" s="97" t="str">
        <f t="shared" ca="1" si="38"/>
        <v>OK</v>
      </c>
      <c r="Y67" s="97" t="str">
        <f t="shared" ca="1" si="38"/>
        <v>OK</v>
      </c>
      <c r="Z67" s="97" t="str">
        <f t="shared" ca="1" si="38"/>
        <v>OK</v>
      </c>
    </row>
    <row r="68" spans="1:26" x14ac:dyDescent="0.25">
      <c r="A68" s="11"/>
      <c r="B68" s="11"/>
      <c r="C68" s="15"/>
      <c r="D68" s="89"/>
      <c r="E68" s="89"/>
      <c r="F68" s="89"/>
      <c r="G68" s="89"/>
      <c r="H68" s="89"/>
      <c r="I68" s="89"/>
      <c r="J68" s="89"/>
      <c r="K68" s="89"/>
      <c r="L68" s="66"/>
      <c r="M68" s="66"/>
      <c r="N68" s="66"/>
      <c r="O68" s="66"/>
      <c r="P68" s="66"/>
      <c r="Q68" s="17"/>
      <c r="R68" s="17"/>
      <c r="S68" s="17"/>
      <c r="T68" s="17"/>
      <c r="U68" s="17"/>
      <c r="V68" s="17"/>
      <c r="W68" s="17"/>
      <c r="X68" s="17"/>
      <c r="Y68" s="17"/>
      <c r="Z68" s="17"/>
    </row>
    <row r="69" spans="1:26" x14ac:dyDescent="0.25">
      <c r="A69" s="57" t="s">
        <v>1175</v>
      </c>
      <c r="B69" s="11"/>
      <c r="C69" s="15"/>
      <c r="D69" s="89"/>
      <c r="E69" s="89"/>
      <c r="F69" s="89"/>
      <c r="G69" s="89"/>
      <c r="H69" s="89"/>
      <c r="I69" s="89"/>
      <c r="J69" s="89"/>
      <c r="K69" s="89"/>
      <c r="L69" s="89"/>
      <c r="M69" s="89"/>
      <c r="N69" s="89"/>
      <c r="O69" s="89"/>
      <c r="P69" s="89"/>
      <c r="Q69" s="15"/>
      <c r="R69" s="15"/>
      <c r="S69" s="15"/>
      <c r="T69" s="15"/>
      <c r="U69" s="15"/>
      <c r="V69" s="15"/>
      <c r="W69" s="15"/>
      <c r="X69" s="15"/>
      <c r="Y69" s="15"/>
      <c r="Z69" s="15"/>
    </row>
    <row r="70" spans="1:26" x14ac:dyDescent="0.25">
      <c r="A70" s="11" t="s">
        <v>1176</v>
      </c>
      <c r="B70" s="14" t="str">
        <f t="shared" ref="B70:B77" si="39">$B$38</f>
        <v>From Fiscal Forecasts</v>
      </c>
      <c r="C70" s="15"/>
      <c r="D70" s="51">
        <f>'Fiscal Forecasts'!D$137</f>
        <v>110.248</v>
      </c>
      <c r="E70" s="51">
        <f>'Fiscal Forecasts'!E$137</f>
        <v>152.71700000000001</v>
      </c>
      <c r="F70" s="51">
        <f>'Fiscal Forecasts'!F$137</f>
        <v>162.56</v>
      </c>
      <c r="G70" s="51">
        <f>'Fiscal Forecasts'!G$137</f>
        <v>203.965</v>
      </c>
      <c r="H70" s="51">
        <f>'Fiscal Forecasts'!H$137</f>
        <v>226.755</v>
      </c>
      <c r="I70" s="51">
        <f>'Fiscal Forecasts'!I$137</f>
        <v>250.94300000000001</v>
      </c>
      <c r="J70" s="51">
        <f>'Fiscal Forecasts'!J$137</f>
        <v>272.08499999999998</v>
      </c>
      <c r="K70" s="51">
        <f>'Fiscal Forecasts'!K$137</f>
        <v>293.99900000000002</v>
      </c>
      <c r="L70" s="47">
        <f>'Fiscal Forecasts'!L$137+IF($C$2="Yes",'Fiscal Forecast Adjuster'!C$41/1000,0)+IF($C$3="Yes",'NZSF Adjuster'!W$11,0)</f>
        <v>314.43099999999998</v>
      </c>
      <c r="M70" s="47">
        <f>'Fiscal Forecasts'!M$137+IF($C$2="Yes",'Fiscal Forecast Adjuster'!D$41/1000,0)+IF($C$3="Yes",'NZSF Adjuster'!X$11,0)</f>
        <v>335.178</v>
      </c>
      <c r="N70" s="47">
        <f>'Fiscal Forecasts'!N$137+IF($C$2="Yes",'Fiscal Forecast Adjuster'!E$41/1000,0)+IF($C$3="Yes",'NZSF Adjuster'!Y$11,0)</f>
        <v>350.851</v>
      </c>
      <c r="O70" s="47">
        <f>'Fiscal Forecasts'!O$137+IF($C$2="Yes",'Fiscal Forecast Adjuster'!F$41/1000,0)+IF($C$3="Yes",'NZSF Adjuster'!Z$11,0)</f>
        <v>360.36200000000002</v>
      </c>
      <c r="P70" s="47">
        <f>'Fiscal Forecasts'!P$137+IF($C$2="Yes",'Fiscal Forecast Adjuster'!G$41/1000,0)+IF($C$3="Yes",'NZSF Adjuster'!AA$11,0)</f>
        <v>363.75400000000002</v>
      </c>
      <c r="Q70" s="21">
        <f t="shared" ref="Q70:Z70" ca="1" si="40">SUM(P$70,Q$108)</f>
        <v>365.48534235212026</v>
      </c>
      <c r="R70" s="21">
        <f t="shared" ca="1" si="40"/>
        <v>365.24319417411357</v>
      </c>
      <c r="S70" s="21">
        <f t="shared" ca="1" si="40"/>
        <v>362.70701674212586</v>
      </c>
      <c r="T70" s="21">
        <f t="shared" ca="1" si="40"/>
        <v>357.32727616174208</v>
      </c>
      <c r="U70" s="21">
        <f t="shared" ca="1" si="40"/>
        <v>349.29503379119393</v>
      </c>
      <c r="V70" s="21">
        <f t="shared" ca="1" si="40"/>
        <v>338.56123265927977</v>
      </c>
      <c r="W70" s="21">
        <f t="shared" ca="1" si="40"/>
        <v>324.98447512779529</v>
      </c>
      <c r="X70" s="21">
        <f t="shared" ca="1" si="40"/>
        <v>308.51097266880078</v>
      </c>
      <c r="Y70" s="21">
        <f t="shared" ca="1" si="40"/>
        <v>288.9705507991319</v>
      </c>
      <c r="Z70" s="21">
        <f t="shared" ca="1" si="40"/>
        <v>266.29550500100362</v>
      </c>
    </row>
    <row r="71" spans="1:26" x14ac:dyDescent="0.25">
      <c r="A71" s="12" t="s">
        <v>967</v>
      </c>
      <c r="B71" s="14" t="str">
        <f t="shared" si="39"/>
        <v>From Fiscal Forecasts</v>
      </c>
      <c r="C71" s="15"/>
      <c r="D71" s="51">
        <f>'Fiscal Forecasts'!D$147</f>
        <v>91.51</v>
      </c>
      <c r="E71" s="51">
        <f>'Fiscal Forecasts'!E$147</f>
        <v>126.34099999999999</v>
      </c>
      <c r="F71" s="51">
        <f>'Fiscal Forecasts'!F$147</f>
        <v>132.54300000000001</v>
      </c>
      <c r="G71" s="51">
        <f>'Fiscal Forecasts'!G$147</f>
        <v>168.98599999999999</v>
      </c>
      <c r="H71" s="51">
        <f>'Fiscal Forecasts'!H$147</f>
        <v>191.029</v>
      </c>
      <c r="I71" s="51">
        <f>'Fiscal Forecasts'!I$147</f>
        <v>216.34899999999999</v>
      </c>
      <c r="J71" s="51">
        <f>'Fiscal Forecasts'!J$147</f>
        <v>238.96700000000001</v>
      </c>
      <c r="K71" s="51">
        <f>'Fiscal Forecasts'!K$147</f>
        <v>256.83699999999999</v>
      </c>
      <c r="L71" s="47">
        <f>'Fiscal Forecasts'!L$147+IF($C$2="Yes",'Fiscal Forecast Adjuster'!C$41/1000,0)+IF($C$3="Yes",'NZSF Adjuster'!W$11,0)</f>
        <v>272.78500000000003</v>
      </c>
      <c r="M71" s="47">
        <f>'Fiscal Forecasts'!M$147+IF($C$2="Yes",'Fiscal Forecast Adjuster'!D$41/1000,0)+IF($C$3="Yes",'NZSF Adjuster'!X$11,0)</f>
        <v>288.827</v>
      </c>
      <c r="N71" s="47">
        <f>'Fiscal Forecasts'!N$147+IF($C$2="Yes",'Fiscal Forecast Adjuster'!E$41/1000,0)+IF($C$3="Yes",'NZSF Adjuster'!Y$11,0)</f>
        <v>299.25400000000002</v>
      </c>
      <c r="O71" s="47">
        <f>'Fiscal Forecasts'!O$147+IF($C$2="Yes",'Fiscal Forecast Adjuster'!F$41/1000,0)+IF($C$3="Yes",'NZSF Adjuster'!Z$11,0)</f>
        <v>302.637</v>
      </c>
      <c r="P71" s="47">
        <f>'Fiscal Forecasts'!P$147+IF($C$2="Yes",'Fiscal Forecast Adjuster'!G$41/1000,0)+IF($C$3="Yes",'NZSF Adjuster'!AA$11,0)</f>
        <v>298.476</v>
      </c>
      <c r="Q71" s="21">
        <f t="shared" ref="Q71:Z71" ca="1" si="41">SUM(P$71,Q$503)</f>
        <v>295.13486408699117</v>
      </c>
      <c r="R71" s="21">
        <f t="shared" ca="1" si="41"/>
        <v>289.86031522113302</v>
      </c>
      <c r="S71" s="21">
        <f t="shared" ca="1" si="41"/>
        <v>282.26825095852485</v>
      </c>
      <c r="T71" s="21">
        <f t="shared" ca="1" si="41"/>
        <v>272.00761851228958</v>
      </c>
      <c r="U71" s="21">
        <f t="shared" ca="1" si="41"/>
        <v>259.20504345694997</v>
      </c>
      <c r="V71" s="21">
        <f t="shared" ca="1" si="41"/>
        <v>243.64687999517562</v>
      </c>
      <c r="W71" s="21">
        <f t="shared" ca="1" si="41"/>
        <v>225.20424968206535</v>
      </c>
      <c r="X71" s="21">
        <f t="shared" ca="1" si="41"/>
        <v>203.77103685389562</v>
      </c>
      <c r="Y71" s="21">
        <f t="shared" ca="1" si="41"/>
        <v>179.22753947914435</v>
      </c>
      <c r="Z71" s="21">
        <f t="shared" ca="1" si="41"/>
        <v>151.43100381964734</v>
      </c>
    </row>
    <row r="72" spans="1:26" x14ac:dyDescent="0.25">
      <c r="A72" s="12" t="s">
        <v>968</v>
      </c>
      <c r="B72" s="14" t="str">
        <f t="shared" si="39"/>
        <v>From Fiscal Forecasts</v>
      </c>
      <c r="C72" s="15"/>
      <c r="D72" s="50">
        <f>'Fiscal Forecasts'!D$148</f>
        <v>0.251</v>
      </c>
      <c r="E72" s="50">
        <f>'Fiscal Forecasts'!E$148</f>
        <v>5.5E-2</v>
      </c>
      <c r="F72" s="50">
        <f>'Fiscal Forecasts'!F$148</f>
        <v>2.1000000000000001E-2</v>
      </c>
      <c r="G72" s="50">
        <f>'Fiscal Forecasts'!G$148</f>
        <v>0.20799999999999999</v>
      </c>
      <c r="H72" s="50">
        <f>'Fiscal Forecasts'!H$148</f>
        <v>0.96199999999999997</v>
      </c>
      <c r="I72" s="50">
        <f>'Fiscal Forecasts'!I$148</f>
        <v>0.84699999999999998</v>
      </c>
      <c r="J72" s="50">
        <f>'Fiscal Forecasts'!J$148</f>
        <v>0.46700000000000003</v>
      </c>
      <c r="K72" s="50">
        <f>'Fiscal Forecasts'!K$148</f>
        <v>0.50700000000000001</v>
      </c>
      <c r="L72" s="48">
        <f>'Fiscal Forecasts'!L$148</f>
        <v>0.42099999999999999</v>
      </c>
      <c r="M72" s="48">
        <f>'Fiscal Forecasts'!M$148</f>
        <v>1.792</v>
      </c>
      <c r="N72" s="48">
        <f>'Fiscal Forecasts'!N$148</f>
        <v>1.0980000000000001</v>
      </c>
      <c r="O72" s="48">
        <f>'Fiscal Forecasts'!O$148</f>
        <v>0.76200000000000001</v>
      </c>
      <c r="P72" s="48">
        <f>'Fiscal Forecasts'!P$148</f>
        <v>0.60799999999999998</v>
      </c>
      <c r="Q72" s="20">
        <f t="shared" ref="Q72:Z72" ca="1" si="42">P$72*(1+Q$29)</f>
        <v>0.62016000000000004</v>
      </c>
      <c r="R72" s="20">
        <f t="shared" ca="1" si="42"/>
        <v>0.6325632000000001</v>
      </c>
      <c r="S72" s="20">
        <f t="shared" ca="1" si="42"/>
        <v>0.64521446400000015</v>
      </c>
      <c r="T72" s="20">
        <f t="shared" ca="1" si="42"/>
        <v>0.65811875328000013</v>
      </c>
      <c r="U72" s="20">
        <f t="shared" ca="1" si="42"/>
        <v>0.67128112834560016</v>
      </c>
      <c r="V72" s="20">
        <f t="shared" ca="1" si="42"/>
        <v>0.68470675091251221</v>
      </c>
      <c r="W72" s="20">
        <f t="shared" ca="1" si="42"/>
        <v>0.69840088593076244</v>
      </c>
      <c r="X72" s="20">
        <f t="shared" ca="1" si="42"/>
        <v>0.71236890364937766</v>
      </c>
      <c r="Y72" s="20">
        <f t="shared" ca="1" si="42"/>
        <v>0.72661628172236525</v>
      </c>
      <c r="Z72" s="20">
        <f t="shared" ca="1" si="42"/>
        <v>0.74114860735681254</v>
      </c>
    </row>
    <row r="73" spans="1:26" x14ac:dyDescent="0.25">
      <c r="A73" s="12" t="s">
        <v>1177</v>
      </c>
      <c r="B73" s="14" t="str">
        <f t="shared" si="39"/>
        <v>From Fiscal Forecasts</v>
      </c>
      <c r="C73" s="15"/>
      <c r="D73" s="50">
        <f>'Fiscal Forecasts'!D$149</f>
        <v>0.90300000000000002</v>
      </c>
      <c r="E73" s="50">
        <f>'Fiscal Forecasts'!E$149</f>
        <v>2.6749999999999998</v>
      </c>
      <c r="F73" s="50">
        <f>'Fiscal Forecasts'!F$149</f>
        <v>2.2170000000000001</v>
      </c>
      <c r="G73" s="50">
        <f>'Fiscal Forecasts'!G$149</f>
        <v>9.99</v>
      </c>
      <c r="H73" s="50">
        <f>'Fiscal Forecasts'!H$149</f>
        <v>3.093</v>
      </c>
      <c r="I73" s="50">
        <f>'Fiscal Forecasts'!I$149</f>
        <v>2.754</v>
      </c>
      <c r="J73" s="50">
        <f>'Fiscal Forecasts'!J$149</f>
        <v>2.7149999999999999</v>
      </c>
      <c r="K73" s="50">
        <f>'Fiscal Forecasts'!K$149</f>
        <v>4.415</v>
      </c>
      <c r="L73" s="48">
        <f>'Fiscal Forecasts'!L$149</f>
        <v>4.3499999999999996</v>
      </c>
      <c r="M73" s="48">
        <f>'Fiscal Forecasts'!M$149</f>
        <v>5.7210000000000001</v>
      </c>
      <c r="N73" s="48">
        <f>'Fiscal Forecasts'!N$149</f>
        <v>5.0469999999999997</v>
      </c>
      <c r="O73" s="48">
        <f>'Fiscal Forecasts'!O$149</f>
        <v>4.7359999999999998</v>
      </c>
      <c r="P73" s="48">
        <f>'Fiscal Forecasts'!P$149</f>
        <v>4.5789999999999997</v>
      </c>
      <c r="Q73" s="20">
        <f ca="1">OFFSET(Assumptions!$B$54,0,$C$1)*Q$385</f>
        <v>4.7568455514746164</v>
      </c>
      <c r="R73" s="20">
        <f ca="1">OFFSET(Assumptions!$B$54,0,$C$1)*R$385</f>
        <v>5.0458367829519233</v>
      </c>
      <c r="S73" s="20">
        <f ca="1">OFFSET(Assumptions!$B$54,0,$C$1)*S$385</f>
        <v>5.3465925868654764</v>
      </c>
      <c r="T73" s="20">
        <f ca="1">OFFSET(Assumptions!$B$54,0,$C$1)*T$385</f>
        <v>5.6601489194473302</v>
      </c>
      <c r="U73" s="20">
        <f ca="1">OFFSET(Assumptions!$B$54,0,$C$1)*U$385</f>
        <v>5.9852929840667644</v>
      </c>
      <c r="V73" s="20">
        <f ca="1">OFFSET(Assumptions!$B$54,0,$C$1)*V$385</f>
        <v>6.3240860466159106</v>
      </c>
      <c r="W73" s="20">
        <f ca="1">OFFSET(Assumptions!$B$54,0,$C$1)*W$385</f>
        <v>6.6798401572095205</v>
      </c>
      <c r="X73" s="20">
        <f ca="1">OFFSET(Assumptions!$B$54,0,$C$1)*X$385</f>
        <v>7.056074575576182</v>
      </c>
      <c r="Y73" s="20">
        <f ca="1">OFFSET(Assumptions!$B$54,0,$C$1)*Y$385</f>
        <v>7.4575069938944782</v>
      </c>
      <c r="Z73" s="20">
        <f ca="1">OFFSET(Assumptions!$B$54,0,$C$1)*Z$385</f>
        <v>7.8884002076615136</v>
      </c>
    </row>
    <row r="74" spans="1:26" x14ac:dyDescent="0.25">
      <c r="A74" s="12" t="s">
        <v>1178</v>
      </c>
      <c r="B74" s="14" t="str">
        <f t="shared" si="39"/>
        <v>From Fiscal Forecasts</v>
      </c>
      <c r="C74" s="15"/>
      <c r="D74" s="50">
        <f>'Fiscal Forecasts'!D$150</f>
        <v>92.590999999999994</v>
      </c>
      <c r="E74" s="50">
        <f>'Fiscal Forecasts'!E$150</f>
        <v>101.77800000000001</v>
      </c>
      <c r="F74" s="50">
        <f>'Fiscal Forecasts'!F$150</f>
        <v>108.423</v>
      </c>
      <c r="G74" s="50">
        <f>'Fiscal Forecasts'!G$150</f>
        <v>121.13800000000001</v>
      </c>
      <c r="H74" s="50">
        <f>'Fiscal Forecasts'!H$150</f>
        <v>135.595</v>
      </c>
      <c r="I74" s="50">
        <f>'Fiscal Forecasts'!I$150</f>
        <v>154.9</v>
      </c>
      <c r="J74" s="50">
        <f>'Fiscal Forecasts'!J$150</f>
        <v>173.536</v>
      </c>
      <c r="K74" s="50">
        <f>'Fiscal Forecasts'!K$150</f>
        <v>187.077</v>
      </c>
      <c r="L74" s="48">
        <f>'Fiscal Forecasts'!L$150+IF($C$3="Yes",'NZSF Adjuster'!W$29-'NZSF Adjuster'!W$20,0)</f>
        <v>192.446</v>
      </c>
      <c r="M74" s="48">
        <f>'Fiscal Forecasts'!M$150+IF($C$3="Yes",'NZSF Adjuster'!X$29-'NZSF Adjuster'!X$20,0)</f>
        <v>204.63399999999999</v>
      </c>
      <c r="N74" s="48">
        <f>'Fiscal Forecasts'!N$150+IF($C$3="Yes",'NZSF Adjuster'!Y$29-'NZSF Adjuster'!Y$20,0)</f>
        <v>215.44399999999999</v>
      </c>
      <c r="O74" s="48">
        <f>'Fiscal Forecasts'!O$150+IF($C$3="Yes",'NZSF Adjuster'!Z$29-'NZSF Adjuster'!Z$20,0)</f>
        <v>225.17400000000001</v>
      </c>
      <c r="P74" s="48">
        <f>'Fiscal Forecasts'!P$150+IF($C$3="Yes",'NZSF Adjuster'!AA$29-'NZSF Adjuster'!AA$20,0)</f>
        <v>231.40600000000001</v>
      </c>
      <c r="Q74" s="20">
        <f t="shared" ref="Q74:Z74" ca="1" si="43">SUM(Q$346,Q$359,Q$368,Q$388,Q$394)</f>
        <v>242.74716228350877</v>
      </c>
      <c r="R74" s="20">
        <f t="shared" ca="1" si="43"/>
        <v>254.59340411443225</v>
      </c>
      <c r="S74" s="20">
        <f t="shared" ca="1" si="43"/>
        <v>266.86661622051332</v>
      </c>
      <c r="T74" s="20">
        <f t="shared" ca="1" si="43"/>
        <v>279.58555031778002</v>
      </c>
      <c r="U74" s="20">
        <f t="shared" ca="1" si="43"/>
        <v>292.75058109283373</v>
      </c>
      <c r="V74" s="20">
        <f t="shared" ca="1" si="43"/>
        <v>306.42947780044068</v>
      </c>
      <c r="W74" s="20">
        <f t="shared" ca="1" si="43"/>
        <v>320.70143799011407</v>
      </c>
      <c r="X74" s="20">
        <f t="shared" ca="1" si="43"/>
        <v>335.68138407285397</v>
      </c>
      <c r="Y74" s="20">
        <f t="shared" ca="1" si="43"/>
        <v>351.53260955133226</v>
      </c>
      <c r="Z74" s="20">
        <f t="shared" ca="1" si="43"/>
        <v>368.38126568000575</v>
      </c>
    </row>
    <row r="75" spans="1:26" x14ac:dyDescent="0.25">
      <c r="A75" s="12" t="s">
        <v>1179</v>
      </c>
      <c r="B75" s="14" t="str">
        <f t="shared" si="39"/>
        <v>From Fiscal Forecasts</v>
      </c>
      <c r="C75" s="15"/>
      <c r="D75" s="50">
        <f>'Fiscal Forecasts'!D$151</f>
        <v>0.66900000000000004</v>
      </c>
      <c r="E75" s="50">
        <f>'Fiscal Forecasts'!E$151</f>
        <v>1.9E-2</v>
      </c>
      <c r="F75" s="50">
        <f>'Fiscal Forecasts'!F$151</f>
        <v>5.6000000000000001E-2</v>
      </c>
      <c r="G75" s="50">
        <f>'Fiscal Forecasts'!G$151</f>
        <v>0.55100000000000005</v>
      </c>
      <c r="H75" s="50">
        <f>'Fiscal Forecasts'!H$151</f>
        <v>2.5649999999999999</v>
      </c>
      <c r="I75" s="50">
        <f>'Fiscal Forecasts'!I$151</f>
        <v>3.278</v>
      </c>
      <c r="J75" s="50">
        <f>'Fiscal Forecasts'!J$151</f>
        <v>2.2450000000000001</v>
      </c>
      <c r="K75" s="50">
        <f>'Fiscal Forecasts'!K$151</f>
        <v>5.1029999999999998</v>
      </c>
      <c r="L75" s="48">
        <f>'Fiscal Forecasts'!L$151</f>
        <v>2.6880000000000002</v>
      </c>
      <c r="M75" s="48">
        <f>'Fiscal Forecasts'!M$151</f>
        <v>2.7130000000000001</v>
      </c>
      <c r="N75" s="48">
        <f>'Fiscal Forecasts'!N$151</f>
        <v>2.738</v>
      </c>
      <c r="O75" s="48">
        <f>'Fiscal Forecasts'!O$151</f>
        <v>2.7669999999999999</v>
      </c>
      <c r="P75" s="48">
        <f>'Fiscal Forecasts'!P$151</f>
        <v>2.7970000000000002</v>
      </c>
      <c r="Q75" s="20">
        <f t="shared" ref="Q75:Z75" ca="1" si="44">P$75*(1+Q$29)</f>
        <v>2.8529400000000003</v>
      </c>
      <c r="R75" s="20">
        <f t="shared" ca="1" si="44"/>
        <v>2.9099988000000003</v>
      </c>
      <c r="S75" s="20">
        <f t="shared" ca="1" si="44"/>
        <v>2.9681987760000004</v>
      </c>
      <c r="T75" s="20">
        <f t="shared" ca="1" si="44"/>
        <v>3.0275627515200005</v>
      </c>
      <c r="U75" s="20">
        <f t="shared" ca="1" si="44"/>
        <v>3.0881140065504007</v>
      </c>
      <c r="V75" s="20">
        <f t="shared" ca="1" si="44"/>
        <v>3.1498762866814087</v>
      </c>
      <c r="W75" s="20">
        <f t="shared" ca="1" si="44"/>
        <v>3.2128738124150371</v>
      </c>
      <c r="X75" s="20">
        <f t="shared" ca="1" si="44"/>
        <v>3.2771312886633379</v>
      </c>
      <c r="Y75" s="20">
        <f t="shared" ca="1" si="44"/>
        <v>3.3426739144366047</v>
      </c>
      <c r="Z75" s="20">
        <f t="shared" ca="1" si="44"/>
        <v>3.4095273927253369</v>
      </c>
    </row>
    <row r="76" spans="1:26" x14ac:dyDescent="0.25">
      <c r="A76" s="12" t="s">
        <v>972</v>
      </c>
      <c r="B76" s="14" t="str">
        <f t="shared" si="39"/>
        <v>From Fiscal Forecasts</v>
      </c>
      <c r="C76" s="15"/>
      <c r="D76" s="50">
        <f>'Fiscal Forecasts'!D$152</f>
        <v>46.292999999999999</v>
      </c>
      <c r="E76" s="50">
        <f>'Fiscal Forecasts'!E$152</f>
        <v>46.895000000000003</v>
      </c>
      <c r="F76" s="50">
        <f>'Fiscal Forecasts'!F$152</f>
        <v>61.483999999999995</v>
      </c>
      <c r="G76" s="50">
        <f>'Fiscal Forecasts'!G$152</f>
        <v>65.254999999999995</v>
      </c>
      <c r="H76" s="50">
        <f>'Fiscal Forecasts'!H$152</f>
        <v>67.994000000000014</v>
      </c>
      <c r="I76" s="50">
        <f>'Fiscal Forecasts'!I$152</f>
        <v>78.811999999999998</v>
      </c>
      <c r="J76" s="50">
        <f>'Fiscal Forecasts'!J$152</f>
        <v>86.921999999999997</v>
      </c>
      <c r="K76" s="50">
        <f>'Fiscal Forecasts'!K$152</f>
        <v>98.022999999999996</v>
      </c>
      <c r="L76" s="48">
        <f>'Fiscal Forecasts'!L$152+IF($C$3="Yes",'NZSF Adjuster'!W$29-'NZSF Adjuster'!W$20,0)</f>
        <v>105.09699999999999</v>
      </c>
      <c r="M76" s="48">
        <f>'Fiscal Forecasts'!M$152+IF($C$3="Yes",'NZSF Adjuster'!X$29-'NZSF Adjuster'!X$20,0)</f>
        <v>112.59399999999999</v>
      </c>
      <c r="N76" s="48">
        <f>'Fiscal Forecasts'!N$152+IF($C$3="Yes",'NZSF Adjuster'!Y$29-'NZSF Adjuster'!Y$20,0)</f>
        <v>118.619</v>
      </c>
      <c r="O76" s="48">
        <f>'Fiscal Forecasts'!O$152+IF($C$3="Yes",'NZSF Adjuster'!Z$29-'NZSF Adjuster'!Z$20,0)</f>
        <v>125.54</v>
      </c>
      <c r="P76" s="48">
        <f>'Fiscal Forecasts'!P$152+IF($C$3="Yes",'NZSF Adjuster'!AA$29-'NZSF Adjuster'!AA$20,0)</f>
        <v>133.102</v>
      </c>
      <c r="Q76" s="20">
        <f t="shared" ref="Q76:Z76" ca="1" si="45">SUM(Q$344,Q$357,Q$366,Q$388,Q$391,Q$75-Q$72)</f>
        <v>141.17895341413401</v>
      </c>
      <c r="R76" s="20">
        <f t="shared" ca="1" si="45"/>
        <v>149.69868256050586</v>
      </c>
      <c r="S76" s="20">
        <f t="shared" ca="1" si="45"/>
        <v>158.56431742057208</v>
      </c>
      <c r="T76" s="20">
        <f t="shared" ca="1" si="45"/>
        <v>167.80625672734377</v>
      </c>
      <c r="U76" s="20">
        <f t="shared" ca="1" si="45"/>
        <v>177.38895173659665</v>
      </c>
      <c r="V76" s="20">
        <f t="shared" ca="1" si="45"/>
        <v>187.37287054807871</v>
      </c>
      <c r="W76" s="20">
        <f t="shared" ca="1" si="45"/>
        <v>197.85516263638252</v>
      </c>
      <c r="X76" s="20">
        <f t="shared" ca="1" si="45"/>
        <v>208.93905456801838</v>
      </c>
      <c r="Y76" s="20">
        <f t="shared" ca="1" si="45"/>
        <v>220.76291901013278</v>
      </c>
      <c r="Z76" s="20">
        <f t="shared" ca="1" si="45"/>
        <v>233.4517885405358</v>
      </c>
    </row>
    <row r="77" spans="1:26" x14ac:dyDescent="0.25">
      <c r="A77" s="12" t="s">
        <v>973</v>
      </c>
      <c r="B77" s="14" t="str">
        <f t="shared" si="39"/>
        <v>From Fiscal Forecasts</v>
      </c>
      <c r="C77" s="15"/>
      <c r="D77" s="50">
        <f>'Fiscal Forecasts'!D$153</f>
        <v>13.845000000000001</v>
      </c>
      <c r="E77" s="50">
        <f>'Fiscal Forecasts'!E$153</f>
        <v>14.555999999999999</v>
      </c>
      <c r="F77" s="50">
        <f>'Fiscal Forecasts'!F$153</f>
        <v>18.728000000000002</v>
      </c>
      <c r="G77" s="50">
        <f>'Fiscal Forecasts'!G$153</f>
        <v>26.103000000000002</v>
      </c>
      <c r="H77" s="50">
        <f>'Fiscal Forecasts'!H$153</f>
        <v>36.540999999999997</v>
      </c>
      <c r="I77" s="50">
        <f>'Fiscal Forecasts'!I$153</f>
        <v>40.387999999999998</v>
      </c>
      <c r="J77" s="50">
        <f>'Fiscal Forecasts'!J$153</f>
        <v>34.311</v>
      </c>
      <c r="K77" s="50">
        <f>'Fiscal Forecasts'!K$153</f>
        <v>27.931000000000001</v>
      </c>
      <c r="L77" s="48">
        <f>'Fiscal Forecasts'!L$153</f>
        <v>30.812000000000001</v>
      </c>
      <c r="M77" s="48">
        <f>'Fiscal Forecasts'!M$153</f>
        <v>32.81</v>
      </c>
      <c r="N77" s="48">
        <f>'Fiscal Forecasts'!N$153</f>
        <v>34.792000000000002</v>
      </c>
      <c r="O77" s="48">
        <f>'Fiscal Forecasts'!O$153</f>
        <v>36.500999999999998</v>
      </c>
      <c r="P77" s="48">
        <f>'Fiscal Forecasts'!P$153</f>
        <v>36.365000000000002</v>
      </c>
      <c r="Q77" s="20">
        <f t="shared" ref="Q77:Z77" ca="1" si="46">SUM(Q$392:Q$393)</f>
        <v>36.881439999999998</v>
      </c>
      <c r="R77" s="20">
        <f t="shared" ca="1" si="46"/>
        <v>37.404168800000001</v>
      </c>
      <c r="S77" s="20">
        <f t="shared" ca="1" si="46"/>
        <v>37.933392176000005</v>
      </c>
      <c r="T77" s="20">
        <f t="shared" ca="1" si="46"/>
        <v>38.464320019520002</v>
      </c>
      <c r="U77" s="20">
        <f t="shared" ca="1" si="46"/>
        <v>38.997166419910407</v>
      </c>
      <c r="V77" s="20">
        <f t="shared" ca="1" si="46"/>
        <v>39.538149748308612</v>
      </c>
      <c r="W77" s="20">
        <f t="shared" ca="1" si="46"/>
        <v>40.085492743274791</v>
      </c>
      <c r="X77" s="20">
        <f t="shared" ca="1" si="46"/>
        <v>40.645422598140286</v>
      </c>
      <c r="Y77" s="20">
        <f t="shared" ca="1" si="46"/>
        <v>41.225171050103093</v>
      </c>
      <c r="Z77" s="20">
        <f t="shared" ca="1" si="46"/>
        <v>41.824974471105158</v>
      </c>
    </row>
    <row r="78" spans="1:26" x14ac:dyDescent="0.25">
      <c r="A78" s="11" t="s">
        <v>1180</v>
      </c>
      <c r="B78" s="11"/>
      <c r="C78" s="15"/>
      <c r="D78" s="94">
        <f t="shared" ref="D78:Z78" si="47">SUM(D$71,D$72,D$76,D$77)-SUM(D$73,D$74,D$75)</f>
        <v>57.736000000000004</v>
      </c>
      <c r="E78" s="94">
        <f t="shared" si="47"/>
        <v>83.375</v>
      </c>
      <c r="F78" s="94">
        <f t="shared" si="47"/>
        <v>102.08000000000001</v>
      </c>
      <c r="G78" s="94">
        <f t="shared" si="47"/>
        <v>128.87299999999996</v>
      </c>
      <c r="H78" s="94">
        <f t="shared" si="47"/>
        <v>155.27300000000002</v>
      </c>
      <c r="I78" s="94">
        <f t="shared" si="47"/>
        <v>175.46399999999997</v>
      </c>
      <c r="J78" s="94">
        <f t="shared" si="47"/>
        <v>182.17099999999996</v>
      </c>
      <c r="K78" s="94">
        <f t="shared" si="47"/>
        <v>186.70299999999995</v>
      </c>
      <c r="L78" s="95">
        <f t="shared" si="47"/>
        <v>209.63100000000003</v>
      </c>
      <c r="M78" s="95">
        <f t="shared" si="47"/>
        <v>222.95499999999998</v>
      </c>
      <c r="N78" s="95">
        <f t="shared" si="47"/>
        <v>230.53400000000005</v>
      </c>
      <c r="O78" s="95">
        <f t="shared" si="47"/>
        <v>232.76300000000001</v>
      </c>
      <c r="P78" s="95">
        <f t="shared" si="47"/>
        <v>229.76900000000003</v>
      </c>
      <c r="Q78" s="99">
        <f t="shared" ca="1" si="47"/>
        <v>223.45846966614181</v>
      </c>
      <c r="R78" s="99">
        <f t="shared" ca="1" si="47"/>
        <v>215.04649008425469</v>
      </c>
      <c r="S78" s="99">
        <f t="shared" ca="1" si="47"/>
        <v>204.22976743571809</v>
      </c>
      <c r="T78" s="99">
        <f t="shared" ca="1" si="47"/>
        <v>190.66305202368596</v>
      </c>
      <c r="U78" s="99">
        <f t="shared" ca="1" si="47"/>
        <v>174.4384546583517</v>
      </c>
      <c r="V78" s="99">
        <f t="shared" ca="1" si="47"/>
        <v>155.33916690873747</v>
      </c>
      <c r="W78" s="99">
        <f t="shared" ca="1" si="47"/>
        <v>133.24915398791484</v>
      </c>
      <c r="X78" s="99">
        <f t="shared" ca="1" si="47"/>
        <v>108.05329298661019</v>
      </c>
      <c r="Y78" s="99">
        <f t="shared" ca="1" si="47"/>
        <v>79.609455361439245</v>
      </c>
      <c r="Z78" s="99">
        <f t="shared" ca="1" si="47"/>
        <v>47.769722158252534</v>
      </c>
    </row>
    <row r="79" spans="1:26" x14ac:dyDescent="0.25">
      <c r="A79" s="12" t="s">
        <v>975</v>
      </c>
      <c r="B79" s="14" t="str">
        <f>$B$38</f>
        <v>From Fiscal Forecasts</v>
      </c>
      <c r="C79" s="15"/>
      <c r="D79" s="50">
        <f>'Fiscal Forecasts'!D$155</f>
        <v>6.931</v>
      </c>
      <c r="E79" s="50">
        <f>'Fiscal Forecasts'!E$155</f>
        <v>11.111000000000001</v>
      </c>
      <c r="F79" s="50">
        <f>'Fiscal Forecasts'!F$155</f>
        <v>11.836</v>
      </c>
      <c r="G79" s="50">
        <f>'Fiscal Forecasts'!G$155</f>
        <v>14.345000000000001</v>
      </c>
      <c r="H79" s="50">
        <f>'Fiscal Forecasts'!H$155</f>
        <v>48.11</v>
      </c>
      <c r="I79" s="50">
        <f>'Fiscal Forecasts'!I$155</f>
        <v>56.47</v>
      </c>
      <c r="J79" s="50">
        <f>'Fiscal Forecasts'!J$155</f>
        <v>61.85</v>
      </c>
      <c r="K79" s="50">
        <f>'Fiscal Forecasts'!K$155</f>
        <v>66.849000000000004</v>
      </c>
      <c r="L79" s="48">
        <f>'Fiscal Forecasts'!L$155</f>
        <v>72.600999999999999</v>
      </c>
      <c r="M79" s="48">
        <f>'Fiscal Forecasts'!M$155</f>
        <v>78.403000000000006</v>
      </c>
      <c r="N79" s="48">
        <f>'Fiscal Forecasts'!N$155</f>
        <v>84.54</v>
      </c>
      <c r="O79" s="48">
        <f>'Fiscal Forecasts'!O$155</f>
        <v>91.457999999999998</v>
      </c>
      <c r="P79" s="48">
        <f>'Fiscal Forecasts'!P$155</f>
        <v>97.852999999999994</v>
      </c>
      <c r="Q79" s="20">
        <f t="shared" ref="Q79:Z79" ca="1" si="48">P$79+Q$80-P$80</f>
        <v>100.62866009477827</v>
      </c>
      <c r="R79" s="20">
        <f t="shared" ca="1" si="48"/>
        <v>103.46088699805713</v>
      </c>
      <c r="S79" s="20">
        <f t="shared" ca="1" si="48"/>
        <v>106.36814748235437</v>
      </c>
      <c r="T79" s="20">
        <f t="shared" ca="1" si="48"/>
        <v>109.3436414274905</v>
      </c>
      <c r="U79" s="20">
        <f t="shared" ca="1" si="48"/>
        <v>112.42289304238348</v>
      </c>
      <c r="V79" s="20">
        <f t="shared" ca="1" si="48"/>
        <v>115.60699742608826</v>
      </c>
      <c r="W79" s="20">
        <f t="shared" ca="1" si="48"/>
        <v>118.87989082463154</v>
      </c>
      <c r="X79" s="20">
        <f t="shared" ca="1" si="48"/>
        <v>122.24702998763811</v>
      </c>
      <c r="Y79" s="20">
        <f t="shared" ca="1" si="48"/>
        <v>125.72602294076746</v>
      </c>
      <c r="Z79" s="20">
        <f t="shared" ca="1" si="48"/>
        <v>129.3177669681636</v>
      </c>
    </row>
    <row r="80" spans="1:26" x14ac:dyDescent="0.25">
      <c r="A80" s="12" t="s">
        <v>1181</v>
      </c>
      <c r="B80" s="14" t="str">
        <f>$B$38</f>
        <v>From Fiscal Forecasts</v>
      </c>
      <c r="C80" s="15"/>
      <c r="D80" s="50">
        <f>'Fiscal Forecasts'!D$156</f>
        <v>0</v>
      </c>
      <c r="E80" s="50">
        <f>'Fiscal Forecasts'!E$156</f>
        <v>0</v>
      </c>
      <c r="F80" s="50">
        <f>'Fiscal Forecasts'!F$156</f>
        <v>0</v>
      </c>
      <c r="G80" s="50">
        <f>'Fiscal Forecasts'!G$156</f>
        <v>0</v>
      </c>
      <c r="H80" s="50">
        <f>'Fiscal Forecasts'!H$156</f>
        <v>30.574000000000002</v>
      </c>
      <c r="I80" s="50">
        <f>'Fiscal Forecasts'!I$156</f>
        <v>33.290999999999997</v>
      </c>
      <c r="J80" s="50">
        <f>'Fiscal Forecasts'!J$156</f>
        <v>36.783999999999999</v>
      </c>
      <c r="K80" s="50">
        <f>'Fiscal Forecasts'!K$156</f>
        <v>40.920999999999999</v>
      </c>
      <c r="L80" s="48">
        <f>'Fiscal Forecasts'!L$156</f>
        <v>44.921999999999997</v>
      </c>
      <c r="M80" s="48">
        <f>'Fiscal Forecasts'!M$156</f>
        <v>49.701000000000001</v>
      </c>
      <c r="N80" s="48">
        <f>'Fiscal Forecasts'!N$156</f>
        <v>55.195999999999998</v>
      </c>
      <c r="O80" s="48">
        <f>'Fiscal Forecasts'!O$156</f>
        <v>61.332999999999998</v>
      </c>
      <c r="P80" s="48">
        <f>'Fiscal Forecasts'!P$156</f>
        <v>67.436000000000007</v>
      </c>
      <c r="Q80" s="20">
        <f t="shared" ref="Q80:Z80" ca="1" si="49">P$80+Q$395-P$395</f>
        <v>70.211660094778296</v>
      </c>
      <c r="R80" s="20">
        <f t="shared" ca="1" si="49"/>
        <v>73.043886998057161</v>
      </c>
      <c r="S80" s="20">
        <f t="shared" ca="1" si="49"/>
        <v>75.951147482354401</v>
      </c>
      <c r="T80" s="20">
        <f t="shared" ca="1" si="49"/>
        <v>78.926641427490537</v>
      </c>
      <c r="U80" s="20">
        <f t="shared" ca="1" si="49"/>
        <v>82.005893042383505</v>
      </c>
      <c r="V80" s="20">
        <f t="shared" ca="1" si="49"/>
        <v>85.189997426088283</v>
      </c>
      <c r="W80" s="20">
        <f t="shared" ca="1" si="49"/>
        <v>88.462890824631586</v>
      </c>
      <c r="X80" s="20">
        <f t="shared" ca="1" si="49"/>
        <v>91.830029987638156</v>
      </c>
      <c r="Y80" s="20">
        <f t="shared" ca="1" si="49"/>
        <v>95.30902294076752</v>
      </c>
      <c r="Z80" s="20">
        <f t="shared" ca="1" si="49"/>
        <v>98.900766968163651</v>
      </c>
    </row>
    <row r="81" spans="1:26" x14ac:dyDescent="0.25">
      <c r="A81" s="11" t="s">
        <v>856</v>
      </c>
      <c r="B81" s="11"/>
      <c r="C81" s="15"/>
      <c r="D81" s="94">
        <f t="shared" ref="D81:Z81" si="50">SUM(D$78,D$79)-SUM(D$77,D$80)</f>
        <v>50.822000000000003</v>
      </c>
      <c r="E81" s="94">
        <f t="shared" si="50"/>
        <v>79.930000000000007</v>
      </c>
      <c r="F81" s="94">
        <f t="shared" si="50"/>
        <v>95.188000000000017</v>
      </c>
      <c r="G81" s="94">
        <f t="shared" si="50"/>
        <v>117.11499999999995</v>
      </c>
      <c r="H81" s="94">
        <f t="shared" si="50"/>
        <v>136.26800000000003</v>
      </c>
      <c r="I81" s="94">
        <f t="shared" si="50"/>
        <v>158.25499999999997</v>
      </c>
      <c r="J81" s="94">
        <f t="shared" si="50"/>
        <v>172.92599999999996</v>
      </c>
      <c r="K81" s="94">
        <f t="shared" si="50"/>
        <v>184.69999999999996</v>
      </c>
      <c r="L81" s="95">
        <f t="shared" si="50"/>
        <v>206.49800000000005</v>
      </c>
      <c r="M81" s="95">
        <f t="shared" si="50"/>
        <v>218.84700000000001</v>
      </c>
      <c r="N81" s="95">
        <f t="shared" si="50"/>
        <v>225.08600000000007</v>
      </c>
      <c r="O81" s="95">
        <f t="shared" si="50"/>
        <v>226.387</v>
      </c>
      <c r="P81" s="95">
        <f t="shared" si="50"/>
        <v>223.821</v>
      </c>
      <c r="Q81" s="99">
        <f t="shared" ca="1" si="50"/>
        <v>216.99402966614181</v>
      </c>
      <c r="R81" s="99">
        <f t="shared" ca="1" si="50"/>
        <v>208.05932128425462</v>
      </c>
      <c r="S81" s="99">
        <f t="shared" ca="1" si="50"/>
        <v>196.71337525971802</v>
      </c>
      <c r="T81" s="99">
        <f t="shared" ca="1" si="50"/>
        <v>182.61573200416595</v>
      </c>
      <c r="U81" s="99">
        <f t="shared" ca="1" si="50"/>
        <v>165.85828823844125</v>
      </c>
      <c r="V81" s="99">
        <f t="shared" ca="1" si="50"/>
        <v>146.21801716042881</v>
      </c>
      <c r="W81" s="99">
        <f t="shared" ca="1" si="50"/>
        <v>123.58066124464003</v>
      </c>
      <c r="X81" s="99">
        <f t="shared" ca="1" si="50"/>
        <v>97.824870388469861</v>
      </c>
      <c r="Y81" s="99">
        <f t="shared" ca="1" si="50"/>
        <v>68.801284311336076</v>
      </c>
      <c r="Z81" s="99">
        <f t="shared" ca="1" si="50"/>
        <v>36.361747687147329</v>
      </c>
    </row>
    <row r="82" spans="1:26" x14ac:dyDescent="0.25">
      <c r="A82" s="11" t="s">
        <v>746</v>
      </c>
      <c r="B82" s="11"/>
      <c r="C82" s="15"/>
      <c r="D82" s="94">
        <f t="shared" ref="D82:Z82" si="51">SUM(D$81,D$73)-D$76</f>
        <v>5.4320000000000022</v>
      </c>
      <c r="E82" s="94">
        <f t="shared" si="51"/>
        <v>35.71</v>
      </c>
      <c r="F82" s="94">
        <f t="shared" si="51"/>
        <v>35.921000000000021</v>
      </c>
      <c r="G82" s="94">
        <f t="shared" si="51"/>
        <v>61.849999999999952</v>
      </c>
      <c r="H82" s="94">
        <f t="shared" si="51"/>
        <v>71.367000000000004</v>
      </c>
      <c r="I82" s="94">
        <f t="shared" si="51"/>
        <v>82.19699999999996</v>
      </c>
      <c r="J82" s="94">
        <f t="shared" si="51"/>
        <v>88.718999999999966</v>
      </c>
      <c r="K82" s="94">
        <f t="shared" si="51"/>
        <v>91.091999999999956</v>
      </c>
      <c r="L82" s="95">
        <f t="shared" si="51"/>
        <v>105.75100000000005</v>
      </c>
      <c r="M82" s="95">
        <f t="shared" si="51"/>
        <v>111.97400000000002</v>
      </c>
      <c r="N82" s="95">
        <f t="shared" si="51"/>
        <v>111.51400000000007</v>
      </c>
      <c r="O82" s="95">
        <f t="shared" si="51"/>
        <v>105.58299999999998</v>
      </c>
      <c r="P82" s="95">
        <f t="shared" si="51"/>
        <v>95.298000000000002</v>
      </c>
      <c r="Q82" s="99">
        <f t="shared" ca="1" si="51"/>
        <v>80.571921803482411</v>
      </c>
      <c r="R82" s="99">
        <f t="shared" ca="1" si="51"/>
        <v>63.406475506700701</v>
      </c>
      <c r="S82" s="99">
        <f t="shared" ca="1" si="51"/>
        <v>43.495650426011423</v>
      </c>
      <c r="T82" s="99">
        <f t="shared" ca="1" si="51"/>
        <v>20.469624196269507</v>
      </c>
      <c r="U82" s="99">
        <f t="shared" ca="1" si="51"/>
        <v>-5.5453705140886314</v>
      </c>
      <c r="V82" s="99">
        <f t="shared" ca="1" si="51"/>
        <v>-34.830767341033976</v>
      </c>
      <c r="W82" s="99">
        <f t="shared" ca="1" si="51"/>
        <v>-67.594661234532964</v>
      </c>
      <c r="X82" s="99">
        <f t="shared" ca="1" si="51"/>
        <v>-104.05810960397234</v>
      </c>
      <c r="Y82" s="99">
        <f t="shared" ca="1" si="51"/>
        <v>-144.5041277049022</v>
      </c>
      <c r="Z82" s="99">
        <f t="shared" ca="1" si="51"/>
        <v>-189.20164064572697</v>
      </c>
    </row>
    <row r="83" spans="1:26" x14ac:dyDescent="0.25">
      <c r="A83" s="60" t="s">
        <v>1182</v>
      </c>
      <c r="B83" s="14" t="str">
        <f>$B$42</f>
        <v>Outturn &amp; Forecast only</v>
      </c>
      <c r="C83" s="15"/>
      <c r="D83" s="97" t="str">
        <f>IF(ROUND('Fiscal Forecasts'!D$158-D$82,3)=0,"OK","ERROR")</f>
        <v>OK</v>
      </c>
      <c r="E83" s="97" t="str">
        <f>IF(ROUND('Fiscal Forecasts'!E$158-E$82,3)=0,"OK","ERROR")</f>
        <v>OK</v>
      </c>
      <c r="F83" s="97" t="str">
        <f>IF(ROUND('Fiscal Forecasts'!F$158-F$82,3)=0,"OK","ERROR")</f>
        <v>OK</v>
      </c>
      <c r="G83" s="97" t="str">
        <f>IF(ROUND('Fiscal Forecasts'!G$158-G$82,3)=0,"OK","ERROR")</f>
        <v>OK</v>
      </c>
      <c r="H83" s="97" t="str">
        <f>IF(ROUND('Fiscal Forecasts'!H$158-H$82,3)=0,"OK","ERROR")</f>
        <v>OK</v>
      </c>
      <c r="I83" s="97" t="str">
        <f>IF(ROUND('Fiscal Forecasts'!I$158-I$82,3)=0,"OK","ERROR")</f>
        <v>OK</v>
      </c>
      <c r="J83" s="97" t="str">
        <f>IF(ROUND('Fiscal Forecasts'!J$158-J$82,3)=0,"OK","ERROR")</f>
        <v>OK</v>
      </c>
      <c r="K83" s="97" t="str">
        <f>IF(ROUND('Fiscal Forecasts'!K$158-K$82,3)=0,"OK","ERROR")</f>
        <v>OK</v>
      </c>
      <c r="L83" s="97" t="str">
        <f>IF(ROUND('Fiscal Forecasts'!L$158-L$82+IF($C$2="Yes",'Fiscal Forecast Adjuster'!C$41/1000,0)+IF($C$3="Yes",('NZSF Adjuster'!W$11-('NZSF Adjuster'!W$29-'NZSF Adjuster'!W$20)),0),3)=0,"OK","ERROR")</f>
        <v>OK</v>
      </c>
      <c r="M83" s="97" t="str">
        <f>IF(ROUND('Fiscal Forecasts'!M$158-M$82+IF($C$2="Yes",'Fiscal Forecast Adjuster'!D$41/1000,0)+IF($C$3="Yes",('NZSF Adjuster'!X$11-('NZSF Adjuster'!X$29-'NZSF Adjuster'!X$20)),0),3)=0,"OK","ERROR")</f>
        <v>OK</v>
      </c>
      <c r="N83" s="97" t="str">
        <f>IF(ROUND('Fiscal Forecasts'!N$158-N$82+IF($C$2="Yes",'Fiscal Forecast Adjuster'!E$41/1000,0)+IF($C$3="Yes",('NZSF Adjuster'!Y$11-('NZSF Adjuster'!Y$29-'NZSF Adjuster'!Y$20)),0),3)=0,"OK","ERROR")</f>
        <v>OK</v>
      </c>
      <c r="O83" s="97" t="str">
        <f>IF(ROUND('Fiscal Forecasts'!O$158-O$82+IF($C$2="Yes",'Fiscal Forecast Adjuster'!F$41/1000,0)+IF($C$3="Yes",('NZSF Adjuster'!Z$11-('NZSF Adjuster'!Z$29-'NZSF Adjuster'!Z$20)),0),3)=0,"OK","ERROR")</f>
        <v>OK</v>
      </c>
      <c r="P83" s="97" t="str">
        <f>IF(ROUND('Fiscal Forecasts'!P$158-P$82+IF($C$2="Yes",'Fiscal Forecast Adjuster'!G$41/1000,0)+IF($C$3="Yes",('NZSF Adjuster'!AA$11-('NZSF Adjuster'!AA$29-'NZSF Adjuster'!AA$20)),0),3)=0,"OK","ERROR")</f>
        <v>OK</v>
      </c>
      <c r="Q83" s="17"/>
      <c r="R83" s="17"/>
      <c r="S83" s="17"/>
      <c r="T83" s="17"/>
      <c r="U83" s="17"/>
      <c r="V83" s="17"/>
      <c r="W83" s="17"/>
      <c r="X83" s="17"/>
      <c r="Y83" s="17"/>
      <c r="Z83" s="17"/>
    </row>
    <row r="84" spans="1:26" x14ac:dyDescent="0.25">
      <c r="A84" s="12" t="s">
        <v>1183</v>
      </c>
      <c r="B84" s="14" t="str">
        <f>$B$38</f>
        <v>From Fiscal Forecasts</v>
      </c>
      <c r="C84" s="15"/>
      <c r="D84" s="50">
        <f>'Fiscal Forecasts'!D$160</f>
        <v>6.4809999999999999</v>
      </c>
      <c r="E84" s="50">
        <f>'Fiscal Forecasts'!E$160</f>
        <v>21.887999999999998</v>
      </c>
      <c r="F84" s="50">
        <f>'Fiscal Forecasts'!F$160</f>
        <v>30.420999999999999</v>
      </c>
      <c r="G84" s="50">
        <f>'Fiscal Forecasts'!G$160</f>
        <v>45.088000000000001</v>
      </c>
      <c r="H84" s="50">
        <f>'Fiscal Forecasts'!H$160</f>
        <v>53.109000000000002</v>
      </c>
      <c r="I84" s="50">
        <f>'Fiscal Forecasts'!I$160</f>
        <v>38.475999999999999</v>
      </c>
      <c r="J84" s="50">
        <f>'Fiscal Forecasts'!J$160</f>
        <v>33.030999999999999</v>
      </c>
      <c r="K84" s="50">
        <f>'Fiscal Forecasts'!K$160</f>
        <v>25.481000000000002</v>
      </c>
      <c r="L84" s="48">
        <f>'Fiscal Forecasts'!L$160</f>
        <v>25.431000000000001</v>
      </c>
      <c r="M84" s="48">
        <f>'Fiscal Forecasts'!M$160</f>
        <v>25.486000000000001</v>
      </c>
      <c r="N84" s="48">
        <f>'Fiscal Forecasts'!N$160</f>
        <v>25.486000000000001</v>
      </c>
      <c r="O84" s="48">
        <f>'Fiscal Forecasts'!O$160</f>
        <v>25.486000000000001</v>
      </c>
      <c r="P84" s="48">
        <f>'Fiscal Forecasts'!P$160</f>
        <v>25.486000000000001</v>
      </c>
      <c r="Q84" s="20">
        <f t="shared" ref="Q84:Z84" ca="1" si="52">P$84*(1+Q$29)</f>
        <v>25.995720000000002</v>
      </c>
      <c r="R84" s="20">
        <f t="shared" ca="1" si="52"/>
        <v>26.515634400000003</v>
      </c>
      <c r="S84" s="20">
        <f t="shared" ca="1" si="52"/>
        <v>27.045947088000005</v>
      </c>
      <c r="T84" s="20">
        <f t="shared" ca="1" si="52"/>
        <v>27.586866029760007</v>
      </c>
      <c r="U84" s="20">
        <f t="shared" ca="1" si="52"/>
        <v>28.138603350355208</v>
      </c>
      <c r="V84" s="20">
        <f t="shared" ca="1" si="52"/>
        <v>28.701375417362314</v>
      </c>
      <c r="W84" s="20">
        <f t="shared" ca="1" si="52"/>
        <v>29.27540292570956</v>
      </c>
      <c r="X84" s="20">
        <f t="shared" ca="1" si="52"/>
        <v>29.860910984223754</v>
      </c>
      <c r="Y84" s="20">
        <f t="shared" ca="1" si="52"/>
        <v>30.458129203908229</v>
      </c>
      <c r="Z84" s="20">
        <f t="shared" ca="1" si="52"/>
        <v>31.067291787986395</v>
      </c>
    </row>
    <row r="85" spans="1:26" x14ac:dyDescent="0.25">
      <c r="A85" s="60" t="s">
        <v>756</v>
      </c>
      <c r="B85" s="11"/>
      <c r="C85" s="15"/>
      <c r="D85" s="94">
        <f t="shared" ref="D85:Z85" si="53">SUM(D$71,D$72)-SUM(D$73,D$84)</f>
        <v>84.37700000000001</v>
      </c>
      <c r="E85" s="94">
        <f t="shared" si="53"/>
        <v>101.833</v>
      </c>
      <c r="F85" s="94">
        <f t="shared" si="53"/>
        <v>99.925999999999988</v>
      </c>
      <c r="G85" s="94">
        <f t="shared" si="53"/>
        <v>114.11599999999999</v>
      </c>
      <c r="H85" s="94">
        <f t="shared" si="53"/>
        <v>135.78899999999999</v>
      </c>
      <c r="I85" s="94">
        <f t="shared" si="53"/>
        <v>175.96600000000001</v>
      </c>
      <c r="J85" s="94">
        <f t="shared" si="53"/>
        <v>203.68800000000005</v>
      </c>
      <c r="K85" s="94">
        <f t="shared" si="53"/>
        <v>227.44799999999998</v>
      </c>
      <c r="L85" s="95">
        <f t="shared" si="53"/>
        <v>243.42500000000001</v>
      </c>
      <c r="M85" s="95">
        <f t="shared" si="53"/>
        <v>259.41199999999998</v>
      </c>
      <c r="N85" s="95">
        <f t="shared" si="53"/>
        <v>269.81900000000002</v>
      </c>
      <c r="O85" s="95">
        <f t="shared" si="53"/>
        <v>273.17700000000002</v>
      </c>
      <c r="P85" s="95">
        <f t="shared" si="53"/>
        <v>269.01900000000001</v>
      </c>
      <c r="Q85" s="99">
        <f t="shared" ca="1" si="53"/>
        <v>265.00245853551655</v>
      </c>
      <c r="R85" s="99">
        <f t="shared" ca="1" si="53"/>
        <v>258.93140723818107</v>
      </c>
      <c r="S85" s="99">
        <f t="shared" ca="1" si="53"/>
        <v>250.52092574765936</v>
      </c>
      <c r="T85" s="99">
        <f t="shared" ca="1" si="53"/>
        <v>239.41872231636225</v>
      </c>
      <c r="U85" s="99">
        <f t="shared" ca="1" si="53"/>
        <v>225.75242825087358</v>
      </c>
      <c r="V85" s="99">
        <f t="shared" ca="1" si="53"/>
        <v>209.30612528210992</v>
      </c>
      <c r="W85" s="99">
        <f t="shared" ca="1" si="53"/>
        <v>189.94740748507704</v>
      </c>
      <c r="X85" s="99">
        <f t="shared" ca="1" si="53"/>
        <v>167.56642019774506</v>
      </c>
      <c r="Y85" s="99">
        <f t="shared" ca="1" si="53"/>
        <v>142.038519563064</v>
      </c>
      <c r="Z85" s="99">
        <f t="shared" ca="1" si="53"/>
        <v>113.21646043135625</v>
      </c>
    </row>
    <row r="86" spans="1:26" x14ac:dyDescent="0.25">
      <c r="A86" s="11"/>
      <c r="B86" s="11"/>
      <c r="C86" s="15"/>
      <c r="D86" s="89"/>
      <c r="E86" s="89"/>
      <c r="F86" s="89"/>
      <c r="G86" s="89"/>
      <c r="H86" s="89"/>
      <c r="I86" s="89"/>
      <c r="J86" s="89"/>
      <c r="K86" s="89"/>
      <c r="L86" s="66"/>
      <c r="M86" s="66"/>
      <c r="N86" s="66"/>
      <c r="O86" s="66"/>
      <c r="P86" s="66"/>
      <c r="Q86" s="17"/>
      <c r="R86" s="17"/>
      <c r="S86" s="17"/>
      <c r="T86" s="17"/>
      <c r="U86" s="17"/>
      <c r="V86" s="17"/>
      <c r="W86" s="17"/>
      <c r="X86" s="17"/>
      <c r="Y86" s="17"/>
      <c r="Z86" s="17"/>
    </row>
    <row r="87" spans="1:26" x14ac:dyDescent="0.25">
      <c r="A87" s="57" t="s">
        <v>1184</v>
      </c>
      <c r="B87" s="11"/>
      <c r="C87" s="15"/>
      <c r="D87" s="89"/>
      <c r="E87" s="89"/>
      <c r="F87" s="89"/>
      <c r="G87" s="89"/>
      <c r="H87" s="89"/>
      <c r="I87" s="89"/>
      <c r="J87" s="89"/>
      <c r="K87" s="89"/>
      <c r="L87" s="89"/>
      <c r="M87" s="89"/>
      <c r="N87" s="89"/>
      <c r="O87" s="89"/>
      <c r="P87" s="89"/>
      <c r="Q87" s="17"/>
      <c r="R87" s="17"/>
      <c r="S87" s="17"/>
      <c r="T87" s="17"/>
      <c r="U87" s="17"/>
      <c r="V87" s="17"/>
      <c r="W87" s="17"/>
      <c r="X87" s="17"/>
      <c r="Y87" s="17"/>
      <c r="Z87" s="17"/>
    </row>
    <row r="88" spans="1:26" x14ac:dyDescent="0.25">
      <c r="A88" s="12" t="s">
        <v>898</v>
      </c>
      <c r="B88" s="14" t="str">
        <f>$B$38</f>
        <v>From Fiscal Forecasts</v>
      </c>
      <c r="C88" s="15"/>
      <c r="D88" s="50">
        <f>'Fiscal Forecasts'!D$74</f>
        <v>83.016999999999996</v>
      </c>
      <c r="E88" s="50">
        <f>'Fiscal Forecasts'!E$74</f>
        <v>83.156000000000006</v>
      </c>
      <c r="F88" s="50">
        <f>'Fiscal Forecasts'!F$74</f>
        <v>95.382000000000005</v>
      </c>
      <c r="G88" s="50">
        <f>'Fiscal Forecasts'!G$74</f>
        <v>102.712</v>
      </c>
      <c r="H88" s="50">
        <f>'Fiscal Forecasts'!H$74</f>
        <v>110.78700000000001</v>
      </c>
      <c r="I88" s="50">
        <f>'Fiscal Forecasts'!I$74</f>
        <v>116.042</v>
      </c>
      <c r="J88" s="50">
        <f>'Fiscal Forecasts'!J$74</f>
        <v>121.18300000000001</v>
      </c>
      <c r="K88" s="50">
        <f>'Fiscal Forecasts'!K$74</f>
        <v>125.98</v>
      </c>
      <c r="L88" s="48">
        <f>'Fiscal Forecasts'!L$74+IF($C$2="Yes",'Fiscal Forecast Adjuster'!C$14/1000,0)</f>
        <v>131.61600000000001</v>
      </c>
      <c r="M88" s="48">
        <f>'Fiscal Forecasts'!M$74+IF($C$2="Yes",'Fiscal Forecast Adjuster'!D$14/1000,0)</f>
        <v>141.738</v>
      </c>
      <c r="N88" s="48">
        <f>'Fiscal Forecasts'!N$74+IF($C$2="Yes",'Fiscal Forecast Adjuster'!E$14/1000,0)</f>
        <v>150.571</v>
      </c>
      <c r="O88" s="48">
        <f>'Fiscal Forecasts'!O$74+IF($C$2="Yes",'Fiscal Forecast Adjuster'!F$14/1000,0)</f>
        <v>158.84200000000001</v>
      </c>
      <c r="P88" s="48">
        <f>'Fiscal Forecasts'!P$74+IF($C$2="Yes",'Fiscal Forecast Adjuster'!G$14/1000,0)</f>
        <v>166.84700000000001</v>
      </c>
      <c r="Q88" s="20">
        <f t="shared" ref="Q88:Z88" ca="1" si="54">(Q$474-Q$376+Q$141)</f>
        <v>173.12924827330647</v>
      </c>
      <c r="R88" s="20">
        <f t="shared" ca="1" si="54"/>
        <v>179.87658384902355</v>
      </c>
      <c r="S88" s="20">
        <f t="shared" ca="1" si="54"/>
        <v>186.93968271308654</v>
      </c>
      <c r="T88" s="20">
        <f t="shared" ca="1" si="54"/>
        <v>194.48022028808353</v>
      </c>
      <c r="U88" s="20">
        <f t="shared" ca="1" si="54"/>
        <v>202.40086439859792</v>
      </c>
      <c r="V88" s="20">
        <f t="shared" ca="1" si="54"/>
        <v>210.60135909016944</v>
      </c>
      <c r="W88" s="20">
        <f t="shared" ca="1" si="54"/>
        <v>219.03236087758137</v>
      </c>
      <c r="X88" s="20">
        <f t="shared" ca="1" si="54"/>
        <v>227.70423383533904</v>
      </c>
      <c r="Y88" s="20">
        <f t="shared" ca="1" si="54"/>
        <v>236.65984219626057</v>
      </c>
      <c r="Z88" s="20">
        <f t="shared" ca="1" si="54"/>
        <v>245.90537005603386</v>
      </c>
    </row>
    <row r="89" spans="1:26" x14ac:dyDescent="0.25">
      <c r="A89" s="12" t="s">
        <v>899</v>
      </c>
      <c r="B89" s="14" t="str">
        <f>$B$38</f>
        <v>From Fiscal Forecasts</v>
      </c>
      <c r="C89" s="15"/>
      <c r="D89" s="50">
        <f>'Fiscal Forecasts'!D$75</f>
        <v>5.1870000000000003</v>
      </c>
      <c r="E89" s="50">
        <f>'Fiscal Forecasts'!E$75</f>
        <v>5.2939999999999996</v>
      </c>
      <c r="F89" s="50">
        <f>'Fiscal Forecasts'!F$75</f>
        <v>6.4240000000000004</v>
      </c>
      <c r="G89" s="50">
        <f>'Fiscal Forecasts'!G$75</f>
        <v>7.8029999999999999</v>
      </c>
      <c r="H89" s="50">
        <f>'Fiscal Forecasts'!H$75</f>
        <v>7.6310000000000002</v>
      </c>
      <c r="I89" s="50">
        <f>'Fiscal Forecasts'!I$75</f>
        <v>7.484</v>
      </c>
      <c r="J89" s="50">
        <f>'Fiscal Forecasts'!J$75</f>
        <v>7.8780000000000001</v>
      </c>
      <c r="K89" s="50">
        <f>'Fiscal Forecasts'!K$75</f>
        <v>8.1029999999999998</v>
      </c>
      <c r="L89" s="48">
        <f>'Fiscal Forecasts'!L$75</f>
        <v>8.9359999999999999</v>
      </c>
      <c r="M89" s="48">
        <f>'Fiscal Forecasts'!M$75</f>
        <v>9.6539999999999999</v>
      </c>
      <c r="N89" s="48">
        <f>'Fiscal Forecasts'!N$75</f>
        <v>9.6620000000000008</v>
      </c>
      <c r="O89" s="48">
        <f>'Fiscal Forecasts'!O$75</f>
        <v>10.074999999999999</v>
      </c>
      <c r="P89" s="48">
        <f>'Fiscal Forecasts'!P$75</f>
        <v>10.387</v>
      </c>
      <c r="Q89" s="20">
        <f t="shared" ref="Q89:Z89" ca="1" si="55">SUM(Q$146,Q$148,Q$149,Q$151)</f>
        <v>11.553297982949124</v>
      </c>
      <c r="R89" s="20">
        <f t="shared" ca="1" si="55"/>
        <v>12.239646305928749</v>
      </c>
      <c r="S89" s="20">
        <f t="shared" ca="1" si="55"/>
        <v>12.945963547810056</v>
      </c>
      <c r="T89" s="20">
        <f t="shared" ca="1" si="55"/>
        <v>13.705976175203949</v>
      </c>
      <c r="U89" s="20">
        <f t="shared" ca="1" si="55"/>
        <v>14.450717265864155</v>
      </c>
      <c r="V89" s="20">
        <f t="shared" ca="1" si="55"/>
        <v>14.981290288306871</v>
      </c>
      <c r="W89" s="20">
        <f t="shared" ca="1" si="55"/>
        <v>15.526545436507883</v>
      </c>
      <c r="X89" s="20">
        <f t="shared" ca="1" si="55"/>
        <v>16.065095306135394</v>
      </c>
      <c r="Y89" s="20">
        <f t="shared" ca="1" si="55"/>
        <v>16.624191877468292</v>
      </c>
      <c r="Z89" s="20">
        <f t="shared" ca="1" si="55"/>
        <v>17.190423328909425</v>
      </c>
    </row>
    <row r="90" spans="1:26" x14ac:dyDescent="0.25">
      <c r="A90" s="12" t="s">
        <v>866</v>
      </c>
      <c r="B90" s="14" t="str">
        <f>$B$38</f>
        <v>From Fiscal Forecasts</v>
      </c>
      <c r="C90" s="15"/>
      <c r="D90" s="50">
        <f>'Fiscal Forecasts'!D$76</f>
        <v>19.763999999999999</v>
      </c>
      <c r="E90" s="50">
        <f>'Fiscal Forecasts'!E$76</f>
        <v>18.289000000000001</v>
      </c>
      <c r="F90" s="50">
        <f>'Fiscal Forecasts'!F$76</f>
        <v>17.731999999999999</v>
      </c>
      <c r="G90" s="50">
        <f>'Fiscal Forecasts'!G$76</f>
        <v>17.834</v>
      </c>
      <c r="H90" s="50">
        <f>'Fiscal Forecasts'!H$76</f>
        <v>22.283999999999999</v>
      </c>
      <c r="I90" s="50">
        <f>'Fiscal Forecasts'!I$76</f>
        <v>24.359000000000002</v>
      </c>
      <c r="J90" s="50">
        <f>'Fiscal Forecasts'!J$76</f>
        <v>26.960999999999999</v>
      </c>
      <c r="K90" s="50">
        <f>'Fiscal Forecasts'!K$76</f>
        <v>25.895</v>
      </c>
      <c r="L90" s="48">
        <f>'Fiscal Forecasts'!L$76</f>
        <v>26.574000000000002</v>
      </c>
      <c r="M90" s="48">
        <f>'Fiscal Forecasts'!M$76</f>
        <v>27.469000000000001</v>
      </c>
      <c r="N90" s="48">
        <f>'Fiscal Forecasts'!N$76</f>
        <v>28.12</v>
      </c>
      <c r="O90" s="48">
        <f>'Fiscal Forecasts'!O$76</f>
        <v>29.117000000000001</v>
      </c>
      <c r="P90" s="48">
        <f>'Fiscal Forecasts'!P$76</f>
        <v>29.824999999999999</v>
      </c>
      <c r="Q90" s="20">
        <f t="shared" ref="Q90:Z90" ca="1" si="56">Q$155</f>
        <v>31.082278581469399</v>
      </c>
      <c r="R90" s="20">
        <f t="shared" ca="1" si="56"/>
        <v>32.373817990717384</v>
      </c>
      <c r="S90" s="20">
        <f t="shared" ca="1" si="56"/>
        <v>33.699088373795036</v>
      </c>
      <c r="T90" s="20">
        <f t="shared" ca="1" si="56"/>
        <v>35.054248490549547</v>
      </c>
      <c r="U90" s="20">
        <f t="shared" ca="1" si="56"/>
        <v>36.456020529544169</v>
      </c>
      <c r="V90" s="20">
        <f t="shared" ca="1" si="56"/>
        <v>37.903940016000107</v>
      </c>
      <c r="W90" s="20">
        <f t="shared" ca="1" si="56"/>
        <v>39.388475508708048</v>
      </c>
      <c r="X90" s="20">
        <f t="shared" ca="1" si="56"/>
        <v>40.914908229707805</v>
      </c>
      <c r="Y90" s="20">
        <f t="shared" ca="1" si="56"/>
        <v>42.491722468210163</v>
      </c>
      <c r="Z90" s="20">
        <f t="shared" ca="1" si="56"/>
        <v>44.118425353902772</v>
      </c>
    </row>
    <row r="91" spans="1:26" x14ac:dyDescent="0.25">
      <c r="A91" s="12" t="s">
        <v>900</v>
      </c>
      <c r="B91" s="14" t="str">
        <f>$B$38</f>
        <v>From Fiscal Forecasts</v>
      </c>
      <c r="C91" s="15"/>
      <c r="D91" s="50">
        <f>'Fiscal Forecasts'!D$77</f>
        <v>2.528</v>
      </c>
      <c r="E91" s="50">
        <f>'Fiscal Forecasts'!E$77</f>
        <v>2.3069999999999999</v>
      </c>
      <c r="F91" s="50">
        <f>'Fiscal Forecasts'!F$77</f>
        <v>1.67</v>
      </c>
      <c r="G91" s="50">
        <f>'Fiscal Forecasts'!G$77</f>
        <v>1.9610000000000001</v>
      </c>
      <c r="H91" s="50">
        <f>'Fiscal Forecasts'!H$77</f>
        <v>3.6110000000000002</v>
      </c>
      <c r="I91" s="50">
        <f>'Fiscal Forecasts'!I$77</f>
        <v>5.2830000000000004</v>
      </c>
      <c r="J91" s="50">
        <f>'Fiscal Forecasts'!J$77</f>
        <v>6.7910000000000004</v>
      </c>
      <c r="K91" s="50">
        <f>'Fiscal Forecasts'!K$77</f>
        <v>5.9459999999999997</v>
      </c>
      <c r="L91" s="48">
        <f ca="1">'Fiscal Forecasts'!L$77+IF($C$3="Yes",OFFSET(Assumptions!$B$48,0,$C$1)*('NZSF Adjuster'!W$24-'NZSF Adjuster'!W$15),0)</f>
        <v>4.7480000000000002</v>
      </c>
      <c r="M91" s="48">
        <f ca="1">'Fiscal Forecasts'!M$77+IF($C$3="Yes",OFFSET(Assumptions!$B$48,0,$C$1)*('NZSF Adjuster'!X$24-'NZSF Adjuster'!X$15),0)</f>
        <v>4.3109999999999999</v>
      </c>
      <c r="N91" s="48">
        <f ca="1">'Fiscal Forecasts'!N$77+IF($C$3="Yes",OFFSET(Assumptions!$B$48,0,$C$1)*('NZSF Adjuster'!Y$24-'NZSF Adjuster'!Y$15),0)</f>
        <v>5.5739999999999998</v>
      </c>
      <c r="O91" s="48">
        <f ca="1">'Fiscal Forecasts'!O$77+IF($C$3="Yes",OFFSET(Assumptions!$B$48,0,$C$1)*('NZSF Adjuster'!Z$24-'NZSF Adjuster'!Z$15),0)</f>
        <v>6.4790000000000001</v>
      </c>
      <c r="P91" s="48">
        <f ca="1">'Fiscal Forecasts'!P$77+IF($C$3="Yes",OFFSET(Assumptions!$B$48,0,$C$1)*('NZSF Adjuster'!AA$24-'NZSF Adjuster'!AA$15),0)</f>
        <v>6.8319999999999999</v>
      </c>
      <c r="Q91" s="20">
        <f t="shared" ref="Q91:Z91" ca="1" si="57">SUM(Q$158,Q$160,Q$162:Q$164,Q$332)</f>
        <v>9.0313078971293805</v>
      </c>
      <c r="R91" s="20">
        <f t="shared" ca="1" si="57"/>
        <v>9.3217973383930968</v>
      </c>
      <c r="S91" s="20">
        <f t="shared" ca="1" si="57"/>
        <v>9.6237360051553971</v>
      </c>
      <c r="T91" s="20">
        <f t="shared" ca="1" si="57"/>
        <v>9.9372262172041985</v>
      </c>
      <c r="U91" s="20">
        <f t="shared" ca="1" si="57"/>
        <v>10.261797117490062</v>
      </c>
      <c r="V91" s="20">
        <f t="shared" ca="1" si="57"/>
        <v>10.597302664144683</v>
      </c>
      <c r="W91" s="20">
        <f t="shared" ca="1" si="57"/>
        <v>10.944545930260386</v>
      </c>
      <c r="X91" s="20">
        <f t="shared" ca="1" si="57"/>
        <v>11.304537707368532</v>
      </c>
      <c r="Y91" s="20">
        <f t="shared" ca="1" si="57"/>
        <v>11.678424891753615</v>
      </c>
      <c r="Z91" s="20">
        <f t="shared" ca="1" si="57"/>
        <v>12.067456655131869</v>
      </c>
    </row>
    <row r="92" spans="1:26" x14ac:dyDescent="0.25">
      <c r="A92" s="12" t="s">
        <v>901</v>
      </c>
      <c r="B92" s="14" t="str">
        <f>$B$38</f>
        <v>From Fiscal Forecasts</v>
      </c>
      <c r="C92" s="15"/>
      <c r="D92" s="50">
        <f>'Fiscal Forecasts'!D$78</f>
        <v>4.5629999999999997</v>
      </c>
      <c r="E92" s="50">
        <f>'Fiscal Forecasts'!E$78</f>
        <v>4.5439999999999996</v>
      </c>
      <c r="F92" s="50">
        <f>'Fiscal Forecasts'!F$78</f>
        <v>4.8140000000000001</v>
      </c>
      <c r="G92" s="50">
        <f>'Fiscal Forecasts'!G$78</f>
        <v>4.8019999999999996</v>
      </c>
      <c r="H92" s="50">
        <f>'Fiscal Forecasts'!H$78</f>
        <v>4.9219999999999997</v>
      </c>
      <c r="I92" s="50">
        <f>'Fiscal Forecasts'!I$78</f>
        <v>6.5350000000000001</v>
      </c>
      <c r="J92" s="50">
        <f>'Fiscal Forecasts'!J$78</f>
        <v>6.3719999999999999</v>
      </c>
      <c r="K92" s="50">
        <f>'Fiscal Forecasts'!K$78</f>
        <v>6.8550000000000004</v>
      </c>
      <c r="L92" s="48">
        <f ca="1">'Fiscal Forecasts'!L$78+IF($C$3="Yes",(1-OFFSET(Assumptions!$B$48,0,$C$1))*('NZSF Adjuster'!W$24-'NZSF Adjuster'!W$15),0)</f>
        <v>6.1289999999999996</v>
      </c>
      <c r="M92" s="48">
        <f ca="1">'Fiscal Forecasts'!M$78+IF($C$3="Yes",(1-OFFSET(Assumptions!$B$48,0,$C$1))*('NZSF Adjuster'!X$24-'NZSF Adjuster'!X$15),0)</f>
        <v>6.391</v>
      </c>
      <c r="N92" s="48">
        <f ca="1">'Fiscal Forecasts'!N$78+IF($C$3="Yes",(1-OFFSET(Assumptions!$B$48,0,$C$1))*('NZSF Adjuster'!Y$24-'NZSF Adjuster'!Y$15),0)</f>
        <v>6.7439999999999998</v>
      </c>
      <c r="O92" s="48">
        <f ca="1">'Fiscal Forecasts'!O$78+IF($C$3="Yes",(1-OFFSET(Assumptions!$B$48,0,$C$1))*('NZSF Adjuster'!Z$24-'NZSF Adjuster'!Z$15),0)</f>
        <v>6.9459999999999997</v>
      </c>
      <c r="P92" s="48">
        <f ca="1">'Fiscal Forecasts'!P$78+IF($C$3="Yes",(1-OFFSET(Assumptions!$B$48,0,$C$1))*('NZSF Adjuster'!AA$24-'NZSF Adjuster'!AA$15),0)</f>
        <v>7.1710000000000003</v>
      </c>
      <c r="Q92" s="20">
        <f t="shared" ref="Q92:Z92" ca="1" si="58">SUM(Q$173,Q$179)</f>
        <v>6.2386657328832156</v>
      </c>
      <c r="R92" s="20">
        <f t="shared" ca="1" si="58"/>
        <v>6.4296172485272338</v>
      </c>
      <c r="S92" s="20">
        <f t="shared" ca="1" si="58"/>
        <v>6.6254937147702204</v>
      </c>
      <c r="T92" s="20">
        <f t="shared" ca="1" si="58"/>
        <v>6.8258953983238175</v>
      </c>
      <c r="U92" s="20">
        <f t="shared" ca="1" si="58"/>
        <v>7.0320132210654762</v>
      </c>
      <c r="V92" s="20">
        <f t="shared" ca="1" si="58"/>
        <v>7.2434477304002591</v>
      </c>
      <c r="W92" s="20">
        <f t="shared" ca="1" si="58"/>
        <v>7.4592953303120204</v>
      </c>
      <c r="X92" s="20">
        <f t="shared" ca="1" si="58"/>
        <v>7.6822973328835165</v>
      </c>
      <c r="Y92" s="20">
        <f t="shared" ca="1" si="58"/>
        <v>7.914256210504341</v>
      </c>
      <c r="Z92" s="20">
        <f t="shared" ca="1" si="58"/>
        <v>8.1559397082187939</v>
      </c>
    </row>
    <row r="93" spans="1:26" x14ac:dyDescent="0.25">
      <c r="A93" s="11" t="s">
        <v>902</v>
      </c>
      <c r="B93" s="11"/>
      <c r="C93" s="15"/>
      <c r="D93" s="94">
        <f t="shared" ref="D93:Z93" si="59">SUM(D$88:D$92)</f>
        <v>115.059</v>
      </c>
      <c r="E93" s="94">
        <f t="shared" si="59"/>
        <v>113.59</v>
      </c>
      <c r="F93" s="94">
        <f t="shared" si="59"/>
        <v>126.02200000000002</v>
      </c>
      <c r="G93" s="94">
        <f t="shared" si="59"/>
        <v>135.11199999999999</v>
      </c>
      <c r="H93" s="94">
        <f t="shared" si="59"/>
        <v>149.23499999999999</v>
      </c>
      <c r="I93" s="94">
        <f t="shared" si="59"/>
        <v>159.70299999999997</v>
      </c>
      <c r="J93" s="94">
        <f t="shared" si="59"/>
        <v>169.185</v>
      </c>
      <c r="K93" s="94">
        <f t="shared" si="59"/>
        <v>172.779</v>
      </c>
      <c r="L93" s="95">
        <f t="shared" ca="1" si="59"/>
        <v>178.00300000000001</v>
      </c>
      <c r="M93" s="95">
        <f t="shared" ca="1" si="59"/>
        <v>189.56299999999999</v>
      </c>
      <c r="N93" s="95">
        <f t="shared" ca="1" si="59"/>
        <v>200.67100000000002</v>
      </c>
      <c r="O93" s="95">
        <f t="shared" ca="1" si="59"/>
        <v>211.459</v>
      </c>
      <c r="P93" s="95">
        <f t="shared" ca="1" si="59"/>
        <v>221.06199999999998</v>
      </c>
      <c r="Q93" s="99">
        <f t="shared" ca="1" si="59"/>
        <v>231.0347984677376</v>
      </c>
      <c r="R93" s="99">
        <f t="shared" ca="1" si="59"/>
        <v>240.24146273258998</v>
      </c>
      <c r="S93" s="99">
        <f t="shared" ca="1" si="59"/>
        <v>249.83396435461725</v>
      </c>
      <c r="T93" s="99">
        <f t="shared" ca="1" si="59"/>
        <v>260.00356656936503</v>
      </c>
      <c r="U93" s="99">
        <f t="shared" ca="1" si="59"/>
        <v>270.60141253256177</v>
      </c>
      <c r="V93" s="99">
        <f t="shared" ca="1" si="59"/>
        <v>281.32733978902138</v>
      </c>
      <c r="W93" s="99">
        <f t="shared" ca="1" si="59"/>
        <v>292.35122308336975</v>
      </c>
      <c r="X93" s="99">
        <f t="shared" ca="1" si="59"/>
        <v>303.6710724114343</v>
      </c>
      <c r="Y93" s="99">
        <f t="shared" ca="1" si="59"/>
        <v>315.36843764419694</v>
      </c>
      <c r="Z93" s="99">
        <f t="shared" ca="1" si="59"/>
        <v>327.43761510219673</v>
      </c>
    </row>
    <row r="94" spans="1:26" x14ac:dyDescent="0.25">
      <c r="A94" s="12" t="s">
        <v>870</v>
      </c>
      <c r="B94" s="14" t="str">
        <f>$B$38</f>
        <v>From Fiscal Forecasts</v>
      </c>
      <c r="C94" s="15"/>
      <c r="D94" s="50">
        <f>'Fiscal Forecasts'!D$80</f>
        <v>27.981999999999999</v>
      </c>
      <c r="E94" s="50">
        <f>'Fiscal Forecasts'!E$80</f>
        <v>42.945</v>
      </c>
      <c r="F94" s="50">
        <f>'Fiscal Forecasts'!F$80</f>
        <v>35.515000000000001</v>
      </c>
      <c r="G94" s="50">
        <f>'Fiscal Forecasts'!G$80</f>
        <v>44.273000000000003</v>
      </c>
      <c r="H94" s="50">
        <f>'Fiscal Forecasts'!H$80</f>
        <v>39.17</v>
      </c>
      <c r="I94" s="50">
        <f>'Fiscal Forecasts'!I$80</f>
        <v>42.335000000000001</v>
      </c>
      <c r="J94" s="50">
        <f>'Fiscal Forecasts'!J$80</f>
        <v>45.927999999999997</v>
      </c>
      <c r="K94" s="50">
        <f>'Fiscal Forecasts'!K$80</f>
        <v>47.884</v>
      </c>
      <c r="L94" s="48">
        <f>'Fiscal Forecasts'!L$80+IF($C$2="Yes",SUM('Fiscal Forecast Adjuster'!C$16:C$22)/1000,0)</f>
        <v>50.165999999999997</v>
      </c>
      <c r="M94" s="48">
        <f>'Fiscal Forecasts'!M$80+IF($C$2="Yes",SUM('Fiscal Forecast Adjuster'!D$16:D$22)/1000,0)</f>
        <v>51.54</v>
      </c>
      <c r="N94" s="48">
        <f>'Fiscal Forecasts'!N$80+IF($C$2="Yes",SUM('Fiscal Forecast Adjuster'!E$16:E$22)/1000,0)</f>
        <v>52.911999999999999</v>
      </c>
      <c r="O94" s="48">
        <f>'Fiscal Forecasts'!O$80+IF($C$2="Yes",SUM('Fiscal Forecast Adjuster'!F$16:F$22)/1000,0)</f>
        <v>54.81</v>
      </c>
      <c r="P94" s="48">
        <f>'Fiscal Forecasts'!P$80+IF($C$2="Yes",SUM('Fiscal Forecast Adjuster'!G$16:G$22)/1000,0)</f>
        <v>57.018000000000001</v>
      </c>
      <c r="Q94" s="20">
        <f t="shared" ref="Q94:Z94" ca="1" si="60">Q$194</f>
        <v>59.10456213375442</v>
      </c>
      <c r="R94" s="20">
        <f t="shared" ca="1" si="60"/>
        <v>61.74023700058391</v>
      </c>
      <c r="S94" s="20">
        <f t="shared" ca="1" si="60"/>
        <v>64.469799952134792</v>
      </c>
      <c r="T94" s="20">
        <f t="shared" ca="1" si="60"/>
        <v>67.280230577711919</v>
      </c>
      <c r="U94" s="20">
        <f t="shared" ca="1" si="60"/>
        <v>70.249267855938541</v>
      </c>
      <c r="V94" s="20">
        <f t="shared" ca="1" si="60"/>
        <v>73.285258596479949</v>
      </c>
      <c r="W94" s="20">
        <f t="shared" ca="1" si="60"/>
        <v>76.330855742633858</v>
      </c>
      <c r="X94" s="20">
        <f t="shared" ca="1" si="60"/>
        <v>79.398091511624841</v>
      </c>
      <c r="Y94" s="20">
        <f t="shared" ca="1" si="60"/>
        <v>82.473442912902243</v>
      </c>
      <c r="Z94" s="20">
        <f t="shared" ca="1" si="60"/>
        <v>85.578471046868486</v>
      </c>
    </row>
    <row r="95" spans="1:26" x14ac:dyDescent="0.25">
      <c r="A95" s="12" t="s">
        <v>903</v>
      </c>
      <c r="B95" s="14" t="str">
        <f>$B$38</f>
        <v>From Fiscal Forecasts</v>
      </c>
      <c r="C95" s="15"/>
      <c r="D95" s="50">
        <f>'Fiscal Forecasts'!D$81</f>
        <v>72.078999999999994</v>
      </c>
      <c r="E95" s="50">
        <f>'Fiscal Forecasts'!E$81</f>
        <v>77.191999999999993</v>
      </c>
      <c r="F95" s="50">
        <f>'Fiscal Forecasts'!F$81</f>
        <v>84.256</v>
      </c>
      <c r="G95" s="50">
        <f>'Fiscal Forecasts'!G$81</f>
        <v>92.965000000000003</v>
      </c>
      <c r="H95" s="50">
        <f>'Fiscal Forecasts'!H$81</f>
        <v>99.414000000000001</v>
      </c>
      <c r="I95" s="50">
        <f>'Fiscal Forecasts'!I$81</f>
        <v>111.095</v>
      </c>
      <c r="J95" s="50">
        <f>'Fiscal Forecasts'!J$81</f>
        <v>113.733</v>
      </c>
      <c r="K95" s="50">
        <f>'Fiscal Forecasts'!K$81</f>
        <v>114.075</v>
      </c>
      <c r="L95" s="48">
        <f ca="1">'Fiscal Forecasts'!L$81+IF(OFFSET(Assumptions!$B$57,0,$C$1)="Yes",SUM(Allocation!C$10:C$20)+IF($C$2="Yes",SUM('Fiscal Forecast Adjuster'!C$46:C$56),0),0)+IF($C$2="Yes",SUM('Fiscal Forecast Adjuster'!C$23,'Fiscal Forecast Adjuster'!C$24,'Fiscal Forecast Adjuster'!C$26)/1000,0)+IF($C$3="Yes",('NZSF Adjuster'!W$26-'NZSF Adjuster'!W$17),0)</f>
        <v>123.211</v>
      </c>
      <c r="M95" s="48">
        <f ca="1">'Fiscal Forecasts'!M$81+IF(OFFSET(Assumptions!$B$57,0,$C$1)="Yes",SUM(Allocation!D$10:D$20)+IF($C$2="Yes",SUM('Fiscal Forecast Adjuster'!D$46:D$56),0),0)+IF($C$2="Yes",SUM('Fiscal Forecast Adjuster'!D$23,'Fiscal Forecast Adjuster'!D$24,'Fiscal Forecast Adjuster'!D$26)/1000,0)+IF($C$3="Yes",('NZSF Adjuster'!X$26-'NZSF Adjuster'!X$17),0)</f>
        <v>117.145</v>
      </c>
      <c r="N95" s="48">
        <f ca="1">'Fiscal Forecasts'!N$81+IF(OFFSET(Assumptions!$B$57,0,$C$1)="Yes",SUM(Allocation!E$10:E$20)+IF($C$2="Yes",SUM('Fiscal Forecast Adjuster'!E$46:E$56),0),0)+IF($C$2="Yes",SUM('Fiscal Forecast Adjuster'!E$23,'Fiscal Forecast Adjuster'!E$24,'Fiscal Forecast Adjuster'!E$26)/1000,0)+IF($C$3="Yes",('NZSF Adjuster'!Y$26-'NZSF Adjuster'!Y$17),0)</f>
        <v>116.874</v>
      </c>
      <c r="O95" s="48">
        <f ca="1">'Fiscal Forecasts'!O$81+IF(OFFSET(Assumptions!$B$57,0,$C$1)="Yes",SUM(Allocation!F$10:F$20)+IF($C$2="Yes",SUM('Fiscal Forecast Adjuster'!F$46:F$56),0),0)+IF($C$2="Yes",SUM('Fiscal Forecast Adjuster'!F$23,'Fiscal Forecast Adjuster'!F$24,'Fiscal Forecast Adjuster'!F$26)/1000,0)+IF($C$3="Yes",('NZSF Adjuster'!Z$26-'NZSF Adjuster'!Z$17),0)</f>
        <v>116.79900000000001</v>
      </c>
      <c r="P95" s="48">
        <f ca="1">'Fiscal Forecasts'!P$81+IF(OFFSET(Assumptions!$B$57,0,$C$1)="Yes",SUM(Allocation!G$10:G$20)+IF($C$2="Yes",SUM('Fiscal Forecast Adjuster'!G$46:G$56),0),0)+IF($C$2="Yes",SUM('Fiscal Forecast Adjuster'!G$23,'Fiscal Forecast Adjuster'!G$24,'Fiscal Forecast Adjuster'!G$26)/1000,0)+IF($C$3="Yes",('NZSF Adjuster'!AA$26-'NZSF Adjuster'!AA$17),0)</f>
        <v>117.83199999999999</v>
      </c>
      <c r="Q95" s="20">
        <f t="shared" ref="Q95:Z95" ca="1" si="61">SUM(Q$212,Q$227,Q$241)-SUM(Q$115,Q$263,Q$273,Q$313,Q$460-P$460,Q$465-P$465)</f>
        <v>117.84480155341555</v>
      </c>
      <c r="R95" s="20">
        <f t="shared" ca="1" si="61"/>
        <v>119.12102407148201</v>
      </c>
      <c r="S95" s="20">
        <f t="shared" ca="1" si="61"/>
        <v>120.46211317659296</v>
      </c>
      <c r="T95" s="20">
        <f t="shared" ca="1" si="61"/>
        <v>121.88159120321032</v>
      </c>
      <c r="U95" s="20">
        <f t="shared" ca="1" si="61"/>
        <v>123.47081537507118</v>
      </c>
      <c r="V95" s="20">
        <f t="shared" ca="1" si="61"/>
        <v>125.24208389590791</v>
      </c>
      <c r="W95" s="20">
        <f t="shared" ca="1" si="61"/>
        <v>127.10564420880542</v>
      </c>
      <c r="X95" s="20">
        <f t="shared" ca="1" si="61"/>
        <v>129.06452104843243</v>
      </c>
      <c r="Y95" s="20">
        <f t="shared" ca="1" si="61"/>
        <v>131.00935501958853</v>
      </c>
      <c r="Z95" s="20">
        <f t="shared" ca="1" si="61"/>
        <v>133.10467403623116</v>
      </c>
    </row>
    <row r="96" spans="1:26" x14ac:dyDescent="0.25">
      <c r="A96" s="12" t="s">
        <v>904</v>
      </c>
      <c r="B96" s="14" t="str">
        <f>$B$38</f>
        <v>From Fiscal Forecasts</v>
      </c>
      <c r="C96" s="15"/>
      <c r="D96" s="50">
        <f>'Fiscal Forecasts'!D$82</f>
        <v>4.0250000000000004</v>
      </c>
      <c r="E96" s="50">
        <f>'Fiscal Forecasts'!E$82</f>
        <v>3.8490000000000002</v>
      </c>
      <c r="F96" s="50">
        <f>'Fiscal Forecasts'!F$82</f>
        <v>3.1469999999999998</v>
      </c>
      <c r="G96" s="50">
        <f>'Fiscal Forecasts'!G$82</f>
        <v>3.2509999999999999</v>
      </c>
      <c r="H96" s="50">
        <f>'Fiscal Forecasts'!H$82</f>
        <v>6.1260000000000003</v>
      </c>
      <c r="I96" s="50">
        <f>'Fiscal Forecasts'!I$82</f>
        <v>8.5790000000000006</v>
      </c>
      <c r="J96" s="50">
        <f>'Fiscal Forecasts'!J$82</f>
        <v>8.8249999999999993</v>
      </c>
      <c r="K96" s="50">
        <f>'Fiscal Forecasts'!K$82</f>
        <v>8.2880000000000003</v>
      </c>
      <c r="L96" s="48">
        <f>'Fiscal Forecasts'!L$82+IF($C$2="Yes",'Fiscal Forecast Adjuster'!C$38/1000,0)+IF($C$3="Yes",'NZSF Adjuster'!W$9,0)</f>
        <v>9.7680000000000007</v>
      </c>
      <c r="M96" s="48">
        <f>'Fiscal Forecasts'!M$82+IF($C$2="Yes",'Fiscal Forecast Adjuster'!D$38/1000,0)+IF($C$3="Yes",'NZSF Adjuster'!X$9,0)</f>
        <v>11.063000000000001</v>
      </c>
      <c r="N96" s="48">
        <f>'Fiscal Forecasts'!N$82+IF($C$2="Yes",'Fiscal Forecast Adjuster'!E$38/1000,0)+IF($C$3="Yes",'NZSF Adjuster'!Y$9,0)</f>
        <v>12.731</v>
      </c>
      <c r="O96" s="48">
        <f>'Fiscal Forecasts'!O$82+IF($C$2="Yes",'Fiscal Forecast Adjuster'!F$38/1000,0)+IF($C$3="Yes",'NZSF Adjuster'!Z$9,0)</f>
        <v>13.933</v>
      </c>
      <c r="P96" s="48">
        <f>'Fiscal Forecasts'!P$82+IF($C$2="Yes",'Fiscal Forecast Adjuster'!G$38/1000,0)+IF($C$3="Yes",'NZSF Adjuster'!AA$9,0)</f>
        <v>14.291</v>
      </c>
      <c r="Q96" s="20">
        <f t="shared" ref="Q96:Z96" ca="1" si="62">(2*P$70-SUM(Q$93,Q$106,Q$107)+SUM(Q$94,Q$95,Q$97,Q$109,Q$347-P$347))/(2/Q$235-1)</f>
        <v>16.725327008184031</v>
      </c>
      <c r="R96" s="20">
        <f t="shared" ca="1" si="62"/>
        <v>16.86573956677519</v>
      </c>
      <c r="S96" s="20">
        <f t="shared" ca="1" si="62"/>
        <v>16.907555447824119</v>
      </c>
      <c r="T96" s="20">
        <f t="shared" ca="1" si="62"/>
        <v>16.828599172932563</v>
      </c>
      <c r="U96" s="20">
        <f t="shared" ca="1" si="62"/>
        <v>16.618219334682859</v>
      </c>
      <c r="V96" s="20">
        <f t="shared" ca="1" si="62"/>
        <v>16.177249287973773</v>
      </c>
      <c r="W96" s="20">
        <f t="shared" ca="1" si="62"/>
        <v>15.605985304471197</v>
      </c>
      <c r="X96" s="20">
        <f t="shared" ca="1" si="62"/>
        <v>14.899836585927485</v>
      </c>
      <c r="Y96" s="20">
        <f t="shared" ca="1" si="62"/>
        <v>14.05353773141875</v>
      </c>
      <c r="Z96" s="20">
        <f t="shared" ca="1" si="62"/>
        <v>13.061503596981183</v>
      </c>
    </row>
    <row r="97" spans="1:26" x14ac:dyDescent="0.25">
      <c r="A97" s="12" t="s">
        <v>1185</v>
      </c>
      <c r="B97" s="11"/>
      <c r="C97" s="15"/>
      <c r="D97" s="50">
        <f t="shared" ref="D97:Z97" si="63">SUM(D$246,D$249)</f>
        <v>0</v>
      </c>
      <c r="E97" s="50">
        <f t="shared" si="63"/>
        <v>0</v>
      </c>
      <c r="F97" s="50">
        <f t="shared" si="63"/>
        <v>0</v>
      </c>
      <c r="G97" s="50">
        <f t="shared" si="63"/>
        <v>0</v>
      </c>
      <c r="H97" s="50">
        <f t="shared" si="63"/>
        <v>0</v>
      </c>
      <c r="I97" s="50">
        <f t="shared" si="63"/>
        <v>0</v>
      </c>
      <c r="J97" s="50">
        <f t="shared" si="63"/>
        <v>0</v>
      </c>
      <c r="K97" s="50">
        <f t="shared" si="63"/>
        <v>0</v>
      </c>
      <c r="L97" s="48">
        <f t="shared" ca="1" si="63"/>
        <v>-1.3420000000000001</v>
      </c>
      <c r="M97" s="48">
        <f t="shared" ca="1" si="63"/>
        <v>2.1680000000000001</v>
      </c>
      <c r="N97" s="48">
        <f t="shared" ca="1" si="63"/>
        <v>4.375</v>
      </c>
      <c r="O97" s="48">
        <f t="shared" ca="1" si="63"/>
        <v>7.1329999999999982</v>
      </c>
      <c r="P97" s="48">
        <f t="shared" ca="1" si="63"/>
        <v>9.4659999999999993</v>
      </c>
      <c r="Q97" s="20">
        <f t="shared" ca="1" si="63"/>
        <v>12.516</v>
      </c>
      <c r="R97" s="20">
        <f t="shared" ca="1" si="63"/>
        <v>15.036</v>
      </c>
      <c r="S97" s="20">
        <f t="shared" ca="1" si="63"/>
        <v>17.681999999999999</v>
      </c>
      <c r="T97" s="20">
        <f t="shared" ca="1" si="63"/>
        <v>20.4603</v>
      </c>
      <c r="U97" s="20">
        <f t="shared" ca="1" si="63"/>
        <v>23.377515000000002</v>
      </c>
      <c r="V97" s="20">
        <f t="shared" ca="1" si="63"/>
        <v>26.440590750000005</v>
      </c>
      <c r="W97" s="20">
        <f t="shared" ca="1" si="63"/>
        <v>29.656820287500008</v>
      </c>
      <c r="X97" s="20">
        <f t="shared" ca="1" si="63"/>
        <v>33.033861301875007</v>
      </c>
      <c r="Y97" s="20">
        <f t="shared" ca="1" si="63"/>
        <v>36.579754366968757</v>
      </c>
      <c r="Z97" s="20">
        <f t="shared" ca="1" si="63"/>
        <v>40.302942085317198</v>
      </c>
    </row>
    <row r="98" spans="1:26" x14ac:dyDescent="0.25">
      <c r="A98" s="11" t="s">
        <v>1186</v>
      </c>
      <c r="B98" s="11"/>
      <c r="C98" s="15"/>
      <c r="D98" s="94">
        <f t="shared" ref="D98:Z98" si="64">SUM(D$94:D$97)</f>
        <v>104.086</v>
      </c>
      <c r="E98" s="94">
        <f t="shared" si="64"/>
        <v>123.986</v>
      </c>
      <c r="F98" s="94">
        <f t="shared" si="64"/>
        <v>122.91800000000001</v>
      </c>
      <c r="G98" s="94">
        <f t="shared" si="64"/>
        <v>140.489</v>
      </c>
      <c r="H98" s="94">
        <f t="shared" si="64"/>
        <v>144.71</v>
      </c>
      <c r="I98" s="94">
        <f t="shared" si="64"/>
        <v>162.00900000000001</v>
      </c>
      <c r="J98" s="94">
        <f t="shared" si="64"/>
        <v>168.48599999999999</v>
      </c>
      <c r="K98" s="94">
        <f t="shared" si="64"/>
        <v>170.24700000000001</v>
      </c>
      <c r="L98" s="95">
        <f t="shared" ca="1" si="64"/>
        <v>181.803</v>
      </c>
      <c r="M98" s="95">
        <f t="shared" ca="1" si="64"/>
        <v>181.916</v>
      </c>
      <c r="N98" s="95">
        <f t="shared" ca="1" si="64"/>
        <v>186.892</v>
      </c>
      <c r="O98" s="95">
        <f t="shared" ca="1" si="64"/>
        <v>192.67500000000001</v>
      </c>
      <c r="P98" s="95">
        <f t="shared" ca="1" si="64"/>
        <v>198.607</v>
      </c>
      <c r="Q98" s="99">
        <f t="shared" ca="1" si="64"/>
        <v>206.19069069535399</v>
      </c>
      <c r="R98" s="99">
        <f t="shared" ca="1" si="64"/>
        <v>212.76300063884111</v>
      </c>
      <c r="S98" s="99">
        <f t="shared" ca="1" si="64"/>
        <v>219.52146857655185</v>
      </c>
      <c r="T98" s="99">
        <f t="shared" ca="1" si="64"/>
        <v>226.45072095385481</v>
      </c>
      <c r="U98" s="99">
        <f t="shared" ca="1" si="64"/>
        <v>233.71581756569259</v>
      </c>
      <c r="V98" s="99">
        <f t="shared" ca="1" si="64"/>
        <v>241.14518253036164</v>
      </c>
      <c r="W98" s="99">
        <f t="shared" ca="1" si="64"/>
        <v>248.69930554341047</v>
      </c>
      <c r="X98" s="99">
        <f t="shared" ca="1" si="64"/>
        <v>256.39631044785978</v>
      </c>
      <c r="Y98" s="99">
        <f t="shared" ca="1" si="64"/>
        <v>264.11609003087824</v>
      </c>
      <c r="Z98" s="99">
        <f t="shared" ca="1" si="64"/>
        <v>272.04759076539801</v>
      </c>
    </row>
    <row r="99" spans="1:26" x14ac:dyDescent="0.25">
      <c r="A99" s="11" t="s">
        <v>1187</v>
      </c>
      <c r="B99" s="11"/>
      <c r="C99" s="15"/>
      <c r="D99" s="94">
        <f t="shared" ref="D99:Z99" si="65">D$93-D$98</f>
        <v>10.972999999999999</v>
      </c>
      <c r="E99" s="94">
        <f t="shared" si="65"/>
        <v>-10.396000000000001</v>
      </c>
      <c r="F99" s="94">
        <f t="shared" si="65"/>
        <v>3.1040000000000134</v>
      </c>
      <c r="G99" s="94">
        <f t="shared" si="65"/>
        <v>-5.3770000000000095</v>
      </c>
      <c r="H99" s="94">
        <f t="shared" si="65"/>
        <v>4.5249999999999773</v>
      </c>
      <c r="I99" s="94">
        <f t="shared" si="65"/>
        <v>-2.30600000000004</v>
      </c>
      <c r="J99" s="94">
        <f t="shared" si="65"/>
        <v>0.69900000000001228</v>
      </c>
      <c r="K99" s="94">
        <f t="shared" si="65"/>
        <v>2.5319999999999823</v>
      </c>
      <c r="L99" s="95">
        <f t="shared" ca="1" si="65"/>
        <v>-3.7999999999999829</v>
      </c>
      <c r="M99" s="95">
        <f t="shared" ca="1" si="65"/>
        <v>7.6469999999999914</v>
      </c>
      <c r="N99" s="95">
        <f t="shared" ca="1" si="65"/>
        <v>13.779000000000025</v>
      </c>
      <c r="O99" s="95">
        <f t="shared" ca="1" si="65"/>
        <v>18.783999999999992</v>
      </c>
      <c r="P99" s="95">
        <f t="shared" ca="1" si="65"/>
        <v>22.454999999999984</v>
      </c>
      <c r="Q99" s="99">
        <f t="shared" ca="1" si="65"/>
        <v>24.844107772383609</v>
      </c>
      <c r="R99" s="99">
        <f t="shared" ca="1" si="65"/>
        <v>27.478462093748874</v>
      </c>
      <c r="S99" s="99">
        <f t="shared" ca="1" si="65"/>
        <v>30.312495778065397</v>
      </c>
      <c r="T99" s="99">
        <f t="shared" ca="1" si="65"/>
        <v>33.552845615510222</v>
      </c>
      <c r="U99" s="99">
        <f t="shared" ca="1" si="65"/>
        <v>36.885594966869178</v>
      </c>
      <c r="V99" s="99">
        <f t="shared" ca="1" si="65"/>
        <v>40.182157258659743</v>
      </c>
      <c r="W99" s="99">
        <f t="shared" ca="1" si="65"/>
        <v>43.651917539959271</v>
      </c>
      <c r="X99" s="99">
        <f t="shared" ca="1" si="65"/>
        <v>47.27476196357452</v>
      </c>
      <c r="Y99" s="99">
        <f t="shared" ca="1" si="65"/>
        <v>51.252347613318705</v>
      </c>
      <c r="Z99" s="99">
        <f t="shared" ca="1" si="65"/>
        <v>55.390024336798717</v>
      </c>
    </row>
    <row r="100" spans="1:26" x14ac:dyDescent="0.25">
      <c r="A100" s="12" t="s">
        <v>1188</v>
      </c>
      <c r="B100" s="14" t="str">
        <f>$B$38</f>
        <v>From Fiscal Forecasts</v>
      </c>
      <c r="C100" s="15"/>
      <c r="D100" s="50">
        <f>-'Fiscal Forecasts'!D$85</f>
        <v>8.4640000000000004</v>
      </c>
      <c r="E100" s="50">
        <f>-'Fiscal Forecasts'!E$85</f>
        <v>9.0709999999999997</v>
      </c>
      <c r="F100" s="50">
        <f>-'Fiscal Forecasts'!F$85</f>
        <v>9.3930000000000007</v>
      </c>
      <c r="G100" s="50">
        <f>-'Fiscal Forecasts'!G$85</f>
        <v>10.571999999999999</v>
      </c>
      <c r="H100" s="50">
        <f>-'Fiscal Forecasts'!H$85</f>
        <v>14.271000000000001</v>
      </c>
      <c r="I100" s="50">
        <f>-'Fiscal Forecasts'!I$85</f>
        <v>16.948</v>
      </c>
      <c r="J100" s="50">
        <f>-'Fiscal Forecasts'!J$85</f>
        <v>14.054</v>
      </c>
      <c r="K100" s="50">
        <f>-'Fiscal Forecasts'!K$85</f>
        <v>14.308999999999999</v>
      </c>
      <c r="L100" s="48">
        <f>-'Fiscal Forecasts'!L$85</f>
        <v>16.707000000000001</v>
      </c>
      <c r="M100" s="48">
        <f>-'Fiscal Forecasts'!M$85</f>
        <v>17.111999999999998</v>
      </c>
      <c r="N100" s="48">
        <f>-'Fiscal Forecasts'!N$85</f>
        <v>15.180999999999999</v>
      </c>
      <c r="O100" s="48">
        <f>-'Fiscal Forecasts'!O$85</f>
        <v>13.492000000000001</v>
      </c>
      <c r="P100" s="48">
        <f>-'Fiscal Forecasts'!P$85</f>
        <v>13.242000000000001</v>
      </c>
      <c r="Q100" s="20">
        <f t="shared" ref="Q100:Z100" ca="1" si="66">SUM(Q$420-P$420,Q$218)</f>
        <v>12.80170735316336</v>
      </c>
      <c r="R100" s="20">
        <f t="shared" ca="1" si="66"/>
        <v>12.960241809991984</v>
      </c>
      <c r="S100" s="20">
        <f t="shared" ca="1" si="66"/>
        <v>13.121946955957245</v>
      </c>
      <c r="T100" s="20">
        <f t="shared" ca="1" si="66"/>
        <v>13.286886204841647</v>
      </c>
      <c r="U100" s="20">
        <f t="shared" ca="1" si="66"/>
        <v>13.455124238704002</v>
      </c>
      <c r="V100" s="20">
        <f t="shared" ca="1" si="66"/>
        <v>13.62672703324338</v>
      </c>
      <c r="W100" s="20">
        <f t="shared" ca="1" si="66"/>
        <v>13.801761883673636</v>
      </c>
      <c r="X100" s="20">
        <f t="shared" ca="1" si="66"/>
        <v>13.980297431112486</v>
      </c>
      <c r="Y100" s="20">
        <f t="shared" ca="1" si="66"/>
        <v>14.162403689500188</v>
      </c>
      <c r="Z100" s="20">
        <f t="shared" ca="1" si="66"/>
        <v>14.348152073055465</v>
      </c>
    </row>
    <row r="101" spans="1:26" x14ac:dyDescent="0.25">
      <c r="A101" s="12" t="s">
        <v>1189</v>
      </c>
      <c r="B101" s="14" t="str">
        <f>$B$38</f>
        <v>From Fiscal Forecasts</v>
      </c>
      <c r="C101" s="15"/>
      <c r="D101" s="50">
        <f>-'Fiscal Forecasts'!D$86</f>
        <v>-3.8039999999999998</v>
      </c>
      <c r="E101" s="50">
        <f>-'Fiscal Forecasts'!E$86</f>
        <v>14.148999999999999</v>
      </c>
      <c r="F101" s="50">
        <f>-'Fiscal Forecasts'!F$86</f>
        <v>-4.1890000000000001</v>
      </c>
      <c r="G101" s="50">
        <f>-'Fiscal Forecasts'!G$86</f>
        <v>4.9859999999999998</v>
      </c>
      <c r="H101" s="50">
        <f>-'Fiscal Forecasts'!H$86</f>
        <v>4.9059999999999997</v>
      </c>
      <c r="I101" s="50">
        <f>-'Fiscal Forecasts'!I$86</f>
        <v>10.231999999999999</v>
      </c>
      <c r="J101" s="50">
        <f>-'Fiscal Forecasts'!J$86</f>
        <v>9.7810000000000006</v>
      </c>
      <c r="K101" s="50">
        <f>-'Fiscal Forecasts'!K$86</f>
        <v>3.504</v>
      </c>
      <c r="L101" s="48">
        <f>-'Fiscal Forecasts'!L$86</f>
        <v>-3.746</v>
      </c>
      <c r="M101" s="48">
        <f>-'Fiscal Forecasts'!M$86</f>
        <v>1.909</v>
      </c>
      <c r="N101" s="48">
        <f>-'Fiscal Forecasts'!N$86</f>
        <v>2.5790000000000002</v>
      </c>
      <c r="O101" s="48">
        <f>-'Fiscal Forecasts'!O$86</f>
        <v>2.3109999999999999</v>
      </c>
      <c r="P101" s="48">
        <f>-'Fiscal Forecasts'!P$86</f>
        <v>0.222</v>
      </c>
      <c r="Q101" s="20">
        <f t="shared" ref="Q101:Z101" ca="1" si="67">SUM(Q$363-P$363,Q$372-P$372,Q$388-P$388)-SUM(Q$331,Q$334:Q$336)</f>
        <v>1.9837876892064781</v>
      </c>
      <c r="R101" s="20">
        <f t="shared" ca="1" si="67"/>
        <v>2.6988843835896503</v>
      </c>
      <c r="S101" s="20">
        <f t="shared" ca="1" si="67"/>
        <v>2.7449456672463821</v>
      </c>
      <c r="T101" s="20">
        <f t="shared" ca="1" si="67"/>
        <v>2.8265504614891821</v>
      </c>
      <c r="U101" s="20">
        <f t="shared" ca="1" si="67"/>
        <v>2.8717934592542171</v>
      </c>
      <c r="V101" s="20">
        <f t="shared" ca="1" si="67"/>
        <v>2.8030716584328381</v>
      </c>
      <c r="W101" s="20">
        <f t="shared" ca="1" si="67"/>
        <v>2.7603825830188526</v>
      </c>
      <c r="X101" s="20">
        <f t="shared" ca="1" si="67"/>
        <v>2.7752212758059098</v>
      </c>
      <c r="Y101" s="20">
        <f t="shared" ca="1" si="67"/>
        <v>2.9090510953257844</v>
      </c>
      <c r="Z101" s="20">
        <f t="shared" ca="1" si="67"/>
        <v>3.0999013669731141</v>
      </c>
    </row>
    <row r="102" spans="1:26" x14ac:dyDescent="0.25">
      <c r="A102" s="12" t="s">
        <v>1190</v>
      </c>
      <c r="B102" s="14" t="str">
        <f>$B$38</f>
        <v>From Fiscal Forecasts</v>
      </c>
      <c r="C102" s="15"/>
      <c r="D102" s="50">
        <f>-'Fiscal Forecasts'!D$87</f>
        <v>0.79100000000000004</v>
      </c>
      <c r="E102" s="50">
        <f>-'Fiscal Forecasts'!E$87</f>
        <v>0.85499999999999998</v>
      </c>
      <c r="F102" s="50">
        <f>-'Fiscal Forecasts'!F$87</f>
        <v>0.89800000000000002</v>
      </c>
      <c r="G102" s="50">
        <f>-'Fiscal Forecasts'!G$87</f>
        <v>0.71</v>
      </c>
      <c r="H102" s="50">
        <f>-'Fiscal Forecasts'!H$87</f>
        <v>0.86799999999999999</v>
      </c>
      <c r="I102" s="50">
        <f>-'Fiscal Forecasts'!I$87</f>
        <v>0.86</v>
      </c>
      <c r="J102" s="50">
        <f>-'Fiscal Forecasts'!J$87</f>
        <v>0.65500000000000003</v>
      </c>
      <c r="K102" s="50">
        <f>-'Fiscal Forecasts'!K$87</f>
        <v>0.64300000000000002</v>
      </c>
      <c r="L102" s="48">
        <f>-'Fiscal Forecasts'!L$87</f>
        <v>0.75900000000000001</v>
      </c>
      <c r="M102" s="48">
        <f>-'Fiscal Forecasts'!M$87</f>
        <v>0.73799999999999999</v>
      </c>
      <c r="N102" s="48">
        <f>-'Fiscal Forecasts'!N$87</f>
        <v>0.70799999999999996</v>
      </c>
      <c r="O102" s="48">
        <f>-'Fiscal Forecasts'!O$87</f>
        <v>0.70399999999999996</v>
      </c>
      <c r="P102" s="48">
        <f>-'Fiscal Forecasts'!P$87</f>
        <v>0.68500000000000005</v>
      </c>
      <c r="Q102" s="20">
        <f t="shared" ref="Q102:Z102" ca="1" si="68">SUM(Q$429-P$429,Q$115)</f>
        <v>0.99164146093765448</v>
      </c>
      <c r="R102" s="20">
        <f t="shared" ca="1" si="68"/>
        <v>1.0172626022435238</v>
      </c>
      <c r="S102" s="20">
        <f t="shared" ca="1" si="68"/>
        <v>1.0441580471889353</v>
      </c>
      <c r="T102" s="20">
        <f t="shared" ca="1" si="68"/>
        <v>1.0713842593911125</v>
      </c>
      <c r="U102" s="20">
        <f t="shared" ca="1" si="68"/>
        <v>1.1007231483534818</v>
      </c>
      <c r="V102" s="20">
        <f t="shared" ca="1" si="68"/>
        <v>1.1309755012288574</v>
      </c>
      <c r="W102" s="20">
        <f t="shared" ca="1" si="68"/>
        <v>1.1614050399844456</v>
      </c>
      <c r="X102" s="20">
        <f t="shared" ca="1" si="68"/>
        <v>1.1928126038600233</v>
      </c>
      <c r="Y102" s="20">
        <f t="shared" ca="1" si="68"/>
        <v>1.2257716083638355</v>
      </c>
      <c r="Z102" s="20">
        <f t="shared" ca="1" si="68"/>
        <v>1.2597030479597848</v>
      </c>
    </row>
    <row r="103" spans="1:26" x14ac:dyDescent="0.25">
      <c r="A103" s="12" t="s">
        <v>1191</v>
      </c>
      <c r="B103" s="14" t="str">
        <f>$B$38</f>
        <v>From Fiscal Forecasts</v>
      </c>
      <c r="C103" s="15"/>
      <c r="D103" s="50">
        <f>-'Fiscal Forecasts'!D$88</f>
        <v>1.9019999999999999</v>
      </c>
      <c r="E103" s="50">
        <f>-'Fiscal Forecasts'!E$88</f>
        <v>1.29</v>
      </c>
      <c r="F103" s="50">
        <f>-'Fiscal Forecasts'!F$88</f>
        <v>5.6630000000000003</v>
      </c>
      <c r="G103" s="50">
        <f>-'Fiscal Forecasts'!G$88</f>
        <v>12.958</v>
      </c>
      <c r="H103" s="50">
        <f>-'Fiscal Forecasts'!H$88</f>
        <v>8.2149999999999999</v>
      </c>
      <c r="I103" s="50">
        <f>-'Fiscal Forecasts'!I$88</f>
        <v>-0.151</v>
      </c>
      <c r="J103" s="50">
        <f>-'Fiscal Forecasts'!J$88</f>
        <v>-5.8879999999999999</v>
      </c>
      <c r="K103" s="50">
        <f>-'Fiscal Forecasts'!K$88</f>
        <v>-3.6070000000000002</v>
      </c>
      <c r="L103" s="48">
        <f>-'Fiscal Forecasts'!L$88</f>
        <v>3.653</v>
      </c>
      <c r="M103" s="48">
        <f>-'Fiscal Forecasts'!M$88</f>
        <v>5.1550000000000002</v>
      </c>
      <c r="N103" s="48">
        <f>-'Fiscal Forecasts'!N$88</f>
        <v>5.5149999999999997</v>
      </c>
      <c r="O103" s="48">
        <f>-'Fiscal Forecasts'!O$88</f>
        <v>5.9749999999999996</v>
      </c>
      <c r="P103" s="48">
        <f>-'Fiscal Forecasts'!P$88</f>
        <v>6.2590000000000003</v>
      </c>
      <c r="Q103" s="20">
        <f t="shared" ref="Q103:Z103" ca="1" si="69">SUM(Q$397-P$397,Q$402,-Q$404)</f>
        <v>4.3256040525072459</v>
      </c>
      <c r="R103" s="20">
        <f t="shared" ca="1" si="69"/>
        <v>3.796813452335003</v>
      </c>
      <c r="S103" s="20">
        <f t="shared" ca="1" si="69"/>
        <v>3.8836397704301993</v>
      </c>
      <c r="T103" s="20">
        <f t="shared" ca="1" si="69"/>
        <v>3.9629372065793005</v>
      </c>
      <c r="U103" s="20">
        <f t="shared" ca="1" si="69"/>
        <v>4.0750999071931329</v>
      </c>
      <c r="V103" s="20">
        <f t="shared" ca="1" si="69"/>
        <v>4.1958768417042132</v>
      </c>
      <c r="W103" s="20">
        <f t="shared" ca="1" si="69"/>
        <v>4.3078513858196112</v>
      </c>
      <c r="X103" s="20">
        <f t="shared" ca="1" si="69"/>
        <v>4.4369983310530081</v>
      </c>
      <c r="Y103" s="20">
        <f t="shared" ca="1" si="69"/>
        <v>4.6000964057544325</v>
      </c>
      <c r="Z103" s="20">
        <f t="shared" ca="1" si="69"/>
        <v>4.7734375495032326</v>
      </c>
    </row>
    <row r="104" spans="1:26" x14ac:dyDescent="0.25">
      <c r="A104" s="12" t="s">
        <v>1192</v>
      </c>
      <c r="B104" s="14" t="str">
        <f>$B$38</f>
        <v>From Fiscal Forecasts</v>
      </c>
      <c r="C104" s="15"/>
      <c r="D104" s="50">
        <f>-'Fiscal Forecasts'!D$89</f>
        <v>-0.13600000000000001</v>
      </c>
      <c r="E104" s="50">
        <f>-'Fiscal Forecasts'!E$89</f>
        <v>0.28599999999999998</v>
      </c>
      <c r="F104" s="50">
        <f>-'Fiscal Forecasts'!F$89</f>
        <v>0.39200000000000002</v>
      </c>
      <c r="G104" s="50">
        <f>-'Fiscal Forecasts'!G$89</f>
        <v>0.44800000000000001</v>
      </c>
      <c r="H104" s="50">
        <f>-'Fiscal Forecasts'!H$89</f>
        <v>0.20200000000000001</v>
      </c>
      <c r="I104" s="50">
        <f>-'Fiscal Forecasts'!I$89</f>
        <v>0.39700000000000002</v>
      </c>
      <c r="J104" s="50">
        <f>-'Fiscal Forecasts'!J$89</f>
        <v>0.40400000000000003</v>
      </c>
      <c r="K104" s="50">
        <f>-'Fiscal Forecasts'!K$89</f>
        <v>0.44700000000000001</v>
      </c>
      <c r="L104" s="48">
        <f>-'Fiscal Forecasts'!L$89</f>
        <v>0.30599999999999999</v>
      </c>
      <c r="M104" s="48">
        <f>-'Fiscal Forecasts'!M$89</f>
        <v>0.14399999999999999</v>
      </c>
      <c r="N104" s="48">
        <f>-'Fiscal Forecasts'!N$89</f>
        <v>4.5999999999999999E-2</v>
      </c>
      <c r="O104" s="48">
        <f>-'Fiscal Forecasts'!O$89</f>
        <v>4.5999999999999999E-2</v>
      </c>
      <c r="P104" s="48">
        <f>-'Fiscal Forecasts'!P$89</f>
        <v>4.4999999999999998E-2</v>
      </c>
      <c r="Q104" s="20">
        <f t="shared" ref="Q104:Z104" ca="1" si="70">SUM(Q$424-P$424,-Q$341)</f>
        <v>0.32345283774862377</v>
      </c>
      <c r="R104" s="20">
        <f t="shared" ca="1" si="70"/>
        <v>0.32827357558672093</v>
      </c>
      <c r="S104" s="20">
        <f t="shared" ca="1" si="70"/>
        <v>0.33317054040800032</v>
      </c>
      <c r="T104" s="20">
        <f t="shared" ca="1" si="70"/>
        <v>0.33815436948875899</v>
      </c>
      <c r="U104" s="20">
        <f t="shared" ca="1" si="70"/>
        <v>0.34318929924724173</v>
      </c>
      <c r="V104" s="20">
        <f t="shared" ca="1" si="70"/>
        <v>0.34827742761570046</v>
      </c>
      <c r="W104" s="20">
        <f t="shared" ca="1" si="70"/>
        <v>0.35343975578156162</v>
      </c>
      <c r="X104" s="20">
        <f t="shared" ca="1" si="70"/>
        <v>0.35867372671614572</v>
      </c>
      <c r="Y104" s="20">
        <f t="shared" ca="1" si="70"/>
        <v>0.36396351220295858</v>
      </c>
      <c r="Z104" s="20">
        <f t="shared" ca="1" si="70"/>
        <v>0.36931169937688901</v>
      </c>
    </row>
    <row r="105" spans="1:26" x14ac:dyDescent="0.25">
      <c r="A105" s="12" t="s">
        <v>1193</v>
      </c>
      <c r="B105" s="11"/>
      <c r="C105" s="15"/>
      <c r="D105" s="50">
        <f t="shared" ref="D105:Z105" si="71">SUM(D$432-C$432,D$435-C$435)</f>
        <v>0</v>
      </c>
      <c r="E105" s="50">
        <f t="shared" si="71"/>
        <v>0</v>
      </c>
      <c r="F105" s="50">
        <f t="shared" si="71"/>
        <v>0</v>
      </c>
      <c r="G105" s="50">
        <f t="shared" si="71"/>
        <v>0</v>
      </c>
      <c r="H105" s="50">
        <f t="shared" si="71"/>
        <v>0</v>
      </c>
      <c r="I105" s="50">
        <f t="shared" si="71"/>
        <v>0</v>
      </c>
      <c r="J105" s="50">
        <f t="shared" si="71"/>
        <v>0</v>
      </c>
      <c r="K105" s="50">
        <f t="shared" si="71"/>
        <v>0</v>
      </c>
      <c r="L105" s="48">
        <f>SUM(L$432-K$432,L$435-K$435)</f>
        <v>-6.0000000000000053E-3</v>
      </c>
      <c r="M105" s="48">
        <f>SUM(M$432-L$432,M$435-L$435)</f>
        <v>2.3870000000000005</v>
      </c>
      <c r="N105" s="48">
        <f>SUM(N$432-M$432,N$435-M$435)</f>
        <v>3.628000000000001</v>
      </c>
      <c r="O105" s="48">
        <f>SUM(O$432-N$432,O$435-N$435)</f>
        <v>4.3800000000000008</v>
      </c>
      <c r="P105" s="48">
        <f>SUM(P$432-O$432,P$435-O$435)</f>
        <v>5.168000000000001</v>
      </c>
      <c r="Q105" s="20">
        <f t="shared" ca="1" si="71"/>
        <v>5.0820000000000007</v>
      </c>
      <c r="R105" s="20">
        <f t="shared" ca="1" si="71"/>
        <v>5.3194999999999979</v>
      </c>
      <c r="S105" s="20">
        <f t="shared" ca="1" si="71"/>
        <v>5.4988749999999982</v>
      </c>
      <c r="T105" s="20">
        <f t="shared" ca="1" si="71"/>
        <v>5.5052187499999974</v>
      </c>
      <c r="U105" s="20">
        <f t="shared" ca="1" si="71"/>
        <v>5.780479687499998</v>
      </c>
      <c r="V105" s="20">
        <f t="shared" ca="1" si="71"/>
        <v>6.0695036718750046</v>
      </c>
      <c r="W105" s="20">
        <f t="shared" ca="1" si="71"/>
        <v>6.3729788554687516</v>
      </c>
      <c r="X105" s="20">
        <f t="shared" ca="1" si="71"/>
        <v>6.6916277982421875</v>
      </c>
      <c r="Y105" s="20">
        <f t="shared" ca="1" si="71"/>
        <v>7.0262091881542972</v>
      </c>
      <c r="Z105" s="20">
        <f t="shared" ca="1" si="71"/>
        <v>7.3775196475620106</v>
      </c>
    </row>
    <row r="106" spans="1:26" x14ac:dyDescent="0.25">
      <c r="A106" s="11" t="s">
        <v>1194</v>
      </c>
      <c r="B106" s="11"/>
      <c r="C106" s="15"/>
      <c r="D106" s="94">
        <f t="shared" ref="D106:Z106" si="72">-SUM(D$100:D$105)</f>
        <v>-7.2170000000000005</v>
      </c>
      <c r="E106" s="94">
        <f t="shared" si="72"/>
        <v>-25.651</v>
      </c>
      <c r="F106" s="94">
        <f t="shared" si="72"/>
        <v>-12.157</v>
      </c>
      <c r="G106" s="94">
        <f t="shared" si="72"/>
        <v>-29.673999999999999</v>
      </c>
      <c r="H106" s="94">
        <f t="shared" si="72"/>
        <v>-28.462</v>
      </c>
      <c r="I106" s="94">
        <f t="shared" si="72"/>
        <v>-28.285999999999998</v>
      </c>
      <c r="J106" s="94">
        <f t="shared" si="72"/>
        <v>-19.006000000000004</v>
      </c>
      <c r="K106" s="94">
        <f t="shared" si="72"/>
        <v>-15.295999999999999</v>
      </c>
      <c r="L106" s="95">
        <f t="shared" si="72"/>
        <v>-17.673000000000002</v>
      </c>
      <c r="M106" s="95">
        <f t="shared" si="72"/>
        <v>-27.444999999999997</v>
      </c>
      <c r="N106" s="95">
        <f t="shared" si="72"/>
        <v>-27.656999999999996</v>
      </c>
      <c r="O106" s="95">
        <f t="shared" si="72"/>
        <v>-26.908000000000001</v>
      </c>
      <c r="P106" s="95">
        <f t="shared" si="72"/>
        <v>-25.621000000000002</v>
      </c>
      <c r="Q106" s="99">
        <f t="shared" ca="1" si="72"/>
        <v>-25.50819339356336</v>
      </c>
      <c r="R106" s="99">
        <f t="shared" ca="1" si="72"/>
        <v>-26.120975823746878</v>
      </c>
      <c r="S106" s="99">
        <f t="shared" ca="1" si="72"/>
        <v>-26.626735981230762</v>
      </c>
      <c r="T106" s="99">
        <f t="shared" ca="1" si="72"/>
        <v>-26.991131251789998</v>
      </c>
      <c r="U106" s="99">
        <f t="shared" ca="1" si="72"/>
        <v>-27.626409740252072</v>
      </c>
      <c r="V106" s="99">
        <f t="shared" ca="1" si="72"/>
        <v>-28.174432134099991</v>
      </c>
      <c r="W106" s="99">
        <f t="shared" ca="1" si="72"/>
        <v>-28.757819503746855</v>
      </c>
      <c r="X106" s="99">
        <f t="shared" ca="1" si="72"/>
        <v>-29.435631166789758</v>
      </c>
      <c r="Y106" s="99">
        <f t="shared" ca="1" si="72"/>
        <v>-30.287495499301496</v>
      </c>
      <c r="Z106" s="99">
        <f t="shared" ca="1" si="72"/>
        <v>-31.228025384430499</v>
      </c>
    </row>
    <row r="107" spans="1:26" x14ac:dyDescent="0.25">
      <c r="A107" s="12" t="s">
        <v>914</v>
      </c>
      <c r="B107" s="14" t="str">
        <f>$B$38</f>
        <v>From Fiscal Forecasts</v>
      </c>
      <c r="C107" s="15"/>
      <c r="D107" s="50">
        <f>'Fiscal Forecasts'!D$92</f>
        <v>0.437</v>
      </c>
      <c r="E107" s="50">
        <f>'Fiscal Forecasts'!E$92</f>
        <v>1.2090000000000001</v>
      </c>
      <c r="F107" s="50">
        <f>'Fiscal Forecasts'!F$92</f>
        <v>0.23400000000000001</v>
      </c>
      <c r="G107" s="50">
        <f>'Fiscal Forecasts'!G$92</f>
        <v>0.80500000000000005</v>
      </c>
      <c r="H107" s="50">
        <f>'Fiscal Forecasts'!H$92</f>
        <v>-5.8999999999999997E-2</v>
      </c>
      <c r="I107" s="50">
        <f>'Fiscal Forecasts'!I$92</f>
        <v>-2.4E-2</v>
      </c>
      <c r="J107" s="50">
        <f>'Fiscal Forecasts'!J$92</f>
        <v>0.17499999999999999</v>
      </c>
      <c r="K107" s="50">
        <f>'Fiscal Forecasts'!K$92</f>
        <v>1.1100000000000001</v>
      </c>
      <c r="L107" s="48">
        <f>'Fiscal Forecasts'!L$92</f>
        <v>-0.45600000000000002</v>
      </c>
      <c r="M107" s="48">
        <f>'Fiscal Forecasts'!M$92</f>
        <v>9.8000000000000004E-2</v>
      </c>
      <c r="N107" s="48">
        <f>'Fiscal Forecasts'!N$92</f>
        <v>9.9000000000000005E-2</v>
      </c>
      <c r="O107" s="48">
        <f>'Fiscal Forecasts'!O$92</f>
        <v>0.1</v>
      </c>
      <c r="P107" s="48">
        <f>'Fiscal Forecasts'!P$92</f>
        <v>0.10100000000000001</v>
      </c>
      <c r="Q107" s="20">
        <f t="shared" ref="Q107:Z107" ca="1" si="73">Q$439-P$439</f>
        <v>0.20407999999999937</v>
      </c>
      <c r="R107" s="20">
        <f t="shared" ca="1" si="73"/>
        <v>0.20816160000000039</v>
      </c>
      <c r="S107" s="20">
        <f t="shared" ca="1" si="73"/>
        <v>0.21232483200000019</v>
      </c>
      <c r="T107" s="20">
        <f t="shared" ca="1" si="73"/>
        <v>0.21657132864000062</v>
      </c>
      <c r="U107" s="20">
        <f t="shared" ca="1" si="73"/>
        <v>0.22090275521279956</v>
      </c>
      <c r="V107" s="20">
        <f t="shared" ca="1" si="73"/>
        <v>0.22532081031705609</v>
      </c>
      <c r="W107" s="20">
        <f t="shared" ca="1" si="73"/>
        <v>0.2298272265233976</v>
      </c>
      <c r="X107" s="20">
        <f t="shared" ca="1" si="73"/>
        <v>0.23442377105386569</v>
      </c>
      <c r="Y107" s="20">
        <f t="shared" ca="1" si="73"/>
        <v>0.23911224647494222</v>
      </c>
      <c r="Z107" s="20">
        <f t="shared" ca="1" si="73"/>
        <v>0.24389449140444164</v>
      </c>
    </row>
    <row r="108" spans="1:26" x14ac:dyDescent="0.25">
      <c r="A108" s="12" t="s">
        <v>1195</v>
      </c>
      <c r="B108" s="14" t="str">
        <f>$B$38</f>
        <v>From Fiscal Forecasts</v>
      </c>
      <c r="C108" s="15"/>
      <c r="D108" s="50">
        <f>SUM('Fiscal Forecasts'!D$93:D$96)</f>
        <v>-2.5789999999999997</v>
      </c>
      <c r="E108" s="50">
        <f>SUM('Fiscal Forecasts'!E$93:E$96)</f>
        <v>36.155999999999999</v>
      </c>
      <c r="F108" s="50">
        <f>SUM('Fiscal Forecasts'!F$93:F$96)</f>
        <v>7.3529999999999998</v>
      </c>
      <c r="G108" s="50">
        <f>SUM('Fiscal Forecasts'!G$93:G$96)</f>
        <v>33.409000000000006</v>
      </c>
      <c r="H108" s="50">
        <f>SUM('Fiscal Forecasts'!H$93:H$96)</f>
        <v>24.929000000000002</v>
      </c>
      <c r="I108" s="50">
        <f>SUM('Fiscal Forecasts'!I$93:I$96)</f>
        <v>28.588000000000001</v>
      </c>
      <c r="J108" s="50">
        <f>SUM('Fiscal Forecasts'!J$93:J$96)</f>
        <v>25.934000000000001</v>
      </c>
      <c r="K108" s="50">
        <f>SUM('Fiscal Forecasts'!K$93:K$96)</f>
        <v>16.634</v>
      </c>
      <c r="L108" s="48">
        <f>SUM('Fiscal Forecasts'!L$93:L$96)+IF($C$2="Yes",'Fiscal Forecast Adjuster'!C$41/1000,0)+IF($C$3="Yes",'NZSF Adjuster'!W$10,0)</f>
        <v>22.564000000000004</v>
      </c>
      <c r="M108" s="48">
        <f>SUM('Fiscal Forecasts'!M$93:M$96)+IF($C$2="Yes",'Fiscal Forecast Adjuster'!D$41/1000,0)+IF($C$3="Yes",'NZSF Adjuster'!X$10,0)</f>
        <v>19.970999999999997</v>
      </c>
      <c r="N108" s="48">
        <f>SUM('Fiscal Forecasts'!N$93:N$96)+IF($C$2="Yes",'Fiscal Forecast Adjuster'!E$41/1000,0)+IF($C$3="Yes",'NZSF Adjuster'!Y$10,0)</f>
        <v>14.593</v>
      </c>
      <c r="O108" s="48">
        <f>SUM('Fiscal Forecasts'!O$93:O$96)+IF($C$2="Yes",'Fiscal Forecast Adjuster'!F$41/1000,0)+IF($C$3="Yes",'NZSF Adjuster'!Z$10,0)</f>
        <v>8.2569999999999997</v>
      </c>
      <c r="P108" s="48">
        <f>SUM('Fiscal Forecasts'!P$93:P$96)+IF($C$2="Yes",'Fiscal Forecast Adjuster'!G$41/1000,0)+IF($C$3="Yes",'NZSF Adjuster'!AA$10,0)</f>
        <v>3.2669999999999995</v>
      </c>
      <c r="Q108" s="20">
        <f t="shared" ref="Q108:Z108" ca="1" si="74">Q$347-P$347-SUM(Q$99,Q$106,Q$107)</f>
        <v>1.7313423521202527</v>
      </c>
      <c r="R108" s="20">
        <f t="shared" ca="1" si="74"/>
        <v>-0.24214817800666211</v>
      </c>
      <c r="S108" s="20">
        <f t="shared" ca="1" si="74"/>
        <v>-2.5361774319877028</v>
      </c>
      <c r="T108" s="20">
        <f t="shared" ca="1" si="74"/>
        <v>-5.3797405803837641</v>
      </c>
      <c r="U108" s="20">
        <f t="shared" ca="1" si="74"/>
        <v>-8.0322423705481558</v>
      </c>
      <c r="V108" s="20">
        <f t="shared" ca="1" si="74"/>
        <v>-10.733801131914165</v>
      </c>
      <c r="W108" s="20">
        <f t="shared" ca="1" si="74"/>
        <v>-13.576757531484471</v>
      </c>
      <c r="X108" s="20">
        <f t="shared" ca="1" si="74"/>
        <v>-16.473502458994531</v>
      </c>
      <c r="Y108" s="20">
        <f t="shared" ca="1" si="74"/>
        <v>-19.540421869668862</v>
      </c>
      <c r="Z108" s="20">
        <f t="shared" ca="1" si="74"/>
        <v>-22.675045798128295</v>
      </c>
    </row>
    <row r="109" spans="1:26" x14ac:dyDescent="0.25">
      <c r="A109" s="12" t="s">
        <v>1196</v>
      </c>
      <c r="B109" s="14" t="str">
        <f>$B$38</f>
        <v>From Fiscal Forecasts</v>
      </c>
      <c r="C109" s="15"/>
      <c r="D109" s="50">
        <f>-'Fiscal Forecasts'!D$97</f>
        <v>0.504</v>
      </c>
      <c r="E109" s="50">
        <f>-'Fiscal Forecasts'!E$97</f>
        <v>0.47899999999999998</v>
      </c>
      <c r="F109" s="50">
        <f>-'Fiscal Forecasts'!F$97</f>
        <v>0.373</v>
      </c>
      <c r="G109" s="50">
        <f>-'Fiscal Forecasts'!G$97</f>
        <v>0.30399999999999999</v>
      </c>
      <c r="H109" s="50">
        <f>-'Fiscal Forecasts'!H$97</f>
        <v>0.372</v>
      </c>
      <c r="I109" s="50">
        <f>-'Fiscal Forecasts'!I$97</f>
        <v>0.505</v>
      </c>
      <c r="J109" s="50">
        <f>-'Fiscal Forecasts'!J$97</f>
        <v>0.40899999999999997</v>
      </c>
      <c r="K109" s="50">
        <f>-'Fiscal Forecasts'!K$97</f>
        <v>0.40600000000000003</v>
      </c>
      <c r="L109" s="48">
        <f>-'Fiscal Forecasts'!L$97</f>
        <v>0.46100000000000002</v>
      </c>
      <c r="M109" s="48">
        <f>-'Fiscal Forecasts'!M$97</f>
        <v>0.49099999999999999</v>
      </c>
      <c r="N109" s="48">
        <f>-'Fiscal Forecasts'!N$97</f>
        <v>0.54100000000000004</v>
      </c>
      <c r="O109" s="48">
        <f>-'Fiscal Forecasts'!O$97</f>
        <v>0.60199999999999998</v>
      </c>
      <c r="P109" s="48">
        <f>-'Fiscal Forecasts'!P$97</f>
        <v>0.63300000000000001</v>
      </c>
      <c r="Q109" s="20">
        <f t="shared" ref="Q109:Z109" si="75">Q$38-Q$40</f>
        <v>0.54411323896752695</v>
      </c>
      <c r="R109" s="20">
        <f t="shared" ca="1" si="75"/>
        <v>0.54065541675415252</v>
      </c>
      <c r="S109" s="20">
        <f t="shared" ca="1" si="75"/>
        <v>0.53790551579760415</v>
      </c>
      <c r="T109" s="20">
        <f t="shared" ca="1" si="75"/>
        <v>0.53614116199434114</v>
      </c>
      <c r="U109" s="20">
        <f t="shared" ca="1" si="75"/>
        <v>0.5359596080365937</v>
      </c>
      <c r="V109" s="20">
        <f t="shared" ca="1" si="75"/>
        <v>0.53732027181440034</v>
      </c>
      <c r="W109" s="20">
        <f t="shared" ca="1" si="75"/>
        <v>0.53877325425245037</v>
      </c>
      <c r="X109" s="20">
        <f t="shared" ca="1" si="75"/>
        <v>0.54015160457347378</v>
      </c>
      <c r="Y109" s="20">
        <f t="shared" ca="1" si="75"/>
        <v>0.54135872009917707</v>
      </c>
      <c r="Z109" s="20">
        <f t="shared" ca="1" si="75"/>
        <v>0.54260790119144064</v>
      </c>
    </row>
    <row r="110" spans="1:26" x14ac:dyDescent="0.25">
      <c r="A110" s="11" t="s">
        <v>1197</v>
      </c>
      <c r="B110" s="11"/>
      <c r="C110" s="15"/>
      <c r="D110" s="94">
        <f t="shared" ref="D110:Z110" si="76">(D$107+D$108-D$109)</f>
        <v>-2.6459999999999999</v>
      </c>
      <c r="E110" s="94">
        <f t="shared" si="76"/>
        <v>36.886000000000003</v>
      </c>
      <c r="F110" s="94">
        <f t="shared" si="76"/>
        <v>7.2139999999999995</v>
      </c>
      <c r="G110" s="94">
        <f t="shared" si="76"/>
        <v>33.910000000000004</v>
      </c>
      <c r="H110" s="94">
        <f t="shared" si="76"/>
        <v>24.498000000000001</v>
      </c>
      <c r="I110" s="94">
        <f t="shared" si="76"/>
        <v>28.059000000000001</v>
      </c>
      <c r="J110" s="94">
        <f t="shared" si="76"/>
        <v>25.700000000000003</v>
      </c>
      <c r="K110" s="94">
        <f t="shared" si="76"/>
        <v>17.338000000000001</v>
      </c>
      <c r="L110" s="95">
        <f t="shared" si="76"/>
        <v>21.647000000000006</v>
      </c>
      <c r="M110" s="95">
        <f t="shared" si="76"/>
        <v>19.577999999999996</v>
      </c>
      <c r="N110" s="95">
        <f t="shared" si="76"/>
        <v>14.151</v>
      </c>
      <c r="O110" s="95">
        <f t="shared" si="76"/>
        <v>7.754999999999999</v>
      </c>
      <c r="P110" s="95">
        <f t="shared" si="76"/>
        <v>2.7349999999999994</v>
      </c>
      <c r="Q110" s="99">
        <f t="shared" ca="1" si="76"/>
        <v>1.3913091131527251</v>
      </c>
      <c r="R110" s="99">
        <f t="shared" ca="1" si="76"/>
        <v>-0.57464199476081423</v>
      </c>
      <c r="S110" s="99">
        <f t="shared" ca="1" si="76"/>
        <v>-2.8617581157853067</v>
      </c>
      <c r="T110" s="99">
        <f t="shared" ca="1" si="76"/>
        <v>-5.6993104137381048</v>
      </c>
      <c r="U110" s="99">
        <f t="shared" ca="1" si="76"/>
        <v>-8.3472992233719499</v>
      </c>
      <c r="V110" s="99">
        <f t="shared" ca="1" si="76"/>
        <v>-11.045800593411508</v>
      </c>
      <c r="W110" s="99">
        <f t="shared" ca="1" si="76"/>
        <v>-13.885703559213525</v>
      </c>
      <c r="X110" s="99">
        <f t="shared" ca="1" si="76"/>
        <v>-16.779230292514139</v>
      </c>
      <c r="Y110" s="99">
        <f t="shared" ca="1" si="76"/>
        <v>-19.842668343293095</v>
      </c>
      <c r="Z110" s="99">
        <f t="shared" ca="1" si="76"/>
        <v>-22.973759207915297</v>
      </c>
    </row>
    <row r="111" spans="1:26" x14ac:dyDescent="0.25">
      <c r="A111" s="11" t="s">
        <v>921</v>
      </c>
      <c r="B111" s="11"/>
      <c r="C111" s="15"/>
      <c r="D111" s="94">
        <f t="shared" ref="D111:Z111" si="77">SUM(D$99,D$106,D$110)</f>
        <v>1.1099999999999985</v>
      </c>
      <c r="E111" s="94">
        <f t="shared" si="77"/>
        <v>0.83900000000000574</v>
      </c>
      <c r="F111" s="94">
        <f t="shared" si="77"/>
        <v>-1.8389999999999871</v>
      </c>
      <c r="G111" s="94">
        <f t="shared" si="77"/>
        <v>-1.1410000000000053</v>
      </c>
      <c r="H111" s="94">
        <f t="shared" si="77"/>
        <v>0.56099999999997863</v>
      </c>
      <c r="I111" s="94">
        <f t="shared" si="77"/>
        <v>-2.5330000000000368</v>
      </c>
      <c r="J111" s="94">
        <f t="shared" si="77"/>
        <v>7.3930000000000113</v>
      </c>
      <c r="K111" s="94">
        <f t="shared" si="77"/>
        <v>4.5739999999999839</v>
      </c>
      <c r="L111" s="95">
        <f t="shared" ca="1" si="77"/>
        <v>0.1740000000000208</v>
      </c>
      <c r="M111" s="95">
        <f t="shared" ca="1" si="77"/>
        <v>-0.22000000000000952</v>
      </c>
      <c r="N111" s="95">
        <f t="shared" ca="1" si="77"/>
        <v>0.27300000000002811</v>
      </c>
      <c r="O111" s="95">
        <f t="shared" ca="1" si="77"/>
        <v>-0.36900000000001043</v>
      </c>
      <c r="P111" s="95">
        <f t="shared" ca="1" si="77"/>
        <v>-0.4310000000000187</v>
      </c>
      <c r="Q111" s="99">
        <f t="shared" ca="1" si="77"/>
        <v>0.72722349197297387</v>
      </c>
      <c r="R111" s="99">
        <f t="shared" ca="1" si="77"/>
        <v>0.78284427524118139</v>
      </c>
      <c r="S111" s="99">
        <f t="shared" ca="1" si="77"/>
        <v>0.82400168104932803</v>
      </c>
      <c r="T111" s="99">
        <f t="shared" ca="1" si="77"/>
        <v>0.86240394998211922</v>
      </c>
      <c r="U111" s="99">
        <f t="shared" ca="1" si="77"/>
        <v>0.91188600324515612</v>
      </c>
      <c r="V111" s="99">
        <f t="shared" ca="1" si="77"/>
        <v>0.96192453114824339</v>
      </c>
      <c r="W111" s="99">
        <f t="shared" ca="1" si="77"/>
        <v>1.0083944769988911</v>
      </c>
      <c r="X111" s="99">
        <f t="shared" ca="1" si="77"/>
        <v>1.0599005042706224</v>
      </c>
      <c r="Y111" s="99">
        <f t="shared" ca="1" si="77"/>
        <v>1.1221837707241136</v>
      </c>
      <c r="Z111" s="99">
        <f t="shared" ca="1" si="77"/>
        <v>1.1882397444529218</v>
      </c>
    </row>
    <row r="112" spans="1:26" x14ac:dyDescent="0.25">
      <c r="A112" s="57" t="s">
        <v>1198</v>
      </c>
      <c r="B112" s="11"/>
      <c r="C112" s="15"/>
      <c r="D112" s="89"/>
      <c r="E112" s="89"/>
      <c r="F112" s="89"/>
      <c r="G112" s="89"/>
      <c r="H112" s="89"/>
      <c r="I112" s="89"/>
      <c r="J112" s="89"/>
      <c r="K112" s="89"/>
      <c r="L112" s="66"/>
      <c r="M112" s="66"/>
      <c r="N112" s="66"/>
      <c r="O112" s="66"/>
      <c r="P112" s="66"/>
      <c r="Q112" s="17"/>
      <c r="R112" s="17"/>
      <c r="S112" s="17"/>
      <c r="T112" s="17"/>
      <c r="U112" s="17"/>
      <c r="V112" s="17"/>
      <c r="W112" s="17"/>
      <c r="X112" s="17"/>
      <c r="Y112" s="17"/>
      <c r="Z112" s="17"/>
    </row>
    <row r="113" spans="1:26" x14ac:dyDescent="0.25">
      <c r="A113" s="11" t="s">
        <v>1199</v>
      </c>
      <c r="B113" s="11"/>
      <c r="C113" s="15"/>
      <c r="D113" s="51">
        <f t="shared" ref="D113:Z113" si="78">SUM(D$337,D$341,-D$38)</f>
        <v>-7.3769999999999989</v>
      </c>
      <c r="E113" s="51">
        <f t="shared" si="78"/>
        <v>-7.1269999999999998</v>
      </c>
      <c r="F113" s="51">
        <f t="shared" si="78"/>
        <v>20.545999999999999</v>
      </c>
      <c r="G113" s="51">
        <f t="shared" si="78"/>
        <v>-7.6029999999999998</v>
      </c>
      <c r="H113" s="51">
        <f t="shared" si="78"/>
        <v>14.132000000000001</v>
      </c>
      <c r="I113" s="51">
        <f t="shared" si="78"/>
        <v>4.3490000000000002</v>
      </c>
      <c r="J113" s="51">
        <f t="shared" si="78"/>
        <v>9.2910000000000021</v>
      </c>
      <c r="K113" s="51">
        <f t="shared" si="78"/>
        <v>11.493</v>
      </c>
      <c r="L113" s="47">
        <f t="shared" si="78"/>
        <v>5.6529999999999996</v>
      </c>
      <c r="M113" s="47">
        <f t="shared" si="78"/>
        <v>5.9889999999999999</v>
      </c>
      <c r="N113" s="47">
        <f t="shared" si="78"/>
        <v>6.452</v>
      </c>
      <c r="O113" s="47">
        <f t="shared" si="78"/>
        <v>6.8119999999999994</v>
      </c>
      <c r="P113" s="47">
        <f t="shared" si="78"/>
        <v>7.27</v>
      </c>
      <c r="Q113" s="21">
        <f t="shared" ca="1" si="78"/>
        <v>7.6572790922277196</v>
      </c>
      <c r="R113" s="21">
        <f t="shared" ca="1" si="78"/>
        <v>8.1526931321229306</v>
      </c>
      <c r="S113" s="21">
        <f t="shared" ca="1" si="78"/>
        <v>8.6746683472306803</v>
      </c>
      <c r="T113" s="21">
        <f t="shared" ca="1" si="78"/>
        <v>9.2260881917070119</v>
      </c>
      <c r="U113" s="21">
        <f t="shared" ca="1" si="78"/>
        <v>9.8058646412981858</v>
      </c>
      <c r="V113" s="21">
        <f t="shared" ca="1" si="78"/>
        <v>10.407207446737695</v>
      </c>
      <c r="W113" s="21">
        <f t="shared" ca="1" si="78"/>
        <v>11.035010025531193</v>
      </c>
      <c r="X113" s="21">
        <f t="shared" ca="1" si="78"/>
        <v>11.694357565495913</v>
      </c>
      <c r="Y113" s="21">
        <f t="shared" ca="1" si="78"/>
        <v>12.392549417281048</v>
      </c>
      <c r="Z113" s="21">
        <f t="shared" ca="1" si="78"/>
        <v>13.135911103781851</v>
      </c>
    </row>
    <row r="114" spans="1:26" x14ac:dyDescent="0.25">
      <c r="A114" s="12" t="s">
        <v>872</v>
      </c>
      <c r="B114" s="14"/>
      <c r="C114" s="15"/>
      <c r="D114" s="50">
        <f t="shared" ref="D114:Z114" si="79">D$218</f>
        <v>4.5540000000000003</v>
      </c>
      <c r="E114" s="50">
        <f t="shared" si="79"/>
        <v>5.2940000000000005</v>
      </c>
      <c r="F114" s="50">
        <f t="shared" si="79"/>
        <v>5.5660000000000007</v>
      </c>
      <c r="G114" s="50">
        <f t="shared" si="79"/>
        <v>6.1520000000000001</v>
      </c>
      <c r="H114" s="50">
        <f t="shared" si="79"/>
        <v>6.6009999999999991</v>
      </c>
      <c r="I114" s="50">
        <f t="shared" si="79"/>
        <v>7.6210000000000004</v>
      </c>
      <c r="J114" s="50">
        <f t="shared" si="79"/>
        <v>8.2940000000000005</v>
      </c>
      <c r="K114" s="50">
        <f t="shared" si="79"/>
        <v>8.6809999999999992</v>
      </c>
      <c r="L114" s="48">
        <f t="shared" si="79"/>
        <v>8.9619999999999997</v>
      </c>
      <c r="M114" s="48">
        <f t="shared" si="79"/>
        <v>9.2749999999999986</v>
      </c>
      <c r="N114" s="48">
        <f t="shared" si="79"/>
        <v>9.4580000000000002</v>
      </c>
      <c r="O114" s="48">
        <f t="shared" si="79"/>
        <v>9.8339999999999996</v>
      </c>
      <c r="P114" s="48">
        <f t="shared" si="79"/>
        <v>9.9480000000000004</v>
      </c>
      <c r="Q114" s="20">
        <f t="shared" ca="1" si="79"/>
        <v>9.7296873531633512</v>
      </c>
      <c r="R114" s="20">
        <f t="shared" ca="1" si="79"/>
        <v>9.8267814099919946</v>
      </c>
      <c r="S114" s="20">
        <f t="shared" ca="1" si="79"/>
        <v>9.92581734795721</v>
      </c>
      <c r="T114" s="20">
        <f t="shared" ca="1" si="79"/>
        <v>10.026834004681728</v>
      </c>
      <c r="U114" s="20">
        <f t="shared" ca="1" si="79"/>
        <v>10.129870994540738</v>
      </c>
      <c r="V114" s="20">
        <f t="shared" ca="1" si="79"/>
        <v>10.234968724196928</v>
      </c>
      <c r="W114" s="20">
        <f t="shared" ca="1" si="79"/>
        <v>10.342168408446243</v>
      </c>
      <c r="X114" s="20">
        <f t="shared" ca="1" si="79"/>
        <v>10.451512086380543</v>
      </c>
      <c r="Y114" s="20">
        <f t="shared" ca="1" si="79"/>
        <v>10.563042637873529</v>
      </c>
      <c r="Z114" s="20">
        <f t="shared" ca="1" si="79"/>
        <v>10.676803800396376</v>
      </c>
    </row>
    <row r="115" spans="1:26" x14ac:dyDescent="0.25">
      <c r="A115" s="12" t="s">
        <v>926</v>
      </c>
      <c r="B115" s="14" t="str">
        <f t="shared" ref="B115:B120" si="80">$B$38</f>
        <v>From Fiscal Forecasts</v>
      </c>
      <c r="C115" s="15"/>
      <c r="D115" s="50">
        <f>-'Fiscal Forecasts'!D$104</f>
        <v>-1.5799999999999996</v>
      </c>
      <c r="E115" s="50">
        <f>-'Fiscal Forecasts'!E$104</f>
        <v>2.726</v>
      </c>
      <c r="F115" s="50">
        <f>-'Fiscal Forecasts'!F$104</f>
        <v>1.0489999999999999</v>
      </c>
      <c r="G115" s="50">
        <f>-'Fiscal Forecasts'!G$104</f>
        <v>-0.26900000000000002</v>
      </c>
      <c r="H115" s="50">
        <f>-'Fiscal Forecasts'!H$104</f>
        <v>0.73399999999999999</v>
      </c>
      <c r="I115" s="50">
        <f>-'Fiscal Forecasts'!I$104</f>
        <v>1.1950000000000001</v>
      </c>
      <c r="J115" s="50">
        <f>-'Fiscal Forecasts'!J$104</f>
        <v>0.97499999999999998</v>
      </c>
      <c r="K115" s="50">
        <f>-'Fiscal Forecasts'!K$104</f>
        <v>1.589</v>
      </c>
      <c r="L115" s="48">
        <f>-'Fiscal Forecasts'!L$104</f>
        <v>0.871</v>
      </c>
      <c r="M115" s="48">
        <f>-'Fiscal Forecasts'!M$104</f>
        <v>0.89200000000000002</v>
      </c>
      <c r="N115" s="48">
        <f>-'Fiscal Forecasts'!N$104</f>
        <v>0.91400000000000003</v>
      </c>
      <c r="O115" s="48">
        <f>-'Fiscal Forecasts'!O$104</f>
        <v>0.878</v>
      </c>
      <c r="P115" s="48">
        <f>-'Fiscal Forecasts'!P$104</f>
        <v>0.85699999999999998</v>
      </c>
      <c r="Q115" s="20">
        <f t="shared" ref="Q115:Z115" ca="1" si="81">SUM(Q$219,Q$220)</f>
        <v>0.87106089756178018</v>
      </c>
      <c r="R115" s="20">
        <f t="shared" ca="1" si="81"/>
        <v>0.89422465669387186</v>
      </c>
      <c r="S115" s="20">
        <f t="shared" ca="1" si="81"/>
        <v>0.91786048368810702</v>
      </c>
      <c r="T115" s="20">
        <f t="shared" ca="1" si="81"/>
        <v>0.9421224895868836</v>
      </c>
      <c r="U115" s="20">
        <f t="shared" ca="1" si="81"/>
        <v>0.96695392524206092</v>
      </c>
      <c r="V115" s="20">
        <f t="shared" ca="1" si="81"/>
        <v>0.99265125138392873</v>
      </c>
      <c r="W115" s="20">
        <f t="shared" ca="1" si="81"/>
        <v>1.0192236069595728</v>
      </c>
      <c r="X115" s="20">
        <f t="shared" ca="1" si="81"/>
        <v>1.0465369348744327</v>
      </c>
      <c r="Y115" s="20">
        <f t="shared" ca="1" si="81"/>
        <v>1.0746367734255748</v>
      </c>
      <c r="Z115" s="20">
        <f t="shared" ca="1" si="81"/>
        <v>1.1036700671419546</v>
      </c>
    </row>
    <row r="116" spans="1:26" x14ac:dyDescent="0.25">
      <c r="A116" s="12" t="s">
        <v>927</v>
      </c>
      <c r="B116" s="14" t="str">
        <f t="shared" si="80"/>
        <v>From Fiscal Forecasts</v>
      </c>
      <c r="C116" s="15"/>
      <c r="D116" s="50">
        <f>-'Fiscal Forecasts'!D$105</f>
        <v>0.76300000000000001</v>
      </c>
      <c r="E116" s="50">
        <f>-'Fiscal Forecasts'!E$105</f>
        <v>1.2789999999999999</v>
      </c>
      <c r="F116" s="50">
        <f>-'Fiscal Forecasts'!F$105</f>
        <v>1.0389999999999999</v>
      </c>
      <c r="G116" s="50">
        <f>-'Fiscal Forecasts'!G$105</f>
        <v>0.85799999999999998</v>
      </c>
      <c r="H116" s="50">
        <f>-'Fiscal Forecasts'!H$105</f>
        <v>0.73799999999999999</v>
      </c>
      <c r="I116" s="50">
        <f>-'Fiscal Forecasts'!I$105</f>
        <v>0.71899999999999997</v>
      </c>
      <c r="J116" s="50">
        <f>-'Fiscal Forecasts'!J$105</f>
        <v>0.66100000000000003</v>
      </c>
      <c r="K116" s="50">
        <f>-'Fiscal Forecasts'!K$105</f>
        <v>0.82699999999999996</v>
      </c>
      <c r="L116" s="48">
        <f>-'Fiscal Forecasts'!L$105</f>
        <v>0.78500000000000003</v>
      </c>
      <c r="M116" s="48">
        <f>-'Fiscal Forecasts'!M$105</f>
        <v>0.84799999999999998</v>
      </c>
      <c r="N116" s="48">
        <f>-'Fiscal Forecasts'!N$105</f>
        <v>0.92200000000000004</v>
      </c>
      <c r="O116" s="48">
        <f>-'Fiscal Forecasts'!O$105</f>
        <v>0.89200000000000002</v>
      </c>
      <c r="P116" s="48">
        <f>-'Fiscal Forecasts'!P$105</f>
        <v>0.92200000000000004</v>
      </c>
      <c r="Q116" s="20">
        <f t="shared" ref="Q116:Z116" si="82">Q$402</f>
        <v>0.91100000000000003</v>
      </c>
      <c r="R116" s="20">
        <f t="shared" si="82"/>
        <v>0.93799999999999994</v>
      </c>
      <c r="S116" s="20">
        <f t="shared" si="82"/>
        <v>0.96199999999999997</v>
      </c>
      <c r="T116" s="20">
        <f t="shared" si="82"/>
        <v>0.98499999999999999</v>
      </c>
      <c r="U116" s="20">
        <f t="shared" si="82"/>
        <v>1.006</v>
      </c>
      <c r="V116" s="20">
        <f t="shared" si="82"/>
        <v>1.0249999999999999</v>
      </c>
      <c r="W116" s="20">
        <f t="shared" si="82"/>
        <v>1.046</v>
      </c>
      <c r="X116" s="20">
        <f t="shared" si="82"/>
        <v>1.0669999999999999</v>
      </c>
      <c r="Y116" s="20">
        <f t="shared" si="82"/>
        <v>1.0880000000000001</v>
      </c>
      <c r="Z116" s="20">
        <f t="shared" si="82"/>
        <v>1.109</v>
      </c>
    </row>
    <row r="117" spans="1:26" x14ac:dyDescent="0.25">
      <c r="A117" s="12" t="s">
        <v>1200</v>
      </c>
      <c r="B117" s="14" t="str">
        <f t="shared" si="80"/>
        <v>From Fiscal Forecasts</v>
      </c>
      <c r="C117" s="15"/>
      <c r="D117" s="50">
        <f>-'Fiscal Forecasts'!D$106</f>
        <v>4.1000000000000002E-2</v>
      </c>
      <c r="E117" s="50">
        <f>-'Fiscal Forecasts'!E$106</f>
        <v>5.2999999999999999E-2</v>
      </c>
      <c r="F117" s="50">
        <f>-'Fiscal Forecasts'!F$106</f>
        <v>1E-3</v>
      </c>
      <c r="G117" s="50">
        <f>-'Fiscal Forecasts'!G$106</f>
        <v>3.7999999999999999E-2</v>
      </c>
      <c r="H117" s="50">
        <f>-'Fiscal Forecasts'!H$106</f>
        <v>9.7000000000000003E-2</v>
      </c>
      <c r="I117" s="50">
        <f>-'Fiscal Forecasts'!I$106</f>
        <v>0.123</v>
      </c>
      <c r="J117" s="50">
        <f>-'Fiscal Forecasts'!J$106</f>
        <v>6.4000000000000001E-2</v>
      </c>
      <c r="K117" s="50">
        <f>-'Fiscal Forecasts'!K$106</f>
        <v>7.6999999999999999E-2</v>
      </c>
      <c r="L117" s="48">
        <f>-'Fiscal Forecasts'!L$106</f>
        <v>-3.3000000000000002E-2</v>
      </c>
      <c r="M117" s="48">
        <f>-'Fiscal Forecasts'!M$106</f>
        <v>3.4000000000000002E-2</v>
      </c>
      <c r="N117" s="48">
        <f>-'Fiscal Forecasts'!N$106</f>
        <v>4.2999999999999997E-2</v>
      </c>
      <c r="O117" s="48">
        <f>-'Fiscal Forecasts'!O$106</f>
        <v>4.5999999999999999E-2</v>
      </c>
      <c r="P117" s="48">
        <f>-'Fiscal Forecasts'!P$106</f>
        <v>5.1999999999999998E-2</v>
      </c>
      <c r="Q117" s="20">
        <f ca="1">IF(Q$6=OFFSET(Assumptions!$B$8,0,$C$1),OFFSET(Assumptions!$B$9,0,$C$1),P$117)</f>
        <v>0</v>
      </c>
      <c r="R117" s="20">
        <f ca="1">IF(R$6=OFFSET(Assumptions!$B$8,0,$C$1),OFFSET(Assumptions!$B$9,0,$C$1),Q$117)</f>
        <v>0</v>
      </c>
      <c r="S117" s="20">
        <f ca="1">IF(S$6=OFFSET(Assumptions!$B$8,0,$C$1),OFFSET(Assumptions!$B$9,0,$C$1),R$117)</f>
        <v>0</v>
      </c>
      <c r="T117" s="20">
        <f ca="1">IF(T$6=OFFSET(Assumptions!$B$8,0,$C$1),OFFSET(Assumptions!$B$9,0,$C$1),S$117)</f>
        <v>0</v>
      </c>
      <c r="U117" s="20">
        <f ca="1">IF(U$6=OFFSET(Assumptions!$B$8,0,$C$1),OFFSET(Assumptions!$B$9,0,$C$1),T$117)</f>
        <v>0</v>
      </c>
      <c r="V117" s="20">
        <f ca="1">IF(V$6=OFFSET(Assumptions!$B$8,0,$C$1),OFFSET(Assumptions!$B$9,0,$C$1),U$117)</f>
        <v>0</v>
      </c>
      <c r="W117" s="20">
        <f ca="1">IF(W$6=OFFSET(Assumptions!$B$8,0,$C$1),OFFSET(Assumptions!$B$9,0,$C$1),V$117)</f>
        <v>0</v>
      </c>
      <c r="X117" s="20">
        <f ca="1">IF(X$6=OFFSET(Assumptions!$B$8,0,$C$1),OFFSET(Assumptions!$B$9,0,$C$1),W$117)</f>
        <v>0</v>
      </c>
      <c r="Y117" s="20">
        <f ca="1">IF(Y$6=OFFSET(Assumptions!$B$8,0,$C$1),OFFSET(Assumptions!$B$9,0,$C$1),X$117)</f>
        <v>0</v>
      </c>
      <c r="Z117" s="20">
        <f ca="1">IF(Z$6=OFFSET(Assumptions!$B$8,0,$C$1),OFFSET(Assumptions!$B$9,0,$C$1),Y$117)</f>
        <v>0</v>
      </c>
    </row>
    <row r="118" spans="1:26" x14ac:dyDescent="0.25">
      <c r="A118" s="12" t="s">
        <v>929</v>
      </c>
      <c r="B118" s="14" t="str">
        <f t="shared" si="80"/>
        <v>From Fiscal Forecasts</v>
      </c>
      <c r="C118" s="15"/>
      <c r="D118" s="50">
        <f>-'Fiscal Forecasts'!D$107</f>
        <v>1.768</v>
      </c>
      <c r="E118" s="50">
        <f>-'Fiscal Forecasts'!E$107</f>
        <v>2.351</v>
      </c>
      <c r="F118" s="50">
        <f>-'Fiscal Forecasts'!F$107</f>
        <v>1.8680000000000001</v>
      </c>
      <c r="G118" s="50">
        <f>-'Fiscal Forecasts'!G$107</f>
        <v>1.696</v>
      </c>
      <c r="H118" s="50">
        <f>-'Fiscal Forecasts'!H$107</f>
        <v>3.5249999999999999</v>
      </c>
      <c r="I118" s="50">
        <f>-'Fiscal Forecasts'!I$107</f>
        <v>3.8380000000000001</v>
      </c>
      <c r="J118" s="50">
        <f>-'Fiscal Forecasts'!J$107</f>
        <v>4.3390000000000004</v>
      </c>
      <c r="K118" s="50">
        <f>-'Fiscal Forecasts'!K$107</f>
        <v>1.9279999999999999</v>
      </c>
      <c r="L118" s="48">
        <f>-'Fiscal Forecasts'!L$107</f>
        <v>1.6359999999999999</v>
      </c>
      <c r="M118" s="48">
        <f>-'Fiscal Forecasts'!M$107</f>
        <v>1.998</v>
      </c>
      <c r="N118" s="48">
        <f>-'Fiscal Forecasts'!N$107</f>
        <v>2.1019999999999999</v>
      </c>
      <c r="O118" s="48">
        <f>-'Fiscal Forecasts'!O$107</f>
        <v>2.2869999999999999</v>
      </c>
      <c r="P118" s="48">
        <f>-'Fiscal Forecasts'!P$107</f>
        <v>2.4569999999999999</v>
      </c>
      <c r="Q118" s="20">
        <f t="shared" ref="Q118:Z118" ca="1" si="83">Q$460-P$460</f>
        <v>3.530282328841821</v>
      </c>
      <c r="R118" s="20">
        <f t="shared" ca="1" si="83"/>
        <v>3.7140215577371549</v>
      </c>
      <c r="S118" s="20">
        <f t="shared" ca="1" si="83"/>
        <v>3.8122098213394651</v>
      </c>
      <c r="T118" s="20">
        <f t="shared" ca="1" si="83"/>
        <v>4.0095513075182794</v>
      </c>
      <c r="U118" s="20">
        <f t="shared" ca="1" si="83"/>
        <v>4.1935672940409034</v>
      </c>
      <c r="V118" s="20">
        <f t="shared" ca="1" si="83"/>
        <v>4.400995933931739</v>
      </c>
      <c r="W118" s="20">
        <f t="shared" ca="1" si="83"/>
        <v>4.618973898877428</v>
      </c>
      <c r="X118" s="20">
        <f t="shared" ca="1" si="83"/>
        <v>4.8066237935115765</v>
      </c>
      <c r="Y118" s="20">
        <f t="shared" ca="1" si="83"/>
        <v>5.0381852717342639</v>
      </c>
      <c r="Z118" s="20">
        <f t="shared" ca="1" si="83"/>
        <v>5.2154521576891852</v>
      </c>
    </row>
    <row r="119" spans="1:26" x14ac:dyDescent="0.25">
      <c r="A119" s="12" t="s">
        <v>1475</v>
      </c>
      <c r="B119" s="14" t="str">
        <f t="shared" si="80"/>
        <v>From Fiscal Forecasts</v>
      </c>
      <c r="C119" s="15"/>
      <c r="D119" s="50">
        <f>-'Fiscal Forecasts'!D$108</f>
        <v>0</v>
      </c>
      <c r="E119" s="50">
        <f>-'Fiscal Forecasts'!E$108</f>
        <v>0</v>
      </c>
      <c r="F119" s="50">
        <f>-'Fiscal Forecasts'!F$108</f>
        <v>0</v>
      </c>
      <c r="G119" s="50">
        <f>-'Fiscal Forecasts'!G$108</f>
        <v>0</v>
      </c>
      <c r="H119" s="50">
        <f>-'Fiscal Forecasts'!H$108</f>
        <v>-0.39500000000000002</v>
      </c>
      <c r="I119" s="50">
        <f>-'Fiscal Forecasts'!I$108</f>
        <v>-0.61399999999999999</v>
      </c>
      <c r="J119" s="50">
        <f>-'Fiscal Forecasts'!J$108</f>
        <v>-0.755</v>
      </c>
      <c r="K119" s="50">
        <f>-'Fiscal Forecasts'!K$108</f>
        <v>-0.41899999999999998</v>
      </c>
      <c r="L119" s="48">
        <f>-'Fiscal Forecasts'!L$108</f>
        <v>-0.63200000000000001</v>
      </c>
      <c r="M119" s="48">
        <f>-'Fiscal Forecasts'!M$108</f>
        <v>-0.57299999999999995</v>
      </c>
      <c r="N119" s="48">
        <f>-'Fiscal Forecasts'!N$108</f>
        <v>-0.46200000000000002</v>
      </c>
      <c r="O119" s="48">
        <f>-'Fiscal Forecasts'!O$108</f>
        <v>-0.35299999999999998</v>
      </c>
      <c r="P119" s="48">
        <f>-'Fiscal Forecasts'!P$108</f>
        <v>-0.21199999999999999</v>
      </c>
      <c r="Q119" s="20">
        <f t="shared" ref="Q119:Z119" ca="1" si="84">Q$454-P$454</f>
        <v>-4.7080000000000233E-2</v>
      </c>
      <c r="R119" s="20">
        <f t="shared" ca="1" si="84"/>
        <v>-1.7581599999999753E-2</v>
      </c>
      <c r="S119" s="20">
        <f t="shared" ca="1" si="84"/>
        <v>1.2506767999999724E-2</v>
      </c>
      <c r="T119" s="20">
        <f t="shared" ca="1" si="84"/>
        <v>3.6999999999999922E-2</v>
      </c>
      <c r="U119" s="20">
        <f t="shared" ca="1" si="84"/>
        <v>3.6999999999999922E-2</v>
      </c>
      <c r="V119" s="20">
        <f t="shared" ca="1" si="84"/>
        <v>3.6999999999999922E-2</v>
      </c>
      <c r="W119" s="20">
        <f t="shared" ca="1" si="84"/>
        <v>3.6999999999999922E-2</v>
      </c>
      <c r="X119" s="20">
        <f t="shared" ca="1" si="84"/>
        <v>3.6999999999999922E-2</v>
      </c>
      <c r="Y119" s="20">
        <f t="shared" ca="1" si="84"/>
        <v>3.6999999999999922E-2</v>
      </c>
      <c r="Z119" s="20">
        <f t="shared" ca="1" si="84"/>
        <v>3.6999999999999922E-2</v>
      </c>
    </row>
    <row r="120" spans="1:26" x14ac:dyDescent="0.25">
      <c r="A120" s="12" t="s">
        <v>930</v>
      </c>
      <c r="B120" s="14" t="str">
        <f t="shared" si="80"/>
        <v>From Fiscal Forecasts</v>
      </c>
      <c r="C120" s="15"/>
      <c r="D120" s="50">
        <f>-'Fiscal Forecasts'!D$109</f>
        <v>-0.57099999999999995</v>
      </c>
      <c r="E120" s="50">
        <f>-'Fiscal Forecasts'!E$109</f>
        <v>0.80400000000000005</v>
      </c>
      <c r="F120" s="50">
        <f>-'Fiscal Forecasts'!F$109</f>
        <v>-0.73299999999999998</v>
      </c>
      <c r="G120" s="50">
        <f>-'Fiscal Forecasts'!G$109</f>
        <v>-0.79</v>
      </c>
      <c r="H120" s="50">
        <f>-'Fiscal Forecasts'!H$109</f>
        <v>-6.0999999999999999E-2</v>
      </c>
      <c r="I120" s="50">
        <f>-'Fiscal Forecasts'!I$109</f>
        <v>-6.0999999999999999E-2</v>
      </c>
      <c r="J120" s="50">
        <f>-'Fiscal Forecasts'!J$109</f>
        <v>4.9000000000000002E-2</v>
      </c>
      <c r="K120" s="50">
        <f>-'Fiscal Forecasts'!K$109</f>
        <v>0.32300000000000001</v>
      </c>
      <c r="L120" s="48">
        <f>-'Fiscal Forecasts'!L$109</f>
        <v>4.5999999999999999E-2</v>
      </c>
      <c r="M120" s="48">
        <f>-'Fiscal Forecasts'!M$109</f>
        <v>4.8000000000000001E-2</v>
      </c>
      <c r="N120" s="48">
        <f>-'Fiscal Forecasts'!N$109</f>
        <v>4.7E-2</v>
      </c>
      <c r="O120" s="48">
        <f>-'Fiscal Forecasts'!O$109</f>
        <v>4.5999999999999999E-2</v>
      </c>
      <c r="P120" s="48">
        <f>-'Fiscal Forecasts'!P$109</f>
        <v>4.4999999999999998E-2</v>
      </c>
      <c r="Q120" s="20">
        <f t="shared" ref="Q120:Z120" ca="1" si="85">Q$465-P$465</f>
        <v>-0.17411321626617449</v>
      </c>
      <c r="R120" s="20">
        <f t="shared" ca="1" si="85"/>
        <v>-0.17596649722735647</v>
      </c>
      <c r="S120" s="20">
        <f t="shared" ca="1" si="85"/>
        <v>-0.17725092421441779</v>
      </c>
      <c r="T120" s="20">
        <f t="shared" ca="1" si="85"/>
        <v>-0.17767906654343824</v>
      </c>
      <c r="U120" s="20">
        <f t="shared" ca="1" si="85"/>
        <v>-0.17168507393715338</v>
      </c>
      <c r="V120" s="20">
        <f t="shared" ca="1" si="85"/>
        <v>-0.16954436229205205</v>
      </c>
      <c r="W120" s="20">
        <f t="shared" ca="1" si="85"/>
        <v>-0.1669755083179294</v>
      </c>
      <c r="X120" s="20">
        <f t="shared" ca="1" si="85"/>
        <v>-0.16397851201478764</v>
      </c>
      <c r="Y120" s="20">
        <f t="shared" ca="1" si="85"/>
        <v>-0.1596970887245841</v>
      </c>
      <c r="Z120" s="20">
        <f t="shared" ca="1" si="85"/>
        <v>-0.15584380776340101</v>
      </c>
    </row>
    <row r="121" spans="1:26" x14ac:dyDescent="0.25">
      <c r="A121" s="11" t="s">
        <v>1201</v>
      </c>
      <c r="B121" s="11"/>
      <c r="C121" s="15"/>
      <c r="D121" s="94">
        <f t="shared" ref="D121:Z121" si="86">-SUM(D$114:D$120)</f>
        <v>-4.9750000000000005</v>
      </c>
      <c r="E121" s="94">
        <f t="shared" si="86"/>
        <v>-12.507</v>
      </c>
      <c r="F121" s="94">
        <f t="shared" si="86"/>
        <v>-8.7899999999999991</v>
      </c>
      <c r="G121" s="94">
        <f t="shared" si="86"/>
        <v>-7.6849999999999996</v>
      </c>
      <c r="H121" s="94">
        <f t="shared" si="86"/>
        <v>-11.238999999999999</v>
      </c>
      <c r="I121" s="94">
        <f t="shared" si="86"/>
        <v>-12.820999999999998</v>
      </c>
      <c r="J121" s="94">
        <f t="shared" si="86"/>
        <v>-13.626999999999999</v>
      </c>
      <c r="K121" s="94">
        <f t="shared" si="86"/>
        <v>-13.006</v>
      </c>
      <c r="L121" s="95">
        <f t="shared" si="86"/>
        <v>-11.635</v>
      </c>
      <c r="M121" s="95">
        <f t="shared" si="86"/>
        <v>-12.521999999999998</v>
      </c>
      <c r="N121" s="95">
        <f t="shared" si="86"/>
        <v>-13.024000000000001</v>
      </c>
      <c r="O121" s="95">
        <f t="shared" si="86"/>
        <v>-13.629999999999997</v>
      </c>
      <c r="P121" s="95">
        <f t="shared" si="86"/>
        <v>-14.069000000000001</v>
      </c>
      <c r="Q121" s="99">
        <f t="shared" ca="1" si="86"/>
        <v>-14.820837363300775</v>
      </c>
      <c r="R121" s="99">
        <f t="shared" ca="1" si="86"/>
        <v>-15.179479527195666</v>
      </c>
      <c r="S121" s="99">
        <f t="shared" ca="1" si="86"/>
        <v>-15.453143496770364</v>
      </c>
      <c r="T121" s="99">
        <f t="shared" ca="1" si="86"/>
        <v>-15.822828735243453</v>
      </c>
      <c r="U121" s="99">
        <f t="shared" ca="1" si="86"/>
        <v>-16.161707139886545</v>
      </c>
      <c r="V121" s="99">
        <f t="shared" ca="1" si="86"/>
        <v>-16.521071547220544</v>
      </c>
      <c r="W121" s="99">
        <f t="shared" ca="1" si="86"/>
        <v>-16.896390405965313</v>
      </c>
      <c r="X121" s="99">
        <f t="shared" ca="1" si="86"/>
        <v>-17.244694302751764</v>
      </c>
      <c r="Y121" s="99">
        <f t="shared" ca="1" si="86"/>
        <v>-17.641167594308783</v>
      </c>
      <c r="Z121" s="99">
        <f t="shared" ca="1" si="86"/>
        <v>-17.986082217464116</v>
      </c>
    </row>
    <row r="122" spans="1:26" x14ac:dyDescent="0.25">
      <c r="A122" s="12" t="s">
        <v>932</v>
      </c>
      <c r="B122" s="14" t="str">
        <f t="shared" ref="B122:B127" si="87">$B$38</f>
        <v>From Fiscal Forecasts</v>
      </c>
      <c r="C122" s="15"/>
      <c r="D122" s="50">
        <f>'Fiscal Forecasts'!D$111</f>
        <v>4.1879999999999997</v>
      </c>
      <c r="E122" s="50">
        <f>'Fiscal Forecasts'!E$111</f>
        <v>0.63100000000000001</v>
      </c>
      <c r="F122" s="50">
        <f>'Fiscal Forecasts'!F$111</f>
        <v>1.4810000000000001</v>
      </c>
      <c r="G122" s="50">
        <f>'Fiscal Forecasts'!G$111</f>
        <v>5.0270000000000001</v>
      </c>
      <c r="H122" s="50">
        <f>'Fiscal Forecasts'!H$111</f>
        <v>1.155</v>
      </c>
      <c r="I122" s="50">
        <f>'Fiscal Forecasts'!I$111</f>
        <v>3.3050000000000002</v>
      </c>
      <c r="J122" s="50">
        <f>'Fiscal Forecasts'!J$111</f>
        <v>-1.62</v>
      </c>
      <c r="K122" s="50">
        <f>'Fiscal Forecasts'!K$111</f>
        <v>-0.81599999999999995</v>
      </c>
      <c r="L122" s="48">
        <f>'Fiscal Forecasts'!L$111</f>
        <v>4.8789999999999996</v>
      </c>
      <c r="M122" s="48">
        <f>'Fiscal Forecasts'!M$111</f>
        <v>1.446</v>
      </c>
      <c r="N122" s="48">
        <f>'Fiscal Forecasts'!N$111</f>
        <v>1.375</v>
      </c>
      <c r="O122" s="48">
        <f>'Fiscal Forecasts'!O$111</f>
        <v>1.5720000000000001</v>
      </c>
      <c r="P122" s="48">
        <f>'Fiscal Forecasts'!P$111</f>
        <v>0.52500000000000002</v>
      </c>
      <c r="Q122" s="20">
        <f t="shared" ref="Q122:Z122" ca="1" si="88">Q$354-P$354</f>
        <v>2.3396562245446049</v>
      </c>
      <c r="R122" s="20">
        <f t="shared" ca="1" si="88"/>
        <v>1.7389672332306674</v>
      </c>
      <c r="S122" s="20">
        <f t="shared" ca="1" si="88"/>
        <v>1.8109203041381008</v>
      </c>
      <c r="T122" s="20">
        <f t="shared" ca="1" si="88"/>
        <v>1.9051544576687078</v>
      </c>
      <c r="U122" s="20">
        <f t="shared" ca="1" si="88"/>
        <v>1.97949050186498</v>
      </c>
      <c r="V122" s="20">
        <f t="shared" ca="1" si="88"/>
        <v>2.0400572158238575</v>
      </c>
      <c r="W122" s="20">
        <f t="shared" ca="1" si="88"/>
        <v>2.0958581851533538</v>
      </c>
      <c r="X122" s="20">
        <f t="shared" ca="1" si="88"/>
        <v>2.1563918293906852</v>
      </c>
      <c r="Y122" s="20">
        <f t="shared" ca="1" si="88"/>
        <v>2.2268386436103</v>
      </c>
      <c r="Z122" s="20">
        <f t="shared" ca="1" si="88"/>
        <v>2.3000483170485424</v>
      </c>
    </row>
    <row r="123" spans="1:26" x14ac:dyDescent="0.25">
      <c r="A123" s="12" t="s">
        <v>933</v>
      </c>
      <c r="B123" s="14" t="str">
        <f t="shared" si="87"/>
        <v>From Fiscal Forecasts</v>
      </c>
      <c r="C123" s="15"/>
      <c r="D123" s="50">
        <f>'Fiscal Forecasts'!D$112</f>
        <v>3.6999999999999998E-2</v>
      </c>
      <c r="E123" s="50">
        <f>'Fiscal Forecasts'!E$112</f>
        <v>2.1000000000000001E-2</v>
      </c>
      <c r="F123" s="50">
        <f>'Fiscal Forecasts'!F$112</f>
        <v>1.1259999999999999</v>
      </c>
      <c r="G123" s="50">
        <f>'Fiscal Forecasts'!G$112</f>
        <v>0.19700000000000001</v>
      </c>
      <c r="H123" s="50">
        <f>'Fiscal Forecasts'!H$112</f>
        <v>0.183</v>
      </c>
      <c r="I123" s="50">
        <f>'Fiscal Forecasts'!I$112</f>
        <v>0.21099999999999999</v>
      </c>
      <c r="J123" s="50">
        <f>'Fiscal Forecasts'!J$112</f>
        <v>-0.98499999999999999</v>
      </c>
      <c r="K123" s="50">
        <f>'Fiscal Forecasts'!K$112</f>
        <v>-1.9179999999999999</v>
      </c>
      <c r="L123" s="48">
        <f>'Fiscal Forecasts'!L$112</f>
        <v>-0.16200000000000001</v>
      </c>
      <c r="M123" s="48">
        <f>'Fiscal Forecasts'!M$112</f>
        <v>0.75700000000000001</v>
      </c>
      <c r="N123" s="48">
        <f>'Fiscal Forecasts'!N$112</f>
        <v>0.33500000000000002</v>
      </c>
      <c r="O123" s="48">
        <f>'Fiscal Forecasts'!O$112</f>
        <v>0.24199999999999999</v>
      </c>
      <c r="P123" s="48">
        <f>'Fiscal Forecasts'!P$112</f>
        <v>0.22800000000000001</v>
      </c>
      <c r="Q123" s="20">
        <f t="shared" ref="Q123:Z123" ca="1" si="89">Q$404-Q$332</f>
        <v>0.70568000000000031</v>
      </c>
      <c r="R123" s="20">
        <f t="shared" ca="1" si="89"/>
        <v>0.74441360000000034</v>
      </c>
      <c r="S123" s="20">
        <f t="shared" ca="1" si="89"/>
        <v>0.78120187200000035</v>
      </c>
      <c r="T123" s="20">
        <f t="shared" ca="1" si="89"/>
        <v>0.81504590944000044</v>
      </c>
      <c r="U123" s="20">
        <f t="shared" ca="1" si="89"/>
        <v>0.84694682762880036</v>
      </c>
      <c r="V123" s="20">
        <f t="shared" ca="1" si="89"/>
        <v>0.87990576418137634</v>
      </c>
      <c r="W123" s="20">
        <f t="shared" ca="1" si="89"/>
        <v>0.91292387946500386</v>
      </c>
      <c r="X123" s="20">
        <f t="shared" ca="1" si="89"/>
        <v>0.94800235705430402</v>
      </c>
      <c r="Y123" s="20">
        <f t="shared" ca="1" si="89"/>
        <v>0.98414240419539001</v>
      </c>
      <c r="Z123" s="20">
        <f t="shared" ca="1" si="89"/>
        <v>1.020345252279298</v>
      </c>
    </row>
    <row r="124" spans="1:26" x14ac:dyDescent="0.25">
      <c r="A124" s="12" t="s">
        <v>934</v>
      </c>
      <c r="B124" s="14" t="str">
        <f t="shared" si="87"/>
        <v>From Fiscal Forecasts</v>
      </c>
      <c r="C124" s="15"/>
      <c r="D124" s="50">
        <f>'Fiscal Forecasts'!D$113</f>
        <v>0.17499999999999999</v>
      </c>
      <c r="E124" s="50">
        <f>'Fiscal Forecasts'!E$113</f>
        <v>0.254</v>
      </c>
      <c r="F124" s="50">
        <f>'Fiscal Forecasts'!F$113</f>
        <v>0.42099999999999999</v>
      </c>
      <c r="G124" s="50">
        <f>'Fiscal Forecasts'!G$113</f>
        <v>0.874</v>
      </c>
      <c r="H124" s="50">
        <f>'Fiscal Forecasts'!H$113</f>
        <v>-2.7E-2</v>
      </c>
      <c r="I124" s="50">
        <f>'Fiscal Forecasts'!I$113</f>
        <v>-0.18</v>
      </c>
      <c r="J124" s="50">
        <f>'Fiscal Forecasts'!J$113</f>
        <v>0.23899999999999999</v>
      </c>
      <c r="K124" s="50">
        <f>'Fiscal Forecasts'!K$113</f>
        <v>0.16500000000000001</v>
      </c>
      <c r="L124" s="48">
        <f>'Fiscal Forecasts'!L$113</f>
        <v>-0.154</v>
      </c>
      <c r="M124" s="48">
        <f>'Fiscal Forecasts'!M$113</f>
        <v>-8.1000000000000003E-2</v>
      </c>
      <c r="N124" s="48">
        <f>'Fiscal Forecasts'!N$113</f>
        <v>0.02</v>
      </c>
      <c r="O124" s="48">
        <f>'Fiscal Forecasts'!O$113</f>
        <v>2.9000000000000001E-2</v>
      </c>
      <c r="P124" s="48">
        <f>'Fiscal Forecasts'!P$113</f>
        <v>-1.2E-2</v>
      </c>
      <c r="Q124" s="20">
        <f t="shared" ref="Q124:Z124" ca="1" si="90">Q$410-P$410</f>
        <v>6.133999999999995E-2</v>
      </c>
      <c r="R124" s="20">
        <f t="shared" ca="1" si="90"/>
        <v>6.2566800000000367E-2</v>
      </c>
      <c r="S124" s="20">
        <f t="shared" ca="1" si="90"/>
        <v>6.3818136000000081E-2</v>
      </c>
      <c r="T124" s="20">
        <f t="shared" ca="1" si="90"/>
        <v>6.5094498720000171E-2</v>
      </c>
      <c r="U124" s="20">
        <f t="shared" ca="1" si="90"/>
        <v>6.6396388694399899E-2</v>
      </c>
      <c r="V124" s="20">
        <f t="shared" ca="1" si="90"/>
        <v>6.7724316468288137E-2</v>
      </c>
      <c r="W124" s="20">
        <f t="shared" ca="1" si="90"/>
        <v>6.9078802797653882E-2</v>
      </c>
      <c r="X124" s="20">
        <f t="shared" ca="1" si="90"/>
        <v>7.0460378853606898E-2</v>
      </c>
      <c r="Y124" s="20">
        <f t="shared" ca="1" si="90"/>
        <v>7.1869586430679089E-2</v>
      </c>
      <c r="Z124" s="20">
        <f t="shared" ca="1" si="90"/>
        <v>7.3306978159292768E-2</v>
      </c>
    </row>
    <row r="125" spans="1:26" x14ac:dyDescent="0.25">
      <c r="A125" s="12" t="s">
        <v>935</v>
      </c>
      <c r="B125" s="14" t="str">
        <f t="shared" si="87"/>
        <v>From Fiscal Forecasts</v>
      </c>
      <c r="C125" s="15"/>
      <c r="D125" s="50">
        <f>'Fiscal Forecasts'!D$114</f>
        <v>3.5999999999999997E-2</v>
      </c>
      <c r="E125" s="50">
        <f>'Fiscal Forecasts'!E$114</f>
        <v>0.108</v>
      </c>
      <c r="F125" s="50">
        <f>'Fiscal Forecasts'!F$114</f>
        <v>6.3E-2</v>
      </c>
      <c r="G125" s="50">
        <f>'Fiscal Forecasts'!G$114</f>
        <v>0.30299999999999999</v>
      </c>
      <c r="H125" s="50">
        <f>'Fiscal Forecasts'!H$114</f>
        <v>0.113</v>
      </c>
      <c r="I125" s="50">
        <f>'Fiscal Forecasts'!I$114</f>
        <v>0.30499999999999999</v>
      </c>
      <c r="J125" s="50">
        <f>'Fiscal Forecasts'!J$114</f>
        <v>0.32800000000000001</v>
      </c>
      <c r="K125" s="50">
        <f>'Fiscal Forecasts'!K$114</f>
        <v>0.183</v>
      </c>
      <c r="L125" s="48">
        <f>'Fiscal Forecasts'!L$114</f>
        <v>0.14699999999999999</v>
      </c>
      <c r="M125" s="48">
        <f>'Fiscal Forecasts'!M$114</f>
        <v>-3.3000000000000002E-2</v>
      </c>
      <c r="N125" s="48">
        <f>'Fiscal Forecasts'!N$114</f>
        <v>0.01</v>
      </c>
      <c r="O125" s="48">
        <f>'Fiscal Forecasts'!O$114</f>
        <v>2E-3</v>
      </c>
      <c r="P125" s="48">
        <f>'Fiscal Forecasts'!P$114</f>
        <v>-6.0000000000000001E-3</v>
      </c>
      <c r="Q125" s="20">
        <f t="shared" ref="Q125:Z125" ca="1" si="91">Q$414-P$414</f>
        <v>0.1062599999999998</v>
      </c>
      <c r="R125" s="20">
        <f t="shared" ca="1" si="91"/>
        <v>0.10838519999999985</v>
      </c>
      <c r="S125" s="20">
        <f t="shared" ca="1" si="91"/>
        <v>0.1105529040000004</v>
      </c>
      <c r="T125" s="20">
        <f t="shared" ca="1" si="91"/>
        <v>0.11276396207999984</v>
      </c>
      <c r="U125" s="20">
        <f t="shared" ca="1" si="91"/>
        <v>0.11501924132160024</v>
      </c>
      <c r="V125" s="20">
        <f t="shared" ca="1" si="91"/>
        <v>0.11731962614803226</v>
      </c>
      <c r="W125" s="20">
        <f t="shared" ca="1" si="91"/>
        <v>0.11966601867099236</v>
      </c>
      <c r="X125" s="20">
        <f t="shared" ca="1" si="91"/>
        <v>0.12205933904441224</v>
      </c>
      <c r="Y125" s="20">
        <f t="shared" ca="1" si="91"/>
        <v>0.12450052582530091</v>
      </c>
      <c r="Z125" s="20">
        <f t="shared" ca="1" si="91"/>
        <v>0.12699053634180668</v>
      </c>
    </row>
    <row r="126" spans="1:26" x14ac:dyDescent="0.25">
      <c r="A126" s="12" t="s">
        <v>1202</v>
      </c>
      <c r="B126" s="14" t="str">
        <f t="shared" si="87"/>
        <v>From Fiscal Forecasts</v>
      </c>
      <c r="C126" s="15"/>
      <c r="D126" s="50">
        <f>-'Fiscal Forecasts'!D$115</f>
        <v>9.7000000000000003E-2</v>
      </c>
      <c r="E126" s="50">
        <f>-'Fiscal Forecasts'!E$115</f>
        <v>6.8000000000000005E-2</v>
      </c>
      <c r="F126" s="50">
        <f>-'Fiscal Forecasts'!F$115</f>
        <v>-0.04</v>
      </c>
      <c r="G126" s="50">
        <f>-'Fiscal Forecasts'!G$115</f>
        <v>0.81899999999999995</v>
      </c>
      <c r="H126" s="50">
        <f>-'Fiscal Forecasts'!H$115</f>
        <v>0.24399999999999999</v>
      </c>
      <c r="I126" s="50">
        <f>-'Fiscal Forecasts'!I$115</f>
        <v>-0.158</v>
      </c>
      <c r="J126" s="50">
        <f>-'Fiscal Forecasts'!J$115</f>
        <v>7.3999999999999996E-2</v>
      </c>
      <c r="K126" s="50">
        <f>-'Fiscal Forecasts'!K$115</f>
        <v>0.27900000000000003</v>
      </c>
      <c r="L126" s="48">
        <f>-'Fiscal Forecasts'!L$115</f>
        <v>-0.10299999999999999</v>
      </c>
      <c r="M126" s="48">
        <f>-'Fiscal Forecasts'!M$115</f>
        <v>-3.9E-2</v>
      </c>
      <c r="N126" s="48">
        <f>-'Fiscal Forecasts'!N$115</f>
        <v>2.9000000000000001E-2</v>
      </c>
      <c r="O126" s="48">
        <f>-'Fiscal Forecasts'!O$115</f>
        <v>5.8000000000000003E-2</v>
      </c>
      <c r="P126" s="48">
        <f>-'Fiscal Forecasts'!P$115</f>
        <v>9.6000000000000002E-2</v>
      </c>
      <c r="Q126" s="20">
        <f t="shared" ref="Q126:Z126" ca="1" si="92">Q$450-P$450</f>
        <v>0.16759999999999975</v>
      </c>
      <c r="R126" s="20">
        <f t="shared" ca="1" si="92"/>
        <v>0.17095200000000066</v>
      </c>
      <c r="S126" s="20">
        <f t="shared" ca="1" si="92"/>
        <v>0.17437104000000048</v>
      </c>
      <c r="T126" s="20">
        <f t="shared" ca="1" si="92"/>
        <v>0.17785846079999956</v>
      </c>
      <c r="U126" s="20">
        <f t="shared" ca="1" si="92"/>
        <v>0.1814156300159997</v>
      </c>
      <c r="V126" s="20">
        <f t="shared" ca="1" si="92"/>
        <v>0.1850439426163204</v>
      </c>
      <c r="W126" s="20">
        <f t="shared" ca="1" si="92"/>
        <v>0.1887448214686458</v>
      </c>
      <c r="X126" s="20">
        <f t="shared" ca="1" si="92"/>
        <v>0.19251971789801914</v>
      </c>
      <c r="Y126" s="20">
        <f t="shared" ca="1" si="92"/>
        <v>0.19637011225598044</v>
      </c>
      <c r="Z126" s="20">
        <f t="shared" ca="1" si="92"/>
        <v>0.20029751450109945</v>
      </c>
    </row>
    <row r="127" spans="1:26" x14ac:dyDescent="0.25">
      <c r="A127" s="12" t="s">
        <v>1203</v>
      </c>
      <c r="B127" s="14" t="str">
        <f t="shared" si="87"/>
        <v>From Fiscal Forecasts</v>
      </c>
      <c r="C127" s="15"/>
      <c r="D127" s="50">
        <f>-'Fiscal Forecasts'!D$116</f>
        <v>2.5710000000000002</v>
      </c>
      <c r="E127" s="50">
        <f>-'Fiscal Forecasts'!E$116</f>
        <v>0.95599999999999996</v>
      </c>
      <c r="F127" s="50">
        <f>-'Fiscal Forecasts'!F$116</f>
        <v>1.8320000000000001</v>
      </c>
      <c r="G127" s="50">
        <f>-'Fiscal Forecasts'!G$116</f>
        <v>1.849</v>
      </c>
      <c r="H127" s="50">
        <f>-'Fiscal Forecasts'!H$116</f>
        <v>3.2770000000000001</v>
      </c>
      <c r="I127" s="50">
        <f>-'Fiscal Forecasts'!I$116</f>
        <v>1.3859999999999999</v>
      </c>
      <c r="J127" s="50">
        <f>-'Fiscal Forecasts'!J$116</f>
        <v>-1.349</v>
      </c>
      <c r="K127" s="50">
        <f>-'Fiscal Forecasts'!K$116</f>
        <v>-2.782</v>
      </c>
      <c r="L127" s="48">
        <f>-'Fiscal Forecasts'!L$116</f>
        <v>-2.0059999999999998</v>
      </c>
      <c r="M127" s="48">
        <f>-'Fiscal Forecasts'!M$116</f>
        <v>-0.23499999999999999</v>
      </c>
      <c r="N127" s="48">
        <f>-'Fiscal Forecasts'!N$116</f>
        <v>1.6E-2</v>
      </c>
      <c r="O127" s="48">
        <f>-'Fiscal Forecasts'!O$116</f>
        <v>0.21</v>
      </c>
      <c r="P127" s="48">
        <f>-'Fiscal Forecasts'!P$116</f>
        <v>-0.39800000000000002</v>
      </c>
      <c r="Q127" s="20">
        <f t="shared" ref="Q127:Z127" ca="1" si="93">SUM(Q$446-P$446,Q$471-P$471)</f>
        <v>1.6226919609048274</v>
      </c>
      <c r="R127" s="20">
        <f t="shared" ca="1" si="93"/>
        <v>1.0222955688282021</v>
      </c>
      <c r="S127" s="20">
        <f t="shared" ca="1" si="93"/>
        <v>1.0566873873224019</v>
      </c>
      <c r="T127" s="20">
        <f t="shared" ca="1" si="93"/>
        <v>1.0986448742902262</v>
      </c>
      <c r="U127" s="20">
        <f t="shared" ca="1" si="93"/>
        <v>1.1340204025139684</v>
      </c>
      <c r="V127" s="20">
        <f t="shared" ca="1" si="93"/>
        <v>1.1659588488342543</v>
      </c>
      <c r="W127" s="20">
        <f t="shared" ca="1" si="93"/>
        <v>1.1977677904215831</v>
      </c>
      <c r="X127" s="20">
        <f t="shared" ca="1" si="93"/>
        <v>1.2325267139891167</v>
      </c>
      <c r="Y127" s="20">
        <f t="shared" ca="1" si="93"/>
        <v>1.2723165251642925</v>
      </c>
      <c r="Z127" s="20">
        <f t="shared" ca="1" si="93"/>
        <v>1.3147144832417936</v>
      </c>
    </row>
    <row r="128" spans="1:26" x14ac:dyDescent="0.25">
      <c r="A128" s="11" t="s">
        <v>938</v>
      </c>
      <c r="B128" s="11"/>
      <c r="C128" s="15"/>
      <c r="D128" s="94">
        <f t="shared" ref="D128:Z128" si="94">SUM(D$122:D$125)-SUM(D$126:D$127)</f>
        <v>1.7679999999999989</v>
      </c>
      <c r="E128" s="94">
        <f t="shared" si="94"/>
        <v>-1.0000000000000009E-2</v>
      </c>
      <c r="F128" s="94">
        <f t="shared" si="94"/>
        <v>1.2990000000000002</v>
      </c>
      <c r="G128" s="94">
        <f t="shared" si="94"/>
        <v>3.7329999999999997</v>
      </c>
      <c r="H128" s="94">
        <f t="shared" si="94"/>
        <v>-2.0969999999999995</v>
      </c>
      <c r="I128" s="94">
        <f t="shared" si="94"/>
        <v>2.4130000000000003</v>
      </c>
      <c r="J128" s="94">
        <f t="shared" si="94"/>
        <v>-0.76300000000000034</v>
      </c>
      <c r="K128" s="94">
        <f t="shared" si="94"/>
        <v>0.11699999999999999</v>
      </c>
      <c r="L128" s="95">
        <f t="shared" si="94"/>
        <v>6.819</v>
      </c>
      <c r="M128" s="95">
        <f t="shared" si="94"/>
        <v>2.363</v>
      </c>
      <c r="N128" s="95">
        <f t="shared" si="94"/>
        <v>1.6950000000000001</v>
      </c>
      <c r="O128" s="95">
        <f t="shared" si="94"/>
        <v>1.577</v>
      </c>
      <c r="P128" s="95">
        <f t="shared" si="94"/>
        <v>1.0369999999999999</v>
      </c>
      <c r="Q128" s="99">
        <f t="shared" ca="1" si="94"/>
        <v>1.4226442636397776</v>
      </c>
      <c r="R128" s="99">
        <f t="shared" ca="1" si="94"/>
        <v>1.4610852644024654</v>
      </c>
      <c r="S128" s="99">
        <f t="shared" ca="1" si="94"/>
        <v>1.5354347888156994</v>
      </c>
      <c r="T128" s="99">
        <f t="shared" ca="1" si="94"/>
        <v>1.6215554928184823</v>
      </c>
      <c r="U128" s="99">
        <f t="shared" ca="1" si="94"/>
        <v>1.6924169269798122</v>
      </c>
      <c r="V128" s="99">
        <f t="shared" ca="1" si="94"/>
        <v>1.7540041311709795</v>
      </c>
      <c r="W128" s="99">
        <f t="shared" ca="1" si="94"/>
        <v>1.8110142741967752</v>
      </c>
      <c r="X128" s="99">
        <f t="shared" ca="1" si="94"/>
        <v>1.8718674724558726</v>
      </c>
      <c r="Y128" s="99">
        <f t="shared" ca="1" si="94"/>
        <v>1.938664522641397</v>
      </c>
      <c r="Z128" s="99">
        <f t="shared" ca="1" si="94"/>
        <v>2.0056790860860465</v>
      </c>
    </row>
    <row r="129" spans="1:26" x14ac:dyDescent="0.25">
      <c r="A129" s="11" t="s">
        <v>1204</v>
      </c>
      <c r="B129" s="11"/>
      <c r="C129" s="15"/>
      <c r="D129" s="94">
        <f t="shared" ref="D129:Z129" si="95">SUM(D$99,D$113,D$121,D$128)</f>
        <v>0.38899999999999846</v>
      </c>
      <c r="E129" s="94">
        <f t="shared" si="95"/>
        <v>-30.040000000000003</v>
      </c>
      <c r="F129" s="94">
        <f t="shared" si="95"/>
        <v>16.159000000000013</v>
      </c>
      <c r="G129" s="94">
        <f t="shared" si="95"/>
        <v>-16.932000000000009</v>
      </c>
      <c r="H129" s="94">
        <f t="shared" si="95"/>
        <v>5.3209999999999802</v>
      </c>
      <c r="I129" s="94">
        <f t="shared" si="95"/>
        <v>-8.3650000000000375</v>
      </c>
      <c r="J129" s="94">
        <f t="shared" si="95"/>
        <v>-4.3999999999999844</v>
      </c>
      <c r="K129" s="94">
        <f t="shared" si="95"/>
        <v>1.1359999999999824</v>
      </c>
      <c r="L129" s="95">
        <f t="shared" ca="1" si="95"/>
        <v>-2.9629999999999823</v>
      </c>
      <c r="M129" s="95">
        <f t="shared" ca="1" si="95"/>
        <v>3.4769999999999937</v>
      </c>
      <c r="N129" s="95">
        <f t="shared" ca="1" si="95"/>
        <v>8.9020000000000223</v>
      </c>
      <c r="O129" s="95">
        <f t="shared" ca="1" si="95"/>
        <v>13.542999999999992</v>
      </c>
      <c r="P129" s="95">
        <f t="shared" ca="1" si="95"/>
        <v>16.692999999999984</v>
      </c>
      <c r="Q129" s="99">
        <f t="shared" ca="1" si="95"/>
        <v>19.10319376495033</v>
      </c>
      <c r="R129" s="99">
        <f t="shared" ca="1" si="95"/>
        <v>21.912760963078608</v>
      </c>
      <c r="S129" s="99">
        <f t="shared" ca="1" si="95"/>
        <v>25.069455417341409</v>
      </c>
      <c r="T129" s="99">
        <f t="shared" ca="1" si="95"/>
        <v>28.577660564792264</v>
      </c>
      <c r="U129" s="99">
        <f t="shared" ca="1" si="95"/>
        <v>32.222169395260629</v>
      </c>
      <c r="V129" s="99">
        <f t="shared" ca="1" si="95"/>
        <v>35.822297289347873</v>
      </c>
      <c r="W129" s="99">
        <f t="shared" ca="1" si="95"/>
        <v>39.601551433721923</v>
      </c>
      <c r="X129" s="99">
        <f t="shared" ca="1" si="95"/>
        <v>43.596292698774548</v>
      </c>
      <c r="Y129" s="99">
        <f t="shared" ca="1" si="95"/>
        <v>47.942393958932364</v>
      </c>
      <c r="Z129" s="99">
        <f t="shared" ca="1" si="95"/>
        <v>52.5455323092025</v>
      </c>
    </row>
    <row r="130" spans="1:26" x14ac:dyDescent="0.25">
      <c r="A130" s="60" t="s">
        <v>1205</v>
      </c>
      <c r="B130" s="11"/>
      <c r="C130" s="15"/>
      <c r="D130" s="97" t="str">
        <f t="shared" ref="D130:Z130" ca="1" si="96">IF(ROUND(D$39-D$129,3)=0,"OK","ERROR")</f>
        <v>OK</v>
      </c>
      <c r="E130" s="97" t="str">
        <f t="shared" ca="1" si="96"/>
        <v>OK</v>
      </c>
      <c r="F130" s="97" t="str">
        <f t="shared" ca="1" si="96"/>
        <v>OK</v>
      </c>
      <c r="G130" s="97" t="str">
        <f t="shared" ca="1" si="96"/>
        <v>OK</v>
      </c>
      <c r="H130" s="97" t="str">
        <f t="shared" ca="1" si="96"/>
        <v>OK</v>
      </c>
      <c r="I130" s="97" t="str">
        <f t="shared" ca="1" si="96"/>
        <v>OK</v>
      </c>
      <c r="J130" s="97" t="str">
        <f t="shared" ca="1" si="96"/>
        <v>OK</v>
      </c>
      <c r="K130" s="97" t="str">
        <f t="shared" ca="1" si="96"/>
        <v>OK</v>
      </c>
      <c r="L130" s="97" t="str">
        <f t="shared" ca="1" si="96"/>
        <v>OK</v>
      </c>
      <c r="M130" s="97" t="str">
        <f t="shared" ca="1" si="96"/>
        <v>OK</v>
      </c>
      <c r="N130" s="97" t="str">
        <f t="shared" ca="1" si="96"/>
        <v>OK</v>
      </c>
      <c r="O130" s="97" t="str">
        <f t="shared" ca="1" si="96"/>
        <v>OK</v>
      </c>
      <c r="P130" s="97" t="str">
        <f t="shared" ca="1" si="96"/>
        <v>OK</v>
      </c>
      <c r="Q130" s="97" t="str">
        <f t="shared" ca="1" si="96"/>
        <v>OK</v>
      </c>
      <c r="R130" s="97" t="str">
        <f t="shared" ca="1" si="96"/>
        <v>OK</v>
      </c>
      <c r="S130" s="97" t="str">
        <f t="shared" ca="1" si="96"/>
        <v>OK</v>
      </c>
      <c r="T130" s="97" t="str">
        <f t="shared" ca="1" si="96"/>
        <v>OK</v>
      </c>
      <c r="U130" s="97" t="str">
        <f t="shared" ca="1" si="96"/>
        <v>OK</v>
      </c>
      <c r="V130" s="97" t="str">
        <f t="shared" ca="1" si="96"/>
        <v>OK</v>
      </c>
      <c r="W130" s="97" t="str">
        <f t="shared" ca="1" si="96"/>
        <v>OK</v>
      </c>
      <c r="X130" s="97" t="str">
        <f t="shared" ca="1" si="96"/>
        <v>OK</v>
      </c>
      <c r="Y130" s="97" t="str">
        <f t="shared" ca="1" si="96"/>
        <v>OK</v>
      </c>
      <c r="Z130" s="97" t="str">
        <f t="shared" ca="1" si="96"/>
        <v>OK</v>
      </c>
    </row>
    <row r="131" spans="1:26" x14ac:dyDescent="0.25">
      <c r="A131" s="11"/>
      <c r="B131" s="11"/>
      <c r="C131" s="15"/>
      <c r="D131" s="89"/>
      <c r="E131" s="89"/>
      <c r="F131" s="89"/>
      <c r="G131" s="89"/>
      <c r="H131" s="89"/>
      <c r="I131" s="89"/>
      <c r="J131" s="89"/>
      <c r="K131" s="89"/>
      <c r="L131" s="89"/>
      <c r="M131" s="89"/>
      <c r="N131" s="89"/>
      <c r="O131" s="89"/>
      <c r="P131" s="89"/>
      <c r="Q131" s="17"/>
      <c r="R131" s="17"/>
      <c r="S131" s="17"/>
      <c r="T131" s="17"/>
      <c r="U131" s="17"/>
      <c r="V131" s="17"/>
      <c r="W131" s="17"/>
      <c r="X131" s="17"/>
      <c r="Y131" s="17"/>
      <c r="Z131" s="17"/>
    </row>
    <row r="132" spans="1:26" x14ac:dyDescent="0.25">
      <c r="A132" s="57" t="s">
        <v>1206</v>
      </c>
      <c r="B132" s="11"/>
      <c r="C132" s="15"/>
      <c r="D132" s="91"/>
      <c r="E132" s="91"/>
      <c r="F132" s="91"/>
      <c r="G132" s="91"/>
      <c r="H132" s="91"/>
      <c r="I132" s="91"/>
      <c r="J132" s="91"/>
      <c r="K132" s="91"/>
    </row>
    <row r="133" spans="1:26" x14ac:dyDescent="0.25">
      <c r="A133" s="11" t="s">
        <v>1010</v>
      </c>
      <c r="B133" s="11"/>
      <c r="C133" s="15"/>
      <c r="D133" s="91"/>
      <c r="E133" s="91"/>
      <c r="F133" s="91"/>
      <c r="G133" s="91"/>
      <c r="H133" s="91"/>
      <c r="I133" s="91"/>
      <c r="J133" s="91"/>
      <c r="K133" s="91"/>
    </row>
    <row r="134" spans="1:26" x14ac:dyDescent="0.25">
      <c r="A134" s="12" t="s">
        <v>1207</v>
      </c>
      <c r="B134" s="14" t="str">
        <f t="shared" ref="B134:B139" si="97">$B$38</f>
        <v>From Fiscal Forecasts</v>
      </c>
      <c r="C134" s="15"/>
      <c r="D134" s="50">
        <f>'Fiscal Forecasts'!D$220</f>
        <v>32.878999999999998</v>
      </c>
      <c r="E134" s="50">
        <f>'Fiscal Forecasts'!E$220</f>
        <v>34.963000000000001</v>
      </c>
      <c r="F134" s="50">
        <f>'Fiscal Forecasts'!F$220</f>
        <v>38.164000000000001</v>
      </c>
      <c r="G134" s="50">
        <f>'Fiscal Forecasts'!G$220</f>
        <v>42.448</v>
      </c>
      <c r="H134" s="50">
        <f>'Fiscal Forecasts'!H$220</f>
        <v>47.386000000000003</v>
      </c>
      <c r="I134" s="50">
        <f>'Fiscal Forecasts'!I$220</f>
        <v>52.283000000000001</v>
      </c>
      <c r="J134" s="50">
        <f>'Fiscal Forecasts'!J$220</f>
        <v>52.46</v>
      </c>
      <c r="K134" s="50">
        <f>'Fiscal Forecasts'!K$220</f>
        <v>54.756</v>
      </c>
      <c r="L134" s="48">
        <f>'Fiscal Forecasts'!L$220+IF($C$2="Yes",'Fiscal Forecast Adjuster'!C$8/1000,0)</f>
        <v>58.030999999999999</v>
      </c>
      <c r="M134" s="48">
        <f>'Fiscal Forecasts'!M$220+IF($C$2="Yes",'Fiscal Forecast Adjuster'!D$8/1000,0)</f>
        <v>61.448</v>
      </c>
      <c r="N134" s="48">
        <f>'Fiscal Forecasts'!N$220+IF($C$2="Yes",'Fiscal Forecast Adjuster'!E$8/1000,0)</f>
        <v>65.171999999999997</v>
      </c>
      <c r="O134" s="48">
        <f>'Fiscal Forecasts'!O$220+IF($C$2="Yes",'Fiscal Forecast Adjuster'!F$8/1000,0)</f>
        <v>69.072999999999993</v>
      </c>
      <c r="P134" s="48">
        <f>'Fiscal Forecasts'!P$220+IF($C$2="Yes",'Fiscal Forecast Adjuster'!G$8/1000,0)</f>
        <v>73.194000000000003</v>
      </c>
      <c r="Q134" s="20">
        <f ca="1">P$134*(1+Q$17)*(1+IF(Q$6&lt;OFFSET(Assumptions!$B$8,0,$C$1)+OFFSET(Assumptions!$B$27,0,$C$1),OFFSET(Assumptions!$B$28,0,$C$1),1)*Q$26)</f>
        <v>76.384571281638955</v>
      </c>
      <c r="R134" s="20">
        <f ca="1">Q$134*(1+R$17)*(1+IF(R$6&lt;OFFSET(Assumptions!$B$8,0,$C$1)+OFFSET(Assumptions!$B$27,0,$C$1),OFFSET(Assumptions!$B$28,0,$C$1),1)*R$26)</f>
        <v>79.64046035574512</v>
      </c>
      <c r="S134" s="20">
        <f ca="1">R$134*(1+S$17)*(1+IF(S$6&lt;OFFSET(Assumptions!$B$8,0,$C$1)+OFFSET(Assumptions!$B$27,0,$C$1),OFFSET(Assumptions!$B$28,0,$C$1),1)*S$26)</f>
        <v>82.957886846126542</v>
      </c>
      <c r="T134" s="20">
        <f ca="1">S$134*(1+T$17)*(1+IF(T$6&lt;OFFSET(Assumptions!$B$8,0,$C$1)+OFFSET(Assumptions!$B$27,0,$C$1),OFFSET(Assumptions!$B$28,0,$C$1),1)*T$26)</f>
        <v>86.373036495226216</v>
      </c>
      <c r="U134" s="20">
        <f ca="1">T$134*(1+U$17)*(1+IF(U$6&lt;OFFSET(Assumptions!$B$8,0,$C$1)+OFFSET(Assumptions!$B$27,0,$C$1),OFFSET(Assumptions!$B$28,0,$C$1),1)*U$26)</f>
        <v>89.907274932942229</v>
      </c>
      <c r="V134" s="20">
        <f ca="1">U$134*(1+V$17)*(1+IF(V$6&lt;OFFSET(Assumptions!$B$8,0,$C$1)+OFFSET(Assumptions!$B$27,0,$C$1),OFFSET(Assumptions!$B$28,0,$C$1),1)*V$26)</f>
        <v>93.561859068958213</v>
      </c>
      <c r="W134" s="20">
        <f ca="1">V$134*(1+W$17)*(1+IF(W$6&lt;OFFSET(Assumptions!$B$8,0,$C$1)+OFFSET(Assumptions!$B$27,0,$C$1),OFFSET(Assumptions!$B$28,0,$C$1),1)*W$26)</f>
        <v>97.31835158672888</v>
      </c>
      <c r="X134" s="20">
        <f ca="1">W$134*(1+X$17)*(1+IF(X$6&lt;OFFSET(Assumptions!$B$8,0,$C$1)+OFFSET(Assumptions!$B$27,0,$C$1),OFFSET(Assumptions!$B$28,0,$C$1),1)*X$26)</f>
        <v>101.18301551918587</v>
      </c>
      <c r="Y134" s="20">
        <f ca="1">X$134*(1+Y$17)*(1+IF(Y$6&lt;OFFSET(Assumptions!$B$8,0,$C$1)+OFFSET(Assumptions!$B$27,0,$C$1),OFFSET(Assumptions!$B$28,0,$C$1),1)*Y$26)</f>
        <v>105.176060634442</v>
      </c>
      <c r="Z134" s="20">
        <f ca="1">Y$134*(1+Z$17)*(1+IF(Z$6&lt;OFFSET(Assumptions!$B$8,0,$C$1)+OFFSET(Assumptions!$B$27,0,$C$1),OFFSET(Assumptions!$B$28,0,$C$1),1)*Z$26)</f>
        <v>109.29851679835681</v>
      </c>
    </row>
    <row r="135" spans="1:26" x14ac:dyDescent="0.25">
      <c r="A135" s="12" t="s">
        <v>1208</v>
      </c>
      <c r="B135" s="14" t="str">
        <f t="shared" si="97"/>
        <v>From Fiscal Forecasts</v>
      </c>
      <c r="C135" s="15"/>
      <c r="D135" s="50">
        <f>'Fiscal Forecasts'!D$221</f>
        <v>8.3160000000000007</v>
      </c>
      <c r="E135" s="50">
        <f>'Fiscal Forecasts'!E$221</f>
        <v>8.1910000000000007</v>
      </c>
      <c r="F135" s="50">
        <f>'Fiscal Forecasts'!F$221</f>
        <v>10.183999999999999</v>
      </c>
      <c r="G135" s="50">
        <f>'Fiscal Forecasts'!G$221</f>
        <v>12.015000000000001</v>
      </c>
      <c r="H135" s="50">
        <f>'Fiscal Forecasts'!H$221</f>
        <v>11.71</v>
      </c>
      <c r="I135" s="50">
        <f>'Fiscal Forecasts'!I$221</f>
        <v>14.042999999999999</v>
      </c>
      <c r="J135" s="50">
        <f>'Fiscal Forecasts'!J$221</f>
        <v>13.896000000000001</v>
      </c>
      <c r="K135" s="50">
        <f>'Fiscal Forecasts'!K$221</f>
        <v>13.583</v>
      </c>
      <c r="L135" s="48">
        <f>'Fiscal Forecasts'!L$221+IF($C$2="Yes",'Fiscal Forecast Adjuster'!C$9/1000,0)</f>
        <v>14.44</v>
      </c>
      <c r="M135" s="48">
        <f>'Fiscal Forecasts'!M$221+IF($C$2="Yes",'Fiscal Forecast Adjuster'!D$9/1000,0)</f>
        <v>15.914</v>
      </c>
      <c r="N135" s="48">
        <f>'Fiscal Forecasts'!N$221+IF($C$2="Yes",'Fiscal Forecast Adjuster'!E$9/1000,0)</f>
        <v>16.79</v>
      </c>
      <c r="O135" s="48">
        <f>'Fiscal Forecasts'!O$221+IF($C$2="Yes",'Fiscal Forecast Adjuster'!F$9/1000,0)</f>
        <v>17.603000000000002</v>
      </c>
      <c r="P135" s="48">
        <f>'Fiscal Forecasts'!P$221+IF($C$2="Yes",'Fiscal Forecast Adjuster'!G$9/1000,0)</f>
        <v>18.367000000000001</v>
      </c>
      <c r="Q135" s="20">
        <f ca="1">P$135*(1+Q$17)*(1+IF(Q$6&lt;OFFSET(Assumptions!$B$8,0,$C$1)+OFFSET(Assumptions!$B$27,0,$C$1),OFFSET(Assumptions!$B$28,0,$C$1),1)*Q$26)</f>
        <v>19.167628777356924</v>
      </c>
      <c r="R135" s="20">
        <f ca="1">Q$135*(1+R$17)*(1+IF(R$6&lt;OFFSET(Assumptions!$B$8,0,$C$1)+OFFSET(Assumptions!$B$27,0,$C$1),OFFSET(Assumptions!$B$28,0,$C$1),1)*R$26)</f>
        <v>19.98464813173171</v>
      </c>
      <c r="S135" s="20">
        <f ca="1">R$135*(1+S$17)*(1+IF(S$6&lt;OFFSET(Assumptions!$B$8,0,$C$1)+OFFSET(Assumptions!$B$27,0,$C$1),OFFSET(Assumptions!$B$28,0,$C$1),1)*S$26)</f>
        <v>20.817109431139254</v>
      </c>
      <c r="T135" s="20">
        <f ca="1">S$135*(1+T$17)*(1+IF(T$6&lt;OFFSET(Assumptions!$B$8,0,$C$1)+OFFSET(Assumptions!$B$27,0,$C$1),OFFSET(Assumptions!$B$28,0,$C$1),1)*T$26)</f>
        <v>21.67409297630708</v>
      </c>
      <c r="U135" s="20">
        <f ca="1">T$135*(1+U$17)*(1+IF(U$6&lt;OFFSET(Assumptions!$B$8,0,$C$1)+OFFSET(Assumptions!$B$27,0,$C$1),OFFSET(Assumptions!$B$28,0,$C$1),1)*U$26)</f>
        <v>22.560960170141684</v>
      </c>
      <c r="V135" s="20">
        <f ca="1">U$135*(1+V$17)*(1+IF(V$6&lt;OFFSET(Assumptions!$B$8,0,$C$1)+OFFSET(Assumptions!$B$27,0,$C$1),OFFSET(Assumptions!$B$28,0,$C$1),1)*V$26)</f>
        <v>23.478026416366859</v>
      </c>
      <c r="W135" s="20">
        <f ca="1">V$135*(1+W$17)*(1+IF(W$6&lt;OFFSET(Assumptions!$B$8,0,$C$1)+OFFSET(Assumptions!$B$27,0,$C$1),OFFSET(Assumptions!$B$28,0,$C$1),1)*W$26)</f>
        <v>24.420665130932175</v>
      </c>
      <c r="X135" s="20">
        <f ca="1">W$135*(1+X$17)*(1+IF(X$6&lt;OFFSET(Assumptions!$B$8,0,$C$1)+OFFSET(Assumptions!$B$27,0,$C$1),OFFSET(Assumptions!$B$28,0,$C$1),1)*X$26)</f>
        <v>25.390447933449291</v>
      </c>
      <c r="Y135" s="20">
        <f ca="1">X$135*(1+Y$17)*(1+IF(Y$6&lt;OFFSET(Assumptions!$B$8,0,$C$1)+OFFSET(Assumptions!$B$27,0,$C$1),OFFSET(Assumptions!$B$28,0,$C$1),1)*Y$26)</f>
        <v>26.392446179643091</v>
      </c>
      <c r="Z135" s="20">
        <f ca="1">Y$135*(1+Z$17)*(1+IF(Z$6&lt;OFFSET(Assumptions!$B$8,0,$C$1)+OFFSET(Assumptions!$B$27,0,$C$1),OFFSET(Assumptions!$B$28,0,$C$1),1)*Z$26)</f>
        <v>27.426918299798071</v>
      </c>
    </row>
    <row r="136" spans="1:26" x14ac:dyDescent="0.25">
      <c r="A136" s="12" t="s">
        <v>1209</v>
      </c>
      <c r="B136" s="14" t="str">
        <f t="shared" si="97"/>
        <v>From Fiscal Forecasts</v>
      </c>
      <c r="C136" s="100" cm="1">
        <f t="array" aca="1" ref="C136" ca="1">SUMPRODUCT(OFFSET($P$136,0,0,1,-OFFSET(Assumptions!$B$31,0,$C$1))/OFFSET($P$13,0,0,1,-OFFSET(Assumptions!$B$31,0,$C$1)))/OFFSET(Assumptions!$B$31,0,$C$1)</f>
        <v>4.4102369887619182E-2</v>
      </c>
      <c r="D136" s="50">
        <f>'Fiscal Forecasts'!D$222</f>
        <v>15.199</v>
      </c>
      <c r="E136" s="50">
        <f>'Fiscal Forecasts'!E$222</f>
        <v>12.103999999999999</v>
      </c>
      <c r="F136" s="50">
        <f>'Fiscal Forecasts'!F$222</f>
        <v>15.768000000000001</v>
      </c>
      <c r="G136" s="50">
        <f>'Fiscal Forecasts'!G$222</f>
        <v>19.896000000000001</v>
      </c>
      <c r="H136" s="50">
        <f>'Fiscal Forecasts'!H$222</f>
        <v>17.978000000000002</v>
      </c>
      <c r="I136" s="50">
        <f>'Fiscal Forecasts'!I$222</f>
        <v>16.908999999999999</v>
      </c>
      <c r="J136" s="50">
        <f>'Fiscal Forecasts'!J$222</f>
        <v>17.495999999999999</v>
      </c>
      <c r="K136" s="50">
        <f>'Fiscal Forecasts'!K$222</f>
        <v>17.736999999999998</v>
      </c>
      <c r="L136" s="48">
        <f>'Fiscal Forecasts'!L$222+IF($C$2="Yes",'Fiscal Forecast Adjuster'!C$10/1000,0)</f>
        <v>22.251000000000001</v>
      </c>
      <c r="M136" s="48">
        <f>'Fiscal Forecasts'!M$222+IF($C$2="Yes",'Fiscal Forecast Adjuster'!D$10/1000,0)</f>
        <v>22.193000000000001</v>
      </c>
      <c r="N136" s="48">
        <f>'Fiscal Forecasts'!N$222+IF($C$2="Yes",'Fiscal Forecast Adjuster'!E$10/1000,0)</f>
        <v>23.693000000000001</v>
      </c>
      <c r="O136" s="48">
        <f>'Fiscal Forecasts'!O$222+IF($C$2="Yes",'Fiscal Forecast Adjuster'!F$10/1000,0)</f>
        <v>24.581</v>
      </c>
      <c r="P136" s="48">
        <f>'Fiscal Forecasts'!P$222+IF($C$2="Yes",'Fiscal Forecast Adjuster'!G$10/1000,0)</f>
        <v>25.527999999999999</v>
      </c>
      <c r="Q136" s="20">
        <f ca="1">(P$136/P$13+MIN(ABS($C$136-P$136/P$13),OFFSET(Assumptions!$B$32,0,$C$1))*SIGN($C$136-P$136/P$13))*Q$13</f>
        <v>26.801387769059946</v>
      </c>
      <c r="R136" s="20">
        <f ca="1">(Q$136/Q$13+MIN(ABS($C$136-Q$136/Q$13),OFFSET(Assumptions!$B$32,0,$C$1))*SIGN($C$136-Q$136/Q$13))*R$13</f>
        <v>27.942192398678536</v>
      </c>
      <c r="S136" s="20">
        <f ca="1">(R$136/R$13+MIN(ABS($C$136-R$136/R$13),OFFSET(Assumptions!$B$32,0,$C$1))*SIGN($C$136-R$136/R$13))*S$13</f>
        <v>29.113220121123309</v>
      </c>
      <c r="T136" s="20">
        <f ca="1">(S$136/S$13+MIN(ABS($C$136-S$136/S$13),OFFSET(Assumptions!$B$32,0,$C$1))*SIGN($C$136-S$136/S$13))*T$13</f>
        <v>30.311731887282871</v>
      </c>
      <c r="U136" s="20">
        <f ca="1">(T$136/T$13+MIN(ABS($C$136-T$136/T$13),OFFSET(Assumptions!$B$32,0,$C$1))*SIGN($C$136-T$136/T$13))*U$13</f>
        <v>31.552036643220198</v>
      </c>
      <c r="V136" s="20">
        <f ca="1">(U$136/U$13+MIN(ABS($C$136-U$136/U$13),OFFSET(Assumptions!$B$32,0,$C$1))*SIGN($C$136-U$136/U$13))*V$13</f>
        <v>32.834575488506204</v>
      </c>
      <c r="W136" s="20">
        <f ca="1">(V$136/V$13+MIN(ABS($C$136-V$136/V$13),OFFSET(Assumptions!$B$32,0,$C$1))*SIGN($C$136-V$136/V$13))*W$13</f>
        <v>34.152878035870529</v>
      </c>
      <c r="X136" s="20">
        <f ca="1">(W$136/W$13+MIN(ABS($C$136-W$136/W$13),OFFSET(Assumptions!$B$32,0,$C$1))*SIGN($C$136-W$136/W$13))*X$13</f>
        <v>35.509142232528284</v>
      </c>
      <c r="Y136" s="20">
        <f ca="1">(X$136/X$13+MIN(ABS($C$136-X$136/X$13),OFFSET(Assumptions!$B$32,0,$C$1))*SIGN($C$136-X$136/X$13))*Y$13</f>
        <v>36.910460489460903</v>
      </c>
      <c r="Z136" s="20">
        <f ca="1">(Y$136/Y$13+MIN(ABS($C$136-Y$136/Y$13),OFFSET(Assumptions!$B$32,0,$C$1))*SIGN($C$136-Y$136/Y$13))*Z$13</f>
        <v>38.357194227536326</v>
      </c>
    </row>
    <row r="137" spans="1:26" x14ac:dyDescent="0.25">
      <c r="A137" s="12" t="s">
        <v>1210</v>
      </c>
      <c r="B137" s="14" t="str">
        <f t="shared" si="97"/>
        <v>From Fiscal Forecasts</v>
      </c>
      <c r="C137" s="100" cm="1">
        <f t="array" aca="1" ref="C137" ca="1">SUMPRODUCT(OFFSET($P$137,0,0,1,-OFFSET(Assumptions!$B$31,0,$C$1))/OFFSET($P$13,0,0,1,-OFFSET(Assumptions!$B$31,0,$C$1)))/OFFSET(Assumptions!$B$31,0,$C$1)</f>
        <v>7.0306868088069713E-2</v>
      </c>
      <c r="D137" s="50">
        <f>'Fiscal Forecasts'!D$223</f>
        <v>21.861999999999998</v>
      </c>
      <c r="E137" s="50">
        <f>'Fiscal Forecasts'!E$223</f>
        <v>21.748999999999999</v>
      </c>
      <c r="F137" s="50">
        <f>'Fiscal Forecasts'!F$223</f>
        <v>25.562000000000001</v>
      </c>
      <c r="G137" s="50">
        <f>'Fiscal Forecasts'!G$223</f>
        <v>26.123999999999999</v>
      </c>
      <c r="H137" s="50">
        <f>'Fiscal Forecasts'!H$223</f>
        <v>28.13</v>
      </c>
      <c r="I137" s="50">
        <f>'Fiscal Forecasts'!I$223</f>
        <v>29.277999999999999</v>
      </c>
      <c r="J137" s="50">
        <f>'Fiscal Forecasts'!J$223</f>
        <v>29.55</v>
      </c>
      <c r="K137" s="50">
        <f>'Fiscal Forecasts'!K$223</f>
        <v>31.206</v>
      </c>
      <c r="L137" s="48">
        <f>'Fiscal Forecasts'!L$223+IF($C$2="Yes",'Fiscal Forecast Adjuster'!C$11/1000,0)</f>
        <v>33.792999999999999</v>
      </c>
      <c r="M137" s="48">
        <f>'Fiscal Forecasts'!M$223+IF($C$2="Yes",'Fiscal Forecast Adjuster'!D$11/1000,0)</f>
        <v>36.033999999999999</v>
      </c>
      <c r="N137" s="48">
        <f>'Fiscal Forecasts'!N$223+IF($C$2="Yes",'Fiscal Forecast Adjuster'!E$11/1000,0)</f>
        <v>37.880000000000003</v>
      </c>
      <c r="O137" s="48">
        <f>'Fiscal Forecasts'!O$223+IF($C$2="Yes",'Fiscal Forecast Adjuster'!F$11/1000,0)</f>
        <v>39.923000000000002</v>
      </c>
      <c r="P137" s="48">
        <f>'Fiscal Forecasts'!P$223+IF($C$2="Yes",'Fiscal Forecast Adjuster'!G$11/1000,0)</f>
        <v>41.601999999999997</v>
      </c>
      <c r="Q137" s="20">
        <f ca="1">(P$137/P$13+MIN(ABS($C$137-P$137/P$13),OFFSET(Assumptions!$B$32,0,$C$1))*SIGN($C$137-P$137/P$13))*Q$13</f>
        <v>43.109117776064949</v>
      </c>
      <c r="R137" s="20">
        <f ca="1">(Q$137/Q$13+MIN(ABS($C$137-Q$137/Q$13),OFFSET(Assumptions!$B$32,0,$C$1))*SIGN($C$137-Q$137/Q$13))*R$13</f>
        <v>44.627275220468917</v>
      </c>
      <c r="S137" s="20">
        <f ca="1">(R$137/R$13+MIN(ABS($C$137-R$137/R$13),OFFSET(Assumptions!$B$32,0,$C$1))*SIGN($C$137-R$137/R$13))*S$13</f>
        <v>46.411549580907362</v>
      </c>
      <c r="T137" s="20">
        <f ca="1">(S$137/S$13+MIN(ABS($C$137-S$137/S$13),OFFSET(Assumptions!$B$32,0,$C$1))*SIGN($C$137-S$137/S$13))*T$13</f>
        <v>48.322186330363195</v>
      </c>
      <c r="U137" s="20">
        <f ca="1">(T$137/T$13+MIN(ABS($C$137-T$137/T$13),OFFSET(Assumptions!$B$32,0,$C$1))*SIGN($C$137-T$137/T$13))*U$13</f>
        <v>50.299448393306697</v>
      </c>
      <c r="V137" s="20">
        <f ca="1">(U$137/U$13+MIN(ABS($C$137-U$137/U$13),OFFSET(Assumptions!$B$32,0,$C$1))*SIGN($C$137-U$137/U$13))*V$13</f>
        <v>52.344038959371993</v>
      </c>
      <c r="W137" s="20">
        <f ca="1">(V$137/V$13+MIN(ABS($C$137-V$137/V$13),OFFSET(Assumptions!$B$32,0,$C$1))*SIGN($C$137-V$137/V$13))*W$13</f>
        <v>54.445643102956346</v>
      </c>
      <c r="X137" s="20">
        <f ca="1">(W$137/W$13+MIN(ABS($C$137-W$137/W$13),OFFSET(Assumptions!$B$32,0,$C$1))*SIGN($C$137-W$137/W$13))*X$13</f>
        <v>56.607764735194458</v>
      </c>
      <c r="Y137" s="20">
        <f ca="1">(X$137/X$13+MIN(ABS($C$137-X$137/X$13),OFFSET(Assumptions!$B$32,0,$C$1))*SIGN($C$137-X$137/X$13))*Y$13</f>
        <v>58.841710395951878</v>
      </c>
      <c r="Z137" s="20">
        <f ca="1">(Y$137/Y$13+MIN(ABS($C$137-Y$137/Y$13),OFFSET(Assumptions!$B$32,0,$C$1))*SIGN($C$137-Y$137/Y$13))*Z$13</f>
        <v>61.148056253115968</v>
      </c>
    </row>
    <row r="138" spans="1:26" x14ac:dyDescent="0.25">
      <c r="A138" s="12" t="s">
        <v>1211</v>
      </c>
      <c r="B138" s="14" t="str">
        <f t="shared" si="97"/>
        <v>From Fiscal Forecasts</v>
      </c>
      <c r="C138" s="100" cm="1">
        <f t="array" aca="1" ref="C138" ca="1">SUMPRODUCT(OFFSET($P$138,0,0,1,-OFFSET(Assumptions!$B$31,0,$C$1))/OFFSET($P$13,0,0,1,-OFFSET(Assumptions!$B$31,0,$C$1)))/OFFSET(Assumptions!$B$31,0,$C$1)</f>
        <v>1.0076668266754657E-2</v>
      </c>
      <c r="D138" s="50">
        <f>'Fiscal Forecasts'!D$224</f>
        <v>3.8820000000000001</v>
      </c>
      <c r="E138" s="50">
        <f>'Fiscal Forecasts'!E$224</f>
        <v>3.819</v>
      </c>
      <c r="F138" s="50">
        <f>'Fiscal Forecasts'!F$224</f>
        <v>4.306</v>
      </c>
      <c r="G138" s="50">
        <f>'Fiscal Forecasts'!G$224</f>
        <v>3.823</v>
      </c>
      <c r="H138" s="50">
        <f>'Fiscal Forecasts'!H$224</f>
        <v>2.976</v>
      </c>
      <c r="I138" s="50">
        <f>'Fiscal Forecasts'!I$224</f>
        <v>4.0730000000000004</v>
      </c>
      <c r="J138" s="50">
        <f>'Fiscal Forecasts'!J$224</f>
        <v>4.3179999999999996</v>
      </c>
      <c r="K138" s="50">
        <f>'Fiscal Forecasts'!K$224</f>
        <v>4.5419999999999998</v>
      </c>
      <c r="L138" s="48">
        <f>'Fiscal Forecasts'!L$224+IF($C$2="Yes",'Fiscal Forecast Adjuster'!C$12/1000,0)</f>
        <v>4.6970000000000001</v>
      </c>
      <c r="M138" s="48">
        <f>'Fiscal Forecasts'!M$224+IF($C$2="Yes",'Fiscal Forecast Adjuster'!D$12/1000,0)</f>
        <v>4.9770000000000003</v>
      </c>
      <c r="N138" s="48">
        <f>'Fiscal Forecasts'!N$224+IF($C$2="Yes",'Fiscal Forecast Adjuster'!E$12/1000,0)</f>
        <v>5.6440000000000001</v>
      </c>
      <c r="O138" s="48">
        <f>'Fiscal Forecasts'!O$224+IF($C$2="Yes",'Fiscal Forecast Adjuster'!F$12/1000,0)</f>
        <v>6.359</v>
      </c>
      <c r="P138" s="48">
        <f>'Fiscal Forecasts'!P$224+IF($C$2="Yes",'Fiscal Forecast Adjuster'!G$12/1000,0)</f>
        <v>6.83</v>
      </c>
      <c r="Q138" s="20">
        <f ca="1">(P$138/P$13+MIN(ABS($C$138-P$138/P$13),OFFSET(Assumptions!$B$32,0,$C$1))*SIGN($C$138-P$138/P$13))*Q$13</f>
        <v>6.8234616931386274</v>
      </c>
      <c r="R138" s="20">
        <f ca="1">(Q$138/Q$13+MIN(ABS($C$138-Q$138/Q$13),OFFSET(Assumptions!$B$32,0,$C$1))*SIGN($C$138-Q$138/Q$13))*R$13</f>
        <v>6.7971153676319469</v>
      </c>
      <c r="S138" s="20">
        <f ca="1">(R$138/R$13+MIN(ABS($C$138-R$138/R$13),OFFSET(Assumptions!$B$32,0,$C$1))*SIGN($C$138-R$138/R$13))*S$13</f>
        <v>6.751911158307907</v>
      </c>
      <c r="T138" s="20">
        <f ca="1">(S$138/S$13+MIN(ABS($C$138-S$138/S$13),OFFSET(Assumptions!$B$32,0,$C$1))*SIGN($C$138-S$138/S$13))*T$13</f>
        <v>6.9257336419171613</v>
      </c>
      <c r="U138" s="20">
        <f ca="1">(T$138/T$13+MIN(ABS($C$138-T$138/T$13),OFFSET(Assumptions!$B$32,0,$C$1))*SIGN($C$138-T$138/T$13))*U$13</f>
        <v>7.2091229383904816</v>
      </c>
      <c r="V138" s="20">
        <f ca="1">(U$138/U$13+MIN(ABS($C$138-U$138/U$13),OFFSET(Assumptions!$B$32,0,$C$1))*SIGN($C$138-U$138/U$13))*V$13</f>
        <v>7.5021620316660957</v>
      </c>
      <c r="W138" s="20">
        <f ca="1">(V$138/V$13+MIN(ABS($C$138-V$138/V$13),OFFSET(Assumptions!$B$32,0,$C$1))*SIGN($C$138-V$138/V$13))*W$13</f>
        <v>7.8033725443632189</v>
      </c>
      <c r="X138" s="20">
        <f ca="1">(W$138/W$13+MIN(ABS($C$138-W$138/W$13),OFFSET(Assumptions!$B$32,0,$C$1))*SIGN($C$138-W$138/W$13))*X$13</f>
        <v>8.1132566713754795</v>
      </c>
      <c r="Y138" s="20">
        <f ca="1">(X$138/X$13+MIN(ABS($C$138-X$138/X$13),OFFSET(Assumptions!$B$32,0,$C$1))*SIGN($C$138-X$138/X$13))*Y$13</f>
        <v>8.4334349123008252</v>
      </c>
      <c r="Z138" s="20">
        <f ca="1">(Y$138/Y$13+MIN(ABS($C$138-Y$138/Y$13),OFFSET(Assumptions!$B$32,0,$C$1))*SIGN($C$138-Y$138/Y$13))*Z$13</f>
        <v>8.763989845880495</v>
      </c>
    </row>
    <row r="139" spans="1:26" x14ac:dyDescent="0.25">
      <c r="A139" s="12" t="s">
        <v>1013</v>
      </c>
      <c r="B139" s="14" t="str">
        <f t="shared" si="97"/>
        <v>From Fiscal Forecasts</v>
      </c>
      <c r="C139" s="100"/>
      <c r="D139" s="50">
        <f>'Fiscal Forecasts'!D$225</f>
        <v>3.585</v>
      </c>
      <c r="E139" s="50">
        <f>'Fiscal Forecasts'!E$225</f>
        <v>3.6949999999999998</v>
      </c>
      <c r="F139" s="50">
        <f>'Fiscal Forecasts'!F$225</f>
        <v>3.3780000000000001</v>
      </c>
      <c r="G139" s="50">
        <f>'Fiscal Forecasts'!G$225</f>
        <v>3.5670000000000002</v>
      </c>
      <c r="H139" s="50">
        <f>'Fiscal Forecasts'!H$225</f>
        <v>3.532</v>
      </c>
      <c r="I139" s="50">
        <f>'Fiscal Forecasts'!I$225</f>
        <v>3.3140000000000001</v>
      </c>
      <c r="J139" s="50">
        <f>'Fiscal Forecasts'!J$225</f>
        <v>3.3380000000000001</v>
      </c>
      <c r="K139" s="50">
        <f>'Fiscal Forecasts'!K$225</f>
        <v>3.1749999999999998</v>
      </c>
      <c r="L139" s="48">
        <f>'Fiscal Forecasts'!L$225+IF($C$2="Yes",'Fiscal Forecast Adjuster'!C$13/1000,0)</f>
        <v>3.1040000000000001</v>
      </c>
      <c r="M139" s="48">
        <f>'Fiscal Forecasts'!M$225+IF($C$2="Yes",'Fiscal Forecast Adjuster'!D$13/1000,0)</f>
        <v>3.04</v>
      </c>
      <c r="N139" s="48">
        <f>'Fiscal Forecasts'!N$225+IF($C$2="Yes",'Fiscal Forecast Adjuster'!E$13/1000,0)</f>
        <v>2.9870000000000001</v>
      </c>
      <c r="O139" s="48">
        <f>'Fiscal Forecasts'!O$225+IF($C$2="Yes",'Fiscal Forecast Adjuster'!F$13/1000,0)</f>
        <v>2.9580000000000002</v>
      </c>
      <c r="P139" s="48">
        <f>'Fiscal Forecasts'!P$225+IF($C$2="Yes",'Fiscal Forecast Adjuster'!G$13/1000,0)</f>
        <v>2.93</v>
      </c>
      <c r="Q139" s="20">
        <f t="shared" ref="Q139:Z139" ca="1" si="98">P$139*(1+Q$19)*(1+Q$29)</f>
        <v>3.0270016660619792</v>
      </c>
      <c r="R139" s="20">
        <f t="shared" ca="1" si="98"/>
        <v>3.1254536475160695</v>
      </c>
      <c r="S139" s="20">
        <f t="shared" ca="1" si="98"/>
        <v>3.2260451896469884</v>
      </c>
      <c r="T139" s="20">
        <f t="shared" ca="1" si="98"/>
        <v>3.3278252423663437</v>
      </c>
      <c r="U139" s="20">
        <f t="shared" ca="1" si="98"/>
        <v>3.4325331926614715</v>
      </c>
      <c r="V139" s="20">
        <f t="shared" ca="1" si="98"/>
        <v>3.5392765966534951</v>
      </c>
      <c r="W139" s="20">
        <f t="shared" ca="1" si="98"/>
        <v>3.6453672604374305</v>
      </c>
      <c r="X139" s="20">
        <f t="shared" ca="1" si="98"/>
        <v>3.7536911046346746</v>
      </c>
      <c r="Y139" s="20">
        <f t="shared" ca="1" si="98"/>
        <v>3.8652992310869632</v>
      </c>
      <c r="Z139" s="20">
        <f t="shared" ca="1" si="98"/>
        <v>3.9793519922991294</v>
      </c>
    </row>
    <row r="140" spans="1:26" x14ac:dyDescent="0.25">
      <c r="A140" s="11" t="s">
        <v>1212</v>
      </c>
      <c r="B140" s="14"/>
      <c r="C140" s="15"/>
      <c r="D140" s="94">
        <f t="shared" ref="D140:Z140" si="99">SUM(D$134:D$139)</f>
        <v>85.722999999999999</v>
      </c>
      <c r="E140" s="94">
        <f t="shared" si="99"/>
        <v>84.521000000000001</v>
      </c>
      <c r="F140" s="94">
        <f t="shared" si="99"/>
        <v>97.361999999999995</v>
      </c>
      <c r="G140" s="94">
        <f t="shared" si="99"/>
        <v>107.87299999999999</v>
      </c>
      <c r="H140" s="94">
        <f t="shared" si="99"/>
        <v>111.712</v>
      </c>
      <c r="I140" s="94">
        <f t="shared" si="99"/>
        <v>119.89999999999998</v>
      </c>
      <c r="J140" s="94">
        <f t="shared" si="99"/>
        <v>121.05799999999998</v>
      </c>
      <c r="K140" s="94">
        <f t="shared" si="99"/>
        <v>124.999</v>
      </c>
      <c r="L140" s="95">
        <f t="shared" si="99"/>
        <v>136.31600000000003</v>
      </c>
      <c r="M140" s="95">
        <f t="shared" si="99"/>
        <v>143.60599999999999</v>
      </c>
      <c r="N140" s="95">
        <f t="shared" si="99"/>
        <v>152.166</v>
      </c>
      <c r="O140" s="95">
        <f t="shared" si="99"/>
        <v>160.49700000000001</v>
      </c>
      <c r="P140" s="95">
        <f t="shared" si="99"/>
        <v>168.45100000000002</v>
      </c>
      <c r="Q140" s="96">
        <f t="shared" ca="1" si="99"/>
        <v>175.31316896332137</v>
      </c>
      <c r="R140" s="96">
        <f t="shared" ca="1" si="99"/>
        <v>182.11714512177235</v>
      </c>
      <c r="S140" s="96">
        <f t="shared" ca="1" si="99"/>
        <v>189.27772232725135</v>
      </c>
      <c r="T140" s="96">
        <f t="shared" ca="1" si="99"/>
        <v>196.93460657346287</v>
      </c>
      <c r="U140" s="96">
        <f t="shared" ca="1" si="99"/>
        <v>204.96137627066278</v>
      </c>
      <c r="V140" s="96">
        <f t="shared" ca="1" si="99"/>
        <v>213.25993856152289</v>
      </c>
      <c r="W140" s="96">
        <f t="shared" ca="1" si="99"/>
        <v>221.78627766128858</v>
      </c>
      <c r="X140" s="96">
        <f t="shared" ca="1" si="99"/>
        <v>230.55731819636804</v>
      </c>
      <c r="Y140" s="96">
        <f t="shared" ca="1" si="99"/>
        <v>239.61941184288565</v>
      </c>
      <c r="Z140" s="96">
        <f t="shared" ca="1" si="99"/>
        <v>248.97402741698681</v>
      </c>
    </row>
    <row r="141" spans="1:26" x14ac:dyDescent="0.25">
      <c r="A141" s="12" t="s">
        <v>1213</v>
      </c>
      <c r="B141" s="14" t="str">
        <f>$B$38</f>
        <v>From Fiscal Forecasts</v>
      </c>
      <c r="C141" s="15"/>
      <c r="D141" s="50">
        <f>D$140-'Fiscal Forecasts'!D$163</f>
        <v>-0.74500000000000455</v>
      </c>
      <c r="E141" s="50">
        <f>E$140-'Fiscal Forecasts'!E$163</f>
        <v>-0.58100000000000307</v>
      </c>
      <c r="F141" s="50">
        <f>F$140-'Fiscal Forecasts'!F$163</f>
        <v>-0.62100000000000932</v>
      </c>
      <c r="G141" s="50">
        <f>G$140-'Fiscal Forecasts'!G$163</f>
        <v>-0.58500000000000796</v>
      </c>
      <c r="H141" s="50">
        <f>H$140-'Fiscal Forecasts'!H$163</f>
        <v>-0.6460000000000008</v>
      </c>
      <c r="I141" s="50">
        <f>I$140-'Fiscal Forecasts'!I$163</f>
        <v>-0.66600000000002524</v>
      </c>
      <c r="J141" s="50">
        <f>J$140-'Fiscal Forecasts'!J$163</f>
        <v>-0.64000000000001478</v>
      </c>
      <c r="K141" s="50">
        <f>K$140-'Fiscal Forecasts'!K$163</f>
        <v>-0.88500000000000512</v>
      </c>
      <c r="L141" s="48">
        <f>L$140-'Fiscal Forecasts'!L$163-IF($C$2="Yes",SUM('Fiscal Forecast Adjuster'!C$8:C$13)/1000,0)</f>
        <v>-0.86899999999997135</v>
      </c>
      <c r="M141" s="48">
        <f>M$140-'Fiscal Forecasts'!M$163-IF($C$2="Yes",SUM('Fiscal Forecast Adjuster'!D$8:D$13)/1000,0)</f>
        <v>-0.88700000000000045</v>
      </c>
      <c r="N141" s="48">
        <f>N$140-'Fiscal Forecasts'!N$163-IF($C$2="Yes",SUM('Fiscal Forecast Adjuster'!E$8:E$13)/1000,0)</f>
        <v>-0.99000000000000909</v>
      </c>
      <c r="O141" s="48">
        <f>O$140-'Fiscal Forecasts'!O$163-IF($C$2="Yes",SUM('Fiscal Forecast Adjuster'!F$8:F$13)/1000,0)</f>
        <v>-1.1229999999999905</v>
      </c>
      <c r="P141" s="48">
        <f>P$140-'Fiscal Forecasts'!P$163-IF($C$2="Yes",SUM('Fiscal Forecast Adjuster'!G$8:G$13)/1000,0)</f>
        <v>-1.2209999999999752</v>
      </c>
      <c r="Q141" s="20">
        <f ca="1">IF(Q$6=OFFSET(Assumptions!$B$8,0,$C$1),AVERAGE(N$141/N$140,O$141/O$140,P$141/P$140),P$141/P$140)*Q$140</f>
        <v>-1.2126684664091874</v>
      </c>
      <c r="R141" s="20">
        <f ca="1">IF(R$6=OFFSET(Assumptions!$B$8,0,$C$1),AVERAGE(O$141/O$140,P$141/P$140,Q$141/Q$140),Q$141/Q$140)*R$140</f>
        <v>-1.2597326281167409</v>
      </c>
      <c r="S141" s="20">
        <f ca="1">IF(S$6=OFFSET(Assumptions!$B$8,0,$C$1),AVERAGE(P$141/P$140,Q$141/Q$140,R$141/R$140),R$141/R$140)*S$140</f>
        <v>-1.3092634547495623</v>
      </c>
      <c r="T141" s="20">
        <f ca="1">IF(T$6=OFFSET(Assumptions!$B$8,0,$C$1),AVERAGE(Q$141/Q$140,R$141/R$140,S$141/S$140),S$141/S$140)*T$140</f>
        <v>-1.3622273144027333</v>
      </c>
      <c r="U141" s="20">
        <f ca="1">IF(U$6=OFFSET(Assumptions!$B$8,0,$C$1),AVERAGE(R$141/R$140,S$141/S$140,T$141/T$140),T$141/T$140)*U$140</f>
        <v>-1.4177497292702645</v>
      </c>
      <c r="V141" s="20">
        <f ca="1">IF(V$6=OFFSET(Assumptions!$B$8,0,$C$1),AVERAGE(S$141/S$140,T$141/T$140,U$141/U$140),U$141/U$140)*V$140</f>
        <v>-1.4751521757959096</v>
      </c>
      <c r="W141" s="20">
        <f ca="1">IF(W$6=OFFSET(Assumptions!$B$8,0,$C$1),AVERAGE(T$141/T$140,U$141/U$140,V$141/V$140),V$141/V$140)*W$140</f>
        <v>-1.5341301899481767</v>
      </c>
      <c r="X141" s="20">
        <f ca="1">IF(X$6=OFFSET(Assumptions!$B$8,0,$C$1),AVERAGE(U$141/U$140,V$141/V$140,W$141/W$140),W$141/W$140)*X$140</f>
        <v>-1.5948008420012061</v>
      </c>
      <c r="Y141" s="20">
        <f ca="1">IF(Y$6=OFFSET(Assumptions!$B$8,0,$C$1),AVERAGE(V$141/V$140,W$141/W$140,X$141/X$140),X$141/X$140)*Y$140</f>
        <v>-1.6574847537105319</v>
      </c>
      <c r="Z141" s="20">
        <f ca="1">IF(Z$6=OFFSET(Assumptions!$B$8,0,$C$1),AVERAGE(W$141/W$140,X$141/X$140,Y$141/Y$140),Y$141/Y$140)*Z$140</f>
        <v>-1.7221920851059624</v>
      </c>
    </row>
    <row r="142" spans="1:26" x14ac:dyDescent="0.25">
      <c r="A142" s="11" t="s">
        <v>1214</v>
      </c>
      <c r="B142" s="11"/>
      <c r="C142" s="15"/>
      <c r="D142" s="94">
        <f t="shared" ref="D142:Z142" si="100">D$140-D$141</f>
        <v>86.468000000000004</v>
      </c>
      <c r="E142" s="94">
        <f t="shared" si="100"/>
        <v>85.102000000000004</v>
      </c>
      <c r="F142" s="94">
        <f t="shared" si="100"/>
        <v>97.983000000000004</v>
      </c>
      <c r="G142" s="94">
        <f t="shared" si="100"/>
        <v>108.458</v>
      </c>
      <c r="H142" s="94">
        <f t="shared" si="100"/>
        <v>112.358</v>
      </c>
      <c r="I142" s="94">
        <f t="shared" si="100"/>
        <v>120.566</v>
      </c>
      <c r="J142" s="94">
        <f t="shared" si="100"/>
        <v>121.69799999999999</v>
      </c>
      <c r="K142" s="94">
        <f t="shared" si="100"/>
        <v>125.884</v>
      </c>
      <c r="L142" s="95">
        <f t="shared" si="100"/>
        <v>137.185</v>
      </c>
      <c r="M142" s="95">
        <f t="shared" si="100"/>
        <v>144.49299999999999</v>
      </c>
      <c r="N142" s="95">
        <f t="shared" si="100"/>
        <v>153.15600000000001</v>
      </c>
      <c r="O142" s="95">
        <f t="shared" si="100"/>
        <v>161.62</v>
      </c>
      <c r="P142" s="95">
        <f t="shared" si="100"/>
        <v>169.672</v>
      </c>
      <c r="Q142" s="96">
        <f t="shared" ca="1" si="100"/>
        <v>176.52583742973056</v>
      </c>
      <c r="R142" s="96">
        <f t="shared" ca="1" si="100"/>
        <v>183.3768777498891</v>
      </c>
      <c r="S142" s="96">
        <f t="shared" ca="1" si="100"/>
        <v>190.58698578200091</v>
      </c>
      <c r="T142" s="96">
        <f t="shared" ca="1" si="100"/>
        <v>198.2968338878656</v>
      </c>
      <c r="U142" s="96">
        <f t="shared" ca="1" si="100"/>
        <v>206.37912599993305</v>
      </c>
      <c r="V142" s="96">
        <f t="shared" ca="1" si="100"/>
        <v>214.73509073731879</v>
      </c>
      <c r="W142" s="96">
        <f t="shared" ca="1" si="100"/>
        <v>223.32040785123675</v>
      </c>
      <c r="X142" s="96">
        <f t="shared" ca="1" si="100"/>
        <v>232.15211903836925</v>
      </c>
      <c r="Y142" s="96">
        <f t="shared" ca="1" si="100"/>
        <v>241.27689659659617</v>
      </c>
      <c r="Z142" s="96">
        <f t="shared" ca="1" si="100"/>
        <v>250.69621950209279</v>
      </c>
    </row>
    <row r="143" spans="1:26" x14ac:dyDescent="0.25">
      <c r="A143" s="11"/>
      <c r="B143" s="11"/>
      <c r="C143" s="15"/>
      <c r="D143" s="51"/>
      <c r="E143" s="51"/>
      <c r="F143" s="51"/>
      <c r="G143" s="51"/>
      <c r="H143" s="51"/>
      <c r="I143" s="51"/>
      <c r="J143" s="51"/>
      <c r="K143" s="51"/>
      <c r="L143" s="47"/>
      <c r="M143" s="47"/>
      <c r="N143" s="47"/>
      <c r="O143" s="47"/>
      <c r="P143" s="47"/>
      <c r="Q143" s="21"/>
      <c r="R143" s="21"/>
      <c r="S143" s="21"/>
      <c r="T143" s="21"/>
      <c r="U143" s="21"/>
      <c r="V143" s="21"/>
      <c r="W143" s="21"/>
      <c r="X143" s="21"/>
      <c r="Y143" s="21"/>
      <c r="Z143" s="21"/>
    </row>
    <row r="144" spans="1:26" x14ac:dyDescent="0.25">
      <c r="A144" s="11" t="s">
        <v>1015</v>
      </c>
      <c r="B144" s="11"/>
      <c r="C144" s="15"/>
      <c r="D144" s="51"/>
      <c r="E144" s="51"/>
      <c r="F144" s="51"/>
      <c r="G144" s="51"/>
      <c r="H144" s="51"/>
      <c r="I144" s="51"/>
      <c r="J144" s="51"/>
      <c r="K144" s="51"/>
      <c r="L144" s="47"/>
      <c r="M144" s="47"/>
      <c r="N144" s="47"/>
      <c r="O144" s="47"/>
      <c r="P144" s="47"/>
      <c r="Q144" s="21"/>
      <c r="R144" s="21"/>
      <c r="S144" s="21"/>
      <c r="T144" s="21"/>
      <c r="U144" s="21"/>
      <c r="V144" s="21"/>
      <c r="W144" s="21"/>
      <c r="X144" s="21"/>
      <c r="Y144" s="21"/>
      <c r="Z144" s="21"/>
    </row>
    <row r="145" spans="1:26" x14ac:dyDescent="0.25">
      <c r="A145" s="12" t="s">
        <v>1215</v>
      </c>
      <c r="B145" s="14" t="str">
        <f>$B$38</f>
        <v>From Fiscal Forecasts</v>
      </c>
      <c r="C145" s="15"/>
      <c r="D145" s="50">
        <f>'Fiscal Forecasts'!D$229</f>
        <v>0.84599999999999997</v>
      </c>
      <c r="E145" s="50">
        <f>'Fiscal Forecasts'!E$229</f>
        <v>1.0429999999999999</v>
      </c>
      <c r="F145" s="50">
        <f>'Fiscal Forecasts'!F$229</f>
        <v>1.6339999999999999</v>
      </c>
      <c r="G145" s="50">
        <f>'Fiscal Forecasts'!G$229</f>
        <v>3.0059999999999998</v>
      </c>
      <c r="H145" s="50">
        <f>'Fiscal Forecasts'!H$229</f>
        <v>1.5820000000000001</v>
      </c>
      <c r="I145" s="50">
        <f>'Fiscal Forecasts'!I$229</f>
        <v>1.69</v>
      </c>
      <c r="J145" s="50">
        <f>'Fiscal Forecasts'!J$229</f>
        <v>1.774</v>
      </c>
      <c r="K145" s="50">
        <f>'Fiscal Forecasts'!K$229</f>
        <v>1.706</v>
      </c>
      <c r="L145" s="48">
        <f>'Fiscal Forecasts'!L$229</f>
        <v>1.786</v>
      </c>
      <c r="M145" s="48">
        <f>'Fiscal Forecasts'!M$229</f>
        <v>1.754</v>
      </c>
      <c r="N145" s="48">
        <f>'Fiscal Forecasts'!N$229</f>
        <v>1.73</v>
      </c>
      <c r="O145" s="48">
        <f>'Fiscal Forecasts'!O$229</f>
        <v>1.6439999999999999</v>
      </c>
      <c r="P145" s="48">
        <f>'Fiscal Forecasts'!P$229</f>
        <v>1.5589999999999999</v>
      </c>
      <c r="Q145" s="20">
        <f t="shared" ref="Q145:Z145" ca="1" si="101">MAX(P$145,Q$313)</f>
        <v>1.5589999999999999</v>
      </c>
      <c r="R145" s="20">
        <f t="shared" ca="1" si="101"/>
        <v>1.5589999999999999</v>
      </c>
      <c r="S145" s="20">
        <f t="shared" ca="1" si="101"/>
        <v>1.5589999999999999</v>
      </c>
      <c r="T145" s="20">
        <f t="shared" ca="1" si="101"/>
        <v>1.5651969033599999</v>
      </c>
      <c r="U145" s="20">
        <f t="shared" ca="1" si="101"/>
        <v>1.5965008414271999</v>
      </c>
      <c r="V145" s="20">
        <f t="shared" ca="1" si="101"/>
        <v>1.6284308582557441</v>
      </c>
      <c r="W145" s="20">
        <f t="shared" ca="1" si="101"/>
        <v>1.660999475420859</v>
      </c>
      <c r="X145" s="20">
        <f t="shared" ca="1" si="101"/>
        <v>1.6942194649292763</v>
      </c>
      <c r="Y145" s="20">
        <f t="shared" ca="1" si="101"/>
        <v>1.7281038542278619</v>
      </c>
      <c r="Z145" s="20">
        <f t="shared" ca="1" si="101"/>
        <v>1.7626659313124191</v>
      </c>
    </row>
    <row r="146" spans="1:26" x14ac:dyDescent="0.25">
      <c r="A146" s="12" t="s">
        <v>1216</v>
      </c>
      <c r="B146" s="14" t="str">
        <f>$B$38</f>
        <v>From Fiscal Forecasts</v>
      </c>
      <c r="C146" s="15"/>
      <c r="D146" s="50">
        <f>'Fiscal Forecasts'!D$164-D$145</f>
        <v>1.1310000000000002</v>
      </c>
      <c r="E146" s="50">
        <f>'Fiscal Forecasts'!E$164-E$145</f>
        <v>1.0770000000000002</v>
      </c>
      <c r="F146" s="50">
        <f>'Fiscal Forecasts'!F$164-F$145</f>
        <v>1.1110000000000002</v>
      </c>
      <c r="G146" s="50">
        <f>'Fiscal Forecasts'!G$164-G$145</f>
        <v>1.3210000000000002</v>
      </c>
      <c r="H146" s="50">
        <f>'Fiscal Forecasts'!H$164-H$145</f>
        <v>1.7099999999999997</v>
      </c>
      <c r="I146" s="50">
        <f>'Fiscal Forecasts'!I$164-I$145</f>
        <v>1.899</v>
      </c>
      <c r="J146" s="50">
        <f>'Fiscal Forecasts'!J$164-J$145</f>
        <v>1.9260000000000002</v>
      </c>
      <c r="K146" s="50">
        <f>'Fiscal Forecasts'!K$164-K$145</f>
        <v>2.1179999999999999</v>
      </c>
      <c r="L146" s="48">
        <f>'Fiscal Forecasts'!L$164-L$145</f>
        <v>2.3050000000000002</v>
      </c>
      <c r="M146" s="48">
        <f>'Fiscal Forecasts'!M$164-M$145</f>
        <v>2.4090000000000003</v>
      </c>
      <c r="N146" s="48">
        <f>'Fiscal Forecasts'!N$164-N$145</f>
        <v>2.4540000000000002</v>
      </c>
      <c r="O146" s="48">
        <f>'Fiscal Forecasts'!O$164-O$145</f>
        <v>2.4719999999999995</v>
      </c>
      <c r="P146" s="48">
        <f>'Fiscal Forecasts'!P$164-P$145</f>
        <v>2.4649999999999999</v>
      </c>
      <c r="Q146" s="20">
        <f t="shared" ref="Q146:Z146" ca="1" si="102">P$146*(1+Q$19)*(1+Q$29)</f>
        <v>2.5466072037006064</v>
      </c>
      <c r="R146" s="20">
        <f t="shared" ca="1" si="102"/>
        <v>2.6294345532857029</v>
      </c>
      <c r="S146" s="20">
        <f t="shared" ca="1" si="102"/>
        <v>2.7140619086961859</v>
      </c>
      <c r="T146" s="20">
        <f t="shared" ca="1" si="102"/>
        <v>2.7996891544140055</v>
      </c>
      <c r="U146" s="20">
        <f t="shared" ca="1" si="102"/>
        <v>2.88777963136878</v>
      </c>
      <c r="V146" s="20">
        <f t="shared" ca="1" si="102"/>
        <v>2.9775825292665066</v>
      </c>
      <c r="W146" s="20">
        <f t="shared" ca="1" si="102"/>
        <v>3.0668362788321724</v>
      </c>
      <c r="X146" s="20">
        <f t="shared" ca="1" si="102"/>
        <v>3.1579687962199565</v>
      </c>
      <c r="Y146" s="20">
        <f t="shared" ca="1" si="102"/>
        <v>3.2518643701806704</v>
      </c>
      <c r="Z146" s="20">
        <f t="shared" ca="1" si="102"/>
        <v>3.3478166078557523</v>
      </c>
    </row>
    <row r="147" spans="1:26" x14ac:dyDescent="0.25">
      <c r="A147" s="11" t="s">
        <v>1217</v>
      </c>
      <c r="B147" s="11"/>
      <c r="C147" s="15"/>
      <c r="D147" s="94">
        <f t="shared" ref="D147:Z147" si="103">SUM(D$145:D$146)</f>
        <v>1.9770000000000003</v>
      </c>
      <c r="E147" s="94">
        <f t="shared" si="103"/>
        <v>2.12</v>
      </c>
      <c r="F147" s="94">
        <f t="shared" si="103"/>
        <v>2.7450000000000001</v>
      </c>
      <c r="G147" s="94">
        <f t="shared" si="103"/>
        <v>4.327</v>
      </c>
      <c r="H147" s="94">
        <f t="shared" si="103"/>
        <v>3.2919999999999998</v>
      </c>
      <c r="I147" s="94">
        <f t="shared" si="103"/>
        <v>3.589</v>
      </c>
      <c r="J147" s="94">
        <f t="shared" si="103"/>
        <v>3.7</v>
      </c>
      <c r="K147" s="94">
        <f t="shared" si="103"/>
        <v>3.8239999999999998</v>
      </c>
      <c r="L147" s="95">
        <f t="shared" si="103"/>
        <v>4.0910000000000002</v>
      </c>
      <c r="M147" s="95">
        <f t="shared" si="103"/>
        <v>4.1630000000000003</v>
      </c>
      <c r="N147" s="95">
        <f t="shared" si="103"/>
        <v>4.1840000000000002</v>
      </c>
      <c r="O147" s="95">
        <f t="shared" si="103"/>
        <v>4.1159999999999997</v>
      </c>
      <c r="P147" s="95">
        <f t="shared" si="103"/>
        <v>4.024</v>
      </c>
      <c r="Q147" s="96">
        <f t="shared" ca="1" si="103"/>
        <v>4.1056072037006066</v>
      </c>
      <c r="R147" s="96">
        <f t="shared" ca="1" si="103"/>
        <v>4.1884345532857026</v>
      </c>
      <c r="S147" s="96">
        <f t="shared" ca="1" si="103"/>
        <v>4.2730619086961861</v>
      </c>
      <c r="T147" s="96">
        <f t="shared" ca="1" si="103"/>
        <v>4.3648860577740054</v>
      </c>
      <c r="U147" s="96">
        <f t="shared" ca="1" si="103"/>
        <v>4.4842804727959802</v>
      </c>
      <c r="V147" s="96">
        <f t="shared" ca="1" si="103"/>
        <v>4.6060133875222506</v>
      </c>
      <c r="W147" s="96">
        <f t="shared" ca="1" si="103"/>
        <v>4.7278357542530314</v>
      </c>
      <c r="X147" s="96">
        <f t="shared" ca="1" si="103"/>
        <v>4.8521882611492329</v>
      </c>
      <c r="Y147" s="96">
        <f t="shared" ca="1" si="103"/>
        <v>4.9799682244085322</v>
      </c>
      <c r="Z147" s="96">
        <f t="shared" ca="1" si="103"/>
        <v>5.1104825391681716</v>
      </c>
    </row>
    <row r="148" spans="1:26" x14ac:dyDescent="0.25">
      <c r="A148" s="12" t="s">
        <v>1016</v>
      </c>
      <c r="B148" s="14" t="str">
        <f>$B$38</f>
        <v>From Fiscal Forecasts</v>
      </c>
      <c r="C148" s="15"/>
      <c r="D148" s="50">
        <f>'Fiscal Forecasts'!D$228</f>
        <v>3.0139999999999998</v>
      </c>
      <c r="E148" s="50">
        <f>'Fiscal Forecasts'!E$228</f>
        <v>3.032</v>
      </c>
      <c r="F148" s="50">
        <f>'Fiscal Forecasts'!F$228</f>
        <v>3.27</v>
      </c>
      <c r="G148" s="50">
        <f>'Fiscal Forecasts'!G$228</f>
        <v>3.4609999999999999</v>
      </c>
      <c r="H148" s="50">
        <f>'Fiscal Forecasts'!H$228</f>
        <v>3.855</v>
      </c>
      <c r="I148" s="50">
        <f>'Fiscal Forecasts'!I$228</f>
        <v>4.1449999999999996</v>
      </c>
      <c r="J148" s="50">
        <f>'Fiscal Forecasts'!J$228</f>
        <v>4.2439999999999998</v>
      </c>
      <c r="K148" s="50">
        <f>'Fiscal Forecasts'!K$228</f>
        <v>4.5010000000000003</v>
      </c>
      <c r="L148" s="48">
        <f>'Fiscal Forecasts'!L$228</f>
        <v>4.97</v>
      </c>
      <c r="M148" s="48">
        <f>'Fiscal Forecasts'!M$228</f>
        <v>5.3630000000000004</v>
      </c>
      <c r="N148" s="48">
        <f>'Fiscal Forecasts'!N$228</f>
        <v>5.4489999999999998</v>
      </c>
      <c r="O148" s="48">
        <f>'Fiscal Forecasts'!O$228</f>
        <v>5.8540000000000001</v>
      </c>
      <c r="P148" s="48">
        <f>'Fiscal Forecasts'!P$228</f>
        <v>5.9859999999999998</v>
      </c>
      <c r="Q148" s="20">
        <f>P$148*(Exogenous!AB$25-Exogenous!AB$26)/(Exogenous!AA$25-Exogenous!AA$26)</f>
        <v>6.5094507792485157</v>
      </c>
      <c r="R148" s="20">
        <f>Q$148*(Exogenous!AC$25-Exogenous!AC$26)/(Exogenous!AB$25-Exogenous!AB$26)</f>
        <v>7.0637669526430447</v>
      </c>
      <c r="S148" s="20">
        <f>R$148*(Exogenous!AD$25-Exogenous!AD$26)/(Exogenous!AC$25-Exogenous!AC$26)</f>
        <v>7.6352679431138677</v>
      </c>
      <c r="T148" s="20">
        <f>S$148*(Exogenous!AE$25-Exogenous!AE$26)/(Exogenous!AD$25-Exogenous!AD$26)</f>
        <v>8.2584606508699405</v>
      </c>
      <c r="U148" s="20">
        <f>T$148*(Exogenous!AF$25-Exogenous!AF$26)/(Exogenous!AE$25-Exogenous!AE$26)</f>
        <v>8.8628947371769744</v>
      </c>
      <c r="V148" s="20">
        <f>U$148*(Exogenous!AG$25-Exogenous!AG$26)/(Exogenous!AF$25-Exogenous!AF$26)</f>
        <v>9.2504040037755946</v>
      </c>
      <c r="W148" s="20">
        <f>V$148*(Exogenous!AH$25-Exogenous!AH$26)/(Exogenous!AG$25-Exogenous!AG$26)</f>
        <v>9.6520793273056462</v>
      </c>
      <c r="X148" s="20">
        <f>W$148*(Exogenous!AI$25-Exogenous!AI$26)/(Exogenous!AH$25-Exogenous!AH$26)</f>
        <v>10.044084082937973</v>
      </c>
      <c r="Y148" s="20">
        <f>X$148*(Exogenous!AJ$25-Exogenous!AJ$26)/(Exogenous!AI$25-Exogenous!AI$26)</f>
        <v>10.452764231770606</v>
      </c>
      <c r="Z148" s="20">
        <f>Y$148*(Exogenous!AK$25-Exogenous!AK$26)/(Exogenous!AJ$25-Exogenous!AJ$26)</f>
        <v>10.865392180026317</v>
      </c>
    </row>
    <row r="149" spans="1:26" x14ac:dyDescent="0.25">
      <c r="A149" s="12" t="s">
        <v>1218</v>
      </c>
      <c r="B149" s="14" t="str">
        <f>$B$38</f>
        <v>From Fiscal Forecasts</v>
      </c>
      <c r="C149" s="15"/>
      <c r="D149" s="50">
        <f>'Fiscal Forecasts'!D$10-SUM(D$147:D$148)</f>
        <v>1.0369999999999999</v>
      </c>
      <c r="E149" s="50">
        <f>'Fiscal Forecasts'!E$10-SUM(E$147:E$148)</f>
        <v>1.117</v>
      </c>
      <c r="F149" s="50">
        <f>'Fiscal Forecasts'!F$10-SUM(F$147:F$148)</f>
        <v>1.0229999999999997</v>
      </c>
      <c r="G149" s="50">
        <f>'Fiscal Forecasts'!G$10-SUM(G$147:G$148)</f>
        <v>1.1059999999999999</v>
      </c>
      <c r="H149" s="50">
        <f>'Fiscal Forecasts'!H$10-SUM(H$147:H$148)</f>
        <v>1.2599999999999998</v>
      </c>
      <c r="I149" s="50">
        <f>'Fiscal Forecasts'!I$10-SUM(I$147:I$148)</f>
        <v>1.6920000000000002</v>
      </c>
      <c r="J149" s="50">
        <f>'Fiscal Forecasts'!J$10-SUM(J$147:J$148)</f>
        <v>1.8240000000000007</v>
      </c>
      <c r="K149" s="50">
        <f>'Fiscal Forecasts'!K$10-SUM(K$147:K$148)</f>
        <v>1.9770000000000003</v>
      </c>
      <c r="L149" s="48">
        <f>'Fiscal Forecasts'!L$10-SUM(L$147:L$148)</f>
        <v>1.8499999999999996</v>
      </c>
      <c r="M149" s="48">
        <f>'Fiscal Forecasts'!M$10-SUM(M$147:M$148)</f>
        <v>1.9960000000000004</v>
      </c>
      <c r="N149" s="48">
        <f>'Fiscal Forecasts'!N$10-SUM(N$147:N$148)</f>
        <v>2.0900000000000016</v>
      </c>
      <c r="O149" s="48">
        <f>'Fiscal Forecasts'!O$10-SUM(O$147:O$148)</f>
        <v>2.2330000000000005</v>
      </c>
      <c r="P149" s="48">
        <f>'Fiscal Forecasts'!P$10-SUM(P$147:P$148)</f>
        <v>2.4120000000000008</v>
      </c>
      <c r="Q149" s="20">
        <f t="shared" ref="Q149:Z149" ca="1" si="104">P$149*(1+Q$29)</f>
        <v>2.4602400000000006</v>
      </c>
      <c r="R149" s="20">
        <f t="shared" ca="1" si="104"/>
        <v>2.5094448000000007</v>
      </c>
      <c r="S149" s="20">
        <f t="shared" ca="1" si="104"/>
        <v>2.5596336960000006</v>
      </c>
      <c r="T149" s="20">
        <f t="shared" ca="1" si="104"/>
        <v>2.6108263699200007</v>
      </c>
      <c r="U149" s="20">
        <f t="shared" ca="1" si="104"/>
        <v>2.6630428973184008</v>
      </c>
      <c r="V149" s="20">
        <f t="shared" ca="1" si="104"/>
        <v>2.7163037552647689</v>
      </c>
      <c r="W149" s="20">
        <f t="shared" ca="1" si="104"/>
        <v>2.7706298303700643</v>
      </c>
      <c r="X149" s="20">
        <f t="shared" ca="1" si="104"/>
        <v>2.8260424269774655</v>
      </c>
      <c r="Y149" s="20">
        <f t="shared" ca="1" si="104"/>
        <v>2.8825632755170147</v>
      </c>
      <c r="Z149" s="20">
        <f t="shared" ca="1" si="104"/>
        <v>2.940214541027355</v>
      </c>
    </row>
    <row r="150" spans="1:26" x14ac:dyDescent="0.25">
      <c r="A150" s="11" t="s">
        <v>1219</v>
      </c>
      <c r="B150" s="11"/>
      <c r="C150" s="15"/>
      <c r="D150" s="94">
        <f t="shared" ref="D150:Z150" si="105">SUM(D$147:D$149)</f>
        <v>6.0279999999999996</v>
      </c>
      <c r="E150" s="94">
        <f t="shared" si="105"/>
        <v>6.2690000000000001</v>
      </c>
      <c r="F150" s="94">
        <f t="shared" si="105"/>
        <v>7.0380000000000003</v>
      </c>
      <c r="G150" s="94">
        <f t="shared" si="105"/>
        <v>8.8940000000000001</v>
      </c>
      <c r="H150" s="94">
        <f t="shared" si="105"/>
        <v>8.407</v>
      </c>
      <c r="I150" s="94">
        <f t="shared" si="105"/>
        <v>9.4260000000000002</v>
      </c>
      <c r="J150" s="94">
        <f t="shared" si="105"/>
        <v>9.7680000000000007</v>
      </c>
      <c r="K150" s="94">
        <f t="shared" si="105"/>
        <v>10.302</v>
      </c>
      <c r="L150" s="95">
        <f t="shared" si="105"/>
        <v>10.911</v>
      </c>
      <c r="M150" s="95">
        <f t="shared" si="105"/>
        <v>11.522</v>
      </c>
      <c r="N150" s="95">
        <f t="shared" si="105"/>
        <v>11.723000000000001</v>
      </c>
      <c r="O150" s="95">
        <f t="shared" si="105"/>
        <v>12.202999999999999</v>
      </c>
      <c r="P150" s="95">
        <f t="shared" si="105"/>
        <v>12.422000000000001</v>
      </c>
      <c r="Q150" s="96">
        <f t="shared" ca="1" si="105"/>
        <v>13.075297982949122</v>
      </c>
      <c r="R150" s="96">
        <f t="shared" ca="1" si="105"/>
        <v>13.761646305928748</v>
      </c>
      <c r="S150" s="96">
        <f t="shared" ca="1" si="105"/>
        <v>14.467963547810054</v>
      </c>
      <c r="T150" s="96">
        <f t="shared" ca="1" si="105"/>
        <v>15.234173078563948</v>
      </c>
      <c r="U150" s="96">
        <f t="shared" ca="1" si="105"/>
        <v>16.010218107291355</v>
      </c>
      <c r="V150" s="96">
        <f t="shared" ca="1" si="105"/>
        <v>16.572721146562614</v>
      </c>
      <c r="W150" s="96">
        <f t="shared" ca="1" si="105"/>
        <v>17.150544911928744</v>
      </c>
      <c r="X150" s="96">
        <f t="shared" ca="1" si="105"/>
        <v>17.722314771064671</v>
      </c>
      <c r="Y150" s="96">
        <f t="shared" ca="1" si="105"/>
        <v>18.315295731696153</v>
      </c>
      <c r="Z150" s="96">
        <f t="shared" ca="1" si="105"/>
        <v>18.916089260221845</v>
      </c>
    </row>
    <row r="151" spans="1:26" x14ac:dyDescent="0.25">
      <c r="A151" s="12" t="s">
        <v>1220</v>
      </c>
      <c r="B151" s="14" t="str">
        <f>$B$38</f>
        <v>From Fiscal Forecasts</v>
      </c>
      <c r="C151" s="15"/>
      <c r="D151" s="50">
        <f>'Fiscal Forecasts'!D$374</f>
        <v>0</v>
      </c>
      <c r="E151" s="50">
        <f>'Fiscal Forecasts'!E$374</f>
        <v>0</v>
      </c>
      <c r="F151" s="50">
        <f>'Fiscal Forecasts'!F$374</f>
        <v>0.33600000000000002</v>
      </c>
      <c r="G151" s="50">
        <f>'Fiscal Forecasts'!G$374</f>
        <v>2.0960000000000001</v>
      </c>
      <c r="H151" s="50">
        <f>'Fiscal Forecasts'!H$374</f>
        <v>0.83199999999999996</v>
      </c>
      <c r="I151" s="50">
        <f>'Fiscal Forecasts'!I$374</f>
        <v>0.21</v>
      </c>
      <c r="J151" s="50">
        <f>'Fiscal Forecasts'!J$374</f>
        <v>0.26700000000000002</v>
      </c>
      <c r="K151" s="50">
        <f>'Fiscal Forecasts'!K$374</f>
        <v>4.0000000000000001E-3</v>
      </c>
      <c r="L151" s="48">
        <f>'Fiscal Forecasts'!L$374</f>
        <v>0.12</v>
      </c>
      <c r="M151" s="48">
        <f>'Fiscal Forecasts'!M$374</f>
        <v>0.2</v>
      </c>
      <c r="N151" s="48">
        <f>'Fiscal Forecasts'!N$374</f>
        <v>0.14899999999999999</v>
      </c>
      <c r="O151" s="48">
        <f>'Fiscal Forecasts'!O$374</f>
        <v>0.104</v>
      </c>
      <c r="P151" s="48">
        <f>'Fiscal Forecasts'!P$374</f>
        <v>3.6999999999999998E-2</v>
      </c>
      <c r="Q151" s="20">
        <f t="shared" ref="Q151:Z151" si="106">P$151</f>
        <v>3.6999999999999998E-2</v>
      </c>
      <c r="R151" s="20">
        <f t="shared" si="106"/>
        <v>3.6999999999999998E-2</v>
      </c>
      <c r="S151" s="20">
        <f t="shared" si="106"/>
        <v>3.6999999999999998E-2</v>
      </c>
      <c r="T151" s="20">
        <f t="shared" si="106"/>
        <v>3.6999999999999998E-2</v>
      </c>
      <c r="U151" s="20">
        <f t="shared" si="106"/>
        <v>3.6999999999999998E-2</v>
      </c>
      <c r="V151" s="20">
        <f t="shared" si="106"/>
        <v>3.6999999999999998E-2</v>
      </c>
      <c r="W151" s="20">
        <f t="shared" si="106"/>
        <v>3.6999999999999998E-2</v>
      </c>
      <c r="X151" s="20">
        <f t="shared" si="106"/>
        <v>3.6999999999999998E-2</v>
      </c>
      <c r="Y151" s="20">
        <f t="shared" si="106"/>
        <v>3.6999999999999998E-2</v>
      </c>
      <c r="Z151" s="20">
        <f t="shared" si="106"/>
        <v>3.6999999999999998E-2</v>
      </c>
    </row>
    <row r="152" spans="1:26" x14ac:dyDescent="0.25">
      <c r="A152" s="11"/>
      <c r="B152" s="11"/>
      <c r="C152" s="15"/>
      <c r="D152" s="51"/>
      <c r="E152" s="51"/>
      <c r="F152" s="51"/>
      <c r="G152" s="51"/>
      <c r="H152" s="51"/>
      <c r="I152" s="51"/>
      <c r="J152" s="51"/>
      <c r="K152" s="51"/>
      <c r="L152" s="47"/>
      <c r="M152" s="47"/>
      <c r="N152" s="47"/>
      <c r="O152" s="47"/>
      <c r="P152" s="47"/>
      <c r="Q152" s="21"/>
      <c r="R152" s="21"/>
      <c r="S152" s="21"/>
      <c r="T152" s="21"/>
      <c r="U152" s="21"/>
      <c r="V152" s="21"/>
      <c r="W152" s="21"/>
      <c r="X152" s="21"/>
      <c r="Y152" s="21"/>
      <c r="Z152" s="21"/>
    </row>
    <row r="153" spans="1:26" x14ac:dyDescent="0.25">
      <c r="A153" s="11" t="s">
        <v>866</v>
      </c>
      <c r="B153" s="11"/>
      <c r="C153" s="15"/>
      <c r="D153" s="51"/>
      <c r="E153" s="51"/>
      <c r="F153" s="51"/>
      <c r="G153" s="51"/>
      <c r="H153" s="51"/>
      <c r="I153" s="51"/>
      <c r="J153" s="51"/>
      <c r="K153" s="51"/>
      <c r="L153" s="47"/>
      <c r="M153" s="47"/>
      <c r="N153" s="47"/>
      <c r="O153" s="47"/>
      <c r="P153" s="47"/>
      <c r="Q153" s="21"/>
      <c r="R153" s="21"/>
      <c r="S153" s="21"/>
      <c r="T153" s="21"/>
      <c r="U153" s="21"/>
      <c r="V153" s="21"/>
      <c r="W153" s="21"/>
      <c r="X153" s="21"/>
      <c r="Y153" s="21"/>
      <c r="Z153" s="21"/>
    </row>
    <row r="154" spans="1:26" x14ac:dyDescent="0.25">
      <c r="A154" s="11" t="s">
        <v>1221</v>
      </c>
      <c r="B154" s="14" t="str">
        <f>$B$38</f>
        <v>From Fiscal Forecasts</v>
      </c>
      <c r="C154" s="15"/>
      <c r="D154" s="51">
        <f>'Fiscal Forecasts'!D165</f>
        <v>1.583</v>
      </c>
      <c r="E154" s="51">
        <f>'Fiscal Forecasts'!E165</f>
        <v>1.5529999999999999</v>
      </c>
      <c r="F154" s="51">
        <f>'Fiscal Forecasts'!F165</f>
        <v>1.5429999999999999</v>
      </c>
      <c r="G154" s="51">
        <f>'Fiscal Forecasts'!G165</f>
        <v>1.3859999999999999</v>
      </c>
      <c r="H154" s="51">
        <f>'Fiscal Forecasts'!H165</f>
        <v>1.631</v>
      </c>
      <c r="I154" s="51">
        <f>'Fiscal Forecasts'!I165</f>
        <v>1.798</v>
      </c>
      <c r="J154" s="51">
        <f>'Fiscal Forecasts'!J165</f>
        <v>2.004</v>
      </c>
      <c r="K154" s="51">
        <f>'Fiscal Forecasts'!K165</f>
        <v>2.3359999999999999</v>
      </c>
      <c r="L154" s="47">
        <f>'Fiscal Forecasts'!L165</f>
        <v>2.9159999999999999</v>
      </c>
      <c r="M154" s="47">
        <f>'Fiscal Forecasts'!M165</f>
        <v>2.9790000000000001</v>
      </c>
      <c r="N154" s="47">
        <f>'Fiscal Forecasts'!N165</f>
        <v>3.0310000000000001</v>
      </c>
      <c r="O154" s="47">
        <f>'Fiscal Forecasts'!O165</f>
        <v>3.02</v>
      </c>
      <c r="P154" s="47">
        <f>'Fiscal Forecasts'!P165</f>
        <v>3.0350000000000001</v>
      </c>
      <c r="Q154" s="21">
        <f t="shared" ref="Q154:Z154" ca="1" si="107">P$154*(1+Q$19)*(1+Q$29)</f>
        <v>3.1354778349822885</v>
      </c>
      <c r="R154" s="21">
        <f t="shared" ca="1" si="107"/>
        <v>3.2374579591164738</v>
      </c>
      <c r="S154" s="21">
        <f t="shared" ca="1" si="107"/>
        <v>3.34165431760362</v>
      </c>
      <c r="T154" s="21">
        <f t="shared" ca="1" si="107"/>
        <v>3.4470817783555803</v>
      </c>
      <c r="U154" s="21">
        <f t="shared" ca="1" si="107"/>
        <v>3.5555420613404651</v>
      </c>
      <c r="V154" s="21">
        <f t="shared" ca="1" si="107"/>
        <v>3.6661107409021687</v>
      </c>
      <c r="W154" s="21">
        <f t="shared" ca="1" si="107"/>
        <v>3.7760032885418422</v>
      </c>
      <c r="X154" s="21">
        <f t="shared" ca="1" si="107"/>
        <v>3.8882090452444484</v>
      </c>
      <c r="Y154" s="21">
        <f t="shared" ca="1" si="107"/>
        <v>4.0038167803238665</v>
      </c>
      <c r="Z154" s="21">
        <f t="shared" ca="1" si="107"/>
        <v>4.1219567565282773</v>
      </c>
    </row>
    <row r="155" spans="1:26" x14ac:dyDescent="0.25">
      <c r="A155" s="11" t="s">
        <v>1222</v>
      </c>
      <c r="B155" s="14" t="str">
        <f>$B$38</f>
        <v>From Fiscal Forecasts</v>
      </c>
      <c r="C155" s="15"/>
      <c r="D155" s="51">
        <f>'Fiscal Forecasts'!D11</f>
        <v>19.795999999999999</v>
      </c>
      <c r="E155" s="51">
        <f>'Fiscal Forecasts'!E11</f>
        <v>18.437000000000001</v>
      </c>
      <c r="F155" s="51">
        <f>'Fiscal Forecasts'!F11</f>
        <v>18.5</v>
      </c>
      <c r="G155" s="51">
        <f>'Fiscal Forecasts'!G11</f>
        <v>17.442</v>
      </c>
      <c r="H155" s="51">
        <f>'Fiscal Forecasts'!H11</f>
        <v>21.954000000000001</v>
      </c>
      <c r="I155" s="51">
        <f>'Fiscal Forecasts'!I11</f>
        <v>25.135000000000002</v>
      </c>
      <c r="J155" s="51">
        <f>'Fiscal Forecasts'!J11</f>
        <v>26.085000000000001</v>
      </c>
      <c r="K155" s="51">
        <f>'Fiscal Forecasts'!K11</f>
        <v>25.22</v>
      </c>
      <c r="L155" s="47">
        <f>'Fiscal Forecasts'!L11</f>
        <v>26.960999999999999</v>
      </c>
      <c r="M155" s="47">
        <f>'Fiscal Forecasts'!M11</f>
        <v>27.52</v>
      </c>
      <c r="N155" s="47">
        <f>'Fiscal Forecasts'!N11</f>
        <v>28.155999999999999</v>
      </c>
      <c r="O155" s="47">
        <f>'Fiscal Forecasts'!O11</f>
        <v>29.151</v>
      </c>
      <c r="P155" s="47">
        <f>'Fiscal Forecasts'!P11</f>
        <v>29.815999999999999</v>
      </c>
      <c r="Q155" s="21">
        <f t="shared" ref="Q155:Z155" ca="1" si="108">Q$154+(P$155-P$154)*(1+Q$14)</f>
        <v>31.082278581469399</v>
      </c>
      <c r="R155" s="21">
        <f t="shared" ca="1" si="108"/>
        <v>32.373817990717384</v>
      </c>
      <c r="S155" s="21">
        <f t="shared" ca="1" si="108"/>
        <v>33.699088373795036</v>
      </c>
      <c r="T155" s="21">
        <f t="shared" ca="1" si="108"/>
        <v>35.054248490549547</v>
      </c>
      <c r="U155" s="21">
        <f t="shared" ca="1" si="108"/>
        <v>36.456020529544169</v>
      </c>
      <c r="V155" s="21">
        <f t="shared" ca="1" si="108"/>
        <v>37.903940016000107</v>
      </c>
      <c r="W155" s="21">
        <f t="shared" ca="1" si="108"/>
        <v>39.388475508708048</v>
      </c>
      <c r="X155" s="21">
        <f t="shared" ca="1" si="108"/>
        <v>40.914908229707805</v>
      </c>
      <c r="Y155" s="21">
        <f t="shared" ca="1" si="108"/>
        <v>42.491722468210163</v>
      </c>
      <c r="Z155" s="21">
        <f t="shared" ca="1" si="108"/>
        <v>44.118425353902772</v>
      </c>
    </row>
    <row r="156" spans="1:26" x14ac:dyDescent="0.25">
      <c r="A156" s="11"/>
      <c r="B156" s="11"/>
      <c r="C156" s="15"/>
      <c r="D156" s="51"/>
      <c r="E156" s="51"/>
      <c r="F156" s="51"/>
      <c r="G156" s="51"/>
      <c r="H156" s="51"/>
      <c r="I156" s="51"/>
      <c r="J156" s="51"/>
      <c r="K156" s="51"/>
      <c r="L156" s="47"/>
      <c r="M156" s="47"/>
      <c r="N156" s="47"/>
      <c r="O156" s="47"/>
      <c r="P156" s="47"/>
      <c r="Q156" s="21"/>
      <c r="R156" s="21"/>
      <c r="S156" s="21"/>
      <c r="T156" s="21"/>
      <c r="U156" s="21"/>
      <c r="V156" s="21"/>
      <c r="W156" s="21"/>
      <c r="X156" s="21"/>
      <c r="Y156" s="21"/>
      <c r="Z156" s="21"/>
    </row>
    <row r="157" spans="1:26" x14ac:dyDescent="0.25">
      <c r="A157" s="11" t="s">
        <v>867</v>
      </c>
      <c r="B157" s="11"/>
      <c r="C157" s="15"/>
      <c r="D157" s="51"/>
      <c r="E157" s="51"/>
      <c r="F157" s="51"/>
      <c r="G157" s="51"/>
      <c r="H157" s="51"/>
      <c r="I157" s="51"/>
      <c r="J157" s="51"/>
      <c r="K157" s="51"/>
      <c r="L157" s="47"/>
      <c r="M157" s="47"/>
      <c r="N157" s="47"/>
      <c r="O157" s="47"/>
      <c r="P157" s="47"/>
      <c r="Q157" s="21"/>
      <c r="R157" s="21"/>
      <c r="S157" s="21"/>
      <c r="T157" s="21"/>
      <c r="U157" s="21"/>
      <c r="V157" s="21"/>
      <c r="W157" s="21"/>
      <c r="X157" s="21"/>
      <c r="Y157" s="21"/>
      <c r="Z157" s="21"/>
    </row>
    <row r="158" spans="1:26" x14ac:dyDescent="0.25">
      <c r="A158" s="12" t="s">
        <v>1223</v>
      </c>
      <c r="B158" s="11"/>
      <c r="C158" s="15"/>
      <c r="D158" s="50">
        <f ca="1">OFFSET(Assumptions!$B$48,0,$C$1)*D$375</f>
        <v>0.41243999999999997</v>
      </c>
      <c r="E158" s="50">
        <f ca="1">OFFSET(Assumptions!$B$48,0,$C$1)*E$375</f>
        <v>0.33726</v>
      </c>
      <c r="F158" s="50">
        <f ca="1">OFFSET(Assumptions!$B$48,0,$C$1)*F$375</f>
        <v>0.31163999999999997</v>
      </c>
      <c r="G158" s="50">
        <f ca="1">OFFSET(Assumptions!$B$48,0,$C$1)*G$375</f>
        <v>0.45233999999999996</v>
      </c>
      <c r="H158" s="50">
        <f ca="1">OFFSET(Assumptions!$B$48,0,$C$1)*H$375</f>
        <v>0.5544</v>
      </c>
      <c r="I158" s="50">
        <f ca="1">OFFSET(Assumptions!$B$48,0,$C$1)*I$375</f>
        <v>0.69677999999999995</v>
      </c>
      <c r="J158" s="50">
        <f ca="1">OFFSET(Assumptions!$B$48,0,$C$1)*J$375</f>
        <v>0.74927999999999995</v>
      </c>
      <c r="K158" s="50">
        <f ca="1">OFFSET(Assumptions!$B$48,0,$C$1)*K$375</f>
        <v>0.75348000000000004</v>
      </c>
      <c r="L158" s="48">
        <f ca="1">OFFSET(Assumptions!$B$48,0,$C$1)*L$375</f>
        <v>0.74885999999999997</v>
      </c>
      <c r="M158" s="48">
        <f ca="1">OFFSET(Assumptions!$B$48,0,$C$1)*M$375</f>
        <v>0.77532000000000001</v>
      </c>
      <c r="N158" s="48">
        <f ca="1">OFFSET(Assumptions!$B$48,0,$C$1)*N$375</f>
        <v>0.81227999999999989</v>
      </c>
      <c r="O158" s="48">
        <f ca="1">OFFSET(Assumptions!$B$48,0,$C$1)*O$375</f>
        <v>0.84965999999999997</v>
      </c>
      <c r="P158" s="48">
        <f ca="1">OFFSET(Assumptions!$B$48,0,$C$1)*P$375</f>
        <v>0.88913999999999993</v>
      </c>
      <c r="Q158" s="20">
        <f ca="1">OFFSET(Assumptions!$B$48,0,$C$1)*Q$375</f>
        <v>0.95870978269583018</v>
      </c>
      <c r="R158" s="20">
        <f ca="1">OFFSET(Assumptions!$B$48,0,$C$1)*R$375</f>
        <v>1.0175422012160071</v>
      </c>
      <c r="S158" s="20">
        <f ca="1">OFFSET(Assumptions!$B$48,0,$C$1)*S$375</f>
        <v>1.0788136908672246</v>
      </c>
      <c r="T158" s="20">
        <f ca="1">OFFSET(Assumptions!$B$48,0,$C$1)*T$375</f>
        <v>1.1426320853691245</v>
      </c>
      <c r="U158" s="20">
        <f ca="1">OFFSET(Assumptions!$B$48,0,$C$1)*U$375</f>
        <v>1.2090007055569587</v>
      </c>
      <c r="V158" s="20">
        <f ca="1">OFFSET(Assumptions!$B$48,0,$C$1)*V$375</f>
        <v>1.2779762319694714</v>
      </c>
      <c r="W158" s="20">
        <f ca="1">OFFSET(Assumptions!$B$48,0,$C$1)*W$375</f>
        <v>1.3501058732121565</v>
      </c>
      <c r="X158" s="20">
        <f ca="1">OFFSET(Assumptions!$B$48,0,$C$1)*X$375</f>
        <v>1.4260986796114399</v>
      </c>
      <c r="Y158" s="20">
        <f ca="1">OFFSET(Assumptions!$B$48,0,$C$1)*Y$375</f>
        <v>1.5068004336497027</v>
      </c>
      <c r="Z158" s="20">
        <f ca="1">OFFSET(Assumptions!$B$48,0,$C$1)*Z$375</f>
        <v>1.5931502850467707</v>
      </c>
    </row>
    <row r="159" spans="1:26" x14ac:dyDescent="0.25">
      <c r="A159" s="12" t="s">
        <v>1224</v>
      </c>
      <c r="B159" s="11"/>
      <c r="C159" s="15"/>
      <c r="D159" s="50">
        <f t="shared" ref="D159:Z159" si="109">D$404</f>
        <v>0.39400000000000002</v>
      </c>
      <c r="E159" s="50">
        <f t="shared" si="109"/>
        <v>0.33100000000000002</v>
      </c>
      <c r="F159" s="50">
        <f t="shared" si="109"/>
        <v>0.23499999999999999</v>
      </c>
      <c r="G159" s="50">
        <f t="shared" si="109"/>
        <v>0.28000000000000003</v>
      </c>
      <c r="H159" s="50">
        <f t="shared" si="109"/>
        <v>0.57699999999999996</v>
      </c>
      <c r="I159" s="50">
        <f t="shared" si="109"/>
        <v>0.63400000000000001</v>
      </c>
      <c r="J159" s="50">
        <f t="shared" si="109"/>
        <v>0.49199999999999999</v>
      </c>
      <c r="K159" s="50">
        <f t="shared" si="109"/>
        <v>0.311</v>
      </c>
      <c r="L159" s="48">
        <f t="shared" si="109"/>
        <v>0.36299999999999999</v>
      </c>
      <c r="M159" s="48">
        <f t="shared" si="109"/>
        <v>0.44600000000000001</v>
      </c>
      <c r="N159" s="48">
        <f t="shared" si="109"/>
        <v>0.47399999999999998</v>
      </c>
      <c r="O159" s="48">
        <f t="shared" si="109"/>
        <v>0.501</v>
      </c>
      <c r="P159" s="48">
        <f t="shared" si="109"/>
        <v>0.52600000000000002</v>
      </c>
      <c r="Q159" s="20">
        <f t="shared" si="109"/>
        <v>0.56899999999999995</v>
      </c>
      <c r="R159" s="20">
        <f t="shared" si="109"/>
        <v>0.60499999999999998</v>
      </c>
      <c r="S159" s="20">
        <f t="shared" si="109"/>
        <v>0.63900000000000001</v>
      </c>
      <c r="T159" s="20">
        <f t="shared" si="109"/>
        <v>0.67</v>
      </c>
      <c r="U159" s="20">
        <f t="shared" si="109"/>
        <v>0.69899999999999995</v>
      </c>
      <c r="V159" s="20">
        <f t="shared" si="109"/>
        <v>0.72899999999999998</v>
      </c>
      <c r="W159" s="20">
        <f t="shared" si="109"/>
        <v>0.75900000000000001</v>
      </c>
      <c r="X159" s="20">
        <f t="shared" si="109"/>
        <v>0.79100000000000004</v>
      </c>
      <c r="Y159" s="20">
        <f t="shared" si="109"/>
        <v>0.82399999999999995</v>
      </c>
      <c r="Z159" s="20">
        <f t="shared" si="109"/>
        <v>0.85699999999999998</v>
      </c>
    </row>
    <row r="160" spans="1:26" x14ac:dyDescent="0.25">
      <c r="A160" s="12" t="s">
        <v>1225</v>
      </c>
      <c r="B160" s="14" t="str">
        <f>$B$38</f>
        <v>From Fiscal Forecasts</v>
      </c>
      <c r="C160" s="15"/>
      <c r="D160" s="50">
        <f ca="1">'Fiscal Forecasts'!D$166-SUM(D$158:D$159)</f>
        <v>0.25356000000000001</v>
      </c>
      <c r="E160" s="50">
        <f ca="1">'Fiscal Forecasts'!E$166-SUM(E$158:E$159)</f>
        <v>0.1817399999999999</v>
      </c>
      <c r="F160" s="50">
        <f ca="1">'Fiscal Forecasts'!F$166-SUM(F$158:F$159)</f>
        <v>0.16935999999999996</v>
      </c>
      <c r="G160" s="50">
        <f ca="1">'Fiscal Forecasts'!G$166-SUM(G$158:G$159)</f>
        <v>0.12565999999999999</v>
      </c>
      <c r="H160" s="50">
        <f ca="1">'Fiscal Forecasts'!H$166-SUM(H$158:H$159)</f>
        <v>1.7306000000000001</v>
      </c>
      <c r="I160" s="50">
        <f ca="1">'Fiscal Forecasts'!I$166-SUM(I$158:I$159)</f>
        <v>3.11022</v>
      </c>
      <c r="J160" s="50">
        <f ca="1">'Fiscal Forecasts'!J$166-SUM(J$158:J$159)</f>
        <v>2.9477200000000003</v>
      </c>
      <c r="K160" s="50">
        <f ca="1">'Fiscal Forecasts'!K$166-SUM(K$158:K$159)</f>
        <v>2.45452</v>
      </c>
      <c r="L160" s="48">
        <f ca="1">'Fiscal Forecasts'!L$166-SUM(L$158:L$159)+IF($C$3="Yes",OFFSET(Assumptions!$B$48,0,$C$1)*('NZSF Adjuster'!W$24-'NZSF Adjuster'!W$15),0)</f>
        <v>2.9171399999999998</v>
      </c>
      <c r="M160" s="48">
        <f ca="1">'Fiscal Forecasts'!M$166-SUM(M$158:M$159)+IF($C$3="Yes",OFFSET(Assumptions!$B$48,0,$C$1)*('NZSF Adjuster'!X$24-'NZSF Adjuster'!X$15),0)</f>
        <v>3.2346800000000004</v>
      </c>
      <c r="N160" s="48">
        <f ca="1">'Fiscal Forecasts'!N$166-SUM(N$158:N$159)+IF($C$3="Yes",OFFSET(Assumptions!$B$48,0,$C$1)*('NZSF Adjuster'!Y$24-'NZSF Adjuster'!Y$15),0)</f>
        <v>3.42272</v>
      </c>
      <c r="O160" s="48">
        <f ca="1">'Fiscal Forecasts'!O$166-SUM(O$158:O$159)+IF($C$3="Yes",OFFSET(Assumptions!$B$48,0,$C$1)*('NZSF Adjuster'!Z$24-'NZSF Adjuster'!Z$15),0)</f>
        <v>3.8523400000000003</v>
      </c>
      <c r="P160" s="48">
        <f ca="1">'Fiscal Forecasts'!P$166-SUM(P$158:P$159)+IF($C$3="Yes",OFFSET(Assumptions!$B$48,0,$C$1)*('NZSF Adjuster'!AA$24-'NZSF Adjuster'!AA$15),0)</f>
        <v>3.8328600000000002</v>
      </c>
      <c r="Q160" s="20">
        <f t="shared" ref="Q160:Z160" ca="1" si="110">P$160*(1+Q$29)*Q$30/P$30</f>
        <v>3.9095172000000002</v>
      </c>
      <c r="R160" s="20">
        <f t="shared" ca="1" si="110"/>
        <v>3.9877075440000005</v>
      </c>
      <c r="S160" s="20">
        <f t="shared" ca="1" si="110"/>
        <v>4.0674616948800004</v>
      </c>
      <c r="T160" s="20">
        <f t="shared" ca="1" si="110"/>
        <v>4.1488109287776007</v>
      </c>
      <c r="U160" s="20">
        <f t="shared" ca="1" si="110"/>
        <v>4.2317871473531525</v>
      </c>
      <c r="V160" s="20">
        <f t="shared" ca="1" si="110"/>
        <v>4.316422890300216</v>
      </c>
      <c r="W160" s="20">
        <f t="shared" ca="1" si="110"/>
        <v>4.4027513481062206</v>
      </c>
      <c r="X160" s="20">
        <f t="shared" ca="1" si="110"/>
        <v>4.4908063750683453</v>
      </c>
      <c r="Y160" s="20">
        <f t="shared" ca="1" si="110"/>
        <v>4.580622502569712</v>
      </c>
      <c r="Z160" s="20">
        <f t="shared" ca="1" si="110"/>
        <v>4.672234952621106</v>
      </c>
    </row>
    <row r="161" spans="1:26" x14ac:dyDescent="0.25">
      <c r="A161" s="11" t="s">
        <v>1226</v>
      </c>
      <c r="B161" s="11"/>
      <c r="C161" s="15"/>
      <c r="D161" s="94">
        <f t="shared" ref="D161:Z161" ca="1" si="111">SUM(D$158:D$160)</f>
        <v>1.06</v>
      </c>
      <c r="E161" s="94">
        <f t="shared" ca="1" si="111"/>
        <v>0.85</v>
      </c>
      <c r="F161" s="94">
        <f t="shared" ca="1" si="111"/>
        <v>0.71599999999999997</v>
      </c>
      <c r="G161" s="94">
        <f t="shared" ca="1" si="111"/>
        <v>0.85799999999999998</v>
      </c>
      <c r="H161" s="94">
        <f t="shared" ca="1" si="111"/>
        <v>2.8620000000000001</v>
      </c>
      <c r="I161" s="94">
        <f t="shared" ca="1" si="111"/>
        <v>4.4409999999999998</v>
      </c>
      <c r="J161" s="94">
        <f t="shared" ca="1" si="111"/>
        <v>4.1890000000000001</v>
      </c>
      <c r="K161" s="94">
        <f t="shared" ca="1" si="111"/>
        <v>3.5190000000000001</v>
      </c>
      <c r="L161" s="95">
        <f t="shared" ca="1" si="111"/>
        <v>4.0289999999999999</v>
      </c>
      <c r="M161" s="95">
        <f t="shared" ca="1" si="111"/>
        <v>4.4560000000000004</v>
      </c>
      <c r="N161" s="95">
        <f t="shared" ca="1" si="111"/>
        <v>4.7089999999999996</v>
      </c>
      <c r="O161" s="95">
        <f t="shared" ca="1" si="111"/>
        <v>5.2030000000000003</v>
      </c>
      <c r="P161" s="95">
        <f t="shared" ca="1" si="111"/>
        <v>5.2480000000000002</v>
      </c>
      <c r="Q161" s="96">
        <f t="shared" ca="1" si="111"/>
        <v>5.4372269826958304</v>
      </c>
      <c r="R161" s="96">
        <f t="shared" ca="1" si="111"/>
        <v>5.6102497452160076</v>
      </c>
      <c r="S161" s="96">
        <f t="shared" ca="1" si="111"/>
        <v>5.7852753857472248</v>
      </c>
      <c r="T161" s="96">
        <f t="shared" ca="1" si="111"/>
        <v>5.9614430141467256</v>
      </c>
      <c r="U161" s="96">
        <f t="shared" ca="1" si="111"/>
        <v>6.1397878529101106</v>
      </c>
      <c r="V161" s="96">
        <f t="shared" ca="1" si="111"/>
        <v>6.3233991222696879</v>
      </c>
      <c r="W161" s="96">
        <f t="shared" ca="1" si="111"/>
        <v>6.511857221318377</v>
      </c>
      <c r="X161" s="96">
        <f t="shared" ca="1" si="111"/>
        <v>6.7079050546797854</v>
      </c>
      <c r="Y161" s="96">
        <f t="shared" ca="1" si="111"/>
        <v>6.9114229362194148</v>
      </c>
      <c r="Z161" s="96">
        <f t="shared" ca="1" si="111"/>
        <v>7.1223852376678769</v>
      </c>
    </row>
    <row r="162" spans="1:26" x14ac:dyDescent="0.25">
      <c r="A162" s="12" t="s">
        <v>1020</v>
      </c>
      <c r="B162" s="14" t="str">
        <f>$B$38</f>
        <v>From Fiscal Forecasts</v>
      </c>
      <c r="C162" s="15"/>
      <c r="D162" s="50">
        <f>'Fiscal Forecasts'!D$233</f>
        <v>1.016</v>
      </c>
      <c r="E162" s="50">
        <f>'Fiscal Forecasts'!E$233</f>
        <v>0.94699999999999995</v>
      </c>
      <c r="F162" s="50">
        <f>'Fiscal Forecasts'!F$233</f>
        <v>0.78500000000000003</v>
      </c>
      <c r="G162" s="50">
        <f>'Fiscal Forecasts'!G$233</f>
        <v>0.82699999999999996</v>
      </c>
      <c r="H162" s="50">
        <f>'Fiscal Forecasts'!H$233</f>
        <v>2.097</v>
      </c>
      <c r="I162" s="50">
        <f>'Fiscal Forecasts'!I$233</f>
        <v>3.56</v>
      </c>
      <c r="J162" s="50">
        <f>'Fiscal Forecasts'!J$233</f>
        <v>4.0990000000000002</v>
      </c>
      <c r="K162" s="50">
        <f>'Fiscal Forecasts'!K$233</f>
        <v>3.9359999999999999</v>
      </c>
      <c r="L162" s="48">
        <f>'Fiscal Forecasts'!L$233</f>
        <v>4.0650000000000004</v>
      </c>
      <c r="M162" s="48">
        <f>'Fiscal Forecasts'!M$233</f>
        <v>4.51</v>
      </c>
      <c r="N162" s="48">
        <f>'Fiscal Forecasts'!N$233</f>
        <v>5.0789999999999997</v>
      </c>
      <c r="O162" s="48">
        <f>'Fiscal Forecasts'!O$233</f>
        <v>5.67</v>
      </c>
      <c r="P162" s="48">
        <f>'Fiscal Forecasts'!P$233</f>
        <v>6.1879999999999997</v>
      </c>
      <c r="Q162" s="20">
        <f ca="1">P$162*AVERAGE(1+Q$29,1+Exogenous!AB$31)</f>
        <v>6.4123297845524876</v>
      </c>
      <c r="R162" s="20">
        <f ca="1">Q$162*AVERAGE(1+R$29,1+Exogenous!AC$31)</f>
        <v>6.6479753701309878</v>
      </c>
      <c r="S162" s="20">
        <f ca="1">R$162*AVERAGE(1+S$29,1+Exogenous!AD$31)</f>
        <v>6.8950297789393744</v>
      </c>
      <c r="T162" s="20">
        <f ca="1">S$162*AVERAGE(1+T$29,1+Exogenous!AE$31)</f>
        <v>7.1534370794288984</v>
      </c>
      <c r="U162" s="20">
        <f ca="1">T$162*AVERAGE(1+U$29,1+Exogenous!AF$31)</f>
        <v>7.4224234327580669</v>
      </c>
      <c r="V162" s="20">
        <f ca="1">U$162*AVERAGE(1+V$29,1+Exogenous!AG$31)</f>
        <v>7.7016293009972374</v>
      </c>
      <c r="W162" s="20">
        <f ca="1">V$162*AVERAGE(1+W$29,1+Exogenous!AH$31)</f>
        <v>7.9913956994938786</v>
      </c>
      <c r="X162" s="20">
        <f ca="1">W$162*AVERAGE(1+X$29,1+Exogenous!AI$31)</f>
        <v>8.2921328172627824</v>
      </c>
      <c r="Y162" s="20">
        <f ca="1">X$162*AVERAGE(1+Y$29,1+Exogenous!AJ$31)</f>
        <v>8.6042488552918179</v>
      </c>
      <c r="Z162" s="20">
        <f ca="1">Y$162*AVERAGE(1+Z$29,1+Exogenous!AK$31)</f>
        <v>8.9281645934371223</v>
      </c>
    </row>
    <row r="163" spans="1:26" x14ac:dyDescent="0.25">
      <c r="A163" s="12" t="s">
        <v>1227</v>
      </c>
      <c r="B163" s="14" t="str">
        <f>$B$38</f>
        <v>From Fiscal Forecasts</v>
      </c>
      <c r="C163" s="15"/>
      <c r="D163" s="50">
        <f>'Fiscal Forecasts'!D$234</f>
        <v>1.014</v>
      </c>
      <c r="E163" s="50">
        <f>'Fiscal Forecasts'!E$234</f>
        <v>0.95299999999999996</v>
      </c>
      <c r="F163" s="50">
        <f>'Fiscal Forecasts'!F$234</f>
        <v>0.79100000000000004</v>
      </c>
      <c r="G163" s="50">
        <f>'Fiscal Forecasts'!G$234</f>
        <v>0.95699999999999996</v>
      </c>
      <c r="H163" s="50">
        <f>'Fiscal Forecasts'!H$234</f>
        <v>0.67500000000000004</v>
      </c>
      <c r="I163" s="50">
        <f>'Fiscal Forecasts'!I$234</f>
        <v>0.22800000000000001</v>
      </c>
      <c r="J163" s="50">
        <f>'Fiscal Forecasts'!J$234</f>
        <v>0.16200000000000001</v>
      </c>
      <c r="K163" s="50">
        <f>'Fiscal Forecasts'!K$234</f>
        <v>0.114</v>
      </c>
      <c r="L163" s="48">
        <f>'Fiscal Forecasts'!L$234</f>
        <v>7.8E-2</v>
      </c>
      <c r="M163" s="48">
        <f>'Fiscal Forecasts'!M$234</f>
        <v>8.4000000000000005E-2</v>
      </c>
      <c r="N163" s="48">
        <f>'Fiscal Forecasts'!N$234</f>
        <v>8.6999999999999994E-2</v>
      </c>
      <c r="O163" s="48">
        <f>'Fiscal Forecasts'!O$234</f>
        <v>9.4E-2</v>
      </c>
      <c r="P163" s="48">
        <f>'Fiscal Forecasts'!P$234</f>
        <v>0.106</v>
      </c>
      <c r="Q163" s="20">
        <f t="shared" ref="Q163:Z163" ca="1" si="112">P$163*(1+Q$29)</f>
        <v>0.10811999999999999</v>
      </c>
      <c r="R163" s="20">
        <f t="shared" ca="1" si="112"/>
        <v>0.11028239999999999</v>
      </c>
      <c r="S163" s="20">
        <f t="shared" ca="1" si="112"/>
        <v>0.11248804799999999</v>
      </c>
      <c r="T163" s="20">
        <f t="shared" ca="1" si="112"/>
        <v>0.11473780895999999</v>
      </c>
      <c r="U163" s="20">
        <f t="shared" ca="1" si="112"/>
        <v>0.11703256513919999</v>
      </c>
      <c r="V163" s="20">
        <f t="shared" ca="1" si="112"/>
        <v>0.119373216441984</v>
      </c>
      <c r="W163" s="20">
        <f t="shared" ca="1" si="112"/>
        <v>0.12176068077082368</v>
      </c>
      <c r="X163" s="20">
        <f t="shared" ca="1" si="112"/>
        <v>0.12419589438624015</v>
      </c>
      <c r="Y163" s="20">
        <f t="shared" ca="1" si="112"/>
        <v>0.12667981227396496</v>
      </c>
      <c r="Z163" s="20">
        <f t="shared" ca="1" si="112"/>
        <v>0.12921340851944427</v>
      </c>
    </row>
    <row r="164" spans="1:26" x14ac:dyDescent="0.25">
      <c r="A164" s="12" t="s">
        <v>1228</v>
      </c>
      <c r="B164" s="14" t="str">
        <f>$B$38</f>
        <v>From Fiscal Forecasts</v>
      </c>
      <c r="C164" s="15"/>
      <c r="D164" s="50">
        <f>'Fiscal Forecasts'!D$235</f>
        <v>-0.44400000000000001</v>
      </c>
      <c r="E164" s="50">
        <f>'Fiscal Forecasts'!E$235</f>
        <v>-0.45</v>
      </c>
      <c r="F164" s="50">
        <f>'Fiscal Forecasts'!F$235</f>
        <v>-0.34899999999999998</v>
      </c>
      <c r="G164" s="50">
        <f>'Fiscal Forecasts'!G$235</f>
        <v>-0.35</v>
      </c>
      <c r="H164" s="50">
        <f>'Fiscal Forecasts'!H$235</f>
        <v>-0.622</v>
      </c>
      <c r="I164" s="50">
        <f>'Fiscal Forecasts'!I$235</f>
        <v>-1.109</v>
      </c>
      <c r="J164" s="50">
        <f>'Fiscal Forecasts'!J$235</f>
        <v>-1.411</v>
      </c>
      <c r="K164" s="50">
        <f>'Fiscal Forecasts'!K$235</f>
        <v>-1.585</v>
      </c>
      <c r="L164" s="48">
        <f>'Fiscal Forecasts'!L$235</f>
        <v>-1.6859999999999999</v>
      </c>
      <c r="M164" s="48">
        <f>'Fiscal Forecasts'!M$235</f>
        <v>-1.847</v>
      </c>
      <c r="N164" s="48">
        <f>'Fiscal Forecasts'!N$235</f>
        <v>-1.958</v>
      </c>
      <c r="O164" s="48">
        <f>'Fiscal Forecasts'!O$235</f>
        <v>-2.0409999999999999</v>
      </c>
      <c r="P164" s="48">
        <f>'Fiscal Forecasts'!P$235</f>
        <v>-2.1429999999999998</v>
      </c>
      <c r="Q164" s="20">
        <f t="shared" ref="Q164:Z164" ca="1" si="113">P$164*Q$162/P$162</f>
        <v>-2.2206888701189365</v>
      </c>
      <c r="R164" s="20">
        <f t="shared" ca="1" si="113"/>
        <v>-2.3022965769538954</v>
      </c>
      <c r="S164" s="20">
        <f t="shared" ca="1" si="113"/>
        <v>-2.387855335531202</v>
      </c>
      <c r="T164" s="20">
        <f t="shared" ca="1" si="113"/>
        <v>-2.4773457758914232</v>
      </c>
      <c r="U164" s="20">
        <f t="shared" ca="1" si="113"/>
        <v>-2.5704999056885161</v>
      </c>
      <c r="V164" s="20">
        <f t="shared" ca="1" si="113"/>
        <v>-2.6671932113828505</v>
      </c>
      <c r="W164" s="20">
        <f t="shared" ca="1" si="113"/>
        <v>-2.7675437918576891</v>
      </c>
      <c r="X164" s="20">
        <f t="shared" ca="1" si="113"/>
        <v>-2.8716937019059698</v>
      </c>
      <c r="Y164" s="20">
        <f t="shared" ca="1" si="113"/>
        <v>-2.9797843078361934</v>
      </c>
      <c r="Z164" s="20">
        <f t="shared" ca="1" si="113"/>
        <v>-3.091961332213276</v>
      </c>
    </row>
    <row r="165" spans="1:26" x14ac:dyDescent="0.25">
      <c r="A165" s="11" t="s">
        <v>1229</v>
      </c>
      <c r="B165" s="11"/>
      <c r="C165" s="15"/>
      <c r="D165" s="94">
        <f t="shared" ref="D165:Z165" ca="1" si="114">SUM(D$161:D$164)</f>
        <v>2.6459999999999999</v>
      </c>
      <c r="E165" s="94">
        <f t="shared" ca="1" si="114"/>
        <v>2.2999999999999998</v>
      </c>
      <c r="F165" s="94">
        <f t="shared" ca="1" si="114"/>
        <v>1.9429999999999998</v>
      </c>
      <c r="G165" s="94">
        <f t="shared" ca="1" si="114"/>
        <v>2.2919999999999998</v>
      </c>
      <c r="H165" s="94">
        <f t="shared" ca="1" si="114"/>
        <v>5.0119999999999996</v>
      </c>
      <c r="I165" s="94">
        <f t="shared" ca="1" si="114"/>
        <v>7.1199999999999992</v>
      </c>
      <c r="J165" s="94">
        <f t="shared" ca="1" si="114"/>
        <v>7.0390000000000015</v>
      </c>
      <c r="K165" s="94">
        <f t="shared" ca="1" si="114"/>
        <v>5.984</v>
      </c>
      <c r="L165" s="95">
        <f t="shared" ca="1" si="114"/>
        <v>6.4860000000000007</v>
      </c>
      <c r="M165" s="95">
        <f t="shared" ca="1" si="114"/>
        <v>7.2030000000000012</v>
      </c>
      <c r="N165" s="95">
        <f t="shared" ca="1" si="114"/>
        <v>7.9169999999999998</v>
      </c>
      <c r="O165" s="95">
        <f t="shared" ca="1" si="114"/>
        <v>8.9260000000000002</v>
      </c>
      <c r="P165" s="95">
        <f t="shared" ca="1" si="114"/>
        <v>9.3990000000000009</v>
      </c>
      <c r="Q165" s="96">
        <f t="shared" ca="1" si="114"/>
        <v>9.7369878971293815</v>
      </c>
      <c r="R165" s="96">
        <f t="shared" ca="1" si="114"/>
        <v>10.066210938393098</v>
      </c>
      <c r="S165" s="96">
        <f t="shared" ca="1" si="114"/>
        <v>10.404937877155398</v>
      </c>
      <c r="T165" s="96">
        <f t="shared" ca="1" si="114"/>
        <v>10.752272126644201</v>
      </c>
      <c r="U165" s="96">
        <f t="shared" ca="1" si="114"/>
        <v>11.10874394511886</v>
      </c>
      <c r="V165" s="96">
        <f t="shared" ca="1" si="114"/>
        <v>11.477208428326058</v>
      </c>
      <c r="W165" s="96">
        <f t="shared" ca="1" si="114"/>
        <v>11.857469809725389</v>
      </c>
      <c r="X165" s="96">
        <f t="shared" ca="1" si="114"/>
        <v>12.252540064422837</v>
      </c>
      <c r="Y165" s="96">
        <f t="shared" ca="1" si="114"/>
        <v>12.662567295949003</v>
      </c>
      <c r="Z165" s="96">
        <f t="shared" ca="1" si="114"/>
        <v>13.087801907411166</v>
      </c>
    </row>
    <row r="166" spans="1:26" x14ac:dyDescent="0.25">
      <c r="A166" s="11"/>
      <c r="B166" s="11"/>
      <c r="C166" s="15"/>
      <c r="D166" s="91"/>
      <c r="E166" s="91"/>
      <c r="F166" s="91"/>
      <c r="G166" s="91"/>
      <c r="H166" s="91"/>
      <c r="I166" s="91"/>
      <c r="J166" s="91"/>
      <c r="K166" s="91"/>
    </row>
    <row r="167" spans="1:26" x14ac:dyDescent="0.25">
      <c r="A167" s="11" t="s">
        <v>1230</v>
      </c>
      <c r="B167" s="11"/>
      <c r="C167" s="15"/>
      <c r="D167" s="91"/>
      <c r="E167" s="91"/>
      <c r="F167" s="91"/>
      <c r="G167" s="91"/>
      <c r="H167" s="91"/>
      <c r="I167" s="91"/>
      <c r="J167" s="91"/>
      <c r="K167" s="91"/>
    </row>
    <row r="168" spans="1:26" x14ac:dyDescent="0.25">
      <c r="A168" s="12" t="s">
        <v>1231</v>
      </c>
      <c r="B168" s="11"/>
      <c r="C168" s="15"/>
      <c r="D168" s="50">
        <f ca="1">OFFSET(Assumptions!$B$49,0,$C$1)*D$375</f>
        <v>0.5597399999999999</v>
      </c>
      <c r="E168" s="50">
        <f ca="1">OFFSET(Assumptions!$B$49,0,$C$1)*E$375</f>
        <v>0.45771000000000001</v>
      </c>
      <c r="F168" s="50">
        <f ca="1">OFFSET(Assumptions!$B$49,0,$C$1)*F$375</f>
        <v>0.42293999999999998</v>
      </c>
      <c r="G168" s="50">
        <f ca="1">OFFSET(Assumptions!$B$49,0,$C$1)*G$375</f>
        <v>0.61388999999999994</v>
      </c>
      <c r="H168" s="50">
        <f ca="1">OFFSET(Assumptions!$B$49,0,$C$1)*H$375</f>
        <v>0.75239999999999996</v>
      </c>
      <c r="I168" s="50">
        <f ca="1">OFFSET(Assumptions!$B$49,0,$C$1)*I$375</f>
        <v>0.94562999999999997</v>
      </c>
      <c r="J168" s="50">
        <f ca="1">OFFSET(Assumptions!$B$49,0,$C$1)*J$375</f>
        <v>1.01688</v>
      </c>
      <c r="K168" s="50">
        <f ca="1">OFFSET(Assumptions!$B$49,0,$C$1)*K$375</f>
        <v>1.02258</v>
      </c>
      <c r="L168" s="48">
        <f ca="1">OFFSET(Assumptions!$B$49,0,$C$1)*L$375</f>
        <v>1.0163099999999998</v>
      </c>
      <c r="M168" s="48">
        <f ca="1">OFFSET(Assumptions!$B$49,0,$C$1)*M$375</f>
        <v>1.0522199999999999</v>
      </c>
      <c r="N168" s="48">
        <f ca="1">OFFSET(Assumptions!$B$49,0,$C$1)*N$375</f>
        <v>1.1023799999999999</v>
      </c>
      <c r="O168" s="48">
        <f ca="1">OFFSET(Assumptions!$B$49,0,$C$1)*O$375</f>
        <v>1.1531100000000001</v>
      </c>
      <c r="P168" s="48">
        <f ca="1">OFFSET(Assumptions!$B$49,0,$C$1)*P$375</f>
        <v>1.2066899999999998</v>
      </c>
      <c r="Q168" s="20">
        <f ca="1">OFFSET(Assumptions!$B$49,0,$C$1)*Q$375</f>
        <v>1.3011061336586267</v>
      </c>
      <c r="R168" s="20">
        <f ca="1">OFFSET(Assumptions!$B$49,0,$C$1)*R$375</f>
        <v>1.3809501302217237</v>
      </c>
      <c r="S168" s="20">
        <f ca="1">OFFSET(Assumptions!$B$49,0,$C$1)*S$375</f>
        <v>1.4641042947483762</v>
      </c>
      <c r="T168" s="20">
        <f ca="1">OFFSET(Assumptions!$B$49,0,$C$1)*T$375</f>
        <v>1.5507149730009546</v>
      </c>
      <c r="U168" s="20">
        <f ca="1">OFFSET(Assumptions!$B$49,0,$C$1)*U$375</f>
        <v>1.640786671827301</v>
      </c>
      <c r="V168" s="20">
        <f ca="1">OFFSET(Assumptions!$B$49,0,$C$1)*V$375</f>
        <v>1.7343963148157111</v>
      </c>
      <c r="W168" s="20">
        <f ca="1">OFFSET(Assumptions!$B$49,0,$C$1)*W$375</f>
        <v>1.832286542216498</v>
      </c>
      <c r="X168" s="20">
        <f ca="1">OFFSET(Assumptions!$B$49,0,$C$1)*X$375</f>
        <v>1.9354196366155254</v>
      </c>
      <c r="Y168" s="20">
        <f ca="1">OFFSET(Assumptions!$B$49,0,$C$1)*Y$375</f>
        <v>2.0449434456674536</v>
      </c>
      <c r="Z168" s="20">
        <f ca="1">OFFSET(Assumptions!$B$49,0,$C$1)*Z$375</f>
        <v>2.1621325297063314</v>
      </c>
    </row>
    <row r="169" spans="1:26" x14ac:dyDescent="0.25">
      <c r="A169" s="12" t="s">
        <v>1232</v>
      </c>
      <c r="B169" s="14" t="str">
        <f>$B$38</f>
        <v>From Fiscal Forecasts</v>
      </c>
      <c r="C169" s="15"/>
      <c r="D169" s="50">
        <f ca="1">'Fiscal Forecasts'!D$238-D$168</f>
        <v>0.90326000000000017</v>
      </c>
      <c r="E169" s="50">
        <f ca="1">'Fiscal Forecasts'!E$238-E$168</f>
        <v>0.87829000000000002</v>
      </c>
      <c r="F169" s="50">
        <f ca="1">'Fiscal Forecasts'!F$238-F$168</f>
        <v>0.6710600000000001</v>
      </c>
      <c r="G169" s="50">
        <f ca="1">'Fiscal Forecasts'!G$238-G$168</f>
        <v>0.77711000000000008</v>
      </c>
      <c r="H169" s="50">
        <f ca="1">'Fiscal Forecasts'!H$238-H$168</f>
        <v>1.3356000000000001</v>
      </c>
      <c r="I169" s="50">
        <f ca="1">'Fiscal Forecasts'!I$238-I$168</f>
        <v>0.76236999999999999</v>
      </c>
      <c r="J169" s="50">
        <f ca="1">'Fiscal Forecasts'!J$238-J$168</f>
        <v>0.68711999999999995</v>
      </c>
      <c r="K169" s="50">
        <f ca="1">'Fiscal Forecasts'!K$238-K$168</f>
        <v>0.75941999999999998</v>
      </c>
      <c r="L169" s="48">
        <f ca="1">'Fiscal Forecasts'!L$238-L$168+IF($C$3="Yes",OFFSET(Assumptions!$B$49,0,$C$1)*('NZSF Adjuster'!W$24-'NZSF Adjuster'!W$15),0)</f>
        <v>0.67469000000000023</v>
      </c>
      <c r="M169" s="48">
        <f ca="1">'Fiscal Forecasts'!M$238-M$168+IF($C$3="Yes",OFFSET(Assumptions!$B$49,0,$C$1)*('NZSF Adjuster'!X$24-'NZSF Adjuster'!X$15),0)</f>
        <v>0.74378000000000011</v>
      </c>
      <c r="N169" s="48">
        <f ca="1">'Fiscal Forecasts'!N$238-N$168+IF($C$3="Yes",OFFSET(Assumptions!$B$49,0,$C$1)*('NZSF Adjuster'!Y$24-'NZSF Adjuster'!Y$15),0)</f>
        <v>0.86462000000000017</v>
      </c>
      <c r="O169" s="48">
        <f ca="1">'Fiscal Forecasts'!O$238-O$168+IF($C$3="Yes",OFFSET(Assumptions!$B$49,0,$C$1)*('NZSF Adjuster'!Z$24-'NZSF Adjuster'!Z$15),0)</f>
        <v>0.99089000000000005</v>
      </c>
      <c r="P169" s="48">
        <f ca="1">'Fiscal Forecasts'!P$238-P$168+IF($C$3="Yes",OFFSET(Assumptions!$B$49,0,$C$1)*('NZSF Adjuster'!AA$24-'NZSF Adjuster'!AA$15),0)</f>
        <v>1.1223100000000004</v>
      </c>
      <c r="Q169" s="20">
        <f t="shared" ref="Q169:Z169" ca="1" si="115">P$169*(1+Q$19)*(1+Q$29)</f>
        <v>1.1594656108662185</v>
      </c>
      <c r="R169" s="20">
        <f t="shared" ca="1" si="115"/>
        <v>1.197176751926198</v>
      </c>
      <c r="S169" s="20">
        <f t="shared" ca="1" si="115"/>
        <v>1.2357074323524615</v>
      </c>
      <c r="T169" s="20">
        <f t="shared" ca="1" si="115"/>
        <v>1.2746933610102975</v>
      </c>
      <c r="U169" s="20">
        <f t="shared" ca="1" si="115"/>
        <v>1.3148007943535485</v>
      </c>
      <c r="V169" s="20">
        <f t="shared" ca="1" si="115"/>
        <v>1.3556878898260019</v>
      </c>
      <c r="W169" s="20">
        <f t="shared" ca="1" si="115"/>
        <v>1.3963249590653699</v>
      </c>
      <c r="X169" s="20">
        <f t="shared" ca="1" si="115"/>
        <v>1.4378174278643492</v>
      </c>
      <c r="Y169" s="20">
        <f t="shared" ca="1" si="115"/>
        <v>1.4805679112768639</v>
      </c>
      <c r="Z169" s="20">
        <f t="shared" ca="1" si="115"/>
        <v>1.5242547899239718</v>
      </c>
    </row>
    <row r="170" spans="1:26" x14ac:dyDescent="0.25">
      <c r="A170" s="11" t="s">
        <v>1233</v>
      </c>
      <c r="B170" s="14"/>
      <c r="C170" s="15"/>
      <c r="D170" s="94">
        <f t="shared" ref="D170:Z170" ca="1" si="116">SUM(D$168:D$169)</f>
        <v>1.4630000000000001</v>
      </c>
      <c r="E170" s="94">
        <f t="shared" ca="1" si="116"/>
        <v>1.3360000000000001</v>
      </c>
      <c r="F170" s="94">
        <f t="shared" ca="1" si="116"/>
        <v>1.0940000000000001</v>
      </c>
      <c r="G170" s="94">
        <f t="shared" ca="1" si="116"/>
        <v>1.391</v>
      </c>
      <c r="H170" s="94">
        <f t="shared" ca="1" si="116"/>
        <v>2.0880000000000001</v>
      </c>
      <c r="I170" s="94">
        <f t="shared" ca="1" si="116"/>
        <v>1.708</v>
      </c>
      <c r="J170" s="94">
        <f t="shared" ca="1" si="116"/>
        <v>1.704</v>
      </c>
      <c r="K170" s="94">
        <f t="shared" ca="1" si="116"/>
        <v>1.782</v>
      </c>
      <c r="L170" s="95">
        <f t="shared" ca="1" si="116"/>
        <v>1.6910000000000001</v>
      </c>
      <c r="M170" s="95">
        <f t="shared" ca="1" si="116"/>
        <v>1.796</v>
      </c>
      <c r="N170" s="95">
        <f t="shared" ca="1" si="116"/>
        <v>1.9670000000000001</v>
      </c>
      <c r="O170" s="95">
        <f t="shared" ca="1" si="116"/>
        <v>2.1440000000000001</v>
      </c>
      <c r="P170" s="95">
        <f t="shared" ca="1" si="116"/>
        <v>2.3290000000000002</v>
      </c>
      <c r="Q170" s="96">
        <f t="shared" ca="1" si="116"/>
        <v>2.4605717445248452</v>
      </c>
      <c r="R170" s="96">
        <f t="shared" ca="1" si="116"/>
        <v>2.578126882147922</v>
      </c>
      <c r="S170" s="96">
        <f t="shared" ca="1" si="116"/>
        <v>2.6998117271008377</v>
      </c>
      <c r="T170" s="96">
        <f t="shared" ca="1" si="116"/>
        <v>2.8254083340112519</v>
      </c>
      <c r="U170" s="96">
        <f t="shared" ca="1" si="116"/>
        <v>2.9555874661808494</v>
      </c>
      <c r="V170" s="96">
        <f t="shared" ca="1" si="116"/>
        <v>3.090084204641713</v>
      </c>
      <c r="W170" s="96">
        <f t="shared" ca="1" si="116"/>
        <v>3.2286115012818679</v>
      </c>
      <c r="X170" s="96">
        <f t="shared" ca="1" si="116"/>
        <v>3.3732370644798744</v>
      </c>
      <c r="Y170" s="96">
        <f t="shared" ca="1" si="116"/>
        <v>3.5255113569443175</v>
      </c>
      <c r="Z170" s="96">
        <f t="shared" ca="1" si="116"/>
        <v>3.6863873196303034</v>
      </c>
    </row>
    <row r="171" spans="1:26" x14ac:dyDescent="0.25">
      <c r="A171" s="12" t="s">
        <v>1020</v>
      </c>
      <c r="B171" s="11"/>
      <c r="C171" s="15"/>
      <c r="D171" s="50">
        <f>'Fiscal Forecasts'!D$239</f>
        <v>0.42399999999999999</v>
      </c>
      <c r="E171" s="50">
        <f>'Fiscal Forecasts'!E$239</f>
        <v>0.39500000000000002</v>
      </c>
      <c r="F171" s="50">
        <f>'Fiscal Forecasts'!F$239</f>
        <v>0.44700000000000001</v>
      </c>
      <c r="G171" s="50">
        <f>'Fiscal Forecasts'!G$239</f>
        <v>0.52200000000000002</v>
      </c>
      <c r="H171" s="50">
        <f>'Fiscal Forecasts'!H$239</f>
        <v>0.60499999999999998</v>
      </c>
      <c r="I171" s="50">
        <f>'Fiscal Forecasts'!I$239</f>
        <v>0.63</v>
      </c>
      <c r="J171" s="50">
        <f>'Fiscal Forecasts'!J$239</f>
        <v>0.72499999999999998</v>
      </c>
      <c r="K171" s="50">
        <f>'Fiscal Forecasts'!K$239</f>
        <v>0.47799999999999998</v>
      </c>
      <c r="L171" s="48">
        <f>'Fiscal Forecasts'!L$239</f>
        <v>0.38900000000000001</v>
      </c>
      <c r="M171" s="48">
        <f>'Fiscal Forecasts'!M$239</f>
        <v>0.38900000000000001</v>
      </c>
      <c r="N171" s="48">
        <f>'Fiscal Forecasts'!N$239</f>
        <v>0.39300000000000002</v>
      </c>
      <c r="O171" s="48">
        <f>'Fiscal Forecasts'!O$239</f>
        <v>0.40100000000000002</v>
      </c>
      <c r="P171" s="48">
        <f>'Fiscal Forecasts'!P$239</f>
        <v>0.41199999999999998</v>
      </c>
      <c r="Q171" s="20">
        <f ca="1">P$171*AVERAGE(1+Q$29,1+Exogenous!AB$31)</f>
        <v>0.42693598436257674</v>
      </c>
      <c r="R171" s="20">
        <f ca="1">Q$171*AVERAGE(1+R$29,1+Exogenous!AC$31)</f>
        <v>0.44262538017032432</v>
      </c>
      <c r="S171" s="20">
        <f ca="1">R$171*AVERAGE(1+S$29,1+Exogenous!AD$31)</f>
        <v>0.45907438088607344</v>
      </c>
      <c r="T171" s="20">
        <f ca="1">S$171*AVERAGE(1+T$29,1+Exogenous!AE$31)</f>
        <v>0.4762792625605537</v>
      </c>
      <c r="U171" s="20">
        <f ca="1">T$171*AVERAGE(1+U$29,1+Exogenous!AF$31)</f>
        <v>0.49418850263353648</v>
      </c>
      <c r="V171" s="20">
        <f ca="1">U$171*AVERAGE(1+V$29,1+Exogenous!AG$31)</f>
        <v>0.51277816289768297</v>
      </c>
      <c r="W171" s="20">
        <f ca="1">V$171*AVERAGE(1+W$29,1+Exogenous!AH$31)</f>
        <v>0.53207094831795054</v>
      </c>
      <c r="X171" s="20">
        <f ca="1">W$171*AVERAGE(1+X$29,1+Exogenous!AI$31)</f>
        <v>0.5520941694751561</v>
      </c>
      <c r="Y171" s="20">
        <f ca="1">X$171*AVERAGE(1+Y$29,1+Exogenous!AJ$31)</f>
        <v>0.572875004586333</v>
      </c>
      <c r="Z171" s="20">
        <f ca="1">Y$171*AVERAGE(1+Z$29,1+Exogenous!AK$31)</f>
        <v>0.59444146937558073</v>
      </c>
    </row>
    <row r="172" spans="1:26" x14ac:dyDescent="0.25">
      <c r="A172" s="12" t="s">
        <v>1234</v>
      </c>
      <c r="B172" s="11"/>
      <c r="C172" s="15"/>
      <c r="D172" s="50">
        <f>'Fiscal Forecasts'!D$240</f>
        <v>-0.81699999999999995</v>
      </c>
      <c r="E172" s="50">
        <f>'Fiscal Forecasts'!E$240</f>
        <v>-0.82499999999999996</v>
      </c>
      <c r="F172" s="50">
        <f>'Fiscal Forecasts'!F$240</f>
        <v>-0.63800000000000001</v>
      </c>
      <c r="G172" s="50">
        <f>'Fiscal Forecasts'!G$240</f>
        <v>-0.66500000000000004</v>
      </c>
      <c r="H172" s="50">
        <f>'Fiscal Forecasts'!H$240</f>
        <v>-1.35</v>
      </c>
      <c r="I172" s="50">
        <f>'Fiscal Forecasts'!I$240</f>
        <v>-0.90800000000000003</v>
      </c>
      <c r="J172" s="50">
        <f>'Fiscal Forecasts'!J$240</f>
        <v>-0.79300000000000004</v>
      </c>
      <c r="K172" s="50">
        <f>'Fiscal Forecasts'!K$240</f>
        <v>-0.77600000000000002</v>
      </c>
      <c r="L172" s="48">
        <f>'Fiscal Forecasts'!L$240</f>
        <v>-0.73599999999999999</v>
      </c>
      <c r="M172" s="48">
        <f>'Fiscal Forecasts'!M$240</f>
        <v>-0.79100000000000004</v>
      </c>
      <c r="N172" s="48">
        <f>'Fiscal Forecasts'!N$240</f>
        <v>-0.88700000000000001</v>
      </c>
      <c r="O172" s="48">
        <f>'Fiscal Forecasts'!O$240</f>
        <v>-0.99199999999999999</v>
      </c>
      <c r="P172" s="48">
        <f>'Fiscal Forecasts'!P$240</f>
        <v>-1.0980000000000001</v>
      </c>
      <c r="Q172" s="20">
        <f t="shared" ref="Q172:Z172" ca="1" si="117">P$172*Q$171/P$171</f>
        <v>-1.1378051233740516</v>
      </c>
      <c r="R172" s="20">
        <f t="shared" ca="1" si="117"/>
        <v>-1.1796181248228546</v>
      </c>
      <c r="S172" s="20">
        <f t="shared" ca="1" si="117"/>
        <v>-1.2234555102255065</v>
      </c>
      <c r="T172" s="20">
        <f t="shared" ca="1" si="117"/>
        <v>-1.2693073550764271</v>
      </c>
      <c r="U172" s="20">
        <f t="shared" ca="1" si="117"/>
        <v>-1.3170363492515123</v>
      </c>
      <c r="V172" s="20">
        <f t="shared" ca="1" si="117"/>
        <v>-1.366578696266155</v>
      </c>
      <c r="W172" s="20">
        <f t="shared" ca="1" si="117"/>
        <v>-1.4179949059541497</v>
      </c>
      <c r="X172" s="20">
        <f t="shared" ca="1" si="117"/>
        <v>-1.4713577623391296</v>
      </c>
      <c r="Y172" s="20">
        <f t="shared" ca="1" si="117"/>
        <v>-1.5267396966888196</v>
      </c>
      <c r="Z172" s="20">
        <f t="shared" ca="1" si="117"/>
        <v>-1.5842153722679313</v>
      </c>
    </row>
    <row r="173" spans="1:26" x14ac:dyDescent="0.25">
      <c r="A173" s="11" t="s">
        <v>1235</v>
      </c>
      <c r="B173" s="11"/>
      <c r="C173" s="15"/>
      <c r="D173" s="94">
        <f t="shared" ref="D173:Z173" ca="1" si="118">SUM(D$170:D$172)</f>
        <v>1.07</v>
      </c>
      <c r="E173" s="94">
        <f t="shared" ca="1" si="118"/>
        <v>0.90600000000000014</v>
      </c>
      <c r="F173" s="94">
        <f t="shared" ca="1" si="118"/>
        <v>0.90300000000000014</v>
      </c>
      <c r="G173" s="94">
        <f t="shared" ca="1" si="118"/>
        <v>1.248</v>
      </c>
      <c r="H173" s="94">
        <f t="shared" ca="1" si="118"/>
        <v>1.343</v>
      </c>
      <c r="I173" s="94">
        <f t="shared" ca="1" si="118"/>
        <v>1.4300000000000002</v>
      </c>
      <c r="J173" s="94">
        <f t="shared" ca="1" si="118"/>
        <v>1.6359999999999997</v>
      </c>
      <c r="K173" s="94">
        <f t="shared" ca="1" si="118"/>
        <v>1.4839999999999998</v>
      </c>
      <c r="L173" s="95">
        <f t="shared" ca="1" si="118"/>
        <v>1.3440000000000001</v>
      </c>
      <c r="M173" s="95">
        <f t="shared" ca="1" si="118"/>
        <v>1.3940000000000001</v>
      </c>
      <c r="N173" s="95">
        <f t="shared" ca="1" si="118"/>
        <v>1.4730000000000003</v>
      </c>
      <c r="O173" s="95">
        <f t="shared" ca="1" si="118"/>
        <v>1.5529999999999999</v>
      </c>
      <c r="P173" s="95">
        <f t="shared" ca="1" si="118"/>
        <v>1.643</v>
      </c>
      <c r="Q173" s="96">
        <f t="shared" ca="1" si="118"/>
        <v>1.7497026055133702</v>
      </c>
      <c r="R173" s="96">
        <f t="shared" ca="1" si="118"/>
        <v>1.8411341374953916</v>
      </c>
      <c r="S173" s="96">
        <f t="shared" ca="1" si="118"/>
        <v>1.9354305977614048</v>
      </c>
      <c r="T173" s="96">
        <f t="shared" ca="1" si="118"/>
        <v>2.0323802414953782</v>
      </c>
      <c r="U173" s="96">
        <f t="shared" ca="1" si="118"/>
        <v>2.1327396195628738</v>
      </c>
      <c r="V173" s="96">
        <f t="shared" ca="1" si="118"/>
        <v>2.2362836712732408</v>
      </c>
      <c r="W173" s="96">
        <f t="shared" ca="1" si="118"/>
        <v>2.3426875436456687</v>
      </c>
      <c r="X173" s="96">
        <f t="shared" ca="1" si="118"/>
        <v>2.4539734716159005</v>
      </c>
      <c r="Y173" s="96">
        <f t="shared" ca="1" si="118"/>
        <v>2.5716466648418308</v>
      </c>
      <c r="Z173" s="96">
        <f t="shared" ca="1" si="118"/>
        <v>2.6966134167379527</v>
      </c>
    </row>
    <row r="174" spans="1:26" x14ac:dyDescent="0.25">
      <c r="B174" s="11"/>
      <c r="C174" s="15"/>
      <c r="D174" s="91"/>
      <c r="E174" s="91"/>
      <c r="F174" s="91"/>
      <c r="G174" s="91"/>
      <c r="H174" s="91"/>
      <c r="I174" s="91"/>
      <c r="J174" s="91"/>
      <c r="K174" s="91"/>
    </row>
    <row r="175" spans="1:26" x14ac:dyDescent="0.25">
      <c r="A175" s="11" t="s">
        <v>868</v>
      </c>
      <c r="B175" s="11"/>
      <c r="C175" s="15"/>
      <c r="D175" s="91"/>
      <c r="E175" s="91"/>
      <c r="F175" s="91"/>
      <c r="G175" s="91"/>
      <c r="H175" s="91"/>
      <c r="I175" s="91"/>
      <c r="J175" s="91"/>
      <c r="K175" s="91"/>
    </row>
    <row r="176" spans="1:26" x14ac:dyDescent="0.25">
      <c r="A176" s="12" t="s">
        <v>1236</v>
      </c>
      <c r="B176" s="11"/>
      <c r="C176" s="15"/>
      <c r="D176" s="50">
        <f t="shared" ref="D176:Z176" ca="1" si="119">D$375-SUM(D$158,D$168)</f>
        <v>9.8200000000001619E-3</v>
      </c>
      <c r="E176" s="50">
        <f t="shared" ca="1" si="119"/>
        <v>8.0300000000000926E-3</v>
      </c>
      <c r="F176" s="50">
        <f t="shared" ca="1" si="119"/>
        <v>7.4199999999999822E-3</v>
      </c>
      <c r="G176" s="50">
        <f t="shared" ca="1" si="119"/>
        <v>1.0769999999999946E-2</v>
      </c>
      <c r="H176" s="50">
        <f t="shared" ca="1" si="119"/>
        <v>1.3200000000000101E-2</v>
      </c>
      <c r="I176" s="50">
        <f t="shared" ca="1" si="119"/>
        <v>1.6590000000000105E-2</v>
      </c>
      <c r="J176" s="50">
        <f t="shared" ca="1" si="119"/>
        <v>1.7840000000000078E-2</v>
      </c>
      <c r="K176" s="50">
        <f t="shared" ca="1" si="119"/>
        <v>1.7939999999999845E-2</v>
      </c>
      <c r="L176" s="48">
        <f t="shared" ca="1" si="119"/>
        <v>1.7830000000000013E-2</v>
      </c>
      <c r="M176" s="48">
        <f t="shared" ca="1" si="119"/>
        <v>1.8460000000000143E-2</v>
      </c>
      <c r="N176" s="48">
        <f t="shared" ca="1" si="119"/>
        <v>1.9340000000000135E-2</v>
      </c>
      <c r="O176" s="48">
        <f t="shared" ca="1" si="119"/>
        <v>2.0230000000000192E-2</v>
      </c>
      <c r="P176" s="48">
        <f t="shared" ca="1" si="119"/>
        <v>2.1170000000000133E-2</v>
      </c>
      <c r="Q176" s="20">
        <f t="shared" ca="1" si="119"/>
        <v>2.2826423397519946E-2</v>
      </c>
      <c r="R176" s="20">
        <f t="shared" ca="1" si="119"/>
        <v>2.4227195267048085E-2</v>
      </c>
      <c r="S176" s="20">
        <f t="shared" ca="1" si="119"/>
        <v>2.568604025874377E-2</v>
      </c>
      <c r="T176" s="20">
        <f t="shared" ca="1" si="119"/>
        <v>2.7205525842122213E-2</v>
      </c>
      <c r="U176" s="20">
        <f t="shared" ca="1" si="119"/>
        <v>2.8785731084689292E-2</v>
      </c>
      <c r="V176" s="20">
        <f t="shared" ca="1" si="119"/>
        <v>3.0428005523083002E-2</v>
      </c>
      <c r="W176" s="20">
        <f t="shared" ca="1" si="119"/>
        <v>3.2145377933623376E-2</v>
      </c>
      <c r="X176" s="20">
        <f t="shared" ca="1" si="119"/>
        <v>3.395473046693942E-2</v>
      </c>
      <c r="Y176" s="20">
        <f t="shared" ca="1" si="119"/>
        <v>3.5876200801184144E-2</v>
      </c>
      <c r="Z176" s="20">
        <f t="shared" ca="1" si="119"/>
        <v>3.7932149643971069E-2</v>
      </c>
    </row>
    <row r="177" spans="1:26" x14ac:dyDescent="0.25">
      <c r="A177" s="12" t="s">
        <v>1237</v>
      </c>
      <c r="B177" s="14" t="str">
        <f>$B$38</f>
        <v>From Fiscal Forecasts</v>
      </c>
      <c r="C177" s="15"/>
      <c r="D177" s="50">
        <f ca="1">'Fiscal Forecasts'!D$167-SUM(D$170,D$176)</f>
        <v>0.91317999999999988</v>
      </c>
      <c r="E177" s="50">
        <f ca="1">'Fiscal Forecasts'!E$167-SUM(E$170,E$176)</f>
        <v>0.95396999999999998</v>
      </c>
      <c r="F177" s="50">
        <f ca="1">'Fiscal Forecasts'!F$167-SUM(F$170,F$176)</f>
        <v>0.87958000000000003</v>
      </c>
      <c r="G177" s="50">
        <f ca="1">'Fiscal Forecasts'!G$167-SUM(G$170,G$176)</f>
        <v>1.0842300000000002</v>
      </c>
      <c r="H177" s="50">
        <f ca="1">'Fiscal Forecasts'!H$167-SUM(H$170,H$176)</f>
        <v>1.1537999999999995</v>
      </c>
      <c r="I177" s="50">
        <f ca="1">'Fiscal Forecasts'!I$167-SUM(I$170,I$176)</f>
        <v>1.10141</v>
      </c>
      <c r="J177" s="50">
        <f ca="1">'Fiscal Forecasts'!J$167-SUM(J$170,J$176)</f>
        <v>1.0981599999999998</v>
      </c>
      <c r="K177" s="50">
        <f ca="1">'Fiscal Forecasts'!K$167-SUM(K$170,K$176)</f>
        <v>1.28606</v>
      </c>
      <c r="L177" s="48">
        <f ca="1">'Fiscal Forecasts'!L$167-SUM(L$170,L$176)+IF($C$3="Yes",(1-OFFSET(Assumptions!$B$48,0,$C$1))*('NZSF Adjuster'!W$24-'NZSF Adjuster'!W$15),0)</f>
        <v>0.54017000000000004</v>
      </c>
      <c r="M177" s="48">
        <f ca="1">'Fiscal Forecasts'!M$167-SUM(M$170,M$176)+IF($C$3="Yes",(1-OFFSET(Assumptions!$B$48,0,$C$1))*('NZSF Adjuster'!X$24-'NZSF Adjuster'!X$15),0)</f>
        <v>0.5275399999999999</v>
      </c>
      <c r="N177" s="48">
        <f ca="1">'Fiscal Forecasts'!N$167-SUM(N$170,N$176)+IF($C$3="Yes",(1-OFFSET(Assumptions!$B$48,0,$C$1))*('NZSF Adjuster'!Y$24-'NZSF Adjuster'!Y$15),0)</f>
        <v>0.69065999999999983</v>
      </c>
      <c r="O177" s="48">
        <f ca="1">'Fiscal Forecasts'!O$167-SUM(O$170,O$176)+IF($C$3="Yes",(1-OFFSET(Assumptions!$B$48,0,$C$1))*('NZSF Adjuster'!Z$24-'NZSF Adjuster'!Z$15),0)</f>
        <v>0.67976999999999954</v>
      </c>
      <c r="P177" s="48">
        <f ca="1">'Fiscal Forecasts'!P$167-SUM(P$170,P$176)+IF($C$3="Yes",(1-OFFSET(Assumptions!$B$48,0,$C$1))*('NZSF Adjuster'!AA$24-'NZSF Adjuster'!AA$15),0)</f>
        <v>0.67982999999999949</v>
      </c>
      <c r="Q177" s="20">
        <f t="shared" ref="Q177:Z177" ca="1" si="120">P$177*(1+Q$19)*(1+Q$29)</f>
        <v>0.70233670397232539</v>
      </c>
      <c r="R177" s="20">
        <f t="shared" ca="1" si="120"/>
        <v>0.72517991576479435</v>
      </c>
      <c r="S177" s="20">
        <f t="shared" ca="1" si="120"/>
        <v>0.74851955675007165</v>
      </c>
      <c r="T177" s="20">
        <f t="shared" ca="1" si="120"/>
        <v>0.77213496058631714</v>
      </c>
      <c r="U177" s="20">
        <f t="shared" ca="1" si="120"/>
        <v>0.7964297066099133</v>
      </c>
      <c r="V177" s="20">
        <f t="shared" ca="1" si="120"/>
        <v>0.82119672651977582</v>
      </c>
      <c r="W177" s="20">
        <f t="shared" ca="1" si="120"/>
        <v>0.84581229510688605</v>
      </c>
      <c r="X177" s="20">
        <f t="shared" ca="1" si="120"/>
        <v>0.87094601490231693</v>
      </c>
      <c r="Y177" s="20">
        <f t="shared" ca="1" si="120"/>
        <v>0.89684176664499926</v>
      </c>
      <c r="Z177" s="20">
        <f t="shared" ca="1" si="120"/>
        <v>0.92330473205621666</v>
      </c>
    </row>
    <row r="178" spans="1:26" x14ac:dyDescent="0.25">
      <c r="A178" s="11" t="s">
        <v>1238</v>
      </c>
      <c r="B178" s="11"/>
      <c r="C178" s="15"/>
      <c r="D178" s="94">
        <f t="shared" ref="D178:Z178" ca="1" si="121">SUM(D$176:D$177)</f>
        <v>0.92300000000000004</v>
      </c>
      <c r="E178" s="94">
        <f t="shared" ca="1" si="121"/>
        <v>0.96200000000000008</v>
      </c>
      <c r="F178" s="94">
        <f t="shared" ca="1" si="121"/>
        <v>0.88700000000000001</v>
      </c>
      <c r="G178" s="94">
        <f t="shared" ca="1" si="121"/>
        <v>1.0950000000000002</v>
      </c>
      <c r="H178" s="94">
        <f t="shared" ca="1" si="121"/>
        <v>1.1669999999999996</v>
      </c>
      <c r="I178" s="94">
        <f t="shared" ca="1" si="121"/>
        <v>1.1180000000000001</v>
      </c>
      <c r="J178" s="94">
        <f t="shared" ca="1" si="121"/>
        <v>1.1159999999999999</v>
      </c>
      <c r="K178" s="94">
        <f t="shared" ca="1" si="121"/>
        <v>1.3039999999999998</v>
      </c>
      <c r="L178" s="95">
        <f t="shared" ca="1" si="121"/>
        <v>0.55800000000000005</v>
      </c>
      <c r="M178" s="95">
        <f t="shared" ca="1" si="121"/>
        <v>0.54600000000000004</v>
      </c>
      <c r="N178" s="95">
        <f t="shared" ca="1" si="121"/>
        <v>0.71</v>
      </c>
      <c r="O178" s="95">
        <f t="shared" ca="1" si="121"/>
        <v>0.69999999999999973</v>
      </c>
      <c r="P178" s="95">
        <f t="shared" ca="1" si="121"/>
        <v>0.70099999999999962</v>
      </c>
      <c r="Q178" s="96">
        <f t="shared" ca="1" si="121"/>
        <v>0.72516312736984534</v>
      </c>
      <c r="R178" s="96">
        <f t="shared" ca="1" si="121"/>
        <v>0.74940711103184243</v>
      </c>
      <c r="S178" s="96">
        <f t="shared" ca="1" si="121"/>
        <v>0.77420559700881542</v>
      </c>
      <c r="T178" s="96">
        <f t="shared" ca="1" si="121"/>
        <v>0.79934048642843936</v>
      </c>
      <c r="U178" s="96">
        <f t="shared" ca="1" si="121"/>
        <v>0.82521543769460259</v>
      </c>
      <c r="V178" s="96">
        <f t="shared" ca="1" si="121"/>
        <v>0.85162473204285882</v>
      </c>
      <c r="W178" s="96">
        <f t="shared" ca="1" si="121"/>
        <v>0.87795767304050942</v>
      </c>
      <c r="X178" s="96">
        <f t="shared" ca="1" si="121"/>
        <v>0.90490074536925635</v>
      </c>
      <c r="Y178" s="96">
        <f t="shared" ca="1" si="121"/>
        <v>0.9327179674461834</v>
      </c>
      <c r="Z178" s="96">
        <f t="shared" ca="1" si="121"/>
        <v>0.96123688170018773</v>
      </c>
    </row>
    <row r="179" spans="1:26" x14ac:dyDescent="0.25">
      <c r="A179" s="11" t="s">
        <v>1239</v>
      </c>
      <c r="B179" s="14" t="str">
        <f>$B$38</f>
        <v>From Fiscal Forecasts</v>
      </c>
      <c r="C179" s="15"/>
      <c r="D179" s="51">
        <f ca="1">'Fiscal Forecasts'!D$13-D$173</f>
        <v>3.8789999999999996</v>
      </c>
      <c r="E179" s="51">
        <f ca="1">'Fiscal Forecasts'!E$13-E$173</f>
        <v>3.57</v>
      </c>
      <c r="F179" s="51">
        <f ca="1">'Fiscal Forecasts'!F$13-F$173</f>
        <v>3.589</v>
      </c>
      <c r="G179" s="51">
        <f ca="1">'Fiscal Forecasts'!G$13-G$173</f>
        <v>3.8780000000000001</v>
      </c>
      <c r="H179" s="51">
        <f ca="1">'Fiscal Forecasts'!H$13-H$173</f>
        <v>4.5830000000000002</v>
      </c>
      <c r="I179" s="51">
        <f ca="1">'Fiscal Forecasts'!I$13-I$173</f>
        <v>4.3360000000000003</v>
      </c>
      <c r="J179" s="51">
        <f ca="1">'Fiscal Forecasts'!J$13-J$173</f>
        <v>4.2249999999999996</v>
      </c>
      <c r="K179" s="51">
        <f ca="1">'Fiscal Forecasts'!K$13-K$173</f>
        <v>4.3449999999999998</v>
      </c>
      <c r="L179" s="47">
        <f ca="1">'Fiscal Forecasts'!L$13-L$173+IF($C$3="Yes",(1-OFFSET(Assumptions!$B$48,0,$C$1))*('NZSF Adjuster'!W$24-'NZSF Adjuster'!W$15),0)</f>
        <v>3.8389999999999995</v>
      </c>
      <c r="M179" s="47">
        <f ca="1">'Fiscal Forecasts'!M$13-M$173+IF($C$3="Yes",(1-OFFSET(Assumptions!$B$48,0,$C$1))*('NZSF Adjuster'!X$24-'NZSF Adjuster'!X$15),0)</f>
        <v>3.9740000000000002</v>
      </c>
      <c r="N179" s="47">
        <f ca="1">'Fiscal Forecasts'!N$13-N$173+IF($C$3="Yes",(1-OFFSET(Assumptions!$B$48,0,$C$1))*('NZSF Adjuster'!Y$24-'NZSF Adjuster'!Y$15),0)</f>
        <v>4.1969999999999992</v>
      </c>
      <c r="O179" s="47">
        <f ca="1">'Fiscal Forecasts'!O$13-O$173+IF($C$3="Yes",(1-OFFSET(Assumptions!$B$48,0,$C$1))*('NZSF Adjuster'!Z$24-'NZSF Adjuster'!Z$15),0)</f>
        <v>4.351</v>
      </c>
      <c r="P179" s="47">
        <f ca="1">'Fiscal Forecasts'!P$13-P$173+IF($C$3="Yes",(1-OFFSET(Assumptions!$B$48,0,$C$1))*('NZSF Adjuster'!AA$24-'NZSF Adjuster'!AA$15),0)</f>
        <v>4.391</v>
      </c>
      <c r="Q179" s="21">
        <f t="shared" ref="Q179:Z179" ca="1" si="122">Q$178+(P$179-P$178)*(1+Q$29)</f>
        <v>4.4889631273698454</v>
      </c>
      <c r="R179" s="21">
        <f t="shared" ca="1" si="122"/>
        <v>4.5884831110318425</v>
      </c>
      <c r="S179" s="21">
        <f t="shared" ca="1" si="122"/>
        <v>4.6900631170088154</v>
      </c>
      <c r="T179" s="21">
        <f t="shared" ca="1" si="122"/>
        <v>4.7935151568284393</v>
      </c>
      <c r="U179" s="21">
        <f t="shared" ca="1" si="122"/>
        <v>4.8992736015026024</v>
      </c>
      <c r="V179" s="21">
        <f t="shared" ca="1" si="122"/>
        <v>5.0071640591270183</v>
      </c>
      <c r="W179" s="21">
        <f t="shared" ca="1" si="122"/>
        <v>5.1166077866663517</v>
      </c>
      <c r="X179" s="21">
        <f t="shared" ca="1" si="122"/>
        <v>5.2283238612676159</v>
      </c>
      <c r="Y179" s="21">
        <f t="shared" ca="1" si="122"/>
        <v>5.3426095456625102</v>
      </c>
      <c r="Z179" s="21">
        <f t="shared" ca="1" si="122"/>
        <v>5.4593262914808411</v>
      </c>
    </row>
    <row r="180" spans="1:26" x14ac:dyDescent="0.25">
      <c r="A180" s="11"/>
      <c r="B180" s="11"/>
      <c r="C180" s="15"/>
      <c r="D180" s="91"/>
      <c r="E180" s="91"/>
      <c r="F180" s="91"/>
      <c r="G180" s="91"/>
      <c r="H180" s="91"/>
      <c r="I180" s="91"/>
      <c r="J180" s="91"/>
      <c r="K180" s="91"/>
    </row>
    <row r="181" spans="1:26" x14ac:dyDescent="0.25">
      <c r="A181" s="11" t="s">
        <v>870</v>
      </c>
      <c r="B181" s="11"/>
      <c r="C181" s="15"/>
    </row>
    <row r="182" spans="1:26" x14ac:dyDescent="0.25">
      <c r="A182" s="12" t="s">
        <v>1240</v>
      </c>
      <c r="B182" s="14" t="str">
        <f t="shared" ref="B182:B188" si="123">$B$38</f>
        <v>From Fiscal Forecasts</v>
      </c>
      <c r="C182" s="15"/>
      <c r="D182" s="50">
        <f>'Fiscal Forecasts'!D$243</f>
        <v>14.561999999999999</v>
      </c>
      <c r="E182" s="50">
        <f>'Fiscal Forecasts'!E$243</f>
        <v>15.521000000000001</v>
      </c>
      <c r="F182" s="50">
        <f>'Fiscal Forecasts'!F$243</f>
        <v>16.568999999999999</v>
      </c>
      <c r="G182" s="50">
        <f>'Fiscal Forecasts'!G$243</f>
        <v>17.763999999999999</v>
      </c>
      <c r="H182" s="50">
        <f>'Fiscal Forecasts'!H$243</f>
        <v>19.516999999999999</v>
      </c>
      <c r="I182" s="50">
        <f>'Fiscal Forecasts'!I$243</f>
        <v>21.574000000000002</v>
      </c>
      <c r="J182" s="50">
        <f>'Fiscal Forecasts'!J$243</f>
        <v>23.190999999999999</v>
      </c>
      <c r="K182" s="50">
        <f>'Fiscal Forecasts'!K$243</f>
        <v>24.721</v>
      </c>
      <c r="L182" s="48">
        <f>'Fiscal Forecasts'!L$243+IF($C$2="Yes",'Fiscal Forecast Adjuster'!C$16/1000,0)</f>
        <v>26.48</v>
      </c>
      <c r="M182" s="48">
        <f>'Fiscal Forecasts'!M$243+IF($C$2="Yes",'Fiscal Forecast Adjuster'!D$16/1000,0)</f>
        <v>28.321000000000002</v>
      </c>
      <c r="N182" s="48">
        <f>'Fiscal Forecasts'!N$243+IF($C$2="Yes",'Fiscal Forecast Adjuster'!E$16/1000,0)</f>
        <v>29.706</v>
      </c>
      <c r="O182" s="48">
        <f>'Fiscal Forecasts'!O$243+IF($C$2="Yes",'Fiscal Forecast Adjuster'!F$16/1000,0)</f>
        <v>31.236999999999998</v>
      </c>
      <c r="P182" s="48">
        <f>'Fiscal Forecasts'!P$243+IF($C$2="Yes",'Fiscal Forecast Adjuster'!G$16/1000,0)</f>
        <v>32.887999999999998</v>
      </c>
      <c r="Q182" s="20">
        <f ca="1">P$182*(1+'Population Treasury'!AB$237)*Q$204/P$204</f>
        <v>34.725908993862177</v>
      </c>
      <c r="R182" s="20">
        <f ca="1">Q$182*(1+'Population Treasury'!AC$237)*R$204/Q$204</f>
        <v>36.635202985101024</v>
      </c>
      <c r="S182" s="20">
        <f ca="1">R$182*(1+'Population Treasury'!AD$237)*S$204/R$204</f>
        <v>38.629858294940007</v>
      </c>
      <c r="T182" s="20">
        <f ca="1">S$182*(1+'Population Treasury'!AE$237)*T$204/S$204</f>
        <v>40.676909740310336</v>
      </c>
      <c r="U182" s="20">
        <f ca="1">T$182*(1+'Population Treasury'!AF$237)*U$204/T$204</f>
        <v>42.872020812705678</v>
      </c>
      <c r="V182" s="20">
        <f ca="1">U$182*(1+'Population Treasury'!AG$237)*V$204/U$204</f>
        <v>45.107449897766166</v>
      </c>
      <c r="W182" s="20">
        <f ca="1">V$182*(1+'Population Treasury'!AH$237)*W$204/V$204</f>
        <v>47.337696142069042</v>
      </c>
      <c r="X182" s="20">
        <f ca="1">W$182*(1+'Population Treasury'!AI$237)*X$204/W$204</f>
        <v>49.565382428266936</v>
      </c>
      <c r="Y182" s="20">
        <f ca="1">X$182*(1+'Population Treasury'!AJ$237)*Y$204/X$204</f>
        <v>51.768799535982517</v>
      </c>
      <c r="Z182" s="20">
        <f ca="1">Y$182*(1+'Population Treasury'!AK$237)*Z$204/Y$204</f>
        <v>53.973305982538974</v>
      </c>
    </row>
    <row r="183" spans="1:26" x14ac:dyDescent="0.25">
      <c r="A183" s="12" t="s">
        <v>1241</v>
      </c>
      <c r="B183" s="14" t="str">
        <f t="shared" si="123"/>
        <v>From Fiscal Forecasts</v>
      </c>
      <c r="C183" s="15"/>
      <c r="D183" s="50">
        <f>'Fiscal Forecasts'!D$244</f>
        <v>1.8540000000000001</v>
      </c>
      <c r="E183" s="50">
        <f>'Fiscal Forecasts'!E$244</f>
        <v>2.2850000000000001</v>
      </c>
      <c r="F183" s="50">
        <f>'Fiscal Forecasts'!F$244</f>
        <v>3.2240000000000002</v>
      </c>
      <c r="G183" s="50">
        <f>'Fiscal Forecasts'!G$244</f>
        <v>3.33</v>
      </c>
      <c r="H183" s="50">
        <f>'Fiscal Forecasts'!H$244</f>
        <v>3.4729999999999999</v>
      </c>
      <c r="I183" s="50">
        <f>'Fiscal Forecasts'!I$244</f>
        <v>4.0620000000000003</v>
      </c>
      <c r="J183" s="50">
        <f>'Fiscal Forecasts'!J$244</f>
        <v>4.641</v>
      </c>
      <c r="K183" s="50">
        <f>'Fiscal Forecasts'!K$244</f>
        <v>4.9260000000000002</v>
      </c>
      <c r="L183" s="48">
        <f>'Fiscal Forecasts'!L$244+IF($C$2="Yes",'Fiscal Forecast Adjuster'!C$17/1000,0)</f>
        <v>5.0309999999999997</v>
      </c>
      <c r="M183" s="48">
        <f>'Fiscal Forecasts'!M$244+IF($C$2="Yes",'Fiscal Forecast Adjuster'!D$17/1000,0)</f>
        <v>5.0110000000000001</v>
      </c>
      <c r="N183" s="48">
        <f>'Fiscal Forecasts'!N$244+IF($C$2="Yes",'Fiscal Forecast Adjuster'!E$17/1000,0)</f>
        <v>4.9039999999999999</v>
      </c>
      <c r="O183" s="48">
        <f>'Fiscal Forecasts'!O$244+IF($C$2="Yes",'Fiscal Forecast Adjuster'!F$17/1000,0)</f>
        <v>5.0010000000000003</v>
      </c>
      <c r="P183" s="48">
        <f>'Fiscal Forecasts'!P$244+IF($C$2="Yes",'Fiscal Forecast Adjuster'!G$17/1000,0)</f>
        <v>5.109</v>
      </c>
      <c r="Q183" s="20">
        <f ca="1">P$183*AVERAGE(1+SUMPRODUCT(Exogenous!$B$44:$B$54,'Population Treasury'!AB$215:AB$225)+SUMPRODUCT(Exogenous!$C$44:$C$54,'Population Treasury'!AB$226:AB$236),Q$16*Q$23/(P$16*P$23))*(1+Q$29)</f>
        <v>5.254733315137246</v>
      </c>
      <c r="R183" s="20">
        <f ca="1">Q$183*AVERAGE(1+SUMPRODUCT(Exogenous!$B$44:$B$54,'Population Treasury'!AC$215:AC$225)+SUMPRODUCT(Exogenous!$C$44:$C$54,'Population Treasury'!AC$226:AC$236),R$16*R$23/(Q$16*Q$23))*(1+R$29)</f>
        <v>5.4017980613666081</v>
      </c>
      <c r="S183" s="20">
        <f ca="1">R$183*AVERAGE(1+SUMPRODUCT(Exogenous!$B$44:$B$54,'Population Treasury'!AD$215:AD$225)+SUMPRODUCT(Exogenous!$C$44:$C$54,'Population Treasury'!AD$226:AD$236),S$16*S$23/(R$16*R$23))*(1+S$29)</f>
        <v>5.5492510963877857</v>
      </c>
      <c r="T183" s="20">
        <f ca="1">S$183*AVERAGE(1+SUMPRODUCT(Exogenous!$B$44:$B$54,'Population Treasury'!AE$215:AE$225)+SUMPRODUCT(Exogenous!$C$44:$C$54,'Population Treasury'!AE$226:AE$236),T$16*T$23/(S$16*S$23))*(1+T$29)</f>
        <v>5.7145345108437127</v>
      </c>
      <c r="U183" s="20">
        <f ca="1">T$183*AVERAGE(1+SUMPRODUCT(Exogenous!$B$44:$B$54,'Population Treasury'!AF$215:AF$225)+SUMPRODUCT(Exogenous!$C$44:$C$54,'Population Treasury'!AF$226:AF$236),U$16*U$23/(T$16*T$23))*(1+U$29)</f>
        <v>5.8807006094395549</v>
      </c>
      <c r="V183" s="20">
        <f ca="1">U$183*AVERAGE(1+SUMPRODUCT(Exogenous!$B$44:$B$54,'Population Treasury'!AG$215:AG$225)+SUMPRODUCT(Exogenous!$C$44:$C$54,'Population Treasury'!AG$226:AG$236),V$16*V$23/(U$16*U$23))*(1+V$29)</f>
        <v>6.052324910542298</v>
      </c>
      <c r="W183" s="20">
        <f ca="1">V$183*AVERAGE(1+SUMPRODUCT(Exogenous!$B$44:$B$54,'Population Treasury'!AH$215:AH$225)+SUMPRODUCT(Exogenous!$C$44:$C$54,'Population Treasury'!AH$226:AH$236),W$16*W$23/(V$16*V$23))*(1+W$29)</f>
        <v>6.2285551627600331</v>
      </c>
      <c r="X183" s="20">
        <f ca="1">W$183*AVERAGE(1+SUMPRODUCT(Exogenous!$B$44:$B$54,'Population Treasury'!AI$215:AI$225)+SUMPRODUCT(Exogenous!$C$44:$C$54,'Population Treasury'!AI$226:AI$236),X$16*X$23/(W$16*W$23))*(1+X$29)</f>
        <v>6.4078367846075315</v>
      </c>
      <c r="Y183" s="20">
        <f ca="1">X$183*AVERAGE(1+SUMPRODUCT(Exogenous!$B$44:$B$54,'Population Treasury'!AJ$215:AJ$225)+SUMPRODUCT(Exogenous!$C$44:$C$54,'Population Treasury'!AJ$226:AJ$236),Y$16*Y$23/(X$16*X$23))*(1+Y$29)</f>
        <v>6.5927907093504485</v>
      </c>
      <c r="Z183" s="20">
        <f ca="1">Y$183*AVERAGE(1+SUMPRODUCT(Exogenous!$B$44:$B$54,'Population Treasury'!AK$215:AK$225)+SUMPRODUCT(Exogenous!$C$44:$C$54,'Population Treasury'!AK$226:AK$236),Z$16*Z$23/(Y$16*Y$23))*(1+Z$29)</f>
        <v>6.7851611000174437</v>
      </c>
    </row>
    <row r="184" spans="1:26" x14ac:dyDescent="0.25">
      <c r="A184" s="12" t="s">
        <v>688</v>
      </c>
      <c r="B184" s="14" t="str">
        <f t="shared" si="123"/>
        <v>From Fiscal Forecasts</v>
      </c>
      <c r="C184" s="15"/>
      <c r="D184" s="50">
        <f>'Fiscal Forecasts'!D$245</f>
        <v>1.556</v>
      </c>
      <c r="E184" s="50">
        <f>'Fiscal Forecasts'!E$245</f>
        <v>1.65</v>
      </c>
      <c r="F184" s="50">
        <f>'Fiscal Forecasts'!F$245</f>
        <v>1.8260000000000001</v>
      </c>
      <c r="G184" s="50">
        <f>'Fiscal Forecasts'!G$245</f>
        <v>2.0470000000000002</v>
      </c>
      <c r="H184" s="50">
        <f>'Fiscal Forecasts'!H$245</f>
        <v>2.3109999999999999</v>
      </c>
      <c r="I184" s="50">
        <f>'Fiscal Forecasts'!I$245</f>
        <v>2.5299999999999998</v>
      </c>
      <c r="J184" s="50">
        <f>'Fiscal Forecasts'!J$245</f>
        <v>2.6680000000000001</v>
      </c>
      <c r="K184" s="50">
        <f>'Fiscal Forecasts'!K$245</f>
        <v>2.8260000000000001</v>
      </c>
      <c r="L184" s="48">
        <f>'Fiscal Forecasts'!L$245+IF($C$2="Yes",'Fiscal Forecast Adjuster'!C$18/1000,0)</f>
        <v>3.0059999999999998</v>
      </c>
      <c r="M184" s="48">
        <f>'Fiscal Forecasts'!M$245+IF($C$2="Yes",'Fiscal Forecast Adjuster'!D$18/1000,0)</f>
        <v>3.19</v>
      </c>
      <c r="N184" s="48">
        <f>'Fiscal Forecasts'!N$245+IF($C$2="Yes",'Fiscal Forecast Adjuster'!E$18/1000,0)</f>
        <v>3.286</v>
      </c>
      <c r="O184" s="48">
        <f>'Fiscal Forecasts'!O$245+IF($C$2="Yes",'Fiscal Forecast Adjuster'!F$18/1000,0)</f>
        <v>3.4340000000000002</v>
      </c>
      <c r="P184" s="48">
        <f>'Fiscal Forecasts'!P$245+IF($C$2="Yes",'Fiscal Forecast Adjuster'!G$18/1000,0)</f>
        <v>3.581</v>
      </c>
      <c r="Q184" s="20">
        <f ca="1">P$184*(1+SUMPRODUCT(Exogenous!$I$44:$I$54,'Population Treasury'!AB$215:AB$225)+SUMPRODUCT(Exogenous!$J$44:$J$54,'Population Treasury'!AB$226:AB$236))*(1+Q$29)</f>
        <v>3.6880822061662717</v>
      </c>
      <c r="R184" s="20">
        <f ca="1">Q$184*(1+SUMPRODUCT(Exogenous!$I$44:$I$54,'Population Treasury'!AC$215:AC$225)+SUMPRODUCT(Exogenous!$J$44:$J$54,'Population Treasury'!AC$226:AC$236))*(1+R$29)</f>
        <v>3.7955043780043982</v>
      </c>
      <c r="S184" s="20">
        <f ca="1">R$184*(1+SUMPRODUCT(Exogenous!$I$44:$I$54,'Population Treasury'!AD$215:AD$225)+SUMPRODUCT(Exogenous!$J$44:$J$54,'Population Treasury'!AD$226:AD$236))*(1+S$29)</f>
        <v>3.9024425842854971</v>
      </c>
      <c r="T184" s="20">
        <f ca="1">S$184*(1+SUMPRODUCT(Exogenous!$I$44:$I$54,'Population Treasury'!AE$215:AE$225)+SUMPRODUCT(Exogenous!$J$44:$J$54,'Population Treasury'!AE$226:AE$236))*(1+T$29)</f>
        <v>4.0135394958533741</v>
      </c>
      <c r="U184" s="20">
        <f ca="1">T$184*(1+SUMPRODUCT(Exogenous!$I$44:$I$54,'Population Treasury'!AF$215:AF$225)+SUMPRODUCT(Exogenous!$J$44:$J$54,'Population Treasury'!AF$226:AF$236))*(1+U$29)</f>
        <v>4.1212295536805259</v>
      </c>
      <c r="V184" s="20">
        <f ca="1">U$184*(1+SUMPRODUCT(Exogenous!$I$44:$I$54,'Population Treasury'!AG$215:AG$225)+SUMPRODUCT(Exogenous!$J$44:$J$54,'Population Treasury'!AG$226:AG$236))*(1+V$29)</f>
        <v>4.2373831515068696</v>
      </c>
      <c r="W184" s="20">
        <f ca="1">V$184*(1+SUMPRODUCT(Exogenous!$I$44:$I$54,'Population Treasury'!AH$215:AH$225)+SUMPRODUCT(Exogenous!$J$44:$J$54,'Population Treasury'!AH$226:AH$236))*(1+W$29)</f>
        <v>4.3638027445229941</v>
      </c>
      <c r="X184" s="20">
        <f ca="1">W$184*(1+SUMPRODUCT(Exogenous!$I$44:$I$54,'Population Treasury'!AI$215:AI$225)+SUMPRODUCT(Exogenous!$J$44:$J$54,'Population Treasury'!AI$226:AI$236))*(1+X$29)</f>
        <v>4.4999104075329077</v>
      </c>
      <c r="Y184" s="20">
        <f ca="1">X$184*(1+SUMPRODUCT(Exogenous!$I$44:$I$54,'Population Treasury'!AJ$215:AJ$225)+SUMPRODUCT(Exogenous!$J$44:$J$54,'Population Treasury'!AJ$226:AJ$236))*(1+Y$29)</f>
        <v>4.650060740500682</v>
      </c>
      <c r="Z184" s="20">
        <f ca="1">Y$184*(1+SUMPRODUCT(Exogenous!$I$44:$I$54,'Population Treasury'!AK$215:AK$225)+SUMPRODUCT(Exogenous!$J$44:$J$54,'Population Treasury'!AK$226:AK$236))*(1+Z$29)</f>
        <v>4.8127462427083705</v>
      </c>
    </row>
    <row r="185" spans="1:26" x14ac:dyDescent="0.25">
      <c r="A185" s="12" t="s">
        <v>689</v>
      </c>
      <c r="B185" s="14" t="str">
        <f t="shared" si="123"/>
        <v>From Fiscal Forecasts</v>
      </c>
      <c r="C185" s="15"/>
      <c r="D185" s="50">
        <f>'Fiscal Forecasts'!D$246</f>
        <v>1.115</v>
      </c>
      <c r="E185" s="50">
        <f>'Fiscal Forecasts'!E$246</f>
        <v>1.2310000000000001</v>
      </c>
      <c r="F185" s="50">
        <f>'Fiscal Forecasts'!F$246</f>
        <v>1.4550000000000001</v>
      </c>
      <c r="G185" s="50">
        <f>'Fiscal Forecasts'!G$246</f>
        <v>1.704</v>
      </c>
      <c r="H185" s="50">
        <f>'Fiscal Forecasts'!H$246</f>
        <v>1.917</v>
      </c>
      <c r="I185" s="50">
        <f>'Fiscal Forecasts'!I$246</f>
        <v>2.097</v>
      </c>
      <c r="J185" s="50">
        <f>'Fiscal Forecasts'!J$246</f>
        <v>2.2549999999999999</v>
      </c>
      <c r="K185" s="50">
        <f>'Fiscal Forecasts'!K$246</f>
        <v>2.3860000000000001</v>
      </c>
      <c r="L185" s="48">
        <f>'Fiscal Forecasts'!L$246+IF($C$2="Yes",'Fiscal Forecast Adjuster'!C$19/1000,0)</f>
        <v>2.4380000000000002</v>
      </c>
      <c r="M185" s="48">
        <f>'Fiscal Forecasts'!M$246+IF($C$2="Yes",'Fiscal Forecast Adjuster'!D$19/1000,0)</f>
        <v>2.3919999999999999</v>
      </c>
      <c r="N185" s="48">
        <f>'Fiscal Forecasts'!N$246+IF($C$2="Yes",'Fiscal Forecast Adjuster'!E$19/1000,0)</f>
        <v>2.234</v>
      </c>
      <c r="O185" s="48">
        <f>'Fiscal Forecasts'!O$246+IF($C$2="Yes",'Fiscal Forecast Adjuster'!F$19/1000,0)</f>
        <v>2.2400000000000002</v>
      </c>
      <c r="P185" s="48">
        <f>'Fiscal Forecasts'!P$246+IF($C$2="Yes",'Fiscal Forecast Adjuster'!G$19/1000,0)</f>
        <v>2.2839999999999998</v>
      </c>
      <c r="Q185" s="20">
        <f ca="1">P$185*(1+SUMPRODUCT(Exogenous!$P$44:$P$54,'Population Treasury'!AB$215:AB$225)+SUMPRODUCT(Exogenous!$Q$44:$Q$54,'Population Treasury'!AB$226:AB$236))*(1+Q$29)</f>
        <v>2.3489588309586225</v>
      </c>
      <c r="R185" s="20">
        <f ca="1">Q$185*(1+SUMPRODUCT(Exogenous!$P$44:$P$54,'Population Treasury'!AC$215:AC$225)+SUMPRODUCT(Exogenous!$Q$44:$Q$54,'Population Treasury'!AC$226:AC$236))*(1+R$29)</f>
        <v>2.4152781325459118</v>
      </c>
      <c r="S185" s="20">
        <f ca="1">R$185*(1+SUMPRODUCT(Exogenous!$P$44:$P$54,'Population Treasury'!AD$215:AD$225)+SUMPRODUCT(Exogenous!$Q$44:$Q$54,'Population Treasury'!AD$226:AD$236))*(1+S$29)</f>
        <v>2.4813427390347425</v>
      </c>
      <c r="T185" s="20">
        <f ca="1">S$185*(1+SUMPRODUCT(Exogenous!$P$44:$P$54,'Population Treasury'!AE$215:AE$225)+SUMPRODUCT(Exogenous!$Q$44:$Q$54,'Population Treasury'!AE$226:AE$236))*(1+T$29)</f>
        <v>2.5474849352744724</v>
      </c>
      <c r="U185" s="20">
        <f ca="1">T$185*(1+SUMPRODUCT(Exogenous!$P$44:$P$54,'Population Treasury'!AF$215:AF$225)+SUMPRODUCT(Exogenous!$Q$44:$Q$54,'Population Treasury'!AF$226:AF$236))*(1+U$29)</f>
        <v>2.6149840748244544</v>
      </c>
      <c r="V185" s="20">
        <f ca="1">U$185*(1+SUMPRODUCT(Exogenous!$P$44:$P$54,'Population Treasury'!AG$215:AG$225)+SUMPRODUCT(Exogenous!$Q$44:$Q$54,'Population Treasury'!AG$226:AG$236))*(1+V$29)</f>
        <v>2.6857284816213052</v>
      </c>
      <c r="W185" s="20">
        <f ca="1">V$185*(1+SUMPRODUCT(Exogenous!$P$44:$P$54,'Population Treasury'!AH$215:AH$225)+SUMPRODUCT(Exogenous!$Q$44:$Q$54,'Population Treasury'!AH$226:AH$236))*(1+W$29)</f>
        <v>2.7571611952855459</v>
      </c>
      <c r="X185" s="20">
        <f ca="1">W$185*(1+SUMPRODUCT(Exogenous!$P$44:$P$54,'Population Treasury'!AI$215:AI$225)+SUMPRODUCT(Exogenous!$Q$44:$Q$54,'Population Treasury'!AI$226:AI$236))*(1+X$29)</f>
        <v>2.8301877414585848</v>
      </c>
      <c r="Y185" s="20">
        <f ca="1">X$185*(1+SUMPRODUCT(Exogenous!$P$44:$P$54,'Population Treasury'!AJ$215:AJ$225)+SUMPRODUCT(Exogenous!$Q$44:$Q$54,'Population Treasury'!AJ$226:AJ$236))*(1+Y$29)</f>
        <v>2.9020098172986213</v>
      </c>
      <c r="Z185" s="20">
        <f ca="1">Y$185*(1+SUMPRODUCT(Exogenous!$P$44:$P$54,'Population Treasury'!AK$215:AK$225)+SUMPRODUCT(Exogenous!$Q$44:$Q$54,'Population Treasury'!AK$226:AK$236))*(1+Z$29)</f>
        <v>2.9754943164379557</v>
      </c>
    </row>
    <row r="186" spans="1:26" x14ac:dyDescent="0.25">
      <c r="A186" s="12" t="s">
        <v>690</v>
      </c>
      <c r="B186" s="14" t="str">
        <f t="shared" si="123"/>
        <v>From Fiscal Forecasts</v>
      </c>
      <c r="D186" s="50">
        <f>'Fiscal Forecasts'!D$247</f>
        <v>2.766</v>
      </c>
      <c r="E186" s="50">
        <f>'Fiscal Forecasts'!E$247</f>
        <v>2.83</v>
      </c>
      <c r="F186" s="50">
        <f>'Fiscal Forecasts'!F$247</f>
        <v>2.6880000000000002</v>
      </c>
      <c r="G186" s="50">
        <f>'Fiscal Forecasts'!G$247</f>
        <v>2.536</v>
      </c>
      <c r="H186" s="50">
        <f>'Fiscal Forecasts'!H$247</f>
        <v>2.6269999999999998</v>
      </c>
      <c r="I186" s="50">
        <f>'Fiscal Forecasts'!I$247</f>
        <v>2.7450000000000001</v>
      </c>
      <c r="J186" s="50">
        <f>'Fiscal Forecasts'!J$247</f>
        <v>2.9950000000000001</v>
      </c>
      <c r="K186" s="50">
        <f>'Fiscal Forecasts'!K$247</f>
        <v>3.0579999999999998</v>
      </c>
      <c r="L186" s="48">
        <f>'Fiscal Forecasts'!L$247+IF($C$2="Yes",'Fiscal Forecast Adjuster'!C$20/1000,0)</f>
        <v>3.4169999999999998</v>
      </c>
      <c r="M186" s="48">
        <f>'Fiscal Forecasts'!M$247+IF($C$2="Yes",'Fiscal Forecast Adjuster'!D$20/1000,0)</f>
        <v>3.2130000000000001</v>
      </c>
      <c r="N186" s="48">
        <f>'Fiscal Forecasts'!N$247+IF($C$2="Yes",'Fiscal Forecast Adjuster'!E$20/1000,0)</f>
        <v>3.2549999999999999</v>
      </c>
      <c r="O186" s="48">
        <f>'Fiscal Forecasts'!O$247+IF($C$2="Yes",'Fiscal Forecast Adjuster'!F$20/1000,0)</f>
        <v>3.194</v>
      </c>
      <c r="P186" s="48">
        <f>'Fiscal Forecasts'!P$247+IF($C$2="Yes",'Fiscal Forecast Adjuster'!G$20/1000,0)</f>
        <v>3.226</v>
      </c>
      <c r="Q186" s="20">
        <f t="shared" ref="Q186:Z186" ca="1" si="124">P$186*(1+Q$19)*(1+Q$29)</f>
        <v>3.3328011517801852</v>
      </c>
      <c r="R186" s="20">
        <f t="shared" ca="1" si="124"/>
        <v>3.4411991354562583</v>
      </c>
      <c r="S186" s="20">
        <f t="shared" ca="1" si="124"/>
        <v>3.551952826553304</v>
      </c>
      <c r="T186" s="20">
        <f t="shared" ca="1" si="124"/>
        <v>3.664015096202669</v>
      </c>
      <c r="U186" s="20">
        <f t="shared" ca="1" si="124"/>
        <v>3.7793010510327312</v>
      </c>
      <c r="V186" s="20">
        <f t="shared" ca="1" si="124"/>
        <v>3.8968280890116622</v>
      </c>
      <c r="W186" s="20">
        <f t="shared" ca="1" si="124"/>
        <v>4.0136364444270125</v>
      </c>
      <c r="X186" s="20">
        <f t="shared" ca="1" si="124"/>
        <v>4.1329035848298483</v>
      </c>
      <c r="Y186" s="20">
        <f t="shared" ca="1" si="124"/>
        <v>4.2557867984595692</v>
      </c>
      <c r="Z186" s="20">
        <f t="shared" ca="1" si="124"/>
        <v>4.3813616133641586</v>
      </c>
    </row>
    <row r="187" spans="1:26" x14ac:dyDescent="0.25">
      <c r="A187" s="12" t="s">
        <v>691</v>
      </c>
      <c r="B187" s="14" t="str">
        <f t="shared" si="123"/>
        <v>From Fiscal Forecasts</v>
      </c>
      <c r="D187" s="50">
        <f>'Fiscal Forecasts'!D$248</f>
        <v>1.64</v>
      </c>
      <c r="E187" s="50">
        <f>'Fiscal Forecasts'!E$248</f>
        <v>1.923</v>
      </c>
      <c r="F187" s="50">
        <f>'Fiscal Forecasts'!F$248</f>
        <v>2.302</v>
      </c>
      <c r="G187" s="50">
        <f>'Fiscal Forecasts'!G$248</f>
        <v>2.3860000000000001</v>
      </c>
      <c r="H187" s="50">
        <f>'Fiscal Forecasts'!H$248</f>
        <v>2.3490000000000002</v>
      </c>
      <c r="I187" s="50">
        <f>'Fiscal Forecasts'!I$248</f>
        <v>2.411</v>
      </c>
      <c r="J187" s="50">
        <f>'Fiscal Forecasts'!J$248</f>
        <v>2.2320000000000002</v>
      </c>
      <c r="K187" s="50">
        <f>'Fiscal Forecasts'!K$248</f>
        <v>2.306</v>
      </c>
      <c r="L187" s="48">
        <f>'Fiscal Forecasts'!L$248+IF($C$2="Yes",'Fiscal Forecast Adjuster'!C$21/1000,0)</f>
        <v>2.2330000000000001</v>
      </c>
      <c r="M187" s="48">
        <f>'Fiscal Forecasts'!M$248+IF($C$2="Yes",'Fiscal Forecast Adjuster'!D$21/1000,0)</f>
        <v>2.33</v>
      </c>
      <c r="N187" s="48">
        <f>'Fiscal Forecasts'!N$248+IF($C$2="Yes",'Fiscal Forecast Adjuster'!E$21/1000,0)</f>
        <v>2.2210000000000001</v>
      </c>
      <c r="O187" s="48">
        <f>'Fiscal Forecasts'!O$248+IF($C$2="Yes",'Fiscal Forecast Adjuster'!F$21/1000,0)</f>
        <v>2.2469999999999999</v>
      </c>
      <c r="P187" s="48">
        <f>'Fiscal Forecasts'!P$248+IF($C$2="Yes",'Fiscal Forecast Adjuster'!G$21/1000,0)</f>
        <v>2.2829999999999999</v>
      </c>
      <c r="Q187" s="20">
        <f t="shared" ref="Q187:Z187" ca="1" si="125">P$187*(1+Q$19)*(1+Q$29)</f>
        <v>2.3585818442387363</v>
      </c>
      <c r="R187" s="20">
        <f t="shared" ca="1" si="125"/>
        <v>2.4352937465116673</v>
      </c>
      <c r="S187" s="20">
        <f t="shared" ca="1" si="125"/>
        <v>2.5136727535713557</v>
      </c>
      <c r="T187" s="20">
        <f t="shared" ca="1" si="125"/>
        <v>2.5929778253659932</v>
      </c>
      <c r="U187" s="20">
        <f t="shared" ca="1" si="125"/>
        <v>2.6745642589918557</v>
      </c>
      <c r="V187" s="20">
        <f t="shared" ca="1" si="125"/>
        <v>2.7577366792354701</v>
      </c>
      <c r="W187" s="20">
        <f t="shared" ca="1" si="125"/>
        <v>2.8404004967845227</v>
      </c>
      <c r="X187" s="20">
        <f t="shared" ca="1" si="125"/>
        <v>2.924804365829679</v>
      </c>
      <c r="Y187" s="20">
        <f t="shared" ca="1" si="125"/>
        <v>3.0117672848367012</v>
      </c>
      <c r="Z187" s="20">
        <f t="shared" ca="1" si="125"/>
        <v>3.1006350165252252</v>
      </c>
    </row>
    <row r="188" spans="1:26" x14ac:dyDescent="0.25">
      <c r="A188" s="12" t="s">
        <v>692</v>
      </c>
      <c r="B188" s="14" t="str">
        <f t="shared" si="123"/>
        <v>From Fiscal Forecasts</v>
      </c>
      <c r="C188" s="15"/>
      <c r="D188" s="50">
        <f>'Fiscal Forecasts'!D$249</f>
        <v>2.351</v>
      </c>
      <c r="E188" s="50">
        <f>'Fiscal Forecasts'!E$249</f>
        <v>14.971</v>
      </c>
      <c r="F188" s="50">
        <f>'Fiscal Forecasts'!F$249</f>
        <v>5.0529999999999999</v>
      </c>
      <c r="G188" s="50">
        <f>'Fiscal Forecasts'!G$249</f>
        <v>11.973000000000001</v>
      </c>
      <c r="H188" s="50">
        <f>'Fiscal Forecasts'!H$249</f>
        <v>4.1159999999999997</v>
      </c>
      <c r="I188" s="50">
        <f>'Fiscal Forecasts'!I$249</f>
        <v>3.7759999999999998</v>
      </c>
      <c r="J188" s="50">
        <f>'Fiscal Forecasts'!J$249</f>
        <v>4.1500000000000004</v>
      </c>
      <c r="K188" s="50">
        <f>'Fiscal Forecasts'!K$249</f>
        <v>4.3860000000000001</v>
      </c>
      <c r="L188" s="48">
        <f>'Fiscal Forecasts'!L$249+IF($C$2="Yes",'Fiscal Forecast Adjuster'!C$22/1000,0)</f>
        <v>4.5549999999999997</v>
      </c>
      <c r="M188" s="48">
        <f>'Fiscal Forecasts'!M$249+IF($C$2="Yes",'Fiscal Forecast Adjuster'!D$22/1000,0)</f>
        <v>4.5350000000000001</v>
      </c>
      <c r="N188" s="48">
        <f>'Fiscal Forecasts'!N$249+IF($C$2="Yes",'Fiscal Forecast Adjuster'!E$22/1000,0)</f>
        <v>4.617</v>
      </c>
      <c r="O188" s="48">
        <f>'Fiscal Forecasts'!O$249+IF($C$2="Yes",'Fiscal Forecast Adjuster'!F$22/1000,0)</f>
        <v>4.7519999999999998</v>
      </c>
      <c r="P188" s="48">
        <f>'Fiscal Forecasts'!P$249+IF($C$2="Yes",'Fiscal Forecast Adjuster'!G$22/1000,0)</f>
        <v>4.9109999999999996</v>
      </c>
      <c r="Q188" s="20">
        <f t="shared" ref="Q188:Z188" ca="1" si="126">P$188*(1+Q$19)*(1+Q$29)</f>
        <v>5.0735853863584897</v>
      </c>
      <c r="R188" s="20">
        <f t="shared" ca="1" si="126"/>
        <v>5.2386016597103788</v>
      </c>
      <c r="S188" s="20">
        <f t="shared" ca="1" si="126"/>
        <v>5.4072040704287891</v>
      </c>
      <c r="T188" s="20">
        <f t="shared" ca="1" si="126"/>
        <v>5.5777985546966233</v>
      </c>
      <c r="U188" s="20">
        <f t="shared" ca="1" si="126"/>
        <v>5.7533005150718353</v>
      </c>
      <c r="V188" s="20">
        <f t="shared" ca="1" si="126"/>
        <v>5.9322141181451551</v>
      </c>
      <c r="W188" s="20">
        <f t="shared" ca="1" si="126"/>
        <v>6.1100336573406864</v>
      </c>
      <c r="X188" s="20">
        <f t="shared" ca="1" si="126"/>
        <v>6.2915962508057595</v>
      </c>
      <c r="Y188" s="20">
        <f t="shared" ca="1" si="126"/>
        <v>6.4786636600232299</v>
      </c>
      <c r="Z188" s="20">
        <f t="shared" ca="1" si="126"/>
        <v>6.669828544089083</v>
      </c>
    </row>
    <row r="189" spans="1:26" x14ac:dyDescent="0.25">
      <c r="A189" s="11" t="s">
        <v>1242</v>
      </c>
      <c r="B189" s="14"/>
      <c r="C189" s="15"/>
      <c r="D189" s="94">
        <f t="shared" ref="D189:Z189" si="127">SUM(D$182:D$188)</f>
        <v>25.844000000000001</v>
      </c>
      <c r="E189" s="94">
        <f t="shared" si="127"/>
        <v>40.411000000000001</v>
      </c>
      <c r="F189" s="94">
        <f t="shared" si="127"/>
        <v>33.116999999999997</v>
      </c>
      <c r="G189" s="94">
        <f t="shared" si="127"/>
        <v>41.74</v>
      </c>
      <c r="H189" s="94">
        <f t="shared" si="127"/>
        <v>36.31</v>
      </c>
      <c r="I189" s="94">
        <f t="shared" si="127"/>
        <v>39.195000000000007</v>
      </c>
      <c r="J189" s="94">
        <f t="shared" si="127"/>
        <v>42.131999999999998</v>
      </c>
      <c r="K189" s="94">
        <f t="shared" si="127"/>
        <v>44.609000000000002</v>
      </c>
      <c r="L189" s="95">
        <f t="shared" si="127"/>
        <v>47.16</v>
      </c>
      <c r="M189" s="95">
        <f t="shared" si="127"/>
        <v>48.992000000000004</v>
      </c>
      <c r="N189" s="95">
        <f t="shared" si="127"/>
        <v>50.223000000000006</v>
      </c>
      <c r="O189" s="95">
        <f t="shared" si="127"/>
        <v>52.105000000000004</v>
      </c>
      <c r="P189" s="95">
        <f t="shared" si="127"/>
        <v>54.282000000000004</v>
      </c>
      <c r="Q189" s="96">
        <f t="shared" ca="1" si="127"/>
        <v>56.782651728501726</v>
      </c>
      <c r="R189" s="96">
        <f t="shared" ca="1" si="127"/>
        <v>59.362878098696243</v>
      </c>
      <c r="S189" s="96">
        <f t="shared" ca="1" si="127"/>
        <v>62.035724365201482</v>
      </c>
      <c r="T189" s="96">
        <f t="shared" ca="1" si="127"/>
        <v>64.787260158547184</v>
      </c>
      <c r="U189" s="96">
        <f t="shared" ca="1" si="127"/>
        <v>67.696100875746652</v>
      </c>
      <c r="V189" s="96">
        <f t="shared" ca="1" si="127"/>
        <v>70.669665327828923</v>
      </c>
      <c r="W189" s="96">
        <f t="shared" ca="1" si="127"/>
        <v>73.651285843189839</v>
      </c>
      <c r="X189" s="96">
        <f t="shared" ca="1" si="127"/>
        <v>76.652621563331238</v>
      </c>
      <c r="Y189" s="96">
        <f t="shared" ca="1" si="127"/>
        <v>79.659878546451779</v>
      </c>
      <c r="Z189" s="96">
        <f t="shared" ca="1" si="127"/>
        <v>82.698532815681233</v>
      </c>
    </row>
    <row r="190" spans="1:26" x14ac:dyDescent="0.25">
      <c r="A190" s="12" t="s">
        <v>693</v>
      </c>
      <c r="B190" s="14" t="str">
        <f>$B$38</f>
        <v>From Fiscal Forecasts</v>
      </c>
      <c r="C190" s="15"/>
      <c r="D190" s="50">
        <f>'Fiscal Forecasts'!D$250</f>
        <v>0.58299999999999996</v>
      </c>
      <c r="E190" s="50">
        <f>'Fiscal Forecasts'!E$250</f>
        <v>0.56699999999999995</v>
      </c>
      <c r="F190" s="50">
        <f>'Fiscal Forecasts'!F$250</f>
        <v>0.59</v>
      </c>
      <c r="G190" s="50">
        <f>'Fiscal Forecasts'!G$250</f>
        <v>0.55600000000000005</v>
      </c>
      <c r="H190" s="50">
        <f>'Fiscal Forecasts'!H$250</f>
        <v>0.52500000000000002</v>
      </c>
      <c r="I190" s="50">
        <f>'Fiscal Forecasts'!I$250</f>
        <v>0.52600000000000002</v>
      </c>
      <c r="J190" s="50">
        <f>'Fiscal Forecasts'!J$250</f>
        <v>0.57399999999999995</v>
      </c>
      <c r="K190" s="50">
        <f>'Fiscal Forecasts'!K$250</f>
        <v>0.64100000000000001</v>
      </c>
      <c r="L190" s="48">
        <f>'Fiscal Forecasts'!L$250+IF($C$2="Yes",'Fiscal Forecast Adjuster'!C$23/1000,0)</f>
        <v>0.70399999999999996</v>
      </c>
      <c r="M190" s="48">
        <f>'Fiscal Forecasts'!M$250+IF($C$2="Yes",'Fiscal Forecast Adjuster'!D$23/1000,0)</f>
        <v>0.71499999999999997</v>
      </c>
      <c r="N190" s="48">
        <f>'Fiscal Forecasts'!N$250+IF($C$2="Yes",'Fiscal Forecast Adjuster'!E$23/1000,0)</f>
        <v>0.69899999999999995</v>
      </c>
      <c r="O190" s="48">
        <f>'Fiscal Forecasts'!O$250+IF($C$2="Yes",'Fiscal Forecast Adjuster'!F$23/1000,0)</f>
        <v>0.68899999999999995</v>
      </c>
      <c r="P190" s="48">
        <f>'Fiscal Forecasts'!P$250+IF($C$2="Yes",'Fiscal Forecast Adjuster'!G$23/1000,0)</f>
        <v>0.68899999999999995</v>
      </c>
      <c r="Q190" s="20">
        <f ca="1">P$190*(1+'Population Treasury'!AB$328)*(1+Q$29)</f>
        <v>0.7042704052526918</v>
      </c>
      <c r="R190" s="20">
        <f ca="1">Q$190*(1+'Population Treasury'!AC$328)*(1+R$29)</f>
        <v>0.7200817868108712</v>
      </c>
      <c r="S190" s="20">
        <f ca="1">R$190*(1+'Population Treasury'!AD$328)*(1+S$29)</f>
        <v>0.7364441451154754</v>
      </c>
      <c r="T190" s="20">
        <f ca="1">S$190*(1+'Population Treasury'!AE$328)*(1+T$29)</f>
        <v>0.75426820881386147</v>
      </c>
      <c r="U190" s="20">
        <f ca="1">T$190*(1+'Population Treasury'!AF$328)*(1+U$29)</f>
        <v>0.77251950077583986</v>
      </c>
      <c r="V190" s="20">
        <f ca="1">U$190*(1+'Population Treasury'!AG$328)*(1+V$29)</f>
        <v>0.79212822197401689</v>
      </c>
      <c r="W190" s="20">
        <f ca="1">V$190*(1+'Population Treasury'!AH$328)*(1+W$29)</f>
        <v>0.81256650909083683</v>
      </c>
      <c r="X190" s="20">
        <f ca="1">W$190*(1+'Population Treasury'!AI$328)*(1+X$29)</f>
        <v>0.834167094857449</v>
      </c>
      <c r="Y190" s="20">
        <f ca="1">X$190*(1+'Population Treasury'!AJ$328)*(1+Y$29)</f>
        <v>0.85705810709086938</v>
      </c>
      <c r="Z190" s="20">
        <f ca="1">Y$190*(1+'Population Treasury'!AK$328)*(1+Z$29)</f>
        <v>0.87732856685740601</v>
      </c>
    </row>
    <row r="191" spans="1:26" x14ac:dyDescent="0.25">
      <c r="A191" s="11" t="s">
        <v>1243</v>
      </c>
      <c r="B191" s="14"/>
      <c r="C191" s="15"/>
      <c r="D191" s="94">
        <f t="shared" ref="D191:Z191" si="128">SUM(D$189:D$190)</f>
        <v>26.427</v>
      </c>
      <c r="E191" s="94">
        <f t="shared" si="128"/>
        <v>40.978000000000002</v>
      </c>
      <c r="F191" s="94">
        <f t="shared" si="128"/>
        <v>33.707000000000001</v>
      </c>
      <c r="G191" s="94">
        <f t="shared" si="128"/>
        <v>42.295999999999999</v>
      </c>
      <c r="H191" s="94">
        <f t="shared" si="128"/>
        <v>36.835000000000001</v>
      </c>
      <c r="I191" s="94">
        <f t="shared" si="128"/>
        <v>39.721000000000011</v>
      </c>
      <c r="J191" s="94">
        <f t="shared" si="128"/>
        <v>42.705999999999996</v>
      </c>
      <c r="K191" s="94">
        <f t="shared" si="128"/>
        <v>45.25</v>
      </c>
      <c r="L191" s="95">
        <f t="shared" si="128"/>
        <v>47.863999999999997</v>
      </c>
      <c r="M191" s="95">
        <f t="shared" si="128"/>
        <v>49.707000000000008</v>
      </c>
      <c r="N191" s="95">
        <f t="shared" si="128"/>
        <v>50.922000000000004</v>
      </c>
      <c r="O191" s="95">
        <f t="shared" si="128"/>
        <v>52.794000000000004</v>
      </c>
      <c r="P191" s="95">
        <f t="shared" si="128"/>
        <v>54.971000000000004</v>
      </c>
      <c r="Q191" s="96">
        <f t="shared" ca="1" si="128"/>
        <v>57.486922133754419</v>
      </c>
      <c r="R191" s="96">
        <f t="shared" ca="1" si="128"/>
        <v>60.082959885507115</v>
      </c>
      <c r="S191" s="96">
        <f t="shared" ca="1" si="128"/>
        <v>62.772168510316959</v>
      </c>
      <c r="T191" s="96">
        <f t="shared" ca="1" si="128"/>
        <v>65.541528367361039</v>
      </c>
      <c r="U191" s="96">
        <f t="shared" ca="1" si="128"/>
        <v>68.468620376522495</v>
      </c>
      <c r="V191" s="96">
        <f t="shared" ca="1" si="128"/>
        <v>71.461793549802934</v>
      </c>
      <c r="W191" s="96">
        <f t="shared" ca="1" si="128"/>
        <v>74.463852352280682</v>
      </c>
      <c r="X191" s="96">
        <f t="shared" ca="1" si="128"/>
        <v>77.486788658188686</v>
      </c>
      <c r="Y191" s="96">
        <f t="shared" ca="1" si="128"/>
        <v>80.516936653542643</v>
      </c>
      <c r="Z191" s="96">
        <f t="shared" ca="1" si="128"/>
        <v>83.575861382538633</v>
      </c>
    </row>
    <row r="192" spans="1:26" x14ac:dyDescent="0.25">
      <c r="A192" s="12" t="s">
        <v>694</v>
      </c>
      <c r="B192" s="14" t="str">
        <f>$B$38</f>
        <v>From Fiscal Forecasts</v>
      </c>
      <c r="C192" s="15"/>
      <c r="D192" s="50">
        <f>'Fiscal Forecasts'!D$251</f>
        <v>0.95099999999999996</v>
      </c>
      <c r="E192" s="50">
        <f>'Fiscal Forecasts'!E$251</f>
        <v>0.89300000000000002</v>
      </c>
      <c r="F192" s="50">
        <f>'Fiscal Forecasts'!F$251</f>
        <v>0.91600000000000004</v>
      </c>
      <c r="G192" s="50">
        <f>'Fiscal Forecasts'!G$251</f>
        <v>0.96399999999999997</v>
      </c>
      <c r="H192" s="50">
        <f>'Fiscal Forecasts'!H$251</f>
        <v>0.997</v>
      </c>
      <c r="I192" s="50">
        <f>'Fiscal Forecasts'!I$251</f>
        <v>1.014</v>
      </c>
      <c r="J192" s="50">
        <f>'Fiscal Forecasts'!J$251</f>
        <v>1.02</v>
      </c>
      <c r="K192" s="50">
        <f>'Fiscal Forecasts'!K$251</f>
        <v>0.47</v>
      </c>
      <c r="L192" s="48">
        <f>'Fiscal Forecasts'!L$251+IF($C$2="Yes",'Fiscal Forecast Adjuster'!C$24/1000,0)</f>
        <v>0.49399999999999999</v>
      </c>
      <c r="M192" s="48">
        <f>'Fiscal Forecasts'!M$251+IF($C$2="Yes",'Fiscal Forecast Adjuster'!D$24/1000,0)</f>
        <v>0.51600000000000001</v>
      </c>
      <c r="N192" s="48">
        <f>'Fiscal Forecasts'!N$251+IF($C$2="Yes",'Fiscal Forecast Adjuster'!E$24/1000,0)</f>
        <v>0.54100000000000004</v>
      </c>
      <c r="O192" s="48">
        <f>'Fiscal Forecasts'!O$251+IF($C$2="Yes",'Fiscal Forecast Adjuster'!F$24/1000,0)</f>
        <v>0.56499999999999995</v>
      </c>
      <c r="P192" s="48">
        <f>'Fiscal Forecasts'!P$251+IF($C$2="Yes",'Fiscal Forecast Adjuster'!G$24/1000,0)</f>
        <v>0.58899999999999997</v>
      </c>
      <c r="Q192" s="20">
        <f>IF(ISBLANK(Exogenous!AB$37),P$192*(1+Q$17)*(1+Q$29),Exogenous!AB$37)</f>
        <v>0.61599999999999999</v>
      </c>
      <c r="R192" s="20">
        <f ca="1">IF(ISBLANK(Exogenous!AC$37),Q$192*(1+R$17)*(1+R$29),Exogenous!AC$37)</f>
        <v>0.6356043150767996</v>
      </c>
      <c r="S192" s="20">
        <f ca="1">IF(ISBLANK(Exogenous!AD$37),R$192*(1+S$17)*(1+S$29),Exogenous!AD$37)</f>
        <v>0.65552518581783481</v>
      </c>
      <c r="T192" s="20">
        <f ca="1">IF(ISBLANK(Exogenous!AE$37),S$192*(1+T$17)*(1+T$29),Exogenous!AE$37)</f>
        <v>0.67575382923088023</v>
      </c>
      <c r="U192" s="20">
        <f ca="1">IF(ISBLANK(Exogenous!AF$37),T$192*(1+U$17)*(1+U$29),Exogenous!AF$37)</f>
        <v>0.69644013067364774</v>
      </c>
      <c r="V192" s="20">
        <f ca="1">IF(ISBLANK(Exogenous!AG$37),U$192*(1+V$17)*(1+V$29),Exogenous!AG$37)</f>
        <v>0.71757355095976472</v>
      </c>
      <c r="W192" s="20">
        <f ca="1">IF(ISBLANK(Exogenous!AH$37),V$192*(1+W$17)*(1+W$29),Exogenous!AH$37)</f>
        <v>0.73899406472158069</v>
      </c>
      <c r="X192" s="20">
        <f ca="1">IF(ISBLANK(Exogenous!AI$37),W$192*(1+X$17)*(1+X$29),Exogenous!AI$37)</f>
        <v>0.76073334129191916</v>
      </c>
      <c r="Y192" s="20">
        <f ca="1">IF(ISBLANK(Exogenous!AJ$37),X$192*(1+Y$17)*(1+Y$29),Exogenous!AJ$37)</f>
        <v>0.78292535697248833</v>
      </c>
      <c r="Z192" s="20">
        <f ca="1">IF(ISBLANK(Exogenous!AK$37),Y$192*(1+Z$17)*(1+Z$29),Exogenous!AK$37)</f>
        <v>0.80555714389500477</v>
      </c>
    </row>
    <row r="193" spans="1:26" x14ac:dyDescent="0.25">
      <c r="A193" s="12" t="s">
        <v>1029</v>
      </c>
      <c r="B193" s="14" t="str">
        <f>$B$38</f>
        <v>From Fiscal Forecasts</v>
      </c>
      <c r="C193" s="15"/>
      <c r="D193" s="50">
        <f>'Fiscal Forecasts'!D$252</f>
        <v>0.70799999999999996</v>
      </c>
      <c r="E193" s="50">
        <f>'Fiscal Forecasts'!E$252</f>
        <v>0.73599999999999999</v>
      </c>
      <c r="F193" s="50">
        <f>'Fiscal Forecasts'!F$252</f>
        <v>0.80400000000000005</v>
      </c>
      <c r="G193" s="50">
        <f>'Fiscal Forecasts'!G$252</f>
        <v>0.82699999999999996</v>
      </c>
      <c r="H193" s="50">
        <f>'Fiscal Forecasts'!H$252</f>
        <v>0.97099999999999997</v>
      </c>
      <c r="I193" s="50">
        <f>'Fiscal Forecasts'!I$252</f>
        <v>1.202</v>
      </c>
      <c r="J193" s="50">
        <f>'Fiscal Forecasts'!J$252</f>
        <v>0.95299999999999996</v>
      </c>
      <c r="K193" s="50">
        <f>'Fiscal Forecasts'!K$252</f>
        <v>0.95599999999999996</v>
      </c>
      <c r="L193" s="48">
        <f>'Fiscal Forecasts'!L$252</f>
        <v>1.151</v>
      </c>
      <c r="M193" s="48">
        <f>'Fiscal Forecasts'!M$252</f>
        <v>0.98199999999999998</v>
      </c>
      <c r="N193" s="48">
        <f>'Fiscal Forecasts'!N$252</f>
        <v>0.98199999999999998</v>
      </c>
      <c r="O193" s="48">
        <f>'Fiscal Forecasts'!O$252</f>
        <v>0.98199999999999998</v>
      </c>
      <c r="P193" s="48">
        <f>'Fiscal Forecasts'!P$252</f>
        <v>0.98199999999999998</v>
      </c>
      <c r="Q193" s="20">
        <f t="shared" ref="Q193:Z193" ca="1" si="129">P$193*(1+Q$29)</f>
        <v>1.0016400000000001</v>
      </c>
      <c r="R193" s="20">
        <f t="shared" ca="1" si="129"/>
        <v>1.0216728000000002</v>
      </c>
      <c r="S193" s="20">
        <f t="shared" ca="1" si="129"/>
        <v>1.0421062560000003</v>
      </c>
      <c r="T193" s="20">
        <f t="shared" ca="1" si="129"/>
        <v>1.0629483811200002</v>
      </c>
      <c r="U193" s="20">
        <f t="shared" ca="1" si="129"/>
        <v>1.0842073487424002</v>
      </c>
      <c r="V193" s="20">
        <f t="shared" ca="1" si="129"/>
        <v>1.1058914957172483</v>
      </c>
      <c r="W193" s="20">
        <f t="shared" ca="1" si="129"/>
        <v>1.1280093256315933</v>
      </c>
      <c r="X193" s="20">
        <f t="shared" ca="1" si="129"/>
        <v>1.1505695121442252</v>
      </c>
      <c r="Y193" s="20">
        <f t="shared" ca="1" si="129"/>
        <v>1.1735809023871098</v>
      </c>
      <c r="Z193" s="20">
        <f t="shared" ca="1" si="129"/>
        <v>1.1970525204348519</v>
      </c>
    </row>
    <row r="194" spans="1:26" x14ac:dyDescent="0.25">
      <c r="A194" s="11" t="s">
        <v>1244</v>
      </c>
      <c r="B194" s="14"/>
      <c r="C194" s="15"/>
      <c r="D194" s="94">
        <f t="shared" ref="D194:Z194" si="130">SUM(D$191:D$193)</f>
        <v>28.085999999999999</v>
      </c>
      <c r="E194" s="94">
        <f t="shared" si="130"/>
        <v>42.606999999999999</v>
      </c>
      <c r="F194" s="94">
        <f t="shared" si="130"/>
        <v>35.427</v>
      </c>
      <c r="G194" s="94">
        <f t="shared" si="130"/>
        <v>44.086999999999996</v>
      </c>
      <c r="H194" s="94">
        <f t="shared" si="130"/>
        <v>38.802999999999997</v>
      </c>
      <c r="I194" s="94">
        <f t="shared" si="130"/>
        <v>41.937000000000012</v>
      </c>
      <c r="J194" s="94">
        <f t="shared" si="130"/>
        <v>44.679000000000002</v>
      </c>
      <c r="K194" s="94">
        <f t="shared" si="130"/>
        <v>46.676000000000002</v>
      </c>
      <c r="L194" s="95">
        <f t="shared" si="130"/>
        <v>49.509</v>
      </c>
      <c r="M194" s="95">
        <f t="shared" si="130"/>
        <v>51.205000000000005</v>
      </c>
      <c r="N194" s="95">
        <f t="shared" si="130"/>
        <v>52.445</v>
      </c>
      <c r="O194" s="95">
        <f t="shared" si="130"/>
        <v>54.341000000000001</v>
      </c>
      <c r="P194" s="95">
        <f t="shared" si="130"/>
        <v>56.542000000000002</v>
      </c>
      <c r="Q194" s="96">
        <f t="shared" ca="1" si="130"/>
        <v>59.10456213375442</v>
      </c>
      <c r="R194" s="96">
        <f t="shared" ca="1" si="130"/>
        <v>61.74023700058391</v>
      </c>
      <c r="S194" s="96">
        <f t="shared" ca="1" si="130"/>
        <v>64.469799952134792</v>
      </c>
      <c r="T194" s="96">
        <f t="shared" ca="1" si="130"/>
        <v>67.280230577711919</v>
      </c>
      <c r="U194" s="96">
        <f t="shared" ca="1" si="130"/>
        <v>70.249267855938541</v>
      </c>
      <c r="V194" s="96">
        <f t="shared" ca="1" si="130"/>
        <v>73.285258596479949</v>
      </c>
      <c r="W194" s="96">
        <f t="shared" ca="1" si="130"/>
        <v>76.330855742633858</v>
      </c>
      <c r="X194" s="96">
        <f t="shared" ca="1" si="130"/>
        <v>79.398091511624841</v>
      </c>
      <c r="Y194" s="96">
        <f t="shared" ca="1" si="130"/>
        <v>82.473442912902243</v>
      </c>
      <c r="Z194" s="96">
        <f t="shared" ca="1" si="130"/>
        <v>85.578471046868486</v>
      </c>
    </row>
    <row r="195" spans="1:26" x14ac:dyDescent="0.25">
      <c r="A195" s="11" t="s">
        <v>1245</v>
      </c>
      <c r="B195" s="14" t="str">
        <f>$B$38</f>
        <v>From Fiscal Forecasts</v>
      </c>
      <c r="C195" s="15"/>
      <c r="D195" s="51">
        <f>'Fiscal Forecasts'!D$170</f>
        <v>29.015000000000001</v>
      </c>
      <c r="E195" s="51">
        <f>'Fiscal Forecasts'!E$170</f>
        <v>43.616</v>
      </c>
      <c r="F195" s="51">
        <f>'Fiscal Forecasts'!F$170</f>
        <v>36.521000000000001</v>
      </c>
      <c r="G195" s="51">
        <f>'Fiscal Forecasts'!G$170</f>
        <v>45.265999999999998</v>
      </c>
      <c r="H195" s="51">
        <f>'Fiscal Forecasts'!H$170</f>
        <v>40.003</v>
      </c>
      <c r="I195" s="51">
        <f>'Fiscal Forecasts'!I$170</f>
        <v>43.265000000000001</v>
      </c>
      <c r="J195" s="51">
        <f>'Fiscal Forecasts'!J$170</f>
        <v>46.238999999999997</v>
      </c>
      <c r="K195" s="51">
        <f>'Fiscal Forecasts'!K$170</f>
        <v>48.417000000000002</v>
      </c>
      <c r="L195" s="47">
        <f>'Fiscal Forecasts'!L$170+IF($C$2="Yes",SUM('Fiscal Forecast Adjuster'!C$16:C$24)/1000,0)</f>
        <v>51.131</v>
      </c>
      <c r="M195" s="47">
        <f>'Fiscal Forecasts'!M$170+IF($C$2="Yes",SUM('Fiscal Forecast Adjuster'!D$16:D$24)/1000,0)</f>
        <v>52.792000000000002</v>
      </c>
      <c r="N195" s="47">
        <f>'Fiscal Forecasts'!N$170+IF($C$2="Yes",SUM('Fiscal Forecast Adjuster'!E$16:E$24)/1000,0)</f>
        <v>54.014000000000003</v>
      </c>
      <c r="O195" s="47">
        <f>'Fiscal Forecasts'!O$170+IF($C$2="Yes",SUM('Fiscal Forecast Adjuster'!F$16:F$24)/1000,0)</f>
        <v>55.95</v>
      </c>
      <c r="P195" s="47">
        <f>'Fiscal Forecasts'!P$170+IF($C$2="Yes",SUM('Fiscal Forecast Adjuster'!G$16:G$24)/1000,0)</f>
        <v>58.197000000000003</v>
      </c>
      <c r="Q195" s="21">
        <f t="shared" ref="Q195:Z195" ca="1" si="131">Q$194</f>
        <v>59.10456213375442</v>
      </c>
      <c r="R195" s="21">
        <f t="shared" ca="1" si="131"/>
        <v>61.74023700058391</v>
      </c>
      <c r="S195" s="21">
        <f t="shared" ca="1" si="131"/>
        <v>64.469799952134792</v>
      </c>
      <c r="T195" s="21">
        <f t="shared" ca="1" si="131"/>
        <v>67.280230577711919</v>
      </c>
      <c r="U195" s="21">
        <f t="shared" ca="1" si="131"/>
        <v>70.249267855938541</v>
      </c>
      <c r="V195" s="21">
        <f t="shared" ca="1" si="131"/>
        <v>73.285258596479949</v>
      </c>
      <c r="W195" s="21">
        <f t="shared" ca="1" si="131"/>
        <v>76.330855742633858</v>
      </c>
      <c r="X195" s="21">
        <f t="shared" ca="1" si="131"/>
        <v>79.398091511624841</v>
      </c>
      <c r="Y195" s="21">
        <f t="shared" ca="1" si="131"/>
        <v>82.473442912902243</v>
      </c>
      <c r="Z195" s="21">
        <f t="shared" ca="1" si="131"/>
        <v>85.578471046868486</v>
      </c>
    </row>
    <row r="196" spans="1:26" x14ac:dyDescent="0.25">
      <c r="A196" s="12" t="s">
        <v>1246</v>
      </c>
      <c r="B196" s="14" t="str">
        <f>$B$38</f>
        <v>From Fiscal Forecasts</v>
      </c>
      <c r="C196" s="100" cm="1">
        <f t="array" aca="1" ref="C196" ca="1">SUMPRODUCT(OFFSET($P$196,0,0,1,-OFFSET(Assumptions!$B$60,0,$C$1))/OFFSET($P$13,0,0,1,-OFFSET(Assumptions!$B$60,0,$C$1)))/OFFSET(Assumptions!$B$60,0,$C$1)</f>
        <v>1.1105091952102625E-2</v>
      </c>
      <c r="D196" s="50">
        <f>'Fiscal Forecasts'!D$57-D$189</f>
        <v>2.8959999999999972</v>
      </c>
      <c r="E196" s="50">
        <f>'Fiscal Forecasts'!E$57-E$189</f>
        <v>3.6169999999999973</v>
      </c>
      <c r="F196" s="50">
        <f>'Fiscal Forecasts'!F$57-F$189</f>
        <v>3.642000000000003</v>
      </c>
      <c r="G196" s="50">
        <f>'Fiscal Forecasts'!G$57-G$189</f>
        <v>1.1199999999999974</v>
      </c>
      <c r="H196" s="50">
        <f>'Fiscal Forecasts'!H$57-H$189</f>
        <v>5.2040000000000006</v>
      </c>
      <c r="I196" s="50">
        <f>'Fiscal Forecasts'!I$57-I$189</f>
        <v>5.3939999999999912</v>
      </c>
      <c r="J196" s="50">
        <f>'Fiscal Forecasts'!J$57-J$189</f>
        <v>5.3710000000000022</v>
      </c>
      <c r="K196" s="50">
        <f>'Fiscal Forecasts'!K$57-K$189</f>
        <v>5.6149999999999949</v>
      </c>
      <c r="L196" s="48">
        <f ca="1">'Fiscal Forecasts'!L$57-L$189+IF($C$2="Yes",SUM('Fiscal Forecast Adjuster'!C$16:C$22)/1000,0)+IF(OFFSET(Assumptions!$B$57,0,$C$1)="Yes",Allocation!C$10+IF($C$2="Yes",'Fiscal Forecast Adjuster'!C$46,0),0)</f>
        <v>6.2310000000000016</v>
      </c>
      <c r="M196" s="48">
        <f ca="1">'Fiscal Forecasts'!M$57-M$189+IF($C$2="Yes",SUM('Fiscal Forecast Adjuster'!D$16:D$22)/1000,0)+IF(OFFSET(Assumptions!$B$57,0,$C$1)="Yes",Allocation!D$10+IF($C$2="Yes",'Fiscal Forecast Adjuster'!D$46,0),0)</f>
        <v>6.1059999999999945</v>
      </c>
      <c r="N196" s="48">
        <f ca="1">'Fiscal Forecasts'!N$57-N$189+IF($C$2="Yes",SUM('Fiscal Forecast Adjuster'!E$16:E$22)/1000,0)+IF(OFFSET(Assumptions!$B$57,0,$C$1)="Yes",Allocation!E$10+IF($C$2="Yes",'Fiscal Forecast Adjuster'!E$46,0),0)</f>
        <v>6.1609999999999943</v>
      </c>
      <c r="O196" s="48">
        <f ca="1">'Fiscal Forecasts'!O$57-O$189+IF($C$2="Yes",SUM('Fiscal Forecast Adjuster'!F$16:F$22)/1000,0)+IF(OFFSET(Assumptions!$B$57,0,$C$1)="Yes",Allocation!F$10+IF($C$2="Yes",'Fiscal Forecast Adjuster'!F$46,0),0)</f>
        <v>5.9429999999999978</v>
      </c>
      <c r="P196" s="48">
        <f ca="1">'Fiscal Forecasts'!P$57-P$189+IF($C$2="Yes",SUM('Fiscal Forecast Adjuster'!G$16:G$22)/1000,0)+IF(OFFSET(Assumptions!$B$57,0,$C$1)="Yes",Allocation!G$10+IF($C$2="Yes",'Fiscal Forecast Adjuster'!G$46,0),0)</f>
        <v>6.0039999999999978</v>
      </c>
      <c r="Q196" s="20">
        <f ca="1">P$196+IF(OFFSET(Assumptions!$B$58,0,$C$1)="Yes",Allocation!$B$10*Q$248,IF(OFFSET(Assumptions!$B$59,0,$C$1)="Yes",(P$196/P$13+MIN(ABS($C$196-P$196/P$13),OFFSET(Assumptions!$B$61,0,$C$1))*SIGN($C$196-P$196/P$13))*Q$13-P$196,0))</f>
        <v>6.0039999999999978</v>
      </c>
      <c r="R196" s="20">
        <f ca="1">Q$196+IF(OFFSET(Assumptions!$B$58,0,$C$1)="Yes",Allocation!$B$10*R$248,IF(OFFSET(Assumptions!$B$59,0,$C$1)="Yes",(Q$196/Q$13+MIN(ABS($C$196-Q$196/Q$13),OFFSET(Assumptions!$B$61,0,$C$1))*SIGN($C$196-Q$196/Q$13))*R$13-Q$196,0))</f>
        <v>6.0039999999999978</v>
      </c>
      <c r="S196" s="20">
        <f ca="1">R$196+IF(OFFSET(Assumptions!$B$58,0,$C$1)="Yes",Allocation!$B$10*S$248,IF(OFFSET(Assumptions!$B$59,0,$C$1)="Yes",(R$196/R$13+MIN(ABS($C$196-R$196/R$13),OFFSET(Assumptions!$B$61,0,$C$1))*SIGN($C$196-R$196/R$13))*S$13-R$196,0))</f>
        <v>6.0039999999999978</v>
      </c>
      <c r="T196" s="20">
        <f ca="1">S$196+IF(OFFSET(Assumptions!$B$58,0,$C$1)="Yes",Allocation!$B$10*T$248,IF(OFFSET(Assumptions!$B$59,0,$C$1)="Yes",(S$196/S$13+MIN(ABS($C$196-S$196/S$13),OFFSET(Assumptions!$B$61,0,$C$1))*SIGN($C$196-S$196/S$13))*T$13-S$196,0))</f>
        <v>6.0039999999999978</v>
      </c>
      <c r="U196" s="20">
        <f ca="1">T$196+IF(OFFSET(Assumptions!$B$58,0,$C$1)="Yes",Allocation!$B$10*U$248,IF(OFFSET(Assumptions!$B$59,0,$C$1)="Yes",(T$196/T$13+MIN(ABS($C$196-T$196/T$13),OFFSET(Assumptions!$B$61,0,$C$1))*SIGN($C$196-T$196/T$13))*U$13-T$196,0))</f>
        <v>6.0039999999999978</v>
      </c>
      <c r="V196" s="20">
        <f ca="1">U$196+IF(OFFSET(Assumptions!$B$58,0,$C$1)="Yes",Allocation!$B$10*V$248,IF(OFFSET(Assumptions!$B$59,0,$C$1)="Yes",(U$196/U$13+MIN(ABS($C$196-U$196/U$13),OFFSET(Assumptions!$B$61,0,$C$1))*SIGN($C$196-U$196/U$13))*V$13-U$196,0))</f>
        <v>6.0039999999999978</v>
      </c>
      <c r="W196" s="20">
        <f ca="1">V$196+IF(OFFSET(Assumptions!$B$58,0,$C$1)="Yes",Allocation!$B$10*W$248,IF(OFFSET(Assumptions!$B$59,0,$C$1)="Yes",(V$196/V$13+MIN(ABS($C$196-V$196/V$13),OFFSET(Assumptions!$B$61,0,$C$1))*SIGN($C$196-V$196/V$13))*W$13-V$196,0))</f>
        <v>6.0039999999999978</v>
      </c>
      <c r="X196" s="20">
        <f ca="1">W$196+IF(OFFSET(Assumptions!$B$58,0,$C$1)="Yes",Allocation!$B$10*X$248,IF(OFFSET(Assumptions!$B$59,0,$C$1)="Yes",(W$196/W$13+MIN(ABS($C$196-W$196/W$13),OFFSET(Assumptions!$B$61,0,$C$1))*SIGN($C$196-W$196/W$13))*X$13-W$196,0))</f>
        <v>6.0039999999999978</v>
      </c>
      <c r="Y196" s="20">
        <f ca="1">X$196+IF(OFFSET(Assumptions!$B$58,0,$C$1)="Yes",Allocation!$B$10*Y$248,IF(OFFSET(Assumptions!$B$59,0,$C$1)="Yes",(X$196/X$13+MIN(ABS($C$196-X$196/X$13),OFFSET(Assumptions!$B$61,0,$C$1))*SIGN($C$196-X$196/X$13))*Y$13-X$196,0))</f>
        <v>6.0039999999999978</v>
      </c>
      <c r="Z196" s="20">
        <f ca="1">Y$196+IF(OFFSET(Assumptions!$B$58,0,$C$1)="Yes",Allocation!$B$10*Z$248,IF(OFFSET(Assumptions!$B$59,0,$C$1)="Yes",(Y$196/Y$13+MIN(ABS($C$196-Y$196/Y$13),OFFSET(Assumptions!$B$61,0,$C$1))*SIGN($C$196-Y$196/Y$13))*Z$13-Y$196,0))</f>
        <v>6.0039999999999978</v>
      </c>
    </row>
    <row r="197" spans="1:26" x14ac:dyDescent="0.25">
      <c r="A197" s="11" t="s">
        <v>1247</v>
      </c>
      <c r="B197" s="14"/>
      <c r="C197" s="15"/>
      <c r="D197" s="51">
        <f t="shared" ref="D197:Z197" si="132">SUM(D$189,D$196)</f>
        <v>28.74</v>
      </c>
      <c r="E197" s="51">
        <f t="shared" si="132"/>
        <v>44.027999999999999</v>
      </c>
      <c r="F197" s="51">
        <f t="shared" si="132"/>
        <v>36.759</v>
      </c>
      <c r="G197" s="51">
        <f t="shared" si="132"/>
        <v>42.86</v>
      </c>
      <c r="H197" s="51">
        <f t="shared" si="132"/>
        <v>41.514000000000003</v>
      </c>
      <c r="I197" s="51">
        <f t="shared" si="132"/>
        <v>44.588999999999999</v>
      </c>
      <c r="J197" s="51">
        <f t="shared" si="132"/>
        <v>47.503</v>
      </c>
      <c r="K197" s="51">
        <f t="shared" si="132"/>
        <v>50.223999999999997</v>
      </c>
      <c r="L197" s="47">
        <f t="shared" ca="1" si="132"/>
        <v>53.390999999999998</v>
      </c>
      <c r="M197" s="47">
        <f t="shared" ca="1" si="132"/>
        <v>55.097999999999999</v>
      </c>
      <c r="N197" s="47">
        <f t="shared" ca="1" si="132"/>
        <v>56.384</v>
      </c>
      <c r="O197" s="47">
        <f t="shared" ca="1" si="132"/>
        <v>58.048000000000002</v>
      </c>
      <c r="P197" s="47">
        <f t="shared" ca="1" si="132"/>
        <v>60.286000000000001</v>
      </c>
      <c r="Q197" s="21">
        <f t="shared" ca="1" si="132"/>
        <v>62.786651728501724</v>
      </c>
      <c r="R197" s="21">
        <f t="shared" ca="1" si="132"/>
        <v>65.366878098696247</v>
      </c>
      <c r="S197" s="21">
        <f t="shared" ca="1" si="132"/>
        <v>68.039724365201479</v>
      </c>
      <c r="T197" s="21">
        <f t="shared" ca="1" si="132"/>
        <v>70.791260158547175</v>
      </c>
      <c r="U197" s="21">
        <f t="shared" ca="1" si="132"/>
        <v>73.700100875746642</v>
      </c>
      <c r="V197" s="21">
        <f t="shared" ca="1" si="132"/>
        <v>76.673665327828928</v>
      </c>
      <c r="W197" s="21">
        <f t="shared" ca="1" si="132"/>
        <v>79.65528584318983</v>
      </c>
      <c r="X197" s="21">
        <f t="shared" ca="1" si="132"/>
        <v>82.656621563331242</v>
      </c>
      <c r="Y197" s="21">
        <f t="shared" ca="1" si="132"/>
        <v>85.66387854645177</v>
      </c>
      <c r="Z197" s="21">
        <f t="shared" ca="1" si="132"/>
        <v>88.702532815681224</v>
      </c>
    </row>
    <row r="198" spans="1:26" x14ac:dyDescent="0.25">
      <c r="A198" s="12" t="s">
        <v>1248</v>
      </c>
      <c r="B198" s="14" t="str">
        <f>$B$38</f>
        <v>From Fiscal Forecasts</v>
      </c>
      <c r="C198" s="15"/>
      <c r="D198" s="50">
        <f>'Fiscal Forecasts'!D$206</f>
        <v>6.6790000000000003</v>
      </c>
      <c r="E198" s="50">
        <f>'Fiscal Forecasts'!E$206</f>
        <v>7.6630000000000003</v>
      </c>
      <c r="F198" s="50">
        <f>'Fiscal Forecasts'!F$206</f>
        <v>7.968</v>
      </c>
      <c r="G198" s="50">
        <f>'Fiscal Forecasts'!G$206</f>
        <v>7.3879999999999999</v>
      </c>
      <c r="H198" s="50">
        <f>'Fiscal Forecasts'!H$206</f>
        <v>9.3290000000000006</v>
      </c>
      <c r="I198" s="50">
        <f>'Fiscal Forecasts'!I$206</f>
        <v>11.634</v>
      </c>
      <c r="J198" s="50">
        <f>'Fiscal Forecasts'!J$206</f>
        <v>12.760999999999999</v>
      </c>
      <c r="K198" s="50">
        <f>'Fiscal Forecasts'!K$206</f>
        <v>10.669</v>
      </c>
      <c r="L198" s="48">
        <f>'Fiscal Forecasts'!L$206</f>
        <v>11.167</v>
      </c>
      <c r="M198" s="48">
        <f>'Fiscal Forecasts'!M$206</f>
        <v>11.887</v>
      </c>
      <c r="N198" s="48">
        <f>'Fiscal Forecasts'!N$206</f>
        <v>12.044</v>
      </c>
      <c r="O198" s="48">
        <f>'Fiscal Forecasts'!O$206</f>
        <v>12.486000000000001</v>
      </c>
      <c r="P198" s="48">
        <f>'Fiscal Forecasts'!P$206</f>
        <v>13.964</v>
      </c>
      <c r="Q198" s="20">
        <f>P$198*Exogenous!AB$27/Exogenous!AA$27</f>
        <v>14.725401263097526</v>
      </c>
      <c r="R198" s="20">
        <f>Q$198*Exogenous!AC$27/Exogenous!AB$27</f>
        <v>15.544265309413285</v>
      </c>
      <c r="S198" s="20">
        <f>R$198*Exogenous!AD$27/Exogenous!AC$27</f>
        <v>16.360046622767598</v>
      </c>
      <c r="T198" s="20">
        <f>S$198*Exogenous!AE$27/Exogenous!AD$27</f>
        <v>17.145416164713321</v>
      </c>
      <c r="U198" s="20">
        <f>T$198*Exogenous!AF$27/Exogenous!AE$27</f>
        <v>17.979620806873328</v>
      </c>
      <c r="V198" s="20">
        <f>U$198*Exogenous!AG$27/Exogenous!AF$27</f>
        <v>18.823845570120163</v>
      </c>
      <c r="W198" s="20">
        <f>V$198*Exogenous!AH$27/Exogenous!AG$27</f>
        <v>19.701301164940279</v>
      </c>
      <c r="X198" s="20">
        <f>W$198*Exogenous!AI$27/Exogenous!AH$27</f>
        <v>20.616866136857279</v>
      </c>
      <c r="Y198" s="20">
        <f>X$198*Exogenous!AJ$27/Exogenous!AI$27</f>
        <v>21.528527879486475</v>
      </c>
      <c r="Z198" s="20">
        <f>Y$198*Exogenous!AK$27/Exogenous!AJ$27</f>
        <v>22.495239368343416</v>
      </c>
    </row>
    <row r="199" spans="1:26" x14ac:dyDescent="0.25">
      <c r="A199" s="12" t="s">
        <v>1249</v>
      </c>
      <c r="B199" s="14" t="str">
        <f>$B$38</f>
        <v>From Fiscal Forecasts</v>
      </c>
      <c r="C199" s="15"/>
      <c r="D199" s="50">
        <f>'Fiscal Forecasts'!D$40-SUM(D$197:D$198)</f>
        <v>-1.5169999999999959</v>
      </c>
      <c r="E199" s="50">
        <f>'Fiscal Forecasts'!E$40-SUM(E$197:E$198)</f>
        <v>-1.7910000000000039</v>
      </c>
      <c r="F199" s="50">
        <f>'Fiscal Forecasts'!F$40-SUM(F$197:F$198)</f>
        <v>-1.8350000000000009</v>
      </c>
      <c r="G199" s="50">
        <f>'Fiscal Forecasts'!G$40-SUM(G$197:G$198)</f>
        <v>-1.9450000000000003</v>
      </c>
      <c r="H199" s="50">
        <f>'Fiscal Forecasts'!H$40-SUM(H$197:H$198)</f>
        <v>-1.9980000000000047</v>
      </c>
      <c r="I199" s="50">
        <f>'Fiscal Forecasts'!I$40-SUM(I$197:I$198)</f>
        <v>-2.2269999999999968</v>
      </c>
      <c r="J199" s="50">
        <f>'Fiscal Forecasts'!J$40-SUM(J$197:J$198)</f>
        <v>-2.6289999999999978</v>
      </c>
      <c r="K199" s="50">
        <f>'Fiscal Forecasts'!K$40-SUM(K$197:K$198)</f>
        <v>-2.855000000000004</v>
      </c>
      <c r="L199" s="48">
        <f ca="1">'Fiscal Forecasts'!L$40-SUM(L$197:L$198)+IF($C$2="Yes",SUM('Fiscal Forecast Adjuster'!C$16:C$22)/1000,0)+IF(OFFSET(Assumptions!$B$57,0,$C$1)="Yes",Allocation!C$10+IF($C$2="Yes",'Fiscal Forecast Adjuster'!C$46,0),0)</f>
        <v>-3.3219999999999956</v>
      </c>
      <c r="M199" s="48">
        <f ca="1">'Fiscal Forecasts'!M$40-SUM(M$197:M$198)+IF($C$2="Yes",SUM('Fiscal Forecast Adjuster'!D$16:D$22)/1000,0)+IF(OFFSET(Assumptions!$B$57,0,$C$1)="Yes",Allocation!D$10+IF($C$2="Yes",'Fiscal Forecast Adjuster'!D$46,0),0)</f>
        <v>-3.3689999999999998</v>
      </c>
      <c r="N199" s="48">
        <f ca="1">'Fiscal Forecasts'!N$40-SUM(N$197:N$198)+IF($C$2="Yes",SUM('Fiscal Forecast Adjuster'!E$16:E$22)/1000,0)+IF(OFFSET(Assumptions!$B$57,0,$C$1)="Yes",Allocation!E$10+IF($C$2="Yes",'Fiscal Forecast Adjuster'!E$46,0),0)</f>
        <v>-3.445999999999998</v>
      </c>
      <c r="O199" s="48">
        <f ca="1">'Fiscal Forecasts'!O$40-SUM(O$197:O$198)+IF($C$2="Yes",SUM('Fiscal Forecast Adjuster'!F$16:F$22)/1000,0)+IF(OFFSET(Assumptions!$B$57,0,$C$1)="Yes",Allocation!F$10+IF($C$2="Yes",'Fiscal Forecast Adjuster'!F$46,0),0)</f>
        <v>-3.5880000000000081</v>
      </c>
      <c r="P199" s="48">
        <f ca="1">'Fiscal Forecasts'!P$40-SUM(P$197:P$198)+IF($C$2="Yes",SUM('Fiscal Forecast Adjuster'!G$16:G$22)/1000,0)+IF(OFFSET(Assumptions!$B$57,0,$C$1)="Yes",Allocation!G$10+IF($C$2="Yes",'Fiscal Forecast Adjuster'!G$46,0),0)</f>
        <v>-3.7309999999999945</v>
      </c>
      <c r="Q199" s="20">
        <f ca="1">P$199*Exogenous!AB$26/Exogenous!AA$26</f>
        <v>-4.0108249999999943</v>
      </c>
      <c r="R199" s="20">
        <f ca="1">Q$199*Exogenous!AC$26/Exogenous!AB$26</f>
        <v>-4.3116368749999934</v>
      </c>
      <c r="S199" s="20">
        <f ca="1">R$199*Exogenous!AD$26/Exogenous!AC$26</f>
        <v>-4.6350096406249941</v>
      </c>
      <c r="T199" s="20">
        <f ca="1">S$199*Exogenous!AE$26/Exogenous!AD$26</f>
        <v>-4.9826353636718679</v>
      </c>
      <c r="U199" s="20">
        <f ca="1">T$199*Exogenous!AF$26/Exogenous!AE$26</f>
        <v>-5.3563330159472562</v>
      </c>
      <c r="V199" s="20">
        <f ca="1">U$199*Exogenous!AG$26/Exogenous!AF$26</f>
        <v>-5.5766768128014501</v>
      </c>
      <c r="W199" s="20">
        <f ca="1">V$199*Exogenous!AH$26/Exogenous!AG$26</f>
        <v>-5.749865100571105</v>
      </c>
      <c r="X199" s="20">
        <f ca="1">W$199*Exogenous!AI$26/Exogenous!AH$26</f>
        <v>-5.932588574866565</v>
      </c>
      <c r="Y199" s="20">
        <f ca="1">X$199*Exogenous!AJ$26/Exogenous!AI$26</f>
        <v>-6.1268778237144259</v>
      </c>
      <c r="Z199" s="20">
        <f ca="1">Y$199*Exogenous!AK$26/Exogenous!AJ$26</f>
        <v>-6.3238607117571117</v>
      </c>
    </row>
    <row r="200" spans="1:26" x14ac:dyDescent="0.25">
      <c r="A200" s="11" t="s">
        <v>1250</v>
      </c>
      <c r="C200" s="15"/>
      <c r="D200" s="94">
        <f t="shared" ref="D200:K200" si="133">SUM(D$197:D$199)</f>
        <v>33.902000000000001</v>
      </c>
      <c r="E200" s="94">
        <f t="shared" si="133"/>
        <v>49.9</v>
      </c>
      <c r="F200" s="94">
        <f t="shared" si="133"/>
        <v>42.892000000000003</v>
      </c>
      <c r="G200" s="94">
        <f t="shared" si="133"/>
        <v>48.302999999999997</v>
      </c>
      <c r="H200" s="94">
        <f t="shared" si="133"/>
        <v>48.844999999999999</v>
      </c>
      <c r="I200" s="94">
        <f t="shared" si="133"/>
        <v>53.996000000000002</v>
      </c>
      <c r="J200" s="94">
        <f t="shared" si="133"/>
        <v>57.634999999999998</v>
      </c>
      <c r="K200" s="94">
        <f t="shared" si="133"/>
        <v>58.037999999999997</v>
      </c>
      <c r="L200" s="95">
        <f t="shared" ref="L200:Z200" ca="1" si="134">SUM(L$197:L$199)</f>
        <v>61.235999999999997</v>
      </c>
      <c r="M200" s="95">
        <f t="shared" ca="1" si="134"/>
        <v>63.616</v>
      </c>
      <c r="N200" s="95">
        <f t="shared" ca="1" si="134"/>
        <v>64.981999999999999</v>
      </c>
      <c r="O200" s="95">
        <f t="shared" ca="1" si="134"/>
        <v>66.945999999999998</v>
      </c>
      <c r="P200" s="95">
        <f t="shared" ca="1" si="134"/>
        <v>70.519000000000005</v>
      </c>
      <c r="Q200" s="96">
        <f t="shared" ca="1" si="134"/>
        <v>73.501227991599251</v>
      </c>
      <c r="R200" s="96">
        <f t="shared" ca="1" si="134"/>
        <v>76.599506533109547</v>
      </c>
      <c r="S200" s="96">
        <f t="shared" ca="1" si="134"/>
        <v>79.764761347344077</v>
      </c>
      <c r="T200" s="96">
        <f t="shared" ca="1" si="134"/>
        <v>82.954040959588639</v>
      </c>
      <c r="U200" s="96">
        <f t="shared" ca="1" si="134"/>
        <v>86.323388666672713</v>
      </c>
      <c r="V200" s="96">
        <f t="shared" ca="1" si="134"/>
        <v>89.920834085147646</v>
      </c>
      <c r="W200" s="96">
        <f t="shared" ca="1" si="134"/>
        <v>93.606721907559006</v>
      </c>
      <c r="X200" s="96">
        <f t="shared" ca="1" si="134"/>
        <v>97.340899125321954</v>
      </c>
      <c r="Y200" s="96">
        <f t="shared" ca="1" si="134"/>
        <v>101.06552860222382</v>
      </c>
      <c r="Z200" s="96">
        <f t="shared" ca="1" si="134"/>
        <v>104.87391147226754</v>
      </c>
    </row>
    <row r="201" spans="1:26" x14ac:dyDescent="0.25">
      <c r="A201" s="57" t="s">
        <v>1251</v>
      </c>
      <c r="C201" s="15"/>
      <c r="D201" s="12"/>
      <c r="E201" s="12"/>
      <c r="F201" s="12"/>
      <c r="G201" s="12"/>
      <c r="H201" s="12"/>
      <c r="I201" s="12"/>
      <c r="J201" s="12"/>
      <c r="K201" s="12"/>
      <c r="L201" s="12"/>
      <c r="M201" s="12"/>
      <c r="N201" s="12"/>
      <c r="O201" s="12"/>
      <c r="P201" s="12"/>
    </row>
    <row r="202" spans="1:26" x14ac:dyDescent="0.25">
      <c r="A202" s="12" t="s">
        <v>1252</v>
      </c>
      <c r="C202" s="15"/>
      <c r="D202" s="93">
        <f>'Economic Forecasts'!Q$18</f>
        <v>1205.79</v>
      </c>
      <c r="E202" s="93">
        <f>'Economic Forecasts'!R$18</f>
        <v>1241.4100000000001</v>
      </c>
      <c r="F202" s="93">
        <f>'Economic Forecasts'!S$18</f>
        <v>1287.81</v>
      </c>
      <c r="G202" s="93">
        <f>'Economic Forecasts'!T$18</f>
        <v>1360.1</v>
      </c>
      <c r="H202" s="93">
        <f>'Economic Forecasts'!U$18</f>
        <v>1462.81</v>
      </c>
      <c r="I202" s="93">
        <f>'Economic Forecasts'!V$18</f>
        <v>1556.16</v>
      </c>
      <c r="J202" s="93">
        <f>'Economic Forecasts'!W$18</f>
        <v>1622.73</v>
      </c>
      <c r="K202" s="93">
        <f>'Economic Forecasts'!X$18</f>
        <v>1681.06</v>
      </c>
      <c r="L202" s="73">
        <f>'Economic Forecasts'!Y$18</f>
        <v>1729.05</v>
      </c>
      <c r="M202" s="73">
        <f>'Economic Forecasts'!Z$18</f>
        <v>1777.06</v>
      </c>
      <c r="N202" s="73">
        <f>'Economic Forecasts'!AA$18</f>
        <v>1832.62</v>
      </c>
      <c r="O202" s="73">
        <f>'Economic Forecasts'!AB$18</f>
        <v>1893.64</v>
      </c>
      <c r="P202" s="73">
        <f>'Economic Forecasts'!AC$18</f>
        <v>1959.15</v>
      </c>
      <c r="Q202" s="72">
        <f t="shared" ref="Q202:Z202" ca="1" si="135">P$202*(1+Q$26)</f>
        <v>2020.1814407999998</v>
      </c>
      <c r="R202" s="72">
        <f t="shared" ca="1" si="135"/>
        <v>2082.1525266779804</v>
      </c>
      <c r="S202" s="72">
        <f t="shared" ca="1" si="135"/>
        <v>2145.0335329836553</v>
      </c>
      <c r="T202" s="72">
        <f t="shared" ca="1" si="135"/>
        <v>2209.8135456797618</v>
      </c>
      <c r="U202" s="72">
        <f t="shared" ca="1" si="135"/>
        <v>2276.5499147592905</v>
      </c>
      <c r="V202" s="72">
        <f t="shared" ca="1" si="135"/>
        <v>2345.3017221850209</v>
      </c>
      <c r="W202" s="72">
        <f t="shared" ca="1" si="135"/>
        <v>2416.1298341950087</v>
      </c>
      <c r="X202" s="72">
        <f t="shared" ca="1" si="135"/>
        <v>2489.0969551876979</v>
      </c>
      <c r="Y202" s="72">
        <f t="shared" ca="1" si="135"/>
        <v>2564.2676832343664</v>
      </c>
      <c r="Z202" s="72">
        <f t="shared" ca="1" si="135"/>
        <v>2641.7085672680441</v>
      </c>
    </row>
    <row r="203" spans="1:26" x14ac:dyDescent="0.25">
      <c r="A203" s="12" t="s">
        <v>788</v>
      </c>
      <c r="C203" s="15"/>
      <c r="D203" s="93">
        <f>'Economic Forecasts'!Q$19</f>
        <v>958.37</v>
      </c>
      <c r="E203" s="93">
        <f>'Economic Forecasts'!R$19</f>
        <v>987.95</v>
      </c>
      <c r="F203" s="93">
        <f>'Economic Forecasts'!S$19</f>
        <v>1018.53</v>
      </c>
      <c r="G203" s="93">
        <f>'Economic Forecasts'!T$19</f>
        <v>1066.06</v>
      </c>
      <c r="H203" s="93">
        <f>'Economic Forecasts'!U$19</f>
        <v>1132.5999999999999</v>
      </c>
      <c r="I203" s="93">
        <f>'Economic Forecasts'!V$19</f>
        <v>1192.4000000000001</v>
      </c>
      <c r="J203" s="93">
        <f>'Economic Forecasts'!W$19</f>
        <v>1255.05</v>
      </c>
      <c r="K203" s="93">
        <f>'Economic Forecasts'!X$19</f>
        <v>1291.58</v>
      </c>
      <c r="L203" s="73">
        <f>'Economic Forecasts'!Y$19</f>
        <v>1321.5</v>
      </c>
      <c r="M203" s="73">
        <f>'Economic Forecasts'!Z$19</f>
        <v>1352.79</v>
      </c>
      <c r="N203" s="73">
        <f>'Economic Forecasts'!AA$19</f>
        <v>1389.2</v>
      </c>
      <c r="O203" s="73">
        <f>'Economic Forecasts'!AB$19</f>
        <v>1428.97</v>
      </c>
      <c r="P203" s="73">
        <f>'Economic Forecasts'!AC$19</f>
        <v>1471.49</v>
      </c>
      <c r="Q203" s="72">
        <f ca="1">IF(Q$6&lt;OFFSET(Assumptions!$B$8,0,$C$1)+OFFSET(Assumptions!$B$34,0,$C$1),Q$202-ROUND(IF(ROUNDDOWN(52*Q$202,0)&gt;Exogenous!$C$61,(ROUNDDOWN(52*Q$202,0)-Exogenous!$C$61)*Exogenous!$B$62+Exogenous!$E$61,IF(ROUNDDOWN(52*Q$202,0)&gt;Exogenous!$C$60,(ROUNDDOWN(52*Q$202,0)-Exogenous!$C$60)*Exogenous!$B$61+Exogenous!$E$60,IF(ROUNDDOWN(52*Q$202,0)&gt;Exogenous!$C$59,(ROUNDDOWN(52*Q$202,0)-Exogenous!$C$59)*Exogenous!$B$60+Exogenous!$E$59,IF(ROUNDDOWN(52*Q$202,0)&gt;Exogenous!$C$58,(ROUNDDOWN(52*Q$202,0)-Exogenous!$C$58)*Exogenous!$B$59+Exogenous!$E$58,ROUNDDOWN(52*Q$202,0)*Exogenous!$B$58))))/52+Q$202*Exogenous!$B$63,2),ROUND(P$203*(1+Q$26),2))</f>
        <v>1517.33</v>
      </c>
      <c r="R203" s="72">
        <f ca="1">IF(R$6&lt;OFFSET(Assumptions!$B$8,0,$C$1)+OFFSET(Assumptions!$B$34,0,$C$1),R$202-ROUND(IF(ROUNDDOWN(52*R$202,0)&gt;Exogenous!$C$61,(ROUNDDOWN(52*R$202,0)-Exogenous!$C$61)*Exogenous!$B$62+Exogenous!$E$61,IF(ROUNDDOWN(52*R$202,0)&gt;Exogenous!$C$60,(ROUNDDOWN(52*R$202,0)-Exogenous!$C$60)*Exogenous!$B$61+Exogenous!$E$60,IF(ROUNDDOWN(52*R$202,0)&gt;Exogenous!$C$59,(ROUNDDOWN(52*R$202,0)-Exogenous!$C$59)*Exogenous!$B$60+Exogenous!$E$59,IF(ROUNDDOWN(52*R$202,0)&gt;Exogenous!$C$58,(ROUNDDOWN(52*R$202,0)-Exogenous!$C$58)*Exogenous!$B$59+Exogenous!$E$58,ROUNDDOWN(52*R$202,0)*Exogenous!$B$58))))/52+R$202*Exogenous!$B$63,2),ROUND(Q$203*(1+R$26),2))</f>
        <v>1563.88</v>
      </c>
      <c r="S203" s="72">
        <f ca="1">IF(S$6&lt;OFFSET(Assumptions!$B$8,0,$C$1)+OFFSET(Assumptions!$B$34,0,$C$1),S$202-ROUND(IF(ROUNDDOWN(52*S$202,0)&gt;Exogenous!$C$61,(ROUNDDOWN(52*S$202,0)-Exogenous!$C$61)*Exogenous!$B$62+Exogenous!$E$61,IF(ROUNDDOWN(52*S$202,0)&gt;Exogenous!$C$60,(ROUNDDOWN(52*S$202,0)-Exogenous!$C$60)*Exogenous!$B$61+Exogenous!$E$60,IF(ROUNDDOWN(52*S$202,0)&gt;Exogenous!$C$59,(ROUNDDOWN(52*S$202,0)-Exogenous!$C$59)*Exogenous!$B$60+Exogenous!$E$59,IF(ROUNDDOWN(52*S$202,0)&gt;Exogenous!$C$58,(ROUNDDOWN(52*S$202,0)-Exogenous!$C$58)*Exogenous!$B$59+Exogenous!$E$58,ROUNDDOWN(52*S$202,0)*Exogenous!$B$58))))/52+S$202*Exogenous!$B$63,2),ROUND(R$203*(1+S$26),2))</f>
        <v>1611.11</v>
      </c>
      <c r="T203" s="72">
        <f ca="1">IF(T$6&lt;OFFSET(Assumptions!$B$8,0,$C$1)+OFFSET(Assumptions!$B$34,0,$C$1),T$202-ROUND(IF(ROUNDDOWN(52*T$202,0)&gt;Exogenous!$C$61,(ROUNDDOWN(52*T$202,0)-Exogenous!$C$61)*Exogenous!$B$62+Exogenous!$E$61,IF(ROUNDDOWN(52*T$202,0)&gt;Exogenous!$C$60,(ROUNDDOWN(52*T$202,0)-Exogenous!$C$60)*Exogenous!$B$61+Exogenous!$E$60,IF(ROUNDDOWN(52*T$202,0)&gt;Exogenous!$C$59,(ROUNDDOWN(52*T$202,0)-Exogenous!$C$59)*Exogenous!$B$60+Exogenous!$E$59,IF(ROUNDDOWN(52*T$202,0)&gt;Exogenous!$C$58,(ROUNDDOWN(52*T$202,0)-Exogenous!$C$58)*Exogenous!$B$59+Exogenous!$E$58,ROUNDDOWN(52*T$202,0)*Exogenous!$B$58))))/52+T$202*Exogenous!$B$63,2),ROUND(S$203*(1+T$26),2))</f>
        <v>1659.77</v>
      </c>
      <c r="U203" s="72">
        <f ca="1">IF(U$6&lt;OFFSET(Assumptions!$B$8,0,$C$1)+OFFSET(Assumptions!$B$34,0,$C$1),U$202-ROUND(IF(ROUNDDOWN(52*U$202,0)&gt;Exogenous!$C$61,(ROUNDDOWN(52*U$202,0)-Exogenous!$C$61)*Exogenous!$B$62+Exogenous!$E$61,IF(ROUNDDOWN(52*U$202,0)&gt;Exogenous!$C$60,(ROUNDDOWN(52*U$202,0)-Exogenous!$C$60)*Exogenous!$B$61+Exogenous!$E$60,IF(ROUNDDOWN(52*U$202,0)&gt;Exogenous!$C$59,(ROUNDDOWN(52*U$202,0)-Exogenous!$C$59)*Exogenous!$B$60+Exogenous!$E$59,IF(ROUNDDOWN(52*U$202,0)&gt;Exogenous!$C$58,(ROUNDDOWN(52*U$202,0)-Exogenous!$C$58)*Exogenous!$B$59+Exogenous!$E$58,ROUNDDOWN(52*U$202,0)*Exogenous!$B$58))))/52+U$202*Exogenous!$B$63,2),ROUND(T$203*(1+U$26),2))</f>
        <v>1709.9</v>
      </c>
      <c r="V203" s="72">
        <f ca="1">IF(V$6&lt;OFFSET(Assumptions!$B$8,0,$C$1)+OFFSET(Assumptions!$B$34,0,$C$1),V$202-ROUND(IF(ROUNDDOWN(52*V$202,0)&gt;Exogenous!$C$61,(ROUNDDOWN(52*V$202,0)-Exogenous!$C$61)*Exogenous!$B$62+Exogenous!$E$61,IF(ROUNDDOWN(52*V$202,0)&gt;Exogenous!$C$60,(ROUNDDOWN(52*V$202,0)-Exogenous!$C$60)*Exogenous!$B$61+Exogenous!$E$60,IF(ROUNDDOWN(52*V$202,0)&gt;Exogenous!$C$59,(ROUNDDOWN(52*V$202,0)-Exogenous!$C$59)*Exogenous!$B$60+Exogenous!$E$59,IF(ROUNDDOWN(52*V$202,0)&gt;Exogenous!$C$58,(ROUNDDOWN(52*V$202,0)-Exogenous!$C$58)*Exogenous!$B$59+Exogenous!$E$58,ROUNDDOWN(52*V$202,0)*Exogenous!$B$58))))/52+V$202*Exogenous!$B$63,2),ROUND(U$203*(1+V$26),2))</f>
        <v>1761.54</v>
      </c>
      <c r="W203" s="72">
        <f ca="1">IF(W$6&lt;OFFSET(Assumptions!$B$8,0,$C$1)+OFFSET(Assumptions!$B$34,0,$C$1),W$202-ROUND(IF(ROUNDDOWN(52*W$202,0)&gt;Exogenous!$C$61,(ROUNDDOWN(52*W$202,0)-Exogenous!$C$61)*Exogenous!$B$62+Exogenous!$E$61,IF(ROUNDDOWN(52*W$202,0)&gt;Exogenous!$C$60,(ROUNDDOWN(52*W$202,0)-Exogenous!$C$60)*Exogenous!$B$61+Exogenous!$E$60,IF(ROUNDDOWN(52*W$202,0)&gt;Exogenous!$C$59,(ROUNDDOWN(52*W$202,0)-Exogenous!$C$59)*Exogenous!$B$60+Exogenous!$E$59,IF(ROUNDDOWN(52*W$202,0)&gt;Exogenous!$C$58,(ROUNDDOWN(52*W$202,0)-Exogenous!$C$58)*Exogenous!$B$59+Exogenous!$E$58,ROUNDDOWN(52*W$202,0)*Exogenous!$B$58))))/52+W$202*Exogenous!$B$63,2),ROUND(V$203*(1+W$26),2))</f>
        <v>1814.74</v>
      </c>
      <c r="X203" s="72">
        <f ca="1">IF(X$6&lt;OFFSET(Assumptions!$B$8,0,$C$1)+OFFSET(Assumptions!$B$34,0,$C$1),X$202-ROUND(IF(ROUNDDOWN(52*X$202,0)&gt;Exogenous!$C$61,(ROUNDDOWN(52*X$202,0)-Exogenous!$C$61)*Exogenous!$B$62+Exogenous!$E$61,IF(ROUNDDOWN(52*X$202,0)&gt;Exogenous!$C$60,(ROUNDDOWN(52*X$202,0)-Exogenous!$C$60)*Exogenous!$B$61+Exogenous!$E$60,IF(ROUNDDOWN(52*X$202,0)&gt;Exogenous!$C$59,(ROUNDDOWN(52*X$202,0)-Exogenous!$C$59)*Exogenous!$B$60+Exogenous!$E$59,IF(ROUNDDOWN(52*X$202,0)&gt;Exogenous!$C$58,(ROUNDDOWN(52*X$202,0)-Exogenous!$C$58)*Exogenous!$B$59+Exogenous!$E$58,ROUNDDOWN(52*X$202,0)*Exogenous!$B$58))))/52+X$202*Exogenous!$B$63,2),ROUND(W$203*(1+X$26),2))</f>
        <v>1869.55</v>
      </c>
      <c r="Y203" s="72">
        <f ca="1">IF(Y$6&lt;OFFSET(Assumptions!$B$8,0,$C$1)+OFFSET(Assumptions!$B$34,0,$C$1),Y$202-ROUND(IF(ROUNDDOWN(52*Y$202,0)&gt;Exogenous!$C$61,(ROUNDDOWN(52*Y$202,0)-Exogenous!$C$61)*Exogenous!$B$62+Exogenous!$E$61,IF(ROUNDDOWN(52*Y$202,0)&gt;Exogenous!$C$60,(ROUNDDOWN(52*Y$202,0)-Exogenous!$C$60)*Exogenous!$B$61+Exogenous!$E$60,IF(ROUNDDOWN(52*Y$202,0)&gt;Exogenous!$C$59,(ROUNDDOWN(52*Y$202,0)-Exogenous!$C$59)*Exogenous!$B$60+Exogenous!$E$59,IF(ROUNDDOWN(52*Y$202,0)&gt;Exogenous!$C$58,(ROUNDDOWN(52*Y$202,0)-Exogenous!$C$58)*Exogenous!$B$59+Exogenous!$E$58,ROUNDDOWN(52*Y$202,0)*Exogenous!$B$58))))/52+Y$202*Exogenous!$B$63,2),ROUND(X$203*(1+Y$26),2))</f>
        <v>1926.01</v>
      </c>
      <c r="Z203" s="72">
        <f ca="1">IF(Z$6&lt;OFFSET(Assumptions!$B$8,0,$C$1)+OFFSET(Assumptions!$B$34,0,$C$1),Z$202-ROUND(IF(ROUNDDOWN(52*Z$202,0)&gt;Exogenous!$C$61,(ROUNDDOWN(52*Z$202,0)-Exogenous!$C$61)*Exogenous!$B$62+Exogenous!$E$61,IF(ROUNDDOWN(52*Z$202,0)&gt;Exogenous!$C$60,(ROUNDDOWN(52*Z$202,0)-Exogenous!$C$60)*Exogenous!$B$61+Exogenous!$E$60,IF(ROUNDDOWN(52*Z$202,0)&gt;Exogenous!$C$59,(ROUNDDOWN(52*Z$202,0)-Exogenous!$C$59)*Exogenous!$B$60+Exogenous!$E$59,IF(ROUNDDOWN(52*Z$202,0)&gt;Exogenous!$C$58,(ROUNDDOWN(52*Z$202,0)-Exogenous!$C$58)*Exogenous!$B$59+Exogenous!$E$58,ROUNDDOWN(52*Z$202,0)*Exogenous!$B$58))))/52+Z$202*Exogenous!$B$63,2),ROUND(Y$203*(1+Z$26),2))</f>
        <v>1984.18</v>
      </c>
    </row>
    <row r="204" spans="1:26" x14ac:dyDescent="0.25">
      <c r="A204" s="12" t="s">
        <v>789</v>
      </c>
      <c r="C204" s="15"/>
      <c r="D204" s="93">
        <f>'Economic Forecasts'!Q$20</f>
        <v>360.42</v>
      </c>
      <c r="E204" s="93">
        <f>'Economic Forecasts'!R$20</f>
        <v>372.27</v>
      </c>
      <c r="F204" s="93">
        <f>'Economic Forecasts'!S$20</f>
        <v>384.46</v>
      </c>
      <c r="G204" s="93">
        <f>'Economic Forecasts'!T$20</f>
        <v>408.66</v>
      </c>
      <c r="H204" s="93">
        <f>'Economic Forecasts'!U$20</f>
        <v>439.79</v>
      </c>
      <c r="I204" s="93">
        <f>'Economic Forecasts'!V$20</f>
        <v>461.41</v>
      </c>
      <c r="J204" s="93">
        <f>'Economic Forecasts'!W$20</f>
        <v>476.47</v>
      </c>
      <c r="K204" s="93">
        <f>'Economic Forecasts'!X$20</f>
        <v>492.14</v>
      </c>
      <c r="L204" s="73">
        <f>'Economic Forecasts'!Y$20</f>
        <v>510.24</v>
      </c>
      <c r="M204" s="73">
        <f>'Economic Forecasts'!Z$20</f>
        <v>519.77</v>
      </c>
      <c r="N204" s="73">
        <f>'Economic Forecasts'!AA$20</f>
        <v>531.32000000000005</v>
      </c>
      <c r="O204" s="73">
        <f>'Economic Forecasts'!AB$20</f>
        <v>546.11</v>
      </c>
      <c r="P204" s="73">
        <f>'Economic Forecasts'!AC$20</f>
        <v>563.11</v>
      </c>
      <c r="Q204" s="72">
        <f ca="1">IF(Q$6&lt;OFFSET(Assumptions!$B$8,0,$C$1)+OFFSET(Assumptions!$B$34,0,$C$1),IF(52*Q$205&gt;Exogenous!$D$61,(52*Q$205-Exogenous!$C$61*Exogenous!$B$62+Exogenous!$E$61)/(1-Exogenous!$B$62),IF(52*Q$205&gt;Exogenous!$D$60,(52*Q$205-Exogenous!$C$60*Exogenous!$B$61+Exogenous!$E$60)/(1-Exogenous!$B$61),IF(52*Q$205&gt;Exogenous!$D$59,(52*Q$205-Exogenous!$C$59*Exogenous!$B$60+Exogenous!$E$59)/(1-Exogenous!$B$60),IF(52*Q$205&gt;Exogenous!$D$58,(52*Q$205-Exogenous!$C$58*Exogenous!$B$59+Exogenous!$E$58)/(1-Exogenous!$B$59),52*Q$205/(1-Exogenous!$B$58)))))/52,P$204*Q$205/P$205)</f>
        <v>580.65409044461387</v>
      </c>
      <c r="R204" s="72">
        <f ca="1">IF(R$6&lt;OFFSET(Assumptions!$B$8,0,$C$1)+OFFSET(Assumptions!$B$34,0,$C$1),IF(52*R$205&gt;Exogenous!$D$61,(52*R$205-Exogenous!$C$61*Exogenous!$B$62+Exogenous!$E$61)/(1-Exogenous!$B$62),IF(52*R$205&gt;Exogenous!$D$60,(52*R$205-Exogenous!$C$60*Exogenous!$B$61+Exogenous!$E$60)/(1-Exogenous!$B$61),IF(52*R$205&gt;Exogenous!$D$59,(52*R$205-Exogenous!$C$59*Exogenous!$B$60+Exogenous!$E$59)/(1-Exogenous!$B$60),IF(52*R$205&gt;Exogenous!$D$58,(52*R$205-Exogenous!$C$58*Exogenous!$B$59+Exogenous!$E$58)/(1-Exogenous!$B$59),52*R$205/(1-Exogenous!$B$58)))))/52,Q$204*R$205/Q$205)</f>
        <v>598.46791335076932</v>
      </c>
      <c r="S204" s="72">
        <f ca="1">IF(S$6&lt;OFFSET(Assumptions!$B$8,0,$C$1)+OFFSET(Assumptions!$B$34,0,$C$1),IF(52*S$205&gt;Exogenous!$D$61,(52*S$205-Exogenous!$C$61*Exogenous!$B$62+Exogenous!$E$61)/(1-Exogenous!$B$62),IF(52*S$205&gt;Exogenous!$D$60,(52*S$205-Exogenous!$C$60*Exogenous!$B$61+Exogenous!$E$60)/(1-Exogenous!$B$61),IF(52*S$205&gt;Exogenous!$D$59,(52*S$205-Exogenous!$C$59*Exogenous!$B$60+Exogenous!$E$59)/(1-Exogenous!$B$60),IF(52*S$205&gt;Exogenous!$D$58,(52*S$205-Exogenous!$C$58*Exogenous!$B$59+Exogenous!$E$58)/(1-Exogenous!$B$59),52*S$205/(1-Exogenous!$B$58)))))/52,R$204*S$205/R$205)</f>
        <v>616.54195966350221</v>
      </c>
      <c r="T204" s="72">
        <f ca="1">IF(T$6&lt;OFFSET(Assumptions!$B$8,0,$C$1)+OFFSET(Assumptions!$B$34,0,$C$1),IF(52*T$205&gt;Exogenous!$D$61,(52*T$205-Exogenous!$C$61*Exogenous!$B$62+Exogenous!$E$61)/(1-Exogenous!$B$62),IF(52*T$205&gt;Exogenous!$D$60,(52*T$205-Exogenous!$C$60*Exogenous!$B$61+Exogenous!$E$60)/(1-Exogenous!$B$61),IF(52*T$205&gt;Exogenous!$D$59,(52*T$205-Exogenous!$C$59*Exogenous!$B$60+Exogenous!$E$59)/(1-Exogenous!$B$60),IF(52*T$205&gt;Exogenous!$D$58,(52*T$205-Exogenous!$C$58*Exogenous!$B$59+Exogenous!$E$58)/(1-Exogenous!$B$59),52*T$205/(1-Exogenous!$B$58)))))/52,S$204*T$205/S$205)</f>
        <v>635.16324049300863</v>
      </c>
      <c r="U204" s="72">
        <f ca="1">IF(U$6&lt;OFFSET(Assumptions!$B$8,0,$C$1)+OFFSET(Assumptions!$B$34,0,$C$1),IF(52*U$205&gt;Exogenous!$D$61,(52*U$205-Exogenous!$C$61*Exogenous!$B$62+Exogenous!$E$61)/(1-Exogenous!$B$62),IF(52*U$205&gt;Exogenous!$D$60,(52*U$205-Exogenous!$C$60*Exogenous!$B$61+Exogenous!$E$60)/(1-Exogenous!$B$61),IF(52*U$205&gt;Exogenous!$D$59,(52*U$205-Exogenous!$C$59*Exogenous!$B$60+Exogenous!$E$59)/(1-Exogenous!$B$60),IF(52*U$205&gt;Exogenous!$D$58,(52*U$205-Exogenous!$C$58*Exogenous!$B$59+Exogenous!$E$58)/(1-Exogenous!$B$59),52*U$205/(1-Exogenous!$B$58)))))/52,T$204*U$205/T$205)</f>
        <v>654.34706309849889</v>
      </c>
      <c r="V204" s="72">
        <f ca="1">IF(V$6&lt;OFFSET(Assumptions!$B$8,0,$C$1)+OFFSET(Assumptions!$B$34,0,$C$1),IF(52*V$205&gt;Exogenous!$D$61,(52*V$205-Exogenous!$C$61*Exogenous!$B$62+Exogenous!$E$61)/(1-Exogenous!$B$62),IF(52*V$205&gt;Exogenous!$D$60,(52*V$205-Exogenous!$C$60*Exogenous!$B$61+Exogenous!$E$60)/(1-Exogenous!$B$61),IF(52*V$205&gt;Exogenous!$D$59,(52*V$205-Exogenous!$C$59*Exogenous!$B$60+Exogenous!$E$59)/(1-Exogenous!$B$60),IF(52*V$205&gt;Exogenous!$D$58,(52*V$205-Exogenous!$C$58*Exogenous!$B$59+Exogenous!$E$58)/(1-Exogenous!$B$59),52*V$205/(1-Exogenous!$B$58)))))/52,U$204*V$205/U$205)</f>
        <v>674.10873473918343</v>
      </c>
      <c r="W204" s="72">
        <f ca="1">IF(W$6&lt;OFFSET(Assumptions!$B$8,0,$C$1)+OFFSET(Assumptions!$B$34,0,$C$1),IF(52*W$205&gt;Exogenous!$D$61,(52*W$205-Exogenous!$C$61*Exogenous!$B$62+Exogenous!$E$61)/(1-Exogenous!$B$62),IF(52*W$205&gt;Exogenous!$D$60,(52*W$205-Exogenous!$C$60*Exogenous!$B$61+Exogenous!$E$60)/(1-Exogenous!$B$61),IF(52*W$205&gt;Exogenous!$D$59,(52*W$205-Exogenous!$C$59*Exogenous!$B$60+Exogenous!$E$59)/(1-Exogenous!$B$60),IF(52*W$205&gt;Exogenous!$D$58,(52*W$205-Exogenous!$C$58*Exogenous!$B$59+Exogenous!$E$58)/(1-Exogenous!$B$59),52*W$205/(1-Exogenous!$B$58)))))/52,V$204*W$205/V$205)</f>
        <v>694.46738948907523</v>
      </c>
      <c r="X204" s="72">
        <f ca="1">IF(X$6&lt;OFFSET(Assumptions!$B$8,0,$C$1)+OFFSET(Assumptions!$B$34,0,$C$1),IF(52*X$205&gt;Exogenous!$D$61,(52*X$205-Exogenous!$C$61*Exogenous!$B$62+Exogenous!$E$61)/(1-Exogenous!$B$62),IF(52*X$205&gt;Exogenous!$D$60,(52*X$205-Exogenous!$C$60*Exogenous!$B$61+Exogenous!$E$60)/(1-Exogenous!$B$61),IF(52*X$205&gt;Exogenous!$D$59,(52*X$205-Exogenous!$C$59*Exogenous!$B$60+Exogenous!$E$59)/(1-Exogenous!$B$60),IF(52*X$205&gt;Exogenous!$D$58,(52*X$205-Exogenous!$C$58*Exogenous!$B$59+Exogenous!$E$58)/(1-Exogenous!$B$59),52*X$205/(1-Exogenous!$B$58)))))/52,W$204*X$205/W$205)</f>
        <v>715.44216142218761</v>
      </c>
      <c r="Y204" s="72">
        <f ca="1">IF(Y$6&lt;OFFSET(Assumptions!$B$8,0,$C$1)+OFFSET(Assumptions!$B$34,0,$C$1),IF(52*Y$205&gt;Exogenous!$D$61,(52*Y$205-Exogenous!$C$61*Exogenous!$B$62+Exogenous!$E$61)/(1-Exogenous!$B$62),IF(52*Y$205&gt;Exogenous!$D$60,(52*Y$205-Exogenous!$C$60*Exogenous!$B$61+Exogenous!$E$60)/(1-Exogenous!$B$61),IF(52*Y$205&gt;Exogenous!$D$59,(52*Y$205-Exogenous!$C$59*Exogenous!$B$60+Exogenous!$E$59)/(1-Exogenous!$B$60),IF(52*Y$205&gt;Exogenous!$D$58,(52*Y$205-Exogenous!$C$58*Exogenous!$B$59+Exogenous!$E$58)/(1-Exogenous!$B$59),52*Y$205/(1-Exogenous!$B$58)))))/52,X$204*Y$205/X$205)</f>
        <v>737.04835779773077</v>
      </c>
      <c r="Z204" s="72">
        <f ca="1">IF(Z$6&lt;OFFSET(Assumptions!$B$8,0,$C$1)+OFFSET(Assumptions!$B$34,0,$C$1),IF(52*Z$205&gt;Exogenous!$D$61,(52*Z$205-Exogenous!$C$61*Exogenous!$B$62+Exogenous!$E$61)/(1-Exogenous!$B$62),IF(52*Z$205&gt;Exogenous!$D$60,(52*Z$205-Exogenous!$C$60*Exogenous!$B$61+Exogenous!$E$60)/(1-Exogenous!$B$61),IF(52*Z$205&gt;Exogenous!$D$59,(52*Z$205-Exogenous!$C$59*Exogenous!$B$60+Exogenous!$E$59)/(1-Exogenous!$B$60),IF(52*Z$205&gt;Exogenous!$D$58,(52*Z$205-Exogenous!$C$58*Exogenous!$B$59+Exogenous!$E$58)/(1-Exogenous!$B$59),52*Z$205/(1-Exogenous!$B$58)))))/52,Y$204*Z$205/Y$205)</f>
        <v>759.30893950452048</v>
      </c>
    </row>
    <row r="205" spans="1:26" x14ac:dyDescent="0.25">
      <c r="A205" s="12" t="s">
        <v>790</v>
      </c>
      <c r="C205" s="15"/>
      <c r="D205" s="93">
        <f>'Economic Forecasts'!Q$21</f>
        <v>316.27</v>
      </c>
      <c r="E205" s="93">
        <f>'Economic Forecasts'!R$21</f>
        <v>326.02</v>
      </c>
      <c r="F205" s="93">
        <f>'Economic Forecasts'!S$21</f>
        <v>336.11</v>
      </c>
      <c r="G205" s="93">
        <f>'Economic Forecasts'!T$21</f>
        <v>356.11</v>
      </c>
      <c r="H205" s="93">
        <f>'Economic Forecasts'!U$21</f>
        <v>381.82</v>
      </c>
      <c r="I205" s="93">
        <f>'Economic Forecasts'!V$21</f>
        <v>399.59</v>
      </c>
      <c r="J205" s="93">
        <f>'Economic Forecasts'!W$21</f>
        <v>414.17</v>
      </c>
      <c r="K205" s="93">
        <f>'Economic Forecasts'!X$21</f>
        <v>427.04</v>
      </c>
      <c r="L205" s="73">
        <f>'Economic Forecasts'!Y$21</f>
        <v>441.99</v>
      </c>
      <c r="M205" s="73">
        <f>'Economic Forecasts'!Z$21</f>
        <v>449.95</v>
      </c>
      <c r="N205" s="73">
        <f>'Economic Forecasts'!AA$21</f>
        <v>459.4</v>
      </c>
      <c r="O205" s="73">
        <f>'Economic Forecasts'!AB$21</f>
        <v>471.56</v>
      </c>
      <c r="P205" s="73">
        <f>'Economic Forecasts'!AC$21</f>
        <v>485.59</v>
      </c>
      <c r="Q205" s="72">
        <f ca="1">IF(2*P$205*(1+Q$29)&gt;OFFSET(Assumptions!$B$36,0,$C$1)*Q$203,OFFSET(Assumptions!$B$36,0,$C$1)*Q$203,IF(2*P$205*(1+Q$29)&lt;OFFSET(Assumptions!$B$35,0,$C$1)*Q$203,OFFSET(Assumptions!$B$35,0,$C$1)*Q$203,2*P$205*(1+Q$29)))/2</f>
        <v>500.71890000000002</v>
      </c>
      <c r="R205" s="72">
        <f ca="1">IF(2*Q$205*(1+R$29)&gt;OFFSET(Assumptions!$B$36,0,$C$1)*R$203,OFFSET(Assumptions!$B$36,0,$C$1)*R$203,IF(2*Q$205*(1+R$29)&lt;OFFSET(Assumptions!$B$35,0,$C$1)*R$203,OFFSET(Assumptions!$B$35,0,$C$1)*R$203,2*Q$205*(1+R$29)))/2</f>
        <v>516.08040000000005</v>
      </c>
      <c r="S205" s="72">
        <f ca="1">IF(2*R$205*(1+S$29)&gt;OFFSET(Assumptions!$B$36,0,$C$1)*S$203,OFFSET(Assumptions!$B$36,0,$C$1)*S$203,IF(2*R$205*(1+S$29)&lt;OFFSET(Assumptions!$B$35,0,$C$1)*S$203,OFFSET(Assumptions!$B$35,0,$C$1)*S$203,2*R$205*(1+S$29)))/2</f>
        <v>531.66629999999998</v>
      </c>
      <c r="T205" s="72">
        <f ca="1">IF(2*S$205*(1+T$29)&gt;OFFSET(Assumptions!$B$36,0,$C$1)*T$203,OFFSET(Assumptions!$B$36,0,$C$1)*T$203,IF(2*S$205*(1+T$29)&lt;OFFSET(Assumptions!$B$35,0,$C$1)*T$203,OFFSET(Assumptions!$B$35,0,$C$1)*T$203,2*S$205*(1+T$29)))/2</f>
        <v>547.72410000000002</v>
      </c>
      <c r="U205" s="72">
        <f ca="1">IF(2*T$205*(1+U$29)&gt;OFFSET(Assumptions!$B$36,0,$C$1)*U$203,OFFSET(Assumptions!$B$36,0,$C$1)*U$203,IF(2*T$205*(1+U$29)&lt;OFFSET(Assumptions!$B$35,0,$C$1)*U$203,OFFSET(Assumptions!$B$35,0,$C$1)*U$203,2*T$205*(1+U$29)))/2</f>
        <v>564.26700000000005</v>
      </c>
      <c r="V205" s="72">
        <f ca="1">IF(2*U$205*(1+V$29)&gt;OFFSET(Assumptions!$B$36,0,$C$1)*V$203,OFFSET(Assumptions!$B$36,0,$C$1)*V$203,IF(2*U$205*(1+V$29)&lt;OFFSET(Assumptions!$B$35,0,$C$1)*V$203,OFFSET(Assumptions!$B$35,0,$C$1)*V$203,2*U$205*(1+V$29)))/2</f>
        <v>581.30820000000006</v>
      </c>
      <c r="W205" s="72">
        <f ca="1">IF(2*V$205*(1+W$29)&gt;OFFSET(Assumptions!$B$36,0,$C$1)*W$203,OFFSET(Assumptions!$B$36,0,$C$1)*W$203,IF(2*V$205*(1+W$29)&lt;OFFSET(Assumptions!$B$35,0,$C$1)*W$203,OFFSET(Assumptions!$B$35,0,$C$1)*W$203,2*V$205*(1+W$29)))/2</f>
        <v>598.86419999999998</v>
      </c>
      <c r="X205" s="72">
        <f ca="1">IF(2*W$205*(1+X$29)&gt;OFFSET(Assumptions!$B$36,0,$C$1)*X$203,OFFSET(Assumptions!$B$36,0,$C$1)*X$203,IF(2*W$205*(1+X$29)&lt;OFFSET(Assumptions!$B$35,0,$C$1)*X$203,OFFSET(Assumptions!$B$35,0,$C$1)*X$203,2*W$205*(1+X$29)))/2</f>
        <v>616.95150000000001</v>
      </c>
      <c r="Y205" s="72">
        <f ca="1">IF(2*X$205*(1+Y$29)&gt;OFFSET(Assumptions!$B$36,0,$C$1)*Y$203,OFFSET(Assumptions!$B$36,0,$C$1)*Y$203,IF(2*X$205*(1+Y$29)&lt;OFFSET(Assumptions!$B$35,0,$C$1)*Y$203,OFFSET(Assumptions!$B$35,0,$C$1)*Y$203,2*X$205*(1+Y$29)))/2</f>
        <v>635.58330000000001</v>
      </c>
      <c r="Z205" s="72">
        <f ca="1">IF(2*Y$205*(1+Z$29)&gt;OFFSET(Assumptions!$B$36,0,$C$1)*Z$203,OFFSET(Assumptions!$B$36,0,$C$1)*Z$203,IF(2*Y$205*(1+Z$29)&lt;OFFSET(Assumptions!$B$35,0,$C$1)*Z$203,OFFSET(Assumptions!$B$35,0,$C$1)*Z$203,2*Y$205*(1+Z$29)))/2</f>
        <v>654.77940000000001</v>
      </c>
    </row>
    <row r="207" spans="1:26" x14ac:dyDescent="0.25">
      <c r="A207" s="11" t="s">
        <v>871</v>
      </c>
    </row>
    <row r="208" spans="1:26" x14ac:dyDescent="0.25">
      <c r="A208" s="11" t="s">
        <v>1253</v>
      </c>
      <c r="B208" s="14" t="str">
        <f>$B$38</f>
        <v>From Fiscal Forecasts</v>
      </c>
      <c r="D208" s="51">
        <f>'Fiscal Forecasts'!D$171</f>
        <v>7.7939999999999996</v>
      </c>
      <c r="E208" s="51">
        <f>'Fiscal Forecasts'!E$171</f>
        <v>8.48</v>
      </c>
      <c r="F208" s="51">
        <f>'Fiscal Forecasts'!F$171</f>
        <v>9.3580000000000005</v>
      </c>
      <c r="G208" s="51">
        <f>'Fiscal Forecasts'!G$171</f>
        <v>9.9450000000000003</v>
      </c>
      <c r="H208" s="51">
        <f>'Fiscal Forecasts'!H$171</f>
        <v>10.449</v>
      </c>
      <c r="I208" s="51">
        <f>'Fiscal Forecasts'!I$171</f>
        <v>11.26</v>
      </c>
      <c r="J208" s="51">
        <f>'Fiscal Forecasts'!J$171</f>
        <v>11.185</v>
      </c>
      <c r="K208" s="51">
        <f>'Fiscal Forecasts'!K$171</f>
        <v>11.682</v>
      </c>
      <c r="L208" s="47">
        <f>'Fiscal Forecasts'!L$171</f>
        <v>12.255000000000001</v>
      </c>
      <c r="M208" s="47">
        <f>'Fiscal Forecasts'!M$171</f>
        <v>12.164999999999999</v>
      </c>
      <c r="N208" s="47">
        <f>'Fiscal Forecasts'!N$171</f>
        <v>12.157999999999999</v>
      </c>
      <c r="O208" s="47">
        <f>'Fiscal Forecasts'!O$171</f>
        <v>12.071</v>
      </c>
      <c r="P208" s="47">
        <f>'Fiscal Forecasts'!P$171</f>
        <v>12.128</v>
      </c>
      <c r="Q208" s="21">
        <f ca="1">SUM(Q$252,IF(Q$6=OFFSET(Assumptions!$B$8,0,$C$1),AVERAGE((N$208-N$252)/SUM(N$208,N$215,N$223,-N$252,-N$324),(O$208-O$252)/SUM(O$208,O$215,O$223,-O$252,-O$324),(P$208-P$252)/SUM(P$208,P$215,P$223,-P$252,-P$324)),(P$208-P$252)/SUM(P$208,P$215,P$223,-P$252,-P$324))*(Q$323-Q$256-Q$264))</f>
        <v>12.760540852212324</v>
      </c>
      <c r="R208" s="21">
        <f ca="1">SUM(R$252,IF(R$6=OFFSET(Assumptions!$B$8,0,$C$1),AVERAGE((O$208-O$252)/SUM(O$208,O$215,O$223,-O$252,-O$324),(P$208-P$252)/SUM(P$208,P$215,P$223,-P$252,-P$324),(Q$208-Q$252)/SUM(Q$208,Q$215,Q$223,-Q$252,-Q$324)),(Q$208-Q$252)/SUM(Q$208,Q$215,Q$223,-Q$252,-Q$324))*(R$323-R$256-R$264))</f>
        <v>12.758421738638912</v>
      </c>
      <c r="S208" s="21">
        <f ca="1">SUM(S$252,IF(S$6=OFFSET(Assumptions!$B$8,0,$C$1),AVERAGE((P$208-P$252)/SUM(P$208,P$215,P$223,-P$252,-P$324),(Q$208-Q$252)/SUM(Q$208,Q$215,Q$223,-Q$252,-Q$324),(R$208-R$252)/SUM(R$208,R$215,R$223,-R$252,-R$324)),(R$208-R$252)/SUM(R$208,R$215,R$223,-R$252,-R$324))*(S$323-S$256-S$264))</f>
        <v>12.756302625065507</v>
      </c>
      <c r="T208" s="21">
        <f ca="1">SUM(T$252,IF(T$6=OFFSET(Assumptions!$B$8,0,$C$1),AVERAGE((Q$208-Q$252)/SUM(Q$208,Q$215,Q$223,-Q$252,-Q$324),(R$208-R$252)/SUM(R$208,R$215,R$223,-R$252,-R$324),(S$208-S$252)/SUM(S$208,S$215,S$223,-S$252,-S$324)),(S$208-S$252)/SUM(S$208,S$215,S$223,-S$252,-S$324))*(T$323-T$256-T$264))</f>
        <v>12.754058857752476</v>
      </c>
      <c r="U208" s="21">
        <f ca="1">SUM(U$252,IF(U$6=OFFSET(Assumptions!$B$8,0,$C$1),AVERAGE((R$208-R$252)/SUM(R$208,R$215,R$223,-R$252,-R$324),(S$208-S$252)/SUM(S$208,S$215,S$223,-S$252,-S$324),(T$208-T$252)/SUM(T$208,T$215,T$223,-T$252,-T$324)),(T$208-T$252)/SUM(T$208,T$215,T$223,-T$252,-T$324))*(U$323-U$256-U$264))</f>
        <v>12.752064397918684</v>
      </c>
      <c r="V208" s="21">
        <f ca="1">SUM(V$252,IF(V$6=OFFSET(Assumptions!$B$8,0,$C$1),AVERAGE((S$208-S$252)/SUM(S$208,S$215,S$223,-S$252,-S$324),(T$208-T$252)/SUM(T$208,T$215,T$223,-T$252,-T$324),(U$208-U$252)/SUM(U$208,U$215,U$223,-U$252,-U$324)),(U$208-U$252)/SUM(U$208,U$215,U$223,-U$252,-U$324))*(V$323-V$256-V$264))</f>
        <v>12.750069938084883</v>
      </c>
      <c r="W208" s="21">
        <f ca="1">SUM(W$252,IF(W$6=OFFSET(Assumptions!$B$8,0,$C$1),AVERAGE((T$208-T$252)/SUM(T$208,T$215,T$223,-T$252,-T$324),(U$208-U$252)/SUM(U$208,U$215,U$223,-U$252,-U$324),(V$208-V$252)/SUM(V$208,V$215,V$223,-V$252,-V$324)),(V$208-V$252)/SUM(V$208,V$215,V$223,-V$252,-V$324))*(W$323-W$256-W$264))</f>
        <v>12.74795082451147</v>
      </c>
      <c r="X208" s="21">
        <f ca="1">SUM(X$252,IF(X$6=OFFSET(Assumptions!$B$8,0,$C$1),AVERAGE((U$208-U$252)/SUM(U$208,U$215,U$223,-U$252,-U$324),(V$208-V$252)/SUM(V$208,V$215,V$223,-V$252,-V$324),(W$208-W$252)/SUM(W$208,W$215,W$223,-W$252,-W$324)),(W$208-W$252)/SUM(W$208,W$215,W$223,-W$252,-W$324))*(X$323-X$256-X$264))</f>
        <v>12.745831710938065</v>
      </c>
      <c r="Y208" s="21">
        <f ca="1">SUM(Y$252,IF(Y$6=OFFSET(Assumptions!$B$8,0,$C$1),AVERAGE((V$208-V$252)/SUM(V$208,V$215,V$223,-V$252,-V$324),(W$208-W$252)/SUM(W$208,W$215,W$223,-W$252,-W$324),(X$208-X$252)/SUM(X$208,X$215,X$223,-X$252,-X$324)),(X$208-X$252)/SUM(X$208,X$215,X$223,-X$252,-X$324))*(Y$323-Y$256-Y$264))</f>
        <v>12.743961904843879</v>
      </c>
      <c r="Z208" s="21">
        <f ca="1">SUM(Z$252,IF(Z$6=OFFSET(Assumptions!$B$8,0,$C$1),AVERAGE((W$208-W$252)/SUM(W$208,W$215,W$223,-W$252,-W$324),(X$208-X$252)/SUM(X$208,X$215,X$223,-X$252,-X$324),(Y$208-Y$252)/SUM(Y$208,Y$215,Y$223,-Y$252,-Y$324)),(Y$208-Y$252)/SUM(Y$208,Y$215,Y$223,-Y$252,-Y$324))*(Z$323-Z$256-Z$264))</f>
        <v>12.742092098749703</v>
      </c>
    </row>
    <row r="209" spans="1:26" x14ac:dyDescent="0.25">
      <c r="A209" s="12" t="s">
        <v>1020</v>
      </c>
      <c r="B209" s="14" t="str">
        <f>$B$38</f>
        <v>From Fiscal Forecasts</v>
      </c>
      <c r="D209" s="50">
        <f>'Fiscal Forecasts'!D$255</f>
        <v>15.085000000000001</v>
      </c>
      <c r="E209" s="50">
        <f>'Fiscal Forecasts'!E$255</f>
        <v>16.317</v>
      </c>
      <c r="F209" s="50">
        <f>'Fiscal Forecasts'!F$255</f>
        <v>17.928999999999998</v>
      </c>
      <c r="G209" s="50">
        <f>'Fiscal Forecasts'!G$255</f>
        <v>19.896999999999998</v>
      </c>
      <c r="H209" s="50">
        <f>'Fiscal Forecasts'!H$255</f>
        <v>22.326000000000001</v>
      </c>
      <c r="I209" s="50">
        <f>'Fiscal Forecasts'!I$255</f>
        <v>24.337</v>
      </c>
      <c r="J209" s="50">
        <f>'Fiscal Forecasts'!J$255</f>
        <v>23.951000000000001</v>
      </c>
      <c r="K209" s="50">
        <f>'Fiscal Forecasts'!K$255</f>
        <v>25.045000000000002</v>
      </c>
      <c r="L209" s="48">
        <f>'Fiscal Forecasts'!L$255</f>
        <v>25.934999999999999</v>
      </c>
      <c r="M209" s="48">
        <f>'Fiscal Forecasts'!M$255</f>
        <v>25.988</v>
      </c>
      <c r="N209" s="48">
        <f>'Fiscal Forecasts'!N$255</f>
        <v>25.992999999999999</v>
      </c>
      <c r="O209" s="48">
        <f>'Fiscal Forecasts'!O$255</f>
        <v>26.021999999999998</v>
      </c>
      <c r="P209" s="48">
        <f>'Fiscal Forecasts'!P$255</f>
        <v>26.100999999999999</v>
      </c>
      <c r="Q209" s="20">
        <f ca="1">SUM(Q$253-Q$252,IF(Q$6=OFFSET(Assumptions!$B$8,0,$C$1),AVERAGE(SUM(N$209,-(N$253-N$252))/SUM(N$209,-(N$253-N$252),N$216,N$224),(O$209-(O$253-O$252))/SUM(O$209,-(O$253-O$252),O$216,O$224),(P$209-(P$253-P$252))/SUM(P$209,-(P$253-P$252),P$216,P$224)),(P$209-(P$253-P$252))/SUM(P$209,-(P$253-P$252),P$216,P$224))*SUM(Q$198-Q$239,Q$257,Q$266,Q$284,Q$326,-(Q$253-Q$252)))</f>
        <v>26.256932471996247</v>
      </c>
      <c r="R209" s="20">
        <f ca="1">SUM(R$253-R$252,IF(R$6=OFFSET(Assumptions!$B$8,0,$C$1),AVERAGE(SUM(O$209,-(O$253-O$252))/SUM(O$209,-(O$253-O$252),O$216,O$224),(P$209-(P$253-P$252))/SUM(P$209,-(P$253-P$252),P$216,P$224),(Q$209-(Q$253-Q$252))/SUM(Q$209,-(Q$253-Q$252),Q$216,Q$224)),(Q$209-(Q$253-Q$252))/SUM(Q$209,-(Q$253-Q$252),Q$216,Q$224))*SUM(R$198-R$239,R$257,R$266,R$284,R$326,-(R$253-R$252)))</f>
        <v>26.396462479796515</v>
      </c>
      <c r="S209" s="20">
        <f ca="1">SUM(S$253-S$252,IF(S$6=OFFSET(Assumptions!$B$8,0,$C$1),AVERAGE(SUM(P$209,-(P$253-P$252))/SUM(P$209,-(P$253-P$252),P$216,P$224),(Q$209-(Q$253-Q$252))/SUM(Q$209,-(Q$253-Q$252),Q$216,Q$224),(R$209-(R$253-R$252))/SUM(R$209,-(R$253-R$252),R$216,R$224)),(R$209-(R$253-R$252))/SUM(R$209,-(R$253-R$252),R$216,R$224))*SUM(S$198-S$239,S$257,S$266,S$284,S$326,-(S$253-S$252)))</f>
        <v>26.529700177315515</v>
      </c>
      <c r="T209" s="20">
        <f ca="1">SUM(T$253-T$252,IF(T$6=OFFSET(Assumptions!$B$8,0,$C$1),AVERAGE(SUM(Q$209,-(Q$253-Q$252))/SUM(Q$209,-(Q$253-Q$252),Q$216,Q$224),(R$209-(R$253-R$252))/SUM(R$209,-(R$253-R$252),R$216,R$224),(S$209-(S$253-S$252))/SUM(S$209,-(S$253-S$252),S$216,S$224)),(S$209-(S$253-S$252))/SUM(S$209,-(S$253-S$252),S$216,S$224))*SUM(T$198-T$239,T$257,T$266,T$284,T$326,-(T$253-T$252)))</f>
        <v>26.748036989949746</v>
      </c>
      <c r="U209" s="20">
        <f ca="1">SUM(U$253-U$252,IF(U$6=OFFSET(Assumptions!$B$8,0,$C$1),AVERAGE(SUM(R$209,-(R$253-R$252))/SUM(R$209,-(R$253-R$252),R$216,R$224),(S$209-(S$253-S$252))/SUM(S$209,-(S$253-S$252),S$216,S$224),(T$209-(T$253-T$252))/SUM(T$209,-(T$253-T$252),T$216,T$224)),(T$209-(T$253-T$252))/SUM(T$209,-(T$253-T$252),T$216,T$224))*SUM(U$198-U$239,U$257,U$266,U$284,U$326,-(U$253-U$252)))</f>
        <v>27.015509820565143</v>
      </c>
      <c r="V209" s="20">
        <f ca="1">SUM(V$253-V$252,IF(V$6=OFFSET(Assumptions!$B$8,0,$C$1),AVERAGE(SUM(S$209,-(S$253-S$252))/SUM(S$209,-(S$253-S$252),S$216,S$224),(T$209-(T$253-T$252))/SUM(T$209,-(T$253-T$252),T$216,T$224),(U$209-(U$253-U$252))/SUM(U$209,-(U$253-U$252),U$216,U$224)),(U$209-(U$253-U$252))/SUM(U$209,-(U$253-U$252),U$216,U$224))*SUM(V$198-V$239,V$257,V$266,V$284,V$326,-(V$253-V$252)))</f>
        <v>27.289118069868362</v>
      </c>
      <c r="W209" s="20">
        <f ca="1">SUM(W$253-W$252,IF(W$6=OFFSET(Assumptions!$B$8,0,$C$1),AVERAGE(SUM(T$209,-(T$253-T$252))/SUM(T$209,-(T$253-T$252),T$216,T$224),(U$209-(U$253-U$252))/SUM(U$209,-(U$253-U$252),U$216,U$224),(V$209-(V$253-V$252))/SUM(V$209,-(V$253-V$252),V$216,V$224)),(V$209-(V$253-V$252))/SUM(V$209,-(V$253-V$252),V$216,V$224))*SUM(W$198-W$239,W$257,W$266,W$284,W$326,-(W$253-W$252)))</f>
        <v>27.570480997189872</v>
      </c>
      <c r="X209" s="20">
        <f ca="1">SUM(X$253-X$252,IF(X$6=OFFSET(Assumptions!$B$8,0,$C$1),AVERAGE(SUM(U$209,-(U$253-U$252))/SUM(U$209,-(U$253-U$252),U$216,U$224),(V$209-(V$253-V$252))/SUM(V$209,-(V$253-V$252),V$216,V$224),(W$209-(W$253-W$252))/SUM(W$209,-(W$253-W$252),W$216,W$224)),(W$209-(W$253-W$252))/SUM(W$209,-(W$253-W$252),W$216,W$224))*SUM(X$198-X$239,X$257,X$266,X$284,X$326,-(X$253-X$252)))</f>
        <v>27.860286114978823</v>
      </c>
      <c r="Y209" s="20">
        <f ca="1">SUM(Y$253-Y$252,IF(Y$6=OFFSET(Assumptions!$B$8,0,$C$1),AVERAGE(SUM(V$209,-(V$253-V$252))/SUM(V$209,-(V$253-V$252),V$216,V$224),(W$209-(W$253-W$252))/SUM(W$209,-(W$253-W$252),W$216,W$224),(X$209-(X$253-X$252))/SUM(X$209,-(X$253-X$252),X$216,X$224)),(X$209-(X$253-X$252))/SUM(X$209,-(X$253-X$252),X$216,X$224))*SUM(Y$198-Y$239,Y$257,Y$266,Y$284,Y$326,-(Y$253-Y$252)))</f>
        <v>28.155345972139656</v>
      </c>
      <c r="Z209" s="20">
        <f ca="1">SUM(Z$253-Z$252,IF(Z$6=OFFSET(Assumptions!$B$8,0,$C$1),AVERAGE(SUM(W$209,-(W$253-W$252))/SUM(W$209,-(W$253-W$252),W$216,W$224),(X$209-(X$253-X$252))/SUM(X$209,-(X$253-X$252),X$216,X$224),(Y$209-(Y$253-Y$252))/SUM(Y$209,-(Y$253-Y$252),Y$216,Y$224)),(Y$209-(Y$253-Y$252))/SUM(Y$209,-(Y$253-Y$252),Y$216,Y$224))*SUM(Z$198-Z$239,Z$257,Z$266,Z$284,Z$326,-(Z$253-Z$252)))</f>
        <v>28.461070365600275</v>
      </c>
    </row>
    <row r="210" spans="1:26" x14ac:dyDescent="0.25">
      <c r="A210" s="12" t="s">
        <v>1227</v>
      </c>
      <c r="B210" s="14" t="str">
        <f>$B$38</f>
        <v>From Fiscal Forecasts</v>
      </c>
      <c r="D210" s="50">
        <f>'Fiscal Forecasts'!D$256</f>
        <v>3.0960000000000001</v>
      </c>
      <c r="E210" s="50">
        <f>'Fiscal Forecasts'!E$256</f>
        <v>3.0230000000000001</v>
      </c>
      <c r="F210" s="50">
        <f>'Fiscal Forecasts'!F$256</f>
        <v>2.5819999999999999</v>
      </c>
      <c r="G210" s="50">
        <f>'Fiscal Forecasts'!G$256</f>
        <v>2.8610000000000002</v>
      </c>
      <c r="H210" s="50">
        <f>'Fiscal Forecasts'!H$256</f>
        <v>3.33</v>
      </c>
      <c r="I210" s="50">
        <f>'Fiscal Forecasts'!I$256</f>
        <v>3.5459999999999998</v>
      </c>
      <c r="J210" s="50">
        <f>'Fiscal Forecasts'!J$256</f>
        <v>3.6970000000000001</v>
      </c>
      <c r="K210" s="50">
        <f>'Fiscal Forecasts'!K$256</f>
        <v>3.78</v>
      </c>
      <c r="L210" s="48">
        <f>'Fiscal Forecasts'!L$256</f>
        <v>3.78</v>
      </c>
      <c r="M210" s="48">
        <f>'Fiscal Forecasts'!M$256</f>
        <v>3.919</v>
      </c>
      <c r="N210" s="48">
        <f>'Fiscal Forecasts'!N$256</f>
        <v>3.9769999999999999</v>
      </c>
      <c r="O210" s="48">
        <f>'Fiscal Forecasts'!O$256</f>
        <v>4.069</v>
      </c>
      <c r="P210" s="48">
        <f>'Fiscal Forecasts'!P$256</f>
        <v>4.1559999999999997</v>
      </c>
      <c r="Q210" s="20">
        <f ca="1">IF(Q$6=OFFSET(Assumptions!$B$8,0,$C$1),AVERAGE(N$210/SUM(N$210,N$217,N$225),O$210/SUM(O$210,O$217,O$225),P$210/SUM(P$210,P$217,P$225)),P$210/SUM(P$210,P$217,P$225))*SUM(Q$285,Q$327-Q$240)</f>
        <v>4.310093006191007</v>
      </c>
      <c r="R210" s="20">
        <f ca="1">IF(R$6=OFFSET(Assumptions!$B$8,0,$C$1),AVERAGE(O$210/SUM(O$210,O$217,O$225),P$210/SUM(P$210,P$217,P$225),Q$210/SUM(Q$210,Q$217,Q$225)),Q$210/SUM(Q$210,Q$217,Q$225))*SUM(R$285,R$327-R$240)</f>
        <v>4.4715203113486401</v>
      </c>
      <c r="S210" s="20">
        <f ca="1">IF(S$6=OFFSET(Assumptions!$B$8,0,$C$1),AVERAGE(P$210/SUM(P$210,P$217,P$225),Q$210/SUM(Q$210,Q$217,Q$225),R$210/SUM(R$210,R$217,R$225)),R$210/SUM(R$210,R$217,R$225))*SUM(S$285,S$327-S$240)</f>
        <v>4.6368891345414811</v>
      </c>
      <c r="T210" s="20">
        <f ca="1">IF(T$6=OFFSET(Assumptions!$B$8,0,$C$1),AVERAGE(Q$210/SUM(Q$210,Q$217,Q$225),R$210/SUM(R$210,R$217,R$225),S$210/SUM(S$210,S$217,S$225)),S$210/SUM(S$210,S$217,S$225))*SUM(T$285,T$327-T$240)</f>
        <v>4.8052988052164016</v>
      </c>
      <c r="U210" s="20">
        <f ca="1">IF(U$6=OFFSET(Assumptions!$B$8,0,$C$1),AVERAGE(R$210/SUM(R$210,R$217,R$225),S$210/SUM(S$210,S$217,S$225),T$210/SUM(T$210,T$217,T$225)),T$210/SUM(T$210,T$217,T$225))*SUM(U$285,U$327-U$240)</f>
        <v>4.9791277611662794</v>
      </c>
      <c r="V210" s="20">
        <f ca="1">IF(V$6=OFFSET(Assumptions!$B$8,0,$C$1),AVERAGE(S$210/SUM(S$210,S$217,S$225),T$210/SUM(T$210,T$217,T$225),U$210/SUM(U$210,U$217,U$225)),U$210/SUM(U$210,U$217,U$225))*SUM(V$285,V$327-V$240)</f>
        <v>5.1577713922250989</v>
      </c>
      <c r="W210" s="20">
        <f ca="1">IF(W$6=OFFSET(Assumptions!$B$8,0,$C$1),AVERAGE(T$210/SUM(T$210,T$217,T$225),U$210/SUM(U$210,U$217,U$225),V$210/SUM(V$210,V$217,V$225)),V$210/SUM(V$210,V$217,V$225))*SUM(W$285,W$327-W$240)</f>
        <v>5.3387677771021913</v>
      </c>
      <c r="X210" s="20">
        <f ca="1">IF(X$6=OFFSET(Assumptions!$B$8,0,$C$1),AVERAGE(U$210/SUM(U$210,U$217,U$225),V$210/SUM(V$210,V$217,V$225),W$210/SUM(W$210,W$217,W$225)),W$210/SUM(W$210,W$217,W$225))*SUM(X$285,X$327-X$240)</f>
        <v>5.5243790951551937</v>
      </c>
      <c r="Y210" s="20">
        <f ca="1">IF(Y$6=OFFSET(Assumptions!$B$8,0,$C$1),AVERAGE(V$210/SUM(V$210,V$217,V$225),W$210/SUM(W$210,W$217,W$225),X$210/SUM(X$210,X$217,X$225)),X$210/SUM(X$210,X$217,X$225))*SUM(Y$285,Y$327-Y$240)</f>
        <v>5.7159346085901337</v>
      </c>
      <c r="Z210" s="20">
        <f ca="1">IF(Z$6=OFFSET(Assumptions!$B$8,0,$C$1),AVERAGE(W$210/SUM(W$210,W$217,W$225),X$210/SUM(X$210,X$217,X$225),Y$210/SUM(Y$210,Y$217,Y$225)),Y$210/SUM(Y$210,Y$217,Y$225))*SUM(Z$285,Z$327-Z$240)</f>
        <v>5.9128452821928779</v>
      </c>
    </row>
    <row r="211" spans="1:26" x14ac:dyDescent="0.25">
      <c r="A211" s="12" t="s">
        <v>1228</v>
      </c>
      <c r="B211" s="14" t="str">
        <f>$B$38</f>
        <v>From Fiscal Forecasts</v>
      </c>
      <c r="D211" s="50">
        <f>'Fiscal Forecasts'!D$257</f>
        <v>-4.2000000000000003E-2</v>
      </c>
      <c r="E211" s="50">
        <f>'Fiscal Forecasts'!E$257</f>
        <v>-4.4999999999999998E-2</v>
      </c>
      <c r="F211" s="50">
        <f>'Fiscal Forecasts'!F$257</f>
        <v>-5.1999999999999998E-2</v>
      </c>
      <c r="G211" s="50">
        <f>'Fiscal Forecasts'!G$257</f>
        <v>-5.5E-2</v>
      </c>
      <c r="H211" s="50">
        <f>'Fiscal Forecasts'!H$257</f>
        <v>-5.2999999999999999E-2</v>
      </c>
      <c r="I211" s="50">
        <f>'Fiscal Forecasts'!I$257</f>
        <v>-0.06</v>
      </c>
      <c r="J211" s="50">
        <f>'Fiscal Forecasts'!J$257</f>
        <v>-6.2E-2</v>
      </c>
      <c r="K211" s="50">
        <f>'Fiscal Forecasts'!K$257</f>
        <v>-7.3999999999999996E-2</v>
      </c>
      <c r="L211" s="48">
        <f>'Fiscal Forecasts'!L$257</f>
        <v>-5.7000000000000002E-2</v>
      </c>
      <c r="M211" s="48">
        <f>'Fiscal Forecasts'!M$257</f>
        <v>-5.8000000000000003E-2</v>
      </c>
      <c r="N211" s="48">
        <f>'Fiscal Forecasts'!N$257</f>
        <v>-0.06</v>
      </c>
      <c r="O211" s="48">
        <f>'Fiscal Forecasts'!O$257</f>
        <v>-0.06</v>
      </c>
      <c r="P211" s="48">
        <f>'Fiscal Forecasts'!P$257</f>
        <v>-6.0999999999999999E-2</v>
      </c>
      <c r="Q211" s="20">
        <f ca="1">IF(Q$6=OFFSET(Assumptions!$B$8,0,$C$1),AVERAGE(N$211/SUM(N$211,N$226),O$211/SUM(O$211,O$226),P$211/SUM(P$211,P$226)),P$211/SUM(P$211,P$226))*SUM(Q$199,Q$258,Q$267,Q$286,Q$328)</f>
        <v>-6.2735407244262631E-2</v>
      </c>
      <c r="R211" s="20">
        <f ca="1">IF(R$6=OFFSET(Assumptions!$B$8,0,$C$1),AVERAGE(O$211/SUM(O$211,O$226),P$211/SUM(P$211,P$226),Q$211/SUM(Q$211,Q$226)),Q$211/SUM(Q$211,Q$226))*SUM(R$199,R$258,R$267,R$286,R$328)</f>
        <v>-6.3106787996330099E-2</v>
      </c>
      <c r="S211" s="20">
        <f ca="1">IF(S$6=OFFSET(Assumptions!$B$8,0,$C$1),AVERAGE(P$211/SUM(P$211,P$226),Q$211/SUM(Q$211,Q$226),R$211/SUM(R$211,R$226)),R$211/SUM(R$211,R$226))*SUM(S$199,S$258,S$267,S$286,S$328)</f>
        <v>-6.3483406309761237E-2</v>
      </c>
      <c r="T211" s="20">
        <f ca="1">IF(T$6=OFFSET(Assumptions!$B$8,0,$C$1),AVERAGE(Q$211/SUM(Q$211,Q$226),R$211/SUM(R$211,R$226),S$211/SUM(S$211,S$226)),S$211/SUM(S$211,S$226))*SUM(T$199,T$258,T$267,T$286,T$328)</f>
        <v>-6.4114161298966674E-2</v>
      </c>
      <c r="U211" s="20">
        <f ca="1">IF(U$6=OFFSET(Assumptions!$B$8,0,$C$1),AVERAGE(R$211/SUM(R$211,R$226),S$211/SUM(S$211,S$226),T$211/SUM(T$211,T$226)),T$211/SUM(T$211,T$226))*SUM(U$199,U$258,U$267,U$286,U$328)</f>
        <v>-6.4887349990838269E-2</v>
      </c>
      <c r="V211" s="20">
        <f ca="1">IF(V$6=OFFSET(Assumptions!$B$8,0,$C$1),AVERAGE(S$211/SUM(S$211,S$226),T$211/SUM(T$211,T$226),U$211/SUM(U$211,U$226)),U$211/SUM(U$211,U$226))*SUM(V$199,V$258,V$267,V$286,V$328)</f>
        <v>-6.5516408961870748E-2</v>
      </c>
      <c r="W211" s="20">
        <f ca="1">IF(W$6=OFFSET(Assumptions!$B$8,0,$C$1),AVERAGE(T$211/SUM(T$211,T$226),U$211/SUM(U$211,U$226),V$211/SUM(V$211,V$226)),V$211/SUM(V$211,V$226))*SUM(W$199,W$258,W$267,W$286,W$328)</f>
        <v>-6.610775082857806E-2</v>
      </c>
      <c r="X211" s="20">
        <f ca="1">IF(X$6=OFFSET(Assumptions!$B$8,0,$C$1),AVERAGE(U$211/SUM(U$211,U$226),V$211/SUM(V$211,V$226),W$211/SUM(W$211,W$226)),W$211/SUM(W$211,W$226))*SUM(X$199,X$258,X$267,X$286,X$328)</f>
        <v>-6.6719866994300797E-2</v>
      </c>
      <c r="Y211" s="20">
        <f ca="1">IF(Y$6=OFFSET(Assumptions!$B$8,0,$C$1),AVERAGE(V$211/SUM(V$211,V$226),W$211/SUM(W$211,W$226),X$211/SUM(X$211,X$226)),X$211/SUM(X$211,X$226))*SUM(Y$199,Y$258,Y$267,Y$286,Y$328)</f>
        <v>-6.7356650810887223E-2</v>
      </c>
      <c r="Z211" s="20">
        <f ca="1">IF(Z$6=OFFSET(Assumptions!$B$8,0,$C$1),AVERAGE(W$211/SUM(W$211,W$226),X$211/SUM(X$211,X$226),Y$211/SUM(Y$211,Y$226)),Y$211/SUM(Y$211,Y$226))*SUM(Z$199,Z$258,Z$267,Z$286,Z$328)</f>
        <v>-6.8009105195476635E-2</v>
      </c>
    </row>
    <row r="212" spans="1:26" x14ac:dyDescent="0.25">
      <c r="A212" s="11" t="s">
        <v>1254</v>
      </c>
      <c r="D212" s="94">
        <f t="shared" ref="D212:Z212" si="136">SUM(D$208:D$211)</f>
        <v>25.933</v>
      </c>
      <c r="E212" s="94">
        <f t="shared" si="136"/>
        <v>27.774999999999999</v>
      </c>
      <c r="F212" s="94">
        <f t="shared" si="136"/>
        <v>29.817</v>
      </c>
      <c r="G212" s="94">
        <f t="shared" si="136"/>
        <v>32.647999999999996</v>
      </c>
      <c r="H212" s="94">
        <f t="shared" si="136"/>
        <v>36.052</v>
      </c>
      <c r="I212" s="94">
        <f t="shared" si="136"/>
        <v>39.082999999999998</v>
      </c>
      <c r="J212" s="94">
        <f t="shared" si="136"/>
        <v>38.771000000000008</v>
      </c>
      <c r="K212" s="94">
        <f t="shared" si="136"/>
        <v>40.433000000000007</v>
      </c>
      <c r="L212" s="95">
        <f t="shared" si="136"/>
        <v>41.912999999999997</v>
      </c>
      <c r="M212" s="95">
        <f t="shared" si="136"/>
        <v>42.013999999999996</v>
      </c>
      <c r="N212" s="95">
        <f t="shared" si="136"/>
        <v>42.067999999999991</v>
      </c>
      <c r="O212" s="95">
        <f t="shared" si="136"/>
        <v>42.101999999999997</v>
      </c>
      <c r="P212" s="95">
        <f t="shared" si="136"/>
        <v>42.323999999999998</v>
      </c>
      <c r="Q212" s="96">
        <f t="shared" ca="1" si="136"/>
        <v>43.264830923155316</v>
      </c>
      <c r="R212" s="96">
        <f t="shared" ca="1" si="136"/>
        <v>43.563297741787736</v>
      </c>
      <c r="S212" s="96">
        <f t="shared" ca="1" si="136"/>
        <v>43.85940853061274</v>
      </c>
      <c r="T212" s="96">
        <f t="shared" ca="1" si="136"/>
        <v>44.243280491619657</v>
      </c>
      <c r="U212" s="96">
        <f t="shared" ca="1" si="136"/>
        <v>44.681814629659272</v>
      </c>
      <c r="V212" s="96">
        <f t="shared" ca="1" si="136"/>
        <v>45.131442991216474</v>
      </c>
      <c r="W212" s="96">
        <f t="shared" ca="1" si="136"/>
        <v>45.591091847974951</v>
      </c>
      <c r="X212" s="96">
        <f t="shared" ca="1" si="136"/>
        <v>46.063777054077782</v>
      </c>
      <c r="Y212" s="96">
        <f t="shared" ca="1" si="136"/>
        <v>46.547885834762781</v>
      </c>
      <c r="Z212" s="96">
        <f t="shared" ca="1" si="136"/>
        <v>47.047998641347377</v>
      </c>
    </row>
    <row r="214" spans="1:26" x14ac:dyDescent="0.25">
      <c r="A214" s="11" t="s">
        <v>872</v>
      </c>
    </row>
    <row r="215" spans="1:26" x14ac:dyDescent="0.25">
      <c r="A215" s="11" t="s">
        <v>1255</v>
      </c>
      <c r="B215" s="14" t="str">
        <f>$B$38</f>
        <v>From Fiscal Forecasts</v>
      </c>
      <c r="C215" s="100" cm="1">
        <f t="array" aca="1" ref="C215" ca="1">SUMPRODUCT(OFFSET($P$215,0,0,1,-OFFSET(Assumptions!$B$38,0,$C$1))/OFFSET($P$417,0,0,1,-OFFSET(Assumptions!$B$38,0,$C$1)))/OFFSET(Assumptions!$B$38,0,$C$1)</f>
        <v>4.0793476717853723E-2</v>
      </c>
      <c r="D215" s="51">
        <f>'Fiscal Forecasts'!D$260</f>
        <v>1.5009999999999999</v>
      </c>
      <c r="E215" s="51">
        <f>'Fiscal Forecasts'!E$260</f>
        <v>1.675</v>
      </c>
      <c r="F215" s="51">
        <f>'Fiscal Forecasts'!F$260</f>
        <v>1.8820000000000001</v>
      </c>
      <c r="G215" s="51">
        <f>'Fiscal Forecasts'!G$260</f>
        <v>2.0019999999999998</v>
      </c>
      <c r="H215" s="51">
        <f>'Fiscal Forecasts'!H$260</f>
        <v>2.4</v>
      </c>
      <c r="I215" s="51">
        <f>'Fiscal Forecasts'!I$260</f>
        <v>2.8080000000000003</v>
      </c>
      <c r="J215" s="51">
        <f>'Fiscal Forecasts'!J$260</f>
        <v>2.7159999999999997</v>
      </c>
      <c r="K215" s="51">
        <f>'Fiscal Forecasts'!K$260</f>
        <v>2.7269999999999999</v>
      </c>
      <c r="L215" s="47">
        <f>'Fiscal Forecasts'!L$260</f>
        <v>2.706</v>
      </c>
      <c r="M215" s="47">
        <f>'Fiscal Forecasts'!M$260</f>
        <v>2.8039999999999998</v>
      </c>
      <c r="N215" s="47">
        <f>'Fiscal Forecasts'!N$260</f>
        <v>2.879</v>
      </c>
      <c r="O215" s="47">
        <f>'Fiscal Forecasts'!O$260</f>
        <v>2.867</v>
      </c>
      <c r="P215" s="47">
        <f>'Fiscal Forecasts'!P$260</f>
        <v>2.7930000000000001</v>
      </c>
      <c r="Q215" s="21">
        <f t="shared" ref="Q215:Z215" ca="1" si="137">$C$215*P$417</f>
        <v>2.8191555890174351</v>
      </c>
      <c r="R215" s="21">
        <f t="shared" ca="1" si="137"/>
        <v>2.8191555890174351</v>
      </c>
      <c r="S215" s="21">
        <f t="shared" ca="1" si="137"/>
        <v>2.8191555890174351</v>
      </c>
      <c r="T215" s="21">
        <f t="shared" ca="1" si="137"/>
        <v>2.8191555890174351</v>
      </c>
      <c r="U215" s="21">
        <f t="shared" ca="1" si="137"/>
        <v>2.8191555890174351</v>
      </c>
      <c r="V215" s="21">
        <f t="shared" ca="1" si="137"/>
        <v>2.8191555890174351</v>
      </c>
      <c r="W215" s="21">
        <f t="shared" ca="1" si="137"/>
        <v>2.8191555890174351</v>
      </c>
      <c r="X215" s="21">
        <f t="shared" ca="1" si="137"/>
        <v>2.8191555890174351</v>
      </c>
      <c r="Y215" s="21">
        <f t="shared" ca="1" si="137"/>
        <v>2.8191555890174351</v>
      </c>
      <c r="Z215" s="21">
        <f t="shared" ca="1" si="137"/>
        <v>2.8191555890174351</v>
      </c>
    </row>
    <row r="216" spans="1:26" x14ac:dyDescent="0.25">
      <c r="A216" s="12" t="s">
        <v>1020</v>
      </c>
      <c r="B216" s="14" t="str">
        <f>$B$38</f>
        <v>From Fiscal Forecasts</v>
      </c>
      <c r="C216" s="100" cm="1">
        <f t="array" aca="1" ref="C216" ca="1">SUMPRODUCT(OFFSET($P$216,0,0,1,-OFFSET(Assumptions!$B$38,0,$C$1))/OFFSET($P$418,0,0,1,-OFFSET(Assumptions!$B$38,0,$C$1)))/OFFSET(Assumptions!$B$38,0,$C$1)</f>
        <v>2.0557878069576589E-2</v>
      </c>
      <c r="D216" s="50">
        <f>'Fiscal Forecasts'!D$261</f>
        <v>1.587</v>
      </c>
      <c r="E216" s="50">
        <f>'Fiscal Forecasts'!E$261</f>
        <v>1.776</v>
      </c>
      <c r="F216" s="50">
        <f>'Fiscal Forecasts'!F$261</f>
        <v>1.954</v>
      </c>
      <c r="G216" s="50">
        <f>'Fiscal Forecasts'!G$261</f>
        <v>2.2509999999999999</v>
      </c>
      <c r="H216" s="50">
        <f>'Fiscal Forecasts'!H$261</f>
        <v>2.5110000000000001</v>
      </c>
      <c r="I216" s="50">
        <f>'Fiscal Forecasts'!I$261</f>
        <v>2.9019999999999997</v>
      </c>
      <c r="J216" s="50">
        <f>'Fiscal Forecasts'!J$261</f>
        <v>2.9870000000000001</v>
      </c>
      <c r="K216" s="50">
        <f>'Fiscal Forecasts'!K$261</f>
        <v>3.306</v>
      </c>
      <c r="L216" s="48">
        <f>'Fiscal Forecasts'!L$261</f>
        <v>3.4129999999999998</v>
      </c>
      <c r="M216" s="48">
        <f>'Fiscal Forecasts'!M$261</f>
        <v>3.5979999999999999</v>
      </c>
      <c r="N216" s="48">
        <f>'Fiscal Forecasts'!N$261</f>
        <v>3.661</v>
      </c>
      <c r="O216" s="48">
        <f>'Fiscal Forecasts'!O$261</f>
        <v>3.7090000000000001</v>
      </c>
      <c r="P216" s="48">
        <f>'Fiscal Forecasts'!P$261</f>
        <v>3.7679999999999998</v>
      </c>
      <c r="Q216" s="20">
        <f t="shared" ref="Q216:Z216" ca="1" si="138">$C$216*P$418</f>
        <v>3.7329817313859954</v>
      </c>
      <c r="R216" s="20">
        <f t="shared" ca="1" si="138"/>
        <v>3.7665247875594394</v>
      </c>
      <c r="S216" s="20">
        <f t="shared" ca="1" si="138"/>
        <v>3.8007387048563523</v>
      </c>
      <c r="T216" s="20">
        <f t="shared" ca="1" si="138"/>
        <v>3.8356369004992033</v>
      </c>
      <c r="U216" s="20">
        <f t="shared" ca="1" si="138"/>
        <v>3.8712330600549114</v>
      </c>
      <c r="V216" s="20">
        <f t="shared" ca="1" si="138"/>
        <v>3.9075411428017341</v>
      </c>
      <c r="W216" s="20">
        <f t="shared" ca="1" si="138"/>
        <v>3.9445753872034932</v>
      </c>
      <c r="X216" s="20">
        <f t="shared" ca="1" si="138"/>
        <v>3.982350316493287</v>
      </c>
      <c r="Y216" s="20">
        <f t="shared" ca="1" si="138"/>
        <v>4.0208807443688768</v>
      </c>
      <c r="Z216" s="20">
        <f t="shared" ca="1" si="138"/>
        <v>4.0601817808019787</v>
      </c>
    </row>
    <row r="217" spans="1:26" x14ac:dyDescent="0.25">
      <c r="A217" s="12" t="s">
        <v>1227</v>
      </c>
      <c r="B217" s="14" t="str">
        <f>$B$38</f>
        <v>From Fiscal Forecasts</v>
      </c>
      <c r="C217" s="100" cm="1">
        <f t="array" aca="1" ref="C217" ca="1">SUMPRODUCT(OFFSET($P$217,0,0,1,-OFFSET(Assumptions!$B$38,0,$C$1))/OFFSET($P$419,0,0,1,-OFFSET(Assumptions!$B$38,0,$C$1)))/OFFSET(Assumptions!$B$38,0,$C$1)</f>
        <v>4.4120996303196665E-2</v>
      </c>
      <c r="D217" s="50">
        <f>'Fiscal Forecasts'!D$262</f>
        <v>1.466</v>
      </c>
      <c r="E217" s="50">
        <f>'Fiscal Forecasts'!E$262</f>
        <v>1.843</v>
      </c>
      <c r="F217" s="50">
        <f>'Fiscal Forecasts'!F$262</f>
        <v>1.73</v>
      </c>
      <c r="G217" s="50">
        <f>'Fiscal Forecasts'!G$262</f>
        <v>1.899</v>
      </c>
      <c r="H217" s="50">
        <f>'Fiscal Forecasts'!H$262</f>
        <v>1.69</v>
      </c>
      <c r="I217" s="50">
        <f>'Fiscal Forecasts'!I$262</f>
        <v>1.911</v>
      </c>
      <c r="J217" s="50">
        <f>'Fiscal Forecasts'!J$262</f>
        <v>2.5910000000000002</v>
      </c>
      <c r="K217" s="50">
        <f>'Fiscal Forecasts'!K$262</f>
        <v>2.6480000000000001</v>
      </c>
      <c r="L217" s="48">
        <f>'Fiscal Forecasts'!L$262</f>
        <v>2.843</v>
      </c>
      <c r="M217" s="48">
        <f>'Fiscal Forecasts'!M$262</f>
        <v>2.8730000000000002</v>
      </c>
      <c r="N217" s="48">
        <f>'Fiscal Forecasts'!N$262</f>
        <v>2.9180000000000001</v>
      </c>
      <c r="O217" s="48">
        <f>'Fiscal Forecasts'!O$262</f>
        <v>3.258</v>
      </c>
      <c r="P217" s="48">
        <f>'Fiscal Forecasts'!P$262</f>
        <v>3.387</v>
      </c>
      <c r="Q217" s="20">
        <f t="shared" ref="Q217:Z217" ca="1" si="139">$C$217*P$419</f>
        <v>3.1775500327599207</v>
      </c>
      <c r="R217" s="20">
        <f t="shared" ca="1" si="139"/>
        <v>3.2411010334151196</v>
      </c>
      <c r="S217" s="20">
        <f t="shared" ca="1" si="139"/>
        <v>3.3059230540834217</v>
      </c>
      <c r="T217" s="20">
        <f t="shared" ca="1" si="139"/>
        <v>3.37204151516509</v>
      </c>
      <c r="U217" s="20">
        <f t="shared" ca="1" si="139"/>
        <v>3.4394823454683916</v>
      </c>
      <c r="V217" s="20">
        <f t="shared" ca="1" si="139"/>
        <v>3.5082719923777597</v>
      </c>
      <c r="W217" s="20">
        <f t="shared" ca="1" si="139"/>
        <v>3.5784374322253147</v>
      </c>
      <c r="X217" s="20">
        <f t="shared" ca="1" si="139"/>
        <v>3.6500061808698212</v>
      </c>
      <c r="Y217" s="20">
        <f t="shared" ca="1" si="139"/>
        <v>3.7230063044872179</v>
      </c>
      <c r="Z217" s="20">
        <f t="shared" ca="1" si="139"/>
        <v>3.7974664305769625</v>
      </c>
    </row>
    <row r="218" spans="1:26" x14ac:dyDescent="0.25">
      <c r="A218" s="11" t="s">
        <v>1256</v>
      </c>
      <c r="D218" s="94">
        <f t="shared" ref="D218:P218" si="140">SUM(D$215:D$217)</f>
        <v>4.5540000000000003</v>
      </c>
      <c r="E218" s="94">
        <f t="shared" si="140"/>
        <v>5.2940000000000005</v>
      </c>
      <c r="F218" s="94">
        <f t="shared" si="140"/>
        <v>5.5660000000000007</v>
      </c>
      <c r="G218" s="94">
        <f t="shared" si="140"/>
        <v>6.1520000000000001</v>
      </c>
      <c r="H218" s="94">
        <f t="shared" si="140"/>
        <v>6.6009999999999991</v>
      </c>
      <c r="I218" s="94">
        <f t="shared" si="140"/>
        <v>7.6210000000000004</v>
      </c>
      <c r="J218" s="94">
        <f t="shared" si="140"/>
        <v>8.2940000000000005</v>
      </c>
      <c r="K218" s="94">
        <f t="shared" si="140"/>
        <v>8.6809999999999992</v>
      </c>
      <c r="L218" s="95">
        <f t="shared" si="140"/>
        <v>8.9619999999999997</v>
      </c>
      <c r="M218" s="95">
        <f t="shared" si="140"/>
        <v>9.2749999999999986</v>
      </c>
      <c r="N218" s="95">
        <f t="shared" si="140"/>
        <v>9.4580000000000002</v>
      </c>
      <c r="O218" s="95">
        <f t="shared" si="140"/>
        <v>9.8339999999999996</v>
      </c>
      <c r="P218" s="95">
        <f t="shared" si="140"/>
        <v>9.9480000000000004</v>
      </c>
      <c r="Q218" s="96">
        <f t="shared" ref="Q218:Z218" ca="1" si="141">SUM(Q$215:Q$217)</f>
        <v>9.7296873531633512</v>
      </c>
      <c r="R218" s="96">
        <f t="shared" ca="1" si="141"/>
        <v>9.8267814099919946</v>
      </c>
      <c r="S218" s="96">
        <f t="shared" ca="1" si="141"/>
        <v>9.92581734795721</v>
      </c>
      <c r="T218" s="96">
        <f t="shared" ca="1" si="141"/>
        <v>10.026834004681728</v>
      </c>
      <c r="U218" s="96">
        <f t="shared" ca="1" si="141"/>
        <v>10.129870994540738</v>
      </c>
      <c r="V218" s="96">
        <f t="shared" ca="1" si="141"/>
        <v>10.234968724196928</v>
      </c>
      <c r="W218" s="96">
        <f t="shared" ca="1" si="141"/>
        <v>10.342168408446243</v>
      </c>
      <c r="X218" s="96">
        <f t="shared" ca="1" si="141"/>
        <v>10.451512086380543</v>
      </c>
      <c r="Y218" s="96">
        <f t="shared" ca="1" si="141"/>
        <v>10.563042637873529</v>
      </c>
      <c r="Z218" s="96">
        <f t="shared" ca="1" si="141"/>
        <v>10.676803800396376</v>
      </c>
    </row>
    <row r="219" spans="1:26" x14ac:dyDescent="0.25">
      <c r="A219" s="11" t="s">
        <v>1257</v>
      </c>
      <c r="B219" s="14" t="str">
        <f>$B$38</f>
        <v>From Fiscal Forecasts</v>
      </c>
      <c r="D219" s="51">
        <f>'Fiscal Forecasts'!D$265</f>
        <v>0.29399999999999998</v>
      </c>
      <c r="E219" s="51">
        <f>'Fiscal Forecasts'!E$265</f>
        <v>0.57399999999999995</v>
      </c>
      <c r="F219" s="51">
        <f>'Fiscal Forecasts'!F$265</f>
        <v>0.37</v>
      </c>
      <c r="G219" s="51">
        <f>'Fiscal Forecasts'!G$265</f>
        <v>0.316</v>
      </c>
      <c r="H219" s="51">
        <f>'Fiscal Forecasts'!H$265</f>
        <v>0.29399999999999998</v>
      </c>
      <c r="I219" s="51">
        <f>'Fiscal Forecasts'!I$265</f>
        <v>0.33</v>
      </c>
      <c r="J219" s="51">
        <f>'Fiscal Forecasts'!J$265</f>
        <v>0.34799999999999998</v>
      </c>
      <c r="K219" s="51">
        <f>'Fiscal Forecasts'!K$265</f>
        <v>0.34699999999999998</v>
      </c>
      <c r="L219" s="47">
        <f>'Fiscal Forecasts'!L$265</f>
        <v>0.34899999999999998</v>
      </c>
      <c r="M219" s="47">
        <f>'Fiscal Forecasts'!M$265</f>
        <v>0.371</v>
      </c>
      <c r="N219" s="47">
        <f>'Fiscal Forecasts'!N$265</f>
        <v>0.39200000000000002</v>
      </c>
      <c r="O219" s="47">
        <f>'Fiscal Forecasts'!O$265</f>
        <v>0.375</v>
      </c>
      <c r="P219" s="47">
        <f>'Fiscal Forecasts'!P$265</f>
        <v>0.37</v>
      </c>
      <c r="Q219" s="21">
        <f ca="1">IF(Q$6=OFFSET(Assumptions!$B$8,0,$C$1),AVERAGE(N$219/M$427,O$219/N$427,P$219/O$427),P$219/O$427)*P$427</f>
        <v>0.33893854716370403</v>
      </c>
      <c r="R219" s="21">
        <f ca="1">IF(R$6=OFFSET(Assumptions!$B$8,0,$C$1),AVERAGE(O$219/N$427,P$219/O$427,Q$219/P$427),Q$219/P$427)*Q$427</f>
        <v>0.33893854716370403</v>
      </c>
      <c r="S219" s="21">
        <f ca="1">IF(S$6=OFFSET(Assumptions!$B$8,0,$C$1),AVERAGE(P$219/O$427,Q$219/P$427,R$219/Q$427),R$219/Q$427)*R$427</f>
        <v>0.33893854716370403</v>
      </c>
      <c r="T219" s="21">
        <f ca="1">IF(T$6=OFFSET(Assumptions!$B$8,0,$C$1),AVERAGE(Q$219/P$427,R$219/Q$427,S$219/R$427),S$219/R$427)*S$427</f>
        <v>0.33893854716370403</v>
      </c>
      <c r="U219" s="21">
        <f ca="1">IF(U$6=OFFSET(Assumptions!$B$8,0,$C$1),AVERAGE(R$219/Q$427,S$219/R$427,T$219/S$427),T$219/S$427)*T$427</f>
        <v>0.33893854716370403</v>
      </c>
      <c r="V219" s="21">
        <f ca="1">IF(V$6=OFFSET(Assumptions!$B$8,0,$C$1),AVERAGE(S$219/R$427,T$219/S$427,U$219/T$427),U$219/T$427)*U$427</f>
        <v>0.33893854716370403</v>
      </c>
      <c r="W219" s="21">
        <f ca="1">IF(W$6=OFFSET(Assumptions!$B$8,0,$C$1),AVERAGE(T$219/S$427,U$219/T$427,V$219/U$427),V$219/U$427)*V$427</f>
        <v>0.33893854716370403</v>
      </c>
      <c r="X219" s="21">
        <f ca="1">IF(X$6=OFFSET(Assumptions!$B$8,0,$C$1),AVERAGE(U$219/T$427,V$219/U$427,W$219/V$427),W$219/V$427)*W$427</f>
        <v>0.33893854716370403</v>
      </c>
      <c r="Y219" s="21">
        <f ca="1">IF(Y$6=OFFSET(Assumptions!$B$8,0,$C$1),AVERAGE(V$219/U$427,W$219/V$427,X$219/W$427),X$219/W$427)*X$427</f>
        <v>0.33893854716370403</v>
      </c>
      <c r="Z219" s="21">
        <f ca="1">IF(Z$6=OFFSET(Assumptions!$B$8,0,$C$1),AVERAGE(W$219/V$427,X$219/W$427,Y$219/X$427),Y$219/X$427)*Y$427</f>
        <v>0.33893854716370403</v>
      </c>
    </row>
    <row r="220" spans="1:26" x14ac:dyDescent="0.25">
      <c r="A220" s="11" t="s">
        <v>1258</v>
      </c>
      <c r="B220" s="14" t="str">
        <f>$B$38</f>
        <v>From Fiscal Forecasts</v>
      </c>
      <c r="D220" s="50">
        <f>SUM('Fiscal Forecasts'!D$266:D$267)</f>
        <v>0.64</v>
      </c>
      <c r="E220" s="50">
        <f>SUM('Fiscal Forecasts'!E$266:E$267)</f>
        <v>1.8010000000000002</v>
      </c>
      <c r="F220" s="50">
        <f>SUM('Fiscal Forecasts'!F$266:F$267)</f>
        <v>0.82799999999999996</v>
      </c>
      <c r="G220" s="50">
        <f>SUM('Fiscal Forecasts'!G$266:G$267)</f>
        <v>-0.54</v>
      </c>
      <c r="H220" s="50">
        <f>SUM('Fiscal Forecasts'!H$266:H$267)</f>
        <v>0.76800000000000002</v>
      </c>
      <c r="I220" s="50">
        <f>SUM('Fiscal Forecasts'!I$266:I$267)</f>
        <v>0.71100000000000008</v>
      </c>
      <c r="J220" s="50">
        <f>SUM('Fiscal Forecasts'!J$266:J$267)</f>
        <v>0.54699999999999993</v>
      </c>
      <c r="K220" s="50">
        <f>SUM('Fiscal Forecasts'!K$266:K$267)</f>
        <v>0.51300000000000001</v>
      </c>
      <c r="L220" s="48">
        <f>SUM('Fiscal Forecasts'!L$266:L$267)</f>
        <v>0.52200000000000002</v>
      </c>
      <c r="M220" s="48">
        <f>SUM('Fiscal Forecasts'!M$266:M$267)</f>
        <v>0.52100000000000002</v>
      </c>
      <c r="N220" s="48">
        <f>SUM('Fiscal Forecasts'!N$266:N$267)</f>
        <v>0.52200000000000002</v>
      </c>
      <c r="O220" s="48">
        <f>SUM('Fiscal Forecasts'!O$266:O$267)</f>
        <v>0.503</v>
      </c>
      <c r="P220" s="48">
        <f>SUM('Fiscal Forecasts'!P$266:P$267)</f>
        <v>0.48699999999999999</v>
      </c>
      <c r="Q220" s="21">
        <f ca="1">IF(Q$6=OFFSET(Assumptions!$B$8,0,$C$1),AVERAGE(N$220/M$428,O$220/N$428,P$220/O$428),P$220/O$428)*P$428</f>
        <v>0.53212235039807609</v>
      </c>
      <c r="R220" s="21">
        <f ca="1">IF(R$6=OFFSET(Assumptions!$B$8,0,$C$1),AVERAGE(O$220/N$428,P$220/O$428,Q$220/P$428),Q$220/P$428)*Q$428</f>
        <v>0.55528610953016788</v>
      </c>
      <c r="S220" s="21">
        <f ca="1">IF(S$6=OFFSET(Assumptions!$B$8,0,$C$1),AVERAGE(P$220/O$428,Q$220/P$428,R$220/Q$428),R$220/Q$428)*R$428</f>
        <v>0.57892193652440305</v>
      </c>
      <c r="T220" s="21">
        <f ca="1">IF(T$6=OFFSET(Assumptions!$B$8,0,$C$1),AVERAGE(Q$220/P$428,R$220/Q$428,S$220/R$428),S$220/R$428)*S$428</f>
        <v>0.60318394242317952</v>
      </c>
      <c r="U220" s="21">
        <f ca="1">IF(U$6=OFFSET(Assumptions!$B$8,0,$C$1),AVERAGE(R$220/Q$428,S$220/R$428,T$220/S$428),T$220/S$428)*T$428</f>
        <v>0.62801537807835695</v>
      </c>
      <c r="V220" s="21">
        <f ca="1">IF(V$6=OFFSET(Assumptions!$B$8,0,$C$1),AVERAGE(S$220/R$428,T$220/S$428,U$220/T$428),U$220/T$428)*U$428</f>
        <v>0.65371270422022476</v>
      </c>
      <c r="W220" s="21">
        <f ca="1">IF(W$6=OFFSET(Assumptions!$B$8,0,$C$1),AVERAGE(T$220/S$428,U$220/T$428,V$220/U$428),V$220/U$428)*V$428</f>
        <v>0.68028505979586884</v>
      </c>
      <c r="X220" s="21">
        <f ca="1">IF(X$6=OFFSET(Assumptions!$B$8,0,$C$1),AVERAGE(U$220/T$428,V$220/U$428,W$220/V$428),W$220/V$428)*W$428</f>
        <v>0.70759838771072869</v>
      </c>
      <c r="Y220" s="21">
        <f ca="1">IF(Y$6=OFFSET(Assumptions!$B$8,0,$C$1),AVERAGE(V$220/U$428,W$220/V$428,X$220/W$428),X$220/W$428)*X$428</f>
        <v>0.73569822626187076</v>
      </c>
      <c r="Z220" s="21">
        <f ca="1">IF(Z$6=OFFSET(Assumptions!$B$8,0,$C$1),AVERAGE(W$220/V$428,X$220/W$428,Y$220/X$428),Y$220/X$428)*Y$428</f>
        <v>0.76473151997825062</v>
      </c>
    </row>
    <row r="221" spans="1:26" x14ac:dyDescent="0.25">
      <c r="A221" s="11"/>
    </row>
    <row r="222" spans="1:26" x14ac:dyDescent="0.25">
      <c r="A222" s="11" t="s">
        <v>873</v>
      </c>
    </row>
    <row r="223" spans="1:26" x14ac:dyDescent="0.25">
      <c r="A223" s="11" t="s">
        <v>1259</v>
      </c>
      <c r="B223" s="14" t="str">
        <f>$B$38</f>
        <v>From Fiscal Forecasts</v>
      </c>
      <c r="D223" s="51">
        <f>'Fiscal Forecasts'!D$270</f>
        <v>44.959000000000003</v>
      </c>
      <c r="E223" s="51">
        <f>'Fiscal Forecasts'!E$270</f>
        <v>51.832999999999998</v>
      </c>
      <c r="F223" s="51">
        <f>'Fiscal Forecasts'!F$270</f>
        <v>58.084000000000003</v>
      </c>
      <c r="G223" s="51">
        <f>'Fiscal Forecasts'!G$270</f>
        <v>65.543000000000006</v>
      </c>
      <c r="H223" s="51">
        <f>'Fiscal Forecasts'!H$270</f>
        <v>68.150000000000006</v>
      </c>
      <c r="I223" s="51">
        <f>'Fiscal Forecasts'!I$270</f>
        <v>72.72</v>
      </c>
      <c r="J223" s="51">
        <f>'Fiscal Forecasts'!J$270</f>
        <v>72.67</v>
      </c>
      <c r="K223" s="51">
        <f>'Fiscal Forecasts'!K$270</f>
        <v>74.334000000000003</v>
      </c>
      <c r="L223" s="47">
        <f ca="1">'Fiscal Forecasts'!L$270+IF($C$2="Yes",'Fiscal Forecast Adjuster'!C$26/1000,0)+IF(OFFSET(Assumptions!$B$57,0,$C$1)="Yes",SUM(Allocation!C$10:C$20)+IF($C$2="Yes",SUM('Fiscal Forecast Adjuster'!C$46:C$56),0),0)+IF($C$3="Yes",'NZSF Adjuster'!W$26-'NZSF Adjuster'!W$17,0)</f>
        <v>79.567999999999998</v>
      </c>
      <c r="M223" s="47">
        <f ca="1">'Fiscal Forecasts'!M$270+IF($C$2="Yes",'Fiscal Forecast Adjuster'!D$26/1000,0)+IF(OFFSET(Assumptions!$B$57,0,$C$1)="Yes",SUM(Allocation!D$10:D$20)+IF($C$2="Yes",SUM('Fiscal Forecast Adjuster'!D$46:D$56),0),0)+IF($C$3="Yes",'NZSF Adjuster'!X$26-'NZSF Adjuster'!X$17,0)</f>
        <v>76.983000000000004</v>
      </c>
      <c r="N223" s="47">
        <f ca="1">'Fiscal Forecasts'!N$270+IF($C$2="Yes",'Fiscal Forecast Adjuster'!E$26/1000,0)+IF(OFFSET(Assumptions!$B$57,0,$C$1)="Yes",SUM(Allocation!E$10:E$20)+IF($C$2="Yes",SUM('Fiscal Forecast Adjuster'!E$46:E$56),0),0)+IF($C$3="Yes",'NZSF Adjuster'!Y$26-'NZSF Adjuster'!Y$17,0)</f>
        <v>77.331000000000003</v>
      </c>
      <c r="O223" s="47">
        <f ca="1">'Fiscal Forecasts'!O$270+IF($C$2="Yes",'Fiscal Forecast Adjuster'!F$26/1000,0)+IF(OFFSET(Assumptions!$B$57,0,$C$1)="Yes",SUM(Allocation!F$10:F$20)+IF($C$2="Yes",SUM('Fiscal Forecast Adjuster'!F$46:F$56),0),0)+IF($C$3="Yes",'NZSF Adjuster'!Z$26-'NZSF Adjuster'!Z$17,0)</f>
        <v>77.119</v>
      </c>
      <c r="P223" s="47">
        <f ca="1">'Fiscal Forecasts'!P$270+IF($C$2="Yes",'Fiscal Forecast Adjuster'!G$26/1000,0)+IF(OFFSET(Assumptions!$B$57,0,$C$1)="Yes",SUM(Allocation!G$10:G$20)+IF($C$2="Yes",SUM('Fiscal Forecast Adjuster'!G$46:G$56),0),0)+IF($C$3="Yes",'NZSF Adjuster'!AA$26-'NZSF Adjuster'!AA$17,0)</f>
        <v>77.394999999999996</v>
      </c>
      <c r="Q223" s="21">
        <f ca="1">SUM(-Q$215,Q$324,IF(Q$6=OFFSET(Assumptions!$B$8,0,$C$1),AVERAGE((N$223+N$215-N$324)/SUM(N$208,N$215,N$223,-N$252,-N$324),(O$223+O$215-O$324)/SUM(O$208,O$215,O$223,-O$252,-O$324),(P$223+P$215-P$324)/SUM(P$208,P$215,P$223,-P$252,-P$324)),(P$223+P$215-P$324)/SUM(P$208,P$215,P$223,-P$252,-P$324))*(Q$323-Q$256-Q$264))</f>
        <v>78.248035614232506</v>
      </c>
      <c r="R223" s="21">
        <f ca="1">SUM(-R$215,R$324,IF(R$6=OFFSET(Assumptions!$B$8,0,$C$1),AVERAGE((O$223+O$215-O$324)/SUM(O$208,O$215,O$223,-O$252,-O$324),(P$223+P$215-P$324)/SUM(P$208,P$215,P$223,-P$252,-P$324),(Q$223+Q$215-Q$324)/SUM(Q$208,Q$215,Q$223,-Q$252,-Q$324)),(Q$223+Q$215-Q$324)/SUM(Q$208,Q$215,Q$223,-Q$252,-Q$324))*(R$323-R$256-R$264))</f>
        <v>78.360803444641803</v>
      </c>
      <c r="S223" s="21">
        <f ca="1">SUM(-S$215,S$324,IF(S$6=OFFSET(Assumptions!$B$8,0,$C$1),AVERAGE((P$223+P$215-P$324)/SUM(P$208,P$215,P$223,-P$252,-P$324),(Q$223+Q$215-Q$324)/SUM(Q$208,Q$215,Q$223,-Q$252,-Q$324),(R$223+R$215-R$324)/SUM(R$208,R$215,R$223,-R$252,-R$324)),(R$223+R$215-R$324)/SUM(R$208,R$215,R$223,-R$252,-R$324))*(S$323-S$256-S$264))</f>
        <v>78.456352012985789</v>
      </c>
      <c r="T223" s="21">
        <f ca="1">SUM(-T$215,T$324,IF(T$6=OFFSET(Assumptions!$B$8,0,$C$1),AVERAGE((Q$223+Q$215-Q$324)/SUM(Q$208,Q$215,Q$223,-Q$252,-Q$324),(R$223+R$215-R$324)/SUM(R$208,R$215,R$223,-R$252,-R$324),(S$223+S$215-S$324)/SUM(S$208,S$215,S$223,-S$252,-S$324)),(S$223+S$215-S$324)/SUM(S$208,S$215,S$223,-S$252,-S$324))*(T$323-T$256-T$264))</f>
        <v>78.775793777486172</v>
      </c>
      <c r="U223" s="21">
        <f ca="1">SUM(-U$215,U$324,IF(U$6=OFFSET(Assumptions!$B$8,0,$C$1),AVERAGE((R$223+R$215-R$324)/SUM(R$208,R$215,R$223,-R$252,-R$324),(S$223+S$215-S$324)/SUM(S$208,S$215,S$223,-S$252,-S$324),(T$223+T$215-T$324)/SUM(T$208,T$215,T$223,-T$252,-T$324)),(T$223+T$215-T$324)/SUM(T$208,T$215,T$223,-T$252,-T$324))*(U$323-U$256-U$264))</f>
        <v>79.207624493503332</v>
      </c>
      <c r="V223" s="21">
        <f ca="1">SUM(-V$215,V$324,IF(V$6=OFFSET(Assumptions!$B$8,0,$C$1),AVERAGE((S$223+S$215-S$324)/SUM(S$208,S$215,S$223,-S$252,-S$324),(T$223+T$215-T$324)/SUM(T$208,T$215,T$223,-T$252,-T$324),(U$223+U$215-U$324)/SUM(U$208,U$215,U$223,-U$252,-U$324)),(U$223+U$215-U$324)/SUM(U$208,U$215,U$223,-U$252,-U$324))*(V$323-V$256-V$264))</f>
        <v>79.651143359102406</v>
      </c>
      <c r="W223" s="21">
        <f ca="1">SUM(-W$215,W$324,IF(W$6=OFFSET(Assumptions!$B$8,0,$C$1),AVERAGE((T$223+T$215-T$324)/SUM(T$208,T$215,T$223,-T$252,-T$324),(U$223+U$215-U$324)/SUM(U$208,U$215,U$223,-U$252,-U$324),(V$223+V$215-V$324)/SUM(V$208,V$215,V$223,-V$252,-V$324)),(V$223+V$215-V$324)/SUM(V$208,V$215,V$223,-V$252,-V$324))*(W$323-W$256-W$264))</f>
        <v>80.108755087737734</v>
      </c>
      <c r="X223" s="21">
        <f ca="1">SUM(-X$215,X$324,IF(X$6=OFFSET(Assumptions!$B$8,0,$C$1),AVERAGE((U$223+U$215-U$324)/SUM(U$208,U$215,U$223,-U$252,-U$324),(V$223+V$215-V$324)/SUM(V$208,V$215,V$223,-V$252,-V$324),(W$223+W$215-W$324)/SUM(W$208,W$215,W$223,-W$252,-W$324)),(W$223+W$215-W$324)/SUM(W$208,W$215,W$223,-W$252,-W$324))*(X$323-X$256-X$264))</f>
        <v>80.579425792650639</v>
      </c>
      <c r="Y223" s="21">
        <f ca="1">SUM(-Y$215,Y$324,IF(Y$6=OFFSET(Assumptions!$B$8,0,$C$1),AVERAGE((V$223+V$215-V$324)/SUM(V$208,V$215,V$223,-V$252,-V$324),(W$223+W$215-W$324)/SUM(W$208,W$215,W$223,-W$252,-W$324),(X$223+X$215-X$324)/SUM(X$208,X$215,X$223,-X$252,-X$324)),(X$223+X$215-X$324)/SUM(X$208,X$215,X$223,-X$252,-X$324))*(Y$323-Y$256-Y$264))</f>
        <v>81.065546070760661</v>
      </c>
      <c r="Z223" s="21">
        <f ca="1">SUM(-Z$215,Z$324,IF(Z$6=OFFSET(Assumptions!$B$8,0,$C$1),AVERAGE((W$223+W$215-W$324)/SUM(W$208,W$215,W$223,-W$252,-W$324),(X$223+X$215-X$324)/SUM(X$208,X$215,X$223,-X$252,-X$324),(Y$223+Y$215-Y$324)/SUM(Y$208,Y$215,Y$223,-Y$252,-Y$324)),(Y$223+Y$215-Y$324)/SUM(Y$208,Y$215,Y$223,-Y$252,-Y$324))*(Z$323-Z$256-Z$264))</f>
        <v>81.567634053663625</v>
      </c>
    </row>
    <row r="224" spans="1:26" x14ac:dyDescent="0.25">
      <c r="A224" s="12" t="s">
        <v>1020</v>
      </c>
      <c r="B224" s="14" t="str">
        <f>$B$38</f>
        <v>From Fiscal Forecasts</v>
      </c>
      <c r="D224" s="50">
        <f>'Fiscal Forecasts'!D$271</f>
        <v>22.132999999999999</v>
      </c>
      <c r="E224" s="50">
        <f>'Fiscal Forecasts'!E$271</f>
        <v>25.504999999999999</v>
      </c>
      <c r="F224" s="50">
        <f>'Fiscal Forecasts'!F$271</f>
        <v>25.257000000000001</v>
      </c>
      <c r="G224" s="50">
        <f>'Fiscal Forecasts'!G$271</f>
        <v>27.652000000000001</v>
      </c>
      <c r="H224" s="50">
        <f>'Fiscal Forecasts'!H$271</f>
        <v>33.918999999999997</v>
      </c>
      <c r="I224" s="50">
        <f>'Fiscal Forecasts'!I$271</f>
        <v>34.594999999999999</v>
      </c>
      <c r="J224" s="50">
        <f>'Fiscal Forecasts'!J$271</f>
        <v>34.951000000000001</v>
      </c>
      <c r="K224" s="50">
        <f>'Fiscal Forecasts'!K$271</f>
        <v>35.914000000000001</v>
      </c>
      <c r="L224" s="48">
        <f>'Fiscal Forecasts'!L$271</f>
        <v>38.064999999999998</v>
      </c>
      <c r="M224" s="48">
        <f>'Fiscal Forecasts'!M$271</f>
        <v>36.436</v>
      </c>
      <c r="N224" s="48">
        <f>'Fiscal Forecasts'!N$271</f>
        <v>36.185000000000002</v>
      </c>
      <c r="O224" s="48">
        <f>'Fiscal Forecasts'!O$271</f>
        <v>36.218000000000004</v>
      </c>
      <c r="P224" s="48">
        <f>'Fiscal Forecasts'!P$271</f>
        <v>36.292999999999999</v>
      </c>
      <c r="Q224" s="20">
        <f ca="1">SUM(-Q$216,IF(Q$6=OFFSET(Assumptions!$B$8,0,$C$1),AVERAGE(SUM(N$216,N$224)/SUM(N$209,-(N$253-N$252),N$216,N$224),SUM(O$216,O$224)/SUM(O$209,-(O$253-O$252),O$216,O$224),SUM(P$216,P$224)/SUM(P$209,-(P$253-P$252),P$216,P$224)),SUM(P$216,P$224)/SUM(P$209,-(P$253-P$252),P$216,P$224))*SUM(Q$198-Q$239,Q$257,Q$266,Q$284,Q$326,-(Q$253-Q$252)))</f>
        <v>36.547158559487649</v>
      </c>
      <c r="R224" s="20">
        <f ca="1">SUM(-R$216,IF(R$6=OFFSET(Assumptions!$B$8,0,$C$1),AVERAGE(SUM(O$216,O$224)/SUM(O$209,-(O$253-O$252),O$216,O$224),SUM(P$216,P$224)/SUM(P$209,-(P$253-P$252),P$216,P$224),SUM(Q$216,Q$224)/SUM(Q$209,-(Q$253-Q$252),Q$216,Q$224)),SUM(Q$216,Q$224)/SUM(Q$209,-(Q$253-Q$252),Q$216,Q$224))*SUM(R$198-R$239,R$257,R$266,R$284,R$326,-(R$253-R$252)))</f>
        <v>36.728305460868114</v>
      </c>
      <c r="S224" s="20">
        <f ca="1">SUM(-S$216,IF(S$6=OFFSET(Assumptions!$B$8,0,$C$1),AVERAGE(SUM(P$216,P$224)/SUM(P$209,-(P$253-P$252),P$216,P$224),SUM(Q$216,Q$224)/SUM(Q$209,-(Q$253-Q$252),Q$216,Q$224),SUM(R$216,R$224)/SUM(R$209,-(R$253-R$252),R$216,R$224)),SUM(R$216,R$224)/SUM(R$209,-(R$253-R$252),R$216,R$224))*SUM(S$198-S$239,S$257,S$266,S$284,S$326,-(S$253-S$252)))</f>
        <v>36.899125813086997</v>
      </c>
      <c r="T224" s="20">
        <f ca="1">SUM(-T$216,IF(T$6=OFFSET(Assumptions!$B$8,0,$C$1),AVERAGE(SUM(Q$216,Q$224)/SUM(Q$209,-(Q$253-Q$252),Q$216,Q$224),SUM(R$216,R$224)/SUM(R$209,-(R$253-R$252),R$216,R$224),SUM(S$216,S$224)/SUM(S$209,-(S$253-S$252),S$216,S$224)),SUM(S$216,S$224)/SUM(S$209,-(S$253-S$252),S$216,S$224))*SUM(T$198-T$239,T$257,T$266,T$284,T$326,-(T$253-T$252)))</f>
        <v>37.199882350287318</v>
      </c>
      <c r="U224" s="20">
        <f ca="1">SUM(-U$216,IF(U$6=OFFSET(Assumptions!$B$8,0,$C$1),AVERAGE(SUM(R$216,R$224)/SUM(R$209,-(R$253-R$252),R$216,R$224),SUM(S$216,S$224)/SUM(S$209,-(S$253-S$252),S$216,S$224),SUM(T$216,T$224)/SUM(T$209,-(T$253-T$252),T$216,T$224)),SUM(T$216,T$224)/SUM(T$209,-(T$253-T$252),T$216,T$224))*SUM(U$198-U$239,U$257,U$266,U$284,U$326,-(U$253-U$252)))</f>
        <v>37.575273208052273</v>
      </c>
      <c r="V224" s="20">
        <f ca="1">SUM(-V$216,IF(V$6=OFFSET(Assumptions!$B$8,0,$C$1),AVERAGE(SUM(S$216,S$224)/SUM(S$209,-(S$253-S$252),S$216,S$224),SUM(T$216,T$224)/SUM(T$209,-(T$253-T$252),T$216,T$224),SUM(U$216,U$224)/SUM(U$209,-(U$253-U$252),U$216,U$224)),SUM(U$216,U$224)/SUM(U$209,-(U$253-U$252),U$216,U$224))*SUM(V$198-V$239,V$257,V$266,V$284,V$326,-(V$253-V$252)))</f>
        <v>37.959367077075427</v>
      </c>
      <c r="W224" s="20">
        <f ca="1">SUM(-W$216,IF(W$6=OFFSET(Assumptions!$B$8,0,$C$1),AVERAGE(SUM(T$216,T$224)/SUM(T$209,-(T$253-T$252),T$216,T$224),SUM(U$216,U$224)/SUM(U$209,-(U$253-U$252),U$216,U$224),SUM(V$216,V$224)/SUM(V$209,-(V$253-V$252),V$216,V$224)),SUM(V$216,V$224)/SUM(V$209,-(V$253-V$252),V$216,V$224))*SUM(W$198-W$239,W$257,W$266,W$284,W$326,-(W$253-W$252)))</f>
        <v>38.3546685138515</v>
      </c>
      <c r="X224" s="20">
        <f ca="1">SUM(-X$216,IF(X$6=OFFSET(Assumptions!$B$8,0,$C$1),AVERAGE(SUM(U$216,U$224)/SUM(U$209,-(U$253-U$252),U$216,U$224),SUM(V$216,V$224)/SUM(V$209,-(V$253-V$252),V$216,V$224),SUM(W$216,W$224)/SUM(W$209,-(W$253-W$252),W$216,W$224)),SUM(W$216,W$224)/SUM(W$209,-(W$253-W$252),W$216,W$224))*SUM(X$198-X$239,X$257,X$266,X$284,X$326,-(X$253-X$252)))</f>
        <v>38.762183992043269</v>
      </c>
      <c r="Y224" s="20">
        <f ca="1">SUM(-Y$216,IF(Y$6=OFFSET(Assumptions!$B$8,0,$C$1),AVERAGE(SUM(V$216,V$224)/SUM(V$209,-(V$253-V$252),V$216,V$224),SUM(W$216,W$224)/SUM(W$209,-(W$253-W$252),W$216,W$224),SUM(X$216,X$224)/SUM(X$209,-(X$253-X$252),X$216,X$224)),SUM(X$216,X$224)/SUM(X$209,-(X$253-X$252),X$216,X$224))*SUM(Y$198-Y$239,Y$257,Y$266,Y$284,Y$326,-(Y$253-Y$252)))</f>
        <v>39.17693947233424</v>
      </c>
      <c r="Z224" s="20">
        <f ca="1">SUM(-Z$216,IF(Z$6=OFFSET(Assumptions!$B$8,0,$C$1),AVERAGE(SUM(W$216,W$224)/SUM(W$209,-(W$253-W$252),W$216,W$224),SUM(X$216,X$224)/SUM(X$209,-(X$253-X$252),X$216,X$224),SUM(Y$216,Y$224)/SUM(Y$209,-(Y$253-Y$252),Y$216,Y$224)),SUM(Y$216,Y$224)/SUM(Y$209,-(Y$253-Y$252),Y$216,Y$224))*SUM(Z$198-Z$239,Z$257,Z$266,Z$284,Z$326,-(Z$253-Z$252)))</f>
        <v>39.607289308759356</v>
      </c>
    </row>
    <row r="225" spans="1:26" x14ac:dyDescent="0.25">
      <c r="A225" s="12" t="s">
        <v>1227</v>
      </c>
      <c r="B225" s="14" t="str">
        <f>$B$38</f>
        <v>From Fiscal Forecasts</v>
      </c>
      <c r="D225" s="50">
        <f>'Fiscal Forecasts'!D$272</f>
        <v>9.4740000000000002</v>
      </c>
      <c r="E225" s="50">
        <f>'Fiscal Forecasts'!E$272</f>
        <v>12.164999999999999</v>
      </c>
      <c r="F225" s="50">
        <f>'Fiscal Forecasts'!F$272</f>
        <v>11.702999999999999</v>
      </c>
      <c r="G225" s="50">
        <f>'Fiscal Forecasts'!G$272</f>
        <v>9.8040000000000003</v>
      </c>
      <c r="H225" s="50">
        <f>'Fiscal Forecasts'!H$272</f>
        <v>12.132</v>
      </c>
      <c r="I225" s="50">
        <f>'Fiscal Forecasts'!I$272</f>
        <v>16.550999999999998</v>
      </c>
      <c r="J225" s="50">
        <f>'Fiscal Forecasts'!J$272</f>
        <v>15.942</v>
      </c>
      <c r="K225" s="50">
        <f>'Fiscal Forecasts'!K$272</f>
        <v>13.926</v>
      </c>
      <c r="L225" s="48">
        <f>'Fiscal Forecasts'!L$272</f>
        <v>15.935</v>
      </c>
      <c r="M225" s="48">
        <f>'Fiscal Forecasts'!M$272</f>
        <v>15.486000000000001</v>
      </c>
      <c r="N225" s="48">
        <f>'Fiscal Forecasts'!N$272</f>
        <v>15.907999999999999</v>
      </c>
      <c r="O225" s="48">
        <f>'Fiscal Forecasts'!O$272</f>
        <v>16.349</v>
      </c>
      <c r="P225" s="48">
        <f>'Fiscal Forecasts'!P$272</f>
        <v>16.396000000000001</v>
      </c>
      <c r="Q225" s="20">
        <f ca="1">SUM(-Q$217,IF(Q$6=OFFSET(Assumptions!$B$8,0,$C$1),AVERAGE(SUM(N$217,N$225)/SUM(N$210,N$217,N$225),SUM(O$217,O$225)/SUM(O$210,O$217,O$225),SUM(P$217,P$225)/SUM(P$210,P$217,P$225)),SUM(P$217,P$225)/SUM(P$210,P$217,P$225))*SUM(Q$285,Q$327-Q$240))</f>
        <v>17.384180550105988</v>
      </c>
      <c r="R225" s="20">
        <f ca="1">SUM(-R$217,IF(R$6=OFFSET(Assumptions!$B$8,0,$C$1),AVERAGE(SUM(O$217,O$225)/SUM(O$210,O$217,O$225),SUM(P$217,P$225)/SUM(P$210,P$217,P$225),SUM(Q$217,Q$225)/SUM(Q$210,Q$217,Q$225)),SUM(Q$217,Q$225)/SUM(Q$210,Q$217,Q$225))*SUM(R$285,R$327-R$240))</f>
        <v>18.090734684676782</v>
      </c>
      <c r="S225" s="20">
        <f ca="1">SUM(-S$217,IF(S$6=OFFSET(Assumptions!$B$8,0,$C$1),AVERAGE(SUM(P$217,P$225)/SUM(P$210,P$217,P$225),SUM(Q$217,Q$225)/SUM(Q$210,Q$217,Q$225),SUM(R$217,R$225)/SUM(R$210,R$217,R$225)),SUM(R$217,R$225)/SUM(R$210,R$217,R$225))*SUM(S$285,S$327-S$240))</f>
        <v>18.81482120598487</v>
      </c>
      <c r="T225" s="20">
        <f ca="1">SUM(-T$217,IF(T$6=OFFSET(Assumptions!$B$8,0,$C$1),AVERAGE(SUM(Q$217,Q$225)/SUM(Q$210,Q$217,Q$225),SUM(R$217,R$225)/SUM(R$210,R$217,R$225),SUM(S$217,S$225)/SUM(S$210,S$217,S$225)),SUM(S$217,S$225)/SUM(S$210,S$217,S$225))*SUM(T$285,T$327-T$240))</f>
        <v>19.552117954503771</v>
      </c>
      <c r="U225" s="20">
        <f ca="1">SUM(-U$217,IF(U$6=OFFSET(Assumptions!$B$8,0,$C$1),AVERAGE(SUM(R$217,R$225)/SUM(R$210,R$217,R$225),SUM(S$217,S$225)/SUM(S$210,S$217,S$225),SUM(T$217,T$225)/SUM(T$210,T$217,T$225)),SUM(T$217,T$225)/SUM(T$210,T$217,T$225))*SUM(U$285,U$327-U$240))</f>
        <v>20.31394557724968</v>
      </c>
      <c r="V225" s="20">
        <f ca="1">SUM(-V$217,IF(V$6=OFFSET(Assumptions!$B$8,0,$C$1),AVERAGE(SUM(S$217,S$225)/SUM(S$210,S$217,S$225),SUM(T$217,T$225)/SUM(T$210,T$217,T$225),SUM(U$217,U$225)/SUM(U$210,U$217,U$225)),SUM(U$217,U$225)/SUM(U$210,U$217,U$225))*SUM(V$285,V$327-V$240))</f>
        <v>21.097393273455673</v>
      </c>
      <c r="W225" s="20">
        <f ca="1">SUM(-W$217,IF(W$6=OFFSET(Assumptions!$B$8,0,$C$1),AVERAGE(SUM(T$217,T$225)/SUM(T$210,T$217,T$225),SUM(U$217,U$225)/SUM(U$210,U$217,U$225),SUM(V$217,V$225)/SUM(V$210,V$217,V$225)),SUM(V$217,V$225)/SUM(V$210,V$217,V$225))*SUM(W$285,W$327-W$240))</f>
        <v>21.890689224573418</v>
      </c>
      <c r="X225" s="20">
        <f ca="1">SUM(-X$217,IF(X$6=OFFSET(Assumptions!$B$8,0,$C$1),AVERAGE(SUM(U$217,U$225)/SUM(U$210,U$217,U$225),SUM(V$217,V$225)/SUM(V$210,V$217,V$225),SUM(W$217,W$225)/SUM(W$210,W$217,W$225)),SUM(W$217,W$225)/SUM(W$210,W$217,W$225))*SUM(X$285,X$327-X$240))</f>
        <v>22.704597868053508</v>
      </c>
      <c r="Y225" s="20">
        <f ca="1">SUM(-Y$217,IF(Y$6=OFFSET(Assumptions!$B$8,0,$C$1),AVERAGE(SUM(V$217,V$225)/SUM(V$210,V$217,V$225),SUM(W$217,W$225)/SUM(W$210,W$217,W$225),SUM(X$217,X$225)/SUM(X$210,X$217,X$225)),SUM(X$217,X$225)/SUM(X$210,X$217,X$225))*SUM(Y$285,Y$327-Y$240))</f>
        <v>23.545432516273799</v>
      </c>
      <c r="Z225" s="20">
        <f ca="1">SUM(-Z$217,IF(Z$6=OFFSET(Assumptions!$B$8,0,$C$1),AVERAGE(SUM(W$217,W$225)/SUM(W$210,W$217,W$225),SUM(X$217,X$225)/SUM(X$210,X$217,X$225),SUM(Y$217,Y$225)/SUM(Y$210,Y$217,Y$225)),SUM(Y$217,Y$225)/SUM(Y$210,Y$217,Y$225))*SUM(Z$285,Z$327-Z$240))</f>
        <v>24.410354490221003</v>
      </c>
    </row>
    <row r="226" spans="1:26" x14ac:dyDescent="0.25">
      <c r="A226" s="12" t="s">
        <v>1228</v>
      </c>
      <c r="B226" s="14" t="str">
        <f>$B$38</f>
        <v>From Fiscal Forecasts</v>
      </c>
      <c r="D226" s="50">
        <f>'Fiscal Forecasts'!D$273</f>
        <v>-33.872999999999998</v>
      </c>
      <c r="E226" s="50">
        <f>'Fiscal Forecasts'!E$273</f>
        <v>-36.92</v>
      </c>
      <c r="F226" s="50">
        <f>'Fiscal Forecasts'!F$273</f>
        <v>-41.241999999999997</v>
      </c>
      <c r="G226" s="50">
        <f>'Fiscal Forecasts'!G$273</f>
        <v>-44.725999999999999</v>
      </c>
      <c r="H226" s="50">
        <f>'Fiscal Forecasts'!H$273</f>
        <v>-50.067</v>
      </c>
      <c r="I226" s="50">
        <f>'Fiscal Forecasts'!I$273</f>
        <v>-53.246000000000002</v>
      </c>
      <c r="J226" s="50">
        <f>'Fiscal Forecasts'!J$273</f>
        <v>-53.735999999999997</v>
      </c>
      <c r="K226" s="50">
        <f>'Fiscal Forecasts'!K$273</f>
        <v>-56.573</v>
      </c>
      <c r="L226" s="48">
        <f>'Fiscal Forecasts'!L$273</f>
        <v>-58.744</v>
      </c>
      <c r="M226" s="48">
        <f>'Fiscal Forecasts'!M$273</f>
        <v>-58.534999999999997</v>
      </c>
      <c r="N226" s="48">
        <f>'Fiscal Forecasts'!N$273</f>
        <v>-58.863999999999997</v>
      </c>
      <c r="O226" s="48">
        <f>'Fiscal Forecasts'!O$273</f>
        <v>-59.152000000000001</v>
      </c>
      <c r="P226" s="48">
        <f>'Fiscal Forecasts'!P$273</f>
        <v>-59.59</v>
      </c>
      <c r="Q226" s="20">
        <f ca="1">IF(Q$6=OFFSET(Assumptions!$B$8,0,$C$1),AVERAGE(N$226/SUM(N$211,N$226),O$226/SUM(O$211,O$226),P$226/SUM(P$211,P$226)),P$226/SUM(P$211,P$226))*SUM(Q$199,Q$258,Q$267,Q$286,Q$328)</f>
        <v>-61.559692723982657</v>
      </c>
      <c r="R226" s="20">
        <f ca="1">IF(R$6=OFFSET(Assumptions!$B$8,0,$C$1),AVERAGE(O$226/SUM(O$211,O$226),P$226/SUM(P$211,P$226),Q$226/SUM(Q$211,Q$226)),Q$226/SUM(Q$211,Q$226))*SUM(R$199,R$258,R$267,R$286,R$328)</f>
        <v>-61.924113487075189</v>
      </c>
      <c r="S226" s="20">
        <f ca="1">IF(S$6=OFFSET(Assumptions!$B$8,0,$C$1),AVERAGE(P$226/SUM(P$211,P$226),Q$226/SUM(Q$211,Q$226),R$226/SUM(R$211,R$226)),R$226/SUM(R$211,R$226))*SUM(S$199,S$258,S$267,S$286,S$328)</f>
        <v>-62.293673655207613</v>
      </c>
      <c r="T226" s="20">
        <f ca="1">IF(T$6=OFFSET(Assumptions!$B$8,0,$C$1),AVERAGE(Q$226/SUM(Q$211,Q$226),R$226/SUM(R$211,R$226),S$226/SUM(S$211,S$226)),S$226/SUM(S$211,S$226))*SUM(T$199,T$258,T$267,T$286,T$328)</f>
        <v>-62.912607763157588</v>
      </c>
      <c r="U226" s="20">
        <f ca="1">IF(U$6=OFFSET(Assumptions!$B$8,0,$C$1),AVERAGE(R$226/SUM(R$211,R$226),S$226/SUM(S$211,S$226),T$226/SUM(T$211,T$226)),T$226/SUM(T$211,T$226))*SUM(U$199,U$258,U$267,U$286,U$328)</f>
        <v>-63.671306245881247</v>
      </c>
      <c r="V226" s="20">
        <f ca="1">IF(V$6=OFFSET(Assumptions!$B$8,0,$C$1),AVERAGE(S$226/SUM(S$211,S$226),T$226/SUM(T$211,T$226),U$226/SUM(U$211,U$226)),U$226/SUM(U$211,U$226))*SUM(V$199,V$258,V$267,V$286,V$328)</f>
        <v>-64.288576120471348</v>
      </c>
      <c r="W226" s="20">
        <f ca="1">IF(W$6=OFFSET(Assumptions!$B$8,0,$C$1),AVERAGE(T$226/SUM(T$211,T$226),U$226/SUM(U$211,U$226),V$226/SUM(V$211,V$226)),V$226/SUM(V$211,V$226))*SUM(W$199,W$258,W$267,W$286,W$328)</f>
        <v>-64.868835741128507</v>
      </c>
      <c r="X226" s="20">
        <f ca="1">IF(X$6=OFFSET(Assumptions!$B$8,0,$C$1),AVERAGE(U$226/SUM(U$211,U$226),V$226/SUM(V$211,V$226),W$226/SUM(W$211,W$226)),W$226/SUM(W$211,W$226))*SUM(X$199,X$258,X$267,X$286,X$328)</f>
        <v>-65.469480332890839</v>
      </c>
      <c r="Y226" s="20">
        <f ca="1">IF(Y$6=OFFSET(Assumptions!$B$8,0,$C$1),AVERAGE(V$226/SUM(V$211,V$226),W$226/SUM(W$211,W$226),X$226/SUM(X$211,X$226)),X$226/SUM(X$211,X$226))*SUM(Y$199,Y$258,Y$267,Y$286,Y$328)</f>
        <v>-66.094330282904508</v>
      </c>
      <c r="Z226" s="20">
        <f ca="1">IF(Z$6=OFFSET(Assumptions!$B$8,0,$C$1),AVERAGE(W$226/SUM(W$211,W$226),X$226/SUM(X$211,X$226),Y$226/SUM(Y$211,Y$226)),Y$226/SUM(Y$211,Y$226))*SUM(Z$199,Z$258,Z$267,Z$286,Z$328)</f>
        <v>-66.734557121240883</v>
      </c>
    </row>
    <row r="227" spans="1:26" x14ac:dyDescent="0.25">
      <c r="A227" s="11" t="s">
        <v>1260</v>
      </c>
      <c r="D227" s="94">
        <f t="shared" ref="D227:Z227" si="142">SUM(D$223:D$226)</f>
        <v>42.693000000000005</v>
      </c>
      <c r="E227" s="94">
        <f t="shared" si="142"/>
        <v>52.582999999999984</v>
      </c>
      <c r="F227" s="94">
        <f t="shared" si="142"/>
        <v>53.802000000000014</v>
      </c>
      <c r="G227" s="94">
        <f t="shared" si="142"/>
        <v>58.27300000000001</v>
      </c>
      <c r="H227" s="94">
        <f t="shared" si="142"/>
        <v>64.134000000000015</v>
      </c>
      <c r="I227" s="94">
        <f t="shared" si="142"/>
        <v>70.62</v>
      </c>
      <c r="J227" s="94">
        <f t="shared" si="142"/>
        <v>69.827000000000027</v>
      </c>
      <c r="K227" s="94">
        <f t="shared" si="142"/>
        <v>67.600999999999999</v>
      </c>
      <c r="L227" s="95">
        <f t="shared" ca="1" si="142"/>
        <v>74.823999999999984</v>
      </c>
      <c r="M227" s="95">
        <f t="shared" ca="1" si="142"/>
        <v>70.37</v>
      </c>
      <c r="N227" s="95">
        <f t="shared" ca="1" si="142"/>
        <v>70.56</v>
      </c>
      <c r="O227" s="95">
        <f t="shared" ca="1" si="142"/>
        <v>70.534000000000006</v>
      </c>
      <c r="P227" s="95">
        <f t="shared" ca="1" si="142"/>
        <v>70.494</v>
      </c>
      <c r="Q227" s="96">
        <f t="shared" ca="1" si="142"/>
        <v>70.619681999843465</v>
      </c>
      <c r="R227" s="96">
        <f t="shared" ca="1" si="142"/>
        <v>71.255730103111503</v>
      </c>
      <c r="S227" s="96">
        <f t="shared" ca="1" si="142"/>
        <v>71.876625376850029</v>
      </c>
      <c r="T227" s="96">
        <f t="shared" ca="1" si="142"/>
        <v>72.615186319119658</v>
      </c>
      <c r="U227" s="96">
        <f t="shared" ca="1" si="142"/>
        <v>73.425537032924041</v>
      </c>
      <c r="V227" s="96">
        <f t="shared" ca="1" si="142"/>
        <v>74.419327589162165</v>
      </c>
      <c r="W227" s="96">
        <f t="shared" ca="1" si="142"/>
        <v>75.485277085034127</v>
      </c>
      <c r="X227" s="96">
        <f t="shared" ca="1" si="142"/>
        <v>76.576727319856559</v>
      </c>
      <c r="Y227" s="96">
        <f t="shared" ca="1" si="142"/>
        <v>77.693587776464199</v>
      </c>
      <c r="Z227" s="96">
        <f t="shared" ca="1" si="142"/>
        <v>78.850720731403115</v>
      </c>
    </row>
    <row r="228" spans="1:26" x14ac:dyDescent="0.25">
      <c r="A228" s="11"/>
    </row>
    <row r="229" spans="1:26" x14ac:dyDescent="0.25">
      <c r="A229" s="11" t="s">
        <v>1261</v>
      </c>
    </row>
    <row r="230" spans="1:26" x14ac:dyDescent="0.25">
      <c r="A230" s="11" t="s">
        <v>1262</v>
      </c>
      <c r="B230" s="14" t="str">
        <f>$B$38</f>
        <v>From Fiscal Forecasts</v>
      </c>
      <c r="D230" s="51">
        <f>'Fiscal Forecasts'!D$173</f>
        <v>3.69</v>
      </c>
      <c r="E230" s="51">
        <f>'Fiscal Forecasts'!E$173</f>
        <v>3.2280000000000002</v>
      </c>
      <c r="F230" s="51">
        <f>'Fiscal Forecasts'!F$173</f>
        <v>1.9179999999999999</v>
      </c>
      <c r="G230" s="51">
        <f>'Fiscal Forecasts'!G$173</f>
        <v>2.8839999999999999</v>
      </c>
      <c r="H230" s="51">
        <f>'Fiscal Forecasts'!H$173</f>
        <v>6.569</v>
      </c>
      <c r="I230" s="51">
        <f>'Fiscal Forecasts'!I$173</f>
        <v>8.9429999999999996</v>
      </c>
      <c r="J230" s="51">
        <f>'Fiscal Forecasts'!J$173</f>
        <v>8.8620000000000001</v>
      </c>
      <c r="K230" s="51">
        <f>'Fiscal Forecasts'!K$173</f>
        <v>9.0570000000000004</v>
      </c>
      <c r="L230" s="47">
        <f>'Fiscal Forecasts'!L$173+IF($C$2="Yes",'Fiscal Forecast Adjuster'!C$38/1000,0)+IF($C$3="Yes",'NZSF Adjuster'!W$9,0)</f>
        <v>10.291</v>
      </c>
      <c r="M230" s="47">
        <f>'Fiscal Forecasts'!M$173+IF($C$2="Yes",'Fiscal Forecast Adjuster'!D$38/1000,0)+IF($C$3="Yes",'NZSF Adjuster'!X$9,0)</f>
        <v>11.396000000000001</v>
      </c>
      <c r="N230" s="47">
        <f>'Fiscal Forecasts'!N$173+IF($C$2="Yes",'Fiscal Forecast Adjuster'!E$38/1000,0)+IF($C$3="Yes",'NZSF Adjuster'!Y$9,0)</f>
        <v>12.481</v>
      </c>
      <c r="O230" s="47">
        <f>'Fiscal Forecasts'!O$173+IF($C$2="Yes",'Fiscal Forecast Adjuster'!F$38/1000,0)+IF($C$3="Yes",'NZSF Adjuster'!Z$9,0)</f>
        <v>13.502000000000001</v>
      </c>
      <c r="P230" s="47">
        <f>'Fiscal Forecasts'!P$173+IF($C$2="Yes",'Fiscal Forecast Adjuster'!G$38/1000,0)+IF($C$3="Yes",'NZSF Adjuster'!AA$9,0)</f>
        <v>13.689</v>
      </c>
      <c r="Q230" s="21">
        <f t="shared" ref="Q230:Z230" ca="1" si="143">Q$480</f>
        <v>13.600419708639748</v>
      </c>
      <c r="R230" s="21">
        <f t="shared" ca="1" si="143"/>
        <v>13.485461167836855</v>
      </c>
      <c r="S230" s="21">
        <f t="shared" ca="1" si="143"/>
        <v>13.271610328921172</v>
      </c>
      <c r="T230" s="21">
        <f t="shared" ca="1" si="143"/>
        <v>12.937541264511243</v>
      </c>
      <c r="U230" s="21">
        <f t="shared" ca="1" si="143"/>
        <v>12.475856670758571</v>
      </c>
      <c r="V230" s="21">
        <f t="shared" ca="1" si="143"/>
        <v>11.809058564155048</v>
      </c>
      <c r="W230" s="21">
        <f t="shared" ca="1" si="143"/>
        <v>11.009641325816213</v>
      </c>
      <c r="X230" s="21">
        <f t="shared" ca="1" si="143"/>
        <v>10.072077724763467</v>
      </c>
      <c r="Y230" s="21">
        <f t="shared" ca="1" si="143"/>
        <v>8.9910328819959595</v>
      </c>
      <c r="Z230" s="21">
        <f t="shared" ca="1" si="143"/>
        <v>7.7603497769980789</v>
      </c>
    </row>
    <row r="231" spans="1:26" x14ac:dyDescent="0.25">
      <c r="A231" s="12" t="s">
        <v>1020</v>
      </c>
      <c r="B231" s="14" t="str">
        <f>$B$38</f>
        <v>From Fiscal Forecasts</v>
      </c>
      <c r="D231" s="50">
        <f>'Fiscal Forecasts'!D$276</f>
        <v>0.11700000000000001</v>
      </c>
      <c r="E231" s="50">
        <f>'Fiscal Forecasts'!E$276</f>
        <v>0.16400000000000001</v>
      </c>
      <c r="F231" s="50">
        <f>'Fiscal Forecasts'!F$276</f>
        <v>0.218</v>
      </c>
      <c r="G231" s="50">
        <f>'Fiscal Forecasts'!G$276</f>
        <v>0.30099999999999999</v>
      </c>
      <c r="H231" s="50">
        <f>'Fiscal Forecasts'!H$276</f>
        <v>0.872</v>
      </c>
      <c r="I231" s="50">
        <f>'Fiscal Forecasts'!I$276</f>
        <v>1.9690000000000001</v>
      </c>
      <c r="J231" s="50">
        <f>'Fiscal Forecasts'!J$276</f>
        <v>2.387</v>
      </c>
      <c r="K231" s="50">
        <f>'Fiscal Forecasts'!K$276</f>
        <v>2.2010000000000001</v>
      </c>
      <c r="L231" s="48">
        <f>'Fiscal Forecasts'!L$276</f>
        <v>2.4409999999999998</v>
      </c>
      <c r="M231" s="48">
        <f>'Fiscal Forecasts'!M$276</f>
        <v>2.8340000000000001</v>
      </c>
      <c r="N231" s="48">
        <f>'Fiscal Forecasts'!N$276</f>
        <v>3.27</v>
      </c>
      <c r="O231" s="48">
        <f>'Fiscal Forecasts'!O$276</f>
        <v>3.6720000000000002</v>
      </c>
      <c r="P231" s="48">
        <f>'Fiscal Forecasts'!P$276</f>
        <v>4.0439999999999996</v>
      </c>
      <c r="Q231" s="20">
        <f ca="1">IF(Q$6=OFFSET(Assumptions!$B$8,0,$C$1),AVERAGE(N$231/SUM(N$231:N$233),O$231/SUM(O$231:O$233),P$231/SUM(P$231:P$233)),P$231/SUM(P$231:P$233))*(Q$96-Q$480)</f>
        <v>4.6514380133930695</v>
      </c>
      <c r="R231" s="20">
        <f ca="1">IF(R$6=OFFSET(Assumptions!$B$8,0,$C$1),AVERAGE(O$231/SUM(O$231:O$233),P$231/SUM(P$231:P$233),Q$231/SUM(Q$231:Q$233)),Q$231/SUM(Q$231:Q$233))*(R$96-R$480)</f>
        <v>5.0315589979152993</v>
      </c>
      <c r="S231" s="20">
        <f ca="1">IF(S$6=OFFSET(Assumptions!$B$8,0,$C$1),AVERAGE(P$231/SUM(P$231:P$233),Q$231/SUM(Q$231:Q$233),R$231/SUM(R$231:R$233)),R$231/SUM(R$231:R$233))*(S$96-S$480)</f>
        <v>5.4121200149337385</v>
      </c>
      <c r="T231" s="20">
        <f ca="1">IF(T$6=OFFSET(Assumptions!$B$8,0,$C$1),AVERAGE(Q$231/SUM(Q$231:Q$233),R$231/SUM(R$231:R$233),S$231/SUM(S$231:S$233)),S$231/SUM(S$231:S$233))*(T$96-T$480)</f>
        <v>5.7918565040902497</v>
      </c>
      <c r="U231" s="20">
        <f ca="1">IF(U$6=OFFSET(Assumptions!$B$8,0,$C$1),AVERAGE(R$231/SUM(R$231:R$233),S$231/SUM(S$231:S$233),T$231/SUM(T$231:T$233)),T$231/SUM(T$231:T$233))*(U$96-U$480)</f>
        <v>6.1659247181660497</v>
      </c>
      <c r="V231" s="20">
        <f ca="1">IF(V$6=OFFSET(Assumptions!$B$8,0,$C$1),AVERAGE(S$231/SUM(S$231:S$233),T$231/SUM(T$231:T$233),U$231/SUM(U$231:U$233)),U$231/SUM(U$231:U$233))*(V$96-V$480)</f>
        <v>6.5020707607820896</v>
      </c>
      <c r="W231" s="20">
        <f ca="1">IF(W$6=OFFSET(Assumptions!$B$8,0,$C$1),AVERAGE(T$231/SUM(T$231:T$233),U$231/SUM(U$231:U$233),V$231/SUM(V$231:V$233)),V$231/SUM(V$231:V$233))*(W$96-W$480)</f>
        <v>6.8416778661127005</v>
      </c>
      <c r="X231" s="20">
        <f ca="1">IF(X$6=OFFSET(Assumptions!$B$8,0,$C$1),AVERAGE(U$231/SUM(U$231:U$233),V$231/SUM(V$231:V$233),W$231/SUM(W$231:W$233)),W$231/SUM(W$231:W$233))*(X$96-X$480)</f>
        <v>7.1861399183228212</v>
      </c>
      <c r="Y231" s="20">
        <f ca="1">IF(Y$6=OFFSET(Assumptions!$B$8,0,$C$1),AVERAGE(V$231/SUM(V$231:V$233),W$231/SUM(W$231:W$233),X$231/SUM(X$231:X$233)),X$231/SUM(X$231:X$233))*(Y$96-Y$480)</f>
        <v>7.5355603358301222</v>
      </c>
      <c r="Z231" s="20">
        <f ca="1">IF(Z$6=OFFSET(Assumptions!$B$8,0,$C$1),AVERAGE(W$231/SUM(W$231:W$233),X$231/SUM(X$231:X$233),Y$231/SUM(Y$231:Y$233)),Y$231/SUM(Y$231:Y$233))*(Z$96-Z$480)</f>
        <v>7.8907903593521809</v>
      </c>
    </row>
    <row r="232" spans="1:26" x14ac:dyDescent="0.25">
      <c r="A232" s="12" t="s">
        <v>1227</v>
      </c>
      <c r="B232" s="14" t="str">
        <f>$B$38</f>
        <v>From Fiscal Forecasts</v>
      </c>
      <c r="D232" s="50">
        <f>'Fiscal Forecasts'!D$277</f>
        <v>1.0449999999999999</v>
      </c>
      <c r="E232" s="50">
        <f>'Fiscal Forecasts'!E$277</f>
        <v>0.90100000000000002</v>
      </c>
      <c r="F232" s="50">
        <f>'Fiscal Forecasts'!F$277</f>
        <v>0.59199999999999997</v>
      </c>
      <c r="G232" s="50">
        <f>'Fiscal Forecasts'!G$277</f>
        <v>0.66</v>
      </c>
      <c r="H232" s="50">
        <f>'Fiscal Forecasts'!H$277</f>
        <v>0.68200000000000005</v>
      </c>
      <c r="I232" s="50">
        <f>'Fiscal Forecasts'!I$277</f>
        <v>0.57999999999999996</v>
      </c>
      <c r="J232" s="50">
        <f>'Fiscal Forecasts'!J$277</f>
        <v>0.57199999999999995</v>
      </c>
      <c r="K232" s="50">
        <f>'Fiscal Forecasts'!K$277</f>
        <v>0.57699999999999996</v>
      </c>
      <c r="L232" s="48">
        <f>'Fiscal Forecasts'!L$277</f>
        <v>0.64900000000000002</v>
      </c>
      <c r="M232" s="48">
        <f>'Fiscal Forecasts'!M$277</f>
        <v>0.74099999999999999</v>
      </c>
      <c r="N232" s="48">
        <f>'Fiscal Forecasts'!N$277</f>
        <v>0.84499999999999997</v>
      </c>
      <c r="O232" s="48">
        <f>'Fiscal Forecasts'!O$277</f>
        <v>0.89400000000000002</v>
      </c>
      <c r="P232" s="48">
        <f>'Fiscal Forecasts'!P$277</f>
        <v>0.95599999999999996</v>
      </c>
      <c r="Q232" s="20">
        <f ca="1">IF(Q$6=OFFSET(Assumptions!$B$8,0,$C$1),AVERAGE(N$232/SUM(N$231:N$233),O$232/SUM(O$231:O$233),P$232/SUM(P$231:P$233)),P$232/SUM(P$231:P$233))*(Q$96-Q$480)</f>
        <v>1.1459527186083465</v>
      </c>
      <c r="R232" s="20">
        <f ca="1">IF(R$6=OFFSET(Assumptions!$B$8,0,$C$1),AVERAGE(O$232/SUM(O$231:O$233),P$232/SUM(P$231:P$233),Q$232/SUM(Q$231:Q$233)),Q$232/SUM(Q$231:Q$233))*(R$96-R$480)</f>
        <v>1.2396013224076634</v>
      </c>
      <c r="S232" s="20">
        <f ca="1">IF(S$6=OFFSET(Assumptions!$B$8,0,$C$1),AVERAGE(P$232/SUM(P$231:P$233),Q$232/SUM(Q$231:Q$233),R$232/SUM(R$231:R$233)),R$232/SUM(R$231:R$233))*(S$96-S$480)</f>
        <v>1.3333583349257154</v>
      </c>
      <c r="T232" s="20">
        <f ca="1">IF(T$6=OFFSET(Assumptions!$B$8,0,$C$1),AVERAGE(Q$232/SUM(Q$231:Q$233),R$232/SUM(R$231:R$233),S$232/SUM(S$231:S$233)),S$232/SUM(S$231:S$233))*(T$96-T$480)</f>
        <v>1.4269122124256886</v>
      </c>
      <c r="U232" s="20">
        <f ca="1">IF(U$6=OFFSET(Assumptions!$B$8,0,$C$1),AVERAGE(R$232/SUM(R$231:R$233),S$232/SUM(S$231:S$233),T$232/SUM(T$231:T$233)),T$232/SUM(T$231:T$233))*(U$96-U$480)</f>
        <v>1.5190696238822876</v>
      </c>
      <c r="V232" s="20">
        <f ca="1">IF(V$6=OFFSET(Assumptions!$B$8,0,$C$1),AVERAGE(S$232/SUM(S$231:S$233),T$232/SUM(T$231:T$233),U$232/SUM(U$231:U$233)),U$232/SUM(U$231:U$233))*(V$96-V$480)</f>
        <v>1.601884329845507</v>
      </c>
      <c r="W232" s="20">
        <f ca="1">IF(W$6=OFFSET(Assumptions!$B$8,0,$C$1),AVERAGE(T$232/SUM(T$231:T$233),U$232/SUM(U$231:U$233),V$232/SUM(V$231:V$233)),V$232/SUM(V$231:V$233))*(W$96-W$480)</f>
        <v>1.6855517214116766</v>
      </c>
      <c r="X232" s="20">
        <f ca="1">IF(X$6=OFFSET(Assumptions!$B$8,0,$C$1),AVERAGE(U$232/SUM(U$231:U$233),V$232/SUM(V$231:V$233),W$232/SUM(W$231:W$233)),W$232/SUM(W$231:W$233))*(X$96-X$480)</f>
        <v>1.770415203210427</v>
      </c>
      <c r="Y232" s="20">
        <f ca="1">IF(Y$6=OFFSET(Assumptions!$B$8,0,$C$1),AVERAGE(V$232/SUM(V$231:V$233),W$232/SUM(W$231:W$233),X$232/SUM(X$231:X$233)),X$232/SUM(X$231:X$233))*(Y$96-Y$480)</f>
        <v>1.8565002539467395</v>
      </c>
      <c r="Z232" s="20">
        <f ca="1">IF(Z$6=OFFSET(Assumptions!$B$8,0,$C$1),AVERAGE(W$232/SUM(W$231:W$233),X$232/SUM(X$231:X$233),Y$232/SUM(Y$231:Y$233)),Y$232/SUM(Y$231:Y$233))*(Z$96-Z$480)</f>
        <v>1.9440165897582236</v>
      </c>
    </row>
    <row r="233" spans="1:26" x14ac:dyDescent="0.25">
      <c r="A233" s="12" t="s">
        <v>1228</v>
      </c>
      <c r="B233" s="14" t="str">
        <f>$B$38</f>
        <v>From Fiscal Forecasts</v>
      </c>
      <c r="D233" s="50">
        <f>'Fiscal Forecasts'!D$278</f>
        <v>-0.55400000000000005</v>
      </c>
      <c r="E233" s="50">
        <f>'Fiscal Forecasts'!E$278</f>
        <v>-0.53900000000000003</v>
      </c>
      <c r="F233" s="50">
        <f>'Fiscal Forecasts'!F$278</f>
        <v>-0.45600000000000002</v>
      </c>
      <c r="G233" s="50">
        <f>'Fiscal Forecasts'!G$278</f>
        <v>-0.496</v>
      </c>
      <c r="H233" s="50">
        <f>'Fiscal Forecasts'!H$278</f>
        <v>-0.67500000000000004</v>
      </c>
      <c r="I233" s="50">
        <f>'Fiscal Forecasts'!I$278</f>
        <v>-1.1179999999999999</v>
      </c>
      <c r="J233" s="50">
        <f>'Fiscal Forecasts'!J$278</f>
        <v>-1.431</v>
      </c>
      <c r="K233" s="50">
        <f>'Fiscal Forecasts'!K$278</f>
        <v>-1.587</v>
      </c>
      <c r="L233" s="48">
        <f>'Fiscal Forecasts'!L$278</f>
        <v>-1.7230000000000001</v>
      </c>
      <c r="M233" s="48">
        <f>'Fiscal Forecasts'!M$278</f>
        <v>-1.89</v>
      </c>
      <c r="N233" s="48">
        <f>'Fiscal Forecasts'!N$278</f>
        <v>-2.0009999999999999</v>
      </c>
      <c r="O233" s="48">
        <f>'Fiscal Forecasts'!O$278</f>
        <v>-2.085</v>
      </c>
      <c r="P233" s="48">
        <f>'Fiscal Forecasts'!P$278</f>
        <v>-2.1890000000000001</v>
      </c>
      <c r="Q233" s="20">
        <f ca="1">IF(Q$6=OFFSET(Assumptions!$B$8,0,$C$1),AVERAGE(N$233/SUM(N$231:N$233),O$233/SUM(O$231:O$233),P$233/SUM(P$231:P$233)),P$233/SUM(P$231:P$233))*(Q$96-Q$480)</f>
        <v>-2.6724834324571329</v>
      </c>
      <c r="R233" s="20">
        <f ca="1">IF(R$6=OFFSET(Assumptions!$B$8,0,$C$1),AVERAGE(O$233/SUM(O$231:O$233),P$233/SUM(P$231:P$233),Q$233/SUM(Q$231:Q$233)),Q$233/SUM(Q$231:Q$233))*(R$96-R$480)</f>
        <v>-2.8908819213846271</v>
      </c>
      <c r="S233" s="20">
        <f ca="1">IF(S$6=OFFSET(Assumptions!$B$8,0,$C$1),AVERAGE(P$233/SUM(P$231:P$233),Q$233/SUM(Q$231:Q$233),R$233/SUM(R$231:R$233)),R$233/SUM(R$231:R$233))*(S$96-S$480)</f>
        <v>-3.1095332309565058</v>
      </c>
      <c r="T233" s="20">
        <f ca="1">IF(T$6=OFFSET(Assumptions!$B$8,0,$C$1),AVERAGE(Q$233/SUM(Q$231:Q$233),R$233/SUM(R$231:R$233),S$233/SUM(S$231:S$233)),S$233/SUM(S$231:S$233))*(T$96-T$480)</f>
        <v>-3.3277108080946185</v>
      </c>
      <c r="U233" s="20">
        <f ca="1">IF(U$6=OFFSET(Assumptions!$B$8,0,$C$1),AVERAGE(R$233/SUM(R$231:R$233),S$233/SUM(S$231:S$233),T$233/SUM(T$231:T$233)),T$233/SUM(T$231:T$233))*(U$96-U$480)</f>
        <v>-3.542631678124049</v>
      </c>
      <c r="V233" s="20">
        <f ca="1">IF(V$6=OFFSET(Assumptions!$B$8,0,$C$1),AVERAGE(S$233/SUM(S$231:S$233),T$233/SUM(T$231:T$233),U$233/SUM(U$231:U$233)),U$233/SUM(U$231:U$233))*(V$96-V$480)</f>
        <v>-3.7357643668088718</v>
      </c>
      <c r="W233" s="20">
        <f ca="1">IF(W$6=OFFSET(Assumptions!$B$8,0,$C$1),AVERAGE(T$233/SUM(T$231:T$233),U$233/SUM(U$231:U$233),V$233/SUM(V$231:V$233)),V$233/SUM(V$231:V$233))*(W$96-W$480)</f>
        <v>-3.9308856088693935</v>
      </c>
      <c r="X233" s="20">
        <f ca="1">IF(X$6=OFFSET(Assumptions!$B$8,0,$C$1),AVERAGE(U$233/SUM(U$231:U$233),V$233/SUM(V$231:V$233),W$233/SUM(W$231:W$233)),W$233/SUM(W$231:W$233))*(X$96-X$480)</f>
        <v>-4.1287962603692305</v>
      </c>
      <c r="Y233" s="20">
        <f ca="1">IF(Y$6=OFFSET(Assumptions!$B$8,0,$C$1),AVERAGE(V$233/SUM(V$231:V$233),W$233/SUM(W$231:W$233),X$233/SUM(X$231:X$233)),X$233/SUM(X$231:X$233))*(Y$96-Y$480)</f>
        <v>-4.3295557403540714</v>
      </c>
      <c r="Z233" s="20">
        <f ca="1">IF(Z$6=OFFSET(Assumptions!$B$8,0,$C$1),AVERAGE(W$233/SUM(W$231:W$233),X$233/SUM(X$231:X$233),Y$233/SUM(Y$231:Y$233)),Y$233/SUM(Y$231:Y$233))*(Z$96-Z$480)</f>
        <v>-4.5336531291273001</v>
      </c>
    </row>
    <row r="234" spans="1:26" x14ac:dyDescent="0.25">
      <c r="A234" s="11" t="s">
        <v>1263</v>
      </c>
      <c r="D234" s="94">
        <f t="shared" ref="D234:Z234" si="144">SUM(D$230:D$233)</f>
        <v>4.298</v>
      </c>
      <c r="E234" s="94">
        <f t="shared" si="144"/>
        <v>3.754</v>
      </c>
      <c r="F234" s="94">
        <f t="shared" si="144"/>
        <v>2.2720000000000002</v>
      </c>
      <c r="G234" s="94">
        <f t="shared" si="144"/>
        <v>3.3490000000000002</v>
      </c>
      <c r="H234" s="94">
        <f t="shared" si="144"/>
        <v>7.4479999999999995</v>
      </c>
      <c r="I234" s="94">
        <f t="shared" si="144"/>
        <v>10.373999999999999</v>
      </c>
      <c r="J234" s="94">
        <f t="shared" si="144"/>
        <v>10.39</v>
      </c>
      <c r="K234" s="94">
        <f t="shared" si="144"/>
        <v>10.248000000000001</v>
      </c>
      <c r="L234" s="95">
        <f t="shared" si="144"/>
        <v>11.657999999999999</v>
      </c>
      <c r="M234" s="95">
        <f t="shared" si="144"/>
        <v>13.081</v>
      </c>
      <c r="N234" s="95">
        <f t="shared" si="144"/>
        <v>14.595000000000001</v>
      </c>
      <c r="O234" s="95">
        <f t="shared" si="144"/>
        <v>15.982999999999997</v>
      </c>
      <c r="P234" s="95">
        <f t="shared" si="144"/>
        <v>16.5</v>
      </c>
      <c r="Q234" s="96">
        <f t="shared" ca="1" si="144"/>
        <v>16.725327008184031</v>
      </c>
      <c r="R234" s="96">
        <f t="shared" ca="1" si="144"/>
        <v>16.86573956677519</v>
      </c>
      <c r="S234" s="96">
        <f t="shared" ca="1" si="144"/>
        <v>16.907555447824123</v>
      </c>
      <c r="T234" s="96">
        <f t="shared" ca="1" si="144"/>
        <v>16.828599172932563</v>
      </c>
      <c r="U234" s="96">
        <f t="shared" ca="1" si="144"/>
        <v>16.618219334682859</v>
      </c>
      <c r="V234" s="96">
        <f t="shared" ca="1" si="144"/>
        <v>16.177249287973773</v>
      </c>
      <c r="W234" s="96">
        <f t="shared" ca="1" si="144"/>
        <v>15.605985304471199</v>
      </c>
      <c r="X234" s="96">
        <f t="shared" ca="1" si="144"/>
        <v>14.899836585927485</v>
      </c>
      <c r="Y234" s="96">
        <f t="shared" ca="1" si="144"/>
        <v>14.05353773141875</v>
      </c>
      <c r="Z234" s="96">
        <f t="shared" ca="1" si="144"/>
        <v>13.061503596981185</v>
      </c>
    </row>
    <row r="235" spans="1:26" x14ac:dyDescent="0.25">
      <c r="A235" s="14" t="s">
        <v>658</v>
      </c>
      <c r="E235" s="89">
        <f t="shared" ref="E235:K235" si="145">E$230/AVERAGE(D$71,E$71)</f>
        <v>2.9634933968629935E-2</v>
      </c>
      <c r="F235" s="89">
        <f t="shared" si="145"/>
        <v>1.4817447196427743E-2</v>
      </c>
      <c r="G235" s="89">
        <f t="shared" si="145"/>
        <v>1.9129171655131016E-2</v>
      </c>
      <c r="H235" s="89">
        <f t="shared" si="145"/>
        <v>3.6492923905948361E-2</v>
      </c>
      <c r="I235" s="89">
        <f t="shared" si="145"/>
        <v>4.3905169154937182E-2</v>
      </c>
      <c r="J235" s="89">
        <f t="shared" si="145"/>
        <v>3.8926811269535878E-2</v>
      </c>
      <c r="K235" s="89">
        <f t="shared" si="145"/>
        <v>3.6534598349347733E-2</v>
      </c>
      <c r="L235" s="66">
        <f>L$230/AVERAGE(K$71,L$71)</f>
        <v>3.8861678706700244E-2</v>
      </c>
      <c r="M235" s="66">
        <f>M$230/AVERAGE(L$71,M$71)</f>
        <v>4.0583178422113488E-2</v>
      </c>
      <c r="N235" s="66">
        <f>N$230/AVERAGE(M$71,N$71)</f>
        <v>4.2446533725796272E-2</v>
      </c>
      <c r="O235" s="66">
        <f>O$230/AVERAGE(N$71,O$71)</f>
        <v>4.4865266302370359E-2</v>
      </c>
      <c r="P235" s="66">
        <f>P$230/AVERAGE(O$71,P$71)</f>
        <v>4.5545513073249118E-2</v>
      </c>
      <c r="Q235" s="101">
        <f ca="1">IF(Q$6&lt;OFFSET(Assumptions!$B$8,0,$C$1)+OFFSET(Assumptions!$B$23,0,$C$1),P$235+(OFFSET(P$30,0,OFFSET(Assumptions!$B$8,0,$C$1)+OFFSET(Assumptions!$B$23,0,$C$1)-Q$6)-P$235)/(OFFSET(Assumptions!$B$8,0,$C$1)+OFFSET(Assumptions!$B$23,0,$C$1)-Q$6),Q$30)</f>
        <v>4.5836410458599292E-2</v>
      </c>
      <c r="R235" s="101">
        <f ca="1">IF(R$6&lt;OFFSET(Assumptions!$B$8,0,$C$1)+OFFSET(Assumptions!$B$23,0,$C$1),Q$235+(OFFSET(Q$30,0,OFFSET(Assumptions!$B$8,0,$C$1)+OFFSET(Assumptions!$B$23,0,$C$1)-R$6)-Q$235)/(OFFSET(Assumptions!$B$8,0,$C$1)+OFFSET(Assumptions!$B$23,0,$C$1)-R$6),R$30)</f>
        <v>4.6127307843949472E-2</v>
      </c>
      <c r="S235" s="101">
        <f ca="1">IF(S$6&lt;OFFSET(Assumptions!$B$8,0,$C$1)+OFFSET(Assumptions!$B$23,0,$C$1),R$235+(OFFSET(R$30,0,OFFSET(Assumptions!$B$8,0,$C$1)+OFFSET(Assumptions!$B$23,0,$C$1)-S$6)-R$235)/(OFFSET(Assumptions!$B$8,0,$C$1)+OFFSET(Assumptions!$B$23,0,$C$1)-S$6),S$30)</f>
        <v>4.6418205229299646E-2</v>
      </c>
      <c r="T235" s="101">
        <f ca="1">IF(T$6&lt;OFFSET(Assumptions!$B$8,0,$C$1)+OFFSET(Assumptions!$B$23,0,$C$1),S$235+(OFFSET(S$30,0,OFFSET(Assumptions!$B$8,0,$C$1)+OFFSET(Assumptions!$B$23,0,$C$1)-T$6)-S$235)/(OFFSET(Assumptions!$B$8,0,$C$1)+OFFSET(Assumptions!$B$23,0,$C$1)-T$6),T$30)</f>
        <v>4.6709102614649819E-2</v>
      </c>
      <c r="U235" s="101">
        <f ca="1">IF(U$6&lt;OFFSET(Assumptions!$B$8,0,$C$1)+OFFSET(Assumptions!$B$23,0,$C$1),T$235+(OFFSET(T$30,0,OFFSET(Assumptions!$B$8,0,$C$1)+OFFSET(Assumptions!$B$23,0,$C$1)-U$6)-T$235)/(OFFSET(Assumptions!$B$8,0,$C$1)+OFFSET(Assumptions!$B$23,0,$C$1)-U$6),U$30)</f>
        <v>4.7E-2</v>
      </c>
      <c r="V235" s="101">
        <f ca="1">IF(V$6&lt;OFFSET(Assumptions!$B$8,0,$C$1)+OFFSET(Assumptions!$B$23,0,$C$1),U$235+(OFFSET(U$30,0,OFFSET(Assumptions!$B$8,0,$C$1)+OFFSET(Assumptions!$B$23,0,$C$1)-V$6)-U$235)/(OFFSET(Assumptions!$B$8,0,$C$1)+OFFSET(Assumptions!$B$23,0,$C$1)-V$6),V$30)</f>
        <v>4.7E-2</v>
      </c>
      <c r="W235" s="101">
        <f ca="1">IF(W$6&lt;OFFSET(Assumptions!$B$8,0,$C$1)+OFFSET(Assumptions!$B$23,0,$C$1),V$235+(OFFSET(V$30,0,OFFSET(Assumptions!$B$8,0,$C$1)+OFFSET(Assumptions!$B$23,0,$C$1)-W$6)-V$235)/(OFFSET(Assumptions!$B$8,0,$C$1)+OFFSET(Assumptions!$B$23,0,$C$1)-W$6),W$30)</f>
        <v>4.7E-2</v>
      </c>
      <c r="X235" s="101">
        <f ca="1">IF(X$6&lt;OFFSET(Assumptions!$B$8,0,$C$1)+OFFSET(Assumptions!$B$23,0,$C$1),W$235+(OFFSET(W$30,0,OFFSET(Assumptions!$B$8,0,$C$1)+OFFSET(Assumptions!$B$23,0,$C$1)-X$6)-W$235)/(OFFSET(Assumptions!$B$8,0,$C$1)+OFFSET(Assumptions!$B$23,0,$C$1)-X$6),X$30)</f>
        <v>4.7E-2</v>
      </c>
      <c r="Y235" s="101">
        <f ca="1">IF(Y$6&lt;OFFSET(Assumptions!$B$8,0,$C$1)+OFFSET(Assumptions!$B$23,0,$C$1),X$235+(OFFSET(X$30,0,OFFSET(Assumptions!$B$8,0,$C$1)+OFFSET(Assumptions!$B$23,0,$C$1)-Y$6)-X$235)/(OFFSET(Assumptions!$B$8,0,$C$1)+OFFSET(Assumptions!$B$23,0,$C$1)-Y$6),Y$30)</f>
        <v>4.7E-2</v>
      </c>
      <c r="Z235" s="101">
        <f ca="1">IF(Z$6&lt;OFFSET(Assumptions!$B$8,0,$C$1)+OFFSET(Assumptions!$B$23,0,$C$1),Y$235+(OFFSET(Y$30,0,OFFSET(Assumptions!$B$8,0,$C$1)+OFFSET(Assumptions!$B$23,0,$C$1)-Z$6)-Y$235)/(OFFSET(Assumptions!$B$8,0,$C$1)+OFFSET(Assumptions!$B$23,0,$C$1)-Z$6),Z$30)</f>
        <v>4.7E-2</v>
      </c>
    </row>
    <row r="236" spans="1:26" x14ac:dyDescent="0.25">
      <c r="A236" s="14"/>
    </row>
    <row r="237" spans="1:26" x14ac:dyDescent="0.25">
      <c r="A237" s="11" t="s">
        <v>875</v>
      </c>
    </row>
    <row r="238" spans="1:26" x14ac:dyDescent="0.25">
      <c r="A238" s="11" t="s">
        <v>1264</v>
      </c>
      <c r="B238" s="14" t="str">
        <f>$B$38</f>
        <v>From Fiscal Forecasts</v>
      </c>
      <c r="D238" s="51">
        <f>'Fiscal Forecasts'!D$174</f>
        <v>0</v>
      </c>
      <c r="E238" s="51">
        <f>'Fiscal Forecasts'!E$174</f>
        <v>0</v>
      </c>
      <c r="F238" s="51">
        <f>'Fiscal Forecasts'!F$174</f>
        <v>1E-3</v>
      </c>
      <c r="G238" s="51">
        <f>'Fiscal Forecasts'!G$174</f>
        <v>1E-3</v>
      </c>
      <c r="H238" s="51">
        <f>'Fiscal Forecasts'!H$174</f>
        <v>3.0000000000000001E-3</v>
      </c>
      <c r="I238" s="51">
        <f>'Fiscal Forecasts'!I$174</f>
        <v>2E-3</v>
      </c>
      <c r="J238" s="51">
        <f>'Fiscal Forecasts'!J$174</f>
        <v>3.0000000000000001E-3</v>
      </c>
      <c r="K238" s="51">
        <f>'Fiscal Forecasts'!K$174</f>
        <v>2E-3</v>
      </c>
      <c r="L238" s="47">
        <f>'Fiscal Forecasts'!L$174</f>
        <v>0</v>
      </c>
      <c r="M238" s="47">
        <f>'Fiscal Forecasts'!M$174</f>
        <v>0</v>
      </c>
      <c r="N238" s="47">
        <f>'Fiscal Forecasts'!N$174</f>
        <v>0</v>
      </c>
      <c r="O238" s="47">
        <f>'Fiscal Forecasts'!O$174</f>
        <v>0</v>
      </c>
      <c r="P238" s="47">
        <f>'Fiscal Forecasts'!P$174</f>
        <v>0</v>
      </c>
      <c r="Q238" s="21">
        <f ca="1">IF(Q$6=OFFSET(Assumptions!$B$8,0,$C$1),OFFSET(Assumptions!$B$9,0,$C$1),P$238)</f>
        <v>0</v>
      </c>
      <c r="R238" s="21">
        <f ca="1">IF(R$6=OFFSET(Assumptions!$B$8,0,$C$1),OFFSET(Assumptions!$B$9,0,$C$1),Q$238)</f>
        <v>0</v>
      </c>
      <c r="S238" s="21">
        <f ca="1">IF(S$6=OFFSET(Assumptions!$B$8,0,$C$1),OFFSET(Assumptions!$B$9,0,$C$1),R$238)</f>
        <v>0</v>
      </c>
      <c r="T238" s="21">
        <f ca="1">IF(T$6=OFFSET(Assumptions!$B$8,0,$C$1),OFFSET(Assumptions!$B$9,0,$C$1),S$238)</f>
        <v>0</v>
      </c>
      <c r="U238" s="21">
        <f ca="1">IF(U$6=OFFSET(Assumptions!$B$8,0,$C$1),OFFSET(Assumptions!$B$9,0,$C$1),T$238)</f>
        <v>0</v>
      </c>
      <c r="V238" s="21">
        <f ca="1">IF(V$6=OFFSET(Assumptions!$B$8,0,$C$1),OFFSET(Assumptions!$B$9,0,$C$1),U$238)</f>
        <v>0</v>
      </c>
      <c r="W238" s="21">
        <f ca="1">IF(W$6=OFFSET(Assumptions!$B$8,0,$C$1),OFFSET(Assumptions!$B$9,0,$C$1),V$238)</f>
        <v>0</v>
      </c>
      <c r="X238" s="21">
        <f ca="1">IF(X$6=OFFSET(Assumptions!$B$8,0,$C$1),OFFSET(Assumptions!$B$9,0,$C$1),W$238)</f>
        <v>0</v>
      </c>
      <c r="Y238" s="21">
        <f ca="1">IF(Y$6=OFFSET(Assumptions!$B$8,0,$C$1),OFFSET(Assumptions!$B$9,0,$C$1),X$238)</f>
        <v>0</v>
      </c>
      <c r="Z238" s="21">
        <f ca="1">IF(Z$6=OFFSET(Assumptions!$B$8,0,$C$1),OFFSET(Assumptions!$B$9,0,$C$1),Y$238)</f>
        <v>0</v>
      </c>
    </row>
    <row r="239" spans="1:26" x14ac:dyDescent="0.25">
      <c r="A239" s="12" t="s">
        <v>1020</v>
      </c>
      <c r="B239" s="14" t="str">
        <f>$B$38</f>
        <v>From Fiscal Forecasts</v>
      </c>
      <c r="D239" s="50">
        <f>'Fiscal Forecasts'!D$203</f>
        <v>5.8070000000000004</v>
      </c>
      <c r="E239" s="50">
        <f>'Fiscal Forecasts'!E$203</f>
        <v>6.8959999999999999</v>
      </c>
      <c r="F239" s="50">
        <f>'Fiscal Forecasts'!F$203</f>
        <v>6.8310000000000004</v>
      </c>
      <c r="G239" s="50">
        <f>'Fiscal Forecasts'!G$203</f>
        <v>6.44</v>
      </c>
      <c r="H239" s="50">
        <f>'Fiscal Forecasts'!H$203</f>
        <v>8.7729999999999997</v>
      </c>
      <c r="I239" s="50">
        <f>'Fiscal Forecasts'!I$203</f>
        <v>10.413</v>
      </c>
      <c r="J239" s="50">
        <f>'Fiscal Forecasts'!J$203</f>
        <v>11.526999999999999</v>
      </c>
      <c r="K239" s="50">
        <f>'Fiscal Forecasts'!K$203</f>
        <v>9.0389999999999997</v>
      </c>
      <c r="L239" s="48">
        <f>'Fiscal Forecasts'!L$203</f>
        <v>8.9380000000000006</v>
      </c>
      <c r="M239" s="48">
        <f>'Fiscal Forecasts'!M$203</f>
        <v>9.6059999999999999</v>
      </c>
      <c r="N239" s="48">
        <f>'Fiscal Forecasts'!N$203</f>
        <v>9.6690000000000005</v>
      </c>
      <c r="O239" s="48">
        <f>'Fiscal Forecasts'!O$203</f>
        <v>10.01</v>
      </c>
      <c r="P239" s="48">
        <f>'Fiscal Forecasts'!P$203</f>
        <v>11.411</v>
      </c>
      <c r="Q239" s="20">
        <f ca="1">IF(Q$6=OFFSET(Assumptions!$B$8,0,$C$1),AVERAGE(N$239/SUM(N$242:N$243),O$239/SUM(O$242:O$243),P$239/SUM(P$242:P$243)),P$239/SUM(P$242:P$243))*SUM(Q$242:Q$243)</f>
        <v>12.025296647655322</v>
      </c>
      <c r="R239" s="20">
        <f ca="1">IF(R$6=OFFSET(Assumptions!$B$8,0,$C$1),AVERAGE(O$239/SUM(O$242:O$243),P$239/SUM(P$242:P$243),Q$239/SUM(Q$242:Q$243)),Q$239/SUM(Q$242:Q$243))*SUM(R$242:R$243)</f>
        <v>12.684657668944586</v>
      </c>
      <c r="S239" s="20">
        <f ca="1">IF(S$6=OFFSET(Assumptions!$B$8,0,$C$1),AVERAGE(P$239/SUM(P$242:P$243),Q$239/SUM(Q$242:Q$243),R$239/SUM(R$242:R$243)),R$239/SUM(R$242:R$243))*SUM(S$242:S$243)</f>
        <v>13.342459925304862</v>
      </c>
      <c r="T239" s="20">
        <f ca="1">IF(T$6=OFFSET(Assumptions!$B$8,0,$C$1),AVERAGE(Q$239/SUM(Q$242:Q$243),R$239/SUM(R$242:R$243),S$239/SUM(S$242:S$243)),S$239/SUM(S$242:S$243))*SUM(T$242:T$243)</f>
        <v>13.977643031190203</v>
      </c>
      <c r="U239" s="20">
        <f ca="1">IF(U$6=OFFSET(Assumptions!$B$8,0,$C$1),AVERAGE(R$239/SUM(R$242:R$243),S$239/SUM(S$242:S$243),T$239/SUM(T$242:T$243)),T$239/SUM(T$242:T$243))*SUM(U$242:U$243)</f>
        <v>14.651446777224329</v>
      </c>
      <c r="V239" s="20">
        <f ca="1">IF(V$6=OFFSET(Assumptions!$B$8,0,$C$1),AVERAGE(S$239/SUM(S$242:S$243),T$239/SUM(T$242:T$243),U$239/SUM(U$242:U$243)),U$239/SUM(U$242:U$243))*SUM(V$242:V$243)</f>
        <v>15.334075328847771</v>
      </c>
      <c r="W239" s="20">
        <f ca="1">IF(W$6=OFFSET(Assumptions!$B$8,0,$C$1),AVERAGE(T$239/SUM(T$242:T$243),U$239/SUM(U$242:U$243),V$239/SUM(V$242:V$243)),V$239/SUM(V$242:V$243))*SUM(W$242:W$243)</f>
        <v>16.043180045535852</v>
      </c>
      <c r="X239" s="20">
        <f ca="1">IF(X$6=OFFSET(Assumptions!$B$8,0,$C$1),AVERAGE(U$239/SUM(U$242:U$243),V$239/SUM(V$242:V$243),W$239/SUM(W$242:W$243)),W$239/SUM(W$242:W$243))*SUM(X$242:X$243)</f>
        <v>16.782566169431945</v>
      </c>
      <c r="Y239" s="20">
        <f ca="1">IF(Y$6=OFFSET(Assumptions!$B$8,0,$C$1),AVERAGE(V$239/SUM(V$242:V$243),W$239/SUM(W$242:W$243),X$239/SUM(X$242:X$243)),X$239/SUM(X$242:X$243))*SUM(Y$242:Y$243)</f>
        <v>17.520160225430931</v>
      </c>
      <c r="Z239" s="20">
        <f ca="1">IF(Z$6=OFFSET(Assumptions!$B$8,0,$C$1),AVERAGE(W$239/SUM(W$242:W$243),X$239/SUM(X$242:X$243),Y$239/SUM(Y$242:Y$243)),Y$239/SUM(Y$242:Y$243))*SUM(Z$242:Z$243)</f>
        <v>18.301244323323377</v>
      </c>
    </row>
    <row r="240" spans="1:26" x14ac:dyDescent="0.25">
      <c r="A240" s="12" t="s">
        <v>1265</v>
      </c>
      <c r="B240" s="14" t="str">
        <f>$B$38</f>
        <v>From Fiscal Forecasts</v>
      </c>
      <c r="D240" s="50">
        <f>'Fiscal Forecasts'!D$204</f>
        <v>5.0000000000000001E-3</v>
      </c>
      <c r="E240" s="50">
        <f>'Fiscal Forecasts'!E$204</f>
        <v>7.0000000000000001E-3</v>
      </c>
      <c r="F240" s="50">
        <f>'Fiscal Forecasts'!F$204</f>
        <v>6.0000000000000001E-3</v>
      </c>
      <c r="G240" s="50">
        <f>'Fiscal Forecasts'!G$204</f>
        <v>6.0000000000000001E-3</v>
      </c>
      <c r="H240" s="50">
        <f>'Fiscal Forecasts'!H$204</f>
        <v>8.0000000000000002E-3</v>
      </c>
      <c r="I240" s="50">
        <f>'Fiscal Forecasts'!I$204</f>
        <v>1.0999999999999999E-2</v>
      </c>
      <c r="J240" s="50">
        <f>'Fiscal Forecasts'!J$204</f>
        <v>1.0999999999999999E-2</v>
      </c>
      <c r="K240" s="50">
        <f>'Fiscal Forecasts'!K$204</f>
        <v>1.0999999999999999E-2</v>
      </c>
      <c r="L240" s="48">
        <f>'Fiscal Forecasts'!L$204</f>
        <v>1.0999999999999999E-2</v>
      </c>
      <c r="M240" s="48">
        <f>'Fiscal Forecasts'!M$204</f>
        <v>1.2E-2</v>
      </c>
      <c r="N240" s="48">
        <f>'Fiscal Forecasts'!N$204</f>
        <v>1.2E-2</v>
      </c>
      <c r="O240" s="48">
        <f>'Fiscal Forecasts'!O$204</f>
        <v>1.2999999999999999E-2</v>
      </c>
      <c r="P240" s="48">
        <f>'Fiscal Forecasts'!P$204</f>
        <v>1.4E-2</v>
      </c>
      <c r="Q240" s="20">
        <f t="shared" ref="Q240:Z240" ca="1" si="146">SUM(Q$242:Q$243,-Q$239)</f>
        <v>1.5098419274004016E-2</v>
      </c>
      <c r="R240" s="20">
        <f t="shared" ca="1" si="146"/>
        <v>1.5926283188223422E-2</v>
      </c>
      <c r="S240" s="20">
        <f t="shared" ca="1" si="146"/>
        <v>1.675218998760819E-2</v>
      </c>
      <c r="T240" s="20">
        <f t="shared" ca="1" si="146"/>
        <v>1.7549697203390835E-2</v>
      </c>
      <c r="U240" s="20">
        <f t="shared" ca="1" si="146"/>
        <v>1.8395694750402924E-2</v>
      </c>
      <c r="V240" s="20">
        <f t="shared" ca="1" si="146"/>
        <v>1.9252772324687584E-2</v>
      </c>
      <c r="W240" s="20">
        <f t="shared" ca="1" si="146"/>
        <v>2.0143092175867849E-2</v>
      </c>
      <c r="X240" s="20">
        <f t="shared" ca="1" si="146"/>
        <v>2.1071431994091228E-2</v>
      </c>
      <c r="Y240" s="20">
        <f t="shared" ca="1" si="146"/>
        <v>2.1997521772810558E-2</v>
      </c>
      <c r="Z240" s="20">
        <f t="shared" ca="1" si="146"/>
        <v>2.2978215683636449E-2</v>
      </c>
    </row>
    <row r="241" spans="1:26" x14ac:dyDescent="0.25">
      <c r="A241" s="11" t="s">
        <v>1266</v>
      </c>
      <c r="D241" s="94">
        <f t="shared" ref="D241:Z241" si="147">SUM(D$238:D$240)</f>
        <v>5.8120000000000003</v>
      </c>
      <c r="E241" s="94">
        <f t="shared" si="147"/>
        <v>6.9029999999999996</v>
      </c>
      <c r="F241" s="94">
        <f t="shared" si="147"/>
        <v>6.838000000000001</v>
      </c>
      <c r="G241" s="94">
        <f t="shared" si="147"/>
        <v>6.447000000000001</v>
      </c>
      <c r="H241" s="94">
        <f t="shared" si="147"/>
        <v>8.7839999999999989</v>
      </c>
      <c r="I241" s="94">
        <f t="shared" si="147"/>
        <v>10.426</v>
      </c>
      <c r="J241" s="94">
        <f t="shared" si="147"/>
        <v>11.540999999999999</v>
      </c>
      <c r="K241" s="94">
        <f t="shared" si="147"/>
        <v>9.0519999999999996</v>
      </c>
      <c r="L241" s="95">
        <f t="shared" si="147"/>
        <v>8.9489999999999998</v>
      </c>
      <c r="M241" s="95">
        <f t="shared" si="147"/>
        <v>9.6180000000000003</v>
      </c>
      <c r="N241" s="95">
        <f t="shared" si="147"/>
        <v>9.6810000000000009</v>
      </c>
      <c r="O241" s="95">
        <f t="shared" si="147"/>
        <v>10.023</v>
      </c>
      <c r="P241" s="95">
        <f t="shared" si="147"/>
        <v>11.424999999999999</v>
      </c>
      <c r="Q241" s="96">
        <f t="shared" ca="1" si="147"/>
        <v>12.040395066929326</v>
      </c>
      <c r="R241" s="96">
        <f t="shared" ca="1" si="147"/>
        <v>12.70058395213281</v>
      </c>
      <c r="S241" s="96">
        <f t="shared" ca="1" si="147"/>
        <v>13.35921211529247</v>
      </c>
      <c r="T241" s="96">
        <f t="shared" ca="1" si="147"/>
        <v>13.995192728393594</v>
      </c>
      <c r="U241" s="96">
        <f t="shared" ca="1" si="147"/>
        <v>14.669842471974732</v>
      </c>
      <c r="V241" s="96">
        <f t="shared" ca="1" si="147"/>
        <v>15.353328101172458</v>
      </c>
      <c r="W241" s="96">
        <f t="shared" ca="1" si="147"/>
        <v>16.06332313771172</v>
      </c>
      <c r="X241" s="96">
        <f t="shared" ca="1" si="147"/>
        <v>16.803637601426036</v>
      </c>
      <c r="Y241" s="96">
        <f t="shared" ca="1" si="147"/>
        <v>17.542157747203742</v>
      </c>
      <c r="Z241" s="96">
        <f t="shared" ca="1" si="147"/>
        <v>18.324222539007014</v>
      </c>
    </row>
    <row r="242" spans="1:26" x14ac:dyDescent="0.25">
      <c r="A242" s="12" t="s">
        <v>1267</v>
      </c>
      <c r="B242" s="14" t="str">
        <f>$B$38</f>
        <v>From Fiscal Forecasts</v>
      </c>
      <c r="D242" s="50">
        <f>'Fiscal Forecasts'!D$281</f>
        <v>5.3620000000000001</v>
      </c>
      <c r="E242" s="50">
        <f>'Fiscal Forecasts'!E$281</f>
        <v>6.2460000000000004</v>
      </c>
      <c r="F242" s="50">
        <f>'Fiscal Forecasts'!F$281</f>
        <v>6.5389999999999997</v>
      </c>
      <c r="G242" s="50">
        <f>'Fiscal Forecasts'!G$281</f>
        <v>5.8330000000000002</v>
      </c>
      <c r="H242" s="50">
        <f>'Fiscal Forecasts'!H$281</f>
        <v>7.6189999999999998</v>
      </c>
      <c r="I242" s="50">
        <f>'Fiscal Forecasts'!I$281</f>
        <v>9.7720000000000002</v>
      </c>
      <c r="J242" s="50">
        <f>'Fiscal Forecasts'!J$281</f>
        <v>10.771000000000001</v>
      </c>
      <c r="K242" s="50">
        <f>'Fiscal Forecasts'!K$281</f>
        <v>8.5489999999999995</v>
      </c>
      <c r="L242" s="48">
        <f>'Fiscal Forecasts'!L$281</f>
        <v>8.3699999999999992</v>
      </c>
      <c r="M242" s="48">
        <f>'Fiscal Forecasts'!M$281</f>
        <v>8.9890000000000008</v>
      </c>
      <c r="N242" s="48">
        <f>'Fiscal Forecasts'!N$281</f>
        <v>9.0329999999999995</v>
      </c>
      <c r="O242" s="48">
        <f>'Fiscal Forecasts'!O$281</f>
        <v>9.3610000000000007</v>
      </c>
      <c r="P242" s="48">
        <f>'Fiscal Forecasts'!P$281</f>
        <v>10.737</v>
      </c>
      <c r="Q242" s="20">
        <f>P$242*Exogenous!AB$27/Exogenous!AA$27</f>
        <v>11.322445815087232</v>
      </c>
      <c r="R242" s="20">
        <f>Q$242*Exogenous!AC$27/Exogenous!AB$27</f>
        <v>11.952075095042282</v>
      </c>
      <c r="S242" s="20">
        <f>R$242*Exogenous!AD$27/Exogenous!AC$27</f>
        <v>12.579334043873938</v>
      </c>
      <c r="T242" s="20">
        <f>S$242*Exogenous!AE$27/Exogenous!AD$27</f>
        <v>13.183209206568813</v>
      </c>
      <c r="U242" s="20">
        <f>T$242*Exogenous!AF$27/Exogenous!AE$27</f>
        <v>13.824633958994479</v>
      </c>
      <c r="V242" s="20">
        <f>U$242*Exogenous!AG$27/Exogenous!AF$27</f>
        <v>14.473763240216281</v>
      </c>
      <c r="W242" s="20">
        <f>V$242*Exogenous!AH$27/Exogenous!AG$27</f>
        <v>15.148443899166695</v>
      </c>
      <c r="X242" s="20">
        <f>W$242*Exogenous!AI$27/Exogenous!AH$27</f>
        <v>15.852427077587839</v>
      </c>
      <c r="Y242" s="20">
        <f>X$242*Exogenous!AJ$27/Exogenous!AI$27</f>
        <v>16.553409040536113</v>
      </c>
      <c r="Z242" s="20">
        <f>Y$242*Exogenous!AK$27/Exogenous!AJ$27</f>
        <v>17.296719070316762</v>
      </c>
    </row>
    <row r="243" spans="1:26" x14ac:dyDescent="0.25">
      <c r="A243" s="12" t="s">
        <v>1268</v>
      </c>
      <c r="B243" s="14" t="str">
        <f>$B$38</f>
        <v>From Fiscal Forecasts</v>
      </c>
      <c r="D243" s="50">
        <f>SUM('Fiscal Forecasts'!D$282:D$283)</f>
        <v>0.44999999999999996</v>
      </c>
      <c r="E243" s="50">
        <f>SUM('Fiscal Forecasts'!E$282:E$283)</f>
        <v>0.65700000000000003</v>
      </c>
      <c r="F243" s="50">
        <f>SUM('Fiscal Forecasts'!F$282:F$283)</f>
        <v>0.29900000000000004</v>
      </c>
      <c r="G243" s="50">
        <f>SUM('Fiscal Forecasts'!G$282:G$283)</f>
        <v>0.61399999999999999</v>
      </c>
      <c r="H243" s="50">
        <f>SUM('Fiscal Forecasts'!H$282:H$283)</f>
        <v>1.1649999999999998</v>
      </c>
      <c r="I243" s="50">
        <f>SUM('Fiscal Forecasts'!I$282:I$283)</f>
        <v>0.65399999999999991</v>
      </c>
      <c r="J243" s="50">
        <f>SUM('Fiscal Forecasts'!J$282:J$283)</f>
        <v>0.77</v>
      </c>
      <c r="K243" s="50">
        <f>SUM('Fiscal Forecasts'!K$282:K$283)</f>
        <v>0.503</v>
      </c>
      <c r="L243" s="48">
        <f>SUM('Fiscal Forecasts'!L$282:L$283)</f>
        <v>0.57899999999999996</v>
      </c>
      <c r="M243" s="48">
        <f>SUM('Fiscal Forecasts'!M$282:M$283)</f>
        <v>0.629</v>
      </c>
      <c r="N243" s="48">
        <f>SUM('Fiscal Forecasts'!N$282:N$283)</f>
        <v>0.64800000000000002</v>
      </c>
      <c r="O243" s="48">
        <f>SUM('Fiscal Forecasts'!O$282:O$283)</f>
        <v>0.66200000000000003</v>
      </c>
      <c r="P243" s="48">
        <f>SUM('Fiscal Forecasts'!P$282:P$283)</f>
        <v>0.68800000000000006</v>
      </c>
      <c r="Q243" s="20">
        <f t="shared" ref="Q243:Z243" ca="1" si="148">P$243*(1+Q$14)</f>
        <v>0.71794925184209457</v>
      </c>
      <c r="R243" s="20">
        <f t="shared" ca="1" si="148"/>
        <v>0.74850885709052806</v>
      </c>
      <c r="S243" s="20">
        <f t="shared" ca="1" si="148"/>
        <v>0.7798780714185316</v>
      </c>
      <c r="T243" s="20">
        <f t="shared" ca="1" si="148"/>
        <v>0.81198352182478062</v>
      </c>
      <c r="U243" s="20">
        <f t="shared" ca="1" si="148"/>
        <v>0.84520851298025268</v>
      </c>
      <c r="V243" s="20">
        <f t="shared" ca="1" si="148"/>
        <v>0.87956486095617725</v>
      </c>
      <c r="W243" s="20">
        <f t="shared" ca="1" si="148"/>
        <v>0.9148792385450264</v>
      </c>
      <c r="X243" s="20">
        <f t="shared" ca="1" si="148"/>
        <v>0.95121052383819849</v>
      </c>
      <c r="Y243" s="20">
        <f t="shared" ca="1" si="148"/>
        <v>0.98874870666762915</v>
      </c>
      <c r="Z243" s="20">
        <f t="shared" ca="1" si="148"/>
        <v>1.0275034686902527</v>
      </c>
    </row>
    <row r="244" spans="1:26" x14ac:dyDescent="0.25">
      <c r="A244" s="12"/>
    </row>
    <row r="245" spans="1:26" x14ac:dyDescent="0.25">
      <c r="A245" s="11" t="s">
        <v>1269</v>
      </c>
    </row>
    <row r="246" spans="1:26" x14ac:dyDescent="0.25">
      <c r="A246" s="11" t="s">
        <v>876</v>
      </c>
      <c r="D246" s="51">
        <f>SUM($D$247:D$248)</f>
        <v>0</v>
      </c>
      <c r="E246" s="51">
        <f>SUM($D$247:E$248)</f>
        <v>0</v>
      </c>
      <c r="F246" s="51">
        <f>SUM($D$247:F$248)</f>
        <v>0</v>
      </c>
      <c r="G246" s="51">
        <f>SUM($D$247:G$248)</f>
        <v>0</v>
      </c>
      <c r="H246" s="51">
        <f>SUM($D$247:H$248)</f>
        <v>0</v>
      </c>
      <c r="I246" s="51">
        <f>SUM($D$247:I$248)</f>
        <v>0</v>
      </c>
      <c r="J246" s="51">
        <f>SUM($D$247:J$248)</f>
        <v>0</v>
      </c>
      <c r="K246" s="51">
        <f>SUM($D$247:K$248)</f>
        <v>0</v>
      </c>
      <c r="L246" s="47">
        <f ca="1">IF(OFFSET(Assumptions!$B$57,0,$C$1)="Yes",0,SUM($D$247:L$248))</f>
        <v>1.258</v>
      </c>
      <c r="M246" s="47">
        <f ca="1">IF(OFFSET(Assumptions!$B$57,0,$C$1)="Yes",0,SUM($D$247:M$248))</f>
        <v>2.968</v>
      </c>
      <c r="N246" s="47">
        <f ca="1">IF(OFFSET(Assumptions!$B$57,0,$C$1)="Yes",0,SUM($D$247:N$248))</f>
        <v>5.0250000000000004</v>
      </c>
      <c r="O246" s="47">
        <f ca="1">IF(OFFSET(Assumptions!$B$57,0,$C$1)="Yes",0,SUM($D$247:O$248))</f>
        <v>7.7829999999999986</v>
      </c>
      <c r="P246" s="47">
        <f ca="1">IF(OFFSET(Assumptions!$B$57,0,$C$1)="Yes",0,SUM($D$247:P$248))</f>
        <v>10.116</v>
      </c>
      <c r="Q246" s="21">
        <f ca="1">IF(OFFSET(Assumptions!$B$57,0,$C$1)="Yes",0,SUM($D$247:Q$248))</f>
        <v>12.516</v>
      </c>
      <c r="R246" s="21">
        <f ca="1">IF(OFFSET(Assumptions!$B$57,0,$C$1)="Yes",0,SUM($D$247:R$248))</f>
        <v>15.036</v>
      </c>
      <c r="S246" s="21">
        <f ca="1">IF(OFFSET(Assumptions!$B$57,0,$C$1)="Yes",0,SUM($D$247:S$248))</f>
        <v>17.681999999999999</v>
      </c>
      <c r="T246" s="21">
        <f ca="1">IF(OFFSET(Assumptions!$B$57,0,$C$1)="Yes",0,SUM($D$247:T$248))</f>
        <v>20.4603</v>
      </c>
      <c r="U246" s="21">
        <f ca="1">IF(OFFSET(Assumptions!$B$57,0,$C$1)="Yes",0,SUM($D$247:U$248))</f>
        <v>23.377515000000002</v>
      </c>
      <c r="V246" s="21">
        <f ca="1">IF(OFFSET(Assumptions!$B$57,0,$C$1)="Yes",0,SUM($D$247:V$248))</f>
        <v>26.440590750000005</v>
      </c>
      <c r="W246" s="21">
        <f ca="1">IF(OFFSET(Assumptions!$B$57,0,$C$1)="Yes",0,SUM($D$247:W$248))</f>
        <v>29.656820287500008</v>
      </c>
      <c r="X246" s="21">
        <f ca="1">IF(OFFSET(Assumptions!$B$57,0,$C$1)="Yes",0,SUM($D$247:X$248))</f>
        <v>33.033861301875007</v>
      </c>
      <c r="Y246" s="21">
        <f ca="1">IF(OFFSET(Assumptions!$B$57,0,$C$1)="Yes",0,SUM($D$247:Y$248))</f>
        <v>36.579754366968757</v>
      </c>
      <c r="Z246" s="21">
        <f ca="1">IF(OFFSET(Assumptions!$B$57,0,$C$1)="Yes",0,SUM($D$247:Z$248))</f>
        <v>40.302942085317198</v>
      </c>
    </row>
    <row r="247" spans="1:26" x14ac:dyDescent="0.25">
      <c r="A247" s="12" t="s">
        <v>1457</v>
      </c>
      <c r="B247" s="14" t="str">
        <f>$B$38</f>
        <v>From Fiscal Forecasts</v>
      </c>
      <c r="D247" s="50">
        <f>SUM('Fiscal Forecasts'!D$286:D$287)-SUM('Fiscal Forecasts'!C$286:C$287)</f>
        <v>0</v>
      </c>
      <c r="E247" s="50">
        <f>SUM('Fiscal Forecasts'!E$286:E$287)-SUM('Fiscal Forecasts'!D$286:D$287)</f>
        <v>0</v>
      </c>
      <c r="F247" s="50">
        <f>SUM('Fiscal Forecasts'!F$286:F$287)-SUM('Fiscal Forecasts'!E$286:E$287)</f>
        <v>0</v>
      </c>
      <c r="G247" s="50">
        <f>SUM('Fiscal Forecasts'!G$286:G$287)-SUM('Fiscal Forecasts'!F$286:F$287)</f>
        <v>0</v>
      </c>
      <c r="H247" s="50">
        <f>SUM('Fiscal Forecasts'!H$286:H$287)-SUM('Fiscal Forecasts'!G$286:G$287)</f>
        <v>0</v>
      </c>
      <c r="I247" s="50">
        <f>SUM('Fiscal Forecasts'!I$286:I$287)-SUM('Fiscal Forecasts'!H$286:H$287)</f>
        <v>0</v>
      </c>
      <c r="J247" s="50">
        <f>SUM('Fiscal Forecasts'!J$286:J$287)-SUM('Fiscal Forecasts'!I$286:I$287)</f>
        <v>0</v>
      </c>
      <c r="K247" s="50">
        <f>SUM('Fiscal Forecasts'!K$286:K$287)-SUM('Fiscal Forecasts'!J$286:J$287)</f>
        <v>0</v>
      </c>
      <c r="L247" s="48">
        <f>SUM('Fiscal Forecasts'!L$286:L$287)-SUM('Fiscal Forecasts'!K$286:K$287)</f>
        <v>1.258</v>
      </c>
      <c r="M247" s="48">
        <f>SUM('Fiscal Forecasts'!M$286:M$287)-SUM('Fiscal Forecasts'!L$286:L$287)</f>
        <v>-0.69000000000000006</v>
      </c>
      <c r="N247" s="48">
        <f>SUM('Fiscal Forecasts'!N$286:N$287)-SUM('Fiscal Forecasts'!M$286:M$287)</f>
        <v>-0.34300000000000008</v>
      </c>
      <c r="O247" s="48">
        <f>SUM('Fiscal Forecasts'!O$286:O$287)-SUM('Fiscal Forecasts'!N$286:N$287)</f>
        <v>0.3580000000000001</v>
      </c>
      <c r="P247" s="48">
        <f>SUM('Fiscal Forecasts'!P$286:P$287)-SUM('Fiscal Forecasts'!O$286:O$287)</f>
        <v>-6.6999999999999948E-2</v>
      </c>
      <c r="Q247" s="20">
        <f ca="1">IF(Q$6=OFFSET(Assumptions!$B$8,0,$C$1),OFFSET(Assumptions!$B$9,0,$C$1),P$247)</f>
        <v>0</v>
      </c>
      <c r="R247" s="20">
        <f ca="1">IF(R$6=OFFSET(Assumptions!$B$8,0,$C$1),OFFSET(Assumptions!$B$9,0,$C$1),Q$247)</f>
        <v>0</v>
      </c>
      <c r="S247" s="20">
        <f ca="1">IF(S$6=OFFSET(Assumptions!$B$8,0,$C$1),OFFSET(Assumptions!$B$9,0,$C$1),R$247)</f>
        <v>0</v>
      </c>
      <c r="T247" s="20">
        <f ca="1">IF(T$6=OFFSET(Assumptions!$B$8,0,$C$1),OFFSET(Assumptions!$B$9,0,$C$1),S$247)</f>
        <v>0</v>
      </c>
      <c r="U247" s="20">
        <f ca="1">IF(U$6=OFFSET(Assumptions!$B$8,0,$C$1),OFFSET(Assumptions!$B$9,0,$C$1),T$247)</f>
        <v>0</v>
      </c>
      <c r="V247" s="20">
        <f ca="1">IF(V$6=OFFSET(Assumptions!$B$8,0,$C$1),OFFSET(Assumptions!$B$9,0,$C$1),U$247)</f>
        <v>0</v>
      </c>
      <c r="W247" s="20">
        <f ca="1">IF(W$6=OFFSET(Assumptions!$B$8,0,$C$1),OFFSET(Assumptions!$B$9,0,$C$1),V$247)</f>
        <v>0</v>
      </c>
      <c r="X247" s="20">
        <f ca="1">IF(X$6=OFFSET(Assumptions!$B$8,0,$C$1),OFFSET(Assumptions!$B$9,0,$C$1),W$247)</f>
        <v>0</v>
      </c>
      <c r="Y247" s="20">
        <f ca="1">IF(Y$6=OFFSET(Assumptions!$B$8,0,$C$1),OFFSET(Assumptions!$B$9,0,$C$1),X$247)</f>
        <v>0</v>
      </c>
      <c r="Z247" s="20">
        <f ca="1">IF(Z$6=OFFSET(Assumptions!$B$8,0,$C$1),OFFSET(Assumptions!$B$9,0,$C$1),Y$247)</f>
        <v>0</v>
      </c>
    </row>
    <row r="248" spans="1:26" x14ac:dyDescent="0.25">
      <c r="A248" s="12" t="s">
        <v>1270</v>
      </c>
      <c r="B248" s="14" t="str">
        <f>$B$38</f>
        <v>From Fiscal Forecasts</v>
      </c>
      <c r="D248" s="50">
        <f>SUM('Fiscal Forecasts'!D$288:D$291)-SUM('Fiscal Forecasts'!C$288:C$291)</f>
        <v>0</v>
      </c>
      <c r="E248" s="50">
        <f>SUM('Fiscal Forecasts'!E$288:E$291)-SUM('Fiscal Forecasts'!D$288:D$291)</f>
        <v>0</v>
      </c>
      <c r="F248" s="50">
        <f>SUM('Fiscal Forecasts'!F$288:F$291)-SUM('Fiscal Forecasts'!E$288:E$291)</f>
        <v>0</v>
      </c>
      <c r="G248" s="50">
        <f>SUM('Fiscal Forecasts'!G$288:G$291)-SUM('Fiscal Forecasts'!F$288:F$291)</f>
        <v>0</v>
      </c>
      <c r="H248" s="50">
        <f>SUM('Fiscal Forecasts'!H$288:H$291)-SUM('Fiscal Forecasts'!G$288:G$291)</f>
        <v>0</v>
      </c>
      <c r="I248" s="50">
        <f>SUM('Fiscal Forecasts'!I$288:I$291)-SUM('Fiscal Forecasts'!H$288:H$291)</f>
        <v>0</v>
      </c>
      <c r="J248" s="50">
        <f>SUM('Fiscal Forecasts'!J$288:J$291)-SUM('Fiscal Forecasts'!I$288:I$291)</f>
        <v>0</v>
      </c>
      <c r="K248" s="50">
        <f>SUM('Fiscal Forecasts'!K$288:K$291)-SUM('Fiscal Forecasts'!J$288:J$291)</f>
        <v>0</v>
      </c>
      <c r="L248" s="48">
        <f>SUM('Fiscal Forecasts'!L$288:L$291)-SUM('Fiscal Forecasts'!K$288:K$291)+IF($C$2="Yes",'Fiscal Forecast Adjuster'!C$28/1000,0)</f>
        <v>0</v>
      </c>
      <c r="M248" s="48">
        <f>SUM('Fiscal Forecasts'!M$288:M$291)-SUM('Fiscal Forecasts'!L$288:L$291)+IF($C$2="Yes",'Fiscal Forecast Adjuster'!D$28/1000,0)</f>
        <v>2.4</v>
      </c>
      <c r="N248" s="48">
        <f>SUM('Fiscal Forecasts'!N$288:N$291)-SUM('Fiscal Forecasts'!M$288:M$291)+IF($C$2="Yes",'Fiscal Forecast Adjuster'!E$28/1000,0)</f>
        <v>2.4</v>
      </c>
      <c r="O248" s="48">
        <f>SUM('Fiscal Forecasts'!O$288:O$291)-SUM('Fiscal Forecasts'!N$288:N$291)+IF($C$2="Yes",'Fiscal Forecast Adjuster'!F$28/1000,0)</f>
        <v>2.3999999999999995</v>
      </c>
      <c r="P248" s="48">
        <f>SUM('Fiscal Forecasts'!P$288:P$291)-SUM('Fiscal Forecasts'!O$288:O$291)+IF($C$2="Yes",'Fiscal Forecast Adjuster'!G$28/1000,0)</f>
        <v>2.4000000000000004</v>
      </c>
      <c r="Q248" s="20">
        <f ca="1">IF(Q$6=OFFSET(Assumptions!$B$8,0,$C$1),OFFSET(Assumptions!$B$41,0,$C$1)-IF(OFFSET(Assumptions!$B$58,0,$C$1)="Yes",Allocation!$G$6,0),(P$248+IF(AND(P$6=OFFSET(Assumptions!$B$8,0,$C$1),OFFSET(Assumptions!$B$58,0,$C$1)="Yes"),Allocation!$G$6,0))*(1+OFFSET(Assumptions!$B$42,0,$C$1)))</f>
        <v>2.4</v>
      </c>
      <c r="R248" s="20">
        <f ca="1">IF(R$6=OFFSET(Assumptions!$B$8,0,$C$1),OFFSET(Assumptions!$B$41,0,$C$1)-IF(OFFSET(Assumptions!$B$58,0,$C$1)="Yes",Allocation!$G$6,0),(Q$248+IF(AND(Q$6=OFFSET(Assumptions!$B$8,0,$C$1),OFFSET(Assumptions!$B$58,0,$C$1)="Yes"),Allocation!$G$6,0))*(1+OFFSET(Assumptions!$B$42,0,$C$1)))</f>
        <v>2.52</v>
      </c>
      <c r="S248" s="20">
        <f ca="1">IF(S$6=OFFSET(Assumptions!$B$8,0,$C$1),OFFSET(Assumptions!$B$41,0,$C$1)-IF(OFFSET(Assumptions!$B$58,0,$C$1)="Yes",Allocation!$G$6,0),(R$248+IF(AND(R$6=OFFSET(Assumptions!$B$8,0,$C$1),OFFSET(Assumptions!$B$58,0,$C$1)="Yes"),Allocation!$G$6,0))*(1+OFFSET(Assumptions!$B$42,0,$C$1)))</f>
        <v>2.6460000000000004</v>
      </c>
      <c r="T248" s="20">
        <f ca="1">IF(T$6=OFFSET(Assumptions!$B$8,0,$C$1),OFFSET(Assumptions!$B$41,0,$C$1)-IF(OFFSET(Assumptions!$B$58,0,$C$1)="Yes",Allocation!$G$6,0),(S$248+IF(AND(S$6=OFFSET(Assumptions!$B$8,0,$C$1),OFFSET(Assumptions!$B$58,0,$C$1)="Yes"),Allocation!$G$6,0))*(1+OFFSET(Assumptions!$B$42,0,$C$1)))</f>
        <v>2.7783000000000007</v>
      </c>
      <c r="U248" s="20">
        <f ca="1">IF(U$6=OFFSET(Assumptions!$B$8,0,$C$1),OFFSET(Assumptions!$B$41,0,$C$1)-IF(OFFSET(Assumptions!$B$58,0,$C$1)="Yes",Allocation!$G$6,0),(T$248+IF(AND(T$6=OFFSET(Assumptions!$B$8,0,$C$1),OFFSET(Assumptions!$B$58,0,$C$1)="Yes"),Allocation!$G$6,0))*(1+OFFSET(Assumptions!$B$42,0,$C$1)))</f>
        <v>2.917215000000001</v>
      </c>
      <c r="V248" s="20">
        <f ca="1">IF(V$6=OFFSET(Assumptions!$B$8,0,$C$1),OFFSET(Assumptions!$B$41,0,$C$1)-IF(OFFSET(Assumptions!$B$58,0,$C$1)="Yes",Allocation!$G$6,0),(U$248+IF(AND(U$6=OFFSET(Assumptions!$B$8,0,$C$1),OFFSET(Assumptions!$B$58,0,$C$1)="Yes"),Allocation!$G$6,0))*(1+OFFSET(Assumptions!$B$42,0,$C$1)))</f>
        <v>3.0630757500000012</v>
      </c>
      <c r="W248" s="20">
        <f ca="1">IF(W$6=OFFSET(Assumptions!$B$8,0,$C$1),OFFSET(Assumptions!$B$41,0,$C$1)-IF(OFFSET(Assumptions!$B$58,0,$C$1)="Yes",Allocation!$G$6,0),(V$248+IF(AND(V$6=OFFSET(Assumptions!$B$8,0,$C$1),OFFSET(Assumptions!$B$58,0,$C$1)="Yes"),Allocation!$G$6,0))*(1+OFFSET(Assumptions!$B$42,0,$C$1)))</f>
        <v>3.2162295375000016</v>
      </c>
      <c r="X248" s="20">
        <f ca="1">IF(X$6=OFFSET(Assumptions!$B$8,0,$C$1),OFFSET(Assumptions!$B$41,0,$C$1)-IF(OFFSET(Assumptions!$B$58,0,$C$1)="Yes",Allocation!$G$6,0),(W$248+IF(AND(W$6=OFFSET(Assumptions!$B$8,0,$C$1),OFFSET(Assumptions!$B$58,0,$C$1)="Yes"),Allocation!$G$6,0))*(1+OFFSET(Assumptions!$B$42,0,$C$1)))</f>
        <v>3.3770410143750018</v>
      </c>
      <c r="Y248" s="20">
        <f ca="1">IF(Y$6=OFFSET(Assumptions!$B$8,0,$C$1),OFFSET(Assumptions!$B$41,0,$C$1)-IF(OFFSET(Assumptions!$B$58,0,$C$1)="Yes",Allocation!$G$6,0),(X$248+IF(AND(X$6=OFFSET(Assumptions!$B$8,0,$C$1),OFFSET(Assumptions!$B$58,0,$C$1)="Yes"),Allocation!$G$6,0))*(1+OFFSET(Assumptions!$B$42,0,$C$1)))</f>
        <v>3.5458930650937521</v>
      </c>
      <c r="Z248" s="20">
        <f ca="1">IF(Z$6=OFFSET(Assumptions!$B$8,0,$C$1),OFFSET(Assumptions!$B$41,0,$C$1)-IF(OFFSET(Assumptions!$B$58,0,$C$1)="Yes",Allocation!$G$6,0),(Y$248+IF(AND(Y$6=OFFSET(Assumptions!$B$8,0,$C$1),OFFSET(Assumptions!$B$58,0,$C$1)="Yes"),Allocation!$G$6,0))*(1+OFFSET(Assumptions!$B$42,0,$C$1)))</f>
        <v>3.7231877183484401</v>
      </c>
    </row>
    <row r="249" spans="1:26" x14ac:dyDescent="0.25">
      <c r="A249" s="11" t="s">
        <v>711</v>
      </c>
      <c r="B249" s="14" t="str">
        <f>$B$38</f>
        <v>From Fiscal Forecasts</v>
      </c>
      <c r="D249" s="51">
        <f>'Fiscal Forecasts'!D$22</f>
        <v>0</v>
      </c>
      <c r="E249" s="51">
        <f>'Fiscal Forecasts'!E$22</f>
        <v>0</v>
      </c>
      <c r="F249" s="51">
        <f>'Fiscal Forecasts'!F$22</f>
        <v>0</v>
      </c>
      <c r="G249" s="51">
        <f>'Fiscal Forecasts'!G$22</f>
        <v>0</v>
      </c>
      <c r="H249" s="51">
        <f>'Fiscal Forecasts'!H$22</f>
        <v>0</v>
      </c>
      <c r="I249" s="51">
        <f>'Fiscal Forecasts'!I$22</f>
        <v>0</v>
      </c>
      <c r="J249" s="51">
        <f>'Fiscal Forecasts'!J$22</f>
        <v>0</v>
      </c>
      <c r="K249" s="51">
        <f>'Fiscal Forecasts'!K$22</f>
        <v>0</v>
      </c>
      <c r="L249" s="47">
        <f ca="1">IF(OFFSET(Assumptions!$B$57,0,$C$1)="Yes",0,'Fiscal Forecasts'!L$22)</f>
        <v>-2.6</v>
      </c>
      <c r="M249" s="47">
        <f ca="1">IF(OFFSET(Assumptions!$B$57,0,$C$1)="Yes",0,'Fiscal Forecasts'!M$22)</f>
        <v>-0.8</v>
      </c>
      <c r="N249" s="47">
        <f ca="1">IF(OFFSET(Assumptions!$B$57,0,$C$1)="Yes",0,'Fiscal Forecasts'!N$22)</f>
        <v>-0.65</v>
      </c>
      <c r="O249" s="47">
        <f ca="1">IF(OFFSET(Assumptions!$B$57,0,$C$1)="Yes",0,'Fiscal Forecasts'!O$22)</f>
        <v>-0.65</v>
      </c>
      <c r="P249" s="47">
        <f ca="1">IF(OFFSET(Assumptions!$B$57,0,$C$1)="Yes",0,'Fiscal Forecasts'!P$22)</f>
        <v>-0.65</v>
      </c>
      <c r="Q249" s="21">
        <f ca="1">IF(Q$6=OFFSET(Assumptions!$B$8,0,$C$1),OFFSET(Assumptions!$B$9,0,$C$1),P$249)</f>
        <v>0</v>
      </c>
      <c r="R249" s="21">
        <f ca="1">IF(R$6=OFFSET(Assumptions!$B$8,0,$C$1),OFFSET(Assumptions!$B$9,0,$C$1),Q$249)</f>
        <v>0</v>
      </c>
      <c r="S249" s="21">
        <f ca="1">IF(S$6=OFFSET(Assumptions!$B$8,0,$C$1),OFFSET(Assumptions!$B$9,0,$C$1),R$249)</f>
        <v>0</v>
      </c>
      <c r="T249" s="21">
        <f ca="1">IF(T$6=OFFSET(Assumptions!$B$8,0,$C$1),OFFSET(Assumptions!$B$9,0,$C$1),S$249)</f>
        <v>0</v>
      </c>
      <c r="U249" s="21">
        <f ca="1">IF(U$6=OFFSET(Assumptions!$B$8,0,$C$1),OFFSET(Assumptions!$B$9,0,$C$1),T$249)</f>
        <v>0</v>
      </c>
      <c r="V249" s="21">
        <f ca="1">IF(V$6=OFFSET(Assumptions!$B$8,0,$C$1),OFFSET(Assumptions!$B$9,0,$C$1),U$249)</f>
        <v>0</v>
      </c>
      <c r="W249" s="21">
        <f ca="1">IF(W$6=OFFSET(Assumptions!$B$8,0,$C$1),OFFSET(Assumptions!$B$9,0,$C$1),V$249)</f>
        <v>0</v>
      </c>
      <c r="X249" s="21">
        <f ca="1">IF(X$6=OFFSET(Assumptions!$B$8,0,$C$1),OFFSET(Assumptions!$B$9,0,$C$1),W$249)</f>
        <v>0</v>
      </c>
      <c r="Y249" s="21">
        <f ca="1">IF(Y$6=OFFSET(Assumptions!$B$8,0,$C$1),OFFSET(Assumptions!$B$9,0,$C$1),X$249)</f>
        <v>0</v>
      </c>
      <c r="Z249" s="21">
        <f ca="1">IF(Z$6=OFFSET(Assumptions!$B$8,0,$C$1),OFFSET(Assumptions!$B$9,0,$C$1),Y$249)</f>
        <v>0</v>
      </c>
    </row>
    <row r="251" spans="1:26" x14ac:dyDescent="0.25">
      <c r="A251" s="11" t="s">
        <v>1271</v>
      </c>
    </row>
    <row r="252" spans="1:26" x14ac:dyDescent="0.25">
      <c r="A252" s="11" t="s">
        <v>1272</v>
      </c>
      <c r="B252" s="14" t="str">
        <f>$B$38</f>
        <v>From Fiscal Forecasts</v>
      </c>
      <c r="D252" s="51">
        <f>'Fiscal Forecasts'!D$69</f>
        <v>6.6000000000000003E-2</v>
      </c>
      <c r="E252" s="51">
        <f>'Fiscal Forecasts'!E$69</f>
        <v>7.2999999999999995E-2</v>
      </c>
      <c r="F252" s="51">
        <f>'Fiscal Forecasts'!F$69</f>
        <v>9.9000000000000005E-2</v>
      </c>
      <c r="G252" s="51">
        <f>'Fiscal Forecasts'!G$69</f>
        <v>9.4E-2</v>
      </c>
      <c r="H252" s="51">
        <f>'Fiscal Forecasts'!H$69</f>
        <v>6.0999999999999999E-2</v>
      </c>
      <c r="I252" s="51">
        <f>'Fiscal Forecasts'!I$69</f>
        <v>6.9000000000000006E-2</v>
      </c>
      <c r="J252" s="51">
        <f>'Fiscal Forecasts'!J$69</f>
        <v>6.5000000000000002E-2</v>
      </c>
      <c r="K252" s="51">
        <f>'Fiscal Forecasts'!K$69</f>
        <v>6.0999999999999999E-2</v>
      </c>
      <c r="L252" s="47">
        <f>'Fiscal Forecasts'!L$69</f>
        <v>4.5999999999999999E-2</v>
      </c>
      <c r="M252" s="47">
        <f>'Fiscal Forecasts'!M$69</f>
        <v>4.8000000000000001E-2</v>
      </c>
      <c r="N252" s="47">
        <f>'Fiscal Forecasts'!N$69</f>
        <v>4.7E-2</v>
      </c>
      <c r="O252" s="47">
        <f>'Fiscal Forecasts'!O$69</f>
        <v>4.5999999999999999E-2</v>
      </c>
      <c r="P252" s="47">
        <f>'Fiscal Forecasts'!P$69</f>
        <v>4.4999999999999998E-2</v>
      </c>
      <c r="Q252" s="21">
        <f>P$252*Exogenous!AB$34/Exogenous!AA$34</f>
        <v>4.2880886426592796E-2</v>
      </c>
      <c r="R252" s="21">
        <f>Q$252*Exogenous!AC$34/Exogenous!AB$34</f>
        <v>4.07617728531856E-2</v>
      </c>
      <c r="S252" s="21">
        <f>R$252*Exogenous!AD$34/Exogenous!AC$34</f>
        <v>3.8642659279778398E-2</v>
      </c>
      <c r="T252" s="21">
        <f>S$252*Exogenous!AE$34/Exogenous!AD$34</f>
        <v>3.6398891966759002E-2</v>
      </c>
      <c r="U252" s="21">
        <f>T$252*Exogenous!AF$34/Exogenous!AE$34</f>
        <v>3.4404432132963993E-2</v>
      </c>
      <c r="V252" s="21">
        <f>U$252*Exogenous!AG$34/Exogenous!AF$34</f>
        <v>3.2409972299168976E-2</v>
      </c>
      <c r="W252" s="21">
        <f>V$252*Exogenous!AH$34/Exogenous!AG$34</f>
        <v>3.029085872576177E-2</v>
      </c>
      <c r="X252" s="21">
        <f>W$252*Exogenous!AI$34/Exogenous!AH$34</f>
        <v>2.8171745152354568E-2</v>
      </c>
      <c r="Y252" s="21">
        <f>X$252*Exogenous!AJ$34/Exogenous!AI$34</f>
        <v>2.6301939058171742E-2</v>
      </c>
      <c r="Z252" s="21">
        <f>Y$252*Exogenous!AK$34/Exogenous!AJ$34</f>
        <v>2.4432132963988915E-2</v>
      </c>
    </row>
    <row r="253" spans="1:26" x14ac:dyDescent="0.25">
      <c r="A253" s="11" t="s">
        <v>1273</v>
      </c>
      <c r="B253" s="14" t="str">
        <f>$B$38</f>
        <v>From Fiscal Forecasts</v>
      </c>
      <c r="D253" s="51">
        <f>'Fiscal Forecasts'!D$52</f>
        <v>0.08</v>
      </c>
      <c r="E253" s="51">
        <f>'Fiscal Forecasts'!E$52</f>
        <v>8.6999999999999994E-2</v>
      </c>
      <c r="F253" s="51">
        <f>'Fiscal Forecasts'!F$52</f>
        <v>0.114</v>
      </c>
      <c r="G253" s="51">
        <f>'Fiscal Forecasts'!G$52</f>
        <v>0.11</v>
      </c>
      <c r="H253" s="51">
        <f>'Fiscal Forecasts'!H$52</f>
        <v>7.8E-2</v>
      </c>
      <c r="I253" s="51">
        <f>'Fiscal Forecasts'!I$52</f>
        <v>9.4E-2</v>
      </c>
      <c r="J253" s="51">
        <f>'Fiscal Forecasts'!J$52</f>
        <v>8.3000000000000004E-2</v>
      </c>
      <c r="K253" s="51">
        <f>'Fiscal Forecasts'!K$52</f>
        <v>7.0000000000000007E-2</v>
      </c>
      <c r="L253" s="47">
        <f>'Fiscal Forecasts'!L$52</f>
        <v>5.3999999999999999E-2</v>
      </c>
      <c r="M253" s="47">
        <f>'Fiscal Forecasts'!M$52</f>
        <v>5.6000000000000001E-2</v>
      </c>
      <c r="N253" s="47">
        <f>'Fiscal Forecasts'!N$52</f>
        <v>5.5E-2</v>
      </c>
      <c r="O253" s="47">
        <f>'Fiscal Forecasts'!O$52</f>
        <v>5.3999999999999999E-2</v>
      </c>
      <c r="P253" s="47">
        <f>'Fiscal Forecasts'!P$52</f>
        <v>5.2999999999999999E-2</v>
      </c>
      <c r="Q253" s="21">
        <f>P$253*Exogenous!AB$34/Exogenous!AA$34</f>
        <v>5.0504155124653734E-2</v>
      </c>
      <c r="R253" s="21">
        <f>Q$253*Exogenous!AC$34/Exogenous!AB$34</f>
        <v>4.8008310249307476E-2</v>
      </c>
      <c r="S253" s="21">
        <f>R$253*Exogenous!AD$34/Exogenous!AC$34</f>
        <v>4.5512465373961218E-2</v>
      </c>
      <c r="T253" s="21">
        <f>S$253*Exogenous!AE$34/Exogenous!AD$34</f>
        <v>4.2869806094182825E-2</v>
      </c>
      <c r="U253" s="21">
        <f>T$253*Exogenous!AF$34/Exogenous!AE$34</f>
        <v>4.0520775623268702E-2</v>
      </c>
      <c r="V253" s="21">
        <f>U$253*Exogenous!AG$34/Exogenous!AF$34</f>
        <v>3.8171745152354573E-2</v>
      </c>
      <c r="W253" s="21">
        <f>V$253*Exogenous!AH$34/Exogenous!AG$34</f>
        <v>3.5675900277008316E-2</v>
      </c>
      <c r="X253" s="21">
        <f>W$253*Exogenous!AI$34/Exogenous!AH$34</f>
        <v>3.3180055401662058E-2</v>
      </c>
      <c r="Y253" s="21">
        <f>X$253*Exogenous!AJ$34/Exogenous!AI$34</f>
        <v>3.0977839335180061E-2</v>
      </c>
      <c r="Z253" s="21">
        <f>Y$253*Exogenous!AK$34/Exogenous!AJ$34</f>
        <v>2.8775623268698067E-2</v>
      </c>
    </row>
    <row r="255" spans="1:26" x14ac:dyDescent="0.25">
      <c r="A255" s="11" t="s">
        <v>1274</v>
      </c>
      <c r="D255" s="2"/>
      <c r="E255" s="2"/>
      <c r="F255" s="2"/>
      <c r="G255" s="2"/>
      <c r="H255" s="2"/>
      <c r="I255" s="2"/>
      <c r="J255" s="2"/>
      <c r="K255" s="2"/>
      <c r="L255" s="2"/>
      <c r="M255" s="2"/>
      <c r="N255" s="2"/>
      <c r="O255" s="2"/>
      <c r="P255" s="2"/>
    </row>
    <row r="256" spans="1:26" x14ac:dyDescent="0.25">
      <c r="A256" s="11" t="s">
        <v>1275</v>
      </c>
      <c r="B256" s="14" t="str">
        <f>$B$38</f>
        <v>From Fiscal Forecasts</v>
      </c>
      <c r="D256" s="51">
        <f>'Fiscal Forecasts'!D$58</f>
        <v>18.268000000000001</v>
      </c>
      <c r="E256" s="51">
        <f>'Fiscal Forecasts'!E$58</f>
        <v>19.890999999999998</v>
      </c>
      <c r="F256" s="51">
        <f>'Fiscal Forecasts'!F$58</f>
        <v>22.783999999999999</v>
      </c>
      <c r="G256" s="51">
        <f>'Fiscal Forecasts'!G$58</f>
        <v>27.780999999999999</v>
      </c>
      <c r="H256" s="51">
        <f>'Fiscal Forecasts'!H$58</f>
        <v>28.489000000000001</v>
      </c>
      <c r="I256" s="51">
        <f>'Fiscal Forecasts'!I$58</f>
        <v>29.998999999999999</v>
      </c>
      <c r="J256" s="51">
        <f>'Fiscal Forecasts'!J$58</f>
        <v>30.311</v>
      </c>
      <c r="K256" s="51">
        <f>'Fiscal Forecasts'!K$58</f>
        <v>32.917000000000002</v>
      </c>
      <c r="L256" s="47">
        <f ca="1">'Fiscal Forecasts'!L$58+IF(OFFSET(Assumptions!$B$57,0,$C$1)="Yes",Allocation!C$11+IF($C$2="Yes",'Fiscal Forecast Adjuster'!C$47,0),0)</f>
        <v>34.472000000000001</v>
      </c>
      <c r="M256" s="47">
        <f ca="1">'Fiscal Forecasts'!M$58+IF(OFFSET(Assumptions!$B$57,0,$C$1)="Yes",Allocation!D$11+IF($C$2="Yes",'Fiscal Forecast Adjuster'!D$47,0),0)</f>
        <v>34.094000000000001</v>
      </c>
      <c r="N256" s="47">
        <f ca="1">'Fiscal Forecasts'!N$58+IF(OFFSET(Assumptions!$B$57,0,$C$1)="Yes",Allocation!E$11+IF($C$2="Yes",'Fiscal Forecast Adjuster'!E$47,0),0)</f>
        <v>34.209000000000003</v>
      </c>
      <c r="O256" s="47">
        <f ca="1">'Fiscal Forecasts'!O$58+IF(OFFSET(Assumptions!$B$57,0,$C$1)="Yes",Allocation!F$11+IF($C$2="Yes",'Fiscal Forecast Adjuster'!F$47,0),0)</f>
        <v>34.293999999999997</v>
      </c>
      <c r="P256" s="47">
        <f ca="1">'Fiscal Forecasts'!P$58+IF(OFFSET(Assumptions!$B$57,0,$C$1)="Yes",Allocation!G$11+IF($C$2="Yes",'Fiscal Forecast Adjuster'!G$47,0),0)</f>
        <v>34.451999999999998</v>
      </c>
      <c r="Q256" s="21">
        <f ca="1">P$256+IF(OFFSET(Assumptions!$B$58,0,$C$1)="Yes",Allocation!$B$11*Q$248,IF(OFFSET(Assumptions!$B$59,0,$C$1)="Yes",Q$530-P$256,0))</f>
        <v>34.451999999999998</v>
      </c>
      <c r="R256" s="21">
        <f ca="1">Q$256+IF(OFFSET(Assumptions!$B$58,0,$C$1)="Yes",Allocation!$B$11*R$248,IF(OFFSET(Assumptions!$B$59,0,$C$1)="Yes",R$530-Q$256,0))</f>
        <v>34.451999999999998</v>
      </c>
      <c r="S256" s="21">
        <f ca="1">R$256+IF(OFFSET(Assumptions!$B$58,0,$C$1)="Yes",Allocation!$B$11*S$248,IF(OFFSET(Assumptions!$B$59,0,$C$1)="Yes",S$530-R$256,0))</f>
        <v>34.451999999999998</v>
      </c>
      <c r="T256" s="21">
        <f ca="1">S$256+IF(OFFSET(Assumptions!$B$58,0,$C$1)="Yes",Allocation!$B$11*T$248,IF(OFFSET(Assumptions!$B$59,0,$C$1)="Yes",T$530-S$256,0))</f>
        <v>34.451999999999998</v>
      </c>
      <c r="U256" s="21">
        <f ca="1">T$256+IF(OFFSET(Assumptions!$B$58,0,$C$1)="Yes",Allocation!$B$11*U$248,IF(OFFSET(Assumptions!$B$59,0,$C$1)="Yes",U$530-T$256,0))</f>
        <v>34.451999999999998</v>
      </c>
      <c r="V256" s="21">
        <f ca="1">U$256+IF(OFFSET(Assumptions!$B$58,0,$C$1)="Yes",Allocation!$B$11*V$248,IF(OFFSET(Assumptions!$B$59,0,$C$1)="Yes",V$530-U$256,0))</f>
        <v>34.451999999999998</v>
      </c>
      <c r="W256" s="21">
        <f ca="1">V$256+IF(OFFSET(Assumptions!$B$58,0,$C$1)="Yes",Allocation!$B$11*W$248,IF(OFFSET(Assumptions!$B$59,0,$C$1)="Yes",W$530-V$256,0))</f>
        <v>34.451999999999998</v>
      </c>
      <c r="X256" s="21">
        <f ca="1">W$256+IF(OFFSET(Assumptions!$B$58,0,$C$1)="Yes",Allocation!$B$11*X$248,IF(OFFSET(Assumptions!$B$59,0,$C$1)="Yes",X$530-W$256,0))</f>
        <v>34.451999999999998</v>
      </c>
      <c r="Y256" s="21">
        <f ca="1">X$256+IF(OFFSET(Assumptions!$B$58,0,$C$1)="Yes",Allocation!$B$11*Y$248,IF(OFFSET(Assumptions!$B$59,0,$C$1)="Yes",Y$530-X$256,0))</f>
        <v>34.451999999999998</v>
      </c>
      <c r="Z256" s="21">
        <f ca="1">Y$256+IF(OFFSET(Assumptions!$B$58,0,$C$1)="Yes",Allocation!$B$11*Z$248,IF(OFFSET(Assumptions!$B$59,0,$C$1)="Yes",Z$530-Y$256,0))</f>
        <v>34.451999999999998</v>
      </c>
    </row>
    <row r="257" spans="1:26" x14ac:dyDescent="0.25">
      <c r="A257" s="12" t="s">
        <v>1020</v>
      </c>
      <c r="B257" s="14" t="str">
        <f>$B$38</f>
        <v>From Fiscal Forecasts</v>
      </c>
      <c r="D257" s="50">
        <f>'Fiscal Forecasts'!D$207</f>
        <v>16.579000000000001</v>
      </c>
      <c r="E257" s="50">
        <f>'Fiscal Forecasts'!E$207</f>
        <v>17.788</v>
      </c>
      <c r="F257" s="50">
        <f>'Fiscal Forecasts'!F$207</f>
        <v>18.856000000000002</v>
      </c>
      <c r="G257" s="50">
        <f>'Fiscal Forecasts'!G$207</f>
        <v>22.004999999999999</v>
      </c>
      <c r="H257" s="50">
        <f>'Fiscal Forecasts'!H$207</f>
        <v>27.765999999999998</v>
      </c>
      <c r="I257" s="50">
        <f>'Fiscal Forecasts'!I$207</f>
        <v>27.89</v>
      </c>
      <c r="J257" s="50">
        <f>'Fiscal Forecasts'!J$207</f>
        <v>27.827000000000002</v>
      </c>
      <c r="K257" s="50">
        <f>'Fiscal Forecasts'!K$207</f>
        <v>29.77</v>
      </c>
      <c r="L257" s="48">
        <f>'Fiscal Forecasts'!L$207</f>
        <v>31.096</v>
      </c>
      <c r="M257" s="48">
        <f>'Fiscal Forecasts'!M$207</f>
        <v>30.754999999999999</v>
      </c>
      <c r="N257" s="48">
        <f>'Fiscal Forecasts'!N$207</f>
        <v>30.608000000000001</v>
      </c>
      <c r="O257" s="48">
        <f>'Fiscal Forecasts'!O$207</f>
        <v>30.402999999999999</v>
      </c>
      <c r="P257" s="48">
        <f>'Fiscal Forecasts'!P$207</f>
        <v>30.282</v>
      </c>
      <c r="Q257" s="20">
        <f t="shared" ref="Q257:Z257" ca="1" si="149">P$257+Q$256-P$256</f>
        <v>30.281999999999996</v>
      </c>
      <c r="R257" s="20">
        <f t="shared" ca="1" si="149"/>
        <v>30.281999999999996</v>
      </c>
      <c r="S257" s="20">
        <f t="shared" ca="1" si="149"/>
        <v>30.281999999999996</v>
      </c>
      <c r="T257" s="20">
        <f t="shared" ca="1" si="149"/>
        <v>30.281999999999996</v>
      </c>
      <c r="U257" s="20">
        <f t="shared" ca="1" si="149"/>
        <v>30.281999999999996</v>
      </c>
      <c r="V257" s="20">
        <f t="shared" ca="1" si="149"/>
        <v>30.281999999999996</v>
      </c>
      <c r="W257" s="20">
        <f t="shared" ca="1" si="149"/>
        <v>30.281999999999996</v>
      </c>
      <c r="X257" s="20">
        <f t="shared" ca="1" si="149"/>
        <v>30.281999999999996</v>
      </c>
      <c r="Y257" s="20">
        <f t="shared" ca="1" si="149"/>
        <v>30.281999999999996</v>
      </c>
      <c r="Z257" s="20">
        <f t="shared" ca="1" si="149"/>
        <v>30.281999999999996</v>
      </c>
    </row>
    <row r="258" spans="1:26" x14ac:dyDescent="0.25">
      <c r="A258" s="12" t="s">
        <v>1228</v>
      </c>
      <c r="B258" s="14" t="str">
        <f>$B$38</f>
        <v>From Fiscal Forecasts</v>
      </c>
      <c r="D258" s="50">
        <f>'Fiscal Forecasts'!D$41-SUM(D$256:D$257)</f>
        <v>-16.187000000000001</v>
      </c>
      <c r="E258" s="50">
        <f>'Fiscal Forecasts'!E$41-SUM(E$256:E$257)</f>
        <v>-17.21</v>
      </c>
      <c r="F258" s="50">
        <f>'Fiscal Forecasts'!F$41-SUM(F$256:F$257)</f>
        <v>-19.042000000000002</v>
      </c>
      <c r="G258" s="50">
        <f>'Fiscal Forecasts'!G$41-SUM(G$256:G$257)</f>
        <v>-22.128</v>
      </c>
      <c r="H258" s="50">
        <f>'Fiscal Forecasts'!H$41-SUM(H$256:H$257)</f>
        <v>-26.430999999999994</v>
      </c>
      <c r="I258" s="50">
        <f>'Fiscal Forecasts'!I$41-SUM(I$256:I$257)</f>
        <v>-28.048999999999996</v>
      </c>
      <c r="J258" s="50">
        <f>'Fiscal Forecasts'!J$41-SUM(J$256:J$257)</f>
        <v>-28.285000000000004</v>
      </c>
      <c r="K258" s="50">
        <f>'Fiscal Forecasts'!K$41-SUM(K$256:K$257)</f>
        <v>-30.897999999999996</v>
      </c>
      <c r="L258" s="48">
        <f ca="1">'Fiscal Forecasts'!L$41-SUM(L$256:L$257)+IF(OFFSET(Assumptions!$B$57,0,$C$1)="Yes",Allocation!C$11+IF($C$2="Yes",'Fiscal Forecast Adjuster'!C$47,0),0)</f>
        <v>-31.817999999999998</v>
      </c>
      <c r="M258" s="48">
        <f ca="1">'Fiscal Forecasts'!M$41-SUM(M$256:M$257)+IF(OFFSET(Assumptions!$B$57,0,$C$1)="Yes",Allocation!D$11+IF($C$2="Yes",'Fiscal Forecast Adjuster'!D$47,0),0)</f>
        <v>-31.799000000000007</v>
      </c>
      <c r="N258" s="48">
        <f ca="1">'Fiscal Forecasts'!N$41-SUM(N$256:N$257)+IF(OFFSET(Assumptions!$B$57,0,$C$1)="Yes",Allocation!E$11+IF($C$2="Yes",'Fiscal Forecast Adjuster'!E$47,0),0)</f>
        <v>-31.965000000000011</v>
      </c>
      <c r="O258" s="48">
        <f ca="1">'Fiscal Forecasts'!O$41-SUM(O$256:O$257)+IF(OFFSET(Assumptions!$B$57,0,$C$1)="Yes",Allocation!F$11+IF($C$2="Yes",'Fiscal Forecast Adjuster'!F$47,0),0)</f>
        <v>-32.077000000000005</v>
      </c>
      <c r="P258" s="48">
        <f ca="1">'Fiscal Forecasts'!P$41-SUM(P$256:P$257)+IF(OFFSET(Assumptions!$B$57,0,$C$1)="Yes",Allocation!G$11+IF($C$2="Yes",'Fiscal Forecast Adjuster'!G$47,0),0)</f>
        <v>-32.281999999999996</v>
      </c>
      <c r="Q258" s="20">
        <f t="shared" ref="Q258:Z258" ca="1" si="150">P$258-(Q$256-P$256)</f>
        <v>-32.281999999999996</v>
      </c>
      <c r="R258" s="20">
        <f t="shared" ca="1" si="150"/>
        <v>-32.281999999999996</v>
      </c>
      <c r="S258" s="20">
        <f t="shared" ca="1" si="150"/>
        <v>-32.281999999999996</v>
      </c>
      <c r="T258" s="20">
        <f t="shared" ca="1" si="150"/>
        <v>-32.281999999999996</v>
      </c>
      <c r="U258" s="20">
        <f t="shared" ca="1" si="150"/>
        <v>-32.281999999999996</v>
      </c>
      <c r="V258" s="20">
        <f t="shared" ca="1" si="150"/>
        <v>-32.281999999999996</v>
      </c>
      <c r="W258" s="20">
        <f t="shared" ca="1" si="150"/>
        <v>-32.281999999999996</v>
      </c>
      <c r="X258" s="20">
        <f t="shared" ca="1" si="150"/>
        <v>-32.281999999999996</v>
      </c>
      <c r="Y258" s="20">
        <f t="shared" ca="1" si="150"/>
        <v>-32.281999999999996</v>
      </c>
      <c r="Z258" s="20">
        <f t="shared" ca="1" si="150"/>
        <v>-32.281999999999996</v>
      </c>
    </row>
    <row r="259" spans="1:26" x14ac:dyDescent="0.25">
      <c r="A259" s="11" t="s">
        <v>1276</v>
      </c>
      <c r="D259" s="94">
        <f t="shared" ref="D259:Z259" si="151">SUM(D$256:D$258)</f>
        <v>18.66</v>
      </c>
      <c r="E259" s="94">
        <f t="shared" si="151"/>
        <v>20.469000000000001</v>
      </c>
      <c r="F259" s="94">
        <f t="shared" si="151"/>
        <v>22.597999999999999</v>
      </c>
      <c r="G259" s="94">
        <f t="shared" si="151"/>
        <v>27.658000000000001</v>
      </c>
      <c r="H259" s="94">
        <f t="shared" si="151"/>
        <v>29.824000000000002</v>
      </c>
      <c r="I259" s="94">
        <f t="shared" si="151"/>
        <v>29.84</v>
      </c>
      <c r="J259" s="94">
        <f t="shared" si="151"/>
        <v>29.853000000000002</v>
      </c>
      <c r="K259" s="94">
        <f t="shared" si="151"/>
        <v>31.789000000000001</v>
      </c>
      <c r="L259" s="95">
        <f t="shared" ca="1" si="151"/>
        <v>33.75</v>
      </c>
      <c r="M259" s="95">
        <f t="shared" ca="1" si="151"/>
        <v>33.049999999999997</v>
      </c>
      <c r="N259" s="95">
        <f t="shared" ca="1" si="151"/>
        <v>32.851999999999997</v>
      </c>
      <c r="O259" s="95">
        <f t="shared" ca="1" si="151"/>
        <v>32.619999999999997</v>
      </c>
      <c r="P259" s="95">
        <f t="shared" ca="1" si="151"/>
        <v>32.451999999999998</v>
      </c>
      <c r="Q259" s="96">
        <f t="shared" ca="1" si="151"/>
        <v>32.451999999999998</v>
      </c>
      <c r="R259" s="96">
        <f t="shared" ca="1" si="151"/>
        <v>32.451999999999998</v>
      </c>
      <c r="S259" s="96">
        <f t="shared" ca="1" si="151"/>
        <v>32.451999999999998</v>
      </c>
      <c r="T259" s="96">
        <f t="shared" ca="1" si="151"/>
        <v>32.451999999999998</v>
      </c>
      <c r="U259" s="96">
        <f t="shared" ca="1" si="151"/>
        <v>32.451999999999998</v>
      </c>
      <c r="V259" s="96">
        <f t="shared" ca="1" si="151"/>
        <v>32.451999999999998</v>
      </c>
      <c r="W259" s="96">
        <f t="shared" ca="1" si="151"/>
        <v>32.451999999999998</v>
      </c>
      <c r="X259" s="96">
        <f t="shared" ca="1" si="151"/>
        <v>32.451999999999998</v>
      </c>
      <c r="Y259" s="96">
        <f t="shared" ca="1" si="151"/>
        <v>32.451999999999998</v>
      </c>
      <c r="Z259" s="96">
        <f t="shared" ca="1" si="151"/>
        <v>32.451999999999998</v>
      </c>
    </row>
    <row r="260" spans="1:26" x14ac:dyDescent="0.25">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row>
    <row r="261" spans="1:26" x14ac:dyDescent="0.25">
      <c r="A261" s="11" t="s">
        <v>1277</v>
      </c>
    </row>
    <row r="262" spans="1:26" x14ac:dyDescent="0.25">
      <c r="A262" s="12" t="s">
        <v>693</v>
      </c>
      <c r="D262" s="50">
        <f>D$190</f>
        <v>0.58299999999999996</v>
      </c>
      <c r="E262" s="50">
        <f t="shared" ref="E262:Z262" si="152">E$190</f>
        <v>0.56699999999999995</v>
      </c>
      <c r="F262" s="50">
        <f t="shared" si="152"/>
        <v>0.59</v>
      </c>
      <c r="G262" s="50">
        <f t="shared" si="152"/>
        <v>0.55600000000000005</v>
      </c>
      <c r="H262" s="50">
        <f t="shared" si="152"/>
        <v>0.52500000000000002</v>
      </c>
      <c r="I262" s="50">
        <f t="shared" si="152"/>
        <v>0.52600000000000002</v>
      </c>
      <c r="J262" s="50">
        <f t="shared" si="152"/>
        <v>0.57399999999999995</v>
      </c>
      <c r="K262" s="50">
        <f t="shared" si="152"/>
        <v>0.64100000000000001</v>
      </c>
      <c r="L262" s="48">
        <f t="shared" si="152"/>
        <v>0.70399999999999996</v>
      </c>
      <c r="M262" s="48">
        <f t="shared" si="152"/>
        <v>0.71499999999999997</v>
      </c>
      <c r="N262" s="48">
        <f t="shared" si="152"/>
        <v>0.69899999999999995</v>
      </c>
      <c r="O262" s="48">
        <f t="shared" si="152"/>
        <v>0.68899999999999995</v>
      </c>
      <c r="P262" s="48">
        <f t="shared" si="152"/>
        <v>0.68899999999999995</v>
      </c>
      <c r="Q262" s="20">
        <f t="shared" ca="1" si="152"/>
        <v>0.7042704052526918</v>
      </c>
      <c r="R262" s="20">
        <f t="shared" ca="1" si="152"/>
        <v>0.7200817868108712</v>
      </c>
      <c r="S262" s="20">
        <f t="shared" ca="1" si="152"/>
        <v>0.7364441451154754</v>
      </c>
      <c r="T262" s="20">
        <f t="shared" ca="1" si="152"/>
        <v>0.75426820881386147</v>
      </c>
      <c r="U262" s="20">
        <f t="shared" ca="1" si="152"/>
        <v>0.77251950077583986</v>
      </c>
      <c r="V262" s="20">
        <f t="shared" ca="1" si="152"/>
        <v>0.79212822197401689</v>
      </c>
      <c r="W262" s="20">
        <f t="shared" ca="1" si="152"/>
        <v>0.81256650909083683</v>
      </c>
      <c r="X262" s="20">
        <f t="shared" ca="1" si="152"/>
        <v>0.834167094857449</v>
      </c>
      <c r="Y262" s="20">
        <f t="shared" ca="1" si="152"/>
        <v>0.85705810709086938</v>
      </c>
      <c r="Z262" s="20">
        <f t="shared" ca="1" si="152"/>
        <v>0.87732856685740601</v>
      </c>
    </row>
    <row r="263" spans="1:26" x14ac:dyDescent="0.25">
      <c r="A263" s="12" t="s">
        <v>1278</v>
      </c>
      <c r="D263" s="50">
        <f>D$402</f>
        <v>0.56299999999999994</v>
      </c>
      <c r="E263" s="50">
        <f t="shared" ref="E263:Z263" si="153">E$402</f>
        <v>0.50600000000000001</v>
      </c>
      <c r="F263" s="50">
        <f t="shared" si="153"/>
        <v>0.46899999999999997</v>
      </c>
      <c r="G263" s="50">
        <f t="shared" si="153"/>
        <v>0.48899999999999999</v>
      </c>
      <c r="H263" s="50">
        <f t="shared" si="153"/>
        <v>0.55100000000000005</v>
      </c>
      <c r="I263" s="50">
        <f t="shared" si="153"/>
        <v>0.54400000000000004</v>
      </c>
      <c r="J263" s="50">
        <f t="shared" si="153"/>
        <v>0.58499999999999996</v>
      </c>
      <c r="K263" s="50">
        <f t="shared" si="153"/>
        <v>0.76300000000000001</v>
      </c>
      <c r="L263" s="48">
        <f t="shared" si="153"/>
        <v>0.72399999999999998</v>
      </c>
      <c r="M263" s="48">
        <f t="shared" si="153"/>
        <v>0.78600000000000003</v>
      </c>
      <c r="N263" s="48">
        <f t="shared" si="153"/>
        <v>0.82099999999999995</v>
      </c>
      <c r="O263" s="48">
        <f t="shared" si="153"/>
        <v>0.85299999999999998</v>
      </c>
      <c r="P263" s="48">
        <f t="shared" si="153"/>
        <v>0.88300000000000001</v>
      </c>
      <c r="Q263" s="20">
        <f t="shared" si="153"/>
        <v>0.91100000000000003</v>
      </c>
      <c r="R263" s="20">
        <f t="shared" si="153"/>
        <v>0.93799999999999994</v>
      </c>
      <c r="S263" s="20">
        <f t="shared" si="153"/>
        <v>0.96199999999999997</v>
      </c>
      <c r="T263" s="20">
        <f t="shared" si="153"/>
        <v>0.98499999999999999</v>
      </c>
      <c r="U263" s="20">
        <f t="shared" si="153"/>
        <v>1.006</v>
      </c>
      <c r="V263" s="20">
        <f t="shared" si="153"/>
        <v>1.0249999999999999</v>
      </c>
      <c r="W263" s="20">
        <f t="shared" si="153"/>
        <v>1.046</v>
      </c>
      <c r="X263" s="20">
        <f t="shared" si="153"/>
        <v>1.0669999999999999</v>
      </c>
      <c r="Y263" s="20">
        <f t="shared" si="153"/>
        <v>1.0880000000000001</v>
      </c>
      <c r="Z263" s="20">
        <f t="shared" si="153"/>
        <v>1.109</v>
      </c>
    </row>
    <row r="264" spans="1:26" x14ac:dyDescent="0.25">
      <c r="A264" s="12" t="s">
        <v>1279</v>
      </c>
      <c r="B264" s="14" t="str">
        <f>$B$38</f>
        <v>From Fiscal Forecasts</v>
      </c>
      <c r="D264" s="50">
        <f>'Fiscal Forecasts'!D$59-SUM(D$262:D$263)</f>
        <v>13.146999999999998</v>
      </c>
      <c r="E264" s="50">
        <f>'Fiscal Forecasts'!E$59-SUM(E$262:E$263)</f>
        <v>15.248999999999999</v>
      </c>
      <c r="F264" s="50">
        <f>'Fiscal Forecasts'!F$59-SUM(F$262:F$263)</f>
        <v>14.980000000000002</v>
      </c>
      <c r="G264" s="50">
        <f>'Fiscal Forecasts'!G$59-SUM(G$262:G$263)</f>
        <v>16.978000000000002</v>
      </c>
      <c r="H264" s="50">
        <f>'Fiscal Forecasts'!H$59-SUM(H$262:H$263)</f>
        <v>17.326999999999998</v>
      </c>
      <c r="I264" s="50">
        <f>'Fiscal Forecasts'!I$59-SUM(I$262:I$263)</f>
        <v>19.152999999999999</v>
      </c>
      <c r="J264" s="50">
        <f>'Fiscal Forecasts'!J$59-SUM(J$262:J$263)</f>
        <v>19.736000000000001</v>
      </c>
      <c r="K264" s="50">
        <f>'Fiscal Forecasts'!K$59-SUM(K$262:K$263)</f>
        <v>19.802</v>
      </c>
      <c r="L264" s="48">
        <f ca="1">'Fiscal Forecasts'!L$59-SUM(L$262:L$263)+IF($C$2="Yes",'Fiscal Forecast Adjuster'!C$23/1000,0)+IF(OFFSET(Assumptions!$B$57,0,$C$1)="Yes",Allocation!C$12+IF($C$2="Yes",'Fiscal Forecast Adjuster'!C$48,0),0)</f>
        <v>20.759</v>
      </c>
      <c r="M264" s="48">
        <f ca="1">'Fiscal Forecasts'!M$59-SUM(M$262:M$263)+IF($C$2="Yes",'Fiscal Forecast Adjuster'!D$23/1000,0)+IF(OFFSET(Assumptions!$B$57,0,$C$1)="Yes",Allocation!D$12+IF($C$2="Yes",'Fiscal Forecast Adjuster'!D$48,0),0)</f>
        <v>20.567999999999998</v>
      </c>
      <c r="N264" s="48">
        <f ca="1">'Fiscal Forecasts'!N$59-SUM(N$262:N$263)+IF($C$2="Yes",'Fiscal Forecast Adjuster'!E$23/1000,0)+IF(OFFSET(Assumptions!$B$57,0,$C$1)="Yes",Allocation!E$12+IF($C$2="Yes",'Fiscal Forecast Adjuster'!E$48,0),0)</f>
        <v>20.428000000000001</v>
      </c>
      <c r="O264" s="48">
        <f ca="1">'Fiscal Forecasts'!O$59-SUM(O$262:O$263)+IF($C$2="Yes",'Fiscal Forecast Adjuster'!F$23/1000,0)+IF(OFFSET(Assumptions!$B$57,0,$C$1)="Yes",Allocation!F$12+IF($C$2="Yes",'Fiscal Forecast Adjuster'!F$48,0),0)</f>
        <v>20.410000000000004</v>
      </c>
      <c r="P264" s="48">
        <f ca="1">'Fiscal Forecasts'!P$59-SUM(P$262:P$263)+IF($C$2="Yes",'Fiscal Forecast Adjuster'!G$23/1000,0)+IF(OFFSET(Assumptions!$B$57,0,$C$1)="Yes",Allocation!G$12+IF($C$2="Yes",'Fiscal Forecast Adjuster'!G$48,0),0)</f>
        <v>20.446999999999999</v>
      </c>
      <c r="Q264" s="20">
        <f ca="1">P$264+IF(OFFSET(Assumptions!$B$58,0,$C$1)="Yes",Allocation!$B$12*Q$248,IF(OFFSET(Assumptions!$B$59,0,$C$1)="Yes",SUM(Q$533:Q$536,Q$539)-P$264,0))</f>
        <v>20.446999999999999</v>
      </c>
      <c r="R264" s="20">
        <f ca="1">Q$264+IF(OFFSET(Assumptions!$B$58,0,$C$1)="Yes",Allocation!$B$12*R$248,IF(OFFSET(Assumptions!$B$59,0,$C$1)="Yes",SUM(R$533:R$536,R$539)-Q$264,0))</f>
        <v>20.446999999999999</v>
      </c>
      <c r="S264" s="20">
        <f ca="1">R$264+IF(OFFSET(Assumptions!$B$58,0,$C$1)="Yes",Allocation!$B$12*S$248,IF(OFFSET(Assumptions!$B$59,0,$C$1)="Yes",SUM(S$533:S$536,S$539)-R$264,0))</f>
        <v>20.446999999999999</v>
      </c>
      <c r="T264" s="20">
        <f ca="1">S$264+IF(OFFSET(Assumptions!$B$58,0,$C$1)="Yes",Allocation!$B$12*T$248,IF(OFFSET(Assumptions!$B$59,0,$C$1)="Yes",SUM(T$533:T$536,T$539)-S$264,0))</f>
        <v>20.446999999999999</v>
      </c>
      <c r="U264" s="20">
        <f ca="1">T$264+IF(OFFSET(Assumptions!$B$58,0,$C$1)="Yes",Allocation!$B$12*U$248,IF(OFFSET(Assumptions!$B$59,0,$C$1)="Yes",SUM(U$533:U$536,U$539)-T$264,0))</f>
        <v>20.446999999999999</v>
      </c>
      <c r="V264" s="20">
        <f ca="1">U$264+IF(OFFSET(Assumptions!$B$58,0,$C$1)="Yes",Allocation!$B$12*V$248,IF(OFFSET(Assumptions!$B$59,0,$C$1)="Yes",SUM(V$533:V$536,V$539)-U$264,0))</f>
        <v>20.446999999999999</v>
      </c>
      <c r="W264" s="20">
        <f ca="1">V$264+IF(OFFSET(Assumptions!$B$58,0,$C$1)="Yes",Allocation!$B$12*W$248,IF(OFFSET(Assumptions!$B$59,0,$C$1)="Yes",SUM(W$533:W$536,W$539)-V$264,0))</f>
        <v>20.446999999999999</v>
      </c>
      <c r="X264" s="20">
        <f ca="1">W$264+IF(OFFSET(Assumptions!$B$58,0,$C$1)="Yes",Allocation!$B$12*X$248,IF(OFFSET(Assumptions!$B$59,0,$C$1)="Yes",SUM(X$533:X$536,X$539)-W$264,0))</f>
        <v>20.446999999999999</v>
      </c>
      <c r="Y264" s="20">
        <f ca="1">X$264+IF(OFFSET(Assumptions!$B$58,0,$C$1)="Yes",Allocation!$B$12*Y$248,IF(OFFSET(Assumptions!$B$59,0,$C$1)="Yes",SUM(Y$533:Y$536,Y$539)-X$264,0))</f>
        <v>20.446999999999999</v>
      </c>
      <c r="Z264" s="20">
        <f ca="1">Y$264+IF(OFFSET(Assumptions!$B$58,0,$C$1)="Yes",Allocation!$B$12*Z$248,IF(OFFSET(Assumptions!$B$59,0,$C$1)="Yes",SUM(Z$533:Z$536,Z$539)-Y$264,0))</f>
        <v>20.446999999999999</v>
      </c>
    </row>
    <row r="265" spans="1:26" x14ac:dyDescent="0.25">
      <c r="A265" s="11" t="s">
        <v>1128</v>
      </c>
      <c r="D265" s="94">
        <f>SUM(D$262:D$264)</f>
        <v>14.292999999999999</v>
      </c>
      <c r="E265" s="94">
        <f t="shared" ref="E265:Z265" si="154">SUM(E$262:E$264)</f>
        <v>16.321999999999999</v>
      </c>
      <c r="F265" s="94">
        <f t="shared" si="154"/>
        <v>16.039000000000001</v>
      </c>
      <c r="G265" s="94">
        <f t="shared" si="154"/>
        <v>18.023000000000003</v>
      </c>
      <c r="H265" s="94">
        <f t="shared" si="154"/>
        <v>18.402999999999999</v>
      </c>
      <c r="I265" s="94">
        <f t="shared" si="154"/>
        <v>20.222999999999999</v>
      </c>
      <c r="J265" s="94">
        <f t="shared" si="154"/>
        <v>20.895</v>
      </c>
      <c r="K265" s="94">
        <f t="shared" si="154"/>
        <v>21.206</v>
      </c>
      <c r="L265" s="95">
        <f t="shared" ca="1" si="154"/>
        <v>22.187000000000001</v>
      </c>
      <c r="M265" s="95">
        <f t="shared" ca="1" si="154"/>
        <v>22.068999999999999</v>
      </c>
      <c r="N265" s="95">
        <f t="shared" ca="1" si="154"/>
        <v>21.948</v>
      </c>
      <c r="O265" s="95">
        <f t="shared" ca="1" si="154"/>
        <v>21.952000000000005</v>
      </c>
      <c r="P265" s="95">
        <f t="shared" ca="1" si="154"/>
        <v>22.018999999999998</v>
      </c>
      <c r="Q265" s="96">
        <f t="shared" ca="1" si="154"/>
        <v>22.06227040525269</v>
      </c>
      <c r="R265" s="96">
        <f t="shared" ca="1" si="154"/>
        <v>22.105081786810871</v>
      </c>
      <c r="S265" s="96">
        <f t="shared" ca="1" si="154"/>
        <v>22.145444145115476</v>
      </c>
      <c r="T265" s="96">
        <f t="shared" ca="1" si="154"/>
        <v>22.186268208813861</v>
      </c>
      <c r="U265" s="96">
        <f t="shared" ca="1" si="154"/>
        <v>22.225519500775839</v>
      </c>
      <c r="V265" s="96">
        <f t="shared" ca="1" si="154"/>
        <v>22.264128221974016</v>
      </c>
      <c r="W265" s="96">
        <f t="shared" ca="1" si="154"/>
        <v>22.305566509090838</v>
      </c>
      <c r="X265" s="96">
        <f t="shared" ca="1" si="154"/>
        <v>22.348167094857448</v>
      </c>
      <c r="Y265" s="96">
        <f t="shared" ca="1" si="154"/>
        <v>22.392058107090868</v>
      </c>
      <c r="Z265" s="96">
        <f t="shared" ca="1" si="154"/>
        <v>22.433328566857405</v>
      </c>
    </row>
    <row r="266" spans="1:26" x14ac:dyDescent="0.25">
      <c r="A266" s="12" t="s">
        <v>1020</v>
      </c>
      <c r="B266" s="14" t="str">
        <f>$B$38</f>
        <v>From Fiscal Forecasts</v>
      </c>
      <c r="D266" s="50">
        <f>'Fiscal Forecasts'!D$208</f>
        <v>11.428000000000001</v>
      </c>
      <c r="E266" s="50">
        <f>'Fiscal Forecasts'!E$208</f>
        <v>13.705</v>
      </c>
      <c r="F266" s="50">
        <f>'Fiscal Forecasts'!F$208</f>
        <v>12.840999999999999</v>
      </c>
      <c r="G266" s="50">
        <f>'Fiscal Forecasts'!G$208</f>
        <v>13.805</v>
      </c>
      <c r="H266" s="50">
        <f>'Fiscal Forecasts'!H$208</f>
        <v>14.166</v>
      </c>
      <c r="I266" s="50">
        <f>'Fiscal Forecasts'!I$208</f>
        <v>15.346</v>
      </c>
      <c r="J266" s="50">
        <f>'Fiscal Forecasts'!J$208</f>
        <v>16.091999999999999</v>
      </c>
      <c r="K266" s="50">
        <f>'Fiscal Forecasts'!K$208</f>
        <v>16.541</v>
      </c>
      <c r="L266" s="48">
        <f>'Fiscal Forecasts'!L$208</f>
        <v>17.132000000000001</v>
      </c>
      <c r="M266" s="48">
        <f>'Fiscal Forecasts'!M$208</f>
        <v>17.181999999999999</v>
      </c>
      <c r="N266" s="48">
        <f>'Fiscal Forecasts'!N$208</f>
        <v>16.97</v>
      </c>
      <c r="O266" s="48">
        <f>'Fiscal Forecasts'!O$208</f>
        <v>17.021000000000001</v>
      </c>
      <c r="P266" s="48">
        <f>'Fiscal Forecasts'!P$208</f>
        <v>17.047999999999998</v>
      </c>
      <c r="Q266" s="20">
        <f t="shared" ref="Q266:Z266" ca="1" si="155">SUM(P$266,Q$264-P$264)</f>
        <v>17.047999999999998</v>
      </c>
      <c r="R266" s="20">
        <f t="shared" ca="1" si="155"/>
        <v>17.047999999999998</v>
      </c>
      <c r="S266" s="20">
        <f t="shared" ca="1" si="155"/>
        <v>17.047999999999998</v>
      </c>
      <c r="T266" s="20">
        <f t="shared" ca="1" si="155"/>
        <v>17.047999999999998</v>
      </c>
      <c r="U266" s="20">
        <f t="shared" ca="1" si="155"/>
        <v>17.047999999999998</v>
      </c>
      <c r="V266" s="20">
        <f t="shared" ca="1" si="155"/>
        <v>17.047999999999998</v>
      </c>
      <c r="W266" s="20">
        <f t="shared" ca="1" si="155"/>
        <v>17.047999999999998</v>
      </c>
      <c r="X266" s="20">
        <f t="shared" ca="1" si="155"/>
        <v>17.047999999999998</v>
      </c>
      <c r="Y266" s="20">
        <f t="shared" ca="1" si="155"/>
        <v>17.047999999999998</v>
      </c>
      <c r="Z266" s="20">
        <f t="shared" ca="1" si="155"/>
        <v>17.047999999999998</v>
      </c>
    </row>
    <row r="267" spans="1:26" x14ac:dyDescent="0.25">
      <c r="A267" s="12" t="s">
        <v>1228</v>
      </c>
      <c r="B267" s="14" t="str">
        <f>$B$38</f>
        <v>From Fiscal Forecasts</v>
      </c>
      <c r="D267" s="50">
        <f>'Fiscal Forecasts'!D$42-SUM(D$265:D$266)</f>
        <v>-10.441000000000001</v>
      </c>
      <c r="E267" s="50">
        <f>'Fiscal Forecasts'!E$42-SUM(E$265:E$266)</f>
        <v>-12.446000000000002</v>
      </c>
      <c r="F267" s="50">
        <f>'Fiscal Forecasts'!F$42-SUM(F$265:F$266)</f>
        <v>-11.496000000000002</v>
      </c>
      <c r="G267" s="50">
        <f>'Fiscal Forecasts'!G$42-SUM(G$265:G$266)</f>
        <v>-12.917000000000002</v>
      </c>
      <c r="H267" s="50">
        <f>'Fiscal Forecasts'!H$42-SUM(H$265:H$266)</f>
        <v>-12.96</v>
      </c>
      <c r="I267" s="50">
        <f>'Fiscal Forecasts'!I$42-SUM(I$265:I$266)</f>
        <v>-14.383000000000003</v>
      </c>
      <c r="J267" s="50">
        <f>'Fiscal Forecasts'!J$42-SUM(J$265:J$266)</f>
        <v>-14.678999999999995</v>
      </c>
      <c r="K267" s="50">
        <f>'Fiscal Forecasts'!K$42-SUM(K$265:K$266)</f>
        <v>-14.896000000000001</v>
      </c>
      <c r="L267" s="48">
        <f ca="1">'Fiscal Forecasts'!L$42-SUM(L$265:L$266)+IF($C$2="Yes",'Fiscal Forecast Adjuster'!C$23/1000,0)+IF(OFFSET(Assumptions!$B$57,0,$C$1)="Yes",Allocation!C$12+IF($C$2="Yes",'Fiscal Forecast Adjuster'!C$48,0),0)</f>
        <v>-15.548000000000002</v>
      </c>
      <c r="M267" s="48">
        <f ca="1">'Fiscal Forecasts'!M$42-SUM(M$265:M$266)+IF($C$2="Yes",'Fiscal Forecast Adjuster'!D$23/1000,0)+IF(OFFSET(Assumptions!$B$57,0,$C$1)="Yes",Allocation!D$12+IF($C$2="Yes",'Fiscal Forecast Adjuster'!D$48,0),0)</f>
        <v>-15.472999999999999</v>
      </c>
      <c r="N267" s="48">
        <f ca="1">'Fiscal Forecasts'!N$42-SUM(N$265:N$266)+IF($C$2="Yes",'Fiscal Forecast Adjuster'!E$23/1000,0)+IF(OFFSET(Assumptions!$B$57,0,$C$1)="Yes",Allocation!E$12+IF($C$2="Yes",'Fiscal Forecast Adjuster'!E$48,0),0)</f>
        <v>-15.25</v>
      </c>
      <c r="O267" s="48">
        <f ca="1">'Fiscal Forecasts'!O$42-SUM(O$265:O$266)+IF($C$2="Yes",'Fiscal Forecast Adjuster'!F$23/1000,0)+IF(OFFSET(Assumptions!$B$57,0,$C$1)="Yes",Allocation!F$12+IF($C$2="Yes",'Fiscal Forecast Adjuster'!F$48,0),0)</f>
        <v>-15.261000000000006</v>
      </c>
      <c r="P267" s="48">
        <f ca="1">'Fiscal Forecasts'!P$42-SUM(P$265:P$266)+IF($C$2="Yes",'Fiscal Forecast Adjuster'!G$23/1000,0)+IF(OFFSET(Assumptions!$B$57,0,$C$1)="Yes",Allocation!G$12+IF($C$2="Yes",'Fiscal Forecast Adjuster'!G$48,0),0)</f>
        <v>-15.240999999999993</v>
      </c>
      <c r="Q267" s="20">
        <f t="shared" ref="Q267:Z267" ca="1" si="156">P$267-(Q$264-P$264)</f>
        <v>-15.240999999999993</v>
      </c>
      <c r="R267" s="20">
        <f t="shared" ca="1" si="156"/>
        <v>-15.240999999999993</v>
      </c>
      <c r="S267" s="20">
        <f t="shared" ca="1" si="156"/>
        <v>-15.240999999999993</v>
      </c>
      <c r="T267" s="20">
        <f t="shared" ca="1" si="156"/>
        <v>-15.240999999999993</v>
      </c>
      <c r="U267" s="20">
        <f t="shared" ca="1" si="156"/>
        <v>-15.240999999999993</v>
      </c>
      <c r="V267" s="20">
        <f t="shared" ca="1" si="156"/>
        <v>-15.240999999999993</v>
      </c>
      <c r="W267" s="20">
        <f t="shared" ca="1" si="156"/>
        <v>-15.240999999999993</v>
      </c>
      <c r="X267" s="20">
        <f t="shared" ca="1" si="156"/>
        <v>-15.240999999999993</v>
      </c>
      <c r="Y267" s="20">
        <f t="shared" ca="1" si="156"/>
        <v>-15.240999999999993</v>
      </c>
      <c r="Z267" s="20">
        <f t="shared" ca="1" si="156"/>
        <v>-15.240999999999993</v>
      </c>
    </row>
    <row r="268" spans="1:26" x14ac:dyDescent="0.25">
      <c r="A268" s="11" t="s">
        <v>1280</v>
      </c>
      <c r="D268" s="94">
        <f t="shared" ref="D268:K268" si="157">SUM(D$265:D$267)</f>
        <v>15.28</v>
      </c>
      <c r="E268" s="94">
        <f t="shared" si="157"/>
        <v>17.581</v>
      </c>
      <c r="F268" s="94">
        <f t="shared" si="157"/>
        <v>17.384</v>
      </c>
      <c r="G268" s="94">
        <f t="shared" si="157"/>
        <v>18.911000000000001</v>
      </c>
      <c r="H268" s="94">
        <f t="shared" si="157"/>
        <v>19.609000000000002</v>
      </c>
      <c r="I268" s="94">
        <f t="shared" si="157"/>
        <v>21.186</v>
      </c>
      <c r="J268" s="94">
        <f t="shared" si="157"/>
        <v>22.308</v>
      </c>
      <c r="K268" s="94">
        <f t="shared" si="157"/>
        <v>22.850999999999999</v>
      </c>
      <c r="L268" s="95">
        <f t="shared" ref="L268:Z268" ca="1" si="158">SUM(L$265:L$267)</f>
        <v>23.771000000000001</v>
      </c>
      <c r="M268" s="95">
        <f t="shared" ca="1" si="158"/>
        <v>23.777999999999999</v>
      </c>
      <c r="N268" s="95">
        <f t="shared" ca="1" si="158"/>
        <v>23.667999999999999</v>
      </c>
      <c r="O268" s="95">
        <f t="shared" ca="1" si="158"/>
        <v>23.712</v>
      </c>
      <c r="P268" s="95">
        <f t="shared" ca="1" si="158"/>
        <v>23.826000000000001</v>
      </c>
      <c r="Q268" s="96">
        <f t="shared" ca="1" si="158"/>
        <v>23.869270405252699</v>
      </c>
      <c r="R268" s="96">
        <f t="shared" ca="1" si="158"/>
        <v>23.91208178681088</v>
      </c>
      <c r="S268" s="96">
        <f t="shared" ca="1" si="158"/>
        <v>23.952444145115486</v>
      </c>
      <c r="T268" s="96">
        <f t="shared" ca="1" si="158"/>
        <v>23.993268208813866</v>
      </c>
      <c r="U268" s="96">
        <f t="shared" ca="1" si="158"/>
        <v>24.032519500775841</v>
      </c>
      <c r="V268" s="96">
        <f t="shared" ca="1" si="158"/>
        <v>24.071128221974021</v>
      </c>
      <c r="W268" s="96">
        <f t="shared" ca="1" si="158"/>
        <v>24.112566509090847</v>
      </c>
      <c r="X268" s="96">
        <f t="shared" ca="1" si="158"/>
        <v>24.155167094857454</v>
      </c>
      <c r="Y268" s="96">
        <f t="shared" ca="1" si="158"/>
        <v>24.19905810709087</v>
      </c>
      <c r="Z268" s="96">
        <f t="shared" ca="1" si="158"/>
        <v>24.240328566857407</v>
      </c>
    </row>
    <row r="270" spans="1:26" x14ac:dyDescent="0.25">
      <c r="A270" s="11" t="s">
        <v>1281</v>
      </c>
    </row>
    <row r="271" spans="1:26" x14ac:dyDescent="0.25">
      <c r="A271" s="12" t="s">
        <v>1282</v>
      </c>
      <c r="D271" s="50">
        <f t="shared" ref="D271:Z271" si="159">D$377</f>
        <v>0.13</v>
      </c>
      <c r="E271" s="50">
        <f t="shared" si="159"/>
        <v>0.15</v>
      </c>
      <c r="F271" s="50">
        <f t="shared" si="159"/>
        <v>0.125</v>
      </c>
      <c r="G271" s="50">
        <f t="shared" si="159"/>
        <v>-0.51700000000000002</v>
      </c>
      <c r="H271" s="50">
        <f t="shared" si="159"/>
        <v>1.054</v>
      </c>
      <c r="I271" s="50">
        <f t="shared" si="159"/>
        <v>0.189</v>
      </c>
      <c r="J271" s="50">
        <f t="shared" si="159"/>
        <v>0.193</v>
      </c>
      <c r="K271" s="50">
        <f t="shared" si="159"/>
        <v>0.215</v>
      </c>
      <c r="L271" s="48">
        <f t="shared" si="159"/>
        <v>0.32200000000000001</v>
      </c>
      <c r="M271" s="48">
        <f t="shared" si="159"/>
        <v>0.33600000000000002</v>
      </c>
      <c r="N271" s="48">
        <f t="shared" si="159"/>
        <v>0.35199999999999998</v>
      </c>
      <c r="O271" s="48">
        <f t="shared" si="159"/>
        <v>0.371</v>
      </c>
      <c r="P271" s="48">
        <f t="shared" si="159"/>
        <v>0.39100000000000001</v>
      </c>
      <c r="Q271" s="20">
        <f t="shared" si="159"/>
        <v>0.41851304952192758</v>
      </c>
      <c r="R271" s="20">
        <f t="shared" si="159"/>
        <v>0.44419562346666575</v>
      </c>
      <c r="S271" s="20">
        <f t="shared" si="159"/>
        <v>0.47094294413192073</v>
      </c>
      <c r="T271" s="20">
        <f t="shared" si="159"/>
        <v>0.49880208501132234</v>
      </c>
      <c r="U271" s="20">
        <f t="shared" si="159"/>
        <v>0.52777449577495117</v>
      </c>
      <c r="V271" s="20">
        <f t="shared" si="159"/>
        <v>0.55788491961991127</v>
      </c>
      <c r="W271" s="20">
        <f t="shared" si="159"/>
        <v>0.58937223378136083</v>
      </c>
      <c r="X271" s="20">
        <f t="shared" si="159"/>
        <v>0.62254596552159913</v>
      </c>
      <c r="Y271" s="20">
        <f t="shared" si="159"/>
        <v>0.65777533085606932</v>
      </c>
      <c r="Z271" s="20">
        <f t="shared" si="159"/>
        <v>0.69547030412768118</v>
      </c>
    </row>
    <row r="272" spans="1:26" x14ac:dyDescent="0.25">
      <c r="A272" s="12" t="s">
        <v>1283</v>
      </c>
      <c r="D272" s="50">
        <f t="shared" ref="D272:Z272" si="160">D$193</f>
        <v>0.70799999999999996</v>
      </c>
      <c r="E272" s="50">
        <f t="shared" si="160"/>
        <v>0.73599999999999999</v>
      </c>
      <c r="F272" s="50">
        <f t="shared" si="160"/>
        <v>0.80400000000000005</v>
      </c>
      <c r="G272" s="50">
        <f t="shared" si="160"/>
        <v>0.82699999999999996</v>
      </c>
      <c r="H272" s="50">
        <f t="shared" si="160"/>
        <v>0.97099999999999997</v>
      </c>
      <c r="I272" s="50">
        <f t="shared" si="160"/>
        <v>1.202</v>
      </c>
      <c r="J272" s="50">
        <f t="shared" si="160"/>
        <v>0.95299999999999996</v>
      </c>
      <c r="K272" s="50">
        <f t="shared" si="160"/>
        <v>0.95599999999999996</v>
      </c>
      <c r="L272" s="48">
        <f t="shared" si="160"/>
        <v>1.151</v>
      </c>
      <c r="M272" s="48">
        <f t="shared" si="160"/>
        <v>0.98199999999999998</v>
      </c>
      <c r="N272" s="48">
        <f t="shared" si="160"/>
        <v>0.98199999999999998</v>
      </c>
      <c r="O272" s="48">
        <f t="shared" si="160"/>
        <v>0.98199999999999998</v>
      </c>
      <c r="P272" s="48">
        <f t="shared" si="160"/>
        <v>0.98199999999999998</v>
      </c>
      <c r="Q272" s="20">
        <f t="shared" ca="1" si="160"/>
        <v>1.0016400000000001</v>
      </c>
      <c r="R272" s="20">
        <f t="shared" ca="1" si="160"/>
        <v>1.0216728000000002</v>
      </c>
      <c r="S272" s="20">
        <f t="shared" ca="1" si="160"/>
        <v>1.0421062560000003</v>
      </c>
      <c r="T272" s="20">
        <f t="shared" ca="1" si="160"/>
        <v>1.0629483811200002</v>
      </c>
      <c r="U272" s="20">
        <f t="shared" ca="1" si="160"/>
        <v>1.0842073487424002</v>
      </c>
      <c r="V272" s="20">
        <f t="shared" ca="1" si="160"/>
        <v>1.1058914957172483</v>
      </c>
      <c r="W272" s="20">
        <f t="shared" ca="1" si="160"/>
        <v>1.1280093256315933</v>
      </c>
      <c r="X272" s="20">
        <f t="shared" ca="1" si="160"/>
        <v>1.1505695121442252</v>
      </c>
      <c r="Y272" s="20">
        <f t="shared" ca="1" si="160"/>
        <v>1.1735809023871098</v>
      </c>
      <c r="Z272" s="20">
        <f t="shared" ca="1" si="160"/>
        <v>1.1970525204348519</v>
      </c>
    </row>
    <row r="273" spans="1:26" x14ac:dyDescent="0.25">
      <c r="A273" s="12" t="s">
        <v>1284</v>
      </c>
      <c r="B273" s="14" t="s">
        <v>1285</v>
      </c>
      <c r="D273" s="50">
        <f>Exogenous!O$39</f>
        <v>0.82899999999999996</v>
      </c>
      <c r="E273" s="50">
        <f>Exogenous!P$39</f>
        <v>1.3560000000000001</v>
      </c>
      <c r="F273" s="50">
        <f>Exogenous!Q$39</f>
        <v>0.88200000000000001</v>
      </c>
      <c r="G273" s="50">
        <f>Exogenous!R$39</f>
        <v>0.66200000000000003</v>
      </c>
      <c r="H273" s="50">
        <f>Exogenous!S$39</f>
        <v>1.4530000000000001</v>
      </c>
      <c r="I273" s="50">
        <f>Exogenous!T$39</f>
        <v>2.3929999999999998</v>
      </c>
      <c r="J273" s="50">
        <f>Exogenous!U$39</f>
        <v>1.8720000000000001</v>
      </c>
      <c r="K273" s="50">
        <f>Exogenous!V$39</f>
        <v>1.17</v>
      </c>
      <c r="L273" s="48">
        <f>Exogenous!W$39</f>
        <v>1.5249999999999999</v>
      </c>
      <c r="M273" s="48">
        <f>Exogenous!X$39</f>
        <v>1.3839999999999999</v>
      </c>
      <c r="N273" s="48">
        <f>Exogenous!Y$39</f>
        <v>1.39</v>
      </c>
      <c r="O273" s="48">
        <f>Exogenous!Z$39</f>
        <v>1.4</v>
      </c>
      <c r="P273" s="48">
        <f>Exogenous!AA$39</f>
        <v>1.41</v>
      </c>
      <c r="Q273" s="20">
        <f t="shared" ref="Q273:Z273" ca="1" si="161">P$273*Q$142/P$142</f>
        <v>1.4669564263751242</v>
      </c>
      <c r="R273" s="20">
        <f t="shared" ca="1" si="161"/>
        <v>1.52388960834636</v>
      </c>
      <c r="S273" s="20">
        <f t="shared" ca="1" si="161"/>
        <v>1.583806697349128</v>
      </c>
      <c r="T273" s="20">
        <f t="shared" ca="1" si="161"/>
        <v>1.6478767020008633</v>
      </c>
      <c r="U273" s="20">
        <f t="shared" ca="1" si="161"/>
        <v>1.7150417727138572</v>
      </c>
      <c r="V273" s="20">
        <f t="shared" ca="1" si="161"/>
        <v>1.7844811043638282</v>
      </c>
      <c r="W273" s="20">
        <f t="shared" ca="1" si="161"/>
        <v>1.8558263889754574</v>
      </c>
      <c r="X273" s="20">
        <f t="shared" ca="1" si="161"/>
        <v>1.9292192456274495</v>
      </c>
      <c r="Y273" s="20">
        <f t="shared" ca="1" si="161"/>
        <v>2.0050475281790781</v>
      </c>
      <c r="Z273" s="20">
        <f t="shared" ca="1" si="161"/>
        <v>2.0833235271462041</v>
      </c>
    </row>
    <row r="274" spans="1:26" x14ac:dyDescent="0.25">
      <c r="A274" s="12" t="s">
        <v>1286</v>
      </c>
      <c r="B274" s="14" t="str">
        <f>$B$38</f>
        <v>From Fiscal Forecasts</v>
      </c>
      <c r="C274" s="100" cm="1">
        <f t="array" aca="1" ref="C274" ca="1">SUMPRODUCT(OFFSET($P$274,0,0,1,-OFFSET(Assumptions!$B$60,0,$C$1))/OFFSET($P$13,0,0,1,-OFFSET(Assumptions!$B$60,0,$C$1)))/OFFSET(Assumptions!$B$60,0,$C$1)</f>
        <v>8.567326071189596E-3</v>
      </c>
      <c r="D274" s="50">
        <f>'Fiscal Forecasts'!D$60-SUM(D$271:D$273)</f>
        <v>3.4990000000000006</v>
      </c>
      <c r="E274" s="50">
        <f>'Fiscal Forecasts'!E$60-SUM(E$271:E$273)</f>
        <v>3.8410000000000002</v>
      </c>
      <c r="F274" s="50">
        <f>'Fiscal Forecasts'!F$60-SUM(F$271:F$273)</f>
        <v>3.9429999999999996</v>
      </c>
      <c r="G274" s="50">
        <f>'Fiscal Forecasts'!G$60-SUM(G$271:G$273)</f>
        <v>4.7479999999999993</v>
      </c>
      <c r="H274" s="50">
        <f>'Fiscal Forecasts'!H$60-SUM(H$271:H$273)</f>
        <v>3.3280000000000003</v>
      </c>
      <c r="I274" s="50">
        <f>'Fiscal Forecasts'!I$60-SUM(I$271:I$273)</f>
        <v>4.6840000000000002</v>
      </c>
      <c r="J274" s="50">
        <f>'Fiscal Forecasts'!J$60-SUM(J$271:J$273)</f>
        <v>4.8900000000000006</v>
      </c>
      <c r="K274" s="50">
        <f>'Fiscal Forecasts'!K$60-SUM(K$271:K$273)</f>
        <v>3.6390000000000002</v>
      </c>
      <c r="L274" s="48">
        <f ca="1">'Fiscal Forecasts'!L$60-SUM(L$271:L$273)+IF(OFFSET(Assumptions!$B$57,0,$C$1)="Yes",Allocation!C$13+IF($C$2="Yes",'Fiscal Forecast Adjuster'!C$49,0),0)+IF($C$3="Yes",'NZSF Adjuster'!W$26-'NZSF Adjuster'!W$17,0)</f>
        <v>3.6589999999999998</v>
      </c>
      <c r="M274" s="48">
        <f ca="1">'Fiscal Forecasts'!M$60-SUM(M$271:M$273)+IF(OFFSET(Assumptions!$B$57,0,$C$1)="Yes",Allocation!D$13+IF($C$2="Yes",'Fiscal Forecast Adjuster'!D$49,0),0)+IF($C$3="Yes",'NZSF Adjuster'!X$26-'NZSF Adjuster'!X$17,0)</f>
        <v>3.6849999999999996</v>
      </c>
      <c r="N274" s="48">
        <f ca="1">'Fiscal Forecasts'!N$60-SUM(N$271:N$273)+IF(OFFSET(Assumptions!$B$57,0,$C$1)="Yes",Allocation!E$13+IF($C$2="Yes",'Fiscal Forecast Adjuster'!E$49,0),0)+IF($C$3="Yes",'NZSF Adjuster'!Y$26-'NZSF Adjuster'!Y$17,0)</f>
        <v>3.6049999999999995</v>
      </c>
      <c r="O274" s="48">
        <f ca="1">'Fiscal Forecasts'!O$60-SUM(O$271:O$273)+IF(OFFSET(Assumptions!$B$57,0,$C$1)="Yes",Allocation!F$13+IF($C$2="Yes",'Fiscal Forecast Adjuster'!F$49,0),0)+IF($C$3="Yes",'NZSF Adjuster'!Z$26-'NZSF Adjuster'!Z$17,0)</f>
        <v>3.5739999999999998</v>
      </c>
      <c r="P274" s="48">
        <f ca="1">'Fiscal Forecasts'!P$60-SUM(P$271:P$273)+IF(OFFSET(Assumptions!$B$57,0,$C$1)="Yes",Allocation!G$13+IF($C$2="Yes",'Fiscal Forecast Adjuster'!G$49,0),0)+IF($C$3="Yes",'NZSF Adjuster'!AA$26-'NZSF Adjuster'!AA$17,0)</f>
        <v>3.48</v>
      </c>
      <c r="Q274" s="20">
        <f ca="1">P$274+IF(OFFSET(Assumptions!$B$58,0,$C$1)="Yes",Allocation!$B$13*Q$248,IF(OFFSET(Assumptions!$B$59,0,$C$1)="Yes",(P$274/P$13+MIN(ABS($C$274-P$274/P$13),OFFSET(Assumptions!$B$61,0,$C$1))*SIGN($C$274-P$274/P$13))*Q$13-P$274,0))</f>
        <v>3.48</v>
      </c>
      <c r="R274" s="20">
        <f ca="1">Q$274+IF(OFFSET(Assumptions!$B$58,0,$C$1)="Yes",Allocation!$B$13*R$248,IF(OFFSET(Assumptions!$B$59,0,$C$1)="Yes",(Q$274/Q$13+MIN(ABS($C$274-Q$274/Q$13),OFFSET(Assumptions!$B$61,0,$C$1))*SIGN($C$274-Q$274/Q$13))*R$13-Q$274,0))</f>
        <v>3.48</v>
      </c>
      <c r="S274" s="20">
        <f ca="1">R$274+IF(OFFSET(Assumptions!$B$58,0,$C$1)="Yes",Allocation!$B$13*S$248,IF(OFFSET(Assumptions!$B$59,0,$C$1)="Yes",(R$274/R$13+MIN(ABS($C$274-R$274/R$13),OFFSET(Assumptions!$B$61,0,$C$1))*SIGN($C$274-R$274/R$13))*S$13-R$274,0))</f>
        <v>3.48</v>
      </c>
      <c r="T274" s="20">
        <f ca="1">S$274+IF(OFFSET(Assumptions!$B$58,0,$C$1)="Yes",Allocation!$B$13*T$248,IF(OFFSET(Assumptions!$B$59,0,$C$1)="Yes",(S$274/S$13+MIN(ABS($C$274-S$274/S$13),OFFSET(Assumptions!$B$61,0,$C$1))*SIGN($C$274-S$274/S$13))*T$13-S$274,0))</f>
        <v>3.48</v>
      </c>
      <c r="U274" s="20">
        <f ca="1">T$274+IF(OFFSET(Assumptions!$B$58,0,$C$1)="Yes",Allocation!$B$13*U$248,IF(OFFSET(Assumptions!$B$59,0,$C$1)="Yes",(T$274/T$13+MIN(ABS($C$274-T$274/T$13),OFFSET(Assumptions!$B$61,0,$C$1))*SIGN($C$274-T$274/T$13))*U$13-T$274,0))</f>
        <v>3.48</v>
      </c>
      <c r="V274" s="20">
        <f ca="1">U$274+IF(OFFSET(Assumptions!$B$58,0,$C$1)="Yes",Allocation!$B$13*V$248,IF(OFFSET(Assumptions!$B$59,0,$C$1)="Yes",(U$274/U$13+MIN(ABS($C$274-U$274/U$13),OFFSET(Assumptions!$B$61,0,$C$1))*SIGN($C$274-U$274/U$13))*V$13-U$274,0))</f>
        <v>3.48</v>
      </c>
      <c r="W274" s="20">
        <f ca="1">V$274+IF(OFFSET(Assumptions!$B$58,0,$C$1)="Yes",Allocation!$B$13*W$248,IF(OFFSET(Assumptions!$B$59,0,$C$1)="Yes",(V$274/V$13+MIN(ABS($C$274-V$274/V$13),OFFSET(Assumptions!$B$61,0,$C$1))*SIGN($C$274-V$274/V$13))*W$13-V$274,0))</f>
        <v>3.48</v>
      </c>
      <c r="X274" s="20">
        <f ca="1">W$274+IF(OFFSET(Assumptions!$B$58,0,$C$1)="Yes",Allocation!$B$13*X$248,IF(OFFSET(Assumptions!$B$59,0,$C$1)="Yes",(W$274/W$13+MIN(ABS($C$274-W$274/W$13),OFFSET(Assumptions!$B$61,0,$C$1))*SIGN($C$274-W$274/W$13))*X$13-W$274,0))</f>
        <v>3.48</v>
      </c>
      <c r="Y274" s="20">
        <f ca="1">X$274+IF(OFFSET(Assumptions!$B$58,0,$C$1)="Yes",Allocation!$B$13*Y$248,IF(OFFSET(Assumptions!$B$59,0,$C$1)="Yes",(X$274/X$13+MIN(ABS($C$274-X$274/X$13),OFFSET(Assumptions!$B$61,0,$C$1))*SIGN($C$274-X$274/X$13))*Y$13-X$274,0))</f>
        <v>3.48</v>
      </c>
      <c r="Z274" s="20">
        <f ca="1">Y$274+IF(OFFSET(Assumptions!$B$58,0,$C$1)="Yes",Allocation!$B$13*Z$248,IF(OFFSET(Assumptions!$B$59,0,$C$1)="Yes",(Y$274/Y$13+MIN(ABS($C$274-Y$274/Y$13),OFFSET(Assumptions!$B$61,0,$C$1))*SIGN($C$274-Y$274/Y$13))*Z$13-Y$274,0))</f>
        <v>3.48</v>
      </c>
    </row>
    <row r="275" spans="1:26" x14ac:dyDescent="0.25">
      <c r="A275" s="11" t="s">
        <v>1287</v>
      </c>
      <c r="D275" s="94">
        <f t="shared" ref="D275:Z275" si="162">SUM(D$271:D$274)</f>
        <v>5.1660000000000004</v>
      </c>
      <c r="E275" s="94">
        <f t="shared" si="162"/>
        <v>6.0830000000000002</v>
      </c>
      <c r="F275" s="94">
        <f t="shared" si="162"/>
        <v>5.7539999999999996</v>
      </c>
      <c r="G275" s="94">
        <f t="shared" si="162"/>
        <v>5.7199999999999989</v>
      </c>
      <c r="H275" s="94">
        <f t="shared" si="162"/>
        <v>6.806</v>
      </c>
      <c r="I275" s="94">
        <f t="shared" si="162"/>
        <v>8.468</v>
      </c>
      <c r="J275" s="94">
        <f t="shared" si="162"/>
        <v>7.9080000000000004</v>
      </c>
      <c r="K275" s="94">
        <f t="shared" si="162"/>
        <v>5.98</v>
      </c>
      <c r="L275" s="95">
        <f t="shared" ca="1" si="162"/>
        <v>6.657</v>
      </c>
      <c r="M275" s="95">
        <f t="shared" ca="1" si="162"/>
        <v>6.3869999999999996</v>
      </c>
      <c r="N275" s="95">
        <f t="shared" ca="1" si="162"/>
        <v>6.3289999999999997</v>
      </c>
      <c r="O275" s="95">
        <f t="shared" ca="1" si="162"/>
        <v>6.327</v>
      </c>
      <c r="P275" s="95">
        <f t="shared" ca="1" si="162"/>
        <v>6.2629999999999999</v>
      </c>
      <c r="Q275" s="96">
        <f t="shared" ca="1" si="162"/>
        <v>6.3671094758970526</v>
      </c>
      <c r="R275" s="96">
        <f t="shared" ca="1" si="162"/>
        <v>6.4697580318130257</v>
      </c>
      <c r="S275" s="96">
        <f t="shared" ca="1" si="162"/>
        <v>6.5768558974810496</v>
      </c>
      <c r="T275" s="96">
        <f t="shared" ca="1" si="162"/>
        <v>6.6896271681321853</v>
      </c>
      <c r="U275" s="96">
        <f t="shared" ca="1" si="162"/>
        <v>6.8070236172312084</v>
      </c>
      <c r="V275" s="96">
        <f t="shared" ca="1" si="162"/>
        <v>6.9282575197009884</v>
      </c>
      <c r="W275" s="96">
        <f t="shared" ca="1" si="162"/>
        <v>7.0532079483884118</v>
      </c>
      <c r="X275" s="96">
        <f t="shared" ca="1" si="162"/>
        <v>7.1823347232932733</v>
      </c>
      <c r="Y275" s="96">
        <f t="shared" ca="1" si="162"/>
        <v>7.316403761422257</v>
      </c>
      <c r="Z275" s="96">
        <f t="shared" ca="1" si="162"/>
        <v>7.455846351708737</v>
      </c>
    </row>
    <row r="276" spans="1:26" x14ac:dyDescent="0.25">
      <c r="A276" s="11" t="s">
        <v>1288</v>
      </c>
      <c r="B276" s="14" t="str">
        <f>$B$38</f>
        <v>From Fiscal Forecasts</v>
      </c>
      <c r="D276" s="51">
        <f>'Fiscal Forecasts'!D$43</f>
        <v>4.7320000000000002</v>
      </c>
      <c r="E276" s="51">
        <f>'Fiscal Forecasts'!E$43</f>
        <v>5.8689999999999998</v>
      </c>
      <c r="F276" s="51">
        <f>'Fiscal Forecasts'!F$43</f>
        <v>5.6020000000000003</v>
      </c>
      <c r="G276" s="51">
        <f>'Fiscal Forecasts'!G$43</f>
        <v>5.4260000000000002</v>
      </c>
      <c r="H276" s="51">
        <f>'Fiscal Forecasts'!H$43</f>
        <v>6.6630000000000003</v>
      </c>
      <c r="I276" s="51">
        <f>'Fiscal Forecasts'!I$43</f>
        <v>8.1780000000000008</v>
      </c>
      <c r="J276" s="51">
        <f>'Fiscal Forecasts'!J$43</f>
        <v>7.7750000000000004</v>
      </c>
      <c r="K276" s="51">
        <f>'Fiscal Forecasts'!K$43</f>
        <v>5.6</v>
      </c>
      <c r="L276" s="47">
        <f ca="1">'Fiscal Forecasts'!L$43+IF(OFFSET(Assumptions!$B$57,0,$C$1)="Yes",Allocation!C$13+IF($C$2="Yes",'Fiscal Forecast Adjuster'!C$49,0),0)+IF($C$3="Yes",'NZSF Adjuster'!W$26-'NZSF Adjuster'!W$17,0)</f>
        <v>6.1420000000000003</v>
      </c>
      <c r="M276" s="47">
        <f ca="1">'Fiscal Forecasts'!M$43+IF(OFFSET(Assumptions!$B$57,0,$C$1)="Yes",Allocation!D$13+IF($C$2="Yes",'Fiscal Forecast Adjuster'!D$49,0),0)+IF($C$3="Yes",'NZSF Adjuster'!X$26-'NZSF Adjuster'!X$17,0)</f>
        <v>5.984</v>
      </c>
      <c r="N276" s="47">
        <f ca="1">'Fiscal Forecasts'!N$43+IF(OFFSET(Assumptions!$B$57,0,$C$1)="Yes",Allocation!E$13+IF($C$2="Yes",'Fiscal Forecast Adjuster'!E$49,0),0)+IF($C$3="Yes",'NZSF Adjuster'!Y$26-'NZSF Adjuster'!Y$17,0)</f>
        <v>6.1669999999999998</v>
      </c>
      <c r="O276" s="47">
        <f ca="1">'Fiscal Forecasts'!O$43+IF(OFFSET(Assumptions!$B$57,0,$C$1)="Yes",Allocation!F$13+IF($C$2="Yes",'Fiscal Forecast Adjuster'!F$49,0),0)+IF($C$3="Yes",'NZSF Adjuster'!Z$26-'NZSF Adjuster'!Z$17,0)</f>
        <v>6.1909999999999998</v>
      </c>
      <c r="P276" s="47">
        <f ca="1">'Fiscal Forecasts'!P$43+IF(OFFSET(Assumptions!$B$57,0,$C$1)="Yes",Allocation!G$13+IF($C$2="Yes",'Fiscal Forecast Adjuster'!G$49,0),0)+IF($C$3="Yes",'NZSF Adjuster'!AA$26-'NZSF Adjuster'!AA$17,0)</f>
        <v>6.1319999999999997</v>
      </c>
      <c r="Q276" s="21">
        <f t="shared" ref="Q276:Z276" ca="1" si="163">Q$275+P$276-P$275</f>
        <v>6.2361094758970523</v>
      </c>
      <c r="R276" s="21">
        <f t="shared" ca="1" si="163"/>
        <v>6.3387580318130254</v>
      </c>
      <c r="S276" s="21">
        <f t="shared" ca="1" si="163"/>
        <v>6.4458558974810494</v>
      </c>
      <c r="T276" s="21">
        <f t="shared" ca="1" si="163"/>
        <v>6.558627168132185</v>
      </c>
      <c r="U276" s="21">
        <f t="shared" ca="1" si="163"/>
        <v>6.6760236172312073</v>
      </c>
      <c r="V276" s="21">
        <f t="shared" ca="1" si="163"/>
        <v>6.7972575197009872</v>
      </c>
      <c r="W276" s="21">
        <f t="shared" ca="1" si="163"/>
        <v>6.9222079483884116</v>
      </c>
      <c r="X276" s="21">
        <f t="shared" ca="1" si="163"/>
        <v>7.051334723293273</v>
      </c>
      <c r="Y276" s="21">
        <f t="shared" ca="1" si="163"/>
        <v>7.1854037614222577</v>
      </c>
      <c r="Z276" s="21">
        <f t="shared" ca="1" si="163"/>
        <v>7.3248463517087368</v>
      </c>
    </row>
    <row r="278" spans="1:26" x14ac:dyDescent="0.25">
      <c r="A278" s="11" t="s">
        <v>1289</v>
      </c>
    </row>
    <row r="279" spans="1:26" x14ac:dyDescent="0.25">
      <c r="A279" s="11" t="s">
        <v>1290</v>
      </c>
      <c r="B279" s="14" t="str">
        <f>$B$38</f>
        <v>From Fiscal Forecasts</v>
      </c>
      <c r="C279" s="100" cm="1">
        <f t="array" aca="1" ref="C279" ca="1">SUMPRODUCT(OFFSET($P$279,0,0,1,-OFFSET(Assumptions!$B$60,0,$C$1))/OFFSET($P$13,0,0,1,-OFFSET(Assumptions!$B$60,0,$C$1)))/OFFSET(Assumptions!$B$60,0,$C$1)</f>
        <v>1.4739639541978919E-2</v>
      </c>
      <c r="D279" s="51">
        <f>'Fiscal Forecasts'!D$61</f>
        <v>4.625</v>
      </c>
      <c r="E279" s="51">
        <f>'Fiscal Forecasts'!E$61</f>
        <v>4.9109999999999996</v>
      </c>
      <c r="F279" s="51">
        <f>'Fiscal Forecasts'!F$61</f>
        <v>5.202</v>
      </c>
      <c r="G279" s="51">
        <f>'Fiscal Forecasts'!G$61</f>
        <v>5.444</v>
      </c>
      <c r="H279" s="51">
        <f>'Fiscal Forecasts'!H$61</f>
        <v>6.165</v>
      </c>
      <c r="I279" s="51">
        <f>'Fiscal Forecasts'!I$61</f>
        <v>6.5270000000000001</v>
      </c>
      <c r="J279" s="51">
        <f>'Fiscal Forecasts'!J$61</f>
        <v>6.734</v>
      </c>
      <c r="K279" s="51">
        <f>'Fiscal Forecasts'!K$61</f>
        <v>7.077</v>
      </c>
      <c r="L279" s="47">
        <f ca="1">'Fiscal Forecasts'!L$61+IF(OFFSET(Assumptions!$B$57,0,$C$1)="Yes",Allocation!C$14+IF($C$2="Yes",'Fiscal Forecast Adjuster'!C$50,0),0)</f>
        <v>7.7619999999999996</v>
      </c>
      <c r="M279" s="47">
        <f ca="1">'Fiscal Forecasts'!M$61+IF(OFFSET(Assumptions!$B$57,0,$C$1)="Yes",Allocation!D$14+IF($C$2="Yes",'Fiscal Forecast Adjuster'!D$50,0),0)</f>
        <v>7.4859999999999998</v>
      </c>
      <c r="N279" s="47">
        <f ca="1">'Fiscal Forecasts'!N$61+IF(OFFSET(Assumptions!$B$57,0,$C$1)="Yes",Allocation!E$14+IF($C$2="Yes",'Fiscal Forecast Adjuster'!E$50,0),0)</f>
        <v>7.34</v>
      </c>
      <c r="O279" s="47">
        <f ca="1">'Fiscal Forecasts'!O$61+IF(OFFSET(Assumptions!$B$57,0,$C$1)="Yes",Allocation!F$14+IF($C$2="Yes",'Fiscal Forecast Adjuster'!F$50,0),0)</f>
        <v>7.3689999999999998</v>
      </c>
      <c r="P279" s="47">
        <f ca="1">'Fiscal Forecasts'!P$61+IF(OFFSET(Assumptions!$B$57,0,$C$1)="Yes",Allocation!G$14+IF($C$2="Yes",'Fiscal Forecast Adjuster'!G$50,0),0)</f>
        <v>7.4039999999999999</v>
      </c>
      <c r="Q279" s="21">
        <f ca="1">P$279+IF(OFFSET(Assumptions!$B$58,0,$C$1)="Yes",Allocation!$B$14*Q$248,IF(OFFSET(Assumptions!$B$59,0,$C$1)="Yes",(P$279/P$13+MIN(ABS($C$279-P$279/P$13),OFFSET(Assumptions!$B$61,0,$C$1))*SIGN($C$279-P$279/P$13))*Q$13-P$279,0))</f>
        <v>7.4039999999999999</v>
      </c>
      <c r="R279" s="21">
        <f ca="1">Q$279+IF(OFFSET(Assumptions!$B$58,0,$C$1)="Yes",Allocation!$B$14*R$248,IF(OFFSET(Assumptions!$B$59,0,$C$1)="Yes",(Q$279/Q$13+MIN(ABS($C$279-Q$279/Q$13),OFFSET(Assumptions!$B$61,0,$C$1))*SIGN($C$279-Q$279/Q$13))*R$13-Q$279,0))</f>
        <v>7.4039999999999999</v>
      </c>
      <c r="S279" s="21">
        <f ca="1">R$279+IF(OFFSET(Assumptions!$B$58,0,$C$1)="Yes",Allocation!$B$14*S$248,IF(OFFSET(Assumptions!$B$59,0,$C$1)="Yes",(R$279/R$13+MIN(ABS($C$279-R$279/R$13),OFFSET(Assumptions!$B$61,0,$C$1))*SIGN($C$279-R$279/R$13))*S$13-R$279,0))</f>
        <v>7.4039999999999999</v>
      </c>
      <c r="T279" s="21">
        <f ca="1">S$279+IF(OFFSET(Assumptions!$B$58,0,$C$1)="Yes",Allocation!$B$14*T$248,IF(OFFSET(Assumptions!$B$59,0,$C$1)="Yes",(S$279/S$13+MIN(ABS($C$279-S$279/S$13),OFFSET(Assumptions!$B$61,0,$C$1))*SIGN($C$279-S$279/S$13))*T$13-S$279,0))</f>
        <v>7.4039999999999999</v>
      </c>
      <c r="U279" s="21">
        <f ca="1">T$279+IF(OFFSET(Assumptions!$B$58,0,$C$1)="Yes",Allocation!$B$14*U$248,IF(OFFSET(Assumptions!$B$59,0,$C$1)="Yes",(T$279/T$13+MIN(ABS($C$279-T$279/T$13),OFFSET(Assumptions!$B$61,0,$C$1))*SIGN($C$279-T$279/T$13))*U$13-T$279,0))</f>
        <v>7.4039999999999999</v>
      </c>
      <c r="V279" s="21">
        <f ca="1">U$279+IF(OFFSET(Assumptions!$B$58,0,$C$1)="Yes",Allocation!$B$14*V$248,IF(OFFSET(Assumptions!$B$59,0,$C$1)="Yes",(U$279/U$13+MIN(ABS($C$279-U$279/U$13),OFFSET(Assumptions!$B$61,0,$C$1))*SIGN($C$279-U$279/U$13))*V$13-U$279,0))</f>
        <v>7.4039999999999999</v>
      </c>
      <c r="W279" s="21">
        <f ca="1">V$279+IF(OFFSET(Assumptions!$B$58,0,$C$1)="Yes",Allocation!$B$14*W$248,IF(OFFSET(Assumptions!$B$59,0,$C$1)="Yes",(V$279/V$13+MIN(ABS($C$279-V$279/V$13),OFFSET(Assumptions!$B$61,0,$C$1))*SIGN($C$279-V$279/V$13))*W$13-V$279,0))</f>
        <v>7.4039999999999999</v>
      </c>
      <c r="X279" s="21">
        <f ca="1">W$279+IF(OFFSET(Assumptions!$B$58,0,$C$1)="Yes",Allocation!$B$14*X$248,IF(OFFSET(Assumptions!$B$59,0,$C$1)="Yes",(W$279/W$13+MIN(ABS($C$279-W$279/W$13),OFFSET(Assumptions!$B$61,0,$C$1))*SIGN($C$279-W$279/W$13))*X$13-W$279,0))</f>
        <v>7.4039999999999999</v>
      </c>
      <c r="Y279" s="21">
        <f ca="1">X$279+IF(OFFSET(Assumptions!$B$58,0,$C$1)="Yes",Allocation!$B$14*Y$248,IF(OFFSET(Assumptions!$B$59,0,$C$1)="Yes",(X$279/X$13+MIN(ABS($C$279-X$279/X$13),OFFSET(Assumptions!$B$61,0,$C$1))*SIGN($C$279-X$279/X$13))*Y$13-X$279,0))</f>
        <v>7.4039999999999999</v>
      </c>
      <c r="Z279" s="21">
        <f ca="1">Y$279+IF(OFFSET(Assumptions!$B$58,0,$C$1)="Yes",Allocation!$B$14*Z$248,IF(OFFSET(Assumptions!$B$59,0,$C$1)="Yes",(Y$279/Y$13+MIN(ABS($C$279-Y$279/Y$13),OFFSET(Assumptions!$B$61,0,$C$1))*SIGN($C$279-Y$279/Y$13))*Z$13-Y$279,0))</f>
        <v>7.4039999999999999</v>
      </c>
    </row>
    <row r="280" spans="1:26" x14ac:dyDescent="0.25">
      <c r="A280" s="11" t="s">
        <v>1291</v>
      </c>
      <c r="B280" s="14" t="str">
        <f>$B$38</f>
        <v>From Fiscal Forecasts</v>
      </c>
      <c r="D280" s="51">
        <f>'Fiscal Forecasts'!D$44</f>
        <v>5.05</v>
      </c>
      <c r="E280" s="51">
        <f>'Fiscal Forecasts'!E$44</f>
        <v>5.3040000000000003</v>
      </c>
      <c r="F280" s="51">
        <f>'Fiscal Forecasts'!F$44</f>
        <v>5.5330000000000004</v>
      </c>
      <c r="G280" s="51">
        <f>'Fiscal Forecasts'!G$44</f>
        <v>5.9210000000000003</v>
      </c>
      <c r="H280" s="51">
        <f>'Fiscal Forecasts'!H$44</f>
        <v>6.6660000000000004</v>
      </c>
      <c r="I280" s="51">
        <f>'Fiscal Forecasts'!I$44</f>
        <v>7.0720000000000001</v>
      </c>
      <c r="J280" s="51">
        <f>'Fiscal Forecasts'!J$44</f>
        <v>7.3090000000000002</v>
      </c>
      <c r="K280" s="51">
        <f>'Fiscal Forecasts'!K$44</f>
        <v>7.6340000000000003</v>
      </c>
      <c r="L280" s="47">
        <f ca="1">'Fiscal Forecasts'!L$44+IF(OFFSET(Assumptions!$B$57,0,$C$1)="Yes",Allocation!C$14+IF($C$2="Yes",'Fiscal Forecast Adjuster'!C$50,0),0)</f>
        <v>8.4649999999999999</v>
      </c>
      <c r="M280" s="47">
        <f ca="1">'Fiscal Forecasts'!M$44+IF(OFFSET(Assumptions!$B$57,0,$C$1)="Yes",Allocation!D$14+IF($C$2="Yes",'Fiscal Forecast Adjuster'!D$50,0),0)</f>
        <v>8.2680000000000007</v>
      </c>
      <c r="N280" s="47">
        <f ca="1">'Fiscal Forecasts'!N$44+IF(OFFSET(Assumptions!$B$57,0,$C$1)="Yes",Allocation!E$14+IF($C$2="Yes",'Fiscal Forecast Adjuster'!E$50,0),0)</f>
        <v>8.0830000000000002</v>
      </c>
      <c r="O280" s="47">
        <f ca="1">'Fiscal Forecasts'!O$44+IF(OFFSET(Assumptions!$B$57,0,$C$1)="Yes",Allocation!F$14+IF($C$2="Yes",'Fiscal Forecast Adjuster'!F$50,0),0)</f>
        <v>8.1440000000000001</v>
      </c>
      <c r="P280" s="47">
        <f ca="1">'Fiscal Forecasts'!P$44+IF(OFFSET(Assumptions!$B$57,0,$C$1)="Yes",Allocation!G$14+IF($C$2="Yes",'Fiscal Forecast Adjuster'!G$50,0),0)</f>
        <v>8.2080000000000002</v>
      </c>
      <c r="Q280" s="21">
        <f t="shared" ref="Q280:Z280" ca="1" si="164">Q$279+(P$280-P$279)*(1+Q$29)</f>
        <v>8.2240800000000007</v>
      </c>
      <c r="R280" s="21">
        <f t="shared" ca="1" si="164"/>
        <v>8.2404816000000007</v>
      </c>
      <c r="S280" s="21">
        <f t="shared" ca="1" si="164"/>
        <v>8.2572112320000013</v>
      </c>
      <c r="T280" s="21">
        <f t="shared" ca="1" si="164"/>
        <v>8.2742754566400016</v>
      </c>
      <c r="U280" s="21">
        <f t="shared" ca="1" si="164"/>
        <v>8.2916809657728017</v>
      </c>
      <c r="V280" s="21">
        <f t="shared" ca="1" si="164"/>
        <v>8.3094345850882583</v>
      </c>
      <c r="W280" s="21">
        <f t="shared" ca="1" si="164"/>
        <v>8.3275432767900242</v>
      </c>
      <c r="X280" s="21">
        <f t="shared" ca="1" si="164"/>
        <v>8.3460141423258243</v>
      </c>
      <c r="Y280" s="21">
        <f t="shared" ca="1" si="164"/>
        <v>8.3648544251723411</v>
      </c>
      <c r="Z280" s="21">
        <f t="shared" ca="1" si="164"/>
        <v>8.3840715136757886</v>
      </c>
    </row>
    <row r="282" spans="1:26" x14ac:dyDescent="0.25">
      <c r="A282" s="11" t="s">
        <v>1292</v>
      </c>
    </row>
    <row r="283" spans="1:26" x14ac:dyDescent="0.25">
      <c r="A283" s="11" t="s">
        <v>1293</v>
      </c>
      <c r="B283" s="14" t="str">
        <f>$B$38</f>
        <v>From Fiscal Forecasts</v>
      </c>
      <c r="D283" s="51">
        <f>'Fiscal Forecasts'!D$62</f>
        <v>2.8889999999999998</v>
      </c>
      <c r="E283" s="51">
        <f>'Fiscal Forecasts'!E$62</f>
        <v>3.1789999999999998</v>
      </c>
      <c r="F283" s="51">
        <f>'Fiscal Forecasts'!F$62</f>
        <v>5.6559999999999997</v>
      </c>
      <c r="G283" s="51">
        <f>'Fiscal Forecasts'!G$62</f>
        <v>4.657</v>
      </c>
      <c r="H283" s="51">
        <f>'Fiscal Forecasts'!H$62</f>
        <v>5.4720000000000004</v>
      </c>
      <c r="I283" s="51">
        <f>'Fiscal Forecasts'!I$62</f>
        <v>5.4870000000000001</v>
      </c>
      <c r="J283" s="51">
        <f>'Fiscal Forecasts'!J$62</f>
        <v>5.4720000000000004</v>
      </c>
      <c r="K283" s="51">
        <f>'Fiscal Forecasts'!K$62</f>
        <v>6.0350000000000001</v>
      </c>
      <c r="L283" s="47">
        <f>'Fiscal Forecasts'!L$62+IF($C$2="Yes",'Fiscal Forecast Adjuster'!C$26/1000,0)</f>
        <v>5.3330000000000002</v>
      </c>
      <c r="M283" s="47">
        <f>'Fiscal Forecasts'!M$62+IF($C$2="Yes",'Fiscal Forecast Adjuster'!D$26/1000,0)</f>
        <v>5.4080000000000004</v>
      </c>
      <c r="N283" s="47">
        <f>'Fiscal Forecasts'!N$62+IF($C$2="Yes",'Fiscal Forecast Adjuster'!E$26/1000,0)</f>
        <v>5.65</v>
      </c>
      <c r="O283" s="47">
        <f>'Fiscal Forecasts'!O$62+IF($C$2="Yes",'Fiscal Forecast Adjuster'!F$26/1000,0)</f>
        <v>5.5910000000000002</v>
      </c>
      <c r="P283" s="47">
        <f>'Fiscal Forecasts'!P$62+IF($C$2="Yes",'Fiscal Forecast Adjuster'!G$26/1000,0)</f>
        <v>5.6349999999999998</v>
      </c>
      <c r="Q283" s="21">
        <f t="shared" ref="Q283:Z283" ca="1" si="165">P$283+Q$138-P$138</f>
        <v>5.6284616931386271</v>
      </c>
      <c r="R283" s="21">
        <f t="shared" ca="1" si="165"/>
        <v>5.6021153676319475</v>
      </c>
      <c r="S283" s="21">
        <f t="shared" ca="1" si="165"/>
        <v>5.5569111583079076</v>
      </c>
      <c r="T283" s="21">
        <f t="shared" ca="1" si="165"/>
        <v>5.7307336419171619</v>
      </c>
      <c r="U283" s="21">
        <f t="shared" ca="1" si="165"/>
        <v>6.0141229383904831</v>
      </c>
      <c r="V283" s="21">
        <f t="shared" ca="1" si="165"/>
        <v>6.3071620316660963</v>
      </c>
      <c r="W283" s="21">
        <f t="shared" ca="1" si="165"/>
        <v>6.6083725443632204</v>
      </c>
      <c r="X283" s="21">
        <f t="shared" ca="1" si="165"/>
        <v>6.9182566713754809</v>
      </c>
      <c r="Y283" s="21">
        <f t="shared" ca="1" si="165"/>
        <v>7.2384349123008267</v>
      </c>
      <c r="Z283" s="21">
        <f t="shared" ca="1" si="165"/>
        <v>7.5689898458804947</v>
      </c>
    </row>
    <row r="284" spans="1:26" x14ac:dyDescent="0.25">
      <c r="A284" s="12" t="s">
        <v>1020</v>
      </c>
      <c r="B284" s="14" t="str">
        <f>$B$38</f>
        <v>From Fiscal Forecasts</v>
      </c>
      <c r="D284" s="50">
        <f>'Fiscal Forecasts'!D$209</f>
        <v>3.21</v>
      </c>
      <c r="E284" s="50">
        <f>'Fiscal Forecasts'!E$209</f>
        <v>3.8239999999999998</v>
      </c>
      <c r="F284" s="50">
        <f>'Fiscal Forecasts'!F$209</f>
        <v>4.2590000000000003</v>
      </c>
      <c r="G284" s="50">
        <f>'Fiscal Forecasts'!G$209</f>
        <v>4.5030000000000001</v>
      </c>
      <c r="H284" s="50">
        <f>'Fiscal Forecasts'!H$209</f>
        <v>6.1050000000000004</v>
      </c>
      <c r="I284" s="50">
        <f>'Fiscal Forecasts'!I$209</f>
        <v>6.6280000000000001</v>
      </c>
      <c r="J284" s="50">
        <f>'Fiscal Forecasts'!J$209</f>
        <v>5.9779999999999998</v>
      </c>
      <c r="K284" s="50">
        <f>'Fiscal Forecasts'!K$209</f>
        <v>6.0049999999999999</v>
      </c>
      <c r="L284" s="48">
        <f>'Fiscal Forecasts'!L$209</f>
        <v>7.1070000000000002</v>
      </c>
      <c r="M284" s="48">
        <f>'Fiscal Forecasts'!M$209</f>
        <v>6.2469999999999999</v>
      </c>
      <c r="N284" s="48">
        <f>'Fiscal Forecasts'!N$209</f>
        <v>6.1429999999999998</v>
      </c>
      <c r="O284" s="48">
        <f>'Fiscal Forecasts'!O$209</f>
        <v>6.085</v>
      </c>
      <c r="P284" s="48">
        <f>'Fiscal Forecasts'!P$209</f>
        <v>6.2039999999999997</v>
      </c>
      <c r="Q284" s="20">
        <f t="shared" ref="Q284:Z284" ca="1" si="166">Q$283+(P$284-P$283)*(1+Q$29)</f>
        <v>6.208841693138627</v>
      </c>
      <c r="R284" s="20">
        <f t="shared" ca="1" si="166"/>
        <v>6.194102967631947</v>
      </c>
      <c r="S284" s="20">
        <f t="shared" ca="1" si="166"/>
        <v>6.1607385103079073</v>
      </c>
      <c r="T284" s="20">
        <f t="shared" ca="1" si="166"/>
        <v>6.346637540957162</v>
      </c>
      <c r="U284" s="20">
        <f t="shared" ca="1" si="166"/>
        <v>6.6423449154112832</v>
      </c>
      <c r="V284" s="20">
        <f t="shared" ca="1" si="166"/>
        <v>6.9479484482273124</v>
      </c>
      <c r="W284" s="20">
        <f t="shared" ca="1" si="166"/>
        <v>7.2619746892556609</v>
      </c>
      <c r="X284" s="20">
        <f t="shared" ca="1" si="166"/>
        <v>7.5849308591657705</v>
      </c>
      <c r="Y284" s="20">
        <f t="shared" ca="1" si="166"/>
        <v>7.9184425838469217</v>
      </c>
      <c r="Z284" s="20">
        <f t="shared" ca="1" si="166"/>
        <v>8.2625976708575113</v>
      </c>
    </row>
    <row r="285" spans="1:26" x14ac:dyDescent="0.25">
      <c r="A285" s="12" t="s">
        <v>1227</v>
      </c>
      <c r="B285" s="14" t="str">
        <f>$B$38</f>
        <v>From Fiscal Forecasts</v>
      </c>
      <c r="D285" s="50">
        <f>'Fiscal Forecasts'!D$210</f>
        <v>5.4009999999999998</v>
      </c>
      <c r="E285" s="50">
        <f>'Fiscal Forecasts'!E$210</f>
        <v>8.9149999999999991</v>
      </c>
      <c r="F285" s="50">
        <f>'Fiscal Forecasts'!F$210</f>
        <v>5.8360000000000003</v>
      </c>
      <c r="G285" s="50">
        <f>'Fiscal Forecasts'!G$210</f>
        <v>4.8730000000000002</v>
      </c>
      <c r="H285" s="50">
        <f>'Fiscal Forecasts'!H$210</f>
        <v>8.5990000000000002</v>
      </c>
      <c r="I285" s="50">
        <f>'Fiscal Forecasts'!I$210</f>
        <v>10.317</v>
      </c>
      <c r="J285" s="50">
        <f>'Fiscal Forecasts'!J$210</f>
        <v>10.045999999999999</v>
      </c>
      <c r="K285" s="50">
        <f>'Fiscal Forecasts'!K$210</f>
        <v>10.468999999999999</v>
      </c>
      <c r="L285" s="48">
        <f>'Fiscal Forecasts'!L$210</f>
        <v>10.717000000000001</v>
      </c>
      <c r="M285" s="48">
        <f>'Fiscal Forecasts'!M$210</f>
        <v>10.779</v>
      </c>
      <c r="N285" s="48">
        <f>'Fiscal Forecasts'!N$210</f>
        <v>11.085000000000001</v>
      </c>
      <c r="O285" s="48">
        <f>'Fiscal Forecasts'!O$210</f>
        <v>11.627000000000001</v>
      </c>
      <c r="P285" s="48">
        <f>'Fiscal Forecasts'!P$210</f>
        <v>11.731999999999999</v>
      </c>
      <c r="Q285" s="20">
        <f t="shared" ref="Q285:Z285" ca="1" si="167">P$285*(1+Q$14)</f>
        <v>12.242704393330598</v>
      </c>
      <c r="R285" s="20">
        <f t="shared" ca="1" si="167"/>
        <v>12.763816731665804</v>
      </c>
      <c r="S285" s="20">
        <f t="shared" ca="1" si="167"/>
        <v>13.298734787619493</v>
      </c>
      <c r="T285" s="20">
        <f t="shared" ca="1" si="167"/>
        <v>13.846207380884191</v>
      </c>
      <c r="U285" s="20">
        <f t="shared" ca="1" si="167"/>
        <v>14.412770747506283</v>
      </c>
      <c r="V285" s="20">
        <f t="shared" ca="1" si="167"/>
        <v>14.998626378979461</v>
      </c>
      <c r="W285" s="20">
        <f t="shared" ca="1" si="167"/>
        <v>15.600818643328848</v>
      </c>
      <c r="X285" s="20">
        <f t="shared" ca="1" si="167"/>
        <v>16.220351548938577</v>
      </c>
      <c r="Y285" s="20">
        <f t="shared" ca="1" si="167"/>
        <v>16.860464864279972</v>
      </c>
      <c r="Z285" s="20">
        <f t="shared" ca="1" si="167"/>
        <v>17.521323684119242</v>
      </c>
    </row>
    <row r="286" spans="1:26" x14ac:dyDescent="0.25">
      <c r="A286" s="12" t="s">
        <v>1228</v>
      </c>
      <c r="B286" s="14" t="str">
        <f>$B$38</f>
        <v>From Fiscal Forecasts</v>
      </c>
      <c r="D286" s="50">
        <f>'Fiscal Forecasts'!D$45-SUM(D$283:D$285)</f>
        <v>-3.0709999999999997</v>
      </c>
      <c r="E286" s="50">
        <f>'Fiscal Forecasts'!E$45-SUM(E$283:E$285)</f>
        <v>-2.9559999999999995</v>
      </c>
      <c r="F286" s="50">
        <f>'Fiscal Forecasts'!F$45-SUM(F$283:F$285)</f>
        <v>-5.4159999999999986</v>
      </c>
      <c r="G286" s="50">
        <f>'Fiscal Forecasts'!G$45-SUM(G$283:G$285)</f>
        <v>-4.5050000000000008</v>
      </c>
      <c r="H286" s="50">
        <f>'Fiscal Forecasts'!H$45-SUM(H$283:H$285)</f>
        <v>-5.7480000000000011</v>
      </c>
      <c r="I286" s="50">
        <f>'Fiscal Forecasts'!I$45-SUM(I$283:I$285)</f>
        <v>-5.6990000000000016</v>
      </c>
      <c r="J286" s="50">
        <f>'Fiscal Forecasts'!J$45-SUM(J$283:J$285)</f>
        <v>-5.6659999999999986</v>
      </c>
      <c r="K286" s="50">
        <f>'Fiscal Forecasts'!K$45-SUM(K$283:K$285)</f>
        <v>-5.0489999999999995</v>
      </c>
      <c r="L286" s="48">
        <f>'Fiscal Forecasts'!L$45-SUM(L$283:L$285)+IF($C$2="Yes",'Fiscal Forecast Adjuster'!C$26/1000,0)</f>
        <v>-5.6200000000000045</v>
      </c>
      <c r="M286" s="48">
        <f>'Fiscal Forecasts'!M$45-SUM(M$283:M$285)+IF($C$2="Yes",'Fiscal Forecast Adjuster'!D$26/1000,0)</f>
        <v>-5.4649999999999999</v>
      </c>
      <c r="N286" s="48">
        <f>'Fiscal Forecasts'!N$45-SUM(N$283:N$285)+IF($C$2="Yes",'Fiscal Forecast Adjuster'!E$26/1000,0)</f>
        <v>-5.7719999999999985</v>
      </c>
      <c r="O286" s="48">
        <f>'Fiscal Forecasts'!O$45-SUM(O$283:O$285)+IF($C$2="Yes",'Fiscal Forecast Adjuster'!F$26/1000,0)</f>
        <v>-5.6340000000000003</v>
      </c>
      <c r="P286" s="48">
        <f>'Fiscal Forecasts'!P$45-SUM(P$283:P$285)+IF($C$2="Yes",'Fiscal Forecast Adjuster'!G$26/1000,0)</f>
        <v>-5.8219999999999992</v>
      </c>
      <c r="Q286" s="20">
        <f ca="1">IF(Q$6=OFFSET(Assumptions!$B$8,0,$C$1),AVERAGE(N$286/N$283,O$286/O$283,P$286/P$283),P$286/P$283)*Q$283</f>
        <v>-5.745663714385798</v>
      </c>
      <c r="R286" s="20">
        <f ca="1">IF(R$6=OFFSET(Assumptions!$B$8,0,$C$1),AVERAGE(O$286/O$283,P$286/P$283,Q$286/Q$283),Q$286/Q$283)*R$283</f>
        <v>-5.7187687767058168</v>
      </c>
      <c r="S286" s="20">
        <f ca="1">IF(S$6=OFFSET(Assumptions!$B$8,0,$C$1),AVERAGE(P$286/P$283,Q$286/Q$283,R$286/R$283),R$286/R$283)*S$283</f>
        <v>-5.6726232756060657</v>
      </c>
      <c r="T286" s="20">
        <f ca="1">IF(T$6=OFFSET(Assumptions!$B$8,0,$C$1),AVERAGE(Q$286/Q$283,R$286/R$283,S$286/S$283),S$286/S$283)*T$283</f>
        <v>-5.8500652821912063</v>
      </c>
      <c r="U286" s="20">
        <f ca="1">IF(U$6=OFFSET(Assumptions!$B$8,0,$C$1),AVERAGE(R$286/R$283,S$286/S$283,T$286/T$283),T$286/T$283)*U$283</f>
        <v>-6.1393556223523564</v>
      </c>
      <c r="V286" s="20">
        <f ca="1">IF(V$6=OFFSET(Assumptions!$B$8,0,$C$1),AVERAGE(S$286/S$283,T$286/T$283,U$286/U$283),U$286/U$283)*V$283</f>
        <v>-6.438496698000562</v>
      </c>
      <c r="W286" s="20">
        <f ca="1">IF(W$6=OFFSET(Assumptions!$B$8,0,$C$1),AVERAGE(T$286/T$283,U$286/U$283,V$286/V$283),V$286/V$283)*W$283</f>
        <v>-6.7459793473548535</v>
      </c>
      <c r="X286" s="20">
        <f ca="1">IF(X$6=OFFSET(Assumptions!$B$8,0,$C$1),AVERAGE(U$286/U$283,V$286/V$283,W$286/W$283),W$286/W$283)*X$283</f>
        <v>-7.062316222563398</v>
      </c>
      <c r="Y286" s="20">
        <f ca="1">IF(Y$6=OFFSET(Assumptions!$B$8,0,$C$1),AVERAGE(V$286/V$283,W$286/W$283,X$286/X$283),X$286/X$283)*Y$283</f>
        <v>-7.3891615670494835</v>
      </c>
      <c r="Z286" s="20">
        <f ca="1">IF(Z$6=OFFSET(Assumptions!$B$8,0,$C$1),AVERAGE(W$286/W$283,X$286/X$283,Y$286/Y$283),Y$286/Y$283)*Z$283</f>
        <v>-7.7265996790997438</v>
      </c>
    </row>
    <row r="287" spans="1:26" x14ac:dyDescent="0.25">
      <c r="A287" s="11" t="s">
        <v>1294</v>
      </c>
      <c r="D287" s="94">
        <f t="shared" ref="D287:Z287" si="168">SUM(D$283:D$286)</f>
        <v>8.4290000000000003</v>
      </c>
      <c r="E287" s="94">
        <f t="shared" si="168"/>
        <v>12.962</v>
      </c>
      <c r="F287" s="94">
        <f t="shared" si="168"/>
        <v>10.335000000000001</v>
      </c>
      <c r="G287" s="94">
        <f t="shared" si="168"/>
        <v>9.5280000000000005</v>
      </c>
      <c r="H287" s="94">
        <f t="shared" si="168"/>
        <v>14.428000000000001</v>
      </c>
      <c r="I287" s="94">
        <f t="shared" si="168"/>
        <v>16.733000000000001</v>
      </c>
      <c r="J287" s="94">
        <f t="shared" si="168"/>
        <v>15.83</v>
      </c>
      <c r="K287" s="94">
        <f t="shared" si="168"/>
        <v>17.46</v>
      </c>
      <c r="L287" s="95">
        <f t="shared" si="168"/>
        <v>17.536999999999999</v>
      </c>
      <c r="M287" s="95">
        <f t="shared" si="168"/>
        <v>16.969000000000001</v>
      </c>
      <c r="N287" s="95">
        <f t="shared" si="168"/>
        <v>17.106000000000002</v>
      </c>
      <c r="O287" s="95">
        <f t="shared" si="168"/>
        <v>17.669</v>
      </c>
      <c r="P287" s="95">
        <f t="shared" si="168"/>
        <v>17.748999999999999</v>
      </c>
      <c r="Q287" s="96">
        <f t="shared" ca="1" si="168"/>
        <v>18.334344065222055</v>
      </c>
      <c r="R287" s="96">
        <f t="shared" ca="1" si="168"/>
        <v>18.841266290223885</v>
      </c>
      <c r="S287" s="96">
        <f t="shared" ca="1" si="168"/>
        <v>19.343761180629244</v>
      </c>
      <c r="T287" s="96">
        <f t="shared" ca="1" si="168"/>
        <v>20.073513281567308</v>
      </c>
      <c r="U287" s="96">
        <f t="shared" ca="1" si="168"/>
        <v>20.929882978955696</v>
      </c>
      <c r="V287" s="96">
        <f t="shared" ca="1" si="168"/>
        <v>21.815240160872307</v>
      </c>
      <c r="W287" s="96">
        <f t="shared" ca="1" si="168"/>
        <v>22.725186529592875</v>
      </c>
      <c r="X287" s="96">
        <f t="shared" ca="1" si="168"/>
        <v>23.661222856916432</v>
      </c>
      <c r="Y287" s="96">
        <f t="shared" ca="1" si="168"/>
        <v>24.628180793378235</v>
      </c>
      <c r="Z287" s="96">
        <f t="shared" ca="1" si="168"/>
        <v>25.626311521757508</v>
      </c>
    </row>
    <row r="289" spans="1:26" x14ac:dyDescent="0.25">
      <c r="A289" s="11" t="s">
        <v>1295</v>
      </c>
    </row>
    <row r="290" spans="1:26" x14ac:dyDescent="0.25">
      <c r="A290" s="12" t="s">
        <v>1264</v>
      </c>
      <c r="D290" s="50">
        <f t="shared" ref="D290:Z290" si="169">D$238</f>
        <v>0</v>
      </c>
      <c r="E290" s="50">
        <f t="shared" si="169"/>
        <v>0</v>
      </c>
      <c r="F290" s="50">
        <f t="shared" si="169"/>
        <v>1E-3</v>
      </c>
      <c r="G290" s="50">
        <f t="shared" si="169"/>
        <v>1E-3</v>
      </c>
      <c r="H290" s="50">
        <f t="shared" si="169"/>
        <v>3.0000000000000001E-3</v>
      </c>
      <c r="I290" s="50">
        <f t="shared" si="169"/>
        <v>2E-3</v>
      </c>
      <c r="J290" s="50">
        <f t="shared" si="169"/>
        <v>3.0000000000000001E-3</v>
      </c>
      <c r="K290" s="50">
        <f t="shared" si="169"/>
        <v>2E-3</v>
      </c>
      <c r="L290" s="48">
        <f t="shared" si="169"/>
        <v>0</v>
      </c>
      <c r="M290" s="48">
        <f t="shared" si="169"/>
        <v>0</v>
      </c>
      <c r="N290" s="48">
        <f t="shared" si="169"/>
        <v>0</v>
      </c>
      <c r="O290" s="48">
        <f t="shared" si="169"/>
        <v>0</v>
      </c>
      <c r="P290" s="48">
        <f t="shared" si="169"/>
        <v>0</v>
      </c>
      <c r="Q290" s="20">
        <f t="shared" ca="1" si="169"/>
        <v>0</v>
      </c>
      <c r="R290" s="20">
        <f t="shared" ca="1" si="169"/>
        <v>0</v>
      </c>
      <c r="S290" s="20">
        <f t="shared" ca="1" si="169"/>
        <v>0</v>
      </c>
      <c r="T290" s="20">
        <f t="shared" ca="1" si="169"/>
        <v>0</v>
      </c>
      <c r="U290" s="20">
        <f t="shared" ca="1" si="169"/>
        <v>0</v>
      </c>
      <c r="V290" s="20">
        <f t="shared" ca="1" si="169"/>
        <v>0</v>
      </c>
      <c r="W290" s="20">
        <f t="shared" ca="1" si="169"/>
        <v>0</v>
      </c>
      <c r="X290" s="20">
        <f t="shared" ca="1" si="169"/>
        <v>0</v>
      </c>
      <c r="Y290" s="20">
        <f t="shared" ca="1" si="169"/>
        <v>0</v>
      </c>
      <c r="Z290" s="20">
        <f t="shared" ca="1" si="169"/>
        <v>0</v>
      </c>
    </row>
    <row r="291" spans="1:26" x14ac:dyDescent="0.25">
      <c r="A291" s="12" t="s">
        <v>694</v>
      </c>
      <c r="D291" s="50">
        <f t="shared" ref="D291:Z291" si="170">D$192</f>
        <v>0.95099999999999996</v>
      </c>
      <c r="E291" s="50">
        <f t="shared" si="170"/>
        <v>0.89300000000000002</v>
      </c>
      <c r="F291" s="50">
        <f t="shared" si="170"/>
        <v>0.91600000000000004</v>
      </c>
      <c r="G291" s="50">
        <f t="shared" si="170"/>
        <v>0.96399999999999997</v>
      </c>
      <c r="H291" s="50">
        <f t="shared" si="170"/>
        <v>0.997</v>
      </c>
      <c r="I291" s="50">
        <f t="shared" si="170"/>
        <v>1.014</v>
      </c>
      <c r="J291" s="50">
        <f t="shared" si="170"/>
        <v>1.02</v>
      </c>
      <c r="K291" s="50">
        <f t="shared" si="170"/>
        <v>0.47</v>
      </c>
      <c r="L291" s="48">
        <f t="shared" si="170"/>
        <v>0.49399999999999999</v>
      </c>
      <c r="M291" s="48">
        <f t="shared" si="170"/>
        <v>0.51600000000000001</v>
      </c>
      <c r="N291" s="48">
        <f t="shared" si="170"/>
        <v>0.54100000000000004</v>
      </c>
      <c r="O291" s="48">
        <f t="shared" si="170"/>
        <v>0.56499999999999995</v>
      </c>
      <c r="P291" s="48">
        <f t="shared" si="170"/>
        <v>0.58899999999999997</v>
      </c>
      <c r="Q291" s="20">
        <f t="shared" si="170"/>
        <v>0.61599999999999999</v>
      </c>
      <c r="R291" s="20">
        <f t="shared" ca="1" si="170"/>
        <v>0.6356043150767996</v>
      </c>
      <c r="S291" s="20">
        <f t="shared" ca="1" si="170"/>
        <v>0.65552518581783481</v>
      </c>
      <c r="T291" s="20">
        <f t="shared" ca="1" si="170"/>
        <v>0.67575382923088023</v>
      </c>
      <c r="U291" s="20">
        <f t="shared" ca="1" si="170"/>
        <v>0.69644013067364774</v>
      </c>
      <c r="V291" s="20">
        <f t="shared" ca="1" si="170"/>
        <v>0.71757355095976472</v>
      </c>
      <c r="W291" s="20">
        <f t="shared" ca="1" si="170"/>
        <v>0.73899406472158069</v>
      </c>
      <c r="X291" s="20">
        <f t="shared" ca="1" si="170"/>
        <v>0.76073334129191916</v>
      </c>
      <c r="Y291" s="20">
        <f t="shared" ca="1" si="170"/>
        <v>0.78292535697248833</v>
      </c>
      <c r="Z291" s="20">
        <f t="shared" ca="1" si="170"/>
        <v>0.80555714389500477</v>
      </c>
    </row>
    <row r="292" spans="1:26" x14ac:dyDescent="0.25">
      <c r="A292" s="12" t="s">
        <v>1296</v>
      </c>
      <c r="B292" s="14" t="str">
        <f>$B$38</f>
        <v>From Fiscal Forecasts</v>
      </c>
      <c r="C292" s="100" cm="1">
        <f t="array" aca="1" ref="C292" ca="1">SUMPRODUCT(OFFSET($P$292,0,0,1,-OFFSET(Assumptions!$B$60,0,$C$1))/OFFSET($P$13,0,0,1,-OFFSET(Assumptions!$B$60,0,$C$1)))/OFFSET(Assumptions!$B$60,0,$C$1)-0.2%</f>
        <v>5.0921583587072317E-3</v>
      </c>
      <c r="D292" s="50">
        <f>'Fiscal Forecasts'!D$63-SUM(D$290:D$291)</f>
        <v>2.0549999999999997</v>
      </c>
      <c r="E292" s="50">
        <f>'Fiscal Forecasts'!E$63-SUM(E$290:E$291)</f>
        <v>3.0949999999999998</v>
      </c>
      <c r="F292" s="50">
        <f>'Fiscal Forecasts'!F$63-SUM(F$290:F$291)</f>
        <v>3.5640000000000001</v>
      </c>
      <c r="G292" s="50">
        <f>'Fiscal Forecasts'!G$63-SUM(G$290:G$291)</f>
        <v>7.1129999999999995</v>
      </c>
      <c r="H292" s="50">
        <f>'Fiscal Forecasts'!H$63-SUM(H$290:H$291)</f>
        <v>2.69</v>
      </c>
      <c r="I292" s="50">
        <f>'Fiscal Forecasts'!I$63-SUM(I$290:I$291)</f>
        <v>2.9939999999999998</v>
      </c>
      <c r="J292" s="50">
        <f>'Fiscal Forecasts'!J$63-SUM(J$290:J$291)</f>
        <v>2.4909999999999997</v>
      </c>
      <c r="K292" s="50">
        <f>'Fiscal Forecasts'!K$63-SUM(K$290:K$291)</f>
        <v>2.54</v>
      </c>
      <c r="L292" s="48">
        <f ca="1">'Fiscal Forecasts'!L$63-SUM(L$290:L$291)+IF(OFFSET(Assumptions!$B$57,0,$C$1)="Yes",Allocation!C$15+IF($C$2="Yes",'Fiscal Forecast Adjuster'!C$51,0),0)+IF($C$2="Yes",'Fiscal Forecast Adjuster'!C$24/1000,0)</f>
        <v>3.274</v>
      </c>
      <c r="M292" s="48">
        <f ca="1">'Fiscal Forecasts'!M$63-SUM(M$290:M$291)+IF(OFFSET(Assumptions!$B$57,0,$C$1)="Yes",Allocation!D$15+IF($C$2="Yes",'Fiscal Forecast Adjuster'!D$51,0),0)+IF($C$2="Yes",'Fiscal Forecast Adjuster'!D$24/1000,0)</f>
        <v>2.5270000000000001</v>
      </c>
      <c r="N292" s="48">
        <f ca="1">'Fiscal Forecasts'!N$63-SUM(N$290:N$291)+IF(OFFSET(Assumptions!$B$57,0,$C$1)="Yes",Allocation!E$15+IF($C$2="Yes",'Fiscal Forecast Adjuster'!E$51,0),0)+IF($C$2="Yes",'Fiscal Forecast Adjuster'!E$24/1000,0)</f>
        <v>2.6920000000000002</v>
      </c>
      <c r="O292" s="48">
        <f ca="1">'Fiscal Forecasts'!O$63-SUM(O$290:O$291)+IF(OFFSET(Assumptions!$B$57,0,$C$1)="Yes",Allocation!F$15+IF($C$2="Yes",'Fiscal Forecast Adjuster'!F$51,0),0)+IF($C$2="Yes",'Fiscal Forecast Adjuster'!F$24/1000,0)</f>
        <v>2.7</v>
      </c>
      <c r="P292" s="48">
        <f ca="1">'Fiscal Forecasts'!P$63-SUM(P$290:P$291)+IF(OFFSET(Assumptions!$B$57,0,$C$1)="Yes",Allocation!G$15+IF($C$2="Yes",'Fiscal Forecast Adjuster'!G$51,0),0)+IF($C$2="Yes",'Fiscal Forecast Adjuster'!G$24/1000,0)</f>
        <v>2.7050000000000001</v>
      </c>
      <c r="Q292" s="20">
        <f ca="1">P$292+IF(OFFSET(Assumptions!$B$58,0,$C$1)="Yes",Allocation!$B$15*Q$248,IF(OFFSET(Assumptions!$B$59,0,$C$1)="Yes",(P$292/P$13+MIN(ABS($C$292-P$292/P$13),OFFSET(Assumptions!$B$61,0,$C$1))*SIGN($C$292-P$292/P$13))*Q$13-P$292,0))</f>
        <v>2.7050000000000001</v>
      </c>
      <c r="R292" s="20">
        <f ca="1">Q$292+IF(OFFSET(Assumptions!$B$58,0,$C$1)="Yes",Allocation!$B$15*R$248,IF(OFFSET(Assumptions!$B$59,0,$C$1)="Yes",(Q$292/Q$13+MIN(ABS($C$292-Q$292/Q$13),OFFSET(Assumptions!$B$61,0,$C$1))*SIGN($C$292-Q$292/Q$13))*R$13-Q$292,0))</f>
        <v>2.7050000000000001</v>
      </c>
      <c r="S292" s="20">
        <f ca="1">R$292+IF(OFFSET(Assumptions!$B$58,0,$C$1)="Yes",Allocation!$B$15*S$248,IF(OFFSET(Assumptions!$B$59,0,$C$1)="Yes",(R$292/R$13+MIN(ABS($C$292-R$292/R$13),OFFSET(Assumptions!$B$61,0,$C$1))*SIGN($C$292-R$292/R$13))*S$13-R$292,0))</f>
        <v>2.7050000000000001</v>
      </c>
      <c r="T292" s="20">
        <f ca="1">S$292+IF(OFFSET(Assumptions!$B$58,0,$C$1)="Yes",Allocation!$B$15*T$248,IF(OFFSET(Assumptions!$B$59,0,$C$1)="Yes",(S$292/S$13+MIN(ABS($C$292-S$292/S$13),OFFSET(Assumptions!$B$61,0,$C$1))*SIGN($C$292-S$292/S$13))*T$13-S$292,0))</f>
        <v>2.7050000000000001</v>
      </c>
      <c r="U292" s="20">
        <f ca="1">T$292+IF(OFFSET(Assumptions!$B$58,0,$C$1)="Yes",Allocation!$B$15*U$248,IF(OFFSET(Assumptions!$B$59,0,$C$1)="Yes",(T$292/T$13+MIN(ABS($C$292-T$292/T$13),OFFSET(Assumptions!$B$61,0,$C$1))*SIGN($C$292-T$292/T$13))*U$13-T$292,0))</f>
        <v>2.7050000000000001</v>
      </c>
      <c r="V292" s="20">
        <f ca="1">U$292+IF(OFFSET(Assumptions!$B$58,0,$C$1)="Yes",Allocation!$B$15*V$248,IF(OFFSET(Assumptions!$B$59,0,$C$1)="Yes",(U$292/U$13+MIN(ABS($C$292-U$292/U$13),OFFSET(Assumptions!$B$61,0,$C$1))*SIGN($C$292-U$292/U$13))*V$13-U$292,0))</f>
        <v>2.7050000000000001</v>
      </c>
      <c r="W292" s="20">
        <f ca="1">V$292+IF(OFFSET(Assumptions!$B$58,0,$C$1)="Yes",Allocation!$B$15*W$248,IF(OFFSET(Assumptions!$B$59,0,$C$1)="Yes",(V$292/V$13+MIN(ABS($C$292-V$292/V$13),OFFSET(Assumptions!$B$61,0,$C$1))*SIGN($C$292-V$292/V$13))*W$13-V$292,0))</f>
        <v>2.7050000000000001</v>
      </c>
      <c r="X292" s="20">
        <f ca="1">W$292+IF(OFFSET(Assumptions!$B$58,0,$C$1)="Yes",Allocation!$B$15*X$248,IF(OFFSET(Assumptions!$B$59,0,$C$1)="Yes",(W$292/W$13+MIN(ABS($C$292-W$292/W$13),OFFSET(Assumptions!$B$61,0,$C$1))*SIGN($C$292-W$292/W$13))*X$13-W$292,0))</f>
        <v>2.7050000000000001</v>
      </c>
      <c r="Y292" s="20">
        <f ca="1">X$292+IF(OFFSET(Assumptions!$B$58,0,$C$1)="Yes",Allocation!$B$15*Y$248,IF(OFFSET(Assumptions!$B$59,0,$C$1)="Yes",(X$292/X$13+MIN(ABS($C$292-X$292/X$13),OFFSET(Assumptions!$B$61,0,$C$1))*SIGN($C$292-X$292/X$13))*Y$13-X$292,0))</f>
        <v>2.7050000000000001</v>
      </c>
      <c r="Z292" s="20">
        <f ca="1">Y$292+IF(OFFSET(Assumptions!$B$58,0,$C$1)="Yes",Allocation!$B$15*Z$248,IF(OFFSET(Assumptions!$B$59,0,$C$1)="Yes",(Y$292/Y$13+MIN(ABS($C$292-Y$292/Y$13),OFFSET(Assumptions!$B$61,0,$C$1))*SIGN($C$292-Y$292/Y$13))*Z$13-Y$292,0))</f>
        <v>2.7050000000000001</v>
      </c>
    </row>
    <row r="293" spans="1:26" x14ac:dyDescent="0.25">
      <c r="A293" s="11" t="s">
        <v>1297</v>
      </c>
      <c r="D293" s="94">
        <f t="shared" ref="D293:Z293" si="171">SUM(D$290:D$292)</f>
        <v>3.0059999999999998</v>
      </c>
      <c r="E293" s="94">
        <f t="shared" si="171"/>
        <v>3.9879999999999995</v>
      </c>
      <c r="F293" s="94">
        <f t="shared" si="171"/>
        <v>4.4809999999999999</v>
      </c>
      <c r="G293" s="94">
        <f t="shared" si="171"/>
        <v>8.0779999999999994</v>
      </c>
      <c r="H293" s="94">
        <f t="shared" si="171"/>
        <v>3.69</v>
      </c>
      <c r="I293" s="94">
        <f t="shared" si="171"/>
        <v>4.01</v>
      </c>
      <c r="J293" s="94">
        <f t="shared" si="171"/>
        <v>3.5139999999999993</v>
      </c>
      <c r="K293" s="94">
        <f t="shared" si="171"/>
        <v>3.012</v>
      </c>
      <c r="L293" s="95">
        <f t="shared" ca="1" si="171"/>
        <v>3.7679999999999998</v>
      </c>
      <c r="M293" s="95">
        <f t="shared" ca="1" si="171"/>
        <v>3.0430000000000001</v>
      </c>
      <c r="N293" s="95">
        <f t="shared" ca="1" si="171"/>
        <v>3.2330000000000001</v>
      </c>
      <c r="O293" s="95">
        <f t="shared" ca="1" si="171"/>
        <v>3.2650000000000001</v>
      </c>
      <c r="P293" s="95">
        <f t="shared" ca="1" si="171"/>
        <v>3.294</v>
      </c>
      <c r="Q293" s="96">
        <f t="shared" ca="1" si="171"/>
        <v>3.3210000000000002</v>
      </c>
      <c r="R293" s="96">
        <f t="shared" ca="1" si="171"/>
        <v>3.3406043150767997</v>
      </c>
      <c r="S293" s="96">
        <f t="shared" ca="1" si="171"/>
        <v>3.3605251858178349</v>
      </c>
      <c r="T293" s="96">
        <f t="shared" ca="1" si="171"/>
        <v>3.3807538292308803</v>
      </c>
      <c r="U293" s="96">
        <f t="shared" ca="1" si="171"/>
        <v>3.4014401306736479</v>
      </c>
      <c r="V293" s="96">
        <f t="shared" ca="1" si="171"/>
        <v>3.4225735509597648</v>
      </c>
      <c r="W293" s="96">
        <f t="shared" ca="1" si="171"/>
        <v>3.443994064721581</v>
      </c>
      <c r="X293" s="96">
        <f t="shared" ca="1" si="171"/>
        <v>3.4657333412919193</v>
      </c>
      <c r="Y293" s="96">
        <f t="shared" ca="1" si="171"/>
        <v>3.4879253569724886</v>
      </c>
      <c r="Z293" s="96">
        <f t="shared" ca="1" si="171"/>
        <v>3.5105571438950047</v>
      </c>
    </row>
    <row r="294" spans="1:26" x14ac:dyDescent="0.25">
      <c r="A294" s="11" t="s">
        <v>1298</v>
      </c>
      <c r="B294" s="14" t="str">
        <f>$B$38</f>
        <v>From Fiscal Forecasts</v>
      </c>
      <c r="D294" s="51">
        <f>'Fiscal Forecasts'!D$46</f>
        <v>10.433</v>
      </c>
      <c r="E294" s="51">
        <f>'Fiscal Forecasts'!E$46</f>
        <v>11.246</v>
      </c>
      <c r="F294" s="51">
        <f>'Fiscal Forecasts'!F$46</f>
        <v>13.429</v>
      </c>
      <c r="G294" s="51">
        <f>'Fiscal Forecasts'!G$46</f>
        <v>16.672999999999998</v>
      </c>
      <c r="H294" s="51">
        <f>'Fiscal Forecasts'!H$46</f>
        <v>12.384</v>
      </c>
      <c r="I294" s="51">
        <f>'Fiscal Forecasts'!I$46</f>
        <v>16.007999999999999</v>
      </c>
      <c r="J294" s="51">
        <f>'Fiscal Forecasts'!J$46</f>
        <v>16.152999999999999</v>
      </c>
      <c r="K294" s="51">
        <f>'Fiscal Forecasts'!K$46</f>
        <v>12.811999999999999</v>
      </c>
      <c r="L294" s="47">
        <f ca="1">'Fiscal Forecasts'!L$46+IF(OFFSET(Assumptions!$B$57,0,$C$1)="Yes",Allocation!C$15+IF($C$2="Yes",'Fiscal Forecast Adjuster'!C$51,0),0)+IF($C$2="Yes",'Fiscal Forecast Adjuster'!C$24/1000,0)</f>
        <v>15.704000000000001</v>
      </c>
      <c r="M294" s="47">
        <f ca="1">'Fiscal Forecasts'!M$46+IF(OFFSET(Assumptions!$B$57,0,$C$1)="Yes",Allocation!D$15+IF($C$2="Yes",'Fiscal Forecast Adjuster'!D$51,0),0)+IF($C$2="Yes",'Fiscal Forecast Adjuster'!D$24/1000,0)</f>
        <v>14.314</v>
      </c>
      <c r="N294" s="47">
        <f ca="1">'Fiscal Forecasts'!N$46+IF(OFFSET(Assumptions!$B$57,0,$C$1)="Yes",Allocation!E$15+IF($C$2="Yes",'Fiscal Forecast Adjuster'!E$51,0),0)+IF($C$2="Yes",'Fiscal Forecast Adjuster'!E$24/1000,0)</f>
        <v>14.819000000000001</v>
      </c>
      <c r="O294" s="47">
        <f ca="1">'Fiscal Forecasts'!O$46+IF(OFFSET(Assumptions!$B$57,0,$C$1)="Yes",Allocation!F$15+IF($C$2="Yes",'Fiscal Forecast Adjuster'!F$51,0),0)+IF($C$2="Yes",'Fiscal Forecast Adjuster'!F$24/1000,0)</f>
        <v>15.06</v>
      </c>
      <c r="P294" s="47">
        <f ca="1">'Fiscal Forecasts'!P$46+IF(OFFSET(Assumptions!$B$57,0,$C$1)="Yes",Allocation!G$15+IF($C$2="Yes",'Fiscal Forecast Adjuster'!G$51,0),0)+IF($C$2="Yes",'Fiscal Forecast Adjuster'!G$24/1000,0)</f>
        <v>15.331</v>
      </c>
      <c r="Q294" s="21">
        <f t="shared" ref="Q294:Z294" ca="1" si="172">Q$293+(P$294-P$293)*(1+Q$19)*(1+Q$29)</f>
        <v>15.756501383750182</v>
      </c>
      <c r="R294" s="21">
        <f t="shared" ca="1" si="172"/>
        <v>16.180565255401348</v>
      </c>
      <c r="S294" s="21">
        <f t="shared" ca="1" si="172"/>
        <v>16.61373540690343</v>
      </c>
      <c r="T294" s="21">
        <f t="shared" ca="1" si="172"/>
        <v>17.052095959730426</v>
      </c>
      <c r="U294" s="21">
        <f t="shared" ca="1" si="172"/>
        <v>17.502942533426591</v>
      </c>
      <c r="V294" s="21">
        <f t="shared" ca="1" si="172"/>
        <v>17.962598258781647</v>
      </c>
      <c r="W294" s="21">
        <f t="shared" ca="1" si="172"/>
        <v>18.41985949608177</v>
      </c>
      <c r="X294" s="21">
        <f t="shared" ca="1" si="172"/>
        <v>18.886613828147752</v>
      </c>
      <c r="Y294" s="21">
        <f t="shared" ca="1" si="172"/>
        <v>19.367313358540336</v>
      </c>
      <c r="Z294" s="21">
        <f t="shared" ca="1" si="172"/>
        <v>19.858495687002389</v>
      </c>
    </row>
    <row r="296" spans="1:26" x14ac:dyDescent="0.25">
      <c r="A296" s="11" t="s">
        <v>1299</v>
      </c>
    </row>
    <row r="297" spans="1:26" x14ac:dyDescent="0.25">
      <c r="A297" s="11" t="s">
        <v>1300</v>
      </c>
      <c r="B297" s="14" t="str">
        <f>$B$38</f>
        <v>From Fiscal Forecasts</v>
      </c>
      <c r="C297" s="100" cm="1">
        <f t="array" aca="1" ref="C297" ca="1">SUMPRODUCT(OFFSET($P$297,0,0,1,-OFFSET(Assumptions!$B$60,0,$C$1))/OFFSET($P$13,0,0,1,-OFFSET(Assumptions!$B$60,0,$C$1)))/OFFSET(Assumptions!$B$60,0,$C$1)</f>
        <v>7.4547299267952536E-3</v>
      </c>
      <c r="D297" s="51">
        <f>'Fiscal Forecasts'!D$64</f>
        <v>2.395</v>
      </c>
      <c r="E297" s="51">
        <f>'Fiscal Forecasts'!E$64</f>
        <v>2.4990000000000001</v>
      </c>
      <c r="F297" s="51">
        <f>'Fiscal Forecasts'!F$64</f>
        <v>2.6640000000000001</v>
      </c>
      <c r="G297" s="51">
        <f>'Fiscal Forecasts'!G$64</f>
        <v>2.8319999999999999</v>
      </c>
      <c r="H297" s="51">
        <f>'Fiscal Forecasts'!H$64</f>
        <v>2.8860000000000001</v>
      </c>
      <c r="I297" s="51">
        <f>'Fiscal Forecasts'!I$64</f>
        <v>3.1629999999999998</v>
      </c>
      <c r="J297" s="51">
        <f>'Fiscal Forecasts'!J$64</f>
        <v>3.2709999999999999</v>
      </c>
      <c r="K297" s="51">
        <f>'Fiscal Forecasts'!K$64</f>
        <v>3.5249999999999999</v>
      </c>
      <c r="L297" s="47">
        <f ca="1">'Fiscal Forecasts'!L$64+IF(OFFSET(Assumptions!$B$57,0,$C$1)="Yes",Allocation!C$16+IF($C$2="Yes",'Fiscal Forecast Adjuster'!C$52,0),0)</f>
        <v>3.8780000000000001</v>
      </c>
      <c r="M297" s="47">
        <f ca="1">'Fiscal Forecasts'!M$64+IF(OFFSET(Assumptions!$B$57,0,$C$1)="Yes",Allocation!D$16+IF($C$2="Yes",'Fiscal Forecast Adjuster'!D$52,0),0)</f>
        <v>3.8580000000000001</v>
      </c>
      <c r="N297" s="47">
        <f ca="1">'Fiscal Forecasts'!N$64+IF(OFFSET(Assumptions!$B$57,0,$C$1)="Yes",Allocation!E$16+IF($C$2="Yes",'Fiscal Forecast Adjuster'!E$52,0),0)</f>
        <v>3.9</v>
      </c>
      <c r="O297" s="47">
        <f ca="1">'Fiscal Forecasts'!O$64+IF(OFFSET(Assumptions!$B$57,0,$C$1)="Yes",Allocation!F$16+IF($C$2="Yes",'Fiscal Forecast Adjuster'!F$52,0),0)</f>
        <v>3.9359999999999999</v>
      </c>
      <c r="P297" s="47">
        <f ca="1">'Fiscal Forecasts'!P$64+IF(OFFSET(Assumptions!$B$57,0,$C$1)="Yes",Allocation!G$16+IF($C$2="Yes",'Fiscal Forecast Adjuster'!G$52,0),0)</f>
        <v>3.948</v>
      </c>
      <c r="Q297" s="21">
        <f ca="1">P$297+IF(OFFSET(Assumptions!$B$58,0,$C$1)="Yes",Allocation!$B$16*Q$248,IF(OFFSET(Assumptions!$B$59,0,$C$1)="Yes",(P$297/P$13+MIN(ABS($C$297-P$297/P$13),OFFSET(Assumptions!$B$61,0,$C$1))*SIGN($C$297-P$297/P$13))*Q$13-P$297,0))</f>
        <v>3.948</v>
      </c>
      <c r="R297" s="21">
        <f ca="1">Q$297+IF(OFFSET(Assumptions!$B$58,0,$C$1)="Yes",Allocation!$B$16*R$248,IF(OFFSET(Assumptions!$B$59,0,$C$1)="Yes",(Q$297/Q$13+MIN(ABS($C$297-Q$297/Q$13),OFFSET(Assumptions!$B$61,0,$C$1))*SIGN($C$297-Q$297/Q$13))*R$13-Q$297,0))</f>
        <v>3.948</v>
      </c>
      <c r="S297" s="21">
        <f ca="1">R$297+IF(OFFSET(Assumptions!$B$58,0,$C$1)="Yes",Allocation!$B$16*S$248,IF(OFFSET(Assumptions!$B$59,0,$C$1)="Yes",(R$297/R$13+MIN(ABS($C$297-R$297/R$13),OFFSET(Assumptions!$B$61,0,$C$1))*SIGN($C$297-R$297/R$13))*S$13-R$297,0))</f>
        <v>3.948</v>
      </c>
      <c r="T297" s="21">
        <f ca="1">S$297+IF(OFFSET(Assumptions!$B$58,0,$C$1)="Yes",Allocation!$B$16*T$248,IF(OFFSET(Assumptions!$B$59,0,$C$1)="Yes",(S$297/S$13+MIN(ABS($C$297-S$297/S$13),OFFSET(Assumptions!$B$61,0,$C$1))*SIGN($C$297-S$297/S$13))*T$13-S$297,0))</f>
        <v>3.948</v>
      </c>
      <c r="U297" s="21">
        <f ca="1">T$297+IF(OFFSET(Assumptions!$B$58,0,$C$1)="Yes",Allocation!$B$16*U$248,IF(OFFSET(Assumptions!$B$59,0,$C$1)="Yes",(T$297/T$13+MIN(ABS($C$297-T$297/T$13),OFFSET(Assumptions!$B$61,0,$C$1))*SIGN($C$297-T$297/T$13))*U$13-T$297,0))</f>
        <v>3.948</v>
      </c>
      <c r="V297" s="21">
        <f ca="1">U$297+IF(OFFSET(Assumptions!$B$58,0,$C$1)="Yes",Allocation!$B$16*V$248,IF(OFFSET(Assumptions!$B$59,0,$C$1)="Yes",(U$297/U$13+MIN(ABS($C$297-U$297/U$13),OFFSET(Assumptions!$B$61,0,$C$1))*SIGN($C$297-U$297/U$13))*V$13-U$297,0))</f>
        <v>3.948</v>
      </c>
      <c r="W297" s="21">
        <f ca="1">V$297+IF(OFFSET(Assumptions!$B$58,0,$C$1)="Yes",Allocation!$B$16*W$248,IF(OFFSET(Assumptions!$B$59,0,$C$1)="Yes",(V$297/V$13+MIN(ABS($C$297-V$297/V$13),OFFSET(Assumptions!$B$61,0,$C$1))*SIGN($C$297-V$297/V$13))*W$13-V$297,0))</f>
        <v>3.948</v>
      </c>
      <c r="X297" s="21">
        <f ca="1">W$297+IF(OFFSET(Assumptions!$B$58,0,$C$1)="Yes",Allocation!$B$16*X$248,IF(OFFSET(Assumptions!$B$59,0,$C$1)="Yes",(W$297/W$13+MIN(ABS($C$297-W$297/W$13),OFFSET(Assumptions!$B$61,0,$C$1))*SIGN($C$297-W$297/W$13))*X$13-W$297,0))</f>
        <v>3.948</v>
      </c>
      <c r="Y297" s="21">
        <f ca="1">X$297+IF(OFFSET(Assumptions!$B$58,0,$C$1)="Yes",Allocation!$B$16*Y$248,IF(OFFSET(Assumptions!$B$59,0,$C$1)="Yes",(X$297/X$13+MIN(ABS($C$297-X$297/X$13),OFFSET(Assumptions!$B$61,0,$C$1))*SIGN($C$297-X$297/X$13))*Y$13-X$297,0))</f>
        <v>3.948</v>
      </c>
      <c r="Z297" s="21">
        <f ca="1">Y$297+IF(OFFSET(Assumptions!$B$58,0,$C$1)="Yes",Allocation!$B$16*Z$248,IF(OFFSET(Assumptions!$B$59,0,$C$1)="Yes",(Y$297/Y$13+MIN(ABS($C$297-Y$297/Y$13),OFFSET(Assumptions!$B$61,0,$C$1))*SIGN($C$297-Y$297/Y$13))*Z$13-Y$297,0))</f>
        <v>3.948</v>
      </c>
    </row>
    <row r="298" spans="1:26" x14ac:dyDescent="0.25">
      <c r="A298" s="11" t="s">
        <v>1301</v>
      </c>
      <c r="B298" s="14" t="str">
        <f>$B$38</f>
        <v>From Fiscal Forecasts</v>
      </c>
      <c r="D298" s="51">
        <f>'Fiscal Forecasts'!D$47</f>
        <v>2.39</v>
      </c>
      <c r="E298" s="51">
        <f>'Fiscal Forecasts'!E$47</f>
        <v>2.4820000000000002</v>
      </c>
      <c r="F298" s="51">
        <f>'Fiscal Forecasts'!F$47</f>
        <v>2.6480000000000001</v>
      </c>
      <c r="G298" s="51">
        <f>'Fiscal Forecasts'!G$47</f>
        <v>2.8029999999999999</v>
      </c>
      <c r="H298" s="51">
        <f>'Fiscal Forecasts'!H$47</f>
        <v>2.8380000000000001</v>
      </c>
      <c r="I298" s="51">
        <f>'Fiscal Forecasts'!I$47</f>
        <v>3.125</v>
      </c>
      <c r="J298" s="51">
        <f>'Fiscal Forecasts'!J$47</f>
        <v>3.226</v>
      </c>
      <c r="K298" s="51">
        <f>'Fiscal Forecasts'!K$47</f>
        <v>3.484</v>
      </c>
      <c r="L298" s="47">
        <f ca="1">'Fiscal Forecasts'!L$47+IF(OFFSET(Assumptions!$B$57,0,$C$1)="Yes",Allocation!C$16+IF($C$2="Yes",'Fiscal Forecast Adjuster'!C$52,0),0)</f>
        <v>3.835</v>
      </c>
      <c r="M298" s="47">
        <f ca="1">'Fiscal Forecasts'!M$47+IF(OFFSET(Assumptions!$B$57,0,$C$1)="Yes",Allocation!D$16+IF($C$2="Yes",'Fiscal Forecast Adjuster'!D$52,0),0)</f>
        <v>3.8140000000000001</v>
      </c>
      <c r="N298" s="47">
        <f ca="1">'Fiscal Forecasts'!N$47+IF(OFFSET(Assumptions!$B$57,0,$C$1)="Yes",Allocation!E$16+IF($C$2="Yes",'Fiscal Forecast Adjuster'!E$52,0),0)</f>
        <v>3.8559999999999999</v>
      </c>
      <c r="O298" s="47">
        <f ca="1">'Fiscal Forecasts'!O$47+IF(OFFSET(Assumptions!$B$57,0,$C$1)="Yes",Allocation!F$16+IF($C$2="Yes",'Fiscal Forecast Adjuster'!F$52,0),0)</f>
        <v>3.8919999999999999</v>
      </c>
      <c r="P298" s="47">
        <f ca="1">'Fiscal Forecasts'!P$47+IF(OFFSET(Assumptions!$B$57,0,$C$1)="Yes",Allocation!G$16+IF($C$2="Yes",'Fiscal Forecast Adjuster'!G$52,0),0)</f>
        <v>3.9039999999999999</v>
      </c>
      <c r="Q298" s="21">
        <f t="shared" ref="Q298:Z298" ca="1" si="173">Q$297</f>
        <v>3.948</v>
      </c>
      <c r="R298" s="21">
        <f t="shared" ca="1" si="173"/>
        <v>3.948</v>
      </c>
      <c r="S298" s="21">
        <f t="shared" ca="1" si="173"/>
        <v>3.948</v>
      </c>
      <c r="T298" s="21">
        <f t="shared" ca="1" si="173"/>
        <v>3.948</v>
      </c>
      <c r="U298" s="21">
        <f t="shared" ca="1" si="173"/>
        <v>3.948</v>
      </c>
      <c r="V298" s="21">
        <f t="shared" ca="1" si="173"/>
        <v>3.948</v>
      </c>
      <c r="W298" s="21">
        <f t="shared" ca="1" si="173"/>
        <v>3.948</v>
      </c>
      <c r="X298" s="21">
        <f t="shared" ca="1" si="173"/>
        <v>3.948</v>
      </c>
      <c r="Y298" s="21">
        <f t="shared" ca="1" si="173"/>
        <v>3.948</v>
      </c>
      <c r="Z298" s="21">
        <f t="shared" ca="1" si="173"/>
        <v>3.948</v>
      </c>
    </row>
    <row r="300" spans="1:26" x14ac:dyDescent="0.25">
      <c r="A300" s="11" t="s">
        <v>1302</v>
      </c>
    </row>
    <row r="301" spans="1:26" x14ac:dyDescent="0.25">
      <c r="A301" s="11" t="s">
        <v>1303</v>
      </c>
      <c r="B301" s="14" t="str">
        <f>$B$38</f>
        <v>From Fiscal Forecasts</v>
      </c>
      <c r="C301" s="100" cm="1">
        <f t="array" aca="1" ref="C301" ca="1">SUMPRODUCT(OFFSET($P$301,0,0,1,-OFFSET(Assumptions!$B$60,0,$C$1))/OFFSET($P$13,0,0,1,-OFFSET(Assumptions!$B$60,0,$C$1)))/OFFSET(Assumptions!$B$60,0,$C$1)</f>
        <v>3.1109948324532836E-3</v>
      </c>
      <c r="D301" s="51">
        <f>'Fiscal Forecasts'!D$65</f>
        <v>0.91800000000000004</v>
      </c>
      <c r="E301" s="51">
        <f>'Fiscal Forecasts'!E$65</f>
        <v>1.1060000000000001</v>
      </c>
      <c r="F301" s="51">
        <f>'Fiscal Forecasts'!F$65</f>
        <v>1.42</v>
      </c>
      <c r="G301" s="51">
        <f>'Fiscal Forecasts'!G$65</f>
        <v>1.468</v>
      </c>
      <c r="H301" s="51">
        <f>'Fiscal Forecasts'!H$65</f>
        <v>1.5369999999999999</v>
      </c>
      <c r="I301" s="51">
        <f>'Fiscal Forecasts'!I$65</f>
        <v>1.504</v>
      </c>
      <c r="J301" s="51">
        <f>'Fiscal Forecasts'!J$65</f>
        <v>1.4570000000000001</v>
      </c>
      <c r="K301" s="51">
        <f>'Fiscal Forecasts'!K$65</f>
        <v>1.4390000000000001</v>
      </c>
      <c r="L301" s="47">
        <f ca="1">'Fiscal Forecasts'!L$65+IF(OFFSET(Assumptions!$B$57,0,$C$1)="Yes",Allocation!C$17+IF($C$2="Yes",'Fiscal Forecast Adjuster'!C$53,0),0)</f>
        <v>1.4419999999999999</v>
      </c>
      <c r="M301" s="47">
        <f ca="1">'Fiscal Forecasts'!M$65+IF(OFFSET(Assumptions!$B$57,0,$C$1)="Yes",Allocation!D$17+IF($C$2="Yes",'Fiscal Forecast Adjuster'!D$53,0),0)</f>
        <v>1.4119999999999999</v>
      </c>
      <c r="N301" s="47">
        <f ca="1">'Fiscal Forecasts'!N$65+IF(OFFSET(Assumptions!$B$57,0,$C$1)="Yes",Allocation!E$17+IF($C$2="Yes",'Fiscal Forecast Adjuster'!E$53,0),0)</f>
        <v>1.3959999999999999</v>
      </c>
      <c r="O301" s="47">
        <f ca="1">'Fiscal Forecasts'!O$65+IF(OFFSET(Assumptions!$B$57,0,$C$1)="Yes",Allocation!F$17+IF($C$2="Yes",'Fiscal Forecast Adjuster'!F$53,0),0)</f>
        <v>1.365</v>
      </c>
      <c r="P301" s="47">
        <f ca="1">'Fiscal Forecasts'!P$65+IF(OFFSET(Assumptions!$B$57,0,$C$1)="Yes",Allocation!G$17+IF($C$2="Yes",'Fiscal Forecast Adjuster'!G$53,0),0)</f>
        <v>1.357</v>
      </c>
      <c r="Q301" s="21">
        <f ca="1">P$301+IF(OFFSET(Assumptions!$B$58,0,$C$1)="Yes",Allocation!$B$17*Q$248,IF(OFFSET(Assumptions!$B$59,0,$C$1)="Yes",(P$301/P$13+MIN(ABS($C$301-P$301/P$13),OFFSET(Assumptions!$B$61,0,$C$1))*SIGN($C$301-P$301/P$13))*Q$13-P$301,0))</f>
        <v>1.357</v>
      </c>
      <c r="R301" s="21">
        <f ca="1">Q$301+IF(OFFSET(Assumptions!$B$58,0,$C$1)="Yes",Allocation!$B$17*R$248,IF(OFFSET(Assumptions!$B$59,0,$C$1)="Yes",(Q$301/Q$13+MIN(ABS($C$301-Q$301/Q$13),OFFSET(Assumptions!$B$61,0,$C$1))*SIGN($C$301-Q$301/Q$13))*R$13-Q$301,0))</f>
        <v>1.357</v>
      </c>
      <c r="S301" s="21">
        <f ca="1">R$301+IF(OFFSET(Assumptions!$B$58,0,$C$1)="Yes",Allocation!$B$17*S$248,IF(OFFSET(Assumptions!$B$59,0,$C$1)="Yes",(R$301/R$13+MIN(ABS($C$301-R$301/R$13),OFFSET(Assumptions!$B$61,0,$C$1))*SIGN($C$301-R$301/R$13))*S$13-R$301,0))</f>
        <v>1.357</v>
      </c>
      <c r="T301" s="21">
        <f ca="1">S$301+IF(OFFSET(Assumptions!$B$58,0,$C$1)="Yes",Allocation!$B$17*T$248,IF(OFFSET(Assumptions!$B$59,0,$C$1)="Yes",(S$301/S$13+MIN(ABS($C$301-S$301/S$13),OFFSET(Assumptions!$B$61,0,$C$1))*SIGN($C$301-S$301/S$13))*T$13-S$301,0))</f>
        <v>1.357</v>
      </c>
      <c r="U301" s="21">
        <f ca="1">T$301+IF(OFFSET(Assumptions!$B$58,0,$C$1)="Yes",Allocation!$B$17*U$248,IF(OFFSET(Assumptions!$B$59,0,$C$1)="Yes",(T$301/T$13+MIN(ABS($C$301-T$301/T$13),OFFSET(Assumptions!$B$61,0,$C$1))*SIGN($C$301-T$301/T$13))*U$13-T$301,0))</f>
        <v>1.357</v>
      </c>
      <c r="V301" s="21">
        <f ca="1">U$301+IF(OFFSET(Assumptions!$B$58,0,$C$1)="Yes",Allocation!$B$17*V$248,IF(OFFSET(Assumptions!$B$59,0,$C$1)="Yes",(U$301/U$13+MIN(ABS($C$301-U$301/U$13),OFFSET(Assumptions!$B$61,0,$C$1))*SIGN($C$301-U$301/U$13))*V$13-U$301,0))</f>
        <v>1.357</v>
      </c>
      <c r="W301" s="21">
        <f ca="1">V$301+IF(OFFSET(Assumptions!$B$58,0,$C$1)="Yes",Allocation!$B$17*W$248,IF(OFFSET(Assumptions!$B$59,0,$C$1)="Yes",(V$301/V$13+MIN(ABS($C$301-V$301/V$13),OFFSET(Assumptions!$B$61,0,$C$1))*SIGN($C$301-V$301/V$13))*W$13-V$301,0))</f>
        <v>1.357</v>
      </c>
      <c r="X301" s="21">
        <f ca="1">W$301+IF(OFFSET(Assumptions!$B$58,0,$C$1)="Yes",Allocation!$B$17*X$248,IF(OFFSET(Assumptions!$B$59,0,$C$1)="Yes",(W$301/W$13+MIN(ABS($C$301-W$301/W$13),OFFSET(Assumptions!$B$61,0,$C$1))*SIGN($C$301-W$301/W$13))*X$13-W$301,0))</f>
        <v>1.357</v>
      </c>
      <c r="Y301" s="21">
        <f ca="1">X$301+IF(OFFSET(Assumptions!$B$58,0,$C$1)="Yes",Allocation!$B$17*Y$248,IF(OFFSET(Assumptions!$B$59,0,$C$1)="Yes",(X$301/X$13+MIN(ABS($C$301-X$301/X$13),OFFSET(Assumptions!$B$61,0,$C$1))*SIGN($C$301-X$301/X$13))*Y$13-X$301,0))</f>
        <v>1.357</v>
      </c>
      <c r="Z301" s="21">
        <f ca="1">Y$301+IF(OFFSET(Assumptions!$B$58,0,$C$1)="Yes",Allocation!$B$17*Z$248,IF(OFFSET(Assumptions!$B$59,0,$C$1)="Yes",(Y$301/Y$13+MIN(ABS($C$301-Y$301/Y$13),OFFSET(Assumptions!$B$61,0,$C$1))*SIGN($C$301-Y$301/Y$13))*Z$13-Y$301,0))</f>
        <v>1.357</v>
      </c>
    </row>
    <row r="302" spans="1:26" x14ac:dyDescent="0.25">
      <c r="A302" s="11" t="s">
        <v>1304</v>
      </c>
      <c r="B302" s="14" t="str">
        <f>$B$38</f>
        <v>From Fiscal Forecasts</v>
      </c>
      <c r="D302" s="51">
        <f>'Fiscal Forecasts'!D$48</f>
        <v>2.5030000000000001</v>
      </c>
      <c r="E302" s="51">
        <f>'Fiscal Forecasts'!E$48</f>
        <v>2.9039999999999999</v>
      </c>
      <c r="F302" s="51">
        <f>'Fiscal Forecasts'!F$48</f>
        <v>3.0230000000000001</v>
      </c>
      <c r="G302" s="51">
        <f>'Fiscal Forecasts'!G$48</f>
        <v>3.26</v>
      </c>
      <c r="H302" s="51">
        <f>'Fiscal Forecasts'!H$48</f>
        <v>3.4169999999999998</v>
      </c>
      <c r="I302" s="51">
        <f>'Fiscal Forecasts'!I$48</f>
        <v>3.6080000000000001</v>
      </c>
      <c r="J302" s="51">
        <f>'Fiscal Forecasts'!J$48</f>
        <v>3.3809999999999998</v>
      </c>
      <c r="K302" s="51">
        <f>'Fiscal Forecasts'!K$48</f>
        <v>3.5270000000000001</v>
      </c>
      <c r="L302" s="47">
        <f ca="1">'Fiscal Forecasts'!L$48+IF(OFFSET(Assumptions!$B$57,0,$C$1)="Yes",Allocation!C$17+IF($C$2="Yes",'Fiscal Forecast Adjuster'!C$53,0),0)</f>
        <v>3.528</v>
      </c>
      <c r="M302" s="47">
        <f ca="1">'Fiscal Forecasts'!M$48+IF(OFFSET(Assumptions!$B$57,0,$C$1)="Yes",Allocation!D$17+IF($C$2="Yes",'Fiscal Forecast Adjuster'!D$53,0),0)</f>
        <v>3.4950000000000001</v>
      </c>
      <c r="N302" s="47">
        <f ca="1">'Fiscal Forecasts'!N$48+IF(OFFSET(Assumptions!$B$57,0,$C$1)="Yes",Allocation!E$17+IF($C$2="Yes",'Fiscal Forecast Adjuster'!E$53,0),0)</f>
        <v>3.5459999999999998</v>
      </c>
      <c r="O302" s="47">
        <f ca="1">'Fiscal Forecasts'!O$48+IF(OFFSET(Assumptions!$B$57,0,$C$1)="Yes",Allocation!F$17+IF($C$2="Yes",'Fiscal Forecast Adjuster'!F$53,0),0)</f>
        <v>3.5680000000000001</v>
      </c>
      <c r="P302" s="47">
        <f ca="1">'Fiscal Forecasts'!P$48+IF(OFFSET(Assumptions!$B$57,0,$C$1)="Yes",Allocation!G$17+IF($C$2="Yes",'Fiscal Forecast Adjuster'!G$53,0),0)</f>
        <v>3.5990000000000002</v>
      </c>
      <c r="Q302" s="21">
        <f t="shared" ref="Q302:Z302" ca="1" si="174">Q$301+(P$302-P$301)*(1+Q$29)</f>
        <v>3.64384</v>
      </c>
      <c r="R302" s="21">
        <f t="shared" ca="1" si="174"/>
        <v>3.6895768000000002</v>
      </c>
      <c r="S302" s="21">
        <f t="shared" ca="1" si="174"/>
        <v>3.7362283359999999</v>
      </c>
      <c r="T302" s="21">
        <f t="shared" ca="1" si="174"/>
        <v>3.7838129027199994</v>
      </c>
      <c r="U302" s="21">
        <f t="shared" ca="1" si="174"/>
        <v>3.8323491607743989</v>
      </c>
      <c r="V302" s="21">
        <f t="shared" ca="1" si="174"/>
        <v>3.8818561439898867</v>
      </c>
      <c r="W302" s="21">
        <f t="shared" ca="1" si="174"/>
        <v>3.9323532668696846</v>
      </c>
      <c r="X302" s="21">
        <f t="shared" ca="1" si="174"/>
        <v>3.9838603322070778</v>
      </c>
      <c r="Y302" s="21">
        <f t="shared" ca="1" si="174"/>
        <v>4.0363975388512188</v>
      </c>
      <c r="Z302" s="21">
        <f t="shared" ca="1" si="174"/>
        <v>4.0899854896282433</v>
      </c>
    </row>
    <row r="304" spans="1:26" x14ac:dyDescent="0.25">
      <c r="A304" s="11" t="s">
        <v>1305</v>
      </c>
    </row>
    <row r="305" spans="1:26" x14ac:dyDescent="0.25">
      <c r="A305" s="11" t="s">
        <v>1306</v>
      </c>
      <c r="B305" s="14" t="str">
        <f>$B$38</f>
        <v>From Fiscal Forecasts</v>
      </c>
      <c r="C305" s="100" cm="1">
        <f t="array" aca="1" ref="C305" ca="1">SUMPRODUCT(OFFSET($P$305,0,0,1,-OFFSET(Assumptions!$B$60,0,$C$1))/OFFSET($P$13,0,0,1,-OFFSET(Assumptions!$B$60,0,$C$1)))/OFFSET(Assumptions!$B$60,0,$C$1)</f>
        <v>2.3716813443995723E-3</v>
      </c>
      <c r="D305" s="51">
        <f>'Fiscal Forecasts'!D$66</f>
        <v>0.96</v>
      </c>
      <c r="E305" s="51">
        <f>'Fiscal Forecasts'!E$66</f>
        <v>0.96099999999999997</v>
      </c>
      <c r="F305" s="51">
        <f>'Fiscal Forecasts'!F$66</f>
        <v>1.0149999999999999</v>
      </c>
      <c r="G305" s="51">
        <f>'Fiscal Forecasts'!G$66</f>
        <v>0.94899999999999995</v>
      </c>
      <c r="H305" s="51">
        <f>'Fiscal Forecasts'!H$66</f>
        <v>1.1559999999999999</v>
      </c>
      <c r="I305" s="51">
        <f>'Fiscal Forecasts'!I$66</f>
        <v>1.0620000000000001</v>
      </c>
      <c r="J305" s="51">
        <f>'Fiscal Forecasts'!J$66</f>
        <v>0.996</v>
      </c>
      <c r="K305" s="51">
        <f>'Fiscal Forecasts'!K$66</f>
        <v>1.03</v>
      </c>
      <c r="L305" s="47">
        <f ca="1">'Fiscal Forecasts'!L$66+IF(OFFSET(Assumptions!$B$57,0,$C$1)="Yes",Allocation!C$18+IF($C$2="Yes",'Fiscal Forecast Adjuster'!C$54,0),0)</f>
        <v>1.351</v>
      </c>
      <c r="M305" s="47">
        <f ca="1">'Fiscal Forecasts'!M$66+IF(OFFSET(Assumptions!$B$57,0,$C$1)="Yes",Allocation!D$18+IF($C$2="Yes",'Fiscal Forecast Adjuster'!D$54,0),0)</f>
        <v>1.1359999999999999</v>
      </c>
      <c r="N305" s="47">
        <f ca="1">'Fiscal Forecasts'!N$66+IF(OFFSET(Assumptions!$B$57,0,$C$1)="Yes",Allocation!E$18+IF($C$2="Yes",'Fiscal Forecast Adjuster'!E$54,0),0)</f>
        <v>1.1259999999999999</v>
      </c>
      <c r="O305" s="47">
        <f ca="1">'Fiscal Forecasts'!O$66+IF(OFFSET(Assumptions!$B$57,0,$C$1)="Yes",Allocation!F$18+IF($C$2="Yes",'Fiscal Forecast Adjuster'!F$54,0),0)</f>
        <v>1.18</v>
      </c>
      <c r="P305" s="47">
        <f ca="1">'Fiscal Forecasts'!P$66+IF(OFFSET(Assumptions!$B$57,0,$C$1)="Yes",Allocation!G$18+IF($C$2="Yes",'Fiscal Forecast Adjuster'!G$54,0),0)</f>
        <v>1.0980000000000001</v>
      </c>
      <c r="Q305" s="21">
        <f ca="1">P$305+IF(OFFSET(Assumptions!$B$58,0,$C$1)="Yes",Allocation!$B$18*Q$248,IF(OFFSET(Assumptions!$B$59,0,$C$1)="Yes",(P$305/P$13+MIN(ABS($C$305-P$305/P$13),OFFSET(Assumptions!$B$61,0,$C$1))*SIGN($C$305-P$305/P$13))*Q$13-P$305,0))</f>
        <v>1.0980000000000001</v>
      </c>
      <c r="R305" s="21">
        <f ca="1">Q$305+IF(OFFSET(Assumptions!$B$58,0,$C$1)="Yes",Allocation!$B$18*R$248,IF(OFFSET(Assumptions!$B$59,0,$C$1)="Yes",(Q$305/Q$13+MIN(ABS($C$305-Q$305/Q$13),OFFSET(Assumptions!$B$61,0,$C$1))*SIGN($C$305-Q$305/Q$13))*R$13-Q$305,0))</f>
        <v>1.0980000000000001</v>
      </c>
      <c r="S305" s="21">
        <f ca="1">R$305+IF(OFFSET(Assumptions!$B$58,0,$C$1)="Yes",Allocation!$B$18*S$248,IF(OFFSET(Assumptions!$B$59,0,$C$1)="Yes",(R$305/R$13+MIN(ABS($C$305-R$305/R$13),OFFSET(Assumptions!$B$61,0,$C$1))*SIGN($C$305-R$305/R$13))*S$13-R$305,0))</f>
        <v>1.0980000000000001</v>
      </c>
      <c r="T305" s="21">
        <f ca="1">S$305+IF(OFFSET(Assumptions!$B$58,0,$C$1)="Yes",Allocation!$B$18*T$248,IF(OFFSET(Assumptions!$B$59,0,$C$1)="Yes",(S$305/S$13+MIN(ABS($C$305-S$305/S$13),OFFSET(Assumptions!$B$61,0,$C$1))*SIGN($C$305-S$305/S$13))*T$13-S$305,0))</f>
        <v>1.0980000000000001</v>
      </c>
      <c r="U305" s="21">
        <f ca="1">T$305+IF(OFFSET(Assumptions!$B$58,0,$C$1)="Yes",Allocation!$B$18*U$248,IF(OFFSET(Assumptions!$B$59,0,$C$1)="Yes",(T$305/T$13+MIN(ABS($C$305-T$305/T$13),OFFSET(Assumptions!$B$61,0,$C$1))*SIGN($C$305-T$305/T$13))*U$13-T$305,0))</f>
        <v>1.0980000000000001</v>
      </c>
      <c r="V305" s="21">
        <f ca="1">U$305+IF(OFFSET(Assumptions!$B$58,0,$C$1)="Yes",Allocation!$B$18*V$248,IF(OFFSET(Assumptions!$B$59,0,$C$1)="Yes",(U$305/U$13+MIN(ABS($C$305-U$305/U$13),OFFSET(Assumptions!$B$61,0,$C$1))*SIGN($C$305-U$305/U$13))*V$13-U$305,0))</f>
        <v>1.0980000000000001</v>
      </c>
      <c r="W305" s="21">
        <f ca="1">V$305+IF(OFFSET(Assumptions!$B$58,0,$C$1)="Yes",Allocation!$B$18*W$248,IF(OFFSET(Assumptions!$B$59,0,$C$1)="Yes",(V$305/V$13+MIN(ABS($C$305-V$305/V$13),OFFSET(Assumptions!$B$61,0,$C$1))*SIGN($C$305-V$305/V$13))*W$13-V$305,0))</f>
        <v>1.0980000000000001</v>
      </c>
      <c r="X305" s="21">
        <f ca="1">W$305+IF(OFFSET(Assumptions!$B$58,0,$C$1)="Yes",Allocation!$B$18*X$248,IF(OFFSET(Assumptions!$B$59,0,$C$1)="Yes",(W$305/W$13+MIN(ABS($C$305-W$305/W$13),OFFSET(Assumptions!$B$61,0,$C$1))*SIGN($C$305-W$305/W$13))*X$13-W$305,0))</f>
        <v>1.0980000000000001</v>
      </c>
      <c r="Y305" s="21">
        <f ca="1">X$305+IF(OFFSET(Assumptions!$B$58,0,$C$1)="Yes",Allocation!$B$18*Y$248,IF(OFFSET(Assumptions!$B$59,0,$C$1)="Yes",(X$305/X$13+MIN(ABS($C$305-X$305/X$13),OFFSET(Assumptions!$B$61,0,$C$1))*SIGN($C$305-X$305/X$13))*Y$13-X$305,0))</f>
        <v>1.0980000000000001</v>
      </c>
      <c r="Z305" s="21">
        <f ca="1">Y$305+IF(OFFSET(Assumptions!$B$58,0,$C$1)="Yes",Allocation!$B$18*Z$248,IF(OFFSET(Assumptions!$B$59,0,$C$1)="Yes",(Y$305/Y$13+MIN(ABS($C$305-Y$305/Y$13),OFFSET(Assumptions!$B$61,0,$C$1))*SIGN($C$305-Y$305/Y$13))*Z$13-Y$305,0))</f>
        <v>1.0980000000000001</v>
      </c>
    </row>
    <row r="306" spans="1:26" x14ac:dyDescent="0.25">
      <c r="A306" s="11" t="s">
        <v>1307</v>
      </c>
      <c r="B306" s="14" t="str">
        <f>$B$38</f>
        <v>From Fiscal Forecasts</v>
      </c>
      <c r="D306" s="51">
        <f>'Fiscal Forecasts'!D$49</f>
        <v>2.395</v>
      </c>
      <c r="E306" s="51">
        <f>'Fiscal Forecasts'!E$49</f>
        <v>2.4300000000000002</v>
      </c>
      <c r="F306" s="51">
        <f>'Fiscal Forecasts'!F$49</f>
        <v>2.3980000000000001</v>
      </c>
      <c r="G306" s="51">
        <f>'Fiscal Forecasts'!G$49</f>
        <v>2.302</v>
      </c>
      <c r="H306" s="51">
        <f>'Fiscal Forecasts'!H$49</f>
        <v>2.74</v>
      </c>
      <c r="I306" s="51">
        <f>'Fiscal Forecasts'!I$49</f>
        <v>2.6360000000000001</v>
      </c>
      <c r="J306" s="51">
        <f>'Fiscal Forecasts'!J$49</f>
        <v>2.5249999999999999</v>
      </c>
      <c r="K306" s="51">
        <f>'Fiscal Forecasts'!K$49</f>
        <v>2.4449999999999998</v>
      </c>
      <c r="L306" s="47">
        <f ca="1">'Fiscal Forecasts'!L$49+IF(OFFSET(Assumptions!$B$57,0,$C$1)="Yes",Allocation!C$18+IF($C$2="Yes",'Fiscal Forecast Adjuster'!C$54,0),0)</f>
        <v>2.7530000000000001</v>
      </c>
      <c r="M306" s="47">
        <f ca="1">'Fiscal Forecasts'!M$49+IF(OFFSET(Assumptions!$B$57,0,$C$1)="Yes",Allocation!D$18+IF($C$2="Yes",'Fiscal Forecast Adjuster'!D$54,0),0)</f>
        <v>2.3940000000000001</v>
      </c>
      <c r="N306" s="47">
        <f ca="1">'Fiscal Forecasts'!N$49+IF(OFFSET(Assumptions!$B$57,0,$C$1)="Yes",Allocation!E$18+IF($C$2="Yes",'Fiscal Forecast Adjuster'!E$54,0),0)</f>
        <v>2.2040000000000002</v>
      </c>
      <c r="O306" s="47">
        <f ca="1">'Fiscal Forecasts'!O$49+IF(OFFSET(Assumptions!$B$57,0,$C$1)="Yes",Allocation!F$18+IF($C$2="Yes",'Fiscal Forecast Adjuster'!F$54,0),0)</f>
        <v>2.2759999999999998</v>
      </c>
      <c r="P306" s="47">
        <f ca="1">'Fiscal Forecasts'!P$49+IF(OFFSET(Assumptions!$B$57,0,$C$1)="Yes",Allocation!G$18+IF($C$2="Yes",'Fiscal Forecast Adjuster'!G$54,0),0)</f>
        <v>2.2250000000000001</v>
      </c>
      <c r="Q306" s="21">
        <f t="shared" ref="Q306:Z306" ca="1" si="175">Q$305+(P$306-P$305)*(1+Q$29)</f>
        <v>2.2475399999999999</v>
      </c>
      <c r="R306" s="21">
        <f t="shared" ca="1" si="175"/>
        <v>2.2705308</v>
      </c>
      <c r="S306" s="21">
        <f t="shared" ca="1" si="175"/>
        <v>2.2939814160000003</v>
      </c>
      <c r="T306" s="21">
        <f t="shared" ca="1" si="175"/>
        <v>2.3179010443200001</v>
      </c>
      <c r="U306" s="21">
        <f t="shared" ca="1" si="175"/>
        <v>2.3422990652064</v>
      </c>
      <c r="V306" s="21">
        <f t="shared" ca="1" si="175"/>
        <v>2.367185046510528</v>
      </c>
      <c r="W306" s="21">
        <f t="shared" ca="1" si="175"/>
        <v>2.3925687474407384</v>
      </c>
      <c r="X306" s="21">
        <f t="shared" ca="1" si="175"/>
        <v>2.4184601223895532</v>
      </c>
      <c r="Y306" s="21">
        <f t="shared" ca="1" si="175"/>
        <v>2.4448693248373443</v>
      </c>
      <c r="Z306" s="21">
        <f t="shared" ca="1" si="175"/>
        <v>2.4718067113340911</v>
      </c>
    </row>
    <row r="308" spans="1:26" x14ac:dyDescent="0.25">
      <c r="A308" s="11" t="s">
        <v>1308</v>
      </c>
    </row>
    <row r="309" spans="1:26" x14ac:dyDescent="0.25">
      <c r="A309" s="11" t="s">
        <v>1309</v>
      </c>
      <c r="B309" s="14" t="str">
        <f>$B$38</f>
        <v>From Fiscal Forecasts</v>
      </c>
      <c r="C309" s="100" cm="1">
        <f t="array" aca="1" ref="C309" ca="1">SUMPRODUCT(OFFSET($P$309,0,0,1,-OFFSET(Assumptions!$B$60,0,$C$1))/OFFSET($P$13,0,0,1,-OFFSET(Assumptions!$B$60,0,$C$1)))/OFFSET(Assumptions!$B$60,0,$C$1)</f>
        <v>4.4750855307662731E-3</v>
      </c>
      <c r="D309" s="51">
        <f>'Fiscal Forecasts'!D$67</f>
        <v>0.72699999999999998</v>
      </c>
      <c r="E309" s="51">
        <f>'Fiscal Forecasts'!E$67</f>
        <v>1.0149999999999999</v>
      </c>
      <c r="F309" s="51">
        <f>'Fiscal Forecasts'!F$67</f>
        <v>1.8129999999999999</v>
      </c>
      <c r="G309" s="51">
        <f>'Fiscal Forecasts'!G$67</f>
        <v>2.0329999999999999</v>
      </c>
      <c r="H309" s="51">
        <f>'Fiscal Forecasts'!H$67</f>
        <v>2.3119999999999998</v>
      </c>
      <c r="I309" s="51">
        <f>'Fiscal Forecasts'!I$67</f>
        <v>2.512</v>
      </c>
      <c r="J309" s="51">
        <f>'Fiscal Forecasts'!J$67</f>
        <v>2.15</v>
      </c>
      <c r="K309" s="51">
        <f>'Fiscal Forecasts'!K$67</f>
        <v>1.958</v>
      </c>
      <c r="L309" s="47">
        <f ca="1">'Fiscal Forecasts'!L$67+IF(OFFSET(Assumptions!$B$57,0,$C$1)="Yes",Allocation!C$19+IF($C$2="Yes",'Fiscal Forecast Adjuster'!C$55,0),0)</f>
        <v>2.2890000000000001</v>
      </c>
      <c r="M309" s="47">
        <f ca="1">'Fiscal Forecasts'!M$67+IF(OFFSET(Assumptions!$B$57,0,$C$1)="Yes",Allocation!D$19+IF($C$2="Yes",'Fiscal Forecast Adjuster'!D$55,0),0)</f>
        <v>1.9079999999999999</v>
      </c>
      <c r="N309" s="47">
        <f ca="1">'Fiscal Forecasts'!N$67+IF(OFFSET(Assumptions!$B$57,0,$C$1)="Yes",Allocation!E$19+IF($C$2="Yes",'Fiscal Forecast Adjuster'!E$55,0),0)</f>
        <v>1.8520000000000001</v>
      </c>
      <c r="O309" s="47">
        <f ca="1">'Fiscal Forecasts'!O$67+IF(OFFSET(Assumptions!$B$57,0,$C$1)="Yes",Allocation!F$19+IF($C$2="Yes",'Fiscal Forecast Adjuster'!F$55,0),0)</f>
        <v>1.7490000000000001</v>
      </c>
      <c r="P309" s="47">
        <f ca="1">'Fiscal Forecasts'!P$67+IF(OFFSET(Assumptions!$B$57,0,$C$1)="Yes",Allocation!G$19+IF($C$2="Yes",'Fiscal Forecast Adjuster'!G$55,0),0)</f>
        <v>1.7949999999999999</v>
      </c>
      <c r="Q309" s="21">
        <f ca="1">P$309+IF(OFFSET(Assumptions!$B$58,0,$C$1)="Yes",Allocation!$B$19*Q$248,IF(OFFSET(Assumptions!$B$59,0,$C$1)="Yes",(P$309/P$13+MIN(ABS($C$309-P$309/P$13),OFFSET(Assumptions!$B$61,0,$C$1))*SIGN($C$309-P$309/P$13))*Q$13-P$309,0))</f>
        <v>1.7949999999999999</v>
      </c>
      <c r="R309" s="21">
        <f ca="1">Q$309+IF(OFFSET(Assumptions!$B$58,0,$C$1)="Yes",Allocation!$B$19*R$248,IF(OFFSET(Assumptions!$B$59,0,$C$1)="Yes",(Q$309/Q$13+MIN(ABS($C$309-Q$309/Q$13),OFFSET(Assumptions!$B$61,0,$C$1))*SIGN($C$309-Q$309/Q$13))*R$13-Q$309,0))</f>
        <v>1.7949999999999999</v>
      </c>
      <c r="S309" s="21">
        <f ca="1">R$309+IF(OFFSET(Assumptions!$B$58,0,$C$1)="Yes",Allocation!$B$19*S$248,IF(OFFSET(Assumptions!$B$59,0,$C$1)="Yes",(R$309/R$13+MIN(ABS($C$309-R$309/R$13),OFFSET(Assumptions!$B$61,0,$C$1))*SIGN($C$309-R$309/R$13))*S$13-R$309,0))</f>
        <v>1.7949999999999999</v>
      </c>
      <c r="T309" s="21">
        <f ca="1">S$309+IF(OFFSET(Assumptions!$B$58,0,$C$1)="Yes",Allocation!$B$19*T$248,IF(OFFSET(Assumptions!$B$59,0,$C$1)="Yes",(S$309/S$13+MIN(ABS($C$309-S$309/S$13),OFFSET(Assumptions!$B$61,0,$C$1))*SIGN($C$309-S$309/S$13))*T$13-S$309,0))</f>
        <v>1.7949999999999999</v>
      </c>
      <c r="U309" s="21">
        <f ca="1">T$309+IF(OFFSET(Assumptions!$B$58,0,$C$1)="Yes",Allocation!$B$19*U$248,IF(OFFSET(Assumptions!$B$59,0,$C$1)="Yes",(T$309/T$13+MIN(ABS($C$309-T$309/T$13),OFFSET(Assumptions!$B$61,0,$C$1))*SIGN($C$309-T$309/T$13))*U$13-T$309,0))</f>
        <v>1.7949999999999999</v>
      </c>
      <c r="V309" s="21">
        <f ca="1">U$309+IF(OFFSET(Assumptions!$B$58,0,$C$1)="Yes",Allocation!$B$19*V$248,IF(OFFSET(Assumptions!$B$59,0,$C$1)="Yes",(U$309/U$13+MIN(ABS($C$309-U$309/U$13),OFFSET(Assumptions!$B$61,0,$C$1))*SIGN($C$309-U$309/U$13))*V$13-U$309,0))</f>
        <v>1.7949999999999999</v>
      </c>
      <c r="W309" s="21">
        <f ca="1">V$309+IF(OFFSET(Assumptions!$B$58,0,$C$1)="Yes",Allocation!$B$19*W$248,IF(OFFSET(Assumptions!$B$59,0,$C$1)="Yes",(V$309/V$13+MIN(ABS($C$309-V$309/V$13),OFFSET(Assumptions!$B$61,0,$C$1))*SIGN($C$309-V$309/V$13))*W$13-V$309,0))</f>
        <v>1.7949999999999999</v>
      </c>
      <c r="X309" s="21">
        <f ca="1">W$309+IF(OFFSET(Assumptions!$B$58,0,$C$1)="Yes",Allocation!$B$19*X$248,IF(OFFSET(Assumptions!$B$59,0,$C$1)="Yes",(W$309/W$13+MIN(ABS($C$309-W$309/W$13),OFFSET(Assumptions!$B$61,0,$C$1))*SIGN($C$309-W$309/W$13))*X$13-W$309,0))</f>
        <v>1.7949999999999999</v>
      </c>
      <c r="Y309" s="21">
        <f ca="1">X$309+IF(OFFSET(Assumptions!$B$58,0,$C$1)="Yes",Allocation!$B$19*Y$248,IF(OFFSET(Assumptions!$B$59,0,$C$1)="Yes",(X$309/X$13+MIN(ABS($C$309-X$309/X$13),OFFSET(Assumptions!$B$61,0,$C$1))*SIGN($C$309-X$309/X$13))*Y$13-X$309,0))</f>
        <v>1.7949999999999999</v>
      </c>
      <c r="Z309" s="21">
        <f ca="1">Y$309+IF(OFFSET(Assumptions!$B$58,0,$C$1)="Yes",Allocation!$B$19*Z$248,IF(OFFSET(Assumptions!$B$59,0,$C$1)="Yes",(Y$309/Y$13+MIN(ABS($C$309-Y$309/Y$13),OFFSET(Assumptions!$B$61,0,$C$1))*SIGN($C$309-Y$309/Y$13))*Z$13-Y$309,0))</f>
        <v>1.7949999999999999</v>
      </c>
    </row>
    <row r="310" spans="1:26" x14ac:dyDescent="0.25">
      <c r="A310" s="11" t="s">
        <v>1310</v>
      </c>
      <c r="B310" s="14" t="str">
        <f>$B$38</f>
        <v>From Fiscal Forecasts</v>
      </c>
      <c r="D310" s="51">
        <f>'Fiscal Forecasts'!D$50</f>
        <v>2.02</v>
      </c>
      <c r="E310" s="51">
        <f>'Fiscal Forecasts'!E$50</f>
        <v>2.3929999999999998</v>
      </c>
      <c r="F310" s="51">
        <f>'Fiscal Forecasts'!F$50</f>
        <v>3.351</v>
      </c>
      <c r="G310" s="51">
        <f>'Fiscal Forecasts'!G$50</f>
        <v>3.9350000000000001</v>
      </c>
      <c r="H310" s="51">
        <f>'Fiscal Forecasts'!H$50</f>
        <v>4.3959999999999999</v>
      </c>
      <c r="I310" s="51">
        <f>'Fiscal Forecasts'!I$50</f>
        <v>4.7889999999999997</v>
      </c>
      <c r="J310" s="51">
        <f>'Fiscal Forecasts'!J$50</f>
        <v>4.5069999999999997</v>
      </c>
      <c r="K310" s="51">
        <f>'Fiscal Forecasts'!K$50</f>
        <v>4.0339999999999998</v>
      </c>
      <c r="L310" s="47">
        <f ca="1">'Fiscal Forecasts'!L$50+IF(OFFSET(Assumptions!$B$57,0,$C$1)="Yes",Allocation!C$19+IF($C$2="Yes",'Fiscal Forecast Adjuster'!C$55,0),0)</f>
        <v>4.266</v>
      </c>
      <c r="M310" s="47">
        <f ca="1">'Fiscal Forecasts'!M$50+IF(OFFSET(Assumptions!$B$57,0,$C$1)="Yes",Allocation!D$19+IF($C$2="Yes",'Fiscal Forecast Adjuster'!D$55,0),0)</f>
        <v>3.915</v>
      </c>
      <c r="N310" s="47">
        <f ca="1">'Fiscal Forecasts'!N$50+IF(OFFSET(Assumptions!$B$57,0,$C$1)="Yes",Allocation!E$19+IF($C$2="Yes",'Fiscal Forecast Adjuster'!E$55,0),0)</f>
        <v>3.8740000000000001</v>
      </c>
      <c r="O310" s="47">
        <f ca="1">'Fiscal Forecasts'!O$50+IF(OFFSET(Assumptions!$B$57,0,$C$1)="Yes",Allocation!F$19+IF($C$2="Yes",'Fiscal Forecast Adjuster'!F$55,0),0)</f>
        <v>3.7850000000000001</v>
      </c>
      <c r="P310" s="47">
        <f ca="1">'Fiscal Forecasts'!P$50+IF(OFFSET(Assumptions!$B$57,0,$C$1)="Yes",Allocation!G$19+IF($C$2="Yes",'Fiscal Forecast Adjuster'!G$55,0),0)</f>
        <v>3.786</v>
      </c>
      <c r="Q310" s="21">
        <f t="shared" ref="Q310:Z310" ca="1" si="176">Q$309+(P$310-P$309)*(1+Q$29)</f>
        <v>3.8258200000000002</v>
      </c>
      <c r="R310" s="21">
        <f t="shared" ca="1" si="176"/>
        <v>3.8664364000000004</v>
      </c>
      <c r="S310" s="21">
        <f t="shared" ca="1" si="176"/>
        <v>3.9078651280000005</v>
      </c>
      <c r="T310" s="21">
        <f t="shared" ca="1" si="176"/>
        <v>3.9501224305600005</v>
      </c>
      <c r="U310" s="21">
        <f t="shared" ca="1" si="176"/>
        <v>3.9932248791712004</v>
      </c>
      <c r="V310" s="21">
        <f t="shared" ca="1" si="176"/>
        <v>4.0371893767546245</v>
      </c>
      <c r="W310" s="21">
        <f t="shared" ca="1" si="176"/>
        <v>4.082033164289717</v>
      </c>
      <c r="X310" s="21">
        <f t="shared" ca="1" si="176"/>
        <v>4.1277738275755116</v>
      </c>
      <c r="Y310" s="21">
        <f t="shared" ca="1" si="176"/>
        <v>4.1744293041270222</v>
      </c>
      <c r="Z310" s="21">
        <f t="shared" ca="1" si="176"/>
        <v>4.2220178902095622</v>
      </c>
    </row>
    <row r="312" spans="1:26" x14ac:dyDescent="0.25">
      <c r="A312" s="11" t="s">
        <v>1311</v>
      </c>
    </row>
    <row r="313" spans="1:26" x14ac:dyDescent="0.25">
      <c r="A313" s="12" t="s">
        <v>1312</v>
      </c>
      <c r="B313" s="14" t="str">
        <f>$B$38</f>
        <v>From Fiscal Forecasts</v>
      </c>
      <c r="D313" s="50">
        <f>'Fiscal Forecasts'!D$376</f>
        <v>0.54300000000000004</v>
      </c>
      <c r="E313" s="50">
        <f>'Fiscal Forecasts'!E$376</f>
        <v>0.65</v>
      </c>
      <c r="F313" s="50">
        <f>'Fiscal Forecasts'!F$376</f>
        <v>1.853</v>
      </c>
      <c r="G313" s="50">
        <f>'Fiscal Forecasts'!G$376</f>
        <v>1.4890000000000001</v>
      </c>
      <c r="H313" s="50">
        <f>'Fiscal Forecasts'!H$376</f>
        <v>1.103</v>
      </c>
      <c r="I313" s="50">
        <f>'Fiscal Forecasts'!I$376</f>
        <v>0.83399999999999996</v>
      </c>
      <c r="J313" s="50">
        <f>'Fiscal Forecasts'!J$376</f>
        <v>1.075</v>
      </c>
      <c r="K313" s="50">
        <f>'Fiscal Forecasts'!K$376</f>
        <v>1.2929999999999999</v>
      </c>
      <c r="L313" s="48">
        <f>'Fiscal Forecasts'!L$376</f>
        <v>1.23</v>
      </c>
      <c r="M313" s="48">
        <f>'Fiscal Forecasts'!M$376</f>
        <v>1.304</v>
      </c>
      <c r="N313" s="48">
        <f>'Fiscal Forecasts'!N$376</f>
        <v>1.369</v>
      </c>
      <c r="O313" s="48">
        <f>'Fiscal Forecasts'!O$376</f>
        <v>1.4179999999999999</v>
      </c>
      <c r="P313" s="48">
        <f>'Fiscal Forecasts'!P$376</f>
        <v>1.446</v>
      </c>
      <c r="Q313" s="20">
        <f t="shared" ref="Q313:Z313" ca="1" si="177">P$313*(1+Q$29)</f>
        <v>1.47492</v>
      </c>
      <c r="R313" s="20">
        <f t="shared" ca="1" si="177"/>
        <v>1.5044184</v>
      </c>
      <c r="S313" s="20">
        <f t="shared" ca="1" si="177"/>
        <v>1.534506768</v>
      </c>
      <c r="T313" s="20">
        <f t="shared" ca="1" si="177"/>
        <v>1.5651969033599999</v>
      </c>
      <c r="U313" s="20">
        <f t="shared" ca="1" si="177"/>
        <v>1.5965008414271999</v>
      </c>
      <c r="V313" s="20">
        <f t="shared" ca="1" si="177"/>
        <v>1.6284308582557441</v>
      </c>
      <c r="W313" s="20">
        <f t="shared" ca="1" si="177"/>
        <v>1.660999475420859</v>
      </c>
      <c r="X313" s="20">
        <f t="shared" ca="1" si="177"/>
        <v>1.6942194649292763</v>
      </c>
      <c r="Y313" s="20">
        <f t="shared" ca="1" si="177"/>
        <v>1.7281038542278619</v>
      </c>
      <c r="Z313" s="20">
        <f t="shared" ca="1" si="177"/>
        <v>1.7626659313124191</v>
      </c>
    </row>
    <row r="314" spans="1:26" x14ac:dyDescent="0.25">
      <c r="A314" s="12" t="s">
        <v>1313</v>
      </c>
      <c r="B314" s="14" t="str">
        <f>$B$38</f>
        <v>From Fiscal Forecasts</v>
      </c>
      <c r="C314" s="100" cm="1">
        <f t="array" aca="1" ref="C314" ca="1">SUMPRODUCT(OFFSET($P$314,0,0,1,-OFFSET(Assumptions!$B$60,0,$C$1))/OFFSET($P$13,0,0,1,-OFFSET(Assumptions!$B$60,0,$C$1)))/OFFSET(Assumptions!$B$60,0,$C$1)</f>
        <v>2.8172870122465314E-3</v>
      </c>
      <c r="D314" s="50">
        <f>'Fiscal Forecasts'!D$68-D$313</f>
        <v>0.57599999999999996</v>
      </c>
      <c r="E314" s="50">
        <f>'Fiscal Forecasts'!E$68-E$313</f>
        <v>0.83500000000000008</v>
      </c>
      <c r="F314" s="50">
        <f>'Fiscal Forecasts'!F$68-F$313</f>
        <v>5.2999999999999936E-2</v>
      </c>
      <c r="G314" s="50">
        <f>'Fiscal Forecasts'!G$68-G$313</f>
        <v>1.0599999999999998</v>
      </c>
      <c r="H314" s="50">
        <f>'Fiscal Forecasts'!H$68-H$313</f>
        <v>1.2779999999999998</v>
      </c>
      <c r="I314" s="50">
        <f>'Fiscal Forecasts'!I$68-I$313</f>
        <v>1.4630000000000001</v>
      </c>
      <c r="J314" s="50">
        <f>'Fiscal Forecasts'!J$68-J$313</f>
        <v>1.3350000000000002</v>
      </c>
      <c r="K314" s="50">
        <f>'Fiscal Forecasts'!K$68-K$313</f>
        <v>1.216</v>
      </c>
      <c r="L314" s="48">
        <f ca="1">'Fiscal Forecasts'!L$68-L$313+IF(OFFSET(Assumptions!$B$57,0,$C$1)="Yes",Allocation!C$20+IF($C$2="Yes",'Fiscal Forecast Adjuster'!C$56,0),0)</f>
        <v>1.6440000000000001</v>
      </c>
      <c r="M314" s="48">
        <f ca="1">'Fiscal Forecasts'!M$68-M$313+IF(OFFSET(Assumptions!$B$57,0,$C$1)="Yes",Allocation!D$20+IF($C$2="Yes",'Fiscal Forecast Adjuster'!D$56,0),0)</f>
        <v>1.4120000000000001</v>
      </c>
      <c r="N314" s="48">
        <f ca="1">'Fiscal Forecasts'!N$68-N$313+IF(OFFSET(Assumptions!$B$57,0,$C$1)="Yes",Allocation!E$20+IF($C$2="Yes",'Fiscal Forecast Adjuster'!E$56,0),0)</f>
        <v>1.3219999999999998</v>
      </c>
      <c r="O314" s="48">
        <f ca="1">'Fiscal Forecasts'!O$68-O$313+IF(OFFSET(Assumptions!$B$57,0,$C$1)="Yes",Allocation!F$20+IF($C$2="Yes",'Fiscal Forecast Adjuster'!F$56,0),0)</f>
        <v>1.1910000000000001</v>
      </c>
      <c r="P314" s="48">
        <f ca="1">'Fiscal Forecasts'!P$68-P$313+IF(OFFSET(Assumptions!$B$57,0,$C$1)="Yes",Allocation!G$20+IF($C$2="Yes",'Fiscal Forecast Adjuster'!G$56,0),0)</f>
        <v>1.1950000000000001</v>
      </c>
      <c r="Q314" s="20">
        <f ca="1">P$314+IF(OFFSET(Assumptions!$B$58,0,$C$1)="Yes",Allocation!$B$20*Q$248,IF(OFFSET(Assumptions!$B$59,0,$C$1)="Yes",(P$314/P$13+MIN(ABS($C$314-P$314/P$13),OFFSET(Assumptions!$B$61,0,$C$1))*SIGN($C$314-P$314/P$13))*Q$13-P$314,0))</f>
        <v>1.1950000000000001</v>
      </c>
      <c r="R314" s="20">
        <f ca="1">Q$314+IF(OFFSET(Assumptions!$B$58,0,$C$1)="Yes",Allocation!$B$20*R$248,IF(OFFSET(Assumptions!$B$59,0,$C$1)="Yes",(Q$314/Q$13+MIN(ABS($C$314-Q$314/Q$13),OFFSET(Assumptions!$B$61,0,$C$1))*SIGN($C$314-Q$314/Q$13))*R$13-Q$314,0))</f>
        <v>1.1950000000000001</v>
      </c>
      <c r="S314" s="20">
        <f ca="1">R$314+IF(OFFSET(Assumptions!$B$58,0,$C$1)="Yes",Allocation!$B$20*S$248,IF(OFFSET(Assumptions!$B$59,0,$C$1)="Yes",(R$314/R$13+MIN(ABS($C$314-R$314/R$13),OFFSET(Assumptions!$B$61,0,$C$1))*SIGN($C$314-R$314/R$13))*S$13-R$314,0))</f>
        <v>1.1950000000000001</v>
      </c>
      <c r="T314" s="20">
        <f ca="1">S$314+IF(OFFSET(Assumptions!$B$58,0,$C$1)="Yes",Allocation!$B$20*T$248,IF(OFFSET(Assumptions!$B$59,0,$C$1)="Yes",(S$314/S$13+MIN(ABS($C$314-S$314/S$13),OFFSET(Assumptions!$B$61,0,$C$1))*SIGN($C$314-S$314/S$13))*T$13-S$314,0))</f>
        <v>1.1950000000000001</v>
      </c>
      <c r="U314" s="20">
        <f ca="1">T$314+IF(OFFSET(Assumptions!$B$58,0,$C$1)="Yes",Allocation!$B$20*U$248,IF(OFFSET(Assumptions!$B$59,0,$C$1)="Yes",(T$314/T$13+MIN(ABS($C$314-T$314/T$13),OFFSET(Assumptions!$B$61,0,$C$1))*SIGN($C$314-T$314/T$13))*U$13-T$314,0))</f>
        <v>1.1950000000000001</v>
      </c>
      <c r="V314" s="20">
        <f ca="1">U$314+IF(OFFSET(Assumptions!$B$58,0,$C$1)="Yes",Allocation!$B$20*V$248,IF(OFFSET(Assumptions!$B$59,0,$C$1)="Yes",(U$314/U$13+MIN(ABS($C$314-U$314/U$13),OFFSET(Assumptions!$B$61,0,$C$1))*SIGN($C$314-U$314/U$13))*V$13-U$314,0))</f>
        <v>1.1950000000000001</v>
      </c>
      <c r="W314" s="20">
        <f ca="1">V$314+IF(OFFSET(Assumptions!$B$58,0,$C$1)="Yes",Allocation!$B$20*W$248,IF(OFFSET(Assumptions!$B$59,0,$C$1)="Yes",(V$314/V$13+MIN(ABS($C$314-V$314/V$13),OFFSET(Assumptions!$B$61,0,$C$1))*SIGN($C$314-V$314/V$13))*W$13-V$314,0))</f>
        <v>1.1950000000000001</v>
      </c>
      <c r="X314" s="20">
        <f ca="1">W$314+IF(OFFSET(Assumptions!$B$58,0,$C$1)="Yes",Allocation!$B$20*X$248,IF(OFFSET(Assumptions!$B$59,0,$C$1)="Yes",(W$314/W$13+MIN(ABS($C$314-W$314/W$13),OFFSET(Assumptions!$B$61,0,$C$1))*SIGN($C$314-W$314/W$13))*X$13-W$314,0))</f>
        <v>1.1950000000000001</v>
      </c>
      <c r="Y314" s="20">
        <f ca="1">X$314+IF(OFFSET(Assumptions!$B$58,0,$C$1)="Yes",Allocation!$B$20*Y$248,IF(OFFSET(Assumptions!$B$59,0,$C$1)="Yes",(X$314/X$13+MIN(ABS($C$314-X$314/X$13),OFFSET(Assumptions!$B$61,0,$C$1))*SIGN($C$314-X$314/X$13))*Y$13-X$314,0))</f>
        <v>1.1950000000000001</v>
      </c>
      <c r="Z314" s="20">
        <f ca="1">Y$314+IF(OFFSET(Assumptions!$B$58,0,$C$1)="Yes",Allocation!$B$20*Z$248,IF(OFFSET(Assumptions!$B$59,0,$C$1)="Yes",(Y$314/Y$13+MIN(ABS($C$314-Y$314/Y$13),OFFSET(Assumptions!$B$61,0,$C$1))*SIGN($C$314-Y$314/Y$13))*Z$13-Y$314,0))</f>
        <v>1.1950000000000001</v>
      </c>
    </row>
    <row r="315" spans="1:26" x14ac:dyDescent="0.25">
      <c r="A315" s="11" t="s">
        <v>1314</v>
      </c>
      <c r="D315" s="94">
        <f t="shared" ref="D315:Z315" si="178">SUM(D$313:D$314)</f>
        <v>1.119</v>
      </c>
      <c r="E315" s="94">
        <f t="shared" si="178"/>
        <v>1.4850000000000001</v>
      </c>
      <c r="F315" s="94">
        <f t="shared" si="178"/>
        <v>1.9059999999999999</v>
      </c>
      <c r="G315" s="94">
        <f t="shared" si="178"/>
        <v>2.5489999999999999</v>
      </c>
      <c r="H315" s="94">
        <f t="shared" si="178"/>
        <v>2.3809999999999998</v>
      </c>
      <c r="I315" s="94">
        <f t="shared" si="178"/>
        <v>2.2970000000000002</v>
      </c>
      <c r="J315" s="94">
        <f t="shared" si="178"/>
        <v>2.41</v>
      </c>
      <c r="K315" s="94">
        <f t="shared" si="178"/>
        <v>2.5089999999999999</v>
      </c>
      <c r="L315" s="95">
        <f t="shared" ca="1" si="178"/>
        <v>2.8740000000000001</v>
      </c>
      <c r="M315" s="95">
        <f t="shared" ca="1" si="178"/>
        <v>2.7160000000000002</v>
      </c>
      <c r="N315" s="95">
        <f t="shared" ca="1" si="178"/>
        <v>2.6909999999999998</v>
      </c>
      <c r="O315" s="95">
        <f t="shared" ca="1" si="178"/>
        <v>2.609</v>
      </c>
      <c r="P315" s="95">
        <f t="shared" ca="1" si="178"/>
        <v>2.641</v>
      </c>
      <c r="Q315" s="96">
        <f t="shared" ca="1" si="178"/>
        <v>2.6699200000000003</v>
      </c>
      <c r="R315" s="96">
        <f t="shared" ca="1" si="178"/>
        <v>2.6994183999999999</v>
      </c>
      <c r="S315" s="96">
        <f t="shared" ca="1" si="178"/>
        <v>2.7295067680000002</v>
      </c>
      <c r="T315" s="96">
        <f t="shared" ca="1" si="178"/>
        <v>2.7601969033599998</v>
      </c>
      <c r="U315" s="96">
        <f t="shared" ca="1" si="178"/>
        <v>2.7915008414272</v>
      </c>
      <c r="V315" s="96">
        <f t="shared" ca="1" si="178"/>
        <v>2.8234308582557439</v>
      </c>
      <c r="W315" s="96">
        <f t="shared" ca="1" si="178"/>
        <v>2.8559994754208589</v>
      </c>
      <c r="X315" s="96">
        <f t="shared" ca="1" si="178"/>
        <v>2.8892194649292762</v>
      </c>
      <c r="Y315" s="96">
        <f t="shared" ca="1" si="178"/>
        <v>2.923103854227862</v>
      </c>
      <c r="Z315" s="96">
        <f t="shared" ca="1" si="178"/>
        <v>2.9576659313124192</v>
      </c>
    </row>
    <row r="316" spans="1:26" x14ac:dyDescent="0.25">
      <c r="A316" s="11" t="s">
        <v>1315</v>
      </c>
      <c r="B316" s="14" t="str">
        <f>$B$38</f>
        <v>From Fiscal Forecasts</v>
      </c>
      <c r="D316" s="51">
        <f>'Fiscal Forecasts'!D$51</f>
        <v>1.1080000000000001</v>
      </c>
      <c r="E316" s="51">
        <f>'Fiscal Forecasts'!E$51</f>
        <v>1.472</v>
      </c>
      <c r="F316" s="51">
        <f>'Fiscal Forecasts'!F$51</f>
        <v>1.889</v>
      </c>
      <c r="G316" s="51">
        <f>'Fiscal Forecasts'!G$51</f>
        <v>2.5350000000000001</v>
      </c>
      <c r="H316" s="51">
        <f>'Fiscal Forecasts'!H$51</f>
        <v>2.3530000000000002</v>
      </c>
      <c r="I316" s="51">
        <f>'Fiscal Forecasts'!I$51</f>
        <v>2.2770000000000001</v>
      </c>
      <c r="J316" s="51">
        <f>'Fiscal Forecasts'!J$51</f>
        <v>2.4</v>
      </c>
      <c r="K316" s="51">
        <f>'Fiscal Forecasts'!K$51</f>
        <v>2.5099999999999998</v>
      </c>
      <c r="L316" s="47">
        <f ca="1">'Fiscal Forecasts'!L$51+IF(OFFSET(Assumptions!$B$57,0,$C$1)="Yes",Allocation!C$20+IF($C$2="Yes",'Fiscal Forecast Adjuster'!C$56,0),0)</f>
        <v>2.9060000000000001</v>
      </c>
      <c r="M316" s="47">
        <f ca="1">'Fiscal Forecasts'!M$51+IF(OFFSET(Assumptions!$B$57,0,$C$1)="Yes",Allocation!D$20+IF($C$2="Yes",'Fiscal Forecast Adjuster'!D$56,0),0)</f>
        <v>2.7480000000000002</v>
      </c>
      <c r="N316" s="47">
        <f ca="1">'Fiscal Forecasts'!N$51+IF(OFFSET(Assumptions!$B$57,0,$C$1)="Yes",Allocation!E$20+IF($C$2="Yes",'Fiscal Forecast Adjuster'!E$56,0),0)</f>
        <v>2.7229999999999999</v>
      </c>
      <c r="O316" s="47">
        <f ca="1">'Fiscal Forecasts'!O$51+IF(OFFSET(Assumptions!$B$57,0,$C$1)="Yes",Allocation!F$20+IF($C$2="Yes",'Fiscal Forecast Adjuster'!F$56,0),0)</f>
        <v>2.641</v>
      </c>
      <c r="P316" s="47">
        <f ca="1">'Fiscal Forecasts'!P$51+IF(OFFSET(Assumptions!$B$57,0,$C$1)="Yes",Allocation!G$20+IF($C$2="Yes",'Fiscal Forecast Adjuster'!G$56,0),0)</f>
        <v>2.673</v>
      </c>
      <c r="Q316" s="21">
        <f t="shared" ref="Q316:Z316" ca="1" si="179">Q$315</f>
        <v>2.6699200000000003</v>
      </c>
      <c r="R316" s="21">
        <f t="shared" ca="1" si="179"/>
        <v>2.6994183999999999</v>
      </c>
      <c r="S316" s="21">
        <f t="shared" ca="1" si="179"/>
        <v>2.7295067680000002</v>
      </c>
      <c r="T316" s="21">
        <f t="shared" ca="1" si="179"/>
        <v>2.7601969033599998</v>
      </c>
      <c r="U316" s="21">
        <f t="shared" ca="1" si="179"/>
        <v>2.7915008414272</v>
      </c>
      <c r="V316" s="21">
        <f t="shared" ca="1" si="179"/>
        <v>2.8234308582557439</v>
      </c>
      <c r="W316" s="21">
        <f t="shared" ca="1" si="179"/>
        <v>2.8559994754208589</v>
      </c>
      <c r="X316" s="21">
        <f t="shared" ca="1" si="179"/>
        <v>2.8892194649292762</v>
      </c>
      <c r="Y316" s="21">
        <f t="shared" ca="1" si="179"/>
        <v>2.923103854227862</v>
      </c>
      <c r="Z316" s="21">
        <f t="shared" ca="1" si="179"/>
        <v>2.9576659313124192</v>
      </c>
    </row>
    <row r="318" spans="1:26" x14ac:dyDescent="0.25">
      <c r="A318" s="11" t="s">
        <v>1316</v>
      </c>
    </row>
    <row r="319" spans="1:26" x14ac:dyDescent="0.25">
      <c r="A319" s="11" t="s">
        <v>1317</v>
      </c>
      <c r="B319" s="14" t="str">
        <f>$B$38</f>
        <v>From Fiscal Forecasts</v>
      </c>
      <c r="D319" s="51">
        <f>'Fiscal Forecasts'!D$70</f>
        <v>9.7000000000000003E-2</v>
      </c>
      <c r="E319" s="51">
        <f>'Fiscal Forecasts'!E$70</f>
        <v>6.3E-2</v>
      </c>
      <c r="F319" s="51">
        <f>'Fiscal Forecasts'!F$70</f>
        <v>0.254</v>
      </c>
      <c r="G319" s="51">
        <f>'Fiscal Forecasts'!G$70</f>
        <v>0.26900000000000002</v>
      </c>
      <c r="H319" s="51">
        <f>'Fiscal Forecasts'!H$70</f>
        <v>0.13300000000000001</v>
      </c>
      <c r="I319" s="51">
        <f>'Fiscal Forecasts'!I$70</f>
        <v>0.14499999999999999</v>
      </c>
      <c r="J319" s="51">
        <f>'Fiscal Forecasts'!J$70</f>
        <v>0.127</v>
      </c>
      <c r="K319" s="51">
        <f>'Fiscal Forecasts'!K$70</f>
        <v>0.189</v>
      </c>
      <c r="L319" s="47">
        <f>'Fiscal Forecasts'!L$70</f>
        <v>0.21</v>
      </c>
      <c r="M319" s="47">
        <f>'Fiscal Forecasts'!M$70</f>
        <v>8.1000000000000003E-2</v>
      </c>
      <c r="N319" s="47">
        <f>'Fiscal Forecasts'!N$70</f>
        <v>0.27700000000000002</v>
      </c>
      <c r="O319" s="47">
        <f>'Fiscal Forecasts'!O$70</f>
        <v>0.27600000000000002</v>
      </c>
      <c r="P319" s="47">
        <f>'Fiscal Forecasts'!P$70</f>
        <v>0.27600000000000002</v>
      </c>
      <c r="Q319" s="21">
        <f ca="1">IF(Q$6=OFFSET(Assumptions!$B$8,0,$C$1),OFFSET(Assumptions!$B$9,0,$C$1),P$319)</f>
        <v>0</v>
      </c>
      <c r="R319" s="21">
        <f ca="1">IF(R$6=OFFSET(Assumptions!$B$8,0,$C$1),OFFSET(Assumptions!$B$9,0,$C$1),Q$319)</f>
        <v>0</v>
      </c>
      <c r="S319" s="21">
        <f ca="1">IF(S$6=OFFSET(Assumptions!$B$8,0,$C$1),OFFSET(Assumptions!$B$9,0,$C$1),R$319)</f>
        <v>0</v>
      </c>
      <c r="T319" s="21">
        <f ca="1">IF(T$6=OFFSET(Assumptions!$B$8,0,$C$1),OFFSET(Assumptions!$B$9,0,$C$1),S$319)</f>
        <v>0</v>
      </c>
      <c r="U319" s="21">
        <f ca="1">IF(U$6=OFFSET(Assumptions!$B$8,0,$C$1),OFFSET(Assumptions!$B$9,0,$C$1),T$319)</f>
        <v>0</v>
      </c>
      <c r="V319" s="21">
        <f ca="1">IF(V$6=OFFSET(Assumptions!$B$8,0,$C$1),OFFSET(Assumptions!$B$9,0,$C$1),U$319)</f>
        <v>0</v>
      </c>
      <c r="W319" s="21">
        <f ca="1">IF(W$6=OFFSET(Assumptions!$B$8,0,$C$1),OFFSET(Assumptions!$B$9,0,$C$1),V$319)</f>
        <v>0</v>
      </c>
      <c r="X319" s="21">
        <f ca="1">IF(X$6=OFFSET(Assumptions!$B$8,0,$C$1),OFFSET(Assumptions!$B$9,0,$C$1),W$319)</f>
        <v>0</v>
      </c>
      <c r="Y319" s="21">
        <f ca="1">IF(Y$6=OFFSET(Assumptions!$B$8,0,$C$1),OFFSET(Assumptions!$B$9,0,$C$1),X$319)</f>
        <v>0</v>
      </c>
      <c r="Z319" s="21">
        <f ca="1">IF(Z$6=OFFSET(Assumptions!$B$8,0,$C$1),OFFSET(Assumptions!$B$9,0,$C$1),Y$319)</f>
        <v>0</v>
      </c>
    </row>
    <row r="320" spans="1:26" x14ac:dyDescent="0.25">
      <c r="A320" s="11" t="s">
        <v>1318</v>
      </c>
      <c r="B320" s="14" t="str">
        <f>$B$38</f>
        <v>From Fiscal Forecasts</v>
      </c>
      <c r="D320" s="51">
        <f>'Fiscal Forecasts'!D$53</f>
        <v>9.6000000000000002E-2</v>
      </c>
      <c r="E320" s="51">
        <f>'Fiscal Forecasts'!E$53</f>
        <v>6.3E-2</v>
      </c>
      <c r="F320" s="51">
        <f>'Fiscal Forecasts'!F$53</f>
        <v>0.254</v>
      </c>
      <c r="G320" s="51">
        <f>'Fiscal Forecasts'!G$53</f>
        <v>0.24199999999999999</v>
      </c>
      <c r="H320" s="51">
        <f>'Fiscal Forecasts'!H$53</f>
        <v>0.13300000000000001</v>
      </c>
      <c r="I320" s="51">
        <f>'Fiscal Forecasts'!I$53</f>
        <v>0.14499999999999999</v>
      </c>
      <c r="J320" s="51">
        <f>'Fiscal Forecasts'!J$53</f>
        <v>0.127</v>
      </c>
      <c r="K320" s="51">
        <f>'Fiscal Forecasts'!K$53</f>
        <v>0.189</v>
      </c>
      <c r="L320" s="47">
        <f>'Fiscal Forecasts'!L$53</f>
        <v>0.21</v>
      </c>
      <c r="M320" s="47">
        <f>'Fiscal Forecasts'!M$53</f>
        <v>8.1000000000000003E-2</v>
      </c>
      <c r="N320" s="47">
        <f>'Fiscal Forecasts'!N$53</f>
        <v>0.27700000000000002</v>
      </c>
      <c r="O320" s="47">
        <f>'Fiscal Forecasts'!O$53</f>
        <v>0.27600000000000002</v>
      </c>
      <c r="P320" s="47">
        <f>'Fiscal Forecasts'!P$53</f>
        <v>0.27600000000000002</v>
      </c>
      <c r="Q320" s="21">
        <f ca="1">IF(Q$6=OFFSET(Assumptions!$B$8,0,$C$1),OFFSET(Assumptions!$B$9,0,$C$1),P$320)</f>
        <v>0</v>
      </c>
      <c r="R320" s="21">
        <f ca="1">IF(R$6=OFFSET(Assumptions!$B$8,0,$C$1),OFFSET(Assumptions!$B$9,0,$C$1),Q$320)</f>
        <v>0</v>
      </c>
      <c r="S320" s="21">
        <f ca="1">IF(S$6=OFFSET(Assumptions!$B$8,0,$C$1),OFFSET(Assumptions!$B$9,0,$C$1),R$320)</f>
        <v>0</v>
      </c>
      <c r="T320" s="21">
        <f ca="1">IF(T$6=OFFSET(Assumptions!$B$8,0,$C$1),OFFSET(Assumptions!$B$9,0,$C$1),S$320)</f>
        <v>0</v>
      </c>
      <c r="U320" s="21">
        <f ca="1">IF(U$6=OFFSET(Assumptions!$B$8,0,$C$1),OFFSET(Assumptions!$B$9,0,$C$1),T$320)</f>
        <v>0</v>
      </c>
      <c r="V320" s="21">
        <f ca="1">IF(V$6=OFFSET(Assumptions!$B$8,0,$C$1),OFFSET(Assumptions!$B$9,0,$C$1),U$320)</f>
        <v>0</v>
      </c>
      <c r="W320" s="21">
        <f ca="1">IF(W$6=OFFSET(Assumptions!$B$8,0,$C$1),OFFSET(Assumptions!$B$9,0,$C$1),V$320)</f>
        <v>0</v>
      </c>
      <c r="X320" s="21">
        <f ca="1">IF(X$6=OFFSET(Assumptions!$B$8,0,$C$1),OFFSET(Assumptions!$B$9,0,$C$1),W$320)</f>
        <v>0</v>
      </c>
      <c r="Y320" s="21">
        <f ca="1">IF(Y$6=OFFSET(Assumptions!$B$8,0,$C$1),OFFSET(Assumptions!$B$9,0,$C$1),X$320)</f>
        <v>0</v>
      </c>
      <c r="Z320" s="21">
        <f ca="1">IF(Z$6=OFFSET(Assumptions!$B$8,0,$C$1),OFFSET(Assumptions!$B$9,0,$C$1),Y$320)</f>
        <v>0</v>
      </c>
    </row>
    <row r="322" spans="1:26" x14ac:dyDescent="0.25">
      <c r="A322" s="57" t="s">
        <v>1319</v>
      </c>
    </row>
    <row r="323" spans="1:26" x14ac:dyDescent="0.25">
      <c r="A323" s="11" t="s">
        <v>1320</v>
      </c>
      <c r="D323" s="51">
        <f>SUM(D$196,D$256,D$264,D$274,D$279,D$292,D$297,D$301,D$305,D$309,D$314)</f>
        <v>50.065999999999995</v>
      </c>
      <c r="E323" s="51">
        <f t="shared" ref="E323:Z323" si="180">SUM(E$196,E$256,E$264,E$274,E$279,E$292,E$297,E$301,E$305,E$309,E$314)</f>
        <v>57.019999999999996</v>
      </c>
      <c r="F323" s="51">
        <f t="shared" si="180"/>
        <v>61.080000000000005</v>
      </c>
      <c r="G323" s="51">
        <f t="shared" si="180"/>
        <v>71.525999999999996</v>
      </c>
      <c r="H323" s="51">
        <f t="shared" si="180"/>
        <v>72.372000000000014</v>
      </c>
      <c r="I323" s="51">
        <f t="shared" si="180"/>
        <v>78.45499999999997</v>
      </c>
      <c r="J323" s="51">
        <f t="shared" si="180"/>
        <v>78.74199999999999</v>
      </c>
      <c r="K323" s="51">
        <f t="shared" si="180"/>
        <v>80.757999999999996</v>
      </c>
      <c r="L323" s="47">
        <f t="shared" ca="1" si="180"/>
        <v>86.76100000000001</v>
      </c>
      <c r="M323" s="47">
        <f t="shared" ca="1" si="180"/>
        <v>84.192000000000007</v>
      </c>
      <c r="N323" s="47">
        <f t="shared" ca="1" si="180"/>
        <v>84.03100000000002</v>
      </c>
      <c r="O323" s="47">
        <f t="shared" ca="1" si="180"/>
        <v>83.710999999999999</v>
      </c>
      <c r="P323" s="47">
        <f t="shared" ca="1" si="180"/>
        <v>83.884999999999977</v>
      </c>
      <c r="Q323" s="21">
        <f t="shared" ca="1" si="180"/>
        <v>83.884999999999977</v>
      </c>
      <c r="R323" s="21">
        <f t="shared" ca="1" si="180"/>
        <v>83.884999999999977</v>
      </c>
      <c r="S323" s="21">
        <f t="shared" ca="1" si="180"/>
        <v>83.884999999999977</v>
      </c>
      <c r="T323" s="21">
        <f t="shared" ca="1" si="180"/>
        <v>83.884999999999977</v>
      </c>
      <c r="U323" s="21">
        <f t="shared" ca="1" si="180"/>
        <v>83.884999999999977</v>
      </c>
      <c r="V323" s="21">
        <f t="shared" ca="1" si="180"/>
        <v>83.884999999999977</v>
      </c>
      <c r="W323" s="21">
        <f t="shared" ca="1" si="180"/>
        <v>83.884999999999977</v>
      </c>
      <c r="X323" s="21">
        <f t="shared" ca="1" si="180"/>
        <v>83.884999999999977</v>
      </c>
      <c r="Y323" s="21">
        <f t="shared" ca="1" si="180"/>
        <v>83.884999999999977</v>
      </c>
      <c r="Z323" s="21">
        <f t="shared" ca="1" si="180"/>
        <v>83.884999999999977</v>
      </c>
    </row>
    <row r="324" spans="1:26" x14ac:dyDescent="0.25">
      <c r="A324" s="11" t="s">
        <v>1321</v>
      </c>
      <c r="D324" s="51">
        <f>SUM(D$256,D$263,D$264,D$271,D$273,D$283,D$313,D$319)</f>
        <v>36.466000000000001</v>
      </c>
      <c r="E324" s="51">
        <f t="shared" ref="E324:Z324" si="181">SUM(E$256,E$263,E$264,E$271,E$273,E$283,E$313,E$319)</f>
        <v>41.044000000000004</v>
      </c>
      <c r="F324" s="51">
        <f t="shared" si="181"/>
        <v>47.003</v>
      </c>
      <c r="G324" s="51">
        <f t="shared" si="181"/>
        <v>51.807999999999993</v>
      </c>
      <c r="H324" s="51">
        <f t="shared" si="181"/>
        <v>55.582000000000008</v>
      </c>
      <c r="I324" s="51">
        <f t="shared" si="181"/>
        <v>58.744000000000007</v>
      </c>
      <c r="J324" s="51">
        <f t="shared" si="181"/>
        <v>59.371000000000009</v>
      </c>
      <c r="K324" s="51">
        <f t="shared" si="181"/>
        <v>62.384</v>
      </c>
      <c r="L324" s="47">
        <f t="shared" ca="1" si="181"/>
        <v>64.574999999999989</v>
      </c>
      <c r="M324" s="47">
        <f t="shared" ca="1" si="181"/>
        <v>63.961000000000006</v>
      </c>
      <c r="N324" s="47">
        <f t="shared" ca="1" si="181"/>
        <v>64.495999999999995</v>
      </c>
      <c r="O324" s="47">
        <f t="shared" ca="1" si="181"/>
        <v>64.613</v>
      </c>
      <c r="P324" s="47">
        <f t="shared" ca="1" si="181"/>
        <v>64.939999999999984</v>
      </c>
      <c r="Q324" s="21">
        <f t="shared" ca="1" si="181"/>
        <v>64.798851169035686</v>
      </c>
      <c r="R324" s="21">
        <f t="shared" ca="1" si="181"/>
        <v>64.911618999444983</v>
      </c>
      <c r="S324" s="21">
        <f t="shared" ca="1" si="181"/>
        <v>65.007167567788954</v>
      </c>
      <c r="T324" s="21">
        <f t="shared" ca="1" si="181"/>
        <v>65.326609332289351</v>
      </c>
      <c r="U324" s="21">
        <f t="shared" ca="1" si="181"/>
        <v>65.758440048306497</v>
      </c>
      <c r="V324" s="21">
        <f t="shared" ca="1" si="181"/>
        <v>66.201958913905571</v>
      </c>
      <c r="W324" s="21">
        <f t="shared" ca="1" si="181"/>
        <v>66.659570642540899</v>
      </c>
      <c r="X324" s="21">
        <f t="shared" ca="1" si="181"/>
        <v>67.130241347453804</v>
      </c>
      <c r="Y324" s="21">
        <f t="shared" ca="1" si="181"/>
        <v>67.61636162556384</v>
      </c>
      <c r="Z324" s="21">
        <f t="shared" ca="1" si="181"/>
        <v>68.11844960846679</v>
      </c>
    </row>
    <row r="325" spans="1:26" x14ac:dyDescent="0.25">
      <c r="A325" s="57" t="s">
        <v>1322</v>
      </c>
    </row>
    <row r="326" spans="1:26" x14ac:dyDescent="0.25">
      <c r="A326" s="11" t="s">
        <v>1323</v>
      </c>
      <c r="B326" s="14" t="str">
        <f>$B$38</f>
        <v>From Fiscal Forecasts</v>
      </c>
      <c r="D326" s="51">
        <f>'Fiscal Forecasts'!D$211</f>
        <v>6.7160000000000002</v>
      </c>
      <c r="E326" s="51">
        <f>'Fiscal Forecasts'!E$211</f>
        <v>7.5140000000000002</v>
      </c>
      <c r="F326" s="51">
        <f>'Fiscal Forecasts'!F$211</f>
        <v>8.0459999999999994</v>
      </c>
      <c r="G326" s="51">
        <f>'Fiscal Forecasts'!G$211</f>
        <v>8.5389999999999997</v>
      </c>
      <c r="H326" s="51">
        <f>'Fiscal Forecasts'!H$211</f>
        <v>10.163</v>
      </c>
      <c r="I326" s="51">
        <f>'Fiscal Forecasts'!I$211</f>
        <v>10.747999999999999</v>
      </c>
      <c r="J326" s="51">
        <f>'Fiscal Forecasts'!J$211</f>
        <v>10.837999999999999</v>
      </c>
      <c r="K326" s="51">
        <f>'Fiscal Forecasts'!K$211</f>
        <v>10.319000000000001</v>
      </c>
      <c r="L326" s="47">
        <f>'Fiscal Forecasts'!L$211</f>
        <v>9.8490000000000002</v>
      </c>
      <c r="M326" s="47">
        <f>'Fiscal Forecasts'!M$211</f>
        <v>9.5570000000000004</v>
      </c>
      <c r="N326" s="47">
        <f>'Fiscal Forecasts'!N$211</f>
        <v>9.7430000000000003</v>
      </c>
      <c r="O326" s="47">
        <f>'Fiscal Forecasts'!O$211</f>
        <v>9.9640000000000004</v>
      </c>
      <c r="P326" s="47">
        <f>'Fiscal Forecasts'!P$211</f>
        <v>10.074999999999999</v>
      </c>
      <c r="Q326" s="21">
        <f ca="1">IF(Q$6=OFFSET(Assumptions!$B$8,0,$C$1),AVERAGE(N$326/SUM(N$253-N$252,N$276-N$275,N$280-N$279,,N$298-N$297,N$302-N$301,N$306-N$305,N$310-N$309,N$316-N$315),O$326/SUM(O$253-O$252,O$276-O$275,O$280-O$279,,O$298-O$297,O$302-O$301,O$306-O$305,O$310-O$309,O$316-O$315),P$326/SUM(P$253-P$252,P$276-P$275,P$280-P$279,,P$298-P$297,P$302-P$301,P$306-P$305,P$310-P$309,P$316-P$315)),P$326/SUM(P$253-P$252,P$276-P$275,P$280-P$279,,P$298-P$297,P$302-P$301,P$306-P$305,P$310-P$309,P$316-P$315))*SUM(Q$253-Q$252,Q$276-Q$275,Q$280-Q$279,,Q$298-Q$297,Q$302-Q$301,Q$306-Q$305,Q$310-Q$309,Q$316-Q$315)</f>
        <v>10.298126454289063</v>
      </c>
      <c r="R326" s="21">
        <f ca="1">IF(R$6=OFFSET(Assumptions!$B$8,0,$C$1),AVERAGE(O$326/SUM(O$253-O$252,O$276-O$275,O$280-O$279,,O$298-O$297,O$302-O$301,O$306-O$305,O$310-O$309,O$316-O$315),P$326/SUM(P$253-P$252,P$276-P$275,P$280-P$279,,P$298-P$297,P$302-P$301,P$306-P$305,P$310-P$309,P$316-P$315),Q$326/SUM(Q$253-Q$252,Q$276-Q$275,Q$280-Q$279,,Q$298-Q$297,Q$302-Q$301,Q$306-Q$305,Q$310-Q$309,Q$316-Q$315)),Q$326/SUM(Q$253-Q$252,Q$276-Q$275,Q$280-Q$279,,Q$298-Q$297,Q$302-Q$301,Q$306-Q$305,Q$310-Q$309,Q$316-Q$315))*SUM(R$253-R$252,R$276-R$275,R$280-R$279,,R$298-R$297,R$302-R$301,R$306-R$305,R$310-R$309,R$316-R$315)</f>
        <v>10.507582120123432</v>
      </c>
      <c r="S326" s="21">
        <f ca="1">IF(S$6=OFFSET(Assumptions!$B$8,0,$C$1),AVERAGE(P$326/SUM(P$253-P$252,P$276-P$275,P$280-P$279,,P$298-P$297,P$302-P$301,P$306-P$305,P$310-P$309,P$316-P$315),Q$326/SUM(Q$253-Q$252,Q$276-Q$275,Q$280-Q$279,,Q$298-Q$297,Q$302-Q$301,Q$306-Q$305,Q$310-Q$309,Q$316-Q$315),R$326/SUM(R$253-R$252,R$276-R$275,R$280-R$279,,R$298-R$297,R$302-R$301,R$306-R$305,R$310-R$309,R$316-R$315)),R$326/SUM(R$253-R$252,R$276-R$275,R$280-R$279,,R$298-R$297,R$302-R$301,R$306-R$305,R$310-R$309,R$316-R$315))*SUM(S$253-S$252,S$276-S$275,S$280-S$279,,S$298-S$297,S$302-S$301,S$306-S$305,S$310-S$309,S$316-S$315)</f>
        <v>10.721239487488216</v>
      </c>
      <c r="T326" s="21">
        <f ca="1">IF(T$6=OFFSET(Assumptions!$B$8,0,$C$1),AVERAGE(Q$326/SUM(Q$253-Q$252,Q$276-Q$275,Q$280-Q$279,,Q$298-Q$297,Q$302-Q$301,Q$306-Q$305,Q$310-Q$309,Q$316-Q$315),R$326/SUM(R$253-R$252,R$276-R$275,R$280-R$279,,R$298-R$297,R$302-R$301,R$306-R$305,R$310-R$309,R$316-R$315),S$326/SUM(S$253-S$252,S$276-S$275,S$280-S$279,,S$298-S$297,S$302-S$301,S$306-S$305,S$310-S$309,S$316-S$315)),S$326/SUM(S$253-S$252,S$276-S$275,S$280-S$279,,S$298-S$297,S$302-S$301,S$306-S$305,S$310-S$309,S$316-S$315))*SUM(T$253-T$252,T$276-T$275,T$280-T$279,,T$298-T$297,T$302-T$301,T$306-T$305,T$310-T$309,T$316-T$315)</f>
        <v>10.939145566256</v>
      </c>
      <c r="U326" s="21">
        <f ca="1">IF(U$6=OFFSET(Assumptions!$B$8,0,$C$1),AVERAGE(R$326/SUM(R$253-R$252,R$276-R$275,R$280-R$279,,R$298-R$297,R$302-R$301,R$306-R$305,R$310-R$309,R$316-R$315),S$326/SUM(S$253-S$252,S$276-S$275,S$280-S$279,,S$298-S$297,S$302-S$301,S$306-S$305,S$310-S$309,S$316-S$315),T$326/SUM(T$253-T$252,T$276-T$275,T$280-T$279,,T$298-T$297,T$302-T$301,T$306-T$305,T$310-T$309,T$316-T$315)),T$326/SUM(T$253-T$252,T$276-T$275,T$280-T$279,,T$298-T$297,T$302-T$301,T$306-T$305,T$310-T$309,T$316-T$315))*SUM(U$253-U$252,U$276-U$275,U$280-U$279,,U$298-U$297,U$302-U$301,U$306-U$305,U$310-U$309,U$316-U$315)</f>
        <v>11.16149714361206</v>
      </c>
      <c r="V326" s="21">
        <f ca="1">IF(V$6=OFFSET(Assumptions!$B$8,0,$C$1),AVERAGE(S$326/SUM(S$253-S$252,S$276-S$275,S$280-S$279,,S$298-S$297,S$302-S$301,S$306-S$305,S$310-S$309,S$316-S$315),T$326/SUM(T$253-T$252,T$276-T$275,T$280-T$279,,T$298-T$297,T$302-T$301,T$306-T$305,T$310-T$309,T$316-T$315),U$326/SUM(U$253-U$252,U$276-U$275,U$280-U$279,,U$298-U$297,U$302-U$301,U$306-U$305,U$310-U$309,U$316-U$315)),U$326/SUM(U$253-U$252,U$276-U$275,U$280-U$279,,U$298-U$297,U$302-U$301,U$306-U$305,U$310-U$309,U$316-U$315))*SUM(V$253-V$252,V$276-V$275,V$280-V$279,,V$298-V$297,V$302-V$301,V$306-V$305,V$310-V$309,V$316-V$315)</f>
        <v>11.388307600245811</v>
      </c>
      <c r="W326" s="21">
        <f ca="1">IF(W$6=OFFSET(Assumptions!$B$8,0,$C$1),AVERAGE(T$326/SUM(T$253-T$252,T$276-T$275,T$280-T$279,,T$298-T$297,T$302-T$301,T$306-T$305,T$310-T$309,T$316-T$315),U$326/SUM(U$253-U$252,U$276-U$275,U$280-U$279,,U$298-U$297,U$302-U$301,U$306-U$305,U$310-U$309,U$316-U$315),V$326/SUM(V$253-V$252,V$276-V$275,V$280-V$279,,V$298-V$297,V$302-V$301,V$306-V$305,V$310-V$309,V$316-V$315)),V$326/SUM(V$253-V$252,V$276-V$275,V$280-V$279,,V$298-V$297,V$302-V$301,V$306-V$305,V$310-V$309,V$316-V$315))*SUM(W$253-W$252,W$276-W$275,W$280-W$279,,W$298-W$297,W$302-W$301,W$306-W$305,W$310-W$309,W$316-W$315)</f>
        <v>11.619629089584787</v>
      </c>
      <c r="X326" s="21">
        <f ca="1">IF(X$6=OFFSET(Assumptions!$B$8,0,$C$1),AVERAGE(U$326/SUM(U$253-U$252,U$276-U$275,U$280-U$279,,U$298-U$297,U$302-U$301,U$306-U$305,U$310-U$309,U$316-U$315),V$326/SUM(V$253-V$252,V$276-V$275,V$280-V$279,,V$298-V$297,V$302-V$301,V$306-V$305,V$310-V$309,V$316-V$315),W$326/SUM(W$253-W$252,W$276-W$275,W$280-W$279,,W$298-W$297,W$302-W$301,W$306-W$305,W$310-W$309,W$316-W$315)),W$326/SUM(W$253-W$252,W$276-W$275,W$280-W$279,,W$298-W$297,W$302-W$301,W$306-W$305,W$310-W$309,W$316-W$315))*SUM(X$253-X$252,X$276-X$275,X$280-X$279,,X$298-X$297,X$302-X$301,X$306-X$305,X$310-X$309,X$316-X$315)</f>
        <v>11.855589596924265</v>
      </c>
      <c r="Y326" s="21">
        <f ca="1">IF(Y$6=OFFSET(Assumptions!$B$8,0,$C$1),AVERAGE(V$326/SUM(V$253-V$252,V$276-V$275,V$280-V$279,,V$298-V$297,V$302-V$301,V$306-V$305,V$310-V$309,V$316-V$315),W$326/SUM(W$253-W$252,W$276-W$275,W$280-W$279,,W$298-W$297,W$302-W$301,W$306-W$305,W$310-W$309,W$316-W$315),X$326/SUM(X$253-X$252,X$276-X$275,X$280-X$279,,X$298-X$297,X$302-X$301,X$306-X$305,X$310-X$309,X$316-X$315)),X$326/SUM(X$253-X$252,X$276-X$275,X$280-X$279,,X$298-X$297,X$302-X$301,X$306-X$305,X$310-X$309,X$316-X$315))*SUM(Y$253-Y$252,Y$276-Y$275,Y$280-Y$279,,Y$298-Y$297,Y$302-Y$301,Y$306-Y$305,Y$310-Y$309,Y$316-Y$315)</f>
        <v>12.096355950940298</v>
      </c>
      <c r="Z326" s="21">
        <f ca="1">IF(Z$6=OFFSET(Assumptions!$B$8,0,$C$1),AVERAGE(W$326/SUM(W$253-W$252,W$276-W$275,W$280-W$279,,W$298-W$297,W$302-W$301,W$306-W$305,W$310-W$309,W$316-W$315),X$326/SUM(X$253-X$252,X$276-X$275,X$280-X$279,,X$298-X$297,X$302-X$301,X$306-X$305,X$310-X$309,X$316-X$315),Y$326/SUM(Y$253-Y$252,Y$276-Y$275,Y$280-Y$279,,Y$298-Y$297,Y$302-Y$301,Y$306-Y$305,Y$310-Y$309,Y$316-Y$315)),Y$326/SUM(Y$253-Y$252,Y$276-Y$275,Y$280-Y$279,,Y$298-Y$297,Y$302-Y$301,Y$306-Y$305,Y$310-Y$309,Y$316-Y$315))*SUM(Z$253-Z$252,Z$276-Z$275,Z$280-Z$279,,Z$298-Z$297,Z$302-Z$301,Z$306-Z$305,Z$310-Z$309,Z$316-Z$315)</f>
        <v>12.341948739284053</v>
      </c>
    </row>
    <row r="327" spans="1:26" x14ac:dyDescent="0.25">
      <c r="A327" s="11" t="s">
        <v>1324</v>
      </c>
      <c r="B327" s="14" t="str">
        <f>$B$38</f>
        <v>From Fiscal Forecasts</v>
      </c>
      <c r="D327" s="51">
        <f>'Fiscal Forecasts'!D$212</f>
        <v>8.64</v>
      </c>
      <c r="E327" s="51">
        <f>'Fiscal Forecasts'!E$212</f>
        <v>8.3070000000000004</v>
      </c>
      <c r="F327" s="51">
        <f>'Fiscal Forecasts'!F$212</f>
        <v>10.321999999999999</v>
      </c>
      <c r="G327" s="51">
        <f>'Fiscal Forecasts'!G$212</f>
        <v>9.5259999999999998</v>
      </c>
      <c r="H327" s="51">
        <f>'Fiscal Forecasts'!H$212</f>
        <v>8.5609999999999999</v>
      </c>
      <c r="I327" s="51">
        <f>'Fiscal Forecasts'!I$212</f>
        <v>12.183</v>
      </c>
      <c r="J327" s="51">
        <f>'Fiscal Forecasts'!J$212</f>
        <v>12.195</v>
      </c>
      <c r="K327" s="51">
        <f>'Fiscal Forecasts'!K$212</f>
        <v>9.9339999999999993</v>
      </c>
      <c r="L327" s="47">
        <f>'Fiscal Forecasts'!L$212</f>
        <v>11.852</v>
      </c>
      <c r="M327" s="47">
        <f>'Fiscal Forecasts'!M$212</f>
        <v>11.510999999999999</v>
      </c>
      <c r="N327" s="47">
        <f>'Fiscal Forecasts'!N$212</f>
        <v>11.73</v>
      </c>
      <c r="O327" s="47">
        <f>'Fiscal Forecasts'!O$212</f>
        <v>12.061999999999999</v>
      </c>
      <c r="P327" s="47">
        <f>'Fiscal Forecasts'!P$212</f>
        <v>12.221</v>
      </c>
      <c r="Q327" s="21">
        <f ca="1">IF(Q$6=OFFSET(Assumptions!$B$8,0,$C$1),AVERAGE(N$327/(N$294-N$293),O$327/(O$294-O$293),P$327/(P$294-P$293)),P$327/(P$294-P$293))*(Q$294-Q$293)</f>
        <v>12.644217615000324</v>
      </c>
      <c r="R327" s="21">
        <f ca="1">IF(R$6=OFFSET(Assumptions!$B$8,0,$C$1),AVERAGE(O$327/(O$294-O$293),P$327/(P$294-P$293),Q$327/(Q$294-Q$293)),Q$327/(Q$294-Q$293))*(R$294-R$293)</f>
        <v>13.055465580962959</v>
      </c>
      <c r="S327" s="21">
        <f ca="1">IF(S$6=OFFSET(Assumptions!$B$8,0,$C$1),AVERAGE(P$327/(P$294-P$293),Q$327/(Q$294-Q$293),R$327/(R$294-R$293)),R$327/(R$294-R$293))*(S$294-S$293)</f>
        <v>13.475650796977892</v>
      </c>
      <c r="T327" s="21">
        <f ca="1">IF(T$6=OFFSET(Assumptions!$B$8,0,$C$1),AVERAGE(Q$327/(Q$294-Q$293),R$327/(R$294-R$293),S$327/(S$294-S$293)),S$327/(S$294-S$293))*(T$294-T$293)</f>
        <v>13.90080059120446</v>
      </c>
      <c r="U327" s="21">
        <f ca="1">IF(U$6=OFFSET(Assumptions!$B$8,0,$C$1),AVERAGE(R$327/(R$294-R$293),S$327/(S$294-S$293),T$327/(T$294-T$293)),T$327/(T$294-T$293))*(U$294-U$293)</f>
        <v>14.338180631128468</v>
      </c>
      <c r="V327" s="21">
        <f ca="1">IF(V$6=OFFSET(Assumptions!$B$8,0,$C$1),AVERAGE(S$327/(S$294-S$293),T$327/(T$294-T$293),U$327/(U$294-U$293)),U$327/(U$294-U$293))*(V$294-V$293)</f>
        <v>14.784063051403757</v>
      </c>
      <c r="W327" s="21">
        <f ca="1">IF(W$6=OFFSET(Assumptions!$B$8,0,$C$1),AVERAGE(T$327/(T$294-T$293),U$327/(U$294-U$293),V$327/(V$294-V$293)),V$327/(V$294-V$293))*(W$294-W$293)</f>
        <v>15.227218882747941</v>
      </c>
      <c r="X327" s="21">
        <f ca="1">IF(X$6=OFFSET(Assumptions!$B$8,0,$C$1),AVERAGE(U$327/(U$294-U$293),V$327/(V$294-V$293),W$327/(W$294-W$293)),W$327/(W$294-W$293))*(X$294-X$293)</f>
        <v>15.679703027134041</v>
      </c>
      <c r="Y327" s="21">
        <f ca="1">IF(Y$6=OFFSET(Assumptions!$B$8,0,$C$1),AVERAGE(V$327/(V$294-V$293),W$327/(W$294-W$293),X$327/(X$294-X$293)),X$327/(X$294-X$293))*(Y$294-Y$293)</f>
        <v>16.14590608684399</v>
      </c>
      <c r="Z327" s="21">
        <f ca="1">IF(Z$6=OFFSET(Assumptions!$B$8,0,$C$1),AVERAGE(W$327/(W$294-W$293),X$327/(X$294-X$293),Y$327/(Y$294-Y$293)),Y$327/(Y$294-Y$293))*(Z$294-Z$293)</f>
        <v>16.622320734555245</v>
      </c>
    </row>
    <row r="328" spans="1:26" x14ac:dyDescent="0.25">
      <c r="A328" s="11" t="s">
        <v>1325</v>
      </c>
      <c r="B328" s="14" t="str">
        <f>$B$38</f>
        <v>From Fiscal Forecasts</v>
      </c>
      <c r="D328" s="51">
        <f>'Fiscal Forecasts'!D$213</f>
        <v>-3.629</v>
      </c>
      <c r="E328" s="51">
        <f>'Fiscal Forecasts'!E$213</f>
        <v>-3.7549999999999999</v>
      </c>
      <c r="F328" s="51">
        <f>'Fiscal Forecasts'!F$213</f>
        <v>-4.7350000000000003</v>
      </c>
      <c r="G328" s="51">
        <f>'Fiscal Forecasts'!G$213</f>
        <v>-4.2939999999999996</v>
      </c>
      <c r="H328" s="51">
        <f>'Fiscal Forecasts'!H$213</f>
        <v>-4.1829999999999998</v>
      </c>
      <c r="I328" s="51">
        <f>'Fiscal Forecasts'!I$213</f>
        <v>-4.7560000000000002</v>
      </c>
      <c r="J328" s="51">
        <f>'Fiscal Forecasts'!J$213</f>
        <v>-4.1790000000000003</v>
      </c>
      <c r="K328" s="51">
        <f>'Fiscal Forecasts'!K$213</f>
        <v>-4.7279999999999998</v>
      </c>
      <c r="L328" s="47">
        <f>'Fiscal Forecasts'!L$213</f>
        <v>-4.1150000000000002</v>
      </c>
      <c r="M328" s="47">
        <f>'Fiscal Forecasts'!M$213</f>
        <v>-4.0739999999999998</v>
      </c>
      <c r="N328" s="47">
        <f>'Fiscal Forecasts'!N$213</f>
        <v>-4.0599999999999996</v>
      </c>
      <c r="O328" s="47">
        <f>'Fiscal Forecasts'!O$213</f>
        <v>-4.2610000000000001</v>
      </c>
      <c r="P328" s="47">
        <f>'Fiscal Forecasts'!P$213</f>
        <v>-4.2300000000000004</v>
      </c>
      <c r="Q328" s="21">
        <f t="shared" ref="Q328:Z328" ca="1" si="182">SUM(Q$253-Q$252,Q$276-Q$275,Q$280-Q$279,Q$294-Q$293,Q$298-Q$297,Q$302-Q$301,Q$306-Q$305,Q$310-Q$309,Q$316-Q$315,-Q$326,-Q$327)</f>
        <v>-4.3429394168411442</v>
      </c>
      <c r="R328" s="21">
        <f t="shared" ca="1" si="182"/>
        <v>-4.4338146233657216</v>
      </c>
      <c r="S328" s="21">
        <f t="shared" ca="1" si="182"/>
        <v>-4.5265241452863307</v>
      </c>
      <c r="T328" s="21">
        <f t="shared" ca="1" si="182"/>
        <v>-4.6210212785934885</v>
      </c>
      <c r="U328" s="21">
        <f t="shared" ca="1" si="182"/>
        <v>-4.7175049575724852</v>
      </c>
      <c r="V328" s="21">
        <f t="shared" ca="1" si="182"/>
        <v>-4.815919018631206</v>
      </c>
      <c r="W328" s="21">
        <f t="shared" ca="1" si="182"/>
        <v>-4.9160990440311281</v>
      </c>
      <c r="X328" s="21">
        <f t="shared" ca="1" si="182"/>
        <v>-5.0182954024552</v>
      </c>
      <c r="Y328" s="21">
        <f t="shared" ca="1" si="182"/>
        <v>-5.1226475429515066</v>
      </c>
      <c r="Z328" s="21">
        <f t="shared" ca="1" si="182"/>
        <v>-5.2291058355795208</v>
      </c>
    </row>
    <row r="330" spans="1:26" x14ac:dyDescent="0.25">
      <c r="A330" s="11" t="s">
        <v>1326</v>
      </c>
    </row>
    <row r="331" spans="1:26" x14ac:dyDescent="0.25">
      <c r="A331" s="12" t="s">
        <v>1327</v>
      </c>
      <c r="D331" s="50">
        <f t="shared" ref="D331:Z331" si="183">D$378</f>
        <v>1.9550000000000001</v>
      </c>
      <c r="E331" s="50">
        <f t="shared" si="183"/>
        <v>1.7000000000000001E-2</v>
      </c>
      <c r="F331" s="50">
        <f t="shared" si="183"/>
        <v>12.786</v>
      </c>
      <c r="G331" s="50">
        <f t="shared" si="183"/>
        <v>-5.133</v>
      </c>
      <c r="H331" s="50">
        <f t="shared" si="183"/>
        <v>5.766</v>
      </c>
      <c r="I331" s="50">
        <f t="shared" si="183"/>
        <v>8.3520000000000003</v>
      </c>
      <c r="J331" s="50">
        <f t="shared" si="183"/>
        <v>7.3129999999999997</v>
      </c>
      <c r="K331" s="50">
        <f t="shared" si="183"/>
        <v>10.266999999999999</v>
      </c>
      <c r="L331" s="48">
        <f t="shared" si="183"/>
        <v>5.2359999999999998</v>
      </c>
      <c r="M331" s="48">
        <f t="shared" si="183"/>
        <v>5.6260000000000003</v>
      </c>
      <c r="N331" s="48">
        <f t="shared" si="183"/>
        <v>6.0119999999999996</v>
      </c>
      <c r="O331" s="48">
        <f t="shared" si="183"/>
        <v>6.4580000000000002</v>
      </c>
      <c r="P331" s="48">
        <f t="shared" si="183"/>
        <v>6.9329999999999998</v>
      </c>
      <c r="Q331" s="20">
        <f t="shared" si="183"/>
        <v>7.2834499423829602</v>
      </c>
      <c r="R331" s="20">
        <f t="shared" si="183"/>
        <v>7.7304079092414062</v>
      </c>
      <c r="S331" s="20">
        <f t="shared" si="183"/>
        <v>8.1958958346018864</v>
      </c>
      <c r="T331" s="20">
        <f t="shared" si="183"/>
        <v>8.6807329460484794</v>
      </c>
      <c r="U331" s="20">
        <f t="shared" si="183"/>
        <v>9.1849444724228615</v>
      </c>
      <c r="V331" s="20">
        <f t="shared" si="183"/>
        <v>9.7089610235655766</v>
      </c>
      <c r="W331" s="20">
        <f t="shared" si="183"/>
        <v>10.256939818437033</v>
      </c>
      <c r="X331" s="20">
        <f t="shared" si="183"/>
        <v>10.834267609788034</v>
      </c>
      <c r="Y331" s="20">
        <f t="shared" si="183"/>
        <v>11.447369923344665</v>
      </c>
      <c r="Z331" s="20">
        <f t="shared" si="183"/>
        <v>12.103381608564206</v>
      </c>
    </row>
    <row r="332" spans="1:26" x14ac:dyDescent="0.25">
      <c r="A332" s="12" t="s">
        <v>1328</v>
      </c>
      <c r="B332" s="14" t="str">
        <f>$B$38</f>
        <v>From Fiscal Forecasts</v>
      </c>
      <c r="D332" s="50">
        <f>SUM('Fiscal Forecasts'!D$301,'Fiscal Forecasts'!D$307)-D$331</f>
        <v>1.2330000000000001</v>
      </c>
      <c r="E332" s="50">
        <f>SUM('Fiscal Forecasts'!E$301,'Fiscal Forecasts'!E$307)-E$331</f>
        <v>-3.9489999999999994</v>
      </c>
      <c r="F332" s="50">
        <f>SUM('Fiscal Forecasts'!F$301,'Fiscal Forecasts'!F$307)-F$331</f>
        <v>-5.2540000000000004</v>
      </c>
      <c r="G332" s="50">
        <f>SUM('Fiscal Forecasts'!G$301,'Fiscal Forecasts'!G$307)-G$331</f>
        <v>-6.0860000000000012</v>
      </c>
      <c r="H332" s="50">
        <f>SUM('Fiscal Forecasts'!H$301,'Fiscal Forecasts'!H$307)-H$331</f>
        <v>6.798</v>
      </c>
      <c r="I332" s="50">
        <f>SUM('Fiscal Forecasts'!I$301,'Fiscal Forecasts'!I$307)-I$331</f>
        <v>-0.45800000000000018</v>
      </c>
      <c r="J332" s="50">
        <f>SUM('Fiscal Forecasts'!J$301,'Fiscal Forecasts'!J$307)-J$331</f>
        <v>0.43100000000000094</v>
      </c>
      <c r="K332" s="50">
        <f>SUM('Fiscal Forecasts'!K$301,'Fiscal Forecasts'!K$307)-K$331</f>
        <v>1.7420000000000009</v>
      </c>
      <c r="L332" s="48">
        <f>SUM('Fiscal Forecasts'!L$301,'Fiscal Forecasts'!L$307)-L$331+IF($C$3="Yes",'NZSF Adjuster'!W$27-'NZSF Adjuster'!W$18,0)</f>
        <v>-6.2999999999999723E-2</v>
      </c>
      <c r="M332" s="48">
        <f>SUM('Fiscal Forecasts'!M$301,'Fiscal Forecasts'!M$307)-M$331+IF($C$3="Yes",'NZSF Adjuster'!X$27-'NZSF Adjuster'!X$18,0)</f>
        <v>-9.7000000000000419E-2</v>
      </c>
      <c r="N332" s="48">
        <f>SUM('Fiscal Forecasts'!N$301,'Fiscal Forecasts'!N$307)-N$331+IF($C$3="Yes",'NZSF Adjuster'!Y$27-'NZSF Adjuster'!Y$18,0)</f>
        <v>-0.12600000000000033</v>
      </c>
      <c r="O332" s="48">
        <f>SUM('Fiscal Forecasts'!O$301,'Fiscal Forecasts'!O$307)-O$331+IF($C$3="Yes",'NZSF Adjuster'!Z$27-'NZSF Adjuster'!Z$18,0)</f>
        <v>-0.13100000000000023</v>
      </c>
      <c r="P332" s="48">
        <f>SUM('Fiscal Forecasts'!P$301,'Fiscal Forecasts'!P$307)-P$331+IF($C$3="Yes",'NZSF Adjuster'!AA$27-'NZSF Adjuster'!AA$18,0)</f>
        <v>-0.13400000000000034</v>
      </c>
      <c r="Q332" s="20">
        <f t="shared" ref="Q332:Z332" ca="1" si="184">P$332*(1+Q$29)</f>
        <v>-0.13668000000000036</v>
      </c>
      <c r="R332" s="20">
        <f t="shared" ca="1" si="184"/>
        <v>-0.13941360000000036</v>
      </c>
      <c r="S332" s="20">
        <f t="shared" ca="1" si="184"/>
        <v>-0.14220187200000037</v>
      </c>
      <c r="T332" s="20">
        <f t="shared" ca="1" si="184"/>
        <v>-0.14504590944000037</v>
      </c>
      <c r="U332" s="20">
        <f t="shared" ca="1" si="184"/>
        <v>-0.14794682762880038</v>
      </c>
      <c r="V332" s="20">
        <f t="shared" ca="1" si="184"/>
        <v>-0.15090576418137638</v>
      </c>
      <c r="W332" s="20">
        <f t="shared" ca="1" si="184"/>
        <v>-0.15392387946500391</v>
      </c>
      <c r="X332" s="20">
        <f t="shared" ca="1" si="184"/>
        <v>-0.15700235705430399</v>
      </c>
      <c r="Y332" s="20">
        <f t="shared" ca="1" si="184"/>
        <v>-0.16014240419539008</v>
      </c>
      <c r="Z332" s="20">
        <f t="shared" ca="1" si="184"/>
        <v>-0.16334525227929789</v>
      </c>
    </row>
    <row r="333" spans="1:26" x14ac:dyDescent="0.25">
      <c r="A333" s="11" t="s">
        <v>1329</v>
      </c>
      <c r="D333" s="94">
        <f t="shared" ref="D333:P333" si="185">SUM(D$331:D$332)</f>
        <v>3.1880000000000002</v>
      </c>
      <c r="E333" s="94">
        <f t="shared" si="185"/>
        <v>-3.9319999999999995</v>
      </c>
      <c r="F333" s="94">
        <f t="shared" si="185"/>
        <v>7.5319999999999991</v>
      </c>
      <c r="G333" s="94">
        <f t="shared" si="185"/>
        <v>-11.219000000000001</v>
      </c>
      <c r="H333" s="94">
        <f t="shared" si="185"/>
        <v>12.564</v>
      </c>
      <c r="I333" s="94">
        <f t="shared" si="185"/>
        <v>7.8940000000000001</v>
      </c>
      <c r="J333" s="94">
        <f t="shared" si="185"/>
        <v>7.7440000000000007</v>
      </c>
      <c r="K333" s="94">
        <f t="shared" si="185"/>
        <v>12.009</v>
      </c>
      <c r="L333" s="95">
        <f t="shared" si="185"/>
        <v>5.173</v>
      </c>
      <c r="M333" s="95">
        <f t="shared" si="185"/>
        <v>5.5289999999999999</v>
      </c>
      <c r="N333" s="95">
        <f t="shared" si="185"/>
        <v>5.8859999999999992</v>
      </c>
      <c r="O333" s="95">
        <f t="shared" si="185"/>
        <v>6.327</v>
      </c>
      <c r="P333" s="95">
        <f t="shared" si="185"/>
        <v>6.7989999999999995</v>
      </c>
      <c r="Q333" s="96">
        <f t="shared" ref="Q333:Z333" ca="1" si="186">SUM(Q$331:Q$332)</f>
        <v>7.14676994238296</v>
      </c>
      <c r="R333" s="96">
        <f t="shared" ca="1" si="186"/>
        <v>7.5909943092414061</v>
      </c>
      <c r="S333" s="96">
        <f t="shared" ca="1" si="186"/>
        <v>8.0536939626018853</v>
      </c>
      <c r="T333" s="96">
        <f t="shared" ca="1" si="186"/>
        <v>8.5356870366084792</v>
      </c>
      <c r="U333" s="96">
        <f t="shared" ca="1" si="186"/>
        <v>9.0369976447940612</v>
      </c>
      <c r="V333" s="96">
        <f t="shared" ca="1" si="186"/>
        <v>9.5580552593842008</v>
      </c>
      <c r="W333" s="96">
        <f t="shared" ca="1" si="186"/>
        <v>10.103015938972028</v>
      </c>
      <c r="X333" s="96">
        <f t="shared" ca="1" si="186"/>
        <v>10.677265252733729</v>
      </c>
      <c r="Y333" s="96">
        <f t="shared" ca="1" si="186"/>
        <v>11.287227519149274</v>
      </c>
      <c r="Z333" s="96">
        <f t="shared" ca="1" si="186"/>
        <v>11.940036356284908</v>
      </c>
    </row>
    <row r="334" spans="1:26" x14ac:dyDescent="0.25">
      <c r="A334" s="12" t="s">
        <v>1020</v>
      </c>
      <c r="B334" s="14" t="str">
        <f>$B$38</f>
        <v>From Fiscal Forecasts</v>
      </c>
      <c r="D334" s="50">
        <f>SUM('Fiscal Forecasts'!D$302,'Fiscal Forecasts'!D$308)</f>
        <v>-7.8920000000000003</v>
      </c>
      <c r="E334" s="50">
        <f>SUM('Fiscal Forecasts'!E$302,'Fiscal Forecasts'!E$308)</f>
        <v>-4.32</v>
      </c>
      <c r="F334" s="50">
        <f>SUM('Fiscal Forecasts'!F$302,'Fiscal Forecasts'!F$308)</f>
        <v>12.293999999999999</v>
      </c>
      <c r="G334" s="50">
        <f>SUM('Fiscal Forecasts'!G$302,'Fiscal Forecasts'!G$308)</f>
        <v>1.3290000000000006</v>
      </c>
      <c r="H334" s="50">
        <f>SUM('Fiscal Forecasts'!H$302,'Fiscal Forecasts'!H$308)</f>
        <v>3</v>
      </c>
      <c r="I334" s="50">
        <f>SUM('Fiscal Forecasts'!I$302,'Fiscal Forecasts'!I$308)</f>
        <v>-3.415</v>
      </c>
      <c r="J334" s="50">
        <f>SUM('Fiscal Forecasts'!J$302,'Fiscal Forecasts'!J$308)</f>
        <v>2.9449999999999998</v>
      </c>
      <c r="K334" s="50">
        <f>SUM('Fiscal Forecasts'!K$302,'Fiscal Forecasts'!K$308)</f>
        <v>1.198</v>
      </c>
      <c r="L334" s="48">
        <f>SUM('Fiscal Forecasts'!L$302,'Fiscal Forecasts'!L$308)</f>
        <v>0.38500000000000001</v>
      </c>
      <c r="M334" s="48">
        <f>SUM('Fiscal Forecasts'!M$302,'Fiscal Forecasts'!M$308)</f>
        <v>0.70499999999999996</v>
      </c>
      <c r="N334" s="48">
        <f>SUM('Fiscal Forecasts'!N$302,'Fiscal Forecasts'!N$308)</f>
        <v>0.80200000000000005</v>
      </c>
      <c r="O334" s="48">
        <f>SUM('Fiscal Forecasts'!O$302,'Fiscal Forecasts'!O$308)</f>
        <v>0.90300000000000002</v>
      </c>
      <c r="P334" s="48">
        <f>SUM('Fiscal Forecasts'!P$302,'Fiscal Forecasts'!P$308)</f>
        <v>0.99999999999999989</v>
      </c>
      <c r="Q334" s="20">
        <f>P$334*Exogenous!AB$29/Exogenous!AA$29</f>
        <v>1.0363267389769488</v>
      </c>
      <c r="R334" s="20">
        <f>Q$334*Exogenous!AC$29/Exogenous!AB$29</f>
        <v>1.0802950857122942</v>
      </c>
      <c r="S334" s="20">
        <f>R$334*Exogenous!AD$29/Exogenous!AC$29</f>
        <v>1.1330471897300756</v>
      </c>
      <c r="T334" s="20">
        <f>S$334*Exogenous!AE$29/Exogenous!AD$29</f>
        <v>1.1969652329408531</v>
      </c>
      <c r="U334" s="20">
        <f>T$334*Exogenous!AF$29/Exogenous!AE$29</f>
        <v>1.2715589598048667</v>
      </c>
      <c r="V334" s="20">
        <f>U$334*Exogenous!AG$29/Exogenous!AF$29</f>
        <v>1.3495622108889265</v>
      </c>
      <c r="W334" s="20">
        <f>V$334*Exogenous!AH$29/Exogenous!AG$29</f>
        <v>1.4301190120455329</v>
      </c>
      <c r="X334" s="20">
        <f>W$334*Exogenous!AI$29/Exogenous!AH$29</f>
        <v>1.5127368065797728</v>
      </c>
      <c r="Y334" s="20">
        <f>X$334*Exogenous!AJ$29/Exogenous!AI$29</f>
        <v>1.598162204448075</v>
      </c>
      <c r="Z334" s="20">
        <f>Y$334*Exogenous!AK$29/Exogenous!AJ$29</f>
        <v>1.6858232592274347</v>
      </c>
    </row>
    <row r="335" spans="1:26" x14ac:dyDescent="0.25">
      <c r="A335" s="12" t="s">
        <v>1227</v>
      </c>
      <c r="B335" s="14" t="str">
        <f>$B$38</f>
        <v>From Fiscal Forecasts</v>
      </c>
      <c r="D335" s="50">
        <f>SUM('Fiscal Forecasts'!D$303,'Fiscal Forecasts'!D$309)</f>
        <v>0.254</v>
      </c>
      <c r="E335" s="50">
        <f>SUM('Fiscal Forecasts'!E$303,'Fiscal Forecasts'!E$309)</f>
        <v>-6.9000000000000006E-2</v>
      </c>
      <c r="F335" s="50">
        <f>SUM('Fiscal Forecasts'!F$303,'Fiscal Forecasts'!F$309)</f>
        <v>0.23199999999999998</v>
      </c>
      <c r="G335" s="50">
        <f>SUM('Fiscal Forecasts'!G$303,'Fiscal Forecasts'!G$309)</f>
        <v>0.85899999999999999</v>
      </c>
      <c r="H335" s="50">
        <f>SUM('Fiscal Forecasts'!H$303,'Fiscal Forecasts'!H$309)</f>
        <v>-0.13799999999999998</v>
      </c>
      <c r="I335" s="50">
        <f>SUM('Fiscal Forecasts'!I$303,'Fiscal Forecasts'!I$309)</f>
        <v>0.46499999999999997</v>
      </c>
      <c r="J335" s="50">
        <f>SUM('Fiscal Forecasts'!J$303,'Fiscal Forecasts'!J$309)</f>
        <v>-1.071</v>
      </c>
      <c r="K335" s="50">
        <f>SUM('Fiscal Forecasts'!K$303,'Fiscal Forecasts'!K$309)</f>
        <v>-0.81699999999999995</v>
      </c>
      <c r="L335" s="48">
        <f>SUM('Fiscal Forecasts'!L$303,'Fiscal Forecasts'!L$309)</f>
        <v>0.12</v>
      </c>
      <c r="M335" s="48">
        <f>SUM('Fiscal Forecasts'!M$303,'Fiscal Forecasts'!M$309)</f>
        <v>5.7000000000000002E-2</v>
      </c>
      <c r="N335" s="48">
        <f>SUM('Fiscal Forecasts'!N$303,'Fiscal Forecasts'!N$309)</f>
        <v>0.109</v>
      </c>
      <c r="O335" s="48">
        <f>SUM('Fiscal Forecasts'!O$303,'Fiscal Forecasts'!O$309)</f>
        <v>0.106</v>
      </c>
      <c r="P335" s="48">
        <f>SUM('Fiscal Forecasts'!P$303,'Fiscal Forecasts'!P$309)</f>
        <v>0.111</v>
      </c>
      <c r="Q335" s="20">
        <f t="shared" ref="Q335:Z335" ca="1" si="187">P$335*(1+Q$14)</f>
        <v>0.11583192871289606</v>
      </c>
      <c r="R335" s="20">
        <f t="shared" ca="1" si="187"/>
        <v>0.12076233014105901</v>
      </c>
      <c r="S335" s="20">
        <f t="shared" ca="1" si="187"/>
        <v>0.12582335163874564</v>
      </c>
      <c r="T335" s="20">
        <f t="shared" ca="1" si="187"/>
        <v>0.13100315541068408</v>
      </c>
      <c r="U335" s="20">
        <f t="shared" ca="1" si="187"/>
        <v>0.13636358276280239</v>
      </c>
      <c r="V335" s="20">
        <f t="shared" ca="1" si="187"/>
        <v>0.14190654006705766</v>
      </c>
      <c r="W335" s="20">
        <f t="shared" ca="1" si="187"/>
        <v>0.14760406319549119</v>
      </c>
      <c r="X335" s="20">
        <f t="shared" ca="1" si="187"/>
        <v>0.15346565137505819</v>
      </c>
      <c r="Y335" s="20">
        <f t="shared" ca="1" si="187"/>
        <v>0.15952195703503902</v>
      </c>
      <c r="Z335" s="20">
        <f t="shared" ca="1" si="187"/>
        <v>0.16577454218694485</v>
      </c>
    </row>
    <row r="336" spans="1:26" x14ac:dyDescent="0.25">
      <c r="A336" s="12" t="s">
        <v>1228</v>
      </c>
      <c r="B336" s="14" t="str">
        <f>$B$38</f>
        <v>From Fiscal Forecasts</v>
      </c>
      <c r="D336" s="50">
        <f>SUM('Fiscal Forecasts'!D$24,'Fiscal Forecasts'!D$25)-SUM(D$333:D$335)</f>
        <v>-2.6809999999999983</v>
      </c>
      <c r="E336" s="50">
        <f>SUM('Fiscal Forecasts'!E$24,'Fiscal Forecasts'!E$25)-SUM(E$333:E$335)</f>
        <v>-0.4009999999999998</v>
      </c>
      <c r="F336" s="50">
        <f>SUM('Fiscal Forecasts'!F$24,'Fiscal Forecasts'!F$25)-SUM(F$333:F$335)</f>
        <v>0.96500000000000341</v>
      </c>
      <c r="G336" s="50">
        <f>SUM('Fiscal Forecasts'!G$24,'Fiscal Forecasts'!G$25)-SUM(G$333:G$335)</f>
        <v>2.3090000000000011</v>
      </c>
      <c r="H336" s="50">
        <f>SUM('Fiscal Forecasts'!H$24,'Fiscal Forecasts'!H$25)-SUM(H$333:H$335)</f>
        <v>-0.76799999999999891</v>
      </c>
      <c r="I336" s="50">
        <f>SUM('Fiscal Forecasts'!I$24,'Fiscal Forecasts'!I$25)-SUM(I$333:I$335)</f>
        <v>-0.27700000000000014</v>
      </c>
      <c r="J336" s="50">
        <f>SUM('Fiscal Forecasts'!J$24,'Fiscal Forecasts'!J$25)-SUM(J$333:J$335)</f>
        <v>-0.74799999999999933</v>
      </c>
      <c r="K336" s="50">
        <f>SUM('Fiscal Forecasts'!K$24,'Fiscal Forecasts'!K$25)-SUM(K$333:K$335)</f>
        <v>-1.1380000000000017</v>
      </c>
      <c r="L336" s="48">
        <f>SUM('Fiscal Forecasts'!L$24,'Fiscal Forecasts'!L$25)-SUM(L$333:L$335)+IF($C$3="Yes",'NZSF Adjuster'!W$27-'NZSF Adjuster'!W$18,0)</f>
        <v>-8.3000000000000185E-2</v>
      </c>
      <c r="M336" s="48">
        <f>SUM('Fiscal Forecasts'!M$24,'Fiscal Forecasts'!M$25)-SUM(M$333:M$335)+IF($C$3="Yes",'NZSF Adjuster'!X$27-'NZSF Adjuster'!X$18,0)</f>
        <v>-0.10500000000000043</v>
      </c>
      <c r="N336" s="48">
        <f>SUM('Fiscal Forecasts'!N$24,'Fiscal Forecasts'!N$25)-SUM(N$333:N$335)+IF($C$3="Yes",'NZSF Adjuster'!Y$27-'NZSF Adjuster'!Y$18,0)</f>
        <v>-0.12699999999999889</v>
      </c>
      <c r="O336" s="48">
        <f>SUM('Fiscal Forecasts'!O$24,'Fiscal Forecasts'!O$25)-SUM(O$333:O$335)+IF($C$3="Yes",'NZSF Adjuster'!Z$27-'NZSF Adjuster'!Z$18,0)</f>
        <v>-0.17400000000000038</v>
      </c>
      <c r="P336" s="48">
        <f>SUM('Fiscal Forecasts'!P$24,'Fiscal Forecasts'!P$25)-SUM(P$333:P$335)+IF($C$3="Yes",'NZSF Adjuster'!AA$27-'NZSF Adjuster'!AA$18,0)</f>
        <v>-0.10499999999999954</v>
      </c>
      <c r="Q336" s="20">
        <f t="shared" ref="Q336:Z336" ca="1" si="188">P$336*(1+Q$14)</f>
        <v>-0.10957074337706335</v>
      </c>
      <c r="R336" s="20">
        <f t="shared" ca="1" si="188"/>
        <v>-0.11423463661992017</v>
      </c>
      <c r="S336" s="20">
        <f t="shared" ca="1" si="188"/>
        <v>-0.11902208938800209</v>
      </c>
      <c r="T336" s="20">
        <f t="shared" ca="1" si="188"/>
        <v>-0.12392190376686274</v>
      </c>
      <c r="U336" s="20">
        <f t="shared" ca="1" si="188"/>
        <v>-0.12899257828913679</v>
      </c>
      <c r="V336" s="20">
        <f t="shared" ca="1" si="188"/>
        <v>-0.13423591627964851</v>
      </c>
      <c r="W336" s="20">
        <f t="shared" ca="1" si="188"/>
        <v>-0.13962546518492344</v>
      </c>
      <c r="X336" s="20">
        <f t="shared" ca="1" si="188"/>
        <v>-0.14517021076018949</v>
      </c>
      <c r="Y336" s="20">
        <f t="shared" ca="1" si="188"/>
        <v>-0.15089914854665781</v>
      </c>
      <c r="Z336" s="20">
        <f t="shared" ca="1" si="188"/>
        <v>-0.15681375612278492</v>
      </c>
    </row>
    <row r="337" spans="1:26" x14ac:dyDescent="0.25">
      <c r="A337" s="11" t="s">
        <v>1330</v>
      </c>
      <c r="D337" s="94">
        <f t="shared" ref="D337:P337" si="189">SUM(D$333:D$336)</f>
        <v>-7.1309999999999993</v>
      </c>
      <c r="E337" s="94">
        <f t="shared" si="189"/>
        <v>-8.7219999999999995</v>
      </c>
      <c r="F337" s="94">
        <f t="shared" si="189"/>
        <v>21.023</v>
      </c>
      <c r="G337" s="94">
        <f t="shared" si="189"/>
        <v>-6.7219999999999995</v>
      </c>
      <c r="H337" s="94">
        <f t="shared" si="189"/>
        <v>14.658000000000001</v>
      </c>
      <c r="I337" s="94">
        <f t="shared" si="189"/>
        <v>4.6669999999999998</v>
      </c>
      <c r="J337" s="94">
        <f t="shared" si="189"/>
        <v>8.870000000000001</v>
      </c>
      <c r="K337" s="94">
        <f t="shared" si="189"/>
        <v>11.251999999999999</v>
      </c>
      <c r="L337" s="95">
        <f t="shared" si="189"/>
        <v>5.5949999999999998</v>
      </c>
      <c r="M337" s="95">
        <f t="shared" si="189"/>
        <v>6.1859999999999999</v>
      </c>
      <c r="N337" s="95">
        <f t="shared" si="189"/>
        <v>6.67</v>
      </c>
      <c r="O337" s="95">
        <f t="shared" si="189"/>
        <v>7.1619999999999999</v>
      </c>
      <c r="P337" s="95">
        <f t="shared" si="189"/>
        <v>7.8049999999999997</v>
      </c>
      <c r="Q337" s="96">
        <f t="shared" ref="Q337:Z337" ca="1" si="190">SUM(Q$333:Q$336)</f>
        <v>8.1893578666957438</v>
      </c>
      <c r="R337" s="96">
        <f t="shared" ca="1" si="190"/>
        <v>8.6778170884748373</v>
      </c>
      <c r="S337" s="96">
        <f t="shared" ca="1" si="190"/>
        <v>9.1935424145827049</v>
      </c>
      <c r="T337" s="96">
        <f t="shared" ca="1" si="190"/>
        <v>9.7397335211931519</v>
      </c>
      <c r="U337" s="96">
        <f t="shared" ca="1" si="190"/>
        <v>10.315927609072595</v>
      </c>
      <c r="V337" s="96">
        <f t="shared" ca="1" si="190"/>
        <v>10.915288094060537</v>
      </c>
      <c r="W337" s="96">
        <f t="shared" ca="1" si="190"/>
        <v>11.541113549028129</v>
      </c>
      <c r="X337" s="96">
        <f t="shared" ca="1" si="190"/>
        <v>12.198297499928369</v>
      </c>
      <c r="Y337" s="96">
        <f t="shared" ca="1" si="190"/>
        <v>12.89401253208573</v>
      </c>
      <c r="Z337" s="96">
        <f t="shared" ca="1" si="190"/>
        <v>13.634820401576503</v>
      </c>
    </row>
    <row r="339" spans="1:26" x14ac:dyDescent="0.25">
      <c r="A339" s="11" t="s">
        <v>881</v>
      </c>
    </row>
    <row r="340" spans="1:26" x14ac:dyDescent="0.25">
      <c r="A340" s="11" t="s">
        <v>1331</v>
      </c>
      <c r="B340" s="14" t="str">
        <f>$B$38</f>
        <v>From Fiscal Forecasts</v>
      </c>
      <c r="D340" s="51">
        <f>'Fiscal Forecasts'!D$177-SUM('Fiscal Forecasts'!D$301,'Fiscal Forecasts'!D$307)</f>
        <v>4.0000000000000036E-3</v>
      </c>
      <c r="E340" s="51">
        <f>'Fiscal Forecasts'!E$177-SUM('Fiscal Forecasts'!E$301,'Fiscal Forecasts'!E$307)</f>
        <v>-4.2000000000000703E-2</v>
      </c>
      <c r="F340" s="51">
        <f>'Fiscal Forecasts'!F$177-SUM('Fiscal Forecasts'!F$301,'Fiscal Forecasts'!F$307)</f>
        <v>-3.199999999999914E-2</v>
      </c>
      <c r="G340" s="51">
        <f>'Fiscal Forecasts'!G$177-SUM('Fiscal Forecasts'!G$301,'Fiscal Forecasts'!G$307)</f>
        <v>-0.18699999999999939</v>
      </c>
      <c r="H340" s="51">
        <f>'Fiscal Forecasts'!H$177-SUM('Fiscal Forecasts'!H$301,'Fiscal Forecasts'!H$307)</f>
        <v>-9.5000000000000639E-2</v>
      </c>
      <c r="I340" s="51">
        <f>'Fiscal Forecasts'!I$177-SUM('Fiscal Forecasts'!I$301,'Fiscal Forecasts'!I$307)</f>
        <v>-9.9999999999997868E-3</v>
      </c>
      <c r="J340" s="51">
        <f>'Fiscal Forecasts'!J$177-SUM('Fiscal Forecasts'!J$301,'Fiscal Forecasts'!J$307)</f>
        <v>-5.7000000000000384E-2</v>
      </c>
      <c r="K340" s="51">
        <f>'Fiscal Forecasts'!K$177-SUM('Fiscal Forecasts'!K$301,'Fiscal Forecasts'!K$307)</f>
        <v>-3.2000000000000028E-2</v>
      </c>
      <c r="L340" s="47">
        <f>'Fiscal Forecasts'!L$177-SUM('Fiscal Forecasts'!L$301,'Fiscal Forecasts'!L$307)</f>
        <v>3.9999999999995595E-3</v>
      </c>
      <c r="M340" s="47">
        <f>'Fiscal Forecasts'!M$177-SUM('Fiscal Forecasts'!M$301,'Fiscal Forecasts'!M$307)</f>
        <v>1.499999999999968E-2</v>
      </c>
      <c r="N340" s="47">
        <f>'Fiscal Forecasts'!N$177-SUM('Fiscal Forecasts'!N$301,'Fiscal Forecasts'!N$307)</f>
        <v>1.1000000000001009E-2</v>
      </c>
      <c r="O340" s="47">
        <f>'Fiscal Forecasts'!O$177-SUM('Fiscal Forecasts'!O$301,'Fiscal Forecasts'!O$307)</f>
        <v>1.2000000000000455E-2</v>
      </c>
      <c r="P340" s="47">
        <f>'Fiscal Forecasts'!P$177-SUM('Fiscal Forecasts'!P$301,'Fiscal Forecasts'!P$307)</f>
        <v>1.0000000000000675E-2</v>
      </c>
      <c r="Q340" s="21">
        <f t="shared" ref="Q340:Z340" ca="1" si="191">P$340*(1+Q$14)</f>
        <v>1.0435308893054404E-2</v>
      </c>
      <c r="R340" s="21">
        <f t="shared" ca="1" si="191"/>
        <v>1.0879489201897944E-2</v>
      </c>
      <c r="S340" s="21">
        <f t="shared" ca="1" si="191"/>
        <v>1.1335437084572445E-2</v>
      </c>
      <c r="T340" s="21">
        <f t="shared" ca="1" si="191"/>
        <v>1.1802086073035397E-2</v>
      </c>
      <c r="U340" s="21">
        <f t="shared" ca="1" si="191"/>
        <v>1.2285007456109151E-2</v>
      </c>
      <c r="V340" s="21">
        <f t="shared" ca="1" si="191"/>
        <v>1.2784372979015064E-2</v>
      </c>
      <c r="W340" s="21">
        <f t="shared" ca="1" si="191"/>
        <v>1.3297663350946046E-2</v>
      </c>
      <c r="X340" s="21">
        <f t="shared" ca="1" si="191"/>
        <v>1.3825734358114281E-2</v>
      </c>
      <c r="Y340" s="21">
        <f t="shared" ca="1" si="191"/>
        <v>1.4371347480635113E-2</v>
      </c>
      <c r="Z340" s="21">
        <f t="shared" ca="1" si="191"/>
        <v>1.4934643440266305E-2</v>
      </c>
    </row>
    <row r="341" spans="1:26" x14ac:dyDescent="0.25">
      <c r="A341" s="11" t="s">
        <v>1332</v>
      </c>
      <c r="B341" s="14" t="str">
        <f>$B$38</f>
        <v>From Fiscal Forecasts</v>
      </c>
      <c r="D341" s="51">
        <f>'Fiscal Forecasts'!D$27</f>
        <v>0.20599999999999999</v>
      </c>
      <c r="E341" s="51">
        <f>'Fiscal Forecasts'!E$27</f>
        <v>1.1930000000000001</v>
      </c>
      <c r="F341" s="51">
        <f>'Fiscal Forecasts'!F$27</f>
        <v>-0.36</v>
      </c>
      <c r="G341" s="51">
        <f>'Fiscal Forecasts'!G$27</f>
        <v>-0.126</v>
      </c>
      <c r="H341" s="51">
        <f>'Fiscal Forecasts'!H$27</f>
        <v>2.9000000000000001E-2</v>
      </c>
      <c r="I341" s="51">
        <f>'Fiscal Forecasts'!I$27</f>
        <v>0.12</v>
      </c>
      <c r="J341" s="51">
        <f>'Fiscal Forecasts'!J$27</f>
        <v>0.214</v>
      </c>
      <c r="K341" s="51">
        <f>'Fiscal Forecasts'!K$27</f>
        <v>0.27400000000000002</v>
      </c>
      <c r="L341" s="47">
        <f>'Fiscal Forecasts'!L$27</f>
        <v>0.26500000000000001</v>
      </c>
      <c r="M341" s="47">
        <f>'Fiscal Forecasts'!M$27</f>
        <v>0.252</v>
      </c>
      <c r="N341" s="47">
        <f>'Fiscal Forecasts'!N$27</f>
        <v>0.22</v>
      </c>
      <c r="O341" s="47">
        <f>'Fiscal Forecasts'!O$27</f>
        <v>0.127</v>
      </c>
      <c r="P341" s="47">
        <f>'Fiscal Forecasts'!P$27</f>
        <v>7.0000000000000007E-2</v>
      </c>
      <c r="Q341" s="21">
        <f t="shared" ref="Q341:Z341" ca="1" si="192">Q$340+(P$341-P$340)*(1+Q$14)</f>
        <v>7.3047162251375891E-2</v>
      </c>
      <c r="R341" s="21">
        <f t="shared" ca="1" si="192"/>
        <v>7.6156424413280466E-2</v>
      </c>
      <c r="S341" s="21">
        <f t="shared" ca="1" si="192"/>
        <v>7.9348059592001752E-2</v>
      </c>
      <c r="T341" s="21">
        <f t="shared" ca="1" si="192"/>
        <v>8.2614602511242197E-2</v>
      </c>
      <c r="U341" s="21">
        <f t="shared" ca="1" si="192"/>
        <v>8.5995052192758242E-2</v>
      </c>
      <c r="V341" s="21">
        <f t="shared" ca="1" si="192"/>
        <v>8.9490610853099395E-2</v>
      </c>
      <c r="W341" s="21">
        <f t="shared" ca="1" si="192"/>
        <v>9.308364345661603E-2</v>
      </c>
      <c r="X341" s="21">
        <f t="shared" ca="1" si="192"/>
        <v>9.6780140506793413E-2</v>
      </c>
      <c r="Y341" s="21">
        <f t="shared" ca="1" si="192"/>
        <v>0.10059943236443897</v>
      </c>
      <c r="Z341" s="21">
        <f t="shared" ca="1" si="192"/>
        <v>0.10454250408185706</v>
      </c>
    </row>
    <row r="343" spans="1:26" x14ac:dyDescent="0.25">
      <c r="A343" s="11" t="s">
        <v>941</v>
      </c>
    </row>
    <row r="344" spans="1:26" x14ac:dyDescent="0.25">
      <c r="A344" s="12" t="s">
        <v>1333</v>
      </c>
      <c r="D344" s="50">
        <f ca="1">OFFSET(Assumptions!$B$50,0,$C$1)*(D$384-D$350-D$391)</f>
        <v>1.31616</v>
      </c>
      <c r="E344" s="50">
        <f ca="1">OFFSET(Assumptions!$B$50,0,$C$1)*(E$384-E$350-E$391)</f>
        <v>1.29735</v>
      </c>
      <c r="F344" s="50">
        <f ca="1">OFFSET(Assumptions!$B$50,0,$C$1)*(F$384-F$350-F$391)</f>
        <v>1.6793399999999998</v>
      </c>
      <c r="G344" s="50">
        <f ca="1">OFFSET(Assumptions!$B$50,0,$C$1)*(G$384-G$350-G$391)</f>
        <v>1.8089399999999998</v>
      </c>
      <c r="H344" s="50">
        <f ca="1">OFFSET(Assumptions!$B$50,0,$C$1)*(H$384-H$350-H$391)</f>
        <v>1.7712000000000003</v>
      </c>
      <c r="I344" s="50">
        <f ca="1">OFFSET(Assumptions!$B$50,0,$C$1)*(I$384-I$350-I$391)</f>
        <v>2.0238899999999997</v>
      </c>
      <c r="J344" s="50">
        <f ca="1">OFFSET(Assumptions!$B$50,0,$C$1)*(J$384-J$350-J$391)</f>
        <v>2.2551899999999998</v>
      </c>
      <c r="K344" s="50">
        <f ca="1">OFFSET(Assumptions!$B$50,0,$C$1)*(K$384-K$350-K$391)</f>
        <v>2.5261199999999997</v>
      </c>
      <c r="L344" s="48">
        <f ca="1">OFFSET(Assumptions!$B$50,0,$C$1)*(L$384-L$350-L$391)</f>
        <v>2.8082699999999998</v>
      </c>
      <c r="M344" s="48">
        <f ca="1">OFFSET(Assumptions!$B$50,0,$C$1)*(M$384-M$350-M$391)</f>
        <v>3.0734999999999997</v>
      </c>
      <c r="N344" s="48">
        <f ca="1">OFFSET(Assumptions!$B$50,0,$C$1)*(N$384-N$350-N$391)</f>
        <v>3.2325900000000001</v>
      </c>
      <c r="O344" s="48">
        <f ca="1">OFFSET(Assumptions!$B$50,0,$C$1)*(O$384-O$350-O$391)</f>
        <v>3.4293900000000002</v>
      </c>
      <c r="P344" s="48">
        <f ca="1">OFFSET(Assumptions!$B$50,0,$C$1)*(P$384-P$350-P$391)</f>
        <v>3.6507000000000001</v>
      </c>
      <c r="Q344" s="20">
        <f ca="1">OFFSET(Assumptions!$B$50,0,$C$1)*(Q$384-Q$350-Q$391)</f>
        <v>3.8555168836921516</v>
      </c>
      <c r="R344" s="20">
        <f ca="1">OFFSET(Assumptions!$B$50,0,$C$1)*(R$384-R$350-R$391)</f>
        <v>4.0907614936116232</v>
      </c>
      <c r="S344" s="20">
        <f ca="1">OFFSET(Assumptions!$B$50,0,$C$1)*(S$384-S$350-S$391)</f>
        <v>4.3355826994696205</v>
      </c>
      <c r="T344" s="20">
        <f ca="1">OFFSET(Assumptions!$B$50,0,$C$1)*(T$384-T$350-T$391)</f>
        <v>4.5908237902422755</v>
      </c>
      <c r="U344" s="20">
        <f ca="1">OFFSET(Assumptions!$B$50,0,$C$1)*(U$384-U$350-U$391)</f>
        <v>4.8554975253519128</v>
      </c>
      <c r="V344" s="20">
        <f ca="1">OFFSET(Assumptions!$B$50,0,$C$1)*(V$384-V$350-V$391)</f>
        <v>5.1312818162294684</v>
      </c>
      <c r="W344" s="20">
        <f ca="1">OFFSET(Assumptions!$B$50,0,$C$1)*(W$384-W$350-W$391)</f>
        <v>5.4208727375388328</v>
      </c>
      <c r="X344" s="20">
        <f ca="1">OFFSET(Assumptions!$B$50,0,$C$1)*(X$384-X$350-X$391)</f>
        <v>5.7271350366906253</v>
      </c>
      <c r="Y344" s="20">
        <f ca="1">OFFSET(Assumptions!$B$50,0,$C$1)*(Y$384-Y$350-Y$391)</f>
        <v>6.0539090089442951</v>
      </c>
      <c r="Z344" s="20">
        <f ca="1">OFFSET(Assumptions!$B$50,0,$C$1)*(Z$384-Z$350-Z$391)</f>
        <v>6.4046646546135451</v>
      </c>
    </row>
    <row r="345" spans="1:26" x14ac:dyDescent="0.25">
      <c r="A345" s="12" t="s">
        <v>1334</v>
      </c>
      <c r="B345" s="14" t="str">
        <f>$B$38</f>
        <v>From Fiscal Forecasts</v>
      </c>
      <c r="D345" s="50">
        <f ca="1">'Fiscal Forecasts'!D$180-D$344</f>
        <v>16.06184</v>
      </c>
      <c r="E345" s="50">
        <f ca="1">'Fiscal Forecasts'!E$180-E$344</f>
        <v>16.883649999999999</v>
      </c>
      <c r="F345" s="50">
        <f ca="1">'Fiscal Forecasts'!F$180-F$344</f>
        <v>11.44966</v>
      </c>
      <c r="G345" s="50">
        <f ca="1">'Fiscal Forecasts'!G$180-G$344</f>
        <v>9.5990599999999997</v>
      </c>
      <c r="H345" s="50">
        <f ca="1">'Fiscal Forecasts'!H$180-H$344</f>
        <v>9.2018000000000004</v>
      </c>
      <c r="I345" s="50">
        <f ca="1">'Fiscal Forecasts'!I$180-I$344</f>
        <v>7.0871100000000009</v>
      </c>
      <c r="J345" s="50">
        <f ca="1">'Fiscal Forecasts'!J$180-J$344</f>
        <v>13.806810000000002</v>
      </c>
      <c r="K345" s="50">
        <f ca="1">'Fiscal Forecasts'!K$180-K$344</f>
        <v>17.553879999999999</v>
      </c>
      <c r="L345" s="48">
        <f ca="1">'Fiscal Forecasts'!L$180-L$344+IF($C$3="Yes",OFFSET(Assumptions!$B$50,0,$C$1)*('NZSF Adjuster'!W$29-'NZSF Adjuster'!W$20),0)</f>
        <v>18.414729999999999</v>
      </c>
      <c r="M345" s="48">
        <f ca="1">'Fiscal Forecasts'!M$180-M$344+IF($C$3="Yes",OFFSET(Assumptions!$B$50,0,$C$1)*('NZSF Adjuster'!X$29-'NZSF Adjuster'!X$20),0)</f>
        <v>18.426500000000001</v>
      </c>
      <c r="N345" s="48">
        <f ca="1">'Fiscal Forecasts'!N$180-N$344+IF($C$3="Yes",OFFSET(Assumptions!$B$50,0,$C$1)*('NZSF Adjuster'!Y$29-'NZSF Adjuster'!Y$20),0)</f>
        <v>18.488410000000002</v>
      </c>
      <c r="O345" s="48">
        <f ca="1">'Fiscal Forecasts'!O$180-O$344+IF($C$3="Yes",OFFSET(Assumptions!$B$50,0,$C$1)*('NZSF Adjuster'!Z$29-'NZSF Adjuster'!Z$20),0)</f>
        <v>18.16161</v>
      </c>
      <c r="P345" s="48">
        <f ca="1">'Fiscal Forecasts'!P$180-P$344+IF($C$3="Yes",OFFSET(Assumptions!$B$50,0,$C$1)*('NZSF Adjuster'!AA$29-'NZSF Adjuster'!AA$20),0)</f>
        <v>17.622299999999999</v>
      </c>
      <c r="Q345" s="20">
        <f t="shared" ref="Q345:Z345" ca="1" si="193">P$345*(1+Q$14)</f>
        <v>18.389414390606017</v>
      </c>
      <c r="R345" s="20">
        <f t="shared" ca="1" si="193"/>
        <v>19.172162256259313</v>
      </c>
      <c r="S345" s="20">
        <f t="shared" ca="1" si="193"/>
        <v>19.975647293544743</v>
      </c>
      <c r="T345" s="20">
        <f t="shared" ca="1" si="193"/>
        <v>20.797990140483755</v>
      </c>
      <c r="U345" s="20">
        <f t="shared" ca="1" si="193"/>
        <v>21.649008689377759</v>
      </c>
      <c r="V345" s="20">
        <f t="shared" ca="1" si="193"/>
        <v>22.529005594808186</v>
      </c>
      <c r="W345" s="20">
        <f t="shared" ca="1" si="193"/>
        <v>23.433541286936059</v>
      </c>
      <c r="X345" s="20">
        <f t="shared" ca="1" si="193"/>
        <v>24.364123857898072</v>
      </c>
      <c r="Y345" s="20">
        <f t="shared" ca="1" si="193"/>
        <v>25.325619670797892</v>
      </c>
      <c r="Z345" s="20">
        <f t="shared" ca="1" si="193"/>
        <v>26.318276709738701</v>
      </c>
    </row>
    <row r="346" spans="1:26" x14ac:dyDescent="0.25">
      <c r="A346" s="11" t="s">
        <v>1335</v>
      </c>
      <c r="D346" s="94">
        <f t="shared" ref="D346:Z346" ca="1" si="194">SUM(D$344:D$345)</f>
        <v>17.378</v>
      </c>
      <c r="E346" s="94">
        <f t="shared" ca="1" si="194"/>
        <v>18.181000000000001</v>
      </c>
      <c r="F346" s="94">
        <f t="shared" ca="1" si="194"/>
        <v>13.129</v>
      </c>
      <c r="G346" s="94">
        <f t="shared" ca="1" si="194"/>
        <v>11.407999999999999</v>
      </c>
      <c r="H346" s="94">
        <f t="shared" ca="1" si="194"/>
        <v>10.973000000000001</v>
      </c>
      <c r="I346" s="94">
        <f t="shared" ca="1" si="194"/>
        <v>9.1110000000000007</v>
      </c>
      <c r="J346" s="94">
        <f t="shared" ca="1" si="194"/>
        <v>16.062000000000001</v>
      </c>
      <c r="K346" s="94">
        <f t="shared" ca="1" si="194"/>
        <v>20.079999999999998</v>
      </c>
      <c r="L346" s="95">
        <f t="shared" ca="1" si="194"/>
        <v>21.222999999999999</v>
      </c>
      <c r="M346" s="95">
        <f t="shared" ca="1" si="194"/>
        <v>21.5</v>
      </c>
      <c r="N346" s="95">
        <f t="shared" ca="1" si="194"/>
        <v>21.721000000000004</v>
      </c>
      <c r="O346" s="95">
        <f t="shared" ca="1" si="194"/>
        <v>21.591000000000001</v>
      </c>
      <c r="P346" s="95">
        <f t="shared" ca="1" si="194"/>
        <v>21.273</v>
      </c>
      <c r="Q346" s="96">
        <f t="shared" ca="1" si="194"/>
        <v>22.244931274298168</v>
      </c>
      <c r="R346" s="96">
        <f t="shared" ca="1" si="194"/>
        <v>23.262923749870936</v>
      </c>
      <c r="S346" s="96">
        <f t="shared" ca="1" si="194"/>
        <v>24.311229993014365</v>
      </c>
      <c r="T346" s="96">
        <f t="shared" ca="1" si="194"/>
        <v>25.38881393072603</v>
      </c>
      <c r="U346" s="96">
        <f t="shared" ca="1" si="194"/>
        <v>26.504506214729673</v>
      </c>
      <c r="V346" s="96">
        <f t="shared" ca="1" si="194"/>
        <v>27.660287411037654</v>
      </c>
      <c r="W346" s="96">
        <f t="shared" ca="1" si="194"/>
        <v>28.854414024474892</v>
      </c>
      <c r="X346" s="96">
        <f t="shared" ca="1" si="194"/>
        <v>30.091258894588698</v>
      </c>
      <c r="Y346" s="96">
        <f t="shared" ca="1" si="194"/>
        <v>31.379528679742187</v>
      </c>
      <c r="Z346" s="96">
        <f t="shared" ca="1" si="194"/>
        <v>32.722941364352245</v>
      </c>
    </row>
    <row r="347" spans="1:26" x14ac:dyDescent="0.25">
      <c r="A347" s="11" t="s">
        <v>1336</v>
      </c>
      <c r="B347" s="14" t="str">
        <f>$B$38</f>
        <v>From Fiscal Forecasts</v>
      </c>
      <c r="D347" s="51">
        <f>'Fiscal Forecasts'!D$120</f>
        <v>20.248000000000001</v>
      </c>
      <c r="E347" s="51">
        <f>'Fiscal Forecasts'!E$120</f>
        <v>21.927</v>
      </c>
      <c r="F347" s="51">
        <f>'Fiscal Forecasts'!F$120</f>
        <v>18.754999999999999</v>
      </c>
      <c r="G347" s="51">
        <f>'Fiscal Forecasts'!G$120</f>
        <v>17.835000000000001</v>
      </c>
      <c r="H347" s="51">
        <f>'Fiscal Forecasts'!H$120</f>
        <v>18.791</v>
      </c>
      <c r="I347" s="51">
        <f>'Fiscal Forecasts'!I$120</f>
        <v>16.212</v>
      </c>
      <c r="J347" s="51">
        <f>'Fiscal Forecasts'!J$120</f>
        <v>23.667999999999999</v>
      </c>
      <c r="K347" s="51">
        <f>'Fiscal Forecasts'!K$120</f>
        <v>28.646000000000001</v>
      </c>
      <c r="L347" s="47">
        <f ca="1">'Fiscal Forecasts'!L$120+IF($C$3="Yes",OFFSET(Assumptions!$B$50,0,$C$1)*('NZSF Adjuster'!W$29-'NZSF Adjuster'!W$20),0)</f>
        <v>28.898</v>
      </c>
      <c r="M347" s="47">
        <f ca="1">'Fiscal Forecasts'!M$120+IF($C$3="Yes",OFFSET(Assumptions!$B$50,0,$C$1)*('NZSF Adjuster'!X$29-'NZSF Adjuster'!X$20),0)</f>
        <v>28.678000000000001</v>
      </c>
      <c r="N347" s="47">
        <f ca="1">'Fiscal Forecasts'!N$120+IF($C$3="Yes",OFFSET(Assumptions!$B$50,0,$C$1)*('NZSF Adjuster'!Y$29-'NZSF Adjuster'!Y$20),0)</f>
        <v>28.951000000000001</v>
      </c>
      <c r="O347" s="47">
        <f ca="1">'Fiscal Forecasts'!O$120+IF($C$3="Yes",OFFSET(Assumptions!$B$50,0,$C$1)*('NZSF Adjuster'!Z$29-'NZSF Adjuster'!Z$20),0)</f>
        <v>28.582000000000001</v>
      </c>
      <c r="P347" s="47">
        <f ca="1">'Fiscal Forecasts'!P$120+IF($C$3="Yes",OFFSET(Assumptions!$B$50,0,$C$1)*('NZSF Adjuster'!AA$29-'NZSF Adjuster'!AA$20),0)</f>
        <v>28.151</v>
      </c>
      <c r="Q347" s="21">
        <f t="shared" ref="Q347:Z347" ca="1" si="195">Q$346+(P$347-P$346)*(1+Q$14)</f>
        <v>29.422336730940501</v>
      </c>
      <c r="R347" s="21">
        <f t="shared" ca="1" si="195"/>
        <v>30.745836422935835</v>
      </c>
      <c r="S347" s="21">
        <f t="shared" ca="1" si="195"/>
        <v>32.107743619782767</v>
      </c>
      <c r="T347" s="21">
        <f t="shared" ca="1" si="195"/>
        <v>33.506288731759227</v>
      </c>
      <c r="U347" s="21">
        <f t="shared" ca="1" si="195"/>
        <v>34.954134343040977</v>
      </c>
      <c r="V347" s="21">
        <f t="shared" ca="1" si="195"/>
        <v>36.45337914600362</v>
      </c>
      <c r="W347" s="21">
        <f t="shared" ca="1" si="195"/>
        <v>38.000546877254962</v>
      </c>
      <c r="X347" s="21">
        <f t="shared" ca="1" si="195"/>
        <v>39.600598986099058</v>
      </c>
      <c r="Y347" s="21">
        <f t="shared" ca="1" si="195"/>
        <v>41.264141476922347</v>
      </c>
      <c r="Z347" s="21">
        <f t="shared" ca="1" si="195"/>
        <v>42.994989122566714</v>
      </c>
    </row>
    <row r="349" spans="1:26" x14ac:dyDescent="0.25">
      <c r="A349" s="11" t="s">
        <v>942</v>
      </c>
    </row>
    <row r="350" spans="1:26" x14ac:dyDescent="0.25">
      <c r="A350" s="12" t="s">
        <v>1337</v>
      </c>
      <c r="D350" s="50">
        <f t="shared" ref="D350:P350" si="196">D$384-D$76+D$75-D$72</f>
        <v>-1.567999999999997</v>
      </c>
      <c r="E350" s="50">
        <f t="shared" si="196"/>
        <v>1.2899999999999934</v>
      </c>
      <c r="F350" s="50">
        <f t="shared" si="196"/>
        <v>0.86300000000000299</v>
      </c>
      <c r="G350" s="50">
        <f t="shared" si="196"/>
        <v>0.49900000000000599</v>
      </c>
      <c r="H350" s="50">
        <f t="shared" si="196"/>
        <v>1.8429999999999807</v>
      </c>
      <c r="I350" s="50">
        <f t="shared" si="196"/>
        <v>2.6770000000000094</v>
      </c>
      <c r="J350" s="50">
        <f t="shared" si="196"/>
        <v>2.1510000000000047</v>
      </c>
      <c r="K350" s="50">
        <f t="shared" si="196"/>
        <v>4.8140000000000036</v>
      </c>
      <c r="L350" s="48">
        <f t="shared" si="196"/>
        <v>2.475000000000013</v>
      </c>
      <c r="M350" s="48">
        <f t="shared" si="196"/>
        <v>1.1260000000000125</v>
      </c>
      <c r="N350" s="48">
        <f t="shared" si="196"/>
        <v>1.8230000000000068</v>
      </c>
      <c r="O350" s="48">
        <f t="shared" si="196"/>
        <v>2.1649999999999965</v>
      </c>
      <c r="P350" s="48">
        <f t="shared" si="196"/>
        <v>2.3500000000000014</v>
      </c>
      <c r="Q350" s="20">
        <f t="shared" ref="Q350:Z350" ca="1" si="197">SUM(P$350,Q$442-P$442,Q$468-P$468)</f>
        <v>3.1163783738709481</v>
      </c>
      <c r="R350" s="20">
        <f t="shared" ca="1" si="197"/>
        <v>3.2719890369741136</v>
      </c>
      <c r="S350" s="20">
        <f t="shared" ca="1" si="197"/>
        <v>3.4339344698506422</v>
      </c>
      <c r="T350" s="20">
        <f t="shared" ca="1" si="197"/>
        <v>3.602772495087025</v>
      </c>
      <c r="U350" s="20">
        <f t="shared" ca="1" si="197"/>
        <v>3.7778500683436431</v>
      </c>
      <c r="V350" s="20">
        <f t="shared" ca="1" si="197"/>
        <v>3.9602771020239529</v>
      </c>
      <c r="W350" s="20">
        <f t="shared" ca="1" si="197"/>
        <v>4.1518370077282043</v>
      </c>
      <c r="X350" s="20">
        <f t="shared" ca="1" si="197"/>
        <v>4.3544247714640987</v>
      </c>
      <c r="Y350" s="20">
        <f t="shared" ca="1" si="197"/>
        <v>4.5705806890201046</v>
      </c>
      <c r="Z350" s="20">
        <f t="shared" ca="1" si="197"/>
        <v>4.802600111817739</v>
      </c>
    </row>
    <row r="351" spans="1:26" x14ac:dyDescent="0.25">
      <c r="A351" s="12" t="s">
        <v>1063</v>
      </c>
      <c r="B351" s="14" t="str">
        <f>$B$38</f>
        <v>From Fiscal Forecasts</v>
      </c>
      <c r="D351" s="50">
        <f>'Fiscal Forecasts'!D$319</f>
        <v>13.763999999999999</v>
      </c>
      <c r="E351" s="50">
        <f>'Fiscal Forecasts'!E$319</f>
        <v>14.29</v>
      </c>
      <c r="F351" s="50">
        <f>'Fiscal Forecasts'!F$319</f>
        <v>15.641999999999999</v>
      </c>
      <c r="G351" s="50">
        <f>'Fiscal Forecasts'!G$319</f>
        <v>20.076000000000001</v>
      </c>
      <c r="H351" s="50">
        <f>'Fiscal Forecasts'!H$319</f>
        <v>20.298999999999999</v>
      </c>
      <c r="I351" s="50">
        <f>'Fiscal Forecasts'!I$319</f>
        <v>22.413</v>
      </c>
      <c r="J351" s="50">
        <f>'Fiscal Forecasts'!J$319</f>
        <v>20.936</v>
      </c>
      <c r="K351" s="50">
        <f>'Fiscal Forecasts'!K$319</f>
        <v>19.382999999999999</v>
      </c>
      <c r="L351" s="48">
        <f>'Fiscal Forecasts'!L$319</f>
        <v>23.151</v>
      </c>
      <c r="M351" s="48">
        <f>'Fiscal Forecasts'!M$319</f>
        <v>24.097999999999999</v>
      </c>
      <c r="N351" s="48">
        <f>'Fiscal Forecasts'!N$319</f>
        <v>24.632999999999999</v>
      </c>
      <c r="O351" s="48">
        <f>'Fiscal Forecasts'!O$319</f>
        <v>25.231000000000002</v>
      </c>
      <c r="P351" s="48">
        <f>'Fiscal Forecasts'!P$319</f>
        <v>25.943000000000001</v>
      </c>
      <c r="Q351" s="20">
        <f t="shared" ref="Q351:Z351" ca="1" si="198">P$351*Q$142/P$142</f>
        <v>26.990957850673652</v>
      </c>
      <c r="R351" s="20">
        <f t="shared" ca="1" si="198"/>
        <v>28.038488020801154</v>
      </c>
      <c r="S351" s="20">
        <f t="shared" ca="1" si="198"/>
        <v>29.140919964062721</v>
      </c>
      <c r="T351" s="20">
        <f t="shared" ca="1" si="198"/>
        <v>30.31976260993504</v>
      </c>
      <c r="U351" s="20">
        <f t="shared" ca="1" si="198"/>
        <v>31.555552276252204</v>
      </c>
      <c r="V351" s="20">
        <f t="shared" ca="1" si="198"/>
        <v>32.833186730858728</v>
      </c>
      <c r="W351" s="20">
        <f t="shared" ca="1" si="198"/>
        <v>34.145889368220068</v>
      </c>
      <c r="X351" s="20">
        <f t="shared" ca="1" si="198"/>
        <v>35.496265878945337</v>
      </c>
      <c r="Y351" s="20">
        <f t="shared" ca="1" si="198"/>
        <v>36.891452498971518</v>
      </c>
      <c r="Z351" s="20">
        <f t="shared" ca="1" si="198"/>
        <v>38.331675365073757</v>
      </c>
    </row>
    <row r="352" spans="1:26" x14ac:dyDescent="0.25">
      <c r="A352" s="12" t="s">
        <v>1338</v>
      </c>
      <c r="B352" s="14" t="str">
        <f>$B$38</f>
        <v>From Fiscal Forecasts</v>
      </c>
      <c r="D352" s="50">
        <f>'Fiscal Forecasts'!D$181-SUM(D$350:D$351)</f>
        <v>4.3769999999999989</v>
      </c>
      <c r="E352" s="50">
        <f>'Fiscal Forecasts'!E$181-SUM(E$350:E$351)</f>
        <v>2.5200000000000085</v>
      </c>
      <c r="F352" s="50">
        <f>'Fiscal Forecasts'!F$181-SUM(F$350:F$351)</f>
        <v>3.7319999999999958</v>
      </c>
      <c r="G352" s="50">
        <f>'Fiscal Forecasts'!G$181-SUM(G$350:G$351)</f>
        <v>7.7129999999999939</v>
      </c>
      <c r="H352" s="50">
        <f>'Fiscal Forecasts'!H$181-SUM(H$350:H$351)</f>
        <v>3.5320000000000178</v>
      </c>
      <c r="I352" s="50">
        <f>'Fiscal Forecasts'!I$181-SUM(I$350:I$351)</f>
        <v>3.5489999999999888</v>
      </c>
      <c r="J352" s="50">
        <f>'Fiscal Forecasts'!J$181-SUM(J$350:J$351)</f>
        <v>3.1879999999999953</v>
      </c>
      <c r="K352" s="50">
        <f>'Fiscal Forecasts'!K$181-SUM(K$350:K$351)</f>
        <v>3.9099999999999966</v>
      </c>
      <c r="L352" s="48">
        <f>'Fiscal Forecasts'!L$181-SUM(L$350:L$351)</f>
        <v>3.8129999999999882</v>
      </c>
      <c r="M352" s="48">
        <f>'Fiscal Forecasts'!M$181-SUM(M$350:M$351)</f>
        <v>5.3349999999999902</v>
      </c>
      <c r="N352" s="48">
        <f>'Fiscal Forecasts'!N$181-SUM(N$350:N$351)</f>
        <v>4.9249999999999936</v>
      </c>
      <c r="O352" s="48">
        <f>'Fiscal Forecasts'!O$181-SUM(O$350:O$351)</f>
        <v>4.887000000000004</v>
      </c>
      <c r="P352" s="48">
        <f>'Fiscal Forecasts'!P$181-SUM(P$350:P$351)</f>
        <v>4.9369999999999941</v>
      </c>
      <c r="Q352" s="20">
        <f t="shared" ref="Q352:Z352" ca="1" si="199">SUM(P$352,Q$444-P$444,Q$469-P$469)</f>
        <v>5.1888399999999946</v>
      </c>
      <c r="R352" s="20">
        <f t="shared" ca="1" si="199"/>
        <v>5.4457167999999943</v>
      </c>
      <c r="S352" s="20">
        <f t="shared" ca="1" si="199"/>
        <v>5.7077311359999943</v>
      </c>
      <c r="T352" s="20">
        <f t="shared" ca="1" si="199"/>
        <v>5.9749857587199946</v>
      </c>
      <c r="U352" s="20">
        <f t="shared" ca="1" si="199"/>
        <v>6.2475854738943948</v>
      </c>
      <c r="V352" s="20">
        <f t="shared" ca="1" si="199"/>
        <v>6.5256371833722824</v>
      </c>
      <c r="W352" s="20">
        <f t="shared" ca="1" si="199"/>
        <v>6.809249927039728</v>
      </c>
      <c r="X352" s="20">
        <f t="shared" ca="1" si="199"/>
        <v>7.0985349255805223</v>
      </c>
      <c r="Y352" s="20">
        <f t="shared" ca="1" si="199"/>
        <v>7.3936056240921326</v>
      </c>
      <c r="Z352" s="20">
        <f t="shared" ca="1" si="199"/>
        <v>7.6945777365739758</v>
      </c>
    </row>
    <row r="353" spans="1:26" x14ac:dyDescent="0.25">
      <c r="A353" s="11" t="s">
        <v>1339</v>
      </c>
      <c r="D353" s="94">
        <f t="shared" ref="D353:P353" si="200">SUM(D$350:D$352)</f>
        <v>16.573</v>
      </c>
      <c r="E353" s="94">
        <f t="shared" si="200"/>
        <v>18.100000000000001</v>
      </c>
      <c r="F353" s="94">
        <f t="shared" si="200"/>
        <v>20.236999999999998</v>
      </c>
      <c r="G353" s="94">
        <f t="shared" si="200"/>
        <v>28.288</v>
      </c>
      <c r="H353" s="94">
        <f t="shared" si="200"/>
        <v>25.673999999999999</v>
      </c>
      <c r="I353" s="94">
        <f t="shared" si="200"/>
        <v>28.638999999999999</v>
      </c>
      <c r="J353" s="94">
        <f t="shared" si="200"/>
        <v>26.274999999999999</v>
      </c>
      <c r="K353" s="94">
        <f t="shared" si="200"/>
        <v>28.106999999999999</v>
      </c>
      <c r="L353" s="95">
        <f t="shared" si="200"/>
        <v>29.439</v>
      </c>
      <c r="M353" s="95">
        <f t="shared" si="200"/>
        <v>30.559000000000001</v>
      </c>
      <c r="N353" s="95">
        <f t="shared" si="200"/>
        <v>31.381</v>
      </c>
      <c r="O353" s="95">
        <f t="shared" si="200"/>
        <v>32.283000000000001</v>
      </c>
      <c r="P353" s="95">
        <f t="shared" si="200"/>
        <v>33.229999999999997</v>
      </c>
      <c r="Q353" s="96">
        <f t="shared" ref="Q353:Z353" ca="1" si="201">SUM(Q$350:Q$352)</f>
        <v>35.296176224544595</v>
      </c>
      <c r="R353" s="96">
        <f t="shared" ca="1" si="201"/>
        <v>36.756193857775258</v>
      </c>
      <c r="S353" s="96">
        <f t="shared" ca="1" si="201"/>
        <v>38.282585569913358</v>
      </c>
      <c r="T353" s="96">
        <f t="shared" ca="1" si="201"/>
        <v>39.897520863742059</v>
      </c>
      <c r="U353" s="96">
        <f t="shared" ca="1" si="201"/>
        <v>41.580987818490243</v>
      </c>
      <c r="V353" s="96">
        <f t="shared" ca="1" si="201"/>
        <v>43.319101016254962</v>
      </c>
      <c r="W353" s="96">
        <f t="shared" ca="1" si="201"/>
        <v>45.106976302988002</v>
      </c>
      <c r="X353" s="96">
        <f t="shared" ca="1" si="201"/>
        <v>46.949225575989956</v>
      </c>
      <c r="Y353" s="96">
        <f t="shared" ca="1" si="201"/>
        <v>48.855638812083754</v>
      </c>
      <c r="Z353" s="96">
        <f t="shared" ca="1" si="201"/>
        <v>50.828853213465472</v>
      </c>
    </row>
    <row r="354" spans="1:26" x14ac:dyDescent="0.25">
      <c r="A354" s="11" t="s">
        <v>1340</v>
      </c>
      <c r="B354" s="14" t="str">
        <f>$B$38</f>
        <v>From Fiscal Forecasts</v>
      </c>
      <c r="D354" s="51">
        <f>'Fiscal Forecasts'!D$121</f>
        <v>23.327000000000002</v>
      </c>
      <c r="E354" s="51">
        <f>'Fiscal Forecasts'!E$121</f>
        <v>24.742999999999999</v>
      </c>
      <c r="F354" s="51">
        <f>'Fiscal Forecasts'!F$121</f>
        <v>26.829000000000001</v>
      </c>
      <c r="G354" s="51">
        <f>'Fiscal Forecasts'!G$121</f>
        <v>35.134999999999998</v>
      </c>
      <c r="H354" s="51">
        <f>'Fiscal Forecasts'!H$121</f>
        <v>33.548000000000002</v>
      </c>
      <c r="I354" s="51">
        <f>'Fiscal Forecasts'!I$121</f>
        <v>37.231999999999999</v>
      </c>
      <c r="J354" s="51">
        <f>'Fiscal Forecasts'!J$121</f>
        <v>34.76</v>
      </c>
      <c r="K354" s="51">
        <f>'Fiscal Forecasts'!K$121</f>
        <v>36.582000000000001</v>
      </c>
      <c r="L354" s="47">
        <f>'Fiscal Forecasts'!L$121</f>
        <v>38.957000000000001</v>
      </c>
      <c r="M354" s="47">
        <f>'Fiscal Forecasts'!M$121</f>
        <v>40.423999999999999</v>
      </c>
      <c r="N354" s="47">
        <f>'Fiscal Forecasts'!N$121</f>
        <v>41.817999999999998</v>
      </c>
      <c r="O354" s="47">
        <f>'Fiscal Forecasts'!O$121</f>
        <v>43.411999999999999</v>
      </c>
      <c r="P354" s="47">
        <f>'Fiscal Forecasts'!P$121</f>
        <v>43.962000000000003</v>
      </c>
      <c r="Q354" s="21">
        <f t="shared" ref="Q354:Z354" ca="1" si="202">SUM(P$354,Q$353-P$353,,Q$446-P$446,Q$454-P$454,Q$471-P$471)-SUM(Q$445-P$445,Q$453-P$453,Q$470-P$470)</f>
        <v>46.301656224544608</v>
      </c>
      <c r="R354" s="21">
        <f t="shared" ca="1" si="202"/>
        <v>48.040623457775276</v>
      </c>
      <c r="S354" s="21">
        <f t="shared" ca="1" si="202"/>
        <v>49.851543761913376</v>
      </c>
      <c r="T354" s="21">
        <f t="shared" ca="1" si="202"/>
        <v>51.756698219582084</v>
      </c>
      <c r="U354" s="21">
        <f t="shared" ca="1" si="202"/>
        <v>53.736188721447064</v>
      </c>
      <c r="V354" s="21">
        <f t="shared" ca="1" si="202"/>
        <v>55.776245937270922</v>
      </c>
      <c r="W354" s="21">
        <f t="shared" ca="1" si="202"/>
        <v>57.872104122424275</v>
      </c>
      <c r="X354" s="21">
        <f t="shared" ca="1" si="202"/>
        <v>60.028495951814961</v>
      </c>
      <c r="Y354" s="21">
        <f t="shared" ca="1" si="202"/>
        <v>62.255334595425261</v>
      </c>
      <c r="Z354" s="21">
        <f t="shared" ca="1" si="202"/>
        <v>64.555382912473803</v>
      </c>
    </row>
    <row r="356" spans="1:26" x14ac:dyDescent="0.25">
      <c r="A356" s="11" t="s">
        <v>943</v>
      </c>
    </row>
    <row r="357" spans="1:26" x14ac:dyDescent="0.25">
      <c r="A357" s="12" t="s">
        <v>1341</v>
      </c>
      <c r="D357" s="50">
        <f ca="1">OFFSET(Assumptions!$B$51,0,$C$1)*(D$384-D$350-D$391)</f>
        <v>13.60032</v>
      </c>
      <c r="E357" s="50">
        <f ca="1">OFFSET(Assumptions!$B$51,0,$C$1)*(E$384-E$350-E$391)</f>
        <v>13.405950000000001</v>
      </c>
      <c r="F357" s="50">
        <f ca="1">OFFSET(Assumptions!$B$51,0,$C$1)*(F$384-F$350-F$391)</f>
        <v>17.353179999999998</v>
      </c>
      <c r="G357" s="50">
        <f ca="1">OFFSET(Assumptions!$B$51,0,$C$1)*(G$384-G$350-G$391)</f>
        <v>18.69238</v>
      </c>
      <c r="H357" s="50">
        <f ca="1">OFFSET(Assumptions!$B$51,0,$C$1)*(H$384-H$350-H$391)</f>
        <v>18.302400000000006</v>
      </c>
      <c r="I357" s="50">
        <f ca="1">OFFSET(Assumptions!$B$51,0,$C$1)*(I$384-I$350-I$391)</f>
        <v>20.913529999999998</v>
      </c>
      <c r="J357" s="50">
        <f ca="1">OFFSET(Assumptions!$B$51,0,$C$1)*(J$384-J$350-J$391)</f>
        <v>23.303630000000002</v>
      </c>
      <c r="K357" s="50">
        <f ca="1">OFFSET(Assumptions!$B$51,0,$C$1)*(K$384-K$350-K$391)</f>
        <v>26.10324</v>
      </c>
      <c r="L357" s="48">
        <f ca="1">OFFSET(Assumptions!$B$51,0,$C$1)*(L$384-L$350-L$391)</f>
        <v>29.018789999999999</v>
      </c>
      <c r="M357" s="48">
        <f ca="1">OFFSET(Assumptions!$B$51,0,$C$1)*(M$384-M$350-M$391)</f>
        <v>31.759499999999996</v>
      </c>
      <c r="N357" s="48">
        <f ca="1">OFFSET(Assumptions!$B$51,0,$C$1)*(N$384-N$350-N$391)</f>
        <v>33.40343</v>
      </c>
      <c r="O357" s="48">
        <f ca="1">OFFSET(Assumptions!$B$51,0,$C$1)*(O$384-O$350-O$391)</f>
        <v>35.437030000000007</v>
      </c>
      <c r="P357" s="48">
        <f ca="1">OFFSET(Assumptions!$B$51,0,$C$1)*(P$384-P$350-P$391)</f>
        <v>37.7239</v>
      </c>
      <c r="Q357" s="20">
        <f ca="1">OFFSET(Assumptions!$B$51,0,$C$1)*(Q$384-Q$350-Q$391)</f>
        <v>39.840341131485566</v>
      </c>
      <c r="R357" s="20">
        <f ca="1">OFFSET(Assumptions!$B$51,0,$C$1)*(R$384-R$350-R$391)</f>
        <v>42.27120210065344</v>
      </c>
      <c r="S357" s="20">
        <f ca="1">OFFSET(Assumptions!$B$51,0,$C$1)*(S$384-S$350-S$391)</f>
        <v>44.80102122785275</v>
      </c>
      <c r="T357" s="20">
        <f ca="1">OFFSET(Assumptions!$B$51,0,$C$1)*(T$384-T$350-T$391)</f>
        <v>47.43851249917018</v>
      </c>
      <c r="U357" s="20">
        <f ca="1">OFFSET(Assumptions!$B$51,0,$C$1)*(U$384-U$350-U$391)</f>
        <v>50.173474428636439</v>
      </c>
      <c r="V357" s="20">
        <f ca="1">OFFSET(Assumptions!$B$51,0,$C$1)*(V$384-V$350-V$391)</f>
        <v>53.023245434371177</v>
      </c>
      <c r="W357" s="20">
        <f ca="1">OFFSET(Assumptions!$B$51,0,$C$1)*(W$384-W$350-W$391)</f>
        <v>56.015684954567938</v>
      </c>
      <c r="X357" s="20">
        <f ca="1">OFFSET(Assumptions!$B$51,0,$C$1)*(X$384-X$350-X$391)</f>
        <v>59.180395379136463</v>
      </c>
      <c r="Y357" s="20">
        <f ca="1">OFFSET(Assumptions!$B$51,0,$C$1)*(Y$384-Y$350-Y$391)</f>
        <v>62.557059759091054</v>
      </c>
      <c r="Z357" s="20">
        <f ca="1">OFFSET(Assumptions!$B$51,0,$C$1)*(Z$384-Z$350-Z$391)</f>
        <v>66.181534764339972</v>
      </c>
    </row>
    <row r="358" spans="1:26" x14ac:dyDescent="0.25">
      <c r="A358" s="12" t="s">
        <v>1342</v>
      </c>
      <c r="B358" s="14" t="str">
        <f>$B$38</f>
        <v>From Fiscal Forecasts</v>
      </c>
      <c r="D358" s="50">
        <f ca="1">'Fiscal Forecasts'!D$182-D$357</f>
        <v>13.805679999999999</v>
      </c>
      <c r="E358" s="50">
        <f ca="1">'Fiscal Forecasts'!E$182-E$357</f>
        <v>30.260049999999996</v>
      </c>
      <c r="F358" s="50">
        <f ca="1">'Fiscal Forecasts'!F$182-F$357</f>
        <v>20.379819999999999</v>
      </c>
      <c r="G358" s="50">
        <f ca="1">'Fiscal Forecasts'!G$182-G$357</f>
        <v>25.071620000000003</v>
      </c>
      <c r="H358" s="50">
        <f ca="1">'Fiscal Forecasts'!H$182-H$357</f>
        <v>26.112599999999993</v>
      </c>
      <c r="I358" s="50">
        <f ca="1">'Fiscal Forecasts'!I$182-I$357</f>
        <v>31.057469999999999</v>
      </c>
      <c r="J358" s="50">
        <f ca="1">'Fiscal Forecasts'!J$182-J$357</f>
        <v>38.810369999999992</v>
      </c>
      <c r="K358" s="50">
        <f ca="1">'Fiscal Forecasts'!K$182-K$357</f>
        <v>42.483760000000004</v>
      </c>
      <c r="L358" s="48">
        <f ca="1">'Fiscal Forecasts'!L$182-L$357+IF($C$3="Yes",OFFSET(Assumptions!$B$51,0,$C$1)*('NZSF Adjuster'!W$29-'NZSF Adjuster'!W$20),0)</f>
        <v>36.714210000000008</v>
      </c>
      <c r="M358" s="48">
        <f ca="1">'Fiscal Forecasts'!M$182-M$357+IF($C$3="Yes",OFFSET(Assumptions!$B$51,0,$C$1)*('NZSF Adjuster'!X$29-'NZSF Adjuster'!X$20),0)</f>
        <v>38.716500000000003</v>
      </c>
      <c r="N358" s="48">
        <f ca="1">'Fiscal Forecasts'!N$182-N$357+IF($C$3="Yes",OFFSET(Assumptions!$B$51,0,$C$1)*('NZSF Adjuster'!Y$29-'NZSF Adjuster'!Y$20),0)</f>
        <v>42.012569999999997</v>
      </c>
      <c r="O358" s="48">
        <f ca="1">'Fiscal Forecasts'!O$182-O$357+IF($C$3="Yes",OFFSET(Assumptions!$B$51,0,$C$1)*('NZSF Adjuster'!Z$29-'NZSF Adjuster'!Z$20),0)</f>
        <v>43.351969999999994</v>
      </c>
      <c r="P358" s="48">
        <f ca="1">'Fiscal Forecasts'!P$182-P$357+IF($C$3="Yes",OFFSET(Assumptions!$B$51,0,$C$1)*('NZSF Adjuster'!AA$29-'NZSF Adjuster'!AA$20),0)</f>
        <v>42.542100000000005</v>
      </c>
      <c r="Q358" s="20">
        <f t="shared" ref="Q358:Z358" ca="1" si="203">P$358*(1+Q$14)</f>
        <v>44.39399544591798</v>
      </c>
      <c r="R358" s="20">
        <f t="shared" ca="1" si="203"/>
        <v>46.283631757603125</v>
      </c>
      <c r="S358" s="20">
        <f t="shared" ca="1" si="203"/>
        <v>48.223329799555685</v>
      </c>
      <c r="T358" s="20">
        <f t="shared" ca="1" si="203"/>
        <v>50.208552592764534</v>
      </c>
      <c r="U358" s="20">
        <f t="shared" ca="1" si="203"/>
        <v>52.263001569850594</v>
      </c>
      <c r="V358" s="20">
        <f t="shared" ca="1" si="203"/>
        <v>54.387407371052014</v>
      </c>
      <c r="W358" s="20">
        <f t="shared" ca="1" si="203"/>
        <v>56.571052404224368</v>
      </c>
      <c r="X358" s="20">
        <f t="shared" ca="1" si="203"/>
        <v>58.81757736362939</v>
      </c>
      <c r="Y358" s="20">
        <f t="shared" ca="1" si="203"/>
        <v>61.138730165588584</v>
      </c>
      <c r="Z358" s="20">
        <f t="shared" ca="1" si="203"/>
        <v>63.535109470011037</v>
      </c>
    </row>
    <row r="359" spans="1:26" x14ac:dyDescent="0.25">
      <c r="A359" s="11" t="s">
        <v>1343</v>
      </c>
      <c r="D359" s="94">
        <f t="shared" ref="D359:Z359" ca="1" si="204">SUM(D$357:D$358)</f>
        <v>27.405999999999999</v>
      </c>
      <c r="E359" s="94">
        <f t="shared" ca="1" si="204"/>
        <v>43.665999999999997</v>
      </c>
      <c r="F359" s="94">
        <f t="shared" ca="1" si="204"/>
        <v>37.732999999999997</v>
      </c>
      <c r="G359" s="94">
        <f t="shared" ca="1" si="204"/>
        <v>43.764000000000003</v>
      </c>
      <c r="H359" s="94">
        <f t="shared" ca="1" si="204"/>
        <v>44.414999999999999</v>
      </c>
      <c r="I359" s="94">
        <f t="shared" ca="1" si="204"/>
        <v>51.970999999999997</v>
      </c>
      <c r="J359" s="94">
        <f t="shared" ca="1" si="204"/>
        <v>62.11399999999999</v>
      </c>
      <c r="K359" s="94">
        <f t="shared" ca="1" si="204"/>
        <v>68.587000000000003</v>
      </c>
      <c r="L359" s="95">
        <f t="shared" ca="1" si="204"/>
        <v>65.733000000000004</v>
      </c>
      <c r="M359" s="95">
        <f t="shared" ca="1" si="204"/>
        <v>70.475999999999999</v>
      </c>
      <c r="N359" s="95">
        <f t="shared" ca="1" si="204"/>
        <v>75.415999999999997</v>
      </c>
      <c r="O359" s="95">
        <f t="shared" ca="1" si="204"/>
        <v>78.789000000000001</v>
      </c>
      <c r="P359" s="95">
        <f t="shared" ca="1" si="204"/>
        <v>80.266000000000005</v>
      </c>
      <c r="Q359" s="96">
        <f t="shared" ca="1" si="204"/>
        <v>84.234336577403553</v>
      </c>
      <c r="R359" s="96">
        <f t="shared" ca="1" si="204"/>
        <v>88.554833858256558</v>
      </c>
      <c r="S359" s="96">
        <f t="shared" ca="1" si="204"/>
        <v>93.024351027408443</v>
      </c>
      <c r="T359" s="96">
        <f t="shared" ca="1" si="204"/>
        <v>97.647065091934707</v>
      </c>
      <c r="U359" s="96">
        <f t="shared" ca="1" si="204"/>
        <v>102.43647599848703</v>
      </c>
      <c r="V359" s="96">
        <f t="shared" ca="1" si="204"/>
        <v>107.41065280542318</v>
      </c>
      <c r="W359" s="96">
        <f t="shared" ca="1" si="204"/>
        <v>112.58673735879231</v>
      </c>
      <c r="X359" s="96">
        <f t="shared" ca="1" si="204"/>
        <v>117.99797274276585</v>
      </c>
      <c r="Y359" s="96">
        <f t="shared" ca="1" si="204"/>
        <v>123.69578992467964</v>
      </c>
      <c r="Z359" s="96">
        <f t="shared" ca="1" si="204"/>
        <v>129.71664423435101</v>
      </c>
    </row>
    <row r="360" spans="1:26" x14ac:dyDescent="0.25">
      <c r="A360" s="12" t="s">
        <v>1020</v>
      </c>
      <c r="B360" s="14" t="str">
        <f>$B$38</f>
        <v>From Fiscal Forecasts</v>
      </c>
      <c r="D360" s="50">
        <f>'Fiscal Forecasts'!D$214</f>
        <v>33.838000000000001</v>
      </c>
      <c r="E360" s="50">
        <f>'Fiscal Forecasts'!E$214</f>
        <v>34.494</v>
      </c>
      <c r="F360" s="50">
        <f>'Fiscal Forecasts'!F$214</f>
        <v>33.545999999999999</v>
      </c>
      <c r="G360" s="50">
        <f>'Fiscal Forecasts'!G$214</f>
        <v>31.513000000000002</v>
      </c>
      <c r="H360" s="50">
        <f>'Fiscal Forecasts'!H$214</f>
        <v>34.506</v>
      </c>
      <c r="I360" s="50">
        <f>'Fiscal Forecasts'!I$214</f>
        <v>39.212000000000003</v>
      </c>
      <c r="J360" s="50">
        <f>'Fiscal Forecasts'!J$214</f>
        <v>44.944000000000003</v>
      </c>
      <c r="K360" s="50">
        <f>'Fiscal Forecasts'!K$214</f>
        <v>47.911000000000001</v>
      </c>
      <c r="L360" s="48">
        <f>'Fiscal Forecasts'!L$214</f>
        <v>48.524999999999999</v>
      </c>
      <c r="M360" s="48">
        <f>'Fiscal Forecasts'!M$214</f>
        <v>49.545999999999999</v>
      </c>
      <c r="N360" s="48">
        <f>'Fiscal Forecasts'!N$214</f>
        <v>50.540999999999997</v>
      </c>
      <c r="O360" s="48">
        <f>'Fiscal Forecasts'!O$214</f>
        <v>52.61</v>
      </c>
      <c r="P360" s="48">
        <f>'Fiscal Forecasts'!P$214</f>
        <v>54.841999999999999</v>
      </c>
      <c r="Q360" s="20">
        <f ca="1">P$360*AVERAGE(Exogenous!AB$29/Exogenous!AA$29,1+Q$14)</f>
        <v>57.031776025129474</v>
      </c>
      <c r="R360" s="20">
        <f ca="1">Q$360*AVERAGE(Exogenous!AC$29/Exogenous!AB$29,1+R$14)</f>
        <v>59.455405252808703</v>
      </c>
      <c r="S360" s="20">
        <f ca="1">R$360*AVERAGE(Exogenous!AD$29/Exogenous!AC$29,1+S$14)</f>
        <v>62.152901174691372</v>
      </c>
      <c r="T360" s="20">
        <f ca="1">S$360*AVERAGE(Exogenous!AE$29/Exogenous!AD$29,1+T$14)</f>
        <v>65.185334557155159</v>
      </c>
      <c r="U360" s="20">
        <f ca="1">T$360*AVERAGE(Exogenous!AF$29/Exogenous!AE$29,1+U$14)</f>
        <v>68.550115135603448</v>
      </c>
      <c r="V360" s="20">
        <f ca="1">U$360*AVERAGE(Exogenous!AG$29/Exogenous!AF$29,1+V$14)</f>
        <v>72.04592937288129</v>
      </c>
      <c r="W360" s="20">
        <f ca="1">V$360*AVERAGE(Exogenous!AH$29/Exogenous!AG$29,1+W$14)</f>
        <v>75.642494203682332</v>
      </c>
      <c r="X360" s="20">
        <f ca="1">W$360*AVERAGE(Exogenous!AI$29/Exogenous!AH$29,1+X$14)</f>
        <v>79.329363736532812</v>
      </c>
      <c r="Y360" s="20">
        <f ca="1">X$360*AVERAGE(Exogenous!AJ$29/Exogenous!AI$29,1+Y$14)</f>
        <v>83.134569258151942</v>
      </c>
      <c r="Z360" s="20">
        <f ca="1">Y$360*AVERAGE(Exogenous!AK$29/Exogenous!AJ$29,1+Z$14)</f>
        <v>87.043844665109802</v>
      </c>
    </row>
    <row r="361" spans="1:26" x14ac:dyDescent="0.25">
      <c r="A361" s="12" t="s">
        <v>1227</v>
      </c>
      <c r="B361" s="14" t="str">
        <f>$B$38</f>
        <v>From Fiscal Forecasts</v>
      </c>
      <c r="D361" s="50">
        <f>'Fiscal Forecasts'!D$215</f>
        <v>3.3879999999999999</v>
      </c>
      <c r="E361" s="50">
        <f>'Fiscal Forecasts'!E$215</f>
        <v>3.88</v>
      </c>
      <c r="F361" s="50">
        <f>'Fiscal Forecasts'!F$215</f>
        <v>3.3250000000000002</v>
      </c>
      <c r="G361" s="50">
        <f>'Fiscal Forecasts'!G$215</f>
        <v>5.3479999999999999</v>
      </c>
      <c r="H361" s="50">
        <f>'Fiscal Forecasts'!H$215</f>
        <v>3.9380000000000002</v>
      </c>
      <c r="I361" s="50">
        <f>'Fiscal Forecasts'!I$215</f>
        <v>2.9710000000000001</v>
      </c>
      <c r="J361" s="50">
        <f>'Fiscal Forecasts'!J$215</f>
        <v>2.6240000000000001</v>
      </c>
      <c r="K361" s="50">
        <f>'Fiscal Forecasts'!K$215</f>
        <v>2.4279999999999999</v>
      </c>
      <c r="L361" s="48">
        <f>'Fiscal Forecasts'!L$215</f>
        <v>2.3250000000000002</v>
      </c>
      <c r="M361" s="48">
        <f>'Fiscal Forecasts'!M$215</f>
        <v>2.4729999999999999</v>
      </c>
      <c r="N361" s="48">
        <f>'Fiscal Forecasts'!N$215</f>
        <v>2.6179999999999999</v>
      </c>
      <c r="O361" s="48">
        <f>'Fiscal Forecasts'!O$215</f>
        <v>2.7669999999999999</v>
      </c>
      <c r="P361" s="48">
        <f>'Fiscal Forecasts'!P$215</f>
        <v>2.6669999999999998</v>
      </c>
      <c r="Q361" s="20">
        <f t="shared" ref="Q361:Z361" ca="1" si="205">P$361*(1+Q$14)</f>
        <v>2.7830968817774213</v>
      </c>
      <c r="R361" s="20">
        <f t="shared" ca="1" si="205"/>
        <v>2.901559770145985</v>
      </c>
      <c r="S361" s="20">
        <f t="shared" ca="1" si="205"/>
        <v>3.0231610704552661</v>
      </c>
      <c r="T361" s="20">
        <f t="shared" ca="1" si="205"/>
        <v>3.147616355678327</v>
      </c>
      <c r="U361" s="20">
        <f t="shared" ca="1" si="205"/>
        <v>3.2764114885440887</v>
      </c>
      <c r="V361" s="20">
        <f t="shared" ca="1" si="205"/>
        <v>3.4095922735030868</v>
      </c>
      <c r="W361" s="20">
        <f t="shared" ca="1" si="205"/>
        <v>3.5464868156970701</v>
      </c>
      <c r="X361" s="20">
        <f t="shared" ca="1" si="205"/>
        <v>3.6873233533088285</v>
      </c>
      <c r="Y361" s="20">
        <f t="shared" ca="1" si="205"/>
        <v>3.8328383730851243</v>
      </c>
      <c r="Z361" s="20">
        <f t="shared" ca="1" si="205"/>
        <v>3.9830694055187532</v>
      </c>
    </row>
    <row r="362" spans="1:26" x14ac:dyDescent="0.25">
      <c r="A362" s="12" t="s">
        <v>1228</v>
      </c>
      <c r="B362" s="14" t="str">
        <f>$B$38</f>
        <v>From Fiscal Forecasts</v>
      </c>
      <c r="D362" s="50">
        <f ca="1">'Fiscal Forecasts'!D$122-SUM(D$359:D$361)</f>
        <v>-21.016000000000005</v>
      </c>
      <c r="E362" s="50">
        <f ca="1">'Fiscal Forecasts'!E$122-SUM(E$359:E$361)</f>
        <v>-21.034999999999989</v>
      </c>
      <c r="F362" s="50">
        <f ca="1">'Fiscal Forecasts'!F$122-SUM(F$359:F$361)</f>
        <v>-17.820999999999998</v>
      </c>
      <c r="G362" s="50">
        <f ca="1">'Fiscal Forecasts'!G$122-SUM(G$359:G$361)</f>
        <v>-15.168999999999997</v>
      </c>
      <c r="H362" s="50">
        <f ca="1">'Fiscal Forecasts'!H$122-SUM(H$359:H$361)</f>
        <v>-16.369</v>
      </c>
      <c r="I362" s="50">
        <f ca="1">'Fiscal Forecasts'!I$122-SUM(I$359:I$361)</f>
        <v>-20.507999999999996</v>
      </c>
      <c r="J362" s="50">
        <f ca="1">'Fiscal Forecasts'!J$122-SUM(J$359:J$361)</f>
        <v>-27.137999999999991</v>
      </c>
      <c r="K362" s="50">
        <f ca="1">'Fiscal Forecasts'!K$122-SUM(K$359:K$361)</f>
        <v>-29.459000000000003</v>
      </c>
      <c r="L362" s="48">
        <f ca="1">'Fiscal Forecasts'!L$122-SUM(L$359:L$361)+IF($C$3="Yes",OFFSET(Assumptions!$B$51,0,$C$1)*('NZSF Adjuster'!W$29-'NZSF Adjuster'!W$20),0)</f>
        <v>-29.169000000000011</v>
      </c>
      <c r="M362" s="48">
        <f ca="1">'Fiscal Forecasts'!M$122-SUM(M$359:M$361)+IF($C$3="Yes",OFFSET(Assumptions!$B$51,0,$C$1)*('NZSF Adjuster'!X$29-'NZSF Adjuster'!X$20),0)</f>
        <v>-29.719999999999985</v>
      </c>
      <c r="N362" s="48">
        <f ca="1">'Fiscal Forecasts'!N$122-SUM(N$359:N$361)+IF($C$3="Yes",OFFSET(Assumptions!$B$51,0,$C$1)*('NZSF Adjuster'!Y$29-'NZSF Adjuster'!Y$20),0)</f>
        <v>-30.209999999999994</v>
      </c>
      <c r="O362" s="48">
        <f ca="1">'Fiscal Forecasts'!O$122-SUM(O$359:O$361)+IF($C$3="Yes",OFFSET(Assumptions!$B$51,0,$C$1)*('NZSF Adjuster'!Z$29-'NZSF Adjuster'!Z$20),0)</f>
        <v>-30.920999999999992</v>
      </c>
      <c r="P362" s="48">
        <f ca="1">'Fiscal Forecasts'!P$122-SUM(P$359:P$361)+IF($C$3="Yes",OFFSET(Assumptions!$B$51,0,$C$1)*('NZSF Adjuster'!AA$29-'NZSF Adjuster'!AA$20),0)</f>
        <v>-31.77600000000001</v>
      </c>
      <c r="Q362" s="20">
        <f t="shared" ref="Q362:Z362" ca="1" si="206">P$362*Q$360/P$360</f>
        <v>-33.044777998149499</v>
      </c>
      <c r="R362" s="20">
        <f t="shared" ca="1" si="206"/>
        <v>-34.449052866657851</v>
      </c>
      <c r="S362" s="20">
        <f t="shared" ca="1" si="206"/>
        <v>-36.012008820374781</v>
      </c>
      <c r="T362" s="20">
        <f t="shared" ca="1" si="206"/>
        <v>-37.769030868461449</v>
      </c>
      <c r="U362" s="20">
        <f t="shared" ca="1" si="206"/>
        <v>-39.718618185860024</v>
      </c>
      <c r="V362" s="20">
        <f t="shared" ca="1" si="206"/>
        <v>-41.744127707827509</v>
      </c>
      <c r="W362" s="20">
        <f t="shared" ca="1" si="206"/>
        <v>-43.828013125272783</v>
      </c>
      <c r="X362" s="20">
        <f t="shared" ca="1" si="206"/>
        <v>-45.964221984830367</v>
      </c>
      <c r="Y362" s="20">
        <f t="shared" ca="1" si="206"/>
        <v>-48.168995892692401</v>
      </c>
      <c r="Z362" s="20">
        <f t="shared" ca="1" si="206"/>
        <v>-50.434068926708171</v>
      </c>
    </row>
    <row r="363" spans="1:26" x14ac:dyDescent="0.25">
      <c r="A363" s="11" t="s">
        <v>1344</v>
      </c>
      <c r="D363" s="94">
        <f t="shared" ref="D363:Z363" ca="1" si="207">SUM(D$359:D$362)</f>
        <v>43.616</v>
      </c>
      <c r="E363" s="94">
        <f t="shared" ca="1" si="207"/>
        <v>61.005000000000003</v>
      </c>
      <c r="F363" s="94">
        <f t="shared" ca="1" si="207"/>
        <v>56.783000000000001</v>
      </c>
      <c r="G363" s="94">
        <f t="shared" ca="1" si="207"/>
        <v>65.456000000000003</v>
      </c>
      <c r="H363" s="94">
        <f t="shared" ca="1" si="207"/>
        <v>66.489999999999995</v>
      </c>
      <c r="I363" s="94">
        <f t="shared" ca="1" si="207"/>
        <v>73.646000000000001</v>
      </c>
      <c r="J363" s="94">
        <f t="shared" ca="1" si="207"/>
        <v>82.543999999999997</v>
      </c>
      <c r="K363" s="94">
        <f t="shared" ca="1" si="207"/>
        <v>89.466999999999999</v>
      </c>
      <c r="L363" s="95">
        <f t="shared" ca="1" si="207"/>
        <v>87.414000000000001</v>
      </c>
      <c r="M363" s="95">
        <f t="shared" ca="1" si="207"/>
        <v>92.775000000000006</v>
      </c>
      <c r="N363" s="95">
        <f t="shared" ca="1" si="207"/>
        <v>98.364999999999995</v>
      </c>
      <c r="O363" s="95">
        <f t="shared" ca="1" si="207"/>
        <v>103.245</v>
      </c>
      <c r="P363" s="95">
        <f t="shared" ca="1" si="207"/>
        <v>105.999</v>
      </c>
      <c r="Q363" s="96">
        <f t="shared" ca="1" si="207"/>
        <v>111.00443148616097</v>
      </c>
      <c r="R363" s="96">
        <f t="shared" ca="1" si="207"/>
        <v>116.46274601455339</v>
      </c>
      <c r="S363" s="96">
        <f t="shared" ca="1" si="207"/>
        <v>122.18840445218032</v>
      </c>
      <c r="T363" s="96">
        <f t="shared" ca="1" si="207"/>
        <v>128.21098513630676</v>
      </c>
      <c r="U363" s="96">
        <f t="shared" ca="1" si="207"/>
        <v>134.54438443677452</v>
      </c>
      <c r="V363" s="96">
        <f t="shared" ca="1" si="207"/>
        <v>141.12204674398004</v>
      </c>
      <c r="W363" s="96">
        <f t="shared" ca="1" si="207"/>
        <v>147.94770525289894</v>
      </c>
      <c r="X363" s="96">
        <f t="shared" ca="1" si="207"/>
        <v>155.05043784777712</v>
      </c>
      <c r="Y363" s="96">
        <f t="shared" ca="1" si="207"/>
        <v>162.49420166322432</v>
      </c>
      <c r="Z363" s="96">
        <f t="shared" ca="1" si="207"/>
        <v>170.30948937827142</v>
      </c>
    </row>
    <row r="365" spans="1:26" x14ac:dyDescent="0.25">
      <c r="A365" s="11" t="s">
        <v>944</v>
      </c>
    </row>
    <row r="366" spans="1:26" x14ac:dyDescent="0.25">
      <c r="A366" s="12" t="s">
        <v>1345</v>
      </c>
      <c r="D366" s="50">
        <f ca="1">SUM(OFFSET(Assumptions!$B$52,0,$C$1),OFFSET(Assumptions!$B$53,0,$C$1))*(D$384-D$350-D$391)-D$388</f>
        <v>25.267520000000001</v>
      </c>
      <c r="E366" s="50">
        <f ca="1">SUM(OFFSET(Assumptions!$B$52,0,$C$1),OFFSET(Assumptions!$B$53,0,$C$1))*(E$384-E$350-E$391)-E$388</f>
        <v>24.321700000000007</v>
      </c>
      <c r="F366" s="50">
        <f ca="1">SUM(OFFSET(Assumptions!$B$52,0,$C$1),OFFSET(Assumptions!$B$53,0,$C$1))*(F$384-F$350-F$391)-F$388</f>
        <v>32.22748</v>
      </c>
      <c r="G366" s="50">
        <f ca="1">SUM(OFFSET(Assumptions!$B$52,0,$C$1),OFFSET(Assumptions!$B$53,0,$C$1))*(G$384-G$350-G$391)-G$388</f>
        <v>33.700679999999991</v>
      </c>
      <c r="H366" s="50">
        <f ca="1">SUM(OFFSET(Assumptions!$B$52,0,$C$1),OFFSET(Assumptions!$B$53,0,$C$1))*(H$384-H$350-H$391)-H$388</f>
        <v>31.649400000000007</v>
      </c>
      <c r="I366" s="50">
        <f ca="1">SUM(OFFSET(Assumptions!$B$52,0,$C$1),OFFSET(Assumptions!$B$53,0,$C$1))*(I$384-I$350-I$391)-I$388</f>
        <v>37.351579999999998</v>
      </c>
      <c r="J366" s="50">
        <f ca="1">SUM(OFFSET(Assumptions!$B$52,0,$C$1),OFFSET(Assumptions!$B$53,0,$C$1))*(J$384-J$350-J$391)-J$388</f>
        <v>41.521180000000001</v>
      </c>
      <c r="K366" s="50">
        <f ca="1">SUM(OFFSET(Assumptions!$B$52,0,$C$1),OFFSET(Assumptions!$B$53,0,$C$1))*(K$384-K$350-K$391)-K$388</f>
        <v>45.071639999999995</v>
      </c>
      <c r="L366" s="48">
        <f ca="1">SUM(OFFSET(Assumptions!$B$52,0,$C$1),OFFSET(Assumptions!$B$53,0,$C$1))*(L$384-L$350-L$391)-L$388</f>
        <v>50.456940000000003</v>
      </c>
      <c r="M366" s="48">
        <f ca="1">SUM(OFFSET(Assumptions!$B$52,0,$C$1),OFFSET(Assumptions!$B$53,0,$C$1))*(M$384-M$350-M$391)-M$388</f>
        <v>55.367999999999988</v>
      </c>
      <c r="N366" s="48">
        <f ca="1">SUM(OFFSET(Assumptions!$B$52,0,$C$1),OFFSET(Assumptions!$B$53,0,$C$1))*(N$384-N$350-N$391)-N$388</f>
        <v>57.913979999999995</v>
      </c>
      <c r="O366" s="48">
        <f ca="1">SUM(OFFSET(Assumptions!$B$52,0,$C$1),OFFSET(Assumptions!$B$53,0,$C$1))*(O$384-O$350-O$391)-O$388</f>
        <v>61.21858000000001</v>
      </c>
      <c r="P366" s="48">
        <f ca="1">SUM(OFFSET(Assumptions!$B$52,0,$C$1),OFFSET(Assumptions!$B$53,0,$C$1))*(P$384-P$350-P$391)-P$388</f>
        <v>64.983400000000017</v>
      </c>
      <c r="Q366" s="20">
        <f ca="1">OFFSET(Assumptions!$B$52,0,$C$1)*(Q$384-Q$350-Q$391)</f>
        <v>70.68447620102279</v>
      </c>
      <c r="R366" s="20">
        <f ca="1">OFFSET(Assumptions!$B$52,0,$C$1)*(R$384-R$350-R$391)</f>
        <v>74.997294049546426</v>
      </c>
      <c r="S366" s="20">
        <f ca="1">OFFSET(Assumptions!$B$52,0,$C$1)*(S$384-S$350-S$391)</f>
        <v>79.485682823609721</v>
      </c>
      <c r="T366" s="20">
        <f ca="1">OFFSET(Assumptions!$B$52,0,$C$1)*(T$384-T$350-T$391)</f>
        <v>84.165102821108391</v>
      </c>
      <c r="U366" s="20">
        <f ca="1">OFFSET(Assumptions!$B$52,0,$C$1)*(U$384-U$350-U$391)</f>
        <v>89.017454631451756</v>
      </c>
      <c r="V366" s="20">
        <f ca="1">OFFSET(Assumptions!$B$52,0,$C$1)*(V$384-V$350-V$391)</f>
        <v>94.073499964206945</v>
      </c>
      <c r="W366" s="20">
        <f ca="1">OFFSET(Assumptions!$B$52,0,$C$1)*(W$384-W$350-W$391)</f>
        <v>99.382666854878607</v>
      </c>
      <c r="X366" s="20">
        <f ca="1">OFFSET(Assumptions!$B$52,0,$C$1)*(X$384-X$350-X$391)</f>
        <v>104.99747567266147</v>
      </c>
      <c r="Y366" s="20">
        <f ca="1">OFFSET(Assumptions!$B$52,0,$C$1)*(Y$384-Y$350-Y$391)</f>
        <v>110.98833183064544</v>
      </c>
      <c r="Z366" s="20">
        <f ca="1">OFFSET(Assumptions!$B$52,0,$C$1)*(Z$384-Z$350-Z$391)</f>
        <v>117.41885200124834</v>
      </c>
    </row>
    <row r="367" spans="1:26" x14ac:dyDescent="0.25">
      <c r="A367" s="12" t="s">
        <v>1346</v>
      </c>
      <c r="B367" s="14" t="str">
        <f>$B$38</f>
        <v>From Fiscal Forecasts</v>
      </c>
      <c r="D367" s="50">
        <f ca="1">'Fiscal Forecasts'!D$183-D$366</f>
        <v>1.1274799999999985</v>
      </c>
      <c r="E367" s="50">
        <f ca="1">'Fiscal Forecasts'!E$183-E$366</f>
        <v>-6.4617000000000075</v>
      </c>
      <c r="F367" s="50">
        <f ca="1">'Fiscal Forecasts'!F$183-F$366</f>
        <v>-3.5834800000000016</v>
      </c>
      <c r="G367" s="50">
        <f ca="1">'Fiscal Forecasts'!G$183-G$366</f>
        <v>-4.5476799999999926</v>
      </c>
      <c r="H367" s="50">
        <f ca="1">'Fiscal Forecasts'!H$183-H$366</f>
        <v>-2.651400000000006</v>
      </c>
      <c r="I367" s="50">
        <f ca="1">'Fiscal Forecasts'!I$183-I$366</f>
        <v>-1.3579999999997483E-2</v>
      </c>
      <c r="J367" s="50">
        <f ca="1">'Fiscal Forecasts'!J$183-J$366</f>
        <v>1.4638199999999983</v>
      </c>
      <c r="K367" s="50">
        <f ca="1">'Fiscal Forecasts'!K$183-K$366</f>
        <v>5.6813600000000051</v>
      </c>
      <c r="L367" s="48">
        <f ca="1">'Fiscal Forecasts'!L$183-L$366+IF($C$3="Yes",SUM(OFFSET(Assumptions!$B$52,0,$C$1),OFFSET(Assumptions!$B$53,0,$C$1))*('NZSF Adjuster'!W$29-'NZSF Adjuster'!W$20),0)</f>
        <v>3.6750599999999949</v>
      </c>
      <c r="M367" s="48">
        <f ca="1">'Fiscal Forecasts'!M$183-M$366+IF($C$3="Yes",SUM(OFFSET(Assumptions!$B$52,0,$C$1),OFFSET(Assumptions!$B$53,0,$C$1))*('NZSF Adjuster'!X$29-'NZSF Adjuster'!X$20),0)</f>
        <v>3.0080000000000098</v>
      </c>
      <c r="N367" s="48">
        <f ca="1">'Fiscal Forecasts'!N$183-N$366+IF($C$3="Yes",SUM(OFFSET(Assumptions!$B$52,0,$C$1),OFFSET(Assumptions!$B$53,0,$C$1))*('NZSF Adjuster'!Y$29-'NZSF Adjuster'!Y$20),0)</f>
        <v>3.1720200000000034</v>
      </c>
      <c r="O367" s="48">
        <f ca="1">'Fiscal Forecasts'!O$183-O$366+IF($C$3="Yes",SUM(OFFSET(Assumptions!$B$52,0,$C$1),OFFSET(Assumptions!$B$53,0,$C$1))*('NZSF Adjuster'!Z$29-'NZSF Adjuster'!Z$20),0)</f>
        <v>3.6244199999999935</v>
      </c>
      <c r="P367" s="48">
        <f ca="1">'Fiscal Forecasts'!P$183-P$366+IF($C$3="Yes",SUM(OFFSET(Assumptions!$B$52,0,$C$1),OFFSET(Assumptions!$B$53,0,$C$1))*('NZSF Adjuster'!AA$29-'NZSF Adjuster'!AA$20),0)</f>
        <v>3.9635999999999854</v>
      </c>
      <c r="Q367" s="20">
        <f t="shared" ref="Q367:Z367" ca="1" si="208">P$367*(1+Q$14)</f>
        <v>4.1361390328507488</v>
      </c>
      <c r="R367" s="20">
        <f t="shared" ca="1" si="208"/>
        <v>4.3121943400639617</v>
      </c>
      <c r="S367" s="20">
        <f t="shared" ca="1" si="208"/>
        <v>4.4929138428408137</v>
      </c>
      <c r="T367" s="20">
        <f t="shared" ca="1" si="208"/>
        <v>4.6778748359079767</v>
      </c>
      <c r="U367" s="20">
        <f t="shared" ca="1" si="208"/>
        <v>4.8692855553030761</v>
      </c>
      <c r="V367" s="20">
        <f t="shared" ca="1" si="208"/>
        <v>5.0672140739620497</v>
      </c>
      <c r="W367" s="20">
        <f t="shared" ca="1" si="208"/>
        <v>5.2706618457805989</v>
      </c>
      <c r="X367" s="20">
        <f t="shared" ca="1" si="208"/>
        <v>5.4799680701817852</v>
      </c>
      <c r="Y367" s="20">
        <f t="shared" ca="1" si="208"/>
        <v>5.6962272874241267</v>
      </c>
      <c r="Z367" s="20">
        <f t="shared" ca="1" si="208"/>
        <v>5.9194952739835305</v>
      </c>
    </row>
    <row r="368" spans="1:26" x14ac:dyDescent="0.25">
      <c r="A368" s="11" t="s">
        <v>1347</v>
      </c>
      <c r="D368" s="94">
        <f t="shared" ref="D368:Z368" ca="1" si="209">SUM(D$366:D$367)</f>
        <v>26.395</v>
      </c>
      <c r="E368" s="94">
        <f t="shared" ca="1" si="209"/>
        <v>17.86</v>
      </c>
      <c r="F368" s="94">
        <f t="shared" ca="1" si="209"/>
        <v>28.643999999999998</v>
      </c>
      <c r="G368" s="94">
        <f t="shared" ca="1" si="209"/>
        <v>29.152999999999999</v>
      </c>
      <c r="H368" s="94">
        <f t="shared" ca="1" si="209"/>
        <v>28.998000000000001</v>
      </c>
      <c r="I368" s="94">
        <f t="shared" ca="1" si="209"/>
        <v>37.338000000000001</v>
      </c>
      <c r="J368" s="94">
        <f t="shared" ca="1" si="209"/>
        <v>42.984999999999999</v>
      </c>
      <c r="K368" s="94">
        <f t="shared" ca="1" si="209"/>
        <v>50.753</v>
      </c>
      <c r="L368" s="95">
        <f t="shared" ca="1" si="209"/>
        <v>54.131999999999998</v>
      </c>
      <c r="M368" s="95">
        <f t="shared" ca="1" si="209"/>
        <v>58.375999999999998</v>
      </c>
      <c r="N368" s="95">
        <f t="shared" ca="1" si="209"/>
        <v>61.085999999999999</v>
      </c>
      <c r="O368" s="95">
        <f t="shared" ca="1" si="209"/>
        <v>64.843000000000004</v>
      </c>
      <c r="P368" s="95">
        <f t="shared" ca="1" si="209"/>
        <v>68.947000000000003</v>
      </c>
      <c r="Q368" s="96">
        <f t="shared" ca="1" si="209"/>
        <v>74.820615233873539</v>
      </c>
      <c r="R368" s="96">
        <f t="shared" ca="1" si="209"/>
        <v>79.309488389610394</v>
      </c>
      <c r="S368" s="96">
        <f t="shared" ca="1" si="209"/>
        <v>83.978596666450528</v>
      </c>
      <c r="T368" s="96">
        <f t="shared" ca="1" si="209"/>
        <v>88.842977657016363</v>
      </c>
      <c r="U368" s="96">
        <f t="shared" ca="1" si="209"/>
        <v>93.886740186754835</v>
      </c>
      <c r="V368" s="96">
        <f t="shared" ca="1" si="209"/>
        <v>99.140714038168994</v>
      </c>
      <c r="W368" s="96">
        <f t="shared" ca="1" si="209"/>
        <v>104.6533287006592</v>
      </c>
      <c r="X368" s="96">
        <f t="shared" ca="1" si="209"/>
        <v>110.47744374284325</v>
      </c>
      <c r="Y368" s="96">
        <f t="shared" ca="1" si="209"/>
        <v>116.68455911806956</v>
      </c>
      <c r="Z368" s="96">
        <f t="shared" ca="1" si="209"/>
        <v>123.33834727523187</v>
      </c>
    </row>
    <row r="369" spans="1:26" x14ac:dyDescent="0.25">
      <c r="A369" s="12" t="s">
        <v>1020</v>
      </c>
      <c r="B369" s="14" t="str">
        <f>$B$38</f>
        <v>From Fiscal Forecasts</v>
      </c>
      <c r="D369" s="50">
        <f>'Fiscal Forecasts'!D$216</f>
        <v>14.254</v>
      </c>
      <c r="E369" s="50">
        <f>'Fiscal Forecasts'!E$216</f>
        <v>17.135000000000002</v>
      </c>
      <c r="F369" s="50">
        <f>'Fiscal Forecasts'!F$216</f>
        <v>21.521999999999998</v>
      </c>
      <c r="G369" s="50">
        <f>'Fiscal Forecasts'!G$216</f>
        <v>18.613</v>
      </c>
      <c r="H369" s="50">
        <f>'Fiscal Forecasts'!H$216</f>
        <v>19.635000000000002</v>
      </c>
      <c r="I369" s="50">
        <f>'Fiscal Forecasts'!I$216</f>
        <v>16.818999999999999</v>
      </c>
      <c r="J369" s="50">
        <f>'Fiscal Forecasts'!J$216</f>
        <v>17.253</v>
      </c>
      <c r="K369" s="50">
        <f>'Fiscal Forecasts'!K$216</f>
        <v>17.209</v>
      </c>
      <c r="L369" s="48">
        <f>'Fiscal Forecasts'!L$216</f>
        <v>16.515999999999998</v>
      </c>
      <c r="M369" s="48">
        <f>'Fiscal Forecasts'!M$216</f>
        <v>16.759</v>
      </c>
      <c r="N369" s="48">
        <f>'Fiscal Forecasts'!N$216</f>
        <v>16.863</v>
      </c>
      <c r="O369" s="48">
        <f>'Fiscal Forecasts'!O$216</f>
        <v>16.975000000000001</v>
      </c>
      <c r="P369" s="48">
        <f>'Fiscal Forecasts'!P$216</f>
        <v>17.091000000000001</v>
      </c>
      <c r="Q369" s="20">
        <f ca="1">P$369*AVERAGE(Exogenous!AB$29/Exogenous!AA$29,1+Q$14)</f>
        <v>17.773423362486561</v>
      </c>
      <c r="R369" s="20">
        <f ca="1">Q$369*AVERAGE(Exogenous!AC$29/Exogenous!AB$29,1+R$14)</f>
        <v>18.528724903828337</v>
      </c>
      <c r="S369" s="20">
        <f ca="1">R$369*AVERAGE(Exogenous!AD$29/Exogenous!AC$29,1+S$14)</f>
        <v>19.369374457106787</v>
      </c>
      <c r="T369" s="20">
        <f ca="1">S$369*AVERAGE(Exogenous!AE$29/Exogenous!AD$29,1+T$14)</f>
        <v>20.314404159518965</v>
      </c>
      <c r="U369" s="20">
        <f ca="1">T$369*AVERAGE(Exogenous!AF$29/Exogenous!AE$29,1+U$14)</f>
        <v>21.363006779158287</v>
      </c>
      <c r="V369" s="20">
        <f ca="1">U$369*AVERAGE(Exogenous!AG$29/Exogenous!AF$29,1+V$14)</f>
        <v>22.452444821704432</v>
      </c>
      <c r="W369" s="20">
        <f ca="1">V$369*AVERAGE(Exogenous!AH$29/Exogenous!AG$29,1+W$14)</f>
        <v>23.573280851083751</v>
      </c>
      <c r="X369" s="20">
        <f ca="1">W$369*AVERAGE(Exogenous!AI$29/Exogenous!AH$29,1+X$14)</f>
        <v>24.72225950222608</v>
      </c>
      <c r="Y369" s="20">
        <f ca="1">X$369*AVERAGE(Exogenous!AJ$29/Exogenous!AI$29,1+Y$14)</f>
        <v>25.908116465319925</v>
      </c>
      <c r="Z369" s="20">
        <f ca="1">Y$369*AVERAGE(Exogenous!AK$29/Exogenous!AJ$29,1+Z$14)</f>
        <v>27.126405841716061</v>
      </c>
    </row>
    <row r="370" spans="1:26" x14ac:dyDescent="0.25">
      <c r="A370" s="12" t="s">
        <v>1227</v>
      </c>
      <c r="B370" s="14" t="str">
        <f>$B$38</f>
        <v>From Fiscal Forecasts</v>
      </c>
      <c r="D370" s="50">
        <f>'Fiscal Forecasts'!D$217</f>
        <v>0.27900000000000003</v>
      </c>
      <c r="E370" s="50">
        <f>'Fiscal Forecasts'!E$217</f>
        <v>3.7999999999999999E-2</v>
      </c>
      <c r="F370" s="50">
        <f>'Fiscal Forecasts'!F$217</f>
        <v>3.7999999999999999E-2</v>
      </c>
      <c r="G370" s="50">
        <f>'Fiscal Forecasts'!G$217</f>
        <v>3.4000000000000002E-2</v>
      </c>
      <c r="H370" s="50">
        <f>'Fiscal Forecasts'!H$217</f>
        <v>3.5999999999999997E-2</v>
      </c>
      <c r="I370" s="50">
        <f>'Fiscal Forecasts'!I$217</f>
        <v>3.2000000000000001E-2</v>
      </c>
      <c r="J370" s="50">
        <f>'Fiscal Forecasts'!J$217</f>
        <v>0.04</v>
      </c>
      <c r="K370" s="50">
        <f>'Fiscal Forecasts'!K$217</f>
        <v>4.2000000000000003E-2</v>
      </c>
      <c r="L370" s="48">
        <f>'Fiscal Forecasts'!L$217</f>
        <v>4.2000000000000003E-2</v>
      </c>
      <c r="M370" s="48">
        <f>'Fiscal Forecasts'!M$217</f>
        <v>4.2000000000000003E-2</v>
      </c>
      <c r="N370" s="48">
        <f>'Fiscal Forecasts'!N$217</f>
        <v>4.2000000000000003E-2</v>
      </c>
      <c r="O370" s="48">
        <f>'Fiscal Forecasts'!O$217</f>
        <v>4.2000000000000003E-2</v>
      </c>
      <c r="P370" s="48">
        <f>'Fiscal Forecasts'!P$217</f>
        <v>4.2000000000000003E-2</v>
      </c>
      <c r="Q370" s="20">
        <f t="shared" ref="Q370:Z370" ca="1" si="210">P$370*(1+Q$14)</f>
        <v>4.3828297350825537E-2</v>
      </c>
      <c r="R370" s="20">
        <f t="shared" ca="1" si="210"/>
        <v>4.5693854647968275E-2</v>
      </c>
      <c r="S370" s="20">
        <f t="shared" ca="1" si="210"/>
        <v>4.760883575520105E-2</v>
      </c>
      <c r="T370" s="20">
        <f t="shared" ca="1" si="210"/>
        <v>4.9568761506745322E-2</v>
      </c>
      <c r="U370" s="20">
        <f t="shared" ca="1" si="210"/>
        <v>5.1597031315654955E-2</v>
      </c>
      <c r="V370" s="20">
        <f t="shared" ca="1" si="210"/>
        <v>5.3694366511859652E-2</v>
      </c>
      <c r="W370" s="20">
        <f t="shared" ca="1" si="210"/>
        <v>5.5850186073969632E-2</v>
      </c>
      <c r="X370" s="20">
        <f t="shared" ca="1" si="210"/>
        <v>5.8068084304076062E-2</v>
      </c>
      <c r="Y370" s="20">
        <f t="shared" ca="1" si="210"/>
        <v>6.0359659418663399E-2</v>
      </c>
      <c r="Z370" s="20">
        <f t="shared" ca="1" si="210"/>
        <v>6.2725502449114248E-2</v>
      </c>
    </row>
    <row r="371" spans="1:26" x14ac:dyDescent="0.25">
      <c r="A371" s="12" t="s">
        <v>1228</v>
      </c>
      <c r="B371" s="14" t="str">
        <f>$B$38</f>
        <v>From Fiscal Forecasts</v>
      </c>
      <c r="D371" s="50">
        <f ca="1">'Fiscal Forecasts'!D$123-SUM(D$368:D$370)</f>
        <v>-1.3760000000000048</v>
      </c>
      <c r="E371" s="50">
        <f ca="1">'Fiscal Forecasts'!E$123-SUM(E$368:E$370)</f>
        <v>-1.2420000000000044</v>
      </c>
      <c r="F371" s="50">
        <f ca="1">'Fiscal Forecasts'!F$123-SUM(F$368:F$370)</f>
        <v>-1.664999999999992</v>
      </c>
      <c r="G371" s="50">
        <f ca="1">'Fiscal Forecasts'!G$123-SUM(G$368:G$370)</f>
        <v>-1.5389999999999944</v>
      </c>
      <c r="H371" s="50">
        <f ca="1">'Fiscal Forecasts'!H$123-SUM(H$368:H$370)</f>
        <v>-0.62300000000000466</v>
      </c>
      <c r="I371" s="50">
        <f ca="1">'Fiscal Forecasts'!I$123-SUM(I$368:I$370)</f>
        <v>-0.69399999999999551</v>
      </c>
      <c r="J371" s="50">
        <f ca="1">'Fiscal Forecasts'!J$123-SUM(J$368:J$370)</f>
        <v>-0.70499999999999829</v>
      </c>
      <c r="K371" s="50">
        <f ca="1">'Fiscal Forecasts'!K$123-SUM(K$368:K$370)</f>
        <v>-0.78300000000000125</v>
      </c>
      <c r="L371" s="48">
        <f ca="1">'Fiscal Forecasts'!L$123-SUM(L$368:L$370)+IF($C$3="Yes",SUM(OFFSET(Assumptions!$B$52,0,$C$1),OFFSET(Assumptions!$B$53,0,$C$1))*('NZSF Adjuster'!W$29-'NZSF Adjuster'!W$20),0)</f>
        <v>-0.80100000000000193</v>
      </c>
      <c r="M371" s="48">
        <f ca="1">'Fiscal Forecasts'!M$123-SUM(M$368:M$370)+IF($C$3="Yes",SUM(OFFSET(Assumptions!$B$52,0,$C$1),OFFSET(Assumptions!$B$53,0,$C$1))*('NZSF Adjuster'!X$29-'NZSF Adjuster'!X$20),0)</f>
        <v>-0.82599999999999341</v>
      </c>
      <c r="N371" s="48">
        <f ca="1">'Fiscal Forecasts'!N$123-SUM(N$368:N$370)+IF($C$3="Yes",SUM(OFFSET(Assumptions!$B$52,0,$C$1),OFFSET(Assumptions!$B$53,0,$C$1))*('NZSF Adjuster'!Y$29-'NZSF Adjuster'!Y$20),0)</f>
        <v>-0.85599999999999454</v>
      </c>
      <c r="O371" s="48">
        <f ca="1">'Fiscal Forecasts'!O$123-SUM(O$368:O$370)+IF($C$3="Yes",SUM(OFFSET(Assumptions!$B$52,0,$C$1),OFFSET(Assumptions!$B$53,0,$C$1))*('NZSF Adjuster'!Z$29-'NZSF Adjuster'!Z$20),0)</f>
        <v>-0.89300000000001489</v>
      </c>
      <c r="P371" s="48">
        <f ca="1">'Fiscal Forecasts'!P$123-SUM(P$368:P$370)+IF($C$3="Yes",SUM(OFFSET(Assumptions!$B$52,0,$C$1),OFFSET(Assumptions!$B$53,0,$C$1))*('NZSF Adjuster'!AA$29-'NZSF Adjuster'!AA$20),0)</f>
        <v>-0.93300000000000693</v>
      </c>
      <c r="Q371" s="20">
        <f t="shared" ref="Q371:Z371" ca="1" si="211">P$371*AVERAGE(Q$368/P$368,Q$369/P$369)</f>
        <v>-0.99136806417422074</v>
      </c>
      <c r="R371" s="20">
        <f t="shared" ca="1" si="211"/>
        <v>-1.0421713445826555</v>
      </c>
      <c r="S371" s="20">
        <f t="shared" ca="1" si="211"/>
        <v>-1.096490394418975</v>
      </c>
      <c r="T371" s="20">
        <f t="shared" ca="1" si="211"/>
        <v>-1.1549958046523725</v>
      </c>
      <c r="U371" s="20">
        <f t="shared" ca="1" si="211"/>
        <v>-1.2175909904198992</v>
      </c>
      <c r="V371" s="20">
        <f t="shared" ca="1" si="211"/>
        <v>-1.2827060766582203</v>
      </c>
      <c r="W371" s="20">
        <f t="shared" ca="1" si="211"/>
        <v>-1.3503844636311129</v>
      </c>
      <c r="X371" s="20">
        <f t="shared" ca="1" si="211"/>
        <v>-1.4208692808337247</v>
      </c>
      <c r="Y371" s="20">
        <f t="shared" ca="1" si="211"/>
        <v>-1.4948622097055599</v>
      </c>
      <c r="Z371" s="20">
        <f t="shared" ca="1" si="211"/>
        <v>-1.5726303146332583</v>
      </c>
    </row>
    <row r="372" spans="1:26" x14ac:dyDescent="0.25">
      <c r="A372" s="11" t="s">
        <v>1348</v>
      </c>
      <c r="D372" s="94">
        <f t="shared" ref="D372:Z372" ca="1" si="212">SUM(D$368:D$371)</f>
        <v>39.552</v>
      </c>
      <c r="E372" s="94">
        <f t="shared" ca="1" si="212"/>
        <v>33.790999999999997</v>
      </c>
      <c r="F372" s="94">
        <f t="shared" ca="1" si="212"/>
        <v>48.539000000000001</v>
      </c>
      <c r="G372" s="94">
        <f t="shared" ca="1" si="212"/>
        <v>46.261000000000003</v>
      </c>
      <c r="H372" s="94">
        <f t="shared" ca="1" si="212"/>
        <v>48.045999999999999</v>
      </c>
      <c r="I372" s="94">
        <f t="shared" ca="1" si="212"/>
        <v>53.494999999999997</v>
      </c>
      <c r="J372" s="94">
        <f t="shared" ca="1" si="212"/>
        <v>59.573</v>
      </c>
      <c r="K372" s="94">
        <f t="shared" ca="1" si="212"/>
        <v>67.221000000000004</v>
      </c>
      <c r="L372" s="95">
        <f t="shared" ca="1" si="212"/>
        <v>69.888999999999996</v>
      </c>
      <c r="M372" s="95">
        <f t="shared" ca="1" si="212"/>
        <v>74.350999999999999</v>
      </c>
      <c r="N372" s="95">
        <f t="shared" ca="1" si="212"/>
        <v>77.135000000000005</v>
      </c>
      <c r="O372" s="95">
        <f t="shared" ca="1" si="212"/>
        <v>80.966999999999999</v>
      </c>
      <c r="P372" s="95">
        <f t="shared" ca="1" si="212"/>
        <v>85.147000000000006</v>
      </c>
      <c r="Q372" s="96">
        <f t="shared" ca="1" si="212"/>
        <v>91.646498829536696</v>
      </c>
      <c r="R372" s="96">
        <f t="shared" ca="1" si="212"/>
        <v>96.841735803504037</v>
      </c>
      <c r="S372" s="96">
        <f t="shared" ca="1" si="212"/>
        <v>102.29908956489353</v>
      </c>
      <c r="T372" s="96">
        <f t="shared" ca="1" si="212"/>
        <v>108.0519547733897</v>
      </c>
      <c r="U372" s="96">
        <f t="shared" ca="1" si="212"/>
        <v>114.08375300680888</v>
      </c>
      <c r="V372" s="96">
        <f t="shared" ca="1" si="212"/>
        <v>120.36414714972707</v>
      </c>
      <c r="W372" s="96">
        <f t="shared" ca="1" si="212"/>
        <v>126.93207527418582</v>
      </c>
      <c r="X372" s="96">
        <f t="shared" ca="1" si="212"/>
        <v>133.83690204853966</v>
      </c>
      <c r="Y372" s="96">
        <f t="shared" ca="1" si="212"/>
        <v>141.15817303310257</v>
      </c>
      <c r="Z372" s="96">
        <f t="shared" ca="1" si="212"/>
        <v>148.9548483047638</v>
      </c>
    </row>
    <row r="374" spans="1:26" x14ac:dyDescent="0.25">
      <c r="A374" s="11" t="s">
        <v>1088</v>
      </c>
    </row>
    <row r="375" spans="1:26" x14ac:dyDescent="0.25">
      <c r="A375" s="12" t="s">
        <v>524</v>
      </c>
      <c r="B375" s="14" t="str">
        <f>$B$38</f>
        <v>From Fiscal Forecasts</v>
      </c>
      <c r="D375" s="50">
        <f>'Fiscal Forecasts'!D$358</f>
        <v>0.98199999999999998</v>
      </c>
      <c r="E375" s="50">
        <f>'Fiscal Forecasts'!E$358</f>
        <v>0.80300000000000005</v>
      </c>
      <c r="F375" s="50">
        <f>'Fiscal Forecasts'!F$358</f>
        <v>0.74199999999999999</v>
      </c>
      <c r="G375" s="50">
        <f>'Fiscal Forecasts'!G$358</f>
        <v>1.077</v>
      </c>
      <c r="H375" s="50">
        <f>'Fiscal Forecasts'!H$358</f>
        <v>1.32</v>
      </c>
      <c r="I375" s="50">
        <f>'Fiscal Forecasts'!I$358</f>
        <v>1.659</v>
      </c>
      <c r="J375" s="50">
        <f>'Fiscal Forecasts'!J$358</f>
        <v>1.784</v>
      </c>
      <c r="K375" s="50">
        <f>'Fiscal Forecasts'!K$358</f>
        <v>1.794</v>
      </c>
      <c r="L375" s="48">
        <f>'Fiscal Forecasts'!L$358+IF($C$3="Yes",'NZSF Adjuster'!W$24-'NZSF Adjuster'!W$15,0)</f>
        <v>1.7829999999999999</v>
      </c>
      <c r="M375" s="48">
        <f>'Fiscal Forecasts'!M$358+IF($C$3="Yes",'NZSF Adjuster'!X$24-'NZSF Adjuster'!X$15,0)</f>
        <v>1.8460000000000001</v>
      </c>
      <c r="N375" s="48">
        <f>'Fiscal Forecasts'!N$358+IF($C$3="Yes",'NZSF Adjuster'!Y$24-'NZSF Adjuster'!Y$15,0)</f>
        <v>1.9339999999999999</v>
      </c>
      <c r="O375" s="48">
        <f>'Fiscal Forecasts'!O$358+IF($C$3="Yes",'NZSF Adjuster'!Z$24-'NZSF Adjuster'!Z$15,0)</f>
        <v>2.0230000000000001</v>
      </c>
      <c r="P375" s="48">
        <f>'Fiscal Forecasts'!P$358+IF($C$3="Yes",'NZSF Adjuster'!AA$24-'NZSF Adjuster'!AA$15,0)</f>
        <v>2.117</v>
      </c>
      <c r="Q375" s="20">
        <f>IF($C$3="Yes",'NZSF Adjuster'!AB$24,Exogenous!AB$7)</f>
        <v>2.2826423397519768</v>
      </c>
      <c r="R375" s="20">
        <f>IF($C$3="Yes",'NZSF Adjuster'!AC$24,Exogenous!AC$7)</f>
        <v>2.4227195267047787</v>
      </c>
      <c r="S375" s="20">
        <f>IF($C$3="Yes",'NZSF Adjuster'!AD$24,Exogenous!AD$7)</f>
        <v>2.5686040258743446</v>
      </c>
      <c r="T375" s="20">
        <f>IF($C$3="Yes",'NZSF Adjuster'!AE$24,Exogenous!AE$7)</f>
        <v>2.7205525842122014</v>
      </c>
      <c r="U375" s="20">
        <f>IF($C$3="Yes",'NZSF Adjuster'!AF$24,Exogenous!AF$7)</f>
        <v>2.8785731084689492</v>
      </c>
      <c r="V375" s="20">
        <f>IF($C$3="Yes",'NZSF Adjuster'!AG$24,Exogenous!AG$7)</f>
        <v>3.0428005523082655</v>
      </c>
      <c r="W375" s="20">
        <f>IF($C$3="Yes",'NZSF Adjuster'!AH$24,Exogenous!AH$7)</f>
        <v>3.2145377933622776</v>
      </c>
      <c r="X375" s="20">
        <f>IF($C$3="Yes",'NZSF Adjuster'!AI$24,Exogenous!AI$7)</f>
        <v>3.3954730466939047</v>
      </c>
      <c r="Y375" s="20">
        <f>IF($C$3="Yes",'NZSF Adjuster'!AJ$24,Exogenous!AJ$7)</f>
        <v>3.5876200801183402</v>
      </c>
      <c r="Z375" s="20">
        <f>IF($C$3="Yes",'NZSF Adjuster'!AK$24,Exogenous!AK$7)</f>
        <v>3.7932149643970732</v>
      </c>
    </row>
    <row r="376" spans="1:26" x14ac:dyDescent="0.25">
      <c r="A376" s="12" t="s">
        <v>672</v>
      </c>
      <c r="B376" s="14" t="str">
        <f>$B$38</f>
        <v>From Fiscal Forecasts</v>
      </c>
      <c r="D376" s="50">
        <f>'Fiscal Forecasts'!D$359</f>
        <v>0.504</v>
      </c>
      <c r="E376" s="50">
        <f>'Fiscal Forecasts'!E$359</f>
        <v>0.44800000000000001</v>
      </c>
      <c r="F376" s="50">
        <f>'Fiscal Forecasts'!F$359</f>
        <v>2.1560000000000001</v>
      </c>
      <c r="G376" s="50">
        <f>'Fiscal Forecasts'!G$359</f>
        <v>3.5000000000000003E-2</v>
      </c>
      <c r="H376" s="50">
        <f>'Fiscal Forecasts'!H$359</f>
        <v>0.127</v>
      </c>
      <c r="I376" s="50">
        <f>'Fiscal Forecasts'!I$359</f>
        <v>1.29</v>
      </c>
      <c r="J376" s="50">
        <f>'Fiscal Forecasts'!J$359</f>
        <v>1.7549999999999999</v>
      </c>
      <c r="K376" s="50">
        <f>'Fiscal Forecasts'!K$359</f>
        <v>1.196</v>
      </c>
      <c r="L376" s="48">
        <f>'Fiscal Forecasts'!L$359+IF($C$3="Yes",'NZSF Adjuster'!W$25-'NZSF Adjuster'!W$16,0)</f>
        <v>1.1910000000000001</v>
      </c>
      <c r="M376" s="48">
        <f>'Fiscal Forecasts'!M$359+IF($C$3="Yes",'NZSF Adjuster'!X$25-'NZSF Adjuster'!X$16,0)</f>
        <v>1.2689999999999999</v>
      </c>
      <c r="N376" s="48">
        <f>'Fiscal Forecasts'!N$359+IF($C$3="Yes",'NZSF Adjuster'!Y$25-'NZSF Adjuster'!Y$16,0)</f>
        <v>1.351</v>
      </c>
      <c r="O376" s="48">
        <f>'Fiscal Forecasts'!O$359+IF($C$3="Yes",'NZSF Adjuster'!Z$25-'NZSF Adjuster'!Z$16,0)</f>
        <v>1.4419999999999999</v>
      </c>
      <c r="P376" s="48">
        <f>'Fiscal Forecasts'!P$359+IF($C$3="Yes",'NZSF Adjuster'!AA$25-'NZSF Adjuster'!AA$16,0)</f>
        <v>1.54</v>
      </c>
      <c r="Q376" s="20">
        <f>IF($C$3="Yes",'NZSF Adjuster'!AB$25,Exogenous!AB$8)</f>
        <v>1.6465642618703413</v>
      </c>
      <c r="R376" s="20">
        <f>IF($C$3="Yes",'NZSF Adjuster'!AC$25,Exogenous!AC$8)</f>
        <v>1.7476077262463132</v>
      </c>
      <c r="S376" s="20">
        <f>IF($C$3="Yes",'NZSF Adjuster'!AD$25,Exogenous!AD$8)</f>
        <v>1.8528402449419756</v>
      </c>
      <c r="T376" s="20">
        <f>IF($C$3="Yes",'NZSF Adjuster'!AE$25,Exogenous!AE$8)</f>
        <v>1.9624470201448843</v>
      </c>
      <c r="U376" s="20">
        <f>IF($C$3="Yes",'NZSF Adjuster'!AF$25,Exogenous!AF$8)</f>
        <v>2.0764337553210344</v>
      </c>
      <c r="V376" s="20">
        <f>IF($C$3="Yes",'NZSF Adjuster'!AG$25,Exogenous!AG$8)</f>
        <v>2.194897798125707</v>
      </c>
      <c r="W376" s="20">
        <f>IF($C$3="Yes",'NZSF Adjuster'!AH$25,Exogenous!AH$8)</f>
        <v>2.3187789680432305</v>
      </c>
      <c r="X376" s="20">
        <f>IF($C$3="Yes",'NZSF Adjuster'!AI$25,Exogenous!AI$8)</f>
        <v>2.4492950443728607</v>
      </c>
      <c r="Y376" s="20">
        <f>IF($C$3="Yes",'NZSF Adjuster'!AJ$25,Exogenous!AJ$8)</f>
        <v>2.5878986410692479</v>
      </c>
      <c r="Z376" s="20">
        <f>IF($C$3="Yes",'NZSF Adjuster'!AK$25,Exogenous!AK$8)</f>
        <v>2.736202728390047</v>
      </c>
    </row>
    <row r="377" spans="1:26" x14ac:dyDescent="0.25">
      <c r="A377" s="12" t="s">
        <v>664</v>
      </c>
      <c r="B377" s="14" t="str">
        <f>$B$38</f>
        <v>From Fiscal Forecasts</v>
      </c>
      <c r="D377" s="50">
        <f>'Fiscal Forecasts'!D$360</f>
        <v>0.13</v>
      </c>
      <c r="E377" s="50">
        <f>'Fiscal Forecasts'!E$360</f>
        <v>0.15</v>
      </c>
      <c r="F377" s="50">
        <f>'Fiscal Forecasts'!F$360</f>
        <v>0.125</v>
      </c>
      <c r="G377" s="50">
        <f>'Fiscal Forecasts'!G$360</f>
        <v>-0.51700000000000002</v>
      </c>
      <c r="H377" s="50">
        <f>'Fiscal Forecasts'!H$360</f>
        <v>1.054</v>
      </c>
      <c r="I377" s="50">
        <f>'Fiscal Forecasts'!I$360</f>
        <v>0.189</v>
      </c>
      <c r="J377" s="50">
        <f>'Fiscal Forecasts'!J$360</f>
        <v>0.193</v>
      </c>
      <c r="K377" s="50">
        <f>'Fiscal Forecasts'!K$360</f>
        <v>0.215</v>
      </c>
      <c r="L377" s="48">
        <f>'Fiscal Forecasts'!L$360+IF($C$3="Yes",'NZSF Adjuster'!W$26-'NZSF Adjuster'!W$17,0)</f>
        <v>0.32200000000000001</v>
      </c>
      <c r="M377" s="48">
        <f>'Fiscal Forecasts'!M$360+IF($C$3="Yes",'NZSF Adjuster'!X$26-'NZSF Adjuster'!X$17,0)</f>
        <v>0.33600000000000002</v>
      </c>
      <c r="N377" s="48">
        <f>'Fiscal Forecasts'!N$360+IF($C$3="Yes",'NZSF Adjuster'!Y$26-'NZSF Adjuster'!Y$17,0)</f>
        <v>0.35199999999999998</v>
      </c>
      <c r="O377" s="48">
        <f>'Fiscal Forecasts'!O$360+IF($C$3="Yes",'NZSF Adjuster'!Z$26-'NZSF Adjuster'!Z$17,0)</f>
        <v>0.371</v>
      </c>
      <c r="P377" s="48">
        <f>'Fiscal Forecasts'!P$360+IF($C$3="Yes",'NZSF Adjuster'!AA$26-'NZSF Adjuster'!AA$17,0)</f>
        <v>0.39100000000000001</v>
      </c>
      <c r="Q377" s="20">
        <f>IF($C$3="Yes",'NZSF Adjuster'!AB$26,Exogenous!AB$9)</f>
        <v>0.41851304952192758</v>
      </c>
      <c r="R377" s="20">
        <f>IF($C$3="Yes",'NZSF Adjuster'!AC$26,Exogenous!AC$9)</f>
        <v>0.44419562346666575</v>
      </c>
      <c r="S377" s="20">
        <f>IF($C$3="Yes",'NZSF Adjuster'!AD$26,Exogenous!AD$9)</f>
        <v>0.47094294413192073</v>
      </c>
      <c r="T377" s="20">
        <f>IF($C$3="Yes",'NZSF Adjuster'!AE$26,Exogenous!AE$9)</f>
        <v>0.49880208501132234</v>
      </c>
      <c r="U377" s="20">
        <f>IF($C$3="Yes",'NZSF Adjuster'!AF$26,Exogenous!AF$9)</f>
        <v>0.52777449577495117</v>
      </c>
      <c r="V377" s="20">
        <f>IF($C$3="Yes",'NZSF Adjuster'!AG$26,Exogenous!AG$9)</f>
        <v>0.55788491961991127</v>
      </c>
      <c r="W377" s="20">
        <f>IF($C$3="Yes",'NZSF Adjuster'!AH$26,Exogenous!AH$9)</f>
        <v>0.58937223378136083</v>
      </c>
      <c r="X377" s="20">
        <f>IF($C$3="Yes",'NZSF Adjuster'!AI$26,Exogenous!AI$9)</f>
        <v>0.62254596552159913</v>
      </c>
      <c r="Y377" s="20">
        <f>IF($C$3="Yes",'NZSF Adjuster'!AJ$26,Exogenous!AJ$9)</f>
        <v>0.65777533085606932</v>
      </c>
      <c r="Z377" s="20">
        <f>IF($C$3="Yes",'NZSF Adjuster'!AK$26,Exogenous!AK$9)</f>
        <v>0.69547030412768118</v>
      </c>
    </row>
    <row r="378" spans="1:26" x14ac:dyDescent="0.25">
      <c r="A378" s="12" t="s">
        <v>527</v>
      </c>
      <c r="B378" s="14" t="str">
        <f>$B$38</f>
        <v>From Fiscal Forecasts</v>
      </c>
      <c r="D378" s="50">
        <f>'Fiscal Forecasts'!D$361</f>
        <v>1.9550000000000001</v>
      </c>
      <c r="E378" s="50">
        <f>'Fiscal Forecasts'!E$361</f>
        <v>1.7000000000000001E-2</v>
      </c>
      <c r="F378" s="50">
        <f>'Fiscal Forecasts'!F$361</f>
        <v>12.786</v>
      </c>
      <c r="G378" s="50">
        <f>'Fiscal Forecasts'!G$361</f>
        <v>-5.133</v>
      </c>
      <c r="H378" s="50">
        <f>'Fiscal Forecasts'!H$361</f>
        <v>5.766</v>
      </c>
      <c r="I378" s="50">
        <f>'Fiscal Forecasts'!I$361</f>
        <v>8.3520000000000003</v>
      </c>
      <c r="J378" s="50">
        <f>'Fiscal Forecasts'!J$361</f>
        <v>7.3129999999999997</v>
      </c>
      <c r="K378" s="50">
        <f>'Fiscal Forecasts'!K$361</f>
        <v>10.266999999999999</v>
      </c>
      <c r="L378" s="48">
        <f>'Fiscal Forecasts'!L$361+IF($C$3="Yes",'NZSF Adjuster'!W$27-'NZSF Adjuster'!W$18,0)</f>
        <v>5.2359999999999998</v>
      </c>
      <c r="M378" s="48">
        <f>'Fiscal Forecasts'!M$361+IF($C$3="Yes",'NZSF Adjuster'!X$27-'NZSF Adjuster'!X$18,0)</f>
        <v>5.6260000000000003</v>
      </c>
      <c r="N378" s="48">
        <f>'Fiscal Forecasts'!N$361+IF($C$3="Yes",'NZSF Adjuster'!Y$27-'NZSF Adjuster'!Y$18,0)</f>
        <v>6.0119999999999996</v>
      </c>
      <c r="O378" s="48">
        <f>'Fiscal Forecasts'!O$361+IF($C$3="Yes",'NZSF Adjuster'!Z$27-'NZSF Adjuster'!Z$18,0)</f>
        <v>6.4580000000000002</v>
      </c>
      <c r="P378" s="48">
        <f>'Fiscal Forecasts'!P$361+IF($C$3="Yes",'NZSF Adjuster'!AA$27-'NZSF Adjuster'!AA$18,0)</f>
        <v>6.9329999999999998</v>
      </c>
      <c r="Q378" s="20">
        <f>IF($C$3="Yes",'NZSF Adjuster'!AB$27,Exogenous!AB$10)</f>
        <v>7.2834499423829602</v>
      </c>
      <c r="R378" s="20">
        <f>IF($C$3="Yes",'NZSF Adjuster'!AC$27,Exogenous!AC$10)</f>
        <v>7.7304079092414062</v>
      </c>
      <c r="S378" s="20">
        <f>IF($C$3="Yes",'NZSF Adjuster'!AD$27,Exogenous!AD$10)</f>
        <v>8.1958958346018864</v>
      </c>
      <c r="T378" s="20">
        <f>IF($C$3="Yes",'NZSF Adjuster'!AE$27,Exogenous!AE$10)</f>
        <v>8.6807329460484794</v>
      </c>
      <c r="U378" s="20">
        <f>IF($C$3="Yes",'NZSF Adjuster'!AF$27,Exogenous!AF$10)</f>
        <v>9.1849444724228615</v>
      </c>
      <c r="V378" s="20">
        <f>IF($C$3="Yes",'NZSF Adjuster'!AG$27,Exogenous!AG$10)</f>
        <v>9.7089610235655766</v>
      </c>
      <c r="W378" s="20">
        <f>IF($C$3="Yes",'NZSF Adjuster'!AH$27,Exogenous!AH$10)</f>
        <v>10.256939818437033</v>
      </c>
      <c r="X378" s="20">
        <f>IF($C$3="Yes",'NZSF Adjuster'!AI$27,Exogenous!AI$10)</f>
        <v>10.834267609788034</v>
      </c>
      <c r="Y378" s="20">
        <f>IF($C$3="Yes",'NZSF Adjuster'!AJ$27,Exogenous!AJ$10)</f>
        <v>11.447369923344665</v>
      </c>
      <c r="Z378" s="20">
        <f>IF($C$3="Yes",'NZSF Adjuster'!AK$27,Exogenous!AK$10)</f>
        <v>12.103381608564206</v>
      </c>
    </row>
    <row r="379" spans="1:26" x14ac:dyDescent="0.25">
      <c r="A379" s="11" t="s">
        <v>1349</v>
      </c>
      <c r="D379" s="94">
        <f t="shared" ref="D379:Z379" si="213">D$375-D$376-D$377+D$378</f>
        <v>2.3029999999999999</v>
      </c>
      <c r="E379" s="94">
        <f t="shared" si="213"/>
        <v>0.22200000000000003</v>
      </c>
      <c r="F379" s="94">
        <f t="shared" si="213"/>
        <v>11.247</v>
      </c>
      <c r="G379" s="94">
        <f t="shared" si="213"/>
        <v>-3.5739999999999998</v>
      </c>
      <c r="H379" s="94">
        <f t="shared" si="213"/>
        <v>5.9050000000000002</v>
      </c>
      <c r="I379" s="94">
        <f t="shared" si="213"/>
        <v>8.532</v>
      </c>
      <c r="J379" s="94">
        <f t="shared" si="213"/>
        <v>7.149</v>
      </c>
      <c r="K379" s="94">
        <f t="shared" si="213"/>
        <v>10.65</v>
      </c>
      <c r="L379" s="95">
        <f t="shared" si="213"/>
        <v>5.5059999999999993</v>
      </c>
      <c r="M379" s="95">
        <f t="shared" si="213"/>
        <v>5.8670000000000009</v>
      </c>
      <c r="N379" s="95">
        <f t="shared" si="213"/>
        <v>6.2429999999999994</v>
      </c>
      <c r="O379" s="95">
        <f t="shared" si="213"/>
        <v>6.6680000000000001</v>
      </c>
      <c r="P379" s="95">
        <f t="shared" si="213"/>
        <v>7.1189999999999998</v>
      </c>
      <c r="Q379" s="96">
        <f t="shared" si="213"/>
        <v>7.5010149707426681</v>
      </c>
      <c r="R379" s="96">
        <f t="shared" si="213"/>
        <v>7.9613240862332058</v>
      </c>
      <c r="S379" s="96">
        <f t="shared" si="213"/>
        <v>8.4407166714023347</v>
      </c>
      <c r="T379" s="96">
        <f t="shared" si="213"/>
        <v>8.9400364251044735</v>
      </c>
      <c r="U379" s="96">
        <f t="shared" si="213"/>
        <v>9.4593093297958255</v>
      </c>
      <c r="V379" s="96">
        <f t="shared" si="213"/>
        <v>9.9989788581282237</v>
      </c>
      <c r="W379" s="96">
        <f t="shared" si="213"/>
        <v>10.563326409974719</v>
      </c>
      <c r="X379" s="96">
        <f t="shared" si="213"/>
        <v>11.157899646587479</v>
      </c>
      <c r="Y379" s="96">
        <f t="shared" si="213"/>
        <v>11.789316031537687</v>
      </c>
      <c r="Z379" s="96">
        <f t="shared" si="213"/>
        <v>12.46492354044355</v>
      </c>
    </row>
    <row r="380" spans="1:26" x14ac:dyDescent="0.25">
      <c r="A380" s="12" t="s">
        <v>1350</v>
      </c>
      <c r="B380" s="14" t="str">
        <f>$B$38</f>
        <v>From Fiscal Forecasts</v>
      </c>
      <c r="D380" s="50">
        <f>'Fiscal Forecasts'!D$362</f>
        <v>1</v>
      </c>
      <c r="E380" s="50">
        <f>'Fiscal Forecasts'!E$362</f>
        <v>1.46</v>
      </c>
      <c r="F380" s="50">
        <f>'Fiscal Forecasts'!F$362</f>
        <v>2.12</v>
      </c>
      <c r="G380" s="50">
        <f>'Fiscal Forecasts'!G$362</f>
        <v>2.42</v>
      </c>
      <c r="H380" s="50">
        <f>'Fiscal Forecasts'!H$362</f>
        <v>2.5579999999999998</v>
      </c>
      <c r="I380" s="50">
        <f>'Fiscal Forecasts'!I$362</f>
        <v>1.6140000000000001</v>
      </c>
      <c r="J380" s="50">
        <f>'Fiscal Forecasts'!J$362</f>
        <v>0.879</v>
      </c>
      <c r="K380" s="50">
        <f>'Fiscal Forecasts'!K$362</f>
        <v>0</v>
      </c>
      <c r="L380" s="48">
        <f>'Fiscal Forecasts'!L$362+IF($C$3="Yes",'NZSF Adjuster'!W$23-'NZSF Adjuster'!W$14,0)</f>
        <v>0.56200000000000006</v>
      </c>
      <c r="M380" s="48">
        <f>'Fiscal Forecasts'!M$362+IF($C$3="Yes",'NZSF Adjuster'!X$23-'NZSF Adjuster'!X$14,0)</f>
        <v>0.155</v>
      </c>
      <c r="N380" s="48">
        <f>'Fiscal Forecasts'!N$362+IF($C$3="Yes",'NZSF Adjuster'!Y$23-'NZSF Adjuster'!Y$14,0)</f>
        <v>0.35</v>
      </c>
      <c r="O380" s="48">
        <f>'Fiscal Forecasts'!O$362+IF($C$3="Yes",'NZSF Adjuster'!Z$23-'NZSF Adjuster'!Z$14,0)</f>
        <v>0.44900000000000001</v>
      </c>
      <c r="P380" s="48">
        <f>'Fiscal Forecasts'!P$362+IF($C$3="Yes",'NZSF Adjuster'!AA$23-'NZSF Adjuster'!AA$14,0)</f>
        <v>0.47299999999999998</v>
      </c>
      <c r="Q380" s="20">
        <f>IF($C$3="Yes",'NZSF Adjuster'!AB$23,Exogenous!AB$11)</f>
        <v>0.35431289191672377</v>
      </c>
      <c r="R380" s="20">
        <f>IF($C$3="Yes",'NZSF Adjuster'!AC$23,Exogenous!AC$11)</f>
        <v>0.22475822866131523</v>
      </c>
      <c r="S380" s="20">
        <f>IF($C$3="Yes",'NZSF Adjuster'!AD$23,Exogenous!AD$11)</f>
        <v>7.8613672750343255E-2</v>
      </c>
      <c r="T380" s="20">
        <f>IF($C$3="Yes",'NZSF Adjuster'!AE$23,Exogenous!AE$11)</f>
        <v>-5.8113137154620631E-2</v>
      </c>
      <c r="U380" s="20">
        <f>IF($C$3="Yes",'NZSF Adjuster'!AF$23,Exogenous!AF$11)</f>
        <v>-0.24914726512719909</v>
      </c>
      <c r="V380" s="20">
        <f>IF($C$3="Yes",'NZSF Adjuster'!AG$23,Exogenous!AG$11)</f>
        <v>-0.40218976675939189</v>
      </c>
      <c r="W380" s="20">
        <f>IF($C$3="Yes",'NZSF Adjuster'!AH$23,Exogenous!AH$11)</f>
        <v>-0.48609182297989406</v>
      </c>
      <c r="X380" s="20">
        <f>IF($C$3="Yes",'NZSF Adjuster'!AI$23,Exogenous!AI$11)</f>
        <v>-0.50053159184796669</v>
      </c>
      <c r="Y380" s="20">
        <f>IF($C$3="Yes",'NZSF Adjuster'!AJ$23,Exogenous!AJ$11)</f>
        <v>-0.41817925544185641</v>
      </c>
      <c r="Z380" s="20">
        <f>IF($C$3="Yes",'NZSF Adjuster'!AK$23,Exogenous!AK$11)</f>
        <v>-0.2592683764618755</v>
      </c>
    </row>
    <row r="381" spans="1:26" x14ac:dyDescent="0.25">
      <c r="A381" s="12" t="s">
        <v>529</v>
      </c>
      <c r="B381" s="14" t="str">
        <f>$B$38</f>
        <v>From Fiscal Forecasts</v>
      </c>
      <c r="D381" s="50">
        <f>'Fiscal Forecasts'!D$363</f>
        <v>8.8999999999999996E-2</v>
      </c>
      <c r="E381" s="50">
        <f>'Fiscal Forecasts'!E$363</f>
        <v>-0.13</v>
      </c>
      <c r="F381" s="50">
        <f>'Fiscal Forecasts'!F$363</f>
        <v>1E-3</v>
      </c>
      <c r="G381" s="50">
        <f>'Fiscal Forecasts'!G$363</f>
        <v>-1E-3</v>
      </c>
      <c r="H381" s="50">
        <f>'Fiscal Forecasts'!H$363</f>
        <v>0</v>
      </c>
      <c r="I381" s="50">
        <f>'Fiscal Forecasts'!I$363</f>
        <v>0</v>
      </c>
      <c r="J381" s="50">
        <f>'Fiscal Forecasts'!J$363</f>
        <v>0</v>
      </c>
      <c r="K381" s="50">
        <f>'Fiscal Forecasts'!K$363</f>
        <v>0</v>
      </c>
      <c r="L381" s="48">
        <f>'Fiscal Forecasts'!L$363+IF($C$3="Yes",'NZSF Adjuster'!W$28-'NZSF Adjuster'!W$19,0)</f>
        <v>0</v>
      </c>
      <c r="M381" s="48">
        <f>'Fiscal Forecasts'!M$363+IF($C$3="Yes",'NZSF Adjuster'!X$28-'NZSF Adjuster'!X$19,0)</f>
        <v>0</v>
      </c>
      <c r="N381" s="48">
        <f>'Fiscal Forecasts'!N$363+IF($C$3="Yes",'NZSF Adjuster'!Y$28-'NZSF Adjuster'!Y$19,0)</f>
        <v>0</v>
      </c>
      <c r="O381" s="48">
        <f>'Fiscal Forecasts'!O$363+IF($C$3="Yes",'NZSF Adjuster'!Z$28-'NZSF Adjuster'!Z$19,0)</f>
        <v>0</v>
      </c>
      <c r="P381" s="48">
        <f>'Fiscal Forecasts'!P$363+IF($C$3="Yes",'NZSF Adjuster'!AA$28-'NZSF Adjuster'!AA$19,0)</f>
        <v>0</v>
      </c>
      <c r="Q381" s="20">
        <f>IF($C$3="Yes",'NZSF Adjuster'!AB$28,Exogenous!AB$12)</f>
        <v>0</v>
      </c>
      <c r="R381" s="20">
        <f>IF($C$3="Yes",'NZSF Adjuster'!AC$28,Exogenous!AC$12)</f>
        <v>0</v>
      </c>
      <c r="S381" s="20">
        <f>IF($C$3="Yes",'NZSF Adjuster'!AD$28,Exogenous!AD$12)</f>
        <v>0</v>
      </c>
      <c r="T381" s="20">
        <f>IF($C$3="Yes",'NZSF Adjuster'!AE$28,Exogenous!AE$12)</f>
        <v>0</v>
      </c>
      <c r="U381" s="20">
        <f>IF($C$3="Yes",'NZSF Adjuster'!AF$28,Exogenous!AF$12)</f>
        <v>0</v>
      </c>
      <c r="V381" s="20">
        <f>IF($C$3="Yes",'NZSF Adjuster'!AG$28,Exogenous!AG$12)</f>
        <v>0</v>
      </c>
      <c r="W381" s="20">
        <f>IF($C$3="Yes",'NZSF Adjuster'!AH$28,Exogenous!AH$12)</f>
        <v>0</v>
      </c>
      <c r="X381" s="20">
        <f>IF($C$3="Yes",'NZSF Adjuster'!AI$28,Exogenous!AI$12)</f>
        <v>0</v>
      </c>
      <c r="Y381" s="20">
        <f>IF($C$3="Yes",'NZSF Adjuster'!AJ$28,Exogenous!AJ$12)</f>
        <v>0</v>
      </c>
      <c r="Z381" s="20">
        <f>IF($C$3="Yes",'NZSF Adjuster'!AK$28,Exogenous!AK$12)</f>
        <v>0</v>
      </c>
    </row>
    <row r="382" spans="1:26" x14ac:dyDescent="0.25">
      <c r="A382" s="11" t="s">
        <v>1093</v>
      </c>
      <c r="C382" s="103">
        <f>'Fiscal Forecasts'!$C$364</f>
        <v>39.052999999999997</v>
      </c>
      <c r="D382" s="94">
        <f t="shared" ref="D382:K382" si="214">SUM(C$382,D$379,D$380,D$381)</f>
        <v>42.444999999999993</v>
      </c>
      <c r="E382" s="94">
        <f t="shared" si="214"/>
        <v>43.996999999999993</v>
      </c>
      <c r="F382" s="94">
        <f t="shared" si="214"/>
        <v>57.364999999999988</v>
      </c>
      <c r="G382" s="94">
        <f t="shared" si="214"/>
        <v>56.209999999999994</v>
      </c>
      <c r="H382" s="94">
        <f t="shared" si="214"/>
        <v>64.673000000000002</v>
      </c>
      <c r="I382" s="94">
        <f t="shared" si="214"/>
        <v>74.819000000000003</v>
      </c>
      <c r="J382" s="94">
        <f t="shared" si="214"/>
        <v>82.847000000000008</v>
      </c>
      <c r="K382" s="94">
        <f t="shared" si="214"/>
        <v>93.497000000000014</v>
      </c>
      <c r="L382" s="95">
        <f t="shared" ref="L382:Z382" si="215">SUM(K$382,L$379,L$380,L$381)</f>
        <v>99.565000000000012</v>
      </c>
      <c r="M382" s="95">
        <f t="shared" si="215"/>
        <v>105.58700000000002</v>
      </c>
      <c r="N382" s="95">
        <f t="shared" si="215"/>
        <v>112.18</v>
      </c>
      <c r="O382" s="95">
        <f t="shared" si="215"/>
        <v>119.29700000000001</v>
      </c>
      <c r="P382" s="95">
        <f t="shared" si="215"/>
        <v>126.88900000000001</v>
      </c>
      <c r="Q382" s="96">
        <f t="shared" si="215"/>
        <v>134.74432786265939</v>
      </c>
      <c r="R382" s="96">
        <f t="shared" si="215"/>
        <v>142.93041017755394</v>
      </c>
      <c r="S382" s="96">
        <f t="shared" si="215"/>
        <v>151.44974052170662</v>
      </c>
      <c r="T382" s="96">
        <f t="shared" si="215"/>
        <v>160.33166380965645</v>
      </c>
      <c r="U382" s="96">
        <f t="shared" si="215"/>
        <v>169.54182587432507</v>
      </c>
      <c r="V382" s="96">
        <f t="shared" si="215"/>
        <v>179.1386149656939</v>
      </c>
      <c r="W382" s="96">
        <f t="shared" si="215"/>
        <v>189.21584955268872</v>
      </c>
      <c r="X382" s="96">
        <f t="shared" si="215"/>
        <v>199.87321760742824</v>
      </c>
      <c r="Y382" s="96">
        <f t="shared" si="215"/>
        <v>211.24435438352407</v>
      </c>
      <c r="Z382" s="96">
        <f t="shared" si="215"/>
        <v>223.45000954750574</v>
      </c>
    </row>
    <row r="383" spans="1:26" x14ac:dyDescent="0.25">
      <c r="A383" s="14" t="s">
        <v>1351</v>
      </c>
    </row>
    <row r="384" spans="1:26" x14ac:dyDescent="0.25">
      <c r="A384" s="12" t="s">
        <v>1094</v>
      </c>
      <c r="B384" s="14" t="str">
        <f>$B$38</f>
        <v>From Fiscal Forecasts</v>
      </c>
      <c r="D384" s="50">
        <f>'Fiscal Forecasts'!D$365</f>
        <v>44.307000000000002</v>
      </c>
      <c r="E384" s="50">
        <f>'Fiscal Forecasts'!E$365</f>
        <v>48.220999999999997</v>
      </c>
      <c r="F384" s="50">
        <f>'Fiscal Forecasts'!F$365</f>
        <v>62.311999999999998</v>
      </c>
      <c r="G384" s="50">
        <f>'Fiscal Forecasts'!G$365</f>
        <v>65.411000000000001</v>
      </c>
      <c r="H384" s="50">
        <f>'Fiscal Forecasts'!H$365</f>
        <v>68.233999999999995</v>
      </c>
      <c r="I384" s="50">
        <f>'Fiscal Forecasts'!I$365</f>
        <v>79.058000000000007</v>
      </c>
      <c r="J384" s="50">
        <f>'Fiscal Forecasts'!J$365</f>
        <v>87.295000000000002</v>
      </c>
      <c r="K384" s="50">
        <f>'Fiscal Forecasts'!K$365</f>
        <v>98.241</v>
      </c>
      <c r="L384" s="48">
        <f>'Fiscal Forecasts'!L$365+IF($C$3="Yes",'NZSF Adjuster'!W$29-'NZSF Adjuster'!W$20,0)</f>
        <v>105.30500000000001</v>
      </c>
      <c r="M384" s="48">
        <f>'Fiscal Forecasts'!M$365+IF($C$3="Yes",'NZSF Adjuster'!X$29-'NZSF Adjuster'!X$20,0)</f>
        <v>112.79900000000001</v>
      </c>
      <c r="N384" s="48">
        <f>'Fiscal Forecasts'!N$365+IF($C$3="Yes",'NZSF Adjuster'!Y$29-'NZSF Adjuster'!Y$20,0)</f>
        <v>118.80200000000001</v>
      </c>
      <c r="O384" s="48">
        <f>'Fiscal Forecasts'!O$365+IF($C$3="Yes",'NZSF Adjuster'!Z$29-'NZSF Adjuster'!Z$20,0)</f>
        <v>125.7</v>
      </c>
      <c r="P384" s="48">
        <f>'Fiscal Forecasts'!P$365+IF($C$3="Yes",'NZSF Adjuster'!AA$29-'NZSF Adjuster'!AA$20,0)</f>
        <v>133.26300000000001</v>
      </c>
      <c r="Q384" s="20">
        <f ca="1">IF(Q$6=OFFSET(Assumptions!$B$8,0,$C$1),AVERAGE(N$384/N$382,O$384/O$382,P$384/P$382),P$384/P$382)*Q$382</f>
        <v>142.06255178800495</v>
      </c>
      <c r="R384" s="20">
        <f ca="1">IF(R$6=OFFSET(Assumptions!$B$8,0,$C$1),AVERAGE(O$384/O$382,P$384/P$382,Q$384/Q$382),Q$384/Q$382)*R$382</f>
        <v>150.69323599747997</v>
      </c>
      <c r="S384" s="20">
        <f ca="1">IF(S$6=OFFSET(Assumptions!$B$8,0,$C$1),AVERAGE(P$384/P$382,Q$384/Q$382,R$384/R$382),R$384/R$382)*S$382</f>
        <v>159.67526757842273</v>
      </c>
      <c r="T384" s="20">
        <f ca="1">IF(T$6=OFFSET(Assumptions!$B$8,0,$C$1),AVERAGE(Q$384/Q$382,R$384/R$382,S$384/S$382),S$384/S$382)*T$382</f>
        <v>169.0395852241908</v>
      </c>
      <c r="U384" s="20">
        <f ca="1">IF(U$6=OFFSET(Assumptions!$B$8,0,$C$1),AVERAGE(R$384/R$382,S$384/S$382,T$384/T$382),T$384/T$382)*U$382</f>
        <v>178.74996892673548</v>
      </c>
      <c r="V384" s="20">
        <f ca="1">IF(V$6=OFFSET(Assumptions!$B$8,0,$C$1),AVERAGE(S$384/S$382,T$384/T$382,U$384/U$382),U$384/U$382)*V$382</f>
        <v>188.86797811433377</v>
      </c>
      <c r="W384" s="20">
        <f ca="1">IF(W$6=OFFSET(Assumptions!$B$8,0,$C$1),AVERAGE(T$384/T$382,U$384/U$382,V$384/V$382),V$384/V$382)*W$382</f>
        <v>199.49252671762645</v>
      </c>
      <c r="X384" s="20">
        <f ca="1">IF(X$6=OFFSET(Assumptions!$B$8,0,$C$1),AVERAGE(U$384/U$382,V$384/V$382,W$384/W$382),W$384/W$382)*X$382</f>
        <v>210.72871695446852</v>
      </c>
      <c r="Y384" s="20">
        <f ca="1">IF(Y$6=OFFSET(Assumptions!$B$8,0,$C$1),AVERAGE(V$384/V$382,W$384/W$382,X$384/X$382),X$384/X$382)*Y$382</f>
        <v>222.71744206643865</v>
      </c>
      <c r="Z384" s="20">
        <f ca="1">IF(Z$6=OFFSET(Assumptions!$B$8,0,$C$1),AVERAGE(W$384/W$382,X$384/X$382,Y$384/Y$382),Y$384/Y$382)*Z$382</f>
        <v>235.58600986698499</v>
      </c>
    </row>
    <row r="385" spans="1:26" x14ac:dyDescent="0.25">
      <c r="A385" s="12" t="s">
        <v>1352</v>
      </c>
      <c r="B385" s="14" t="str">
        <f>$B$38</f>
        <v>From Fiscal Forecasts</v>
      </c>
      <c r="D385" s="50">
        <f>-'Fiscal Forecasts'!D$366</f>
        <v>1.9910000000000001</v>
      </c>
      <c r="E385" s="50">
        <f>-'Fiscal Forecasts'!E$366</f>
        <v>4.226</v>
      </c>
      <c r="F385" s="50">
        <f>-'Fiscal Forecasts'!F$366</f>
        <v>4.9489999999999998</v>
      </c>
      <c r="G385" s="50">
        <f>-'Fiscal Forecasts'!G$366</f>
        <v>9.1020000000000003</v>
      </c>
      <c r="H385" s="50">
        <f>-'Fiscal Forecasts'!H$366</f>
        <v>3.5009999999999999</v>
      </c>
      <c r="I385" s="50">
        <f>-'Fiscal Forecasts'!I$366</f>
        <v>4.2350000000000003</v>
      </c>
      <c r="J385" s="50">
        <f>-'Fiscal Forecasts'!J$366</f>
        <v>4.5149999999999997</v>
      </c>
      <c r="K385" s="50">
        <f>-'Fiscal Forecasts'!K$366</f>
        <v>4.7569999999999997</v>
      </c>
      <c r="L385" s="48">
        <f>-'Fiscal Forecasts'!L$366</f>
        <v>5.7220000000000004</v>
      </c>
      <c r="M385" s="48">
        <f>-'Fiscal Forecasts'!M$366</f>
        <v>7.1920000000000002</v>
      </c>
      <c r="N385" s="48">
        <f>-'Fiscal Forecasts'!N$366</f>
        <v>6.5979999999999999</v>
      </c>
      <c r="O385" s="48">
        <f>-'Fiscal Forecasts'!O$366</f>
        <v>6.3760000000000003</v>
      </c>
      <c r="P385" s="48">
        <f>-'Fiscal Forecasts'!P$366</f>
        <v>6.343</v>
      </c>
      <c r="Q385" s="20">
        <f t="shared" ref="Q385:Z385" ca="1" si="216">Q$384-Q$382</f>
        <v>7.3182239253455634</v>
      </c>
      <c r="R385" s="20">
        <f t="shared" ca="1" si="216"/>
        <v>7.7628258199260358</v>
      </c>
      <c r="S385" s="20">
        <f t="shared" ca="1" si="216"/>
        <v>8.2255270567161176</v>
      </c>
      <c r="T385" s="20">
        <f t="shared" ca="1" si="216"/>
        <v>8.7079214145343542</v>
      </c>
      <c r="U385" s="20">
        <f t="shared" ca="1" si="216"/>
        <v>9.2081430524104064</v>
      </c>
      <c r="V385" s="20">
        <f t="shared" ca="1" si="216"/>
        <v>9.7293631486398624</v>
      </c>
      <c r="W385" s="20">
        <f t="shared" ca="1" si="216"/>
        <v>10.276677164937723</v>
      </c>
      <c r="X385" s="20">
        <f t="shared" ca="1" si="216"/>
        <v>10.855499347040279</v>
      </c>
      <c r="Y385" s="20">
        <f t="shared" ca="1" si="216"/>
        <v>11.473087682914581</v>
      </c>
      <c r="Z385" s="20">
        <f t="shared" ca="1" si="216"/>
        <v>12.136000319479251</v>
      </c>
    </row>
    <row r="386" spans="1:26" x14ac:dyDescent="0.25">
      <c r="A386" s="12" t="s">
        <v>1096</v>
      </c>
      <c r="B386" s="14" t="str">
        <f>$B$38</f>
        <v>From Fiscal Forecasts</v>
      </c>
      <c r="D386" s="50">
        <f>'Fiscal Forecasts'!D$367</f>
        <v>0</v>
      </c>
      <c r="E386" s="50">
        <f>'Fiscal Forecasts'!E$367</f>
        <v>2E-3</v>
      </c>
      <c r="F386" s="50">
        <f>'Fiscal Forecasts'!F$367</f>
        <v>2E-3</v>
      </c>
      <c r="G386" s="50">
        <f>'Fiscal Forecasts'!G$367</f>
        <v>-9.9000000000000005E-2</v>
      </c>
      <c r="H386" s="50">
        <f>'Fiscal Forecasts'!H$367</f>
        <v>-0.06</v>
      </c>
      <c r="I386" s="50">
        <f>'Fiscal Forecasts'!I$367</f>
        <v>-4.0000000000000001E-3</v>
      </c>
      <c r="J386" s="50">
        <f>'Fiscal Forecasts'!J$367</f>
        <v>6.7000000000000004E-2</v>
      </c>
      <c r="K386" s="50">
        <f>'Fiscal Forecasts'!K$367</f>
        <v>1.2999999999999999E-2</v>
      </c>
      <c r="L386" s="48">
        <f>'Fiscal Forecasts'!L$367</f>
        <v>-1.7999999999999999E-2</v>
      </c>
      <c r="M386" s="48">
        <f>'Fiscal Forecasts'!M$367</f>
        <v>-0.02</v>
      </c>
      <c r="N386" s="48">
        <f>'Fiscal Forecasts'!N$367</f>
        <v>-2.4E-2</v>
      </c>
      <c r="O386" s="48">
        <f>'Fiscal Forecasts'!O$367</f>
        <v>-2.7E-2</v>
      </c>
      <c r="P386" s="48">
        <f>'Fiscal Forecasts'!P$367</f>
        <v>-3.1E-2</v>
      </c>
      <c r="Q386" s="20">
        <f ca="1">IF(Q$6=OFFSET(Assumptions!$B$8,0,$C$1),OFFSET(Assumptions!$B$9,0,$C$1),P$386)</f>
        <v>0</v>
      </c>
      <c r="R386" s="20">
        <f ca="1">IF(R$6=OFFSET(Assumptions!$B$8,0,$C$1),OFFSET(Assumptions!$B$9,0,$C$1),Q$386)</f>
        <v>0</v>
      </c>
      <c r="S386" s="20">
        <f ca="1">IF(S$6=OFFSET(Assumptions!$B$8,0,$C$1),OFFSET(Assumptions!$B$9,0,$C$1),R$386)</f>
        <v>0</v>
      </c>
      <c r="T386" s="20">
        <f ca="1">IF(T$6=OFFSET(Assumptions!$B$8,0,$C$1),OFFSET(Assumptions!$B$9,0,$C$1),S$386)</f>
        <v>0</v>
      </c>
      <c r="U386" s="20">
        <f ca="1">IF(U$6=OFFSET(Assumptions!$B$8,0,$C$1),OFFSET(Assumptions!$B$9,0,$C$1),T$386)</f>
        <v>0</v>
      </c>
      <c r="V386" s="20">
        <f ca="1">IF(V$6=OFFSET(Assumptions!$B$8,0,$C$1),OFFSET(Assumptions!$B$9,0,$C$1),U$386)</f>
        <v>0</v>
      </c>
      <c r="W386" s="20">
        <f ca="1">IF(W$6=OFFSET(Assumptions!$B$8,0,$C$1),OFFSET(Assumptions!$B$9,0,$C$1),V$386)</f>
        <v>0</v>
      </c>
      <c r="X386" s="20">
        <f ca="1">IF(X$6=OFFSET(Assumptions!$B$8,0,$C$1),OFFSET(Assumptions!$B$9,0,$C$1),W$386)</f>
        <v>0</v>
      </c>
      <c r="Y386" s="20">
        <f ca="1">IF(Y$6=OFFSET(Assumptions!$B$8,0,$C$1),OFFSET(Assumptions!$B$9,0,$C$1),X$386)</f>
        <v>0</v>
      </c>
      <c r="Z386" s="20">
        <f ca="1">IF(Z$6=OFFSET(Assumptions!$B$8,0,$C$1),OFFSET(Assumptions!$B$9,0,$C$1),Y$386)</f>
        <v>0</v>
      </c>
    </row>
    <row r="388" spans="1:26" x14ac:dyDescent="0.25">
      <c r="A388" s="11" t="s">
        <v>1353</v>
      </c>
      <c r="B388" s="14" t="str">
        <f>$B$38</f>
        <v>From Fiscal Forecasts</v>
      </c>
      <c r="D388" s="51">
        <f>'Fiscal Forecasts'!D$125</f>
        <v>3.6880000000000002</v>
      </c>
      <c r="E388" s="51">
        <f>'Fiscal Forecasts'!E$125</f>
        <v>4.22</v>
      </c>
      <c r="F388" s="51">
        <f>'Fiscal Forecasts'!F$125</f>
        <v>4.718</v>
      </c>
      <c r="G388" s="51">
        <f>'Fiscal Forecasts'!G$125</f>
        <v>6.0960000000000001</v>
      </c>
      <c r="H388" s="51">
        <f>'Fiscal Forecasts'!H$125</f>
        <v>7.3170000000000002</v>
      </c>
      <c r="I388" s="51">
        <f>'Fiscal Forecasts'!I$125</f>
        <v>7.1740000000000004</v>
      </c>
      <c r="J388" s="51">
        <f>'Fiscal Forecasts'!J$125</f>
        <v>8.093</v>
      </c>
      <c r="K388" s="51">
        <f>'Fiscal Forecasts'!K$125</f>
        <v>10.503</v>
      </c>
      <c r="L388" s="47">
        <f>'Fiscal Forecasts'!L$125</f>
        <v>11.324999999999999</v>
      </c>
      <c r="M388" s="47">
        <f>'Fiscal Forecasts'!M$125</f>
        <v>12.249000000000001</v>
      </c>
      <c r="N388" s="47">
        <f>'Fiscal Forecasts'!N$125</f>
        <v>13.202999999999999</v>
      </c>
      <c r="O388" s="47">
        <f>'Fiscal Forecasts'!O$125</f>
        <v>14.228</v>
      </c>
      <c r="P388" s="47">
        <f>'Fiscal Forecasts'!P$125</f>
        <v>15.332000000000001</v>
      </c>
      <c r="Q388" s="21">
        <f ca="1">OFFSET(Assumptions!$B$53,0,$C$1)*(Q$384-Q$350-Q$391)</f>
        <v>14.136895240204558</v>
      </c>
      <c r="R388" s="21">
        <f ca="1">OFFSET(Assumptions!$B$53,0,$C$1)*(R$384-R$350-R$391)</f>
        <v>14.999458809909285</v>
      </c>
      <c r="S388" s="21">
        <f ca="1">OFFSET(Assumptions!$B$53,0,$C$1)*(S$384-S$350-S$391)</f>
        <v>15.897136564721942</v>
      </c>
      <c r="T388" s="21">
        <f ca="1">OFFSET(Assumptions!$B$53,0,$C$1)*(T$384-T$350-T$391)</f>
        <v>16.833020564221677</v>
      </c>
      <c r="U388" s="21">
        <f ca="1">OFFSET(Assumptions!$B$53,0,$C$1)*(U$384-U$350-U$391)</f>
        <v>17.803490926290348</v>
      </c>
      <c r="V388" s="21">
        <f ca="1">OFFSET(Assumptions!$B$53,0,$C$1)*(V$384-V$350-V$391)</f>
        <v>18.814699992841387</v>
      </c>
      <c r="W388" s="21">
        <f ca="1">OFFSET(Assumptions!$B$53,0,$C$1)*(W$384-W$350-W$391)</f>
        <v>19.876533370975721</v>
      </c>
      <c r="X388" s="21">
        <f ca="1">OFFSET(Assumptions!$B$53,0,$C$1)*(X$384-X$350-X$391)</f>
        <v>20.999495134532292</v>
      </c>
      <c r="Y388" s="21">
        <f ca="1">OFFSET(Assumptions!$B$53,0,$C$1)*(Y$384-Y$350-Y$391)</f>
        <v>22.197666366129084</v>
      </c>
      <c r="Z388" s="21">
        <f ca="1">OFFSET(Assumptions!$B$53,0,$C$1)*(Z$384-Z$350-Z$391)</f>
        <v>23.483770400249664</v>
      </c>
    </row>
    <row r="389" spans="1:26" x14ac:dyDescent="0.25">
      <c r="A389" s="11"/>
      <c r="B389" s="14"/>
      <c r="D389" s="50"/>
      <c r="E389" s="50"/>
      <c r="F389" s="50"/>
      <c r="G389" s="50"/>
      <c r="H389" s="50"/>
      <c r="I389" s="50"/>
      <c r="J389" s="50"/>
      <c r="K389" s="50"/>
      <c r="L389" s="48"/>
      <c r="M389" s="48"/>
      <c r="N389" s="48"/>
      <c r="O389" s="48"/>
      <c r="P389" s="48"/>
    </row>
    <row r="390" spans="1:26" x14ac:dyDescent="0.25">
      <c r="A390" s="11" t="s">
        <v>945</v>
      </c>
    </row>
    <row r="391" spans="1:26" x14ac:dyDescent="0.25">
      <c r="A391" s="12" t="s">
        <v>1354</v>
      </c>
      <c r="B391" s="14" t="str">
        <f>$B$38</f>
        <v>From Fiscal Forecasts</v>
      </c>
      <c r="D391" s="50">
        <f>'Fiscal Forecasts'!D$185-D$77</f>
        <v>2.0030000000000001</v>
      </c>
      <c r="E391" s="50">
        <f>'Fiscal Forecasts'!E$185-E$77</f>
        <v>3.6860000000000017</v>
      </c>
      <c r="F391" s="50">
        <f>'Fiscal Forecasts'!F$185-F$77</f>
        <v>5.4710000000000001</v>
      </c>
      <c r="G391" s="50">
        <f>'Fiscal Forecasts'!G$185-G$77</f>
        <v>4.6139999999999972</v>
      </c>
      <c r="H391" s="50">
        <f>'Fiscal Forecasts'!H$185-H$77</f>
        <v>7.3510000000000062</v>
      </c>
      <c r="I391" s="50">
        <f>'Fiscal Forecasts'!I$185-I$77</f>
        <v>8.9179999999999993</v>
      </c>
      <c r="J391" s="50">
        <f>'Fiscal Forecasts'!J$185-J$77</f>
        <v>9.9709999999999965</v>
      </c>
      <c r="K391" s="50">
        <f>'Fiscal Forecasts'!K$185-K$77</f>
        <v>9.2230000000000025</v>
      </c>
      <c r="L391" s="48">
        <f>'Fiscal Forecasts'!L$185-L$77</f>
        <v>9.2210000000000001</v>
      </c>
      <c r="M391" s="48">
        <f>'Fiscal Forecasts'!M$185-M$77</f>
        <v>9.222999999999999</v>
      </c>
      <c r="N391" s="48">
        <f>'Fiscal Forecasts'!N$185-N$77</f>
        <v>9.2259999999999991</v>
      </c>
      <c r="O391" s="48">
        <f>'Fiscal Forecasts'!O$185-O$77</f>
        <v>9.2220000000000013</v>
      </c>
      <c r="P391" s="48">
        <f>'Fiscal Forecasts'!P$185-P$77</f>
        <v>9.222999999999999</v>
      </c>
      <c r="Q391" s="20">
        <f ca="1">IF(Q$6=OFFSET(Assumptions!$B$8,0,$C$1),AVERAGE(N$391/N$384,O$391/O$384,P$391/P$384),P$391/P$384)*Q$384</f>
        <v>10.428943957728947</v>
      </c>
      <c r="R391" s="20">
        <f ca="1">IF(R$6=OFFSET(Assumptions!$B$8,0,$C$1),AVERAGE(O$391/O$384,P$391/P$384,Q$391/Q$384),Q$391/Q$384)*R$384</f>
        <v>11.062530506785087</v>
      </c>
      <c r="S391" s="20">
        <f ca="1">IF(S$6=OFFSET(Assumptions!$B$8,0,$C$1),AVERAGE(P$391/P$384,Q$391/Q$384,R$391/R$384),R$391/R$384)*S$384</f>
        <v>11.721909792918062</v>
      </c>
      <c r="T391" s="20">
        <f ca="1">IF(T$6=OFFSET(Assumptions!$B$8,0,$C$1),AVERAGE(Q$391/Q$384,R$391/R$384,S$391/S$384),S$391/S$384)*T$384</f>
        <v>12.409353054361247</v>
      </c>
      <c r="U391" s="20">
        <f ca="1">IF(U$6=OFFSET(Assumptions!$B$8,0,$C$1),AVERAGE(R$391/R$384,S$391/S$384,T$391/T$384),T$391/T$384)*U$384</f>
        <v>13.122201346661411</v>
      </c>
      <c r="V391" s="20">
        <f ca="1">IF(V$6=OFFSET(Assumptions!$B$8,0,$C$1),AVERAGE(S$391/S$384,T$391/T$384,U$391/U$384),U$391/U$384)*V$384</f>
        <v>13.864973804660851</v>
      </c>
      <c r="W391" s="20">
        <f ca="1">IF(W$6=OFFSET(Assumptions!$B$8,0,$C$1),AVERAGE(T$391/T$384,U$391/U$384,V$391/V$384),V$391/V$384)*W$384</f>
        <v>14.644931791937145</v>
      </c>
      <c r="X391" s="20">
        <f ca="1">IF(X$6=OFFSET(Assumptions!$B$8,0,$C$1),AVERAGE(U$391/U$384,V$391/V$384,W$391/W$384),W$391/W$384)*X$384</f>
        <v>15.46979095998358</v>
      </c>
      <c r="Y391" s="20">
        <f ca="1">IF(Y$6=OFFSET(Assumptions!$B$8,0,$C$1),AVERAGE(V$391/V$384,W$391/W$384,X$391/X$384),X$391/X$384)*Y$384</f>
        <v>16.349894412608673</v>
      </c>
      <c r="Z391" s="20">
        <f ca="1">IF(Z$6=OFFSET(Assumptions!$B$8,0,$C$1),AVERAGE(W$391/W$384,X$391/X$384,Y$391/Y$384),Y$391/Y$384)*Z$384</f>
        <v>17.294587934715778</v>
      </c>
    </row>
    <row r="392" spans="1:26" x14ac:dyDescent="0.25">
      <c r="A392" s="12" t="s">
        <v>1355</v>
      </c>
      <c r="D392" s="50">
        <f t="shared" ref="D392:Z392" si="217">D$406</f>
        <v>10.731</v>
      </c>
      <c r="E392" s="50">
        <f t="shared" si="217"/>
        <v>10.395</v>
      </c>
      <c r="F392" s="50">
        <f t="shared" si="217"/>
        <v>10.841000000000001</v>
      </c>
      <c r="G392" s="50">
        <f t="shared" si="217"/>
        <v>9.2089999999999996</v>
      </c>
      <c r="H392" s="50">
        <f t="shared" si="217"/>
        <v>9.3729999999999993</v>
      </c>
      <c r="I392" s="50">
        <f t="shared" si="217"/>
        <v>9.5960000000000001</v>
      </c>
      <c r="J392" s="50">
        <f t="shared" si="217"/>
        <v>10.053999999999998</v>
      </c>
      <c r="K392" s="50">
        <f t="shared" si="217"/>
        <v>10.545</v>
      </c>
      <c r="L392" s="48">
        <f t="shared" si="217"/>
        <v>10.648</v>
      </c>
      <c r="M392" s="48">
        <f t="shared" si="217"/>
        <v>10.73</v>
      </c>
      <c r="N392" s="48">
        <f t="shared" si="217"/>
        <v>10.746000000000002</v>
      </c>
      <c r="O392" s="48">
        <f t="shared" si="217"/>
        <v>10.714000000000002</v>
      </c>
      <c r="P392" s="48">
        <f t="shared" si="217"/>
        <v>10.643000000000004</v>
      </c>
      <c r="Q392" s="20">
        <f t="shared" si="217"/>
        <v>10.645000000000003</v>
      </c>
      <c r="R392" s="20">
        <f t="shared" si="217"/>
        <v>10.643000000000002</v>
      </c>
      <c r="S392" s="20">
        <f t="shared" si="217"/>
        <v>10.637000000000002</v>
      </c>
      <c r="T392" s="20">
        <f t="shared" si="217"/>
        <v>10.622000000000003</v>
      </c>
      <c r="U392" s="20">
        <f t="shared" si="217"/>
        <v>10.598000000000003</v>
      </c>
      <c r="V392" s="20">
        <f t="shared" si="217"/>
        <v>10.571000000000002</v>
      </c>
      <c r="W392" s="20">
        <f t="shared" si="217"/>
        <v>10.539000000000003</v>
      </c>
      <c r="X392" s="20">
        <f t="shared" si="217"/>
        <v>10.508000000000003</v>
      </c>
      <c r="Y392" s="20">
        <f t="shared" si="217"/>
        <v>10.485000000000005</v>
      </c>
      <c r="Z392" s="20">
        <f t="shared" si="217"/>
        <v>10.470000000000004</v>
      </c>
    </row>
    <row r="393" spans="1:26" x14ac:dyDescent="0.25">
      <c r="A393" s="12" t="s">
        <v>1356</v>
      </c>
      <c r="D393" s="50">
        <f t="shared" ref="D393:P393" si="218">D$77-D$406</f>
        <v>3.1140000000000008</v>
      </c>
      <c r="E393" s="50">
        <f t="shared" si="218"/>
        <v>4.1609999999999996</v>
      </c>
      <c r="F393" s="50">
        <f t="shared" si="218"/>
        <v>7.8870000000000005</v>
      </c>
      <c r="G393" s="50">
        <f t="shared" si="218"/>
        <v>16.894000000000002</v>
      </c>
      <c r="H393" s="50">
        <f t="shared" si="218"/>
        <v>27.167999999999999</v>
      </c>
      <c r="I393" s="50">
        <f t="shared" si="218"/>
        <v>30.791999999999998</v>
      </c>
      <c r="J393" s="50">
        <f t="shared" si="218"/>
        <v>24.257000000000001</v>
      </c>
      <c r="K393" s="50">
        <f t="shared" si="218"/>
        <v>17.386000000000003</v>
      </c>
      <c r="L393" s="48">
        <f t="shared" si="218"/>
        <v>20.164000000000001</v>
      </c>
      <c r="M393" s="48">
        <f t="shared" si="218"/>
        <v>22.080000000000002</v>
      </c>
      <c r="N393" s="48">
        <f t="shared" si="218"/>
        <v>24.045999999999999</v>
      </c>
      <c r="O393" s="48">
        <f t="shared" si="218"/>
        <v>25.786999999999995</v>
      </c>
      <c r="P393" s="48">
        <f t="shared" si="218"/>
        <v>25.721999999999998</v>
      </c>
      <c r="Q393" s="20">
        <f t="shared" ref="Q393:Z393" ca="1" si="219">P$393*(1+Q$29)</f>
        <v>26.236439999999998</v>
      </c>
      <c r="R393" s="20">
        <f t="shared" ca="1" si="219"/>
        <v>26.7611688</v>
      </c>
      <c r="S393" s="20">
        <f t="shared" ca="1" si="219"/>
        <v>27.296392176000001</v>
      </c>
      <c r="T393" s="20">
        <f t="shared" ca="1" si="219"/>
        <v>27.842320019520002</v>
      </c>
      <c r="U393" s="20">
        <f t="shared" ca="1" si="219"/>
        <v>28.399166419910404</v>
      </c>
      <c r="V393" s="20">
        <f t="shared" ca="1" si="219"/>
        <v>28.967149748308614</v>
      </c>
      <c r="W393" s="20">
        <f t="shared" ca="1" si="219"/>
        <v>29.546492743274786</v>
      </c>
      <c r="X393" s="20">
        <f t="shared" ca="1" si="219"/>
        <v>30.137422598140283</v>
      </c>
      <c r="Y393" s="20">
        <f t="shared" ca="1" si="219"/>
        <v>30.74017105010309</v>
      </c>
      <c r="Z393" s="20">
        <f t="shared" ca="1" si="219"/>
        <v>31.354974471105152</v>
      </c>
    </row>
    <row r="394" spans="1:26" x14ac:dyDescent="0.25">
      <c r="A394" s="11" t="s">
        <v>1357</v>
      </c>
      <c r="D394" s="94">
        <f t="shared" ref="D394:P394" si="220">SUM(D$391:D$393)</f>
        <v>15.848000000000001</v>
      </c>
      <c r="E394" s="94">
        <f t="shared" si="220"/>
        <v>18.242000000000001</v>
      </c>
      <c r="F394" s="94">
        <f t="shared" si="220"/>
        <v>24.199000000000002</v>
      </c>
      <c r="G394" s="94">
        <f t="shared" si="220"/>
        <v>30.716999999999999</v>
      </c>
      <c r="H394" s="94">
        <f t="shared" si="220"/>
        <v>43.892000000000003</v>
      </c>
      <c r="I394" s="94">
        <f t="shared" si="220"/>
        <v>49.305999999999997</v>
      </c>
      <c r="J394" s="94">
        <f t="shared" si="220"/>
        <v>44.281999999999996</v>
      </c>
      <c r="K394" s="94">
        <f t="shared" si="220"/>
        <v>37.154000000000003</v>
      </c>
      <c r="L394" s="95">
        <f t="shared" si="220"/>
        <v>40.033000000000001</v>
      </c>
      <c r="M394" s="95">
        <f t="shared" si="220"/>
        <v>42.033000000000001</v>
      </c>
      <c r="N394" s="95">
        <f t="shared" si="220"/>
        <v>44.018000000000001</v>
      </c>
      <c r="O394" s="95">
        <f t="shared" si="220"/>
        <v>45.722999999999999</v>
      </c>
      <c r="P394" s="95">
        <f t="shared" si="220"/>
        <v>45.588000000000001</v>
      </c>
      <c r="Q394" s="96">
        <f t="shared" ref="Q394:Z394" ca="1" si="221">SUM(Q$391:Q$393)</f>
        <v>47.310383957728945</v>
      </c>
      <c r="R394" s="96">
        <f t="shared" ca="1" si="221"/>
        <v>48.466699306785088</v>
      </c>
      <c r="S394" s="96">
        <f t="shared" ca="1" si="221"/>
        <v>49.655301968918067</v>
      </c>
      <c r="T394" s="96">
        <f t="shared" ca="1" si="221"/>
        <v>50.87367307388125</v>
      </c>
      <c r="U394" s="96">
        <f t="shared" ca="1" si="221"/>
        <v>52.119367766571813</v>
      </c>
      <c r="V394" s="96">
        <f t="shared" ca="1" si="221"/>
        <v>53.403123552969468</v>
      </c>
      <c r="W394" s="96">
        <f t="shared" ca="1" si="221"/>
        <v>54.730424535211938</v>
      </c>
      <c r="X394" s="96">
        <f t="shared" ca="1" si="221"/>
        <v>56.11521355812387</v>
      </c>
      <c r="Y394" s="96">
        <f t="shared" ca="1" si="221"/>
        <v>57.575065462711763</v>
      </c>
      <c r="Z394" s="96">
        <f t="shared" ca="1" si="221"/>
        <v>59.119562405820936</v>
      </c>
    </row>
    <row r="395" spans="1:26" x14ac:dyDescent="0.25">
      <c r="A395" s="12" t="s">
        <v>1358</v>
      </c>
      <c r="B395" s="14" t="str">
        <f>$B$38</f>
        <v>From Fiscal Forecasts</v>
      </c>
      <c r="D395" s="50">
        <f>'Fiscal Forecasts'!D$324</f>
        <v>20.411000000000001</v>
      </c>
      <c r="E395" s="50">
        <f>'Fiscal Forecasts'!E$324</f>
        <v>22.189</v>
      </c>
      <c r="F395" s="50">
        <f>'Fiscal Forecasts'!F$324</f>
        <v>25.206</v>
      </c>
      <c r="G395" s="50">
        <f>'Fiscal Forecasts'!G$324</f>
        <v>27.786000000000001</v>
      </c>
      <c r="H395" s="50">
        <f>'Fiscal Forecasts'!H$324</f>
        <v>29.785</v>
      </c>
      <c r="I395" s="50">
        <f>'Fiscal Forecasts'!I$324</f>
        <v>32.487000000000002</v>
      </c>
      <c r="J395" s="50">
        <f>'Fiscal Forecasts'!J$324</f>
        <v>35.942</v>
      </c>
      <c r="K395" s="50">
        <f>'Fiscal Forecasts'!K$324</f>
        <v>38.999000000000002</v>
      </c>
      <c r="L395" s="48">
        <f>'Fiscal Forecasts'!L$324</f>
        <v>42.354999999999997</v>
      </c>
      <c r="M395" s="48">
        <f>'Fiscal Forecasts'!M$324</f>
        <v>46.854999999999997</v>
      </c>
      <c r="N395" s="48">
        <f>'Fiscal Forecasts'!N$324</f>
        <v>52.057000000000002</v>
      </c>
      <c r="O395" s="48">
        <f>'Fiscal Forecasts'!O$324</f>
        <v>57.710999999999999</v>
      </c>
      <c r="P395" s="48">
        <f>'Fiscal Forecasts'!P$324</f>
        <v>63.762999999999998</v>
      </c>
      <c r="Q395" s="20">
        <f t="shared" ref="Q395:Z395" ca="1" si="222">P$395*(1+Q$14)</f>
        <v>66.538660094778294</v>
      </c>
      <c r="R395" s="20">
        <f t="shared" ca="1" si="222"/>
        <v>69.370886998057159</v>
      </c>
      <c r="S395" s="20">
        <f t="shared" ca="1" si="222"/>
        <v>72.278147482354385</v>
      </c>
      <c r="T395" s="20">
        <f t="shared" ca="1" si="222"/>
        <v>75.253641427490507</v>
      </c>
      <c r="U395" s="20">
        <f t="shared" ca="1" si="222"/>
        <v>78.332893042383475</v>
      </c>
      <c r="V395" s="20">
        <f t="shared" ca="1" si="222"/>
        <v>81.516997426088238</v>
      </c>
      <c r="W395" s="20">
        <f t="shared" ca="1" si="222"/>
        <v>84.789890824631541</v>
      </c>
      <c r="X395" s="20">
        <f t="shared" ca="1" si="222"/>
        <v>88.157029987638126</v>
      </c>
      <c r="Y395" s="20">
        <f t="shared" ca="1" si="222"/>
        <v>91.636022940767475</v>
      </c>
      <c r="Z395" s="20">
        <f t="shared" ca="1" si="222"/>
        <v>95.227766968163607</v>
      </c>
    </row>
    <row r="396" spans="1:26" x14ac:dyDescent="0.25">
      <c r="A396" s="12" t="s">
        <v>1359</v>
      </c>
      <c r="B396" s="14" t="str">
        <f>$B$38</f>
        <v>From Fiscal Forecasts</v>
      </c>
      <c r="D396" s="50">
        <f>'Fiscal Forecasts'!D$124-SUM(D$394:D$395)</f>
        <v>-2.5690000000000026</v>
      </c>
      <c r="E396" s="50">
        <f>'Fiscal Forecasts'!E$124-SUM(E$394:E$395)</f>
        <v>-2.8019999999999996</v>
      </c>
      <c r="F396" s="50">
        <f>'Fiscal Forecasts'!F$124-SUM(F$394:F$395)</f>
        <v>-3.7929999999999993</v>
      </c>
      <c r="G396" s="50">
        <f>'Fiscal Forecasts'!G$124-SUM(G$394:G$395)</f>
        <v>-3.8440000000000012</v>
      </c>
      <c r="H396" s="50">
        <f>'Fiscal Forecasts'!H$124-SUM(H$394:H$395)</f>
        <v>-7.1880000000000024</v>
      </c>
      <c r="I396" s="50">
        <f>'Fiscal Forecasts'!I$124-SUM(I$394:I$395)</f>
        <v>-12.415000000000006</v>
      </c>
      <c r="J396" s="50">
        <f>'Fiscal Forecasts'!J$124-SUM(J$394:J$395)</f>
        <v>-15.312999999999988</v>
      </c>
      <c r="K396" s="50">
        <f>'Fiscal Forecasts'!K$124-SUM(K$394:K$395)</f>
        <v>-15.880000000000003</v>
      </c>
      <c r="L396" s="48">
        <f>'Fiscal Forecasts'!L$124-SUM(L$394:L$395)</f>
        <v>-18.657000000000004</v>
      </c>
      <c r="M396" s="48">
        <f>'Fiscal Forecasts'!M$124-SUM(M$394:M$395)</f>
        <v>-20.274000000000001</v>
      </c>
      <c r="N396" s="48">
        <f>'Fiscal Forecasts'!N$124-SUM(N$394:N$395)</f>
        <v>-22.240000000000009</v>
      </c>
      <c r="O396" s="48">
        <f>'Fiscal Forecasts'!O$124-SUM(O$394:O$395)</f>
        <v>-23.875999999999991</v>
      </c>
      <c r="P396" s="48">
        <f>'Fiscal Forecasts'!P$124-SUM(P$394:P$395)</f>
        <v>-23.781000000000006</v>
      </c>
      <c r="Q396" s="20">
        <f t="shared" ref="Q396:Z396" ca="1" si="223">P$396-(Q$393-P$393)</f>
        <v>-24.295440000000006</v>
      </c>
      <c r="R396" s="20">
        <f t="shared" ca="1" si="223"/>
        <v>-24.820168800000008</v>
      </c>
      <c r="S396" s="20">
        <f t="shared" ca="1" si="223"/>
        <v>-25.355392176000009</v>
      </c>
      <c r="T396" s="20">
        <f t="shared" ca="1" si="223"/>
        <v>-25.901320019520011</v>
      </c>
      <c r="U396" s="20">
        <f t="shared" ca="1" si="223"/>
        <v>-26.458166419910413</v>
      </c>
      <c r="V396" s="20">
        <f t="shared" ca="1" si="223"/>
        <v>-27.026149748308622</v>
      </c>
      <c r="W396" s="20">
        <f t="shared" ca="1" si="223"/>
        <v>-27.605492743274795</v>
      </c>
      <c r="X396" s="20">
        <f t="shared" ca="1" si="223"/>
        <v>-28.196422598140291</v>
      </c>
      <c r="Y396" s="20">
        <f t="shared" ca="1" si="223"/>
        <v>-28.799171050103098</v>
      </c>
      <c r="Z396" s="20">
        <f t="shared" ca="1" si="223"/>
        <v>-29.41397447110516</v>
      </c>
    </row>
    <row r="397" spans="1:26" x14ac:dyDescent="0.25">
      <c r="A397" s="11" t="s">
        <v>1360</v>
      </c>
      <c r="D397" s="94">
        <f t="shared" ref="D397:P397" si="224">SUM(D$394:D$396)</f>
        <v>33.69</v>
      </c>
      <c r="E397" s="94">
        <f t="shared" si="224"/>
        <v>37.628999999999998</v>
      </c>
      <c r="F397" s="94">
        <f t="shared" si="224"/>
        <v>45.612000000000002</v>
      </c>
      <c r="G397" s="94">
        <f t="shared" si="224"/>
        <v>54.658999999999999</v>
      </c>
      <c r="H397" s="94">
        <f t="shared" si="224"/>
        <v>66.489000000000004</v>
      </c>
      <c r="I397" s="94">
        <f t="shared" si="224"/>
        <v>69.378</v>
      </c>
      <c r="J397" s="94">
        <f t="shared" si="224"/>
        <v>64.911000000000001</v>
      </c>
      <c r="K397" s="94">
        <f t="shared" si="224"/>
        <v>60.273000000000003</v>
      </c>
      <c r="L397" s="95">
        <f t="shared" si="224"/>
        <v>63.731000000000002</v>
      </c>
      <c r="M397" s="95">
        <f t="shared" si="224"/>
        <v>68.614000000000004</v>
      </c>
      <c r="N397" s="95">
        <f t="shared" si="224"/>
        <v>73.834999999999994</v>
      </c>
      <c r="O397" s="95">
        <f t="shared" si="224"/>
        <v>79.558000000000007</v>
      </c>
      <c r="P397" s="95">
        <f t="shared" si="224"/>
        <v>85.57</v>
      </c>
      <c r="Q397" s="96">
        <f t="shared" ref="Q397:Z397" ca="1" si="225">SUM(Q$394:Q$396)</f>
        <v>89.553604052507239</v>
      </c>
      <c r="R397" s="96">
        <f t="shared" ca="1" si="225"/>
        <v>93.017417504842243</v>
      </c>
      <c r="S397" s="96">
        <f t="shared" ca="1" si="225"/>
        <v>96.578057275272442</v>
      </c>
      <c r="T397" s="96">
        <f t="shared" ca="1" si="225"/>
        <v>100.22599448185174</v>
      </c>
      <c r="U397" s="96">
        <f t="shared" ca="1" si="225"/>
        <v>103.99409438904488</v>
      </c>
      <c r="V397" s="96">
        <f t="shared" ca="1" si="225"/>
        <v>107.89397123074909</v>
      </c>
      <c r="W397" s="96">
        <f t="shared" ca="1" si="225"/>
        <v>111.9148226165687</v>
      </c>
      <c r="X397" s="96">
        <f t="shared" ca="1" si="225"/>
        <v>116.07582094762171</v>
      </c>
      <c r="Y397" s="96">
        <f t="shared" ca="1" si="225"/>
        <v>120.41191735337614</v>
      </c>
      <c r="Z397" s="96">
        <f t="shared" ca="1" si="225"/>
        <v>124.93335490287937</v>
      </c>
    </row>
    <row r="399" spans="1:26" x14ac:dyDescent="0.25">
      <c r="A399" s="11" t="s">
        <v>1355</v>
      </c>
    </row>
    <row r="400" spans="1:26" x14ac:dyDescent="0.25">
      <c r="A400" s="12" t="s">
        <v>532</v>
      </c>
      <c r="B400" s="14" t="str">
        <f t="shared" ref="B400:B405" si="226">$B$38</f>
        <v>From Fiscal Forecasts</v>
      </c>
      <c r="D400" s="50">
        <f>'Fiscal Forecasts'!D$326</f>
        <v>1.361</v>
      </c>
      <c r="E400" s="50">
        <f>'Fiscal Forecasts'!E$326</f>
        <v>1.413</v>
      </c>
      <c r="F400" s="50">
        <f>'Fiscal Forecasts'!F$326</f>
        <v>1.43</v>
      </c>
      <c r="G400" s="50">
        <f>'Fiscal Forecasts'!G$326</f>
        <v>1.2949999999999999</v>
      </c>
      <c r="H400" s="50">
        <f>'Fiscal Forecasts'!H$326</f>
        <v>1.2709999999999999</v>
      </c>
      <c r="I400" s="50">
        <f>'Fiscal Forecasts'!I$326</f>
        <v>1.3480000000000001</v>
      </c>
      <c r="J400" s="50">
        <f>'Fiscal Forecasts'!J$326</f>
        <v>1.7090000000000001</v>
      </c>
      <c r="K400" s="50">
        <f>'Fiscal Forecasts'!K$326</f>
        <v>2.0089999999999999</v>
      </c>
      <c r="L400" s="48">
        <f>'Fiscal Forecasts'!L$326</f>
        <v>2.1560000000000001</v>
      </c>
      <c r="M400" s="48">
        <f>'Fiscal Forecasts'!M$326</f>
        <v>2.1890000000000001</v>
      </c>
      <c r="N400" s="48">
        <f>'Fiscal Forecasts'!N$326</f>
        <v>2.1920000000000002</v>
      </c>
      <c r="O400" s="48">
        <f>'Fiscal Forecasts'!O$326</f>
        <v>2.2149999999999999</v>
      </c>
      <c r="P400" s="48">
        <f>'Fiscal Forecasts'!P$326</f>
        <v>2.2530000000000001</v>
      </c>
      <c r="Q400" s="20">
        <f>Exogenous!AB$16</f>
        <v>2.2959999999999998</v>
      </c>
      <c r="R400" s="20">
        <f>Exogenous!AC$16</f>
        <v>2.3319999999999999</v>
      </c>
      <c r="S400" s="20">
        <f>Exogenous!AD$16</f>
        <v>2.3660000000000001</v>
      </c>
      <c r="T400" s="20">
        <f>Exogenous!AE$16</f>
        <v>2.3969999999999998</v>
      </c>
      <c r="U400" s="20">
        <f>Exogenous!AF$16</f>
        <v>2.4260000000000002</v>
      </c>
      <c r="V400" s="20">
        <f>Exogenous!AG$16</f>
        <v>2.456</v>
      </c>
      <c r="W400" s="20">
        <f>Exogenous!AH$16</f>
        <v>2.4860000000000002</v>
      </c>
      <c r="X400" s="20">
        <f>Exogenous!AI$16</f>
        <v>2.5179999999999998</v>
      </c>
      <c r="Y400" s="20">
        <f>Exogenous!AJ$16</f>
        <v>2.5510000000000002</v>
      </c>
      <c r="Z400" s="20">
        <f>Exogenous!AK$16</f>
        <v>2.5840000000000001</v>
      </c>
    </row>
    <row r="401" spans="1:26" x14ac:dyDescent="0.25">
      <c r="A401" s="12" t="s">
        <v>533</v>
      </c>
      <c r="B401" s="14" t="str">
        <f t="shared" si="226"/>
        <v>From Fiscal Forecasts</v>
      </c>
      <c r="D401" s="50">
        <f>'Fiscal Forecasts'!D$327</f>
        <v>3.5999999999999997E-2</v>
      </c>
      <c r="E401" s="50">
        <f>'Fiscal Forecasts'!E$327</f>
        <v>3.5999999999999997E-2</v>
      </c>
      <c r="F401" s="50">
        <f>'Fiscal Forecasts'!F$327</f>
        <v>3.7999999999999999E-2</v>
      </c>
      <c r="G401" s="50">
        <f>'Fiscal Forecasts'!G$327</f>
        <v>3.7999999999999999E-2</v>
      </c>
      <c r="H401" s="50">
        <f>'Fiscal Forecasts'!H$327</f>
        <v>0.03</v>
      </c>
      <c r="I401" s="50">
        <f>'Fiscal Forecasts'!I$327</f>
        <v>2.8000000000000001E-2</v>
      </c>
      <c r="J401" s="50">
        <f>'Fiscal Forecasts'!J$327</f>
        <v>2.5999999999999999E-2</v>
      </c>
      <c r="K401" s="50">
        <f>'Fiscal Forecasts'!K$327</f>
        <v>2.8000000000000001E-2</v>
      </c>
      <c r="L401" s="48">
        <f>'Fiscal Forecasts'!L$327</f>
        <v>3.4000000000000002E-2</v>
      </c>
      <c r="M401" s="48">
        <f>'Fiscal Forecasts'!M$327</f>
        <v>3.4000000000000002E-2</v>
      </c>
      <c r="N401" s="48">
        <f>'Fiscal Forecasts'!N$327</f>
        <v>3.4000000000000002E-2</v>
      </c>
      <c r="O401" s="48">
        <f>'Fiscal Forecasts'!O$327</f>
        <v>3.6999999999999998E-2</v>
      </c>
      <c r="P401" s="48">
        <f>'Fiscal Forecasts'!P$327</f>
        <v>3.7999999999999999E-2</v>
      </c>
      <c r="Q401" s="20">
        <f>Exogenous!AB$17</f>
        <v>3.9E-2</v>
      </c>
      <c r="R401" s="20">
        <f>Exogenous!AC$17</f>
        <v>0.04</v>
      </c>
      <c r="S401" s="20">
        <f>Exogenous!AD$17</f>
        <v>4.1000000000000002E-2</v>
      </c>
      <c r="T401" s="20">
        <f>Exogenous!AE$17</f>
        <v>4.2000000000000003E-2</v>
      </c>
      <c r="U401" s="20">
        <f>Exogenous!AF$17</f>
        <v>4.2999999999999997E-2</v>
      </c>
      <c r="V401" s="20">
        <f>Exogenous!AG$17</f>
        <v>4.3999999999999997E-2</v>
      </c>
      <c r="W401" s="20">
        <f>Exogenous!AH$17</f>
        <v>4.4999999999999998E-2</v>
      </c>
      <c r="X401" s="20">
        <f>Exogenous!AI$17</f>
        <v>4.5999999999999999E-2</v>
      </c>
      <c r="Y401" s="20">
        <f>Exogenous!AJ$17</f>
        <v>4.7E-2</v>
      </c>
      <c r="Z401" s="20">
        <f>Exogenous!AK$17</f>
        <v>4.8000000000000001E-2</v>
      </c>
    </row>
    <row r="402" spans="1:26" x14ac:dyDescent="0.25">
      <c r="A402" s="12" t="s">
        <v>1361</v>
      </c>
      <c r="B402" s="14" t="str">
        <f t="shared" si="226"/>
        <v>From Fiscal Forecasts</v>
      </c>
      <c r="D402" s="50">
        <f>'Fiscal Forecasts'!D$328</f>
        <v>0.56299999999999994</v>
      </c>
      <c r="E402" s="50">
        <f>'Fiscal Forecasts'!E$328</f>
        <v>0.50600000000000001</v>
      </c>
      <c r="F402" s="50">
        <f>'Fiscal Forecasts'!F$328</f>
        <v>0.46899999999999997</v>
      </c>
      <c r="G402" s="50">
        <f>'Fiscal Forecasts'!G$328</f>
        <v>0.48899999999999999</v>
      </c>
      <c r="H402" s="50">
        <f>'Fiscal Forecasts'!H$328</f>
        <v>0.55100000000000005</v>
      </c>
      <c r="I402" s="50">
        <f>'Fiscal Forecasts'!I$328</f>
        <v>0.54400000000000004</v>
      </c>
      <c r="J402" s="50">
        <f>'Fiscal Forecasts'!J$328</f>
        <v>0.58499999999999996</v>
      </c>
      <c r="K402" s="50">
        <f>'Fiscal Forecasts'!K$328</f>
        <v>0.76300000000000001</v>
      </c>
      <c r="L402" s="48">
        <f>'Fiscal Forecasts'!L$328</f>
        <v>0.72399999999999998</v>
      </c>
      <c r="M402" s="48">
        <f>'Fiscal Forecasts'!M$328</f>
        <v>0.78600000000000003</v>
      </c>
      <c r="N402" s="48">
        <f>'Fiscal Forecasts'!N$328</f>
        <v>0.82099999999999995</v>
      </c>
      <c r="O402" s="48">
        <f>'Fiscal Forecasts'!O$328</f>
        <v>0.85299999999999998</v>
      </c>
      <c r="P402" s="48">
        <f>'Fiscal Forecasts'!P$328</f>
        <v>0.88300000000000001</v>
      </c>
      <c r="Q402" s="20">
        <f>Exogenous!AB$18</f>
        <v>0.91100000000000003</v>
      </c>
      <c r="R402" s="20">
        <f>Exogenous!AC$18</f>
        <v>0.93799999999999994</v>
      </c>
      <c r="S402" s="20">
        <f>Exogenous!AD$18</f>
        <v>0.96199999999999997</v>
      </c>
      <c r="T402" s="20">
        <f>Exogenous!AE$18</f>
        <v>0.98499999999999999</v>
      </c>
      <c r="U402" s="20">
        <f>Exogenous!AF$18</f>
        <v>1.006</v>
      </c>
      <c r="V402" s="20">
        <f>Exogenous!AG$18</f>
        <v>1.0249999999999999</v>
      </c>
      <c r="W402" s="20">
        <f>Exogenous!AH$18</f>
        <v>1.046</v>
      </c>
      <c r="X402" s="20">
        <f>Exogenous!AI$18</f>
        <v>1.0669999999999999</v>
      </c>
      <c r="Y402" s="20">
        <f>Exogenous!AJ$18</f>
        <v>1.0880000000000001</v>
      </c>
      <c r="Z402" s="20">
        <f>Exogenous!AK$18</f>
        <v>1.109</v>
      </c>
    </row>
    <row r="403" spans="1:26" x14ac:dyDescent="0.25">
      <c r="A403" s="12" t="s">
        <v>1362</v>
      </c>
      <c r="B403" s="14" t="str">
        <f t="shared" si="226"/>
        <v>From Fiscal Forecasts</v>
      </c>
      <c r="D403" s="50">
        <f>'Fiscal Forecasts'!D$329</f>
        <v>1.371</v>
      </c>
      <c r="E403" s="50">
        <f>'Fiscal Forecasts'!E$329</f>
        <v>1.4770000000000001</v>
      </c>
      <c r="F403" s="50">
        <f>'Fiscal Forecasts'!F$329</f>
        <v>1.4950000000000001</v>
      </c>
      <c r="G403" s="50">
        <f>'Fiscal Forecasts'!G$329</f>
        <v>1.605</v>
      </c>
      <c r="H403" s="50">
        <f>'Fiscal Forecasts'!H$329</f>
        <v>1.6339999999999999</v>
      </c>
      <c r="I403" s="50">
        <f>'Fiscal Forecasts'!I$329</f>
        <v>1.5980000000000001</v>
      </c>
      <c r="J403" s="50">
        <f>'Fiscal Forecasts'!J$329</f>
        <v>1.5620000000000001</v>
      </c>
      <c r="K403" s="50">
        <f>'Fiscal Forecasts'!K$329</f>
        <v>1.6279999999999999</v>
      </c>
      <c r="L403" s="48">
        <f>'Fiscal Forecasts'!L$329</f>
        <v>1.726</v>
      </c>
      <c r="M403" s="48">
        <f>'Fiscal Forecasts'!M$329</f>
        <v>1.8009999999999999</v>
      </c>
      <c r="N403" s="48">
        <f>'Fiscal Forecasts'!N$329</f>
        <v>1.863</v>
      </c>
      <c r="O403" s="48">
        <f>'Fiscal Forecasts'!O$329</f>
        <v>1.9319999999999999</v>
      </c>
      <c r="P403" s="48">
        <f>'Fiscal Forecasts'!P$329</f>
        <v>2.0049999999999999</v>
      </c>
      <c r="Q403" s="20">
        <f>Exogenous!AB$19</f>
        <v>1.9910000000000001</v>
      </c>
      <c r="R403" s="20">
        <f>Exogenous!AC$19</f>
        <v>2.0409999999999999</v>
      </c>
      <c r="S403" s="20">
        <f>Exogenous!AD$19</f>
        <v>2.09</v>
      </c>
      <c r="T403" s="20">
        <f>Exogenous!AE$19</f>
        <v>2.1389999999999998</v>
      </c>
      <c r="U403" s="20">
        <f>Exogenous!AF$19</f>
        <v>2.1859999999999999</v>
      </c>
      <c r="V403" s="20">
        <f>Exogenous!AG$19</f>
        <v>2.2309999999999999</v>
      </c>
      <c r="W403" s="20">
        <f>Exogenous!AH$19</f>
        <v>2.2759999999999998</v>
      </c>
      <c r="X403" s="20">
        <f>Exogenous!AI$19</f>
        <v>2.319</v>
      </c>
      <c r="Y403" s="20">
        <f>Exogenous!AJ$19</f>
        <v>2.3570000000000002</v>
      </c>
      <c r="Z403" s="20">
        <f>Exogenous!AK$19</f>
        <v>2.395</v>
      </c>
    </row>
    <row r="404" spans="1:26" x14ac:dyDescent="0.25">
      <c r="A404" s="12" t="s">
        <v>536</v>
      </c>
      <c r="B404" s="14" t="str">
        <f t="shared" si="226"/>
        <v>From Fiscal Forecasts</v>
      </c>
      <c r="D404" s="50">
        <f>'Fiscal Forecasts'!D$330</f>
        <v>0.39400000000000002</v>
      </c>
      <c r="E404" s="50">
        <f>'Fiscal Forecasts'!E$330</f>
        <v>0.33100000000000002</v>
      </c>
      <c r="F404" s="50">
        <f>'Fiscal Forecasts'!F$330</f>
        <v>0.23499999999999999</v>
      </c>
      <c r="G404" s="50">
        <f>'Fiscal Forecasts'!G$330</f>
        <v>0.28000000000000003</v>
      </c>
      <c r="H404" s="50">
        <f>'Fiscal Forecasts'!H$330</f>
        <v>0.57699999999999996</v>
      </c>
      <c r="I404" s="50">
        <f>'Fiscal Forecasts'!I$330</f>
        <v>0.63400000000000001</v>
      </c>
      <c r="J404" s="50">
        <f>'Fiscal Forecasts'!J$330</f>
        <v>0.49199999999999999</v>
      </c>
      <c r="K404" s="50">
        <f>'Fiscal Forecasts'!K$330</f>
        <v>0.311</v>
      </c>
      <c r="L404" s="48">
        <f>'Fiscal Forecasts'!L$330</f>
        <v>0.36299999999999999</v>
      </c>
      <c r="M404" s="48">
        <f>'Fiscal Forecasts'!M$330</f>
        <v>0.44600000000000001</v>
      </c>
      <c r="N404" s="48">
        <f>'Fiscal Forecasts'!N$330</f>
        <v>0.47399999999999998</v>
      </c>
      <c r="O404" s="48">
        <f>'Fiscal Forecasts'!O$330</f>
        <v>0.501</v>
      </c>
      <c r="P404" s="48">
        <f>'Fiscal Forecasts'!P$330</f>
        <v>0.52600000000000002</v>
      </c>
      <c r="Q404" s="20">
        <f>Exogenous!AB$20</f>
        <v>0.56899999999999995</v>
      </c>
      <c r="R404" s="20">
        <f>Exogenous!AC$20</f>
        <v>0.60499999999999998</v>
      </c>
      <c r="S404" s="20">
        <f>Exogenous!AD$20</f>
        <v>0.63900000000000001</v>
      </c>
      <c r="T404" s="20">
        <f>Exogenous!AE$20</f>
        <v>0.67</v>
      </c>
      <c r="U404" s="20">
        <f>Exogenous!AF$20</f>
        <v>0.69899999999999995</v>
      </c>
      <c r="V404" s="20">
        <f>Exogenous!AG$20</f>
        <v>0.72899999999999998</v>
      </c>
      <c r="W404" s="20">
        <f>Exogenous!AH$20</f>
        <v>0.75900000000000001</v>
      </c>
      <c r="X404" s="20">
        <f>Exogenous!AI$20</f>
        <v>0.79100000000000004</v>
      </c>
      <c r="Y404" s="20">
        <f>Exogenous!AJ$20</f>
        <v>0.82399999999999995</v>
      </c>
      <c r="Z404" s="20">
        <f>Exogenous!AK$20</f>
        <v>0.85699999999999998</v>
      </c>
    </row>
    <row r="405" spans="1:26" x14ac:dyDescent="0.25">
      <c r="A405" s="12" t="s">
        <v>537</v>
      </c>
      <c r="B405" s="14" t="str">
        <f t="shared" si="226"/>
        <v>From Fiscal Forecasts</v>
      </c>
      <c r="D405" s="50">
        <f>'Fiscal Forecasts'!D$331</f>
        <v>0.94499999999999995</v>
      </c>
      <c r="E405" s="50">
        <f>'Fiscal Forecasts'!E$331</f>
        <v>-0.13300000000000001</v>
      </c>
      <c r="F405" s="50">
        <f>'Fiscal Forecasts'!F$331</f>
        <v>0.70699999999999996</v>
      </c>
      <c r="G405" s="50">
        <f>'Fiscal Forecasts'!G$331</f>
        <v>-1.151</v>
      </c>
      <c r="H405" s="50">
        <f>'Fiscal Forecasts'!H$331</f>
        <v>0.47099999999999997</v>
      </c>
      <c r="I405" s="50">
        <f>'Fiscal Forecasts'!I$331</f>
        <v>0.35499999999999998</v>
      </c>
      <c r="J405" s="50">
        <f>'Fiscal Forecasts'!J$331</f>
        <v>0.378</v>
      </c>
      <c r="K405" s="50">
        <f>'Fiscal Forecasts'!K$331</f>
        <v>0.53400000000000003</v>
      </c>
      <c r="L405" s="48">
        <f>'Fiscal Forecasts'!L$331</f>
        <v>0</v>
      </c>
      <c r="M405" s="48">
        <f>'Fiscal Forecasts'!M$331</f>
        <v>0</v>
      </c>
      <c r="N405" s="48">
        <f>'Fiscal Forecasts'!N$331</f>
        <v>0</v>
      </c>
      <c r="O405" s="48">
        <f>'Fiscal Forecasts'!O$331</f>
        <v>0</v>
      </c>
      <c r="P405" s="48">
        <f>'Fiscal Forecasts'!P$331</f>
        <v>0</v>
      </c>
      <c r="Q405" s="20">
        <f>Exogenous!AB$21</f>
        <v>0</v>
      </c>
      <c r="R405" s="20">
        <f>Exogenous!AC$21</f>
        <v>0</v>
      </c>
      <c r="S405" s="20">
        <f>Exogenous!AD$21</f>
        <v>0</v>
      </c>
      <c r="T405" s="20">
        <f>Exogenous!AE$21</f>
        <v>0</v>
      </c>
      <c r="U405" s="20">
        <f>Exogenous!AF$21</f>
        <v>0</v>
      </c>
      <c r="V405" s="20">
        <f>Exogenous!AG$21</f>
        <v>0</v>
      </c>
      <c r="W405" s="20">
        <f>Exogenous!AH$21</f>
        <v>0</v>
      </c>
      <c r="X405" s="20">
        <f>Exogenous!AI$21</f>
        <v>0</v>
      </c>
      <c r="Y405" s="20">
        <f>Exogenous!AJ$21</f>
        <v>0</v>
      </c>
      <c r="Z405" s="20">
        <f>Exogenous!AK$21</f>
        <v>0</v>
      </c>
    </row>
    <row r="406" spans="1:26" x14ac:dyDescent="0.25">
      <c r="A406" s="11" t="s">
        <v>1071</v>
      </c>
      <c r="C406" s="103">
        <f>'Fiscal Forecasts'!$C$332</f>
        <v>9.9290000000000003</v>
      </c>
      <c r="D406" s="94">
        <f>SUM(C$406,D$400,D$401,-D$402,-D$403,D$404,D$405)</f>
        <v>10.731</v>
      </c>
      <c r="E406" s="94">
        <f t="shared" ref="E406:Z406" si="227">SUM(D$406,E$400,E$401,-E$402,-E$403,E$404,E$405)</f>
        <v>10.395</v>
      </c>
      <c r="F406" s="94">
        <f t="shared" si="227"/>
        <v>10.841000000000001</v>
      </c>
      <c r="G406" s="94">
        <f t="shared" si="227"/>
        <v>9.2089999999999996</v>
      </c>
      <c r="H406" s="94">
        <f t="shared" si="227"/>
        <v>9.3729999999999993</v>
      </c>
      <c r="I406" s="94">
        <f t="shared" si="227"/>
        <v>9.5960000000000001</v>
      </c>
      <c r="J406" s="94">
        <f t="shared" si="227"/>
        <v>10.053999999999998</v>
      </c>
      <c r="K406" s="94">
        <f t="shared" si="227"/>
        <v>10.545</v>
      </c>
      <c r="L406" s="95">
        <f>SUM(K$406,L$400,L$401,-L$402,-L$403,L$404,L$405)</f>
        <v>10.648</v>
      </c>
      <c r="M406" s="95">
        <f>SUM(L$406,M$400,M$401,-M$402,-M$403,M$404,M$405)</f>
        <v>10.73</v>
      </c>
      <c r="N406" s="95">
        <f>SUM(M$406,N$400,N$401,-N$402,-N$403,N$404,N$405)</f>
        <v>10.746000000000002</v>
      </c>
      <c r="O406" s="95">
        <f>SUM(N$406,O$400,O$401,-O$402,-O$403,O$404,O$405)</f>
        <v>10.714000000000002</v>
      </c>
      <c r="P406" s="95">
        <f>SUM(O$406,P$400,P$401,-P$402,-P$403,P$404,P$405)</f>
        <v>10.643000000000004</v>
      </c>
      <c r="Q406" s="96">
        <f t="shared" si="227"/>
        <v>10.645000000000003</v>
      </c>
      <c r="R406" s="96">
        <f t="shared" si="227"/>
        <v>10.643000000000002</v>
      </c>
      <c r="S406" s="96">
        <f t="shared" si="227"/>
        <v>10.637000000000002</v>
      </c>
      <c r="T406" s="96">
        <f t="shared" si="227"/>
        <v>10.622000000000003</v>
      </c>
      <c r="U406" s="96">
        <f t="shared" si="227"/>
        <v>10.598000000000003</v>
      </c>
      <c r="V406" s="96">
        <f t="shared" si="227"/>
        <v>10.571000000000002</v>
      </c>
      <c r="W406" s="96">
        <f t="shared" si="227"/>
        <v>10.539000000000003</v>
      </c>
      <c r="X406" s="96">
        <f t="shared" si="227"/>
        <v>10.508000000000003</v>
      </c>
      <c r="Y406" s="96">
        <f t="shared" si="227"/>
        <v>10.485000000000005</v>
      </c>
      <c r="Z406" s="96">
        <f t="shared" si="227"/>
        <v>10.470000000000004</v>
      </c>
    </row>
    <row r="408" spans="1:26" x14ac:dyDescent="0.25">
      <c r="A408" s="11" t="s">
        <v>947</v>
      </c>
    </row>
    <row r="409" spans="1:26" x14ac:dyDescent="0.25">
      <c r="A409" s="11" t="s">
        <v>1363</v>
      </c>
      <c r="B409" s="14" t="str">
        <f>$B$38</f>
        <v>From Fiscal Forecasts</v>
      </c>
      <c r="D409" s="51">
        <f>ROUND('Fiscal Forecasts'!D$189*D$410/SUM(D$410,D$414),3)</f>
        <v>0.75700000000000001</v>
      </c>
      <c r="E409" s="51">
        <f>ROUND('Fiscal Forecasts'!E$189*E$410/SUM(E$410,E$414),3)</f>
        <v>1.0569999999999999</v>
      </c>
      <c r="F409" s="51">
        <f>ROUND('Fiscal Forecasts'!F$189*F$410/SUM(F$410,F$414),3)</f>
        <v>1.169</v>
      </c>
      <c r="G409" s="51">
        <f>ROUND('Fiscal Forecasts'!G$189*G$410/SUM(G$410,G$414),3)</f>
        <v>1.7330000000000001</v>
      </c>
      <c r="H409" s="51">
        <f>ROUND('Fiscal Forecasts'!H$189*H$410/SUM(H$410,H$414),3)</f>
        <v>1.5860000000000001</v>
      </c>
      <c r="I409" s="51">
        <f>ROUND('Fiscal Forecasts'!I$189*I$410/SUM(I$410,I$414),3)</f>
        <v>1.6120000000000001</v>
      </c>
      <c r="J409" s="51">
        <f>ROUND('Fiscal Forecasts'!J$189*J$410/SUM(J$410,J$414),3)</f>
        <v>1.704</v>
      </c>
      <c r="K409" s="51">
        <f>ROUND('Fiscal Forecasts'!K$189*K$410/SUM(K$410,K$414),3)</f>
        <v>1.722</v>
      </c>
      <c r="L409" s="47">
        <f>ROUND('Fiscal Forecasts'!L$189*L$410/SUM(L$410,L$414),3)</f>
        <v>1.7230000000000001</v>
      </c>
      <c r="M409" s="47">
        <f>ROUND('Fiscal Forecasts'!M$189*M$410/SUM(M$410,M$414),3)</f>
        <v>1.6459999999999999</v>
      </c>
      <c r="N409" s="47">
        <f>ROUND('Fiscal Forecasts'!N$189*N$410/SUM(N$410,N$414),3)</f>
        <v>1.6339999999999999</v>
      </c>
      <c r="O409" s="47">
        <f>ROUND('Fiscal Forecasts'!O$189*O$410/SUM(O$410,O$414),3)</f>
        <v>1.629</v>
      </c>
      <c r="P409" s="47">
        <f>ROUND('Fiscal Forecasts'!P$189*P$410/SUM(P$410,P$414),3)</f>
        <v>1.61</v>
      </c>
      <c r="Q409" s="21">
        <f t="shared" ref="Q409:Z409" ca="1" si="228">P$409*(1+Q$29)</f>
        <v>1.6422000000000001</v>
      </c>
      <c r="R409" s="21">
        <f t="shared" ca="1" si="228"/>
        <v>1.6750440000000002</v>
      </c>
      <c r="S409" s="21">
        <f t="shared" ca="1" si="228"/>
        <v>1.7085448800000003</v>
      </c>
      <c r="T409" s="21">
        <f t="shared" ca="1" si="228"/>
        <v>1.7427157776000004</v>
      </c>
      <c r="U409" s="21">
        <f t="shared" ca="1" si="228"/>
        <v>1.7775700931520004</v>
      </c>
      <c r="V409" s="21">
        <f t="shared" ca="1" si="228"/>
        <v>1.8131214950150405</v>
      </c>
      <c r="W409" s="21">
        <f t="shared" ca="1" si="228"/>
        <v>1.8493839249153414</v>
      </c>
      <c r="X409" s="21">
        <f t="shared" ca="1" si="228"/>
        <v>1.8863716034136482</v>
      </c>
      <c r="Y409" s="21">
        <f t="shared" ca="1" si="228"/>
        <v>1.9240990354819212</v>
      </c>
      <c r="Z409" s="21">
        <f t="shared" ca="1" si="228"/>
        <v>1.9625810161915596</v>
      </c>
    </row>
    <row r="410" spans="1:26" x14ac:dyDescent="0.25">
      <c r="A410" s="11" t="s">
        <v>1364</v>
      </c>
      <c r="B410" s="14" t="str">
        <f>$B$38</f>
        <v>From Fiscal Forecasts</v>
      </c>
      <c r="D410" s="51">
        <f>'Fiscal Forecasts'!D$126</f>
        <v>1.5169999999999999</v>
      </c>
      <c r="E410" s="51">
        <f>'Fiscal Forecasts'!E$126</f>
        <v>1.7729999999999999</v>
      </c>
      <c r="F410" s="51">
        <f>'Fiscal Forecasts'!F$126</f>
        <v>2.194</v>
      </c>
      <c r="G410" s="51">
        <f>'Fiscal Forecasts'!G$126</f>
        <v>3.0680000000000001</v>
      </c>
      <c r="H410" s="51">
        <f>'Fiscal Forecasts'!H$126</f>
        <v>3.0409999999999999</v>
      </c>
      <c r="I410" s="51">
        <f>'Fiscal Forecasts'!I$126</f>
        <v>2.8610000000000002</v>
      </c>
      <c r="J410" s="51">
        <f>'Fiscal Forecasts'!J$126</f>
        <v>3.1</v>
      </c>
      <c r="K410" s="51">
        <f>'Fiscal Forecasts'!K$126</f>
        <v>3.2650000000000001</v>
      </c>
      <c r="L410" s="47">
        <f>'Fiscal Forecasts'!L$126</f>
        <v>3.1110000000000002</v>
      </c>
      <c r="M410" s="47">
        <f>'Fiscal Forecasts'!M$126</f>
        <v>3.03</v>
      </c>
      <c r="N410" s="47">
        <f>'Fiscal Forecasts'!N$126</f>
        <v>3.05</v>
      </c>
      <c r="O410" s="47">
        <f>'Fiscal Forecasts'!O$126</f>
        <v>3.0790000000000002</v>
      </c>
      <c r="P410" s="47">
        <f>'Fiscal Forecasts'!P$126</f>
        <v>3.0670000000000002</v>
      </c>
      <c r="Q410" s="21">
        <f t="shared" ref="Q410:Z410" ca="1" si="229">Q$409+(P$410-P$409)*(1+Q$29)</f>
        <v>3.1283400000000001</v>
      </c>
      <c r="R410" s="21">
        <f t="shared" ca="1" si="229"/>
        <v>3.1909068000000005</v>
      </c>
      <c r="S410" s="21">
        <f t="shared" ca="1" si="229"/>
        <v>3.2547249360000006</v>
      </c>
      <c r="T410" s="21">
        <f t="shared" ca="1" si="229"/>
        <v>3.3198194347200007</v>
      </c>
      <c r="U410" s="21">
        <f t="shared" ca="1" si="229"/>
        <v>3.3862158234144006</v>
      </c>
      <c r="V410" s="21">
        <f t="shared" ca="1" si="229"/>
        <v>3.4539401398826888</v>
      </c>
      <c r="W410" s="21">
        <f t="shared" ca="1" si="229"/>
        <v>3.5230189426803427</v>
      </c>
      <c r="X410" s="21">
        <f t="shared" ca="1" si="229"/>
        <v>3.5934793215339496</v>
      </c>
      <c r="Y410" s="21">
        <f t="shared" ca="1" si="229"/>
        <v>3.6653489079646286</v>
      </c>
      <c r="Z410" s="21">
        <f t="shared" ca="1" si="229"/>
        <v>3.7386558861239214</v>
      </c>
    </row>
    <row r="412" spans="1:26" x14ac:dyDescent="0.25">
      <c r="A412" s="11" t="s">
        <v>1365</v>
      </c>
    </row>
    <row r="413" spans="1:26" x14ac:dyDescent="0.25">
      <c r="A413" s="11" t="s">
        <v>1366</v>
      </c>
      <c r="B413" s="14" t="str">
        <f>$B$38</f>
        <v>From Fiscal Forecasts</v>
      </c>
      <c r="D413" s="51">
        <f>'Fiscal Forecasts'!D$189-D$409</f>
        <v>1.4119999999999999</v>
      </c>
      <c r="E413" s="51">
        <f>'Fiscal Forecasts'!E$189-E$409</f>
        <v>2.153</v>
      </c>
      <c r="F413" s="51">
        <f>'Fiscal Forecasts'!F$189-F$409</f>
        <v>2.0920000000000001</v>
      </c>
      <c r="G413" s="51">
        <f>'Fiscal Forecasts'!G$189-G$409</f>
        <v>2.3759999999999999</v>
      </c>
      <c r="H413" s="51">
        <f>'Fiscal Forecasts'!H$189-H$409</f>
        <v>2.4050000000000002</v>
      </c>
      <c r="I413" s="51">
        <f>'Fiscal Forecasts'!I$189-I$409</f>
        <v>2.8419999999999996</v>
      </c>
      <c r="J413" s="51">
        <f>'Fiscal Forecasts'!J$189-J$409</f>
        <v>2.835</v>
      </c>
      <c r="K413" s="51">
        <f>'Fiscal Forecasts'!K$189-K$409</f>
        <v>2.927</v>
      </c>
      <c r="L413" s="47">
        <f>'Fiscal Forecasts'!L$189-L$409</f>
        <v>3.1180000000000003</v>
      </c>
      <c r="M413" s="47">
        <f>'Fiscal Forecasts'!M$189-M$409</f>
        <v>3.0280000000000005</v>
      </c>
      <c r="N413" s="47">
        <f>'Fiscal Forecasts'!N$189-N$409</f>
        <v>2.8540000000000005</v>
      </c>
      <c r="O413" s="47">
        <f>'Fiscal Forecasts'!O$189-O$409</f>
        <v>2.8160000000000003</v>
      </c>
      <c r="P413" s="47">
        <f>'Fiscal Forecasts'!P$189-P$409</f>
        <v>2.7879999999999994</v>
      </c>
      <c r="Q413" s="21">
        <f t="shared" ref="Q413:Z413" ca="1" si="230">P$413*(1+Q$29)</f>
        <v>2.8437599999999996</v>
      </c>
      <c r="R413" s="21">
        <f t="shared" ca="1" si="230"/>
        <v>2.9006351999999995</v>
      </c>
      <c r="S413" s="21">
        <f t="shared" ca="1" si="230"/>
        <v>2.9586479039999998</v>
      </c>
      <c r="T413" s="21">
        <f t="shared" ca="1" si="230"/>
        <v>3.0178208620799998</v>
      </c>
      <c r="U413" s="21">
        <f t="shared" ca="1" si="230"/>
        <v>3.0781772793215998</v>
      </c>
      <c r="V413" s="21">
        <f t="shared" ca="1" si="230"/>
        <v>3.1397408249080319</v>
      </c>
      <c r="W413" s="21">
        <f t="shared" ca="1" si="230"/>
        <v>3.2025356414061927</v>
      </c>
      <c r="X413" s="21">
        <f t="shared" ca="1" si="230"/>
        <v>3.2665863542343168</v>
      </c>
      <c r="Y413" s="21">
        <f t="shared" ca="1" si="230"/>
        <v>3.331918081319003</v>
      </c>
      <c r="Z413" s="21">
        <f t="shared" ca="1" si="230"/>
        <v>3.3985564429453832</v>
      </c>
    </row>
    <row r="414" spans="1:26" x14ac:dyDescent="0.25">
      <c r="A414" s="11" t="s">
        <v>1367</v>
      </c>
      <c r="B414" s="14" t="str">
        <f>$B$38</f>
        <v>From Fiscal Forecasts</v>
      </c>
      <c r="D414" s="51">
        <f>'Fiscal Forecasts'!D$127</f>
        <v>2.8279999999999998</v>
      </c>
      <c r="E414" s="51">
        <f>'Fiscal Forecasts'!E$127</f>
        <v>3.61</v>
      </c>
      <c r="F414" s="51">
        <f>'Fiscal Forecasts'!F$127</f>
        <v>3.9279999999999999</v>
      </c>
      <c r="G414" s="51">
        <f>'Fiscal Forecasts'!G$127</f>
        <v>4.2080000000000002</v>
      </c>
      <c r="H414" s="51">
        <f>'Fiscal Forecasts'!H$127</f>
        <v>4.6120000000000001</v>
      </c>
      <c r="I414" s="51">
        <f>'Fiscal Forecasts'!I$127</f>
        <v>5.0449999999999999</v>
      </c>
      <c r="J414" s="51">
        <f>'Fiscal Forecasts'!J$127</f>
        <v>5.157</v>
      </c>
      <c r="K414" s="51">
        <f>'Fiscal Forecasts'!K$127</f>
        <v>5.55</v>
      </c>
      <c r="L414" s="47">
        <f>'Fiscal Forecasts'!L$127</f>
        <v>5.6280000000000001</v>
      </c>
      <c r="M414" s="47">
        <f>'Fiscal Forecasts'!M$127</f>
        <v>5.5730000000000004</v>
      </c>
      <c r="N414" s="47">
        <f>'Fiscal Forecasts'!N$127</f>
        <v>5.3250000000000002</v>
      </c>
      <c r="O414" s="47">
        <f>'Fiscal Forecasts'!O$127</f>
        <v>5.3239999999999998</v>
      </c>
      <c r="P414" s="47">
        <f>'Fiscal Forecasts'!P$127</f>
        <v>5.3129999999999997</v>
      </c>
      <c r="Q414" s="21">
        <f t="shared" ref="Q414:Z414" ca="1" si="231">Q$413+(P$414-P$413)*(1+Q$29)</f>
        <v>5.4192599999999995</v>
      </c>
      <c r="R414" s="21">
        <f t="shared" ca="1" si="231"/>
        <v>5.5276451999999994</v>
      </c>
      <c r="S414" s="21">
        <f t="shared" ca="1" si="231"/>
        <v>5.6381981039999998</v>
      </c>
      <c r="T414" s="21">
        <f t="shared" ca="1" si="231"/>
        <v>5.7509620660799996</v>
      </c>
      <c r="U414" s="21">
        <f t="shared" ca="1" si="231"/>
        <v>5.8659813074015998</v>
      </c>
      <c r="V414" s="21">
        <f t="shared" ca="1" si="231"/>
        <v>5.9833009335496321</v>
      </c>
      <c r="W414" s="21">
        <f t="shared" ca="1" si="231"/>
        <v>6.1029669522206245</v>
      </c>
      <c r="X414" s="21">
        <f t="shared" ca="1" si="231"/>
        <v>6.2250262912650367</v>
      </c>
      <c r="Y414" s="21">
        <f t="shared" ca="1" si="231"/>
        <v>6.3495268170903376</v>
      </c>
      <c r="Z414" s="21">
        <f t="shared" ca="1" si="231"/>
        <v>6.4765173534321443</v>
      </c>
    </row>
    <row r="416" spans="1:26" x14ac:dyDescent="0.25">
      <c r="A416" s="11" t="s">
        <v>1368</v>
      </c>
    </row>
    <row r="417" spans="1:26" x14ac:dyDescent="0.25">
      <c r="A417" s="11" t="s">
        <v>1369</v>
      </c>
      <c r="B417" s="14" t="str">
        <f>$B$38</f>
        <v>From Fiscal Forecasts</v>
      </c>
      <c r="D417" s="51">
        <f>'Fiscal Forecasts'!D$186</f>
        <v>43.683999999999997</v>
      </c>
      <c r="E417" s="51">
        <f>'Fiscal Forecasts'!E$186</f>
        <v>45.167000000000002</v>
      </c>
      <c r="F417" s="51">
        <f>'Fiscal Forecasts'!F$186</f>
        <v>51.92</v>
      </c>
      <c r="G417" s="51">
        <f>'Fiscal Forecasts'!G$186</f>
        <v>56.518999999999998</v>
      </c>
      <c r="H417" s="51">
        <f>'Fiscal Forecasts'!H$186</f>
        <v>63.033999999999999</v>
      </c>
      <c r="I417" s="51">
        <f>'Fiscal Forecasts'!I$186</f>
        <v>67.997</v>
      </c>
      <c r="J417" s="51">
        <f>'Fiscal Forecasts'!J$186</f>
        <v>67.518000000000001</v>
      </c>
      <c r="K417" s="51">
        <f>'Fiscal Forecasts'!K$186</f>
        <v>65.867999999999995</v>
      </c>
      <c r="L417" s="47">
        <f>'Fiscal Forecasts'!L$186</f>
        <v>67.391000000000005</v>
      </c>
      <c r="M417" s="47">
        <f>'Fiscal Forecasts'!M$186</f>
        <v>68.777000000000001</v>
      </c>
      <c r="N417" s="47">
        <f>'Fiscal Forecasts'!N$186</f>
        <v>69.62</v>
      </c>
      <c r="O417" s="47">
        <f>'Fiscal Forecasts'!O$186</f>
        <v>69.459000000000003</v>
      </c>
      <c r="P417" s="47">
        <f>'Fiscal Forecasts'!P$186</f>
        <v>69.108000000000004</v>
      </c>
      <c r="Q417" s="21">
        <f t="shared" ref="Q417:Z417" si="232">P$417</f>
        <v>69.108000000000004</v>
      </c>
      <c r="R417" s="21">
        <f t="shared" si="232"/>
        <v>69.108000000000004</v>
      </c>
      <c r="S417" s="21">
        <f t="shared" si="232"/>
        <v>69.108000000000004</v>
      </c>
      <c r="T417" s="21">
        <f t="shared" si="232"/>
        <v>69.108000000000004</v>
      </c>
      <c r="U417" s="21">
        <f t="shared" si="232"/>
        <v>69.108000000000004</v>
      </c>
      <c r="V417" s="21">
        <f t="shared" si="232"/>
        <v>69.108000000000004</v>
      </c>
      <c r="W417" s="21">
        <f t="shared" si="232"/>
        <v>69.108000000000004</v>
      </c>
      <c r="X417" s="21">
        <f t="shared" si="232"/>
        <v>69.108000000000004</v>
      </c>
      <c r="Y417" s="21">
        <f t="shared" si="232"/>
        <v>69.108000000000004</v>
      </c>
      <c r="Z417" s="21">
        <f t="shared" si="232"/>
        <v>69.108000000000004</v>
      </c>
    </row>
    <row r="418" spans="1:26" x14ac:dyDescent="0.25">
      <c r="A418" s="12" t="s">
        <v>1370</v>
      </c>
      <c r="B418" s="14" t="str">
        <f>$B$38</f>
        <v>From Fiscal Forecasts</v>
      </c>
      <c r="D418" s="50">
        <f>'Fiscal Forecasts'!D$335</f>
        <v>93.730999999999995</v>
      </c>
      <c r="E418" s="50">
        <f>'Fiscal Forecasts'!E$335</f>
        <v>101.509</v>
      </c>
      <c r="F418" s="50">
        <f>'Fiscal Forecasts'!F$335</f>
        <v>119.682</v>
      </c>
      <c r="G418" s="50">
        <f>'Fiscal Forecasts'!G$335</f>
        <v>145.18600000000001</v>
      </c>
      <c r="H418" s="50">
        <f>'Fiscal Forecasts'!H$335</f>
        <v>151.042</v>
      </c>
      <c r="I418" s="50">
        <f>'Fiscal Forecasts'!I$335</f>
        <v>158.06800000000001</v>
      </c>
      <c r="J418" s="50">
        <f>'Fiscal Forecasts'!J$335</f>
        <v>164.292</v>
      </c>
      <c r="K418" s="50">
        <f>'Fiscal Forecasts'!K$335</f>
        <v>165.83799999999999</v>
      </c>
      <c r="L418" s="48">
        <f>'Fiscal Forecasts'!L$335</f>
        <v>169.78800000000001</v>
      </c>
      <c r="M418" s="48">
        <f>'Fiscal Forecasts'!M$335</f>
        <v>173.96600000000001</v>
      </c>
      <c r="N418" s="48">
        <f>'Fiscal Forecasts'!N$335</f>
        <v>177.459</v>
      </c>
      <c r="O418" s="48">
        <f>'Fiscal Forecasts'!O$335</f>
        <v>179.83199999999999</v>
      </c>
      <c r="P418" s="48">
        <f>'Fiscal Forecasts'!P$335</f>
        <v>181.584</v>
      </c>
      <c r="Q418" s="20">
        <f t="shared" ref="Q418:Z418" ca="1" si="233">(P$418-P$423)*(1+Q$29)+Q$423</f>
        <v>183.21564000000001</v>
      </c>
      <c r="R418" s="20">
        <f t="shared" ca="1" si="233"/>
        <v>184.8799128</v>
      </c>
      <c r="S418" s="20">
        <f t="shared" ca="1" si="233"/>
        <v>186.57747105600001</v>
      </c>
      <c r="T418" s="20">
        <f t="shared" ca="1" si="233"/>
        <v>188.30898047712</v>
      </c>
      <c r="U418" s="20">
        <f t="shared" ca="1" si="233"/>
        <v>190.07512008666242</v>
      </c>
      <c r="V418" s="20">
        <f t="shared" ca="1" si="233"/>
        <v>191.87658248839568</v>
      </c>
      <c r="W418" s="20">
        <f t="shared" ca="1" si="233"/>
        <v>193.7140741381636</v>
      </c>
      <c r="X418" s="20">
        <f t="shared" ca="1" si="233"/>
        <v>195.58831562092686</v>
      </c>
      <c r="Y418" s="20">
        <f t="shared" ca="1" si="233"/>
        <v>197.50004193334541</v>
      </c>
      <c r="Z418" s="20">
        <f t="shared" ca="1" si="233"/>
        <v>199.45000277201234</v>
      </c>
    </row>
    <row r="419" spans="1:26" x14ac:dyDescent="0.25">
      <c r="A419" s="12" t="s">
        <v>1371</v>
      </c>
      <c r="B419" s="14" t="str">
        <f>$B$38</f>
        <v>From Fiscal Forecasts</v>
      </c>
      <c r="D419" s="50">
        <f>SUM('Fiscal Forecasts'!D$336:D$337)</f>
        <v>40.21</v>
      </c>
      <c r="E419" s="50">
        <f>SUM('Fiscal Forecasts'!E$336:E$337)</f>
        <v>39.826000000000001</v>
      </c>
      <c r="F419" s="50">
        <f>SUM('Fiscal Forecasts'!F$336:F$337)</f>
        <v>41.613999999999997</v>
      </c>
      <c r="G419" s="50">
        <f>SUM('Fiscal Forecasts'!G$336:G$337)</f>
        <v>47.476999999999997</v>
      </c>
      <c r="H419" s="50">
        <f>SUM('Fiscal Forecasts'!H$336:H$337)</f>
        <v>53.314</v>
      </c>
      <c r="I419" s="50">
        <f>SUM('Fiscal Forecasts'!I$336:I$337)</f>
        <v>57.724999999999994</v>
      </c>
      <c r="J419" s="50">
        <f>SUM('Fiscal Forecasts'!J$336:J$337)</f>
        <v>60.790999999999997</v>
      </c>
      <c r="K419" s="50">
        <f>SUM('Fiscal Forecasts'!K$336:K$337)</f>
        <v>64.260999999999996</v>
      </c>
      <c r="L419" s="48">
        <f>SUM('Fiscal Forecasts'!L$336:L$337)</f>
        <v>65.998000000000005</v>
      </c>
      <c r="M419" s="48">
        <f>SUM('Fiscal Forecasts'!M$336:M$337)</f>
        <v>67.91</v>
      </c>
      <c r="N419" s="48">
        <f>SUM('Fiscal Forecasts'!N$336:N$337)</f>
        <v>69.397999999999996</v>
      </c>
      <c r="O419" s="48">
        <f>SUM('Fiscal Forecasts'!O$336:O$337)</f>
        <v>70.602999999999994</v>
      </c>
      <c r="P419" s="48">
        <f>SUM('Fiscal Forecasts'!P$336:P$337)</f>
        <v>72.019000000000005</v>
      </c>
      <c r="Q419" s="20">
        <f t="shared" ref="Q419:Z419" ca="1" si="234">P$419*(1+Q$29)</f>
        <v>73.45938000000001</v>
      </c>
      <c r="R419" s="20">
        <f t="shared" ca="1" si="234"/>
        <v>74.928567600000008</v>
      </c>
      <c r="S419" s="20">
        <f t="shared" ca="1" si="234"/>
        <v>76.427138952000007</v>
      </c>
      <c r="T419" s="20">
        <f t="shared" ca="1" si="234"/>
        <v>77.955681731040002</v>
      </c>
      <c r="U419" s="20">
        <f t="shared" ca="1" si="234"/>
        <v>79.514795365660802</v>
      </c>
      <c r="V419" s="20">
        <f t="shared" ca="1" si="234"/>
        <v>81.105091272974022</v>
      </c>
      <c r="W419" s="20">
        <f t="shared" ca="1" si="234"/>
        <v>82.727193098433503</v>
      </c>
      <c r="X419" s="20">
        <f t="shared" ca="1" si="234"/>
        <v>84.381736960402179</v>
      </c>
      <c r="Y419" s="20">
        <f t="shared" ca="1" si="234"/>
        <v>86.06937169961023</v>
      </c>
      <c r="Z419" s="20">
        <f t="shared" ca="1" si="234"/>
        <v>87.790759133602435</v>
      </c>
    </row>
    <row r="420" spans="1:26" x14ac:dyDescent="0.25">
      <c r="A420" s="11" t="s">
        <v>1372</v>
      </c>
      <c r="D420" s="94">
        <f t="shared" ref="D420:I420" si="235">SUM(D$417:D$419)</f>
        <v>177.625</v>
      </c>
      <c r="E420" s="94">
        <f t="shared" si="235"/>
        <v>186.50199999999998</v>
      </c>
      <c r="F420" s="94">
        <f t="shared" si="235"/>
        <v>213.21600000000001</v>
      </c>
      <c r="G420" s="94">
        <f t="shared" si="235"/>
        <v>249.18200000000002</v>
      </c>
      <c r="H420" s="94">
        <f t="shared" si="235"/>
        <v>267.39</v>
      </c>
      <c r="I420" s="94">
        <f t="shared" si="235"/>
        <v>283.78999999999996</v>
      </c>
      <c r="J420" s="94">
        <f t="shared" ref="J420:P420" si="236">SUM(J$417:J$419)</f>
        <v>292.601</v>
      </c>
      <c r="K420" s="94">
        <f t="shared" si="236"/>
        <v>295.96699999999998</v>
      </c>
      <c r="L420" s="95">
        <f t="shared" si="236"/>
        <v>303.17700000000002</v>
      </c>
      <c r="M420" s="95">
        <f t="shared" si="236"/>
        <v>310.65300000000002</v>
      </c>
      <c r="N420" s="95">
        <f t="shared" si="236"/>
        <v>316.47699999999998</v>
      </c>
      <c r="O420" s="95">
        <f t="shared" si="236"/>
        <v>319.89400000000001</v>
      </c>
      <c r="P420" s="95">
        <f t="shared" si="236"/>
        <v>322.71100000000001</v>
      </c>
      <c r="Q420" s="96">
        <f t="shared" ref="Q420:Z420" ca="1" si="237">SUM(Q$417:Q$419)</f>
        <v>325.78302000000002</v>
      </c>
      <c r="R420" s="96">
        <f t="shared" ca="1" si="237"/>
        <v>328.91648040000001</v>
      </c>
      <c r="S420" s="96">
        <f t="shared" ca="1" si="237"/>
        <v>332.11261000800005</v>
      </c>
      <c r="T420" s="96">
        <f t="shared" ca="1" si="237"/>
        <v>335.37266220815997</v>
      </c>
      <c r="U420" s="96">
        <f t="shared" ca="1" si="237"/>
        <v>338.69791545232323</v>
      </c>
      <c r="V420" s="96">
        <f t="shared" ca="1" si="237"/>
        <v>342.08967376136968</v>
      </c>
      <c r="W420" s="96">
        <f t="shared" ca="1" si="237"/>
        <v>345.54926723659707</v>
      </c>
      <c r="X420" s="96">
        <f t="shared" ca="1" si="237"/>
        <v>349.07805258132902</v>
      </c>
      <c r="Y420" s="96">
        <f t="shared" ca="1" si="237"/>
        <v>352.67741363295568</v>
      </c>
      <c r="Z420" s="96">
        <f t="shared" ca="1" si="237"/>
        <v>356.34876190561477</v>
      </c>
    </row>
    <row r="422" spans="1:26" x14ac:dyDescent="0.25">
      <c r="A422" s="11" t="s">
        <v>950</v>
      </c>
    </row>
    <row r="423" spans="1:26" x14ac:dyDescent="0.25">
      <c r="A423" s="11" t="s">
        <v>1373</v>
      </c>
      <c r="B423" s="14" t="str">
        <f>$B$38</f>
        <v>From Fiscal Forecasts</v>
      </c>
      <c r="D423" s="51">
        <f>'Fiscal Forecasts'!D$187</f>
        <v>46.601999999999997</v>
      </c>
      <c r="E423" s="51">
        <f>'Fiscal Forecasts'!E$187</f>
        <v>49.604999999999997</v>
      </c>
      <c r="F423" s="51">
        <f>'Fiscal Forecasts'!F$187</f>
        <v>53.877000000000002</v>
      </c>
      <c r="G423" s="51">
        <f>'Fiscal Forecasts'!G$187</f>
        <v>57.801000000000002</v>
      </c>
      <c r="H423" s="51">
        <f>'Fiscal Forecasts'!H$187</f>
        <v>64.816999999999993</v>
      </c>
      <c r="I423" s="51">
        <f>'Fiscal Forecasts'!I$187</f>
        <v>69.174000000000007</v>
      </c>
      <c r="J423" s="51">
        <f>'Fiscal Forecasts'!J$187</f>
        <v>74.98</v>
      </c>
      <c r="K423" s="51">
        <f>'Fiscal Forecasts'!K$187</f>
        <v>79.525999999999996</v>
      </c>
      <c r="L423" s="47">
        <f>'Fiscal Forecasts'!L$187</f>
        <v>85.882999999999996</v>
      </c>
      <c r="M423" s="47">
        <f>'Fiscal Forecasts'!M$187</f>
        <v>91.435000000000002</v>
      </c>
      <c r="N423" s="47">
        <f>'Fiscal Forecasts'!N$187</f>
        <v>95.393000000000001</v>
      </c>
      <c r="O423" s="47">
        <f>'Fiscal Forecasts'!O$187</f>
        <v>98.093000000000004</v>
      </c>
      <c r="P423" s="47">
        <f>'Fiscal Forecasts'!P$187</f>
        <v>100.002</v>
      </c>
      <c r="Q423" s="21">
        <f t="shared" ref="Q423:Z423" si="238">P$423</f>
        <v>100.002</v>
      </c>
      <c r="R423" s="21">
        <f t="shared" si="238"/>
        <v>100.002</v>
      </c>
      <c r="S423" s="21">
        <f t="shared" si="238"/>
        <v>100.002</v>
      </c>
      <c r="T423" s="21">
        <f t="shared" si="238"/>
        <v>100.002</v>
      </c>
      <c r="U423" s="21">
        <f t="shared" si="238"/>
        <v>100.002</v>
      </c>
      <c r="V423" s="21">
        <f t="shared" si="238"/>
        <v>100.002</v>
      </c>
      <c r="W423" s="21">
        <f t="shared" si="238"/>
        <v>100.002</v>
      </c>
      <c r="X423" s="21">
        <f t="shared" si="238"/>
        <v>100.002</v>
      </c>
      <c r="Y423" s="21">
        <f t="shared" si="238"/>
        <v>100.002</v>
      </c>
      <c r="Z423" s="21">
        <f t="shared" si="238"/>
        <v>100.002</v>
      </c>
    </row>
    <row r="424" spans="1:26" x14ac:dyDescent="0.25">
      <c r="A424" s="11" t="s">
        <v>1374</v>
      </c>
      <c r="B424" s="14" t="str">
        <f>$B$38</f>
        <v>From Fiscal Forecasts</v>
      </c>
      <c r="D424" s="51">
        <f>'Fiscal Forecasts'!D$129</f>
        <v>14.65</v>
      </c>
      <c r="E424" s="51">
        <f>'Fiscal Forecasts'!E$129</f>
        <v>14.308</v>
      </c>
      <c r="F424" s="51">
        <f>'Fiscal Forecasts'!F$129</f>
        <v>14.420999999999999</v>
      </c>
      <c r="G424" s="51">
        <f>'Fiscal Forecasts'!G$129</f>
        <v>16.247</v>
      </c>
      <c r="H424" s="51">
        <f>'Fiscal Forecasts'!H$129</f>
        <v>17.033999999999999</v>
      </c>
      <c r="I424" s="51">
        <f>'Fiscal Forecasts'!I$129</f>
        <v>17.951000000000001</v>
      </c>
      <c r="J424" s="51">
        <f>'Fiscal Forecasts'!J$129</f>
        <v>19.478000000000002</v>
      </c>
      <c r="K424" s="51">
        <f>'Fiscal Forecasts'!K$129</f>
        <v>18.126999999999999</v>
      </c>
      <c r="L424" s="47">
        <f>'Fiscal Forecasts'!L$129</f>
        <v>18.913</v>
      </c>
      <c r="M424" s="47">
        <f>'Fiscal Forecasts'!M$129</f>
        <v>19.36</v>
      </c>
      <c r="N424" s="47">
        <f>'Fiscal Forecasts'!N$129</f>
        <v>19.609000000000002</v>
      </c>
      <c r="O424" s="47">
        <f>'Fiscal Forecasts'!O$129</f>
        <v>19.724</v>
      </c>
      <c r="P424" s="47">
        <f>'Fiscal Forecasts'!P$129</f>
        <v>19.824999999999999</v>
      </c>
      <c r="Q424" s="21">
        <f t="shared" ref="Q424:Z424" ca="1" si="239">P$424*(1+Q$29)</f>
        <v>20.221499999999999</v>
      </c>
      <c r="R424" s="21">
        <f t="shared" ca="1" si="239"/>
        <v>20.62593</v>
      </c>
      <c r="S424" s="21">
        <f t="shared" ca="1" si="239"/>
        <v>21.038448600000002</v>
      </c>
      <c r="T424" s="21">
        <f t="shared" ca="1" si="239"/>
        <v>21.459217572000004</v>
      </c>
      <c r="U424" s="21">
        <f t="shared" ca="1" si="239"/>
        <v>21.888401923440004</v>
      </c>
      <c r="V424" s="21">
        <f t="shared" ca="1" si="239"/>
        <v>22.326169961908803</v>
      </c>
      <c r="W424" s="21">
        <f t="shared" ca="1" si="239"/>
        <v>22.772693361146981</v>
      </c>
      <c r="X424" s="21">
        <f t="shared" ca="1" si="239"/>
        <v>23.22814722836992</v>
      </c>
      <c r="Y424" s="21">
        <f t="shared" ca="1" si="239"/>
        <v>23.692710172937318</v>
      </c>
      <c r="Z424" s="21">
        <f t="shared" ca="1" si="239"/>
        <v>24.166564376396064</v>
      </c>
    </row>
    <row r="426" spans="1:26" x14ac:dyDescent="0.25">
      <c r="A426" s="11" t="s">
        <v>951</v>
      </c>
    </row>
    <row r="427" spans="1:26" x14ac:dyDescent="0.25">
      <c r="A427" s="11" t="s">
        <v>1375</v>
      </c>
      <c r="B427" s="14" t="str">
        <f>$B$38</f>
        <v>From Fiscal Forecasts</v>
      </c>
      <c r="D427" s="51">
        <f>'Fiscal Forecasts'!D$188</f>
        <v>1.681</v>
      </c>
      <c r="E427" s="51">
        <f>'Fiscal Forecasts'!E$188</f>
        <v>1.57</v>
      </c>
      <c r="F427" s="51">
        <f>'Fiscal Forecasts'!F$188</f>
        <v>1.637</v>
      </c>
      <c r="G427" s="51">
        <f>'Fiscal Forecasts'!G$188</f>
        <v>1.4650000000000001</v>
      </c>
      <c r="H427" s="51">
        <f>'Fiscal Forecasts'!H$188</f>
        <v>1.583</v>
      </c>
      <c r="I427" s="51">
        <f>'Fiscal Forecasts'!I$188</f>
        <v>1.577</v>
      </c>
      <c r="J427" s="51">
        <f>'Fiscal Forecasts'!J$188</f>
        <v>1.53</v>
      </c>
      <c r="K427" s="51">
        <f>'Fiscal Forecasts'!K$188</f>
        <v>1.4570000000000001</v>
      </c>
      <c r="L427" s="47">
        <f>'Fiscal Forecasts'!L$188</f>
        <v>1.4379999999999999</v>
      </c>
      <c r="M427" s="47">
        <f>'Fiscal Forecasts'!M$188</f>
        <v>1.389</v>
      </c>
      <c r="N427" s="47">
        <f>'Fiscal Forecasts'!N$188</f>
        <v>1.294</v>
      </c>
      <c r="O427" s="47">
        <f>'Fiscal Forecasts'!O$188</f>
        <v>1.224</v>
      </c>
      <c r="P427" s="47">
        <f>'Fiscal Forecasts'!P$188</f>
        <v>1.163</v>
      </c>
      <c r="Q427" s="21">
        <f t="shared" ref="Q427:Z427" si="240">P$427</f>
        <v>1.163</v>
      </c>
      <c r="R427" s="21">
        <f t="shared" si="240"/>
        <v>1.163</v>
      </c>
      <c r="S427" s="21">
        <f t="shared" si="240"/>
        <v>1.163</v>
      </c>
      <c r="T427" s="21">
        <f t="shared" si="240"/>
        <v>1.163</v>
      </c>
      <c r="U427" s="21">
        <f t="shared" si="240"/>
        <v>1.163</v>
      </c>
      <c r="V427" s="21">
        <f t="shared" si="240"/>
        <v>1.163</v>
      </c>
      <c r="W427" s="21">
        <f t="shared" si="240"/>
        <v>1.163</v>
      </c>
      <c r="X427" s="21">
        <f t="shared" si="240"/>
        <v>1.163</v>
      </c>
      <c r="Y427" s="21">
        <f t="shared" si="240"/>
        <v>1.163</v>
      </c>
      <c r="Z427" s="21">
        <f t="shared" si="240"/>
        <v>1.163</v>
      </c>
    </row>
    <row r="428" spans="1:26" x14ac:dyDescent="0.25">
      <c r="A428" s="12" t="s">
        <v>1376</v>
      </c>
      <c r="B428" s="14" t="str">
        <f>$B$38</f>
        <v>From Fiscal Forecasts</v>
      </c>
      <c r="D428" s="50">
        <f>SUM('Fiscal Forecasts'!D$353:D$355)</f>
        <v>2.23</v>
      </c>
      <c r="E428" s="50">
        <f>SUM('Fiscal Forecasts'!E$353:E$355)</f>
        <v>2.3220000000000001</v>
      </c>
      <c r="F428" s="50">
        <f>SUM('Fiscal Forecasts'!F$353:F$355)</f>
        <v>1.964</v>
      </c>
      <c r="G428" s="50">
        <f>SUM('Fiscal Forecasts'!G$353:G$355)</f>
        <v>2.2320000000000002</v>
      </c>
      <c r="H428" s="50">
        <f>SUM('Fiscal Forecasts'!H$353:H$355)</f>
        <v>2.3249999999999997</v>
      </c>
      <c r="I428" s="50">
        <f>SUM('Fiscal Forecasts'!I$353:I$355)</f>
        <v>2.5069999999999997</v>
      </c>
      <c r="J428" s="50">
        <f>SUM('Fiscal Forecasts'!J$353:J$355)</f>
        <v>2.5609999999999999</v>
      </c>
      <c r="K428" s="50">
        <f>SUM('Fiscal Forecasts'!K$353:K$355)</f>
        <v>2.5070000000000001</v>
      </c>
      <c r="L428" s="48">
        <f>SUM('Fiscal Forecasts'!L$353:L$355)</f>
        <v>2.5920000000000001</v>
      </c>
      <c r="M428" s="48">
        <f>SUM('Fiscal Forecasts'!M$353:M$355)</f>
        <v>2.5659999999999998</v>
      </c>
      <c r="N428" s="48">
        <f>SUM('Fiscal Forecasts'!N$353:N$355)</f>
        <v>2.6120000000000001</v>
      </c>
      <c r="O428" s="48">
        <f>SUM('Fiscal Forecasts'!O$353:O$355)</f>
        <v>2.7010000000000001</v>
      </c>
      <c r="P428" s="48">
        <f>SUM('Fiscal Forecasts'!P$353:P$355)</f>
        <v>2.7700000000000005</v>
      </c>
      <c r="Q428" s="20">
        <f t="shared" ref="Q428:Z428" ca="1" si="241">P$428*(1+Q$14)</f>
        <v>2.8905805633758748</v>
      </c>
      <c r="R428" s="20">
        <f t="shared" ca="1" si="241"/>
        <v>3.0136185089255267</v>
      </c>
      <c r="S428" s="20">
        <f t="shared" ca="1" si="241"/>
        <v>3.1399160724263551</v>
      </c>
      <c r="T428" s="20">
        <f t="shared" ca="1" si="241"/>
        <v>3.2691778422305844</v>
      </c>
      <c r="U428" s="20">
        <f t="shared" ca="1" si="241"/>
        <v>3.4029470653420053</v>
      </c>
      <c r="V428" s="20">
        <f t="shared" ca="1" si="241"/>
        <v>3.5412713151869339</v>
      </c>
      <c r="W428" s="20">
        <f t="shared" ca="1" si="241"/>
        <v>3.6834527482118062</v>
      </c>
      <c r="X428" s="20">
        <f t="shared" ca="1" si="241"/>
        <v>3.8297284171973973</v>
      </c>
      <c r="Y428" s="20">
        <f t="shared" ca="1" si="241"/>
        <v>3.9808632521356575</v>
      </c>
      <c r="Z428" s="20">
        <f t="shared" ca="1" si="241"/>
        <v>4.1368962329534877</v>
      </c>
    </row>
    <row r="429" spans="1:26" x14ac:dyDescent="0.25">
      <c r="A429" s="11" t="s">
        <v>1377</v>
      </c>
      <c r="D429" s="94">
        <f t="shared" ref="D429:Z429" si="242">SUM(D$427:D$428)</f>
        <v>3.911</v>
      </c>
      <c r="E429" s="94">
        <f t="shared" si="242"/>
        <v>3.8920000000000003</v>
      </c>
      <c r="F429" s="94">
        <f t="shared" si="242"/>
        <v>3.601</v>
      </c>
      <c r="G429" s="94">
        <f t="shared" si="242"/>
        <v>3.6970000000000001</v>
      </c>
      <c r="H429" s="94">
        <f t="shared" si="242"/>
        <v>3.9079999999999995</v>
      </c>
      <c r="I429" s="94">
        <f t="shared" si="242"/>
        <v>4.0839999999999996</v>
      </c>
      <c r="J429" s="94">
        <f t="shared" si="242"/>
        <v>4.0910000000000002</v>
      </c>
      <c r="K429" s="94">
        <f t="shared" si="242"/>
        <v>3.9640000000000004</v>
      </c>
      <c r="L429" s="95">
        <f t="shared" si="242"/>
        <v>4.03</v>
      </c>
      <c r="M429" s="95">
        <f t="shared" si="242"/>
        <v>3.9550000000000001</v>
      </c>
      <c r="N429" s="95">
        <f t="shared" si="242"/>
        <v>3.9060000000000001</v>
      </c>
      <c r="O429" s="95">
        <f t="shared" si="242"/>
        <v>3.9249999999999998</v>
      </c>
      <c r="P429" s="95">
        <f t="shared" si="242"/>
        <v>3.9330000000000007</v>
      </c>
      <c r="Q429" s="96">
        <f t="shared" ca="1" si="242"/>
        <v>4.053580563375875</v>
      </c>
      <c r="R429" s="96">
        <f t="shared" ca="1" si="242"/>
        <v>4.176618508925527</v>
      </c>
      <c r="S429" s="96">
        <f t="shared" ca="1" si="242"/>
        <v>4.3029160724263553</v>
      </c>
      <c r="T429" s="96">
        <f t="shared" ca="1" si="242"/>
        <v>4.4321778422305842</v>
      </c>
      <c r="U429" s="96">
        <f t="shared" ca="1" si="242"/>
        <v>4.5659470653420051</v>
      </c>
      <c r="V429" s="96">
        <f t="shared" ca="1" si="242"/>
        <v>4.7042713151869338</v>
      </c>
      <c r="W429" s="96">
        <f t="shared" ca="1" si="242"/>
        <v>4.8464527482118065</v>
      </c>
      <c r="X429" s="96">
        <f t="shared" ca="1" si="242"/>
        <v>4.9927284171973971</v>
      </c>
      <c r="Y429" s="96">
        <f t="shared" ca="1" si="242"/>
        <v>5.1438632521356578</v>
      </c>
      <c r="Z429" s="96">
        <f t="shared" ca="1" si="242"/>
        <v>5.299896232953488</v>
      </c>
    </row>
    <row r="431" spans="1:26" x14ac:dyDescent="0.25">
      <c r="A431" s="11" t="s">
        <v>1378</v>
      </c>
    </row>
    <row r="432" spans="1:26" x14ac:dyDescent="0.25">
      <c r="A432" s="11" t="s">
        <v>1048</v>
      </c>
      <c r="D432" s="51">
        <f>SUM($D$433:D$434)</f>
        <v>0</v>
      </c>
      <c r="E432" s="51">
        <f>SUM($D$433:E$434)</f>
        <v>0</v>
      </c>
      <c r="F432" s="51">
        <f>SUM($D$433:F$434)</f>
        <v>0</v>
      </c>
      <c r="G432" s="51">
        <f>SUM($D$433:G$434)</f>
        <v>0</v>
      </c>
      <c r="H432" s="51">
        <f>SUM($D$433:H$434)</f>
        <v>0</v>
      </c>
      <c r="I432" s="51">
        <f>SUM($D$433:I$434)</f>
        <v>0</v>
      </c>
      <c r="J432" s="51">
        <f>SUM($D$433:J$434)</f>
        <v>0</v>
      </c>
      <c r="K432" s="51">
        <f>SUM($D$433:K$434)</f>
        <v>0</v>
      </c>
      <c r="L432" s="47">
        <f>SUM($D$433:L$434)</f>
        <v>1.994</v>
      </c>
      <c r="M432" s="47">
        <f>SUM($D$433:M$434)</f>
        <v>5.0810000000000004</v>
      </c>
      <c r="N432" s="47">
        <f>SUM($D$433:N$434)</f>
        <v>8.8090000000000011</v>
      </c>
      <c r="O432" s="47">
        <f>SUM($D$433:O$434)</f>
        <v>13.289000000000001</v>
      </c>
      <c r="P432" s="47">
        <f>SUM($D$433:P$434)</f>
        <v>18.557000000000002</v>
      </c>
      <c r="Q432" s="21">
        <f ca="1">SUM($D$433:Q$434)</f>
        <v>23.639000000000003</v>
      </c>
      <c r="R432" s="21">
        <f ca="1">SUM($D$433:R$434)</f>
        <v>28.958500000000001</v>
      </c>
      <c r="S432" s="21">
        <f ca="1">SUM($D$433:S$434)</f>
        <v>34.457374999999999</v>
      </c>
      <c r="T432" s="21">
        <f ca="1">SUM($D$433:T$434)</f>
        <v>39.962593749999996</v>
      </c>
      <c r="U432" s="21">
        <f ca="1">SUM($D$433:U$434)</f>
        <v>45.743073437499994</v>
      </c>
      <c r="V432" s="21">
        <f ca="1">SUM($D$433:V$434)</f>
        <v>51.812577109374999</v>
      </c>
      <c r="W432" s="21">
        <f ca="1">SUM($D$433:W$434)</f>
        <v>58.185555964843751</v>
      </c>
      <c r="X432" s="21">
        <f ca="1">SUM($D$433:X$434)</f>
        <v>64.877183763085938</v>
      </c>
      <c r="Y432" s="21">
        <f ca="1">SUM($D$433:Y$434)</f>
        <v>71.903392951240235</v>
      </c>
      <c r="Z432" s="21">
        <f ca="1">SUM($D$433:Z$434)</f>
        <v>79.280912598802246</v>
      </c>
    </row>
    <row r="433" spans="1:26" x14ac:dyDescent="0.25">
      <c r="A433" s="12" t="s">
        <v>1049</v>
      </c>
      <c r="B433" s="14" t="str">
        <f>$B$38</f>
        <v>From Fiscal Forecasts</v>
      </c>
      <c r="D433" s="50">
        <f>'Fiscal Forecasts'!D$294</f>
        <v>0</v>
      </c>
      <c r="E433" s="50">
        <f>'Fiscal Forecasts'!E$294</f>
        <v>0</v>
      </c>
      <c r="F433" s="50">
        <f>'Fiscal Forecasts'!F$294</f>
        <v>0</v>
      </c>
      <c r="G433" s="50">
        <f>'Fiscal Forecasts'!G$294</f>
        <v>0</v>
      </c>
      <c r="H433" s="50">
        <f>'Fiscal Forecasts'!H$294</f>
        <v>0</v>
      </c>
      <c r="I433" s="50">
        <f>'Fiscal Forecasts'!I$294</f>
        <v>0</v>
      </c>
      <c r="J433" s="50">
        <f>'Fiscal Forecasts'!J$294</f>
        <v>0</v>
      </c>
      <c r="K433" s="50">
        <f>'Fiscal Forecasts'!K$294</f>
        <v>0</v>
      </c>
      <c r="L433" s="48">
        <f>'Fiscal Forecasts'!L$294</f>
        <v>1.8939999999999999</v>
      </c>
      <c r="M433" s="48">
        <f>'Fiscal Forecasts'!M$294</f>
        <v>1.8620000000000001</v>
      </c>
      <c r="N433" s="48">
        <f>'Fiscal Forecasts'!N$294</f>
        <v>1.278</v>
      </c>
      <c r="O433" s="48">
        <f>'Fiscal Forecasts'!O$294</f>
        <v>0.80500000000000005</v>
      </c>
      <c r="P433" s="48">
        <f>'Fiscal Forecasts'!P$294</f>
        <v>0.71799999999999997</v>
      </c>
      <c r="Q433" s="20">
        <f ca="1">IF(Q$6&lt;OFFSET(Assumptions!$B$8,0,$C$1)+3,OFFSET(Assumptions!$B$45,0,$C$1)/3,OFFSET(Assumptions!$B$9,0,$C$1))</f>
        <v>0.23199999999999998</v>
      </c>
      <c r="R433" s="20">
        <f ca="1">IF(R$6&lt;OFFSET(Assumptions!$B$8,0,$C$1)+3,OFFSET(Assumptions!$B$45,0,$C$1)/3,OFFSET(Assumptions!$B$9,0,$C$1))</f>
        <v>0.23199999999999998</v>
      </c>
      <c r="S433" s="20">
        <f ca="1">IF(S$6&lt;OFFSET(Assumptions!$B$8,0,$C$1)+3,OFFSET(Assumptions!$B$45,0,$C$1)/3,OFFSET(Assumptions!$B$9,0,$C$1))</f>
        <v>0.23199999999999998</v>
      </c>
      <c r="T433" s="20">
        <f ca="1">IF(T$6&lt;OFFSET(Assumptions!$B$8,0,$C$1)+3,OFFSET(Assumptions!$B$45,0,$C$1)/3,OFFSET(Assumptions!$B$9,0,$C$1))</f>
        <v>0</v>
      </c>
      <c r="U433" s="20">
        <f ca="1">IF(U$6&lt;OFFSET(Assumptions!$B$8,0,$C$1)+3,OFFSET(Assumptions!$B$45,0,$C$1)/3,OFFSET(Assumptions!$B$9,0,$C$1))</f>
        <v>0</v>
      </c>
      <c r="V433" s="20">
        <f ca="1">IF(V$6&lt;OFFSET(Assumptions!$B$8,0,$C$1)+3,OFFSET(Assumptions!$B$45,0,$C$1)/3,OFFSET(Assumptions!$B$9,0,$C$1))</f>
        <v>0</v>
      </c>
      <c r="W433" s="20">
        <f ca="1">IF(W$6&lt;OFFSET(Assumptions!$B$8,0,$C$1)+3,OFFSET(Assumptions!$B$45,0,$C$1)/3,OFFSET(Assumptions!$B$9,0,$C$1))</f>
        <v>0</v>
      </c>
      <c r="X433" s="20">
        <f ca="1">IF(X$6&lt;OFFSET(Assumptions!$B$8,0,$C$1)+3,OFFSET(Assumptions!$B$45,0,$C$1)/3,OFFSET(Assumptions!$B$9,0,$C$1))</f>
        <v>0</v>
      </c>
      <c r="Y433" s="20">
        <f ca="1">IF(Y$6&lt;OFFSET(Assumptions!$B$8,0,$C$1)+3,OFFSET(Assumptions!$B$45,0,$C$1)/3,OFFSET(Assumptions!$B$9,0,$C$1))</f>
        <v>0</v>
      </c>
      <c r="Z433" s="20">
        <f ca="1">IF(Z$6&lt;OFFSET(Assumptions!$B$8,0,$C$1)+3,OFFSET(Assumptions!$B$45,0,$C$1)/3,OFFSET(Assumptions!$B$9,0,$C$1))</f>
        <v>0</v>
      </c>
    </row>
    <row r="434" spans="1:26" x14ac:dyDescent="0.25">
      <c r="A434" s="12" t="s">
        <v>1379</v>
      </c>
      <c r="B434" s="14" t="str">
        <f>$B$38</f>
        <v>From Fiscal Forecasts</v>
      </c>
      <c r="D434" s="50">
        <f>SUM('Fiscal Forecasts'!D$295:D$298)</f>
        <v>0</v>
      </c>
      <c r="E434" s="50">
        <f>SUM('Fiscal Forecasts'!E$295:E$298)</f>
        <v>0</v>
      </c>
      <c r="F434" s="50">
        <f>SUM('Fiscal Forecasts'!F$295:F$298)</f>
        <v>0</v>
      </c>
      <c r="G434" s="50">
        <f>SUM('Fiscal Forecasts'!G$295:G$298)</f>
        <v>0</v>
      </c>
      <c r="H434" s="50">
        <f>SUM('Fiscal Forecasts'!H$295:H$298)</f>
        <v>0</v>
      </c>
      <c r="I434" s="50">
        <f>SUM('Fiscal Forecasts'!I$295:I$298)</f>
        <v>0</v>
      </c>
      <c r="J434" s="50">
        <f>SUM('Fiscal Forecasts'!J$295:J$298)</f>
        <v>0</v>
      </c>
      <c r="K434" s="50">
        <f>SUM('Fiscal Forecasts'!K$295:K$298)</f>
        <v>0</v>
      </c>
      <c r="L434" s="48">
        <f>SUM('Fiscal Forecasts'!L$295:L$298)+IF($C$2="Yes",'Fiscal Forecast Adjuster'!C$31/1000,0)</f>
        <v>0.1</v>
      </c>
      <c r="M434" s="48">
        <f>SUM('Fiscal Forecasts'!M$295:M$298)+IF($C$2="Yes",'Fiscal Forecast Adjuster'!D$31/1000,0)</f>
        <v>1.2250000000000001</v>
      </c>
      <c r="N434" s="48">
        <f>SUM('Fiscal Forecasts'!N$295:N$298)+IF($C$2="Yes",'Fiscal Forecast Adjuster'!E$31/1000,0)</f>
        <v>2.4500000000000002</v>
      </c>
      <c r="O434" s="48">
        <f>SUM('Fiscal Forecasts'!O$295:O$298)+IF($C$2="Yes",'Fiscal Forecast Adjuster'!F$31/1000,0)</f>
        <v>3.6749999999999998</v>
      </c>
      <c r="P434" s="48">
        <f>SUM('Fiscal Forecasts'!P$295:P$298)+IF($C$2="Yes",'Fiscal Forecast Adjuster'!G$31/1000,0)</f>
        <v>4.55</v>
      </c>
      <c r="Q434" s="20">
        <f ca="1">IF(Q$6=OFFSET(Assumptions!$B$8,0,$C$1),0.35*Q$436+Exogenous!$AB$41,IF(Q$6=OFFSET(Assumptions!$B$8,0,$C$1)+1,0.35*Q$436+0.35*P$436+Exogenous!$AC$41,IF(Q$6=OFFSET(Assumptions!$B$8,0,$C$1)+2,0.35*Q$436+0.35*P$436+0.2*O$436+Exogenous!$AD$41,0.35*Q$436+0.35*P$436+0.2*O$436+0.1*N$436)))</f>
        <v>4.8499999999999996</v>
      </c>
      <c r="R434" s="20">
        <f ca="1">IF(R$6=OFFSET(Assumptions!$B$8,0,$C$1),0.35*R$436+Exogenous!$AB$41,IF(R$6=OFFSET(Assumptions!$B$8,0,$C$1)+1,0.35*R$436+0.35*Q$436+Exogenous!$AC$41,IF(R$6=OFFSET(Assumptions!$B$8,0,$C$1)+2,0.35*R$436+0.35*Q$436+0.2*P$436+Exogenous!$AD$41,0.35*R$436+0.35*Q$436+0.2*P$436+0.1*O$436)))</f>
        <v>5.0875000000000004</v>
      </c>
      <c r="S434" s="20">
        <f ca="1">IF(S$6=OFFSET(Assumptions!$B$8,0,$C$1),0.35*S$436+Exogenous!$AB$41,IF(S$6=OFFSET(Assumptions!$B$8,0,$C$1)+1,0.35*S$436+0.35*R$436+Exogenous!$AC$41,IF(S$6=OFFSET(Assumptions!$B$8,0,$C$1)+2,0.35*S$436+0.35*R$436+0.2*Q$436+Exogenous!$AD$41,0.35*S$436+0.35*R$436+0.2*Q$436+0.1*P$436)))</f>
        <v>5.2668749999999998</v>
      </c>
      <c r="T434" s="20">
        <f ca="1">IF(T$6=OFFSET(Assumptions!$B$8,0,$C$1),0.35*T$436+Exogenous!$AB$41,IF(T$6=OFFSET(Assumptions!$B$8,0,$C$1)+1,0.35*T$436+0.35*S$436+Exogenous!$AC$41,IF(T$6=OFFSET(Assumptions!$B$8,0,$C$1)+2,0.35*T$436+0.35*S$436+0.2*R$436+Exogenous!$AD$41,0.35*T$436+0.35*S$436+0.2*R$436+0.1*Q$436)))</f>
        <v>5.50521875</v>
      </c>
      <c r="U434" s="20">
        <f ca="1">IF(U$6=OFFSET(Assumptions!$B$8,0,$C$1),0.35*U$436+Exogenous!$AB$41,IF(U$6=OFFSET(Assumptions!$B$8,0,$C$1)+1,0.35*U$436+0.35*T$436+Exogenous!$AC$41,IF(U$6=OFFSET(Assumptions!$B$8,0,$C$1)+2,0.35*U$436+0.35*T$436+0.2*S$436+Exogenous!$AD$41,0.35*U$436+0.35*T$436+0.2*S$436+0.1*R$436)))</f>
        <v>5.7804796875000006</v>
      </c>
      <c r="V434" s="20">
        <f ca="1">IF(V$6=OFFSET(Assumptions!$B$8,0,$C$1),0.35*V$436+Exogenous!$AB$41,IF(V$6=OFFSET(Assumptions!$B$8,0,$C$1)+1,0.35*V$436+0.35*U$436+Exogenous!$AC$41,IF(V$6=OFFSET(Assumptions!$B$8,0,$C$1)+2,0.35*V$436+0.35*U$436+0.2*T$436+Exogenous!$AD$41,0.35*V$436+0.35*U$436+0.2*T$436+0.1*S$436)))</f>
        <v>6.0695036718750011</v>
      </c>
      <c r="W434" s="20">
        <f ca="1">IF(W$6=OFFSET(Assumptions!$B$8,0,$C$1),0.35*W$436+Exogenous!$AB$41,IF(W$6=OFFSET(Assumptions!$B$8,0,$C$1)+1,0.35*W$436+0.35*V$436+Exogenous!$AC$41,IF(W$6=OFFSET(Assumptions!$B$8,0,$C$1)+2,0.35*W$436+0.35*V$436+0.2*U$436+Exogenous!$AD$41,0.35*W$436+0.35*V$436+0.2*U$436+0.1*T$436)))</f>
        <v>6.3729788554687499</v>
      </c>
      <c r="X434" s="20">
        <f ca="1">IF(X$6=OFFSET(Assumptions!$B$8,0,$C$1),0.35*X$436+Exogenous!$AB$41,IF(X$6=OFFSET(Assumptions!$B$8,0,$C$1)+1,0.35*X$436+0.35*W$436+Exogenous!$AC$41,IF(X$6=OFFSET(Assumptions!$B$8,0,$C$1)+2,0.35*X$436+0.35*W$436+0.2*V$436+Exogenous!$AD$41,0.35*X$436+0.35*W$436+0.2*V$436+0.1*U$436)))</f>
        <v>6.6916277982421892</v>
      </c>
      <c r="Y434" s="20">
        <f ca="1">IF(Y$6=OFFSET(Assumptions!$B$8,0,$C$1),0.35*Y$436+Exogenous!$AB$41,IF(Y$6=OFFSET(Assumptions!$B$8,0,$C$1)+1,0.35*Y$436+0.35*X$436+Exogenous!$AC$41,IF(Y$6=OFFSET(Assumptions!$B$8,0,$C$1)+2,0.35*Y$436+0.35*X$436+0.2*W$436+Exogenous!$AD$41,0.35*Y$436+0.35*X$436+0.2*W$436+0.1*V$436)))</f>
        <v>7.026209188154299</v>
      </c>
      <c r="Z434" s="20">
        <f ca="1">IF(Z$6=OFFSET(Assumptions!$B$8,0,$C$1),0.35*Z$436+Exogenous!$AB$41,IF(Z$6=OFFSET(Assumptions!$B$8,0,$C$1)+1,0.35*Z$436+0.35*Y$436+Exogenous!$AC$41,IF(Z$6=OFFSET(Assumptions!$B$8,0,$C$1)+2,0.35*Z$436+0.35*Y$436+0.2*X$436+Exogenous!$AD$41,0.35*Z$436+0.35*Y$436+0.2*X$436+0.1*W$436)))</f>
        <v>7.3775196475620142</v>
      </c>
    </row>
    <row r="435" spans="1:26" x14ac:dyDescent="0.25">
      <c r="A435" s="11" t="s">
        <v>1380</v>
      </c>
      <c r="B435" s="14" t="str">
        <f>$B$38</f>
        <v>From Fiscal Forecasts</v>
      </c>
      <c r="D435" s="51">
        <f>'Fiscal Forecasts'!D$132</f>
        <v>0</v>
      </c>
      <c r="E435" s="51">
        <f>'Fiscal Forecasts'!E$132</f>
        <v>0</v>
      </c>
      <c r="F435" s="51">
        <f>'Fiscal Forecasts'!F$132</f>
        <v>0</v>
      </c>
      <c r="G435" s="51">
        <f>'Fiscal Forecasts'!G$132</f>
        <v>0</v>
      </c>
      <c r="H435" s="51">
        <f>'Fiscal Forecasts'!H$132</f>
        <v>0</v>
      </c>
      <c r="I435" s="51">
        <f>'Fiscal Forecasts'!I$132</f>
        <v>0</v>
      </c>
      <c r="J435" s="51">
        <f>'Fiscal Forecasts'!J$132</f>
        <v>0</v>
      </c>
      <c r="K435" s="51">
        <f>'Fiscal Forecasts'!K$132</f>
        <v>0</v>
      </c>
      <c r="L435" s="47">
        <f>'Fiscal Forecasts'!L$132</f>
        <v>-2</v>
      </c>
      <c r="M435" s="47">
        <f>'Fiscal Forecasts'!M$132</f>
        <v>-2.7</v>
      </c>
      <c r="N435" s="47">
        <f>'Fiscal Forecasts'!N$132</f>
        <v>-2.8</v>
      </c>
      <c r="O435" s="47">
        <f>'Fiscal Forecasts'!O$132</f>
        <v>-2.9</v>
      </c>
      <c r="P435" s="47">
        <f>'Fiscal Forecasts'!P$132</f>
        <v>-3</v>
      </c>
      <c r="Q435" s="21">
        <f t="shared" ref="Q435:Z435" si="243">P$435</f>
        <v>-3</v>
      </c>
      <c r="R435" s="21">
        <f t="shared" si="243"/>
        <v>-3</v>
      </c>
      <c r="S435" s="21">
        <f t="shared" si="243"/>
        <v>-3</v>
      </c>
      <c r="T435" s="21">
        <f t="shared" si="243"/>
        <v>-3</v>
      </c>
      <c r="U435" s="21">
        <f t="shared" si="243"/>
        <v>-3</v>
      </c>
      <c r="V435" s="21">
        <f t="shared" si="243"/>
        <v>-3</v>
      </c>
      <c r="W435" s="21">
        <f t="shared" si="243"/>
        <v>-3</v>
      </c>
      <c r="X435" s="21">
        <f t="shared" si="243"/>
        <v>-3</v>
      </c>
      <c r="Y435" s="21">
        <f t="shared" si="243"/>
        <v>-3</v>
      </c>
      <c r="Z435" s="21">
        <f t="shared" si="243"/>
        <v>-3</v>
      </c>
    </row>
    <row r="436" spans="1:26" x14ac:dyDescent="0.25">
      <c r="A436" s="11" t="s">
        <v>1381</v>
      </c>
      <c r="Q436" s="20">
        <f ca="1">IF(Q$6=OFFSET(Assumptions!$B$8,0,$C$1),OFFSET(Assumptions!$B$43,0,$C$1),P$436*(1+OFFSET(Assumptions!$B$44,0,$C$1)))</f>
        <v>5</v>
      </c>
      <c r="R436" s="20">
        <f ca="1">IF(R$6=OFFSET(Assumptions!$B$8,0,$C$1),OFFSET(Assumptions!$B$43,0,$C$1),Q$436*(1+OFFSET(Assumptions!$B$44,0,$C$1)))</f>
        <v>5.25</v>
      </c>
      <c r="S436" s="20">
        <f ca="1">IF(S$6=OFFSET(Assumptions!$B$8,0,$C$1),OFFSET(Assumptions!$B$43,0,$C$1),R$436*(1+OFFSET(Assumptions!$B$44,0,$C$1)))</f>
        <v>5.5125000000000002</v>
      </c>
      <c r="T436" s="20">
        <f ca="1">IF(T$6=OFFSET(Assumptions!$B$8,0,$C$1),OFFSET(Assumptions!$B$43,0,$C$1),S$436*(1+OFFSET(Assumptions!$B$44,0,$C$1)))</f>
        <v>5.7881250000000009</v>
      </c>
      <c r="U436" s="20">
        <f ca="1">IF(U$6=OFFSET(Assumptions!$B$8,0,$C$1),OFFSET(Assumptions!$B$43,0,$C$1),T$436*(1+OFFSET(Assumptions!$B$44,0,$C$1)))</f>
        <v>6.0775312500000007</v>
      </c>
      <c r="V436" s="20">
        <f ca="1">IF(V$6=OFFSET(Assumptions!$B$8,0,$C$1),OFFSET(Assumptions!$B$43,0,$C$1),U$436*(1+OFFSET(Assumptions!$B$44,0,$C$1)))</f>
        <v>6.3814078125000009</v>
      </c>
      <c r="W436" s="20">
        <f ca="1">IF(W$6=OFFSET(Assumptions!$B$8,0,$C$1),OFFSET(Assumptions!$B$43,0,$C$1),V$436*(1+OFFSET(Assumptions!$B$44,0,$C$1)))</f>
        <v>6.7004782031250016</v>
      </c>
      <c r="X436" s="20">
        <f ca="1">IF(X$6=OFFSET(Assumptions!$B$8,0,$C$1),OFFSET(Assumptions!$B$43,0,$C$1),W$436*(1+OFFSET(Assumptions!$B$44,0,$C$1)))</f>
        <v>7.0355021132812521</v>
      </c>
      <c r="Y436" s="20">
        <f ca="1">IF(Y$6=OFFSET(Assumptions!$B$8,0,$C$1),OFFSET(Assumptions!$B$43,0,$C$1),X$436*(1+OFFSET(Assumptions!$B$44,0,$C$1)))</f>
        <v>7.3872772189453153</v>
      </c>
      <c r="Z436" s="20">
        <f ca="1">IF(Z$6=OFFSET(Assumptions!$B$8,0,$C$1),OFFSET(Assumptions!$B$43,0,$C$1),Y$436*(1+OFFSET(Assumptions!$B$44,0,$C$1)))</f>
        <v>7.7566410798925816</v>
      </c>
    </row>
    <row r="437" spans="1:26" x14ac:dyDescent="0.25">
      <c r="A437" s="11"/>
      <c r="Q437" s="20"/>
      <c r="R437" s="20"/>
      <c r="S437" s="20"/>
      <c r="T437" s="20"/>
      <c r="U437" s="20"/>
      <c r="V437" s="20"/>
      <c r="W437" s="20"/>
      <c r="X437" s="20"/>
      <c r="Y437" s="20"/>
      <c r="Z437" s="20"/>
    </row>
    <row r="438" spans="1:26" x14ac:dyDescent="0.25">
      <c r="A438" s="11" t="s">
        <v>955</v>
      </c>
    </row>
    <row r="439" spans="1:26" x14ac:dyDescent="0.25">
      <c r="A439" s="11" t="s">
        <v>1382</v>
      </c>
      <c r="B439" s="14" t="str">
        <f>$B$38</f>
        <v>From Fiscal Forecasts</v>
      </c>
      <c r="D439" s="51">
        <f>'Fiscal Forecasts'!D$134</f>
        <v>6.8129999999999997</v>
      </c>
      <c r="E439" s="51">
        <f>'Fiscal Forecasts'!E$134</f>
        <v>8.0220000000000002</v>
      </c>
      <c r="F439" s="51">
        <f>'Fiscal Forecasts'!F$134</f>
        <v>8.2560000000000002</v>
      </c>
      <c r="G439" s="51">
        <f>'Fiscal Forecasts'!G$134</f>
        <v>9.0609999999999999</v>
      </c>
      <c r="H439" s="51">
        <f>'Fiscal Forecasts'!H$134</f>
        <v>9.0020000000000007</v>
      </c>
      <c r="I439" s="51">
        <f>'Fiscal Forecasts'!I$134</f>
        <v>8.9770000000000003</v>
      </c>
      <c r="J439" s="51">
        <f>'Fiscal Forecasts'!J$134</f>
        <v>9.1519999999999992</v>
      </c>
      <c r="K439" s="51">
        <f>'Fiscal Forecasts'!K$134</f>
        <v>10.262</v>
      </c>
      <c r="L439" s="47">
        <f>'Fiscal Forecasts'!L$134</f>
        <v>9.8059999999999992</v>
      </c>
      <c r="M439" s="47">
        <f>'Fiscal Forecasts'!M$134</f>
        <v>9.9039999999999999</v>
      </c>
      <c r="N439" s="47">
        <f>'Fiscal Forecasts'!N$134</f>
        <v>10.003</v>
      </c>
      <c r="O439" s="47">
        <f>'Fiscal Forecasts'!O$134</f>
        <v>10.103</v>
      </c>
      <c r="P439" s="47">
        <f>'Fiscal Forecasts'!P$134</f>
        <v>10.204000000000001</v>
      </c>
      <c r="Q439" s="21">
        <f t="shared" ref="Q439:Z439" ca="1" si="244">P$439*(1+Q$29)</f>
        <v>10.40808</v>
      </c>
      <c r="R439" s="21">
        <f t="shared" ca="1" si="244"/>
        <v>10.6162416</v>
      </c>
      <c r="S439" s="21">
        <f t="shared" ca="1" si="244"/>
        <v>10.828566432000001</v>
      </c>
      <c r="T439" s="21">
        <f t="shared" ca="1" si="244"/>
        <v>11.045137760640001</v>
      </c>
      <c r="U439" s="21">
        <f t="shared" ca="1" si="244"/>
        <v>11.266040515852801</v>
      </c>
      <c r="V439" s="21">
        <f t="shared" ca="1" si="244"/>
        <v>11.491361326169857</v>
      </c>
      <c r="W439" s="21">
        <f t="shared" ca="1" si="244"/>
        <v>11.721188552693254</v>
      </c>
      <c r="X439" s="21">
        <f t="shared" ca="1" si="244"/>
        <v>11.95561232374712</v>
      </c>
      <c r="Y439" s="21">
        <f t="shared" ca="1" si="244"/>
        <v>12.194724570222062</v>
      </c>
      <c r="Z439" s="21">
        <f t="shared" ca="1" si="244"/>
        <v>12.438619061626504</v>
      </c>
    </row>
    <row r="441" spans="1:26" x14ac:dyDescent="0.25">
      <c r="A441" s="11" t="s">
        <v>956</v>
      </c>
    </row>
    <row r="442" spans="1:26" x14ac:dyDescent="0.25">
      <c r="A442" s="12" t="s">
        <v>1383</v>
      </c>
      <c r="D442" s="50">
        <f t="shared" ref="D442:Z442" si="245">D$385-D$73</f>
        <v>1.0880000000000001</v>
      </c>
      <c r="E442" s="50">
        <f t="shared" si="245"/>
        <v>1.5510000000000002</v>
      </c>
      <c r="F442" s="50">
        <f t="shared" si="245"/>
        <v>2.7319999999999998</v>
      </c>
      <c r="G442" s="50">
        <f t="shared" si="245"/>
        <v>-0.8879999999999999</v>
      </c>
      <c r="H442" s="50">
        <f t="shared" si="245"/>
        <v>0.40799999999999992</v>
      </c>
      <c r="I442" s="50">
        <f t="shared" si="245"/>
        <v>1.4810000000000003</v>
      </c>
      <c r="J442" s="50">
        <f t="shared" si="245"/>
        <v>1.7999999999999998</v>
      </c>
      <c r="K442" s="50">
        <f t="shared" si="245"/>
        <v>0.34199999999999964</v>
      </c>
      <c r="L442" s="48">
        <f t="shared" si="245"/>
        <v>1.3720000000000008</v>
      </c>
      <c r="M442" s="48">
        <f t="shared" si="245"/>
        <v>1.4710000000000001</v>
      </c>
      <c r="N442" s="48">
        <f t="shared" si="245"/>
        <v>1.5510000000000002</v>
      </c>
      <c r="O442" s="48">
        <f t="shared" si="245"/>
        <v>1.6400000000000006</v>
      </c>
      <c r="P442" s="48">
        <f t="shared" si="245"/>
        <v>1.7640000000000002</v>
      </c>
      <c r="Q442" s="20">
        <f t="shared" ca="1" si="245"/>
        <v>2.561378373870947</v>
      </c>
      <c r="R442" s="20">
        <f t="shared" ca="1" si="245"/>
        <v>2.7169890369741125</v>
      </c>
      <c r="S442" s="20">
        <f t="shared" ca="1" si="245"/>
        <v>2.8789344698506412</v>
      </c>
      <c r="T442" s="20">
        <f t="shared" ca="1" si="245"/>
        <v>3.047772495087024</v>
      </c>
      <c r="U442" s="20">
        <f t="shared" ca="1" si="245"/>
        <v>3.2228500683436421</v>
      </c>
      <c r="V442" s="20">
        <f t="shared" ca="1" si="245"/>
        <v>3.4052771020239518</v>
      </c>
      <c r="W442" s="20">
        <f t="shared" ca="1" si="245"/>
        <v>3.5968370077282028</v>
      </c>
      <c r="X442" s="20">
        <f t="shared" ca="1" si="245"/>
        <v>3.7994247714640972</v>
      </c>
      <c r="Y442" s="20">
        <f t="shared" ca="1" si="245"/>
        <v>4.0155806890201031</v>
      </c>
      <c r="Z442" s="20">
        <f t="shared" ca="1" si="245"/>
        <v>4.2476001118177376</v>
      </c>
    </row>
    <row r="443" spans="1:26" x14ac:dyDescent="0.25">
      <c r="A443" s="12" t="s">
        <v>1099</v>
      </c>
      <c r="B443" s="14" t="str">
        <f>$B$38</f>
        <v>From Fiscal Forecasts</v>
      </c>
      <c r="D443" s="50">
        <f>'Fiscal Forecasts'!D$371</f>
        <v>6.2930000000000001</v>
      </c>
      <c r="E443" s="50">
        <f>'Fiscal Forecasts'!E$371</f>
        <v>5.0430000000000001</v>
      </c>
      <c r="F443" s="50">
        <f>'Fiscal Forecasts'!F$371</f>
        <v>5.3979999999999997</v>
      </c>
      <c r="G443" s="50">
        <f>'Fiscal Forecasts'!G$371</f>
        <v>5.4870000000000001</v>
      </c>
      <c r="H443" s="50">
        <f>'Fiscal Forecasts'!H$371</f>
        <v>6.2060000000000004</v>
      </c>
      <c r="I443" s="50">
        <f>'Fiscal Forecasts'!I$371</f>
        <v>6.65</v>
      </c>
      <c r="J443" s="50">
        <f>'Fiscal Forecasts'!J$371</f>
        <v>7.024</v>
      </c>
      <c r="K443" s="50">
        <f>'Fiscal Forecasts'!K$371</f>
        <v>6.77</v>
      </c>
      <c r="L443" s="48">
        <f>'Fiscal Forecasts'!L$371</f>
        <v>7.0110000000000001</v>
      </c>
      <c r="M443" s="48">
        <f>'Fiscal Forecasts'!M$371</f>
        <v>7.3529999999999998</v>
      </c>
      <c r="N443" s="48">
        <f>'Fiscal Forecasts'!N$371</f>
        <v>7.5469999999999997</v>
      </c>
      <c r="O443" s="48">
        <f>'Fiscal Forecasts'!O$371</f>
        <v>7.7809999999999997</v>
      </c>
      <c r="P443" s="48">
        <f>'Fiscal Forecasts'!P$371</f>
        <v>8.1940000000000008</v>
      </c>
      <c r="Q443" s="20">
        <f t="shared" ref="Q443:Z443" ca="1" si="246">P$443*Q$142/P$142</f>
        <v>8.5249935870338795</v>
      </c>
      <c r="R443" s="20">
        <f t="shared" ca="1" si="246"/>
        <v>8.8558520927589193</v>
      </c>
      <c r="S443" s="20">
        <f t="shared" ca="1" si="246"/>
        <v>9.2040511192047916</v>
      </c>
      <c r="T443" s="20">
        <f t="shared" ca="1" si="246"/>
        <v>9.5763841816986339</v>
      </c>
      <c r="U443" s="20">
        <f t="shared" ca="1" si="246"/>
        <v>9.9667037486647843</v>
      </c>
      <c r="V443" s="20">
        <f t="shared" ca="1" si="246"/>
        <v>10.370239836281709</v>
      </c>
      <c r="W443" s="20">
        <f t="shared" ca="1" si="246"/>
        <v>10.784852078911277</v>
      </c>
      <c r="X443" s="20">
        <f t="shared" ca="1" si="246"/>
        <v>11.211363474234982</v>
      </c>
      <c r="Y443" s="20">
        <f t="shared" ca="1" si="246"/>
        <v>11.652027975815157</v>
      </c>
      <c r="Z443" s="20">
        <f t="shared" ca="1" si="246"/>
        <v>12.10691700811064</v>
      </c>
    </row>
    <row r="444" spans="1:26" x14ac:dyDescent="0.25">
      <c r="A444" s="12" t="s">
        <v>1384</v>
      </c>
      <c r="B444" s="14" t="str">
        <f>$B$38</f>
        <v>From Fiscal Forecasts</v>
      </c>
      <c r="D444" s="50">
        <f>'Fiscal Forecasts'!D$192-SUM(D$442:D$443)</f>
        <v>3.0849999999999991</v>
      </c>
      <c r="E444" s="50">
        <f>'Fiscal Forecasts'!E$192-SUM(E$442:E$443)</f>
        <v>4.2559999999999993</v>
      </c>
      <c r="F444" s="50">
        <f>'Fiscal Forecasts'!F$192-SUM(F$442:F$443)</f>
        <v>3.9080000000000013</v>
      </c>
      <c r="G444" s="50">
        <f>'Fiscal Forecasts'!G$192-SUM(G$442:G$443)</f>
        <v>11.707999999999998</v>
      </c>
      <c r="H444" s="50">
        <f>'Fiscal Forecasts'!H$192-SUM(H$442:H$443)</f>
        <v>5.7219999999999995</v>
      </c>
      <c r="I444" s="50">
        <f>'Fiscal Forecasts'!I$192-SUM(I$442:I$443)</f>
        <v>4.6649999999999991</v>
      </c>
      <c r="J444" s="50">
        <f>'Fiscal Forecasts'!J$192-SUM(J$442:J$443)</f>
        <v>3.1690000000000005</v>
      </c>
      <c r="K444" s="50">
        <f>'Fiscal Forecasts'!K$192-SUM(K$442:K$443)</f>
        <v>4.926000000000001</v>
      </c>
      <c r="L444" s="48">
        <f>'Fiscal Forecasts'!L$192-SUM(L$442:L$443)</f>
        <v>3.3359999999999985</v>
      </c>
      <c r="M444" s="48">
        <f>'Fiscal Forecasts'!M$192-SUM(M$442:M$443)</f>
        <v>4.6810000000000009</v>
      </c>
      <c r="N444" s="48">
        <f>'Fiscal Forecasts'!N$192-SUM(N$442:N$443)</f>
        <v>4.1620000000000008</v>
      </c>
      <c r="O444" s="48">
        <f>'Fiscal Forecasts'!O$192-SUM(O$442:O$443)</f>
        <v>4.0230000000000015</v>
      </c>
      <c r="P444" s="48">
        <f>'Fiscal Forecasts'!P$192-SUM(P$442:P$443)</f>
        <v>3.8559999999999981</v>
      </c>
      <c r="Q444" s="20">
        <f t="shared" ref="Q444:Z444" ca="1" si="247">P$444*(1+Q$29)</f>
        <v>3.933119999999998</v>
      </c>
      <c r="R444" s="20">
        <f t="shared" ca="1" si="247"/>
        <v>4.0117823999999978</v>
      </c>
      <c r="S444" s="20">
        <f t="shared" ca="1" si="247"/>
        <v>4.0920180479999981</v>
      </c>
      <c r="T444" s="20">
        <f t="shared" ca="1" si="247"/>
        <v>4.1738584089599984</v>
      </c>
      <c r="U444" s="20">
        <f t="shared" ca="1" si="247"/>
        <v>4.2573355771391981</v>
      </c>
      <c r="V444" s="20">
        <f t="shared" ca="1" si="247"/>
        <v>4.3424822886819818</v>
      </c>
      <c r="W444" s="20">
        <f t="shared" ca="1" si="247"/>
        <v>4.4293319344556217</v>
      </c>
      <c r="X444" s="20">
        <f t="shared" ca="1" si="247"/>
        <v>4.5179185731447342</v>
      </c>
      <c r="Y444" s="20">
        <f t="shared" ca="1" si="247"/>
        <v>4.6082769446076286</v>
      </c>
      <c r="Z444" s="20">
        <f t="shared" ca="1" si="247"/>
        <v>4.7004424834997813</v>
      </c>
    </row>
    <row r="445" spans="1:26" x14ac:dyDescent="0.25">
      <c r="A445" s="11" t="s">
        <v>1385</v>
      </c>
      <c r="D445" s="94">
        <f t="shared" ref="D445:P445" si="248">SUM(D$442:D$444)</f>
        <v>10.465999999999999</v>
      </c>
      <c r="E445" s="94">
        <f t="shared" si="248"/>
        <v>10.85</v>
      </c>
      <c r="F445" s="94">
        <f t="shared" si="248"/>
        <v>12.038</v>
      </c>
      <c r="G445" s="94">
        <f t="shared" si="248"/>
        <v>16.306999999999999</v>
      </c>
      <c r="H445" s="94">
        <f t="shared" si="248"/>
        <v>12.336</v>
      </c>
      <c r="I445" s="94">
        <f t="shared" si="248"/>
        <v>12.795999999999999</v>
      </c>
      <c r="J445" s="94">
        <f t="shared" si="248"/>
        <v>11.993</v>
      </c>
      <c r="K445" s="94">
        <f t="shared" si="248"/>
        <v>12.038</v>
      </c>
      <c r="L445" s="95">
        <f t="shared" si="248"/>
        <v>11.718999999999999</v>
      </c>
      <c r="M445" s="95">
        <f t="shared" si="248"/>
        <v>13.505000000000001</v>
      </c>
      <c r="N445" s="95">
        <f t="shared" si="248"/>
        <v>13.26</v>
      </c>
      <c r="O445" s="95">
        <f t="shared" si="248"/>
        <v>13.444000000000001</v>
      </c>
      <c r="P445" s="95">
        <f t="shared" si="248"/>
        <v>13.814</v>
      </c>
      <c r="Q445" s="96">
        <f t="shared" ref="Q445:Z445" ca="1" si="249">SUM(Q$442:Q$444)</f>
        <v>15.019491960904826</v>
      </c>
      <c r="R445" s="96">
        <f t="shared" ca="1" si="249"/>
        <v>15.58462352973303</v>
      </c>
      <c r="S445" s="96">
        <f t="shared" ca="1" si="249"/>
        <v>16.175003637055433</v>
      </c>
      <c r="T445" s="96">
        <f t="shared" ca="1" si="249"/>
        <v>16.798015085745657</v>
      </c>
      <c r="U445" s="96">
        <f t="shared" ca="1" si="249"/>
        <v>17.446889394147625</v>
      </c>
      <c r="V445" s="96">
        <f t="shared" ca="1" si="249"/>
        <v>18.117999226987642</v>
      </c>
      <c r="W445" s="96">
        <f t="shared" ca="1" si="249"/>
        <v>18.811021021095101</v>
      </c>
      <c r="X445" s="96">
        <f t="shared" ca="1" si="249"/>
        <v>19.528706818843812</v>
      </c>
      <c r="Y445" s="96">
        <f t="shared" ca="1" si="249"/>
        <v>20.275885609442888</v>
      </c>
      <c r="Z445" s="96">
        <f t="shared" ca="1" si="249"/>
        <v>21.054959603428159</v>
      </c>
    </row>
    <row r="446" spans="1:26" x14ac:dyDescent="0.25">
      <c r="A446" s="11" t="s">
        <v>1386</v>
      </c>
      <c r="B446" s="14" t="str">
        <f>$B$38</f>
        <v>From Fiscal Forecasts</v>
      </c>
      <c r="D446" s="51">
        <f>'Fiscal Forecasts'!D$135</f>
        <v>16.742000000000001</v>
      </c>
      <c r="E446" s="51">
        <f>'Fiscal Forecasts'!E$135</f>
        <v>16.971</v>
      </c>
      <c r="F446" s="51">
        <f>'Fiscal Forecasts'!F$135</f>
        <v>17.577000000000002</v>
      </c>
      <c r="G446" s="51">
        <f>'Fiscal Forecasts'!G$135</f>
        <v>21.42</v>
      </c>
      <c r="H446" s="51">
        <f>'Fiscal Forecasts'!H$135</f>
        <v>18.725999999999999</v>
      </c>
      <c r="I446" s="51">
        <f>'Fiscal Forecasts'!I$135</f>
        <v>19.863</v>
      </c>
      <c r="J446" s="51">
        <f>'Fiscal Forecasts'!J$135</f>
        <v>21.957000000000001</v>
      </c>
      <c r="K446" s="51">
        <f>'Fiscal Forecasts'!K$135</f>
        <v>20.308</v>
      </c>
      <c r="L446" s="47">
        <f>'Fiscal Forecasts'!L$135</f>
        <v>20.341000000000001</v>
      </c>
      <c r="M446" s="47">
        <f>'Fiscal Forecasts'!M$135</f>
        <v>22.204999999999998</v>
      </c>
      <c r="N446" s="47">
        <f>'Fiscal Forecasts'!N$135</f>
        <v>21.843</v>
      </c>
      <c r="O446" s="47">
        <f>'Fiscal Forecasts'!O$135</f>
        <v>22.009</v>
      </c>
      <c r="P446" s="47">
        <f>'Fiscal Forecasts'!P$135</f>
        <v>22.122</v>
      </c>
      <c r="Q446" s="21">
        <f t="shared" ref="Q446:Z446" ca="1" si="250">Q$445+(P$446-P$445)*(1+Q$29)</f>
        <v>23.493651960904828</v>
      </c>
      <c r="R446" s="21">
        <f t="shared" ca="1" si="250"/>
        <v>24.228266729733029</v>
      </c>
      <c r="S446" s="21">
        <f t="shared" ca="1" si="250"/>
        <v>24.991519701055431</v>
      </c>
      <c r="T446" s="21">
        <f t="shared" ca="1" si="250"/>
        <v>25.790861471025657</v>
      </c>
      <c r="U446" s="21">
        <f t="shared" ca="1" si="250"/>
        <v>26.619592707133226</v>
      </c>
      <c r="V446" s="21">
        <f t="shared" ca="1" si="250"/>
        <v>27.474156606232953</v>
      </c>
      <c r="W446" s="21">
        <f t="shared" ca="1" si="250"/>
        <v>28.354301547925317</v>
      </c>
      <c r="X446" s="21">
        <f t="shared" ca="1" si="250"/>
        <v>29.262852956210633</v>
      </c>
      <c r="Y446" s="21">
        <f t="shared" ca="1" si="250"/>
        <v>30.204714669557045</v>
      </c>
      <c r="Z446" s="21">
        <f t="shared" ca="1" si="250"/>
        <v>31.182365244744602</v>
      </c>
    </row>
    <row r="448" spans="1:26" x14ac:dyDescent="0.25">
      <c r="A448" s="11" t="s">
        <v>957</v>
      </c>
    </row>
    <row r="449" spans="1:26" x14ac:dyDescent="0.25">
      <c r="A449" s="11" t="s">
        <v>1387</v>
      </c>
      <c r="B449" s="14" t="str">
        <f>$B$38</f>
        <v>From Fiscal Forecasts</v>
      </c>
      <c r="D449" s="51">
        <f>'Fiscal Forecasts'!D$193</f>
        <v>0.44900000000000001</v>
      </c>
      <c r="E449" s="51">
        <f>'Fiscal Forecasts'!E$193</f>
        <v>0.39800000000000002</v>
      </c>
      <c r="F449" s="51">
        <f>'Fiscal Forecasts'!F$193</f>
        <v>0.505</v>
      </c>
      <c r="G449" s="51">
        <f>'Fiscal Forecasts'!G$193</f>
        <v>0.56999999999999995</v>
      </c>
      <c r="H449" s="51">
        <f>'Fiscal Forecasts'!H$193</f>
        <v>0.504</v>
      </c>
      <c r="I449" s="51">
        <f>'Fiscal Forecasts'!I$193</f>
        <v>0.498</v>
      </c>
      <c r="J449" s="51">
        <f>'Fiscal Forecasts'!J$193</f>
        <v>0.47599999999999998</v>
      </c>
      <c r="K449" s="51">
        <f>'Fiscal Forecasts'!K$193</f>
        <v>0.441</v>
      </c>
      <c r="L449" s="47">
        <f>'Fiscal Forecasts'!L$193</f>
        <v>0.4</v>
      </c>
      <c r="M449" s="47">
        <f>'Fiscal Forecasts'!M$193</f>
        <v>0.35899999999999999</v>
      </c>
      <c r="N449" s="47">
        <f>'Fiscal Forecasts'!N$193</f>
        <v>0.318</v>
      </c>
      <c r="O449" s="47">
        <f>'Fiscal Forecasts'!O$193</f>
        <v>0.27700000000000002</v>
      </c>
      <c r="P449" s="47">
        <f>'Fiscal Forecasts'!P$193</f>
        <v>0.23599999999999999</v>
      </c>
      <c r="Q449" s="21">
        <f t="shared" ref="Q449:Z449" ca="1" si="251">SUM(P$449,Q$409-P$409,Q$413-P$413)</f>
        <v>0.32396000000000025</v>
      </c>
      <c r="R449" s="21">
        <f t="shared" ca="1" si="251"/>
        <v>0.41367920000000025</v>
      </c>
      <c r="S449" s="21">
        <f t="shared" ca="1" si="251"/>
        <v>0.50519278400000056</v>
      </c>
      <c r="T449" s="21">
        <f t="shared" ca="1" si="251"/>
        <v>0.5985366396800007</v>
      </c>
      <c r="U449" s="21">
        <f t="shared" ca="1" si="251"/>
        <v>0.69374737247360074</v>
      </c>
      <c r="V449" s="21">
        <f t="shared" ca="1" si="251"/>
        <v>0.79086231992307288</v>
      </c>
      <c r="W449" s="21">
        <f t="shared" ca="1" si="251"/>
        <v>0.88991956632153468</v>
      </c>
      <c r="X449" s="21">
        <f t="shared" ca="1" si="251"/>
        <v>0.99095795764796546</v>
      </c>
      <c r="Y449" s="21">
        <f t="shared" ca="1" si="251"/>
        <v>1.0940171168009247</v>
      </c>
      <c r="Z449" s="21">
        <f t="shared" ca="1" si="251"/>
        <v>1.1991374591369433</v>
      </c>
    </row>
    <row r="450" spans="1:26" x14ac:dyDescent="0.25">
      <c r="A450" s="11" t="s">
        <v>1388</v>
      </c>
      <c r="B450" s="14" t="str">
        <f>$B$38</f>
        <v>From Fiscal Forecasts</v>
      </c>
      <c r="D450" s="51">
        <f>'Fiscal Forecasts'!D$136</f>
        <v>2.5230000000000001</v>
      </c>
      <c r="E450" s="51">
        <f>'Fiscal Forecasts'!E$136</f>
        <v>2.59</v>
      </c>
      <c r="F450" s="51">
        <f>'Fiscal Forecasts'!F$136</f>
        <v>2.5489999999999999</v>
      </c>
      <c r="G450" s="51">
        <f>'Fiscal Forecasts'!G$136</f>
        <v>3.3679999999999999</v>
      </c>
      <c r="H450" s="51">
        <f>'Fiscal Forecasts'!H$136</f>
        <v>3.61</v>
      </c>
      <c r="I450" s="51">
        <f>'Fiscal Forecasts'!I$136</f>
        <v>3.4529999999999998</v>
      </c>
      <c r="J450" s="51">
        <f>'Fiscal Forecasts'!J$136</f>
        <v>3.5270000000000001</v>
      </c>
      <c r="K450" s="51">
        <f>'Fiscal Forecasts'!K$136</f>
        <v>3.806</v>
      </c>
      <c r="L450" s="47">
        <f>'Fiscal Forecasts'!L$136</f>
        <v>3.7029999999999998</v>
      </c>
      <c r="M450" s="47">
        <f>'Fiscal Forecasts'!M$136</f>
        <v>3.6640000000000001</v>
      </c>
      <c r="N450" s="47">
        <f>'Fiscal Forecasts'!N$136</f>
        <v>3.6930000000000001</v>
      </c>
      <c r="O450" s="47">
        <f>'Fiscal Forecasts'!O$136</f>
        <v>3.7509999999999999</v>
      </c>
      <c r="P450" s="47">
        <f>'Fiscal Forecasts'!P$136</f>
        <v>3.847</v>
      </c>
      <c r="Q450" s="21">
        <f t="shared" ref="Q450:Z450" ca="1" si="252">SUM(P$450,Q$410-P$410,Q$414-P$414)</f>
        <v>4.0145999999999997</v>
      </c>
      <c r="R450" s="21">
        <f t="shared" ca="1" si="252"/>
        <v>4.1855520000000004</v>
      </c>
      <c r="S450" s="21">
        <f t="shared" ca="1" si="252"/>
        <v>4.3599230400000009</v>
      </c>
      <c r="T450" s="21">
        <f t="shared" ca="1" si="252"/>
        <v>4.5377815008000004</v>
      </c>
      <c r="U450" s="21">
        <f t="shared" ca="1" si="252"/>
        <v>4.7191971308160001</v>
      </c>
      <c r="V450" s="21">
        <f t="shared" ca="1" si="252"/>
        <v>4.9042410734323205</v>
      </c>
      <c r="W450" s="21">
        <f t="shared" ca="1" si="252"/>
        <v>5.0929858949009663</v>
      </c>
      <c r="X450" s="21">
        <f t="shared" ca="1" si="252"/>
        <v>5.2855056127989855</v>
      </c>
      <c r="Y450" s="21">
        <f t="shared" ca="1" si="252"/>
        <v>5.4818757250549659</v>
      </c>
      <c r="Z450" s="21">
        <f t="shared" ca="1" si="252"/>
        <v>5.6821732395560653</v>
      </c>
    </row>
    <row r="452" spans="1:26" x14ac:dyDescent="0.25">
      <c r="A452" s="11" t="s">
        <v>1389</v>
      </c>
    </row>
    <row r="453" spans="1:26" x14ac:dyDescent="0.25">
      <c r="A453" s="11" t="s">
        <v>1390</v>
      </c>
      <c r="B453" s="14" t="str">
        <f>$B$38</f>
        <v>From Fiscal Forecasts</v>
      </c>
      <c r="D453" s="51">
        <f>'Fiscal Forecasts'!D$194</f>
        <v>2.8839999999999999</v>
      </c>
      <c r="E453" s="51">
        <f>'Fiscal Forecasts'!E$194</f>
        <v>3.8039999999999998</v>
      </c>
      <c r="F453" s="51">
        <f>'Fiscal Forecasts'!F$194</f>
        <v>5.8239999999999998</v>
      </c>
      <c r="G453" s="51">
        <f>'Fiscal Forecasts'!G$194</f>
        <v>11.461</v>
      </c>
      <c r="H453" s="51">
        <f>'Fiscal Forecasts'!H$194</f>
        <v>6.093</v>
      </c>
      <c r="I453" s="51">
        <f>'Fiscal Forecasts'!I$194</f>
        <v>6.8659999999999997</v>
      </c>
      <c r="J453" s="51">
        <f>'Fiscal Forecasts'!J$194</f>
        <v>7.3860000000000001</v>
      </c>
      <c r="K453" s="51">
        <f>'Fiscal Forecasts'!K$194</f>
        <v>6.407</v>
      </c>
      <c r="L453" s="47">
        <f>'Fiscal Forecasts'!L$194</f>
        <v>5.8460000000000001</v>
      </c>
      <c r="M453" s="47">
        <f>'Fiscal Forecasts'!M$194</f>
        <v>5.4980000000000002</v>
      </c>
      <c r="N453" s="47">
        <f>'Fiscal Forecasts'!N$194</f>
        <v>5.1710000000000003</v>
      </c>
      <c r="O453" s="47">
        <f>'Fiscal Forecasts'!O$194</f>
        <v>4.9290000000000003</v>
      </c>
      <c r="P453" s="47">
        <f>'Fiscal Forecasts'!P$194</f>
        <v>4.7519999999999998</v>
      </c>
      <c r="Q453" s="21">
        <f t="shared" ref="Q453:Z453" ca="1" si="253">SUM(P$453,-Q$145,Q$151,Q$313)</f>
        <v>4.7049199999999995</v>
      </c>
      <c r="R453" s="21">
        <f t="shared" ca="1" si="253"/>
        <v>4.6873383999999998</v>
      </c>
      <c r="S453" s="21">
        <f t="shared" ca="1" si="253"/>
        <v>4.6998451679999995</v>
      </c>
      <c r="T453" s="21">
        <f t="shared" ca="1" si="253"/>
        <v>4.7368451679999994</v>
      </c>
      <c r="U453" s="21">
        <f t="shared" ca="1" si="253"/>
        <v>4.7738451679999994</v>
      </c>
      <c r="V453" s="21">
        <f t="shared" ca="1" si="253"/>
        <v>4.8108451679999993</v>
      </c>
      <c r="W453" s="21">
        <f t="shared" ca="1" si="253"/>
        <v>4.8478451679999992</v>
      </c>
      <c r="X453" s="21">
        <f t="shared" ca="1" si="253"/>
        <v>4.8848451679999991</v>
      </c>
      <c r="Y453" s="21">
        <f t="shared" ca="1" si="253"/>
        <v>4.921845167999999</v>
      </c>
      <c r="Z453" s="21">
        <f t="shared" ca="1" si="253"/>
        <v>4.958845167999999</v>
      </c>
    </row>
    <row r="454" spans="1:26" x14ac:dyDescent="0.25">
      <c r="A454" s="11" t="s">
        <v>1391</v>
      </c>
      <c r="B454" s="14" t="str">
        <f>$B$38</f>
        <v>From Fiscal Forecasts</v>
      </c>
      <c r="D454" s="51">
        <f>'Fiscal Forecasts'!D$138</f>
        <v>2.8839999999999999</v>
      </c>
      <c r="E454" s="51">
        <f>'Fiscal Forecasts'!E$138</f>
        <v>3.8039999999999998</v>
      </c>
      <c r="F454" s="51">
        <f>'Fiscal Forecasts'!F$138</f>
        <v>5.8239999999999998</v>
      </c>
      <c r="G454" s="51">
        <f>'Fiscal Forecasts'!G$138</f>
        <v>11.308</v>
      </c>
      <c r="H454" s="51">
        <f>'Fiscal Forecasts'!H$138</f>
        <v>6.125</v>
      </c>
      <c r="I454" s="51">
        <f>'Fiscal Forecasts'!I$138</f>
        <v>6.6260000000000003</v>
      </c>
      <c r="J454" s="51">
        <f>'Fiscal Forecasts'!J$138</f>
        <v>7.1559999999999997</v>
      </c>
      <c r="K454" s="51">
        <f>'Fiscal Forecasts'!K$138</f>
        <v>6.2789999999999999</v>
      </c>
      <c r="L454" s="47">
        <f>'Fiscal Forecasts'!L$138</f>
        <v>5.7809999999999997</v>
      </c>
      <c r="M454" s="47">
        <f>'Fiscal Forecasts'!M$138</f>
        <v>5.4080000000000004</v>
      </c>
      <c r="N454" s="47">
        <f>'Fiscal Forecasts'!N$138</f>
        <v>5.0949999999999998</v>
      </c>
      <c r="O454" s="47">
        <f>'Fiscal Forecasts'!O$138</f>
        <v>4.8460000000000001</v>
      </c>
      <c r="P454" s="47">
        <f>'Fiscal Forecasts'!P$138</f>
        <v>4.6710000000000003</v>
      </c>
      <c r="Q454" s="21">
        <f t="shared" ref="Q454:Z454" ca="1" si="254">SUM(P$454,-Q$145,Q$151,Q$313)</f>
        <v>4.62392</v>
      </c>
      <c r="R454" s="21">
        <f t="shared" ca="1" si="254"/>
        <v>4.6063384000000003</v>
      </c>
      <c r="S454" s="21">
        <f t="shared" ca="1" si="254"/>
        <v>4.618845168</v>
      </c>
      <c r="T454" s="21">
        <f t="shared" ca="1" si="254"/>
        <v>4.6558451679999999</v>
      </c>
      <c r="U454" s="21">
        <f t="shared" ca="1" si="254"/>
        <v>4.6928451679999998</v>
      </c>
      <c r="V454" s="21">
        <f t="shared" ca="1" si="254"/>
        <v>4.7298451679999998</v>
      </c>
      <c r="W454" s="21">
        <f t="shared" ca="1" si="254"/>
        <v>4.7668451679999997</v>
      </c>
      <c r="X454" s="21">
        <f t="shared" ca="1" si="254"/>
        <v>4.8038451679999996</v>
      </c>
      <c r="Y454" s="21">
        <f t="shared" ca="1" si="254"/>
        <v>4.8408451679999995</v>
      </c>
      <c r="Z454" s="21">
        <f t="shared" ca="1" si="254"/>
        <v>4.8778451679999995</v>
      </c>
    </row>
    <row r="456" spans="1:26" x14ac:dyDescent="0.25">
      <c r="A456" s="11" t="s">
        <v>959</v>
      </c>
    </row>
    <row r="457" spans="1:26" x14ac:dyDescent="0.25">
      <c r="A457" s="11" t="s">
        <v>1392</v>
      </c>
      <c r="B457" s="14" t="str">
        <f>$B$38</f>
        <v>From Fiscal Forecasts</v>
      </c>
      <c r="D457" s="51">
        <f>'Fiscal Forecasts'!D$195</f>
        <v>4.0000000000000001E-3</v>
      </c>
      <c r="E457" s="51">
        <f>'Fiscal Forecasts'!E$195</f>
        <v>5.0000000000000001E-3</v>
      </c>
      <c r="F457" s="51">
        <f>'Fiscal Forecasts'!F$195</f>
        <v>4.0000000000000001E-3</v>
      </c>
      <c r="G457" s="51">
        <f>'Fiscal Forecasts'!G$195</f>
        <v>2E-3</v>
      </c>
      <c r="H457" s="51">
        <f>'Fiscal Forecasts'!H$195</f>
        <v>3.0000000000000001E-3</v>
      </c>
      <c r="I457" s="51">
        <f>'Fiscal Forecasts'!I$195</f>
        <v>2E-3</v>
      </c>
      <c r="J457" s="51">
        <f>'Fiscal Forecasts'!J$195</f>
        <v>2E-3</v>
      </c>
      <c r="K457" s="51">
        <f>'Fiscal Forecasts'!K$195</f>
        <v>2E-3</v>
      </c>
      <c r="L457" s="47">
        <f>'Fiscal Forecasts'!L$195</f>
        <v>2E-3</v>
      </c>
      <c r="M457" s="47">
        <f>'Fiscal Forecasts'!M$195</f>
        <v>2E-3</v>
      </c>
      <c r="N457" s="47">
        <f>'Fiscal Forecasts'!N$195</f>
        <v>2E-3</v>
      </c>
      <c r="O457" s="47">
        <f>'Fiscal Forecasts'!O$195</f>
        <v>2E-3</v>
      </c>
      <c r="P457" s="47">
        <f>'Fiscal Forecasts'!P$195</f>
        <v>2E-3</v>
      </c>
      <c r="Q457" s="21">
        <f ca="1">IF(Q$6=OFFSET(Assumptions!$B$8,0,$C$1),OFFSET(Assumptions!$B$9,0,$C$1),P$457)</f>
        <v>0</v>
      </c>
      <c r="R457" s="21">
        <f ca="1">IF(R$6=OFFSET(Assumptions!$B$8,0,$C$1),OFFSET(Assumptions!$B$9,0,$C$1),Q$457)</f>
        <v>0</v>
      </c>
      <c r="S457" s="21">
        <f ca="1">IF(S$6=OFFSET(Assumptions!$B$8,0,$C$1),OFFSET(Assumptions!$B$9,0,$C$1),R$457)</f>
        <v>0</v>
      </c>
      <c r="T457" s="21">
        <f ca="1">IF(T$6=OFFSET(Assumptions!$B$8,0,$C$1),OFFSET(Assumptions!$B$9,0,$C$1),S$457)</f>
        <v>0</v>
      </c>
      <c r="U457" s="21">
        <f ca="1">IF(U$6=OFFSET(Assumptions!$B$8,0,$C$1),OFFSET(Assumptions!$B$9,0,$C$1),T$457)</f>
        <v>0</v>
      </c>
      <c r="V457" s="21">
        <f ca="1">IF(V$6=OFFSET(Assumptions!$B$8,0,$C$1),OFFSET(Assumptions!$B$9,0,$C$1),U$457)</f>
        <v>0</v>
      </c>
      <c r="W457" s="21">
        <f ca="1">IF(W$6=OFFSET(Assumptions!$B$8,0,$C$1),OFFSET(Assumptions!$B$9,0,$C$1),V$457)</f>
        <v>0</v>
      </c>
      <c r="X457" s="21">
        <f ca="1">IF(X$6=OFFSET(Assumptions!$B$8,0,$C$1),OFFSET(Assumptions!$B$9,0,$C$1),W$457)</f>
        <v>0</v>
      </c>
      <c r="Y457" s="21">
        <f ca="1">IF(Y$6=OFFSET(Assumptions!$B$8,0,$C$1),OFFSET(Assumptions!$B$9,0,$C$1),X$457)</f>
        <v>0</v>
      </c>
      <c r="Z457" s="21">
        <f ca="1">IF(Z$6=OFFSET(Assumptions!$B$8,0,$C$1),OFFSET(Assumptions!$B$9,0,$C$1),Y$457)</f>
        <v>0</v>
      </c>
    </row>
    <row r="458" spans="1:26" x14ac:dyDescent="0.25">
      <c r="A458" s="12" t="s">
        <v>1393</v>
      </c>
      <c r="B458" s="14" t="str">
        <f>$B$38</f>
        <v>From Fiscal Forecasts</v>
      </c>
      <c r="D458" s="50">
        <f>'Fiscal Forecasts'!D$381</f>
        <v>56.610999999999997</v>
      </c>
      <c r="E458" s="50">
        <f>'Fiscal Forecasts'!E$381</f>
        <v>64.945999999999998</v>
      </c>
      <c r="F458" s="50">
        <f>'Fiscal Forecasts'!F$381</f>
        <v>59.133000000000003</v>
      </c>
      <c r="G458" s="50">
        <f>'Fiscal Forecasts'!G$381</f>
        <v>54.115000000000002</v>
      </c>
      <c r="H458" s="50">
        <f>'Fiscal Forecasts'!H$381</f>
        <v>55.664000000000001</v>
      </c>
      <c r="I458" s="50">
        <f>'Fiscal Forecasts'!I$381</f>
        <v>65.049000000000007</v>
      </c>
      <c r="J458" s="50">
        <f>'Fiscal Forecasts'!J$381</f>
        <v>68.766000000000005</v>
      </c>
      <c r="K458" s="50">
        <f>'Fiscal Forecasts'!K$381</f>
        <v>73.116</v>
      </c>
      <c r="L458" s="48">
        <f>'Fiscal Forecasts'!L$381</f>
        <v>62.813000000000002</v>
      </c>
      <c r="M458" s="48">
        <f>'Fiscal Forecasts'!M$381</f>
        <v>64.894000000000005</v>
      </c>
      <c r="N458" s="48">
        <f>'Fiscal Forecasts'!N$381</f>
        <v>67.055999999999997</v>
      </c>
      <c r="O458" s="48">
        <f>'Fiscal Forecasts'!O$381</f>
        <v>69.384</v>
      </c>
      <c r="P458" s="48">
        <f>'Fiscal Forecasts'!P$381</f>
        <v>71.867999999999995</v>
      </c>
      <c r="Q458" s="20">
        <f>P$458*Exogenous!AB$30/Exogenous!AA$30</f>
        <v>75.350373541238483</v>
      </c>
      <c r="R458" s="20">
        <f>Q$458*Exogenous!AC$30/Exogenous!AB$30</f>
        <v>79.011918457579867</v>
      </c>
      <c r="S458" s="20">
        <f>R$458*Exogenous!AD$30/Exogenous!AC$30</f>
        <v>82.770264303008062</v>
      </c>
      <c r="T458" s="20">
        <f>S$458*Exogenous!AE$30/Exogenous!AD$30</f>
        <v>86.723163331358961</v>
      </c>
      <c r="U458" s="20">
        <f>T$458*Exogenous!AF$30/Exogenous!AE$30</f>
        <v>90.857478323377009</v>
      </c>
      <c r="V458" s="20">
        <f>U$458*Exogenous!AG$30/Exogenous!AF$30</f>
        <v>95.196291127292156</v>
      </c>
      <c r="W458" s="20">
        <f>V$458*Exogenous!AH$30/Exogenous!AG$30</f>
        <v>99.750002013249556</v>
      </c>
      <c r="X458" s="20">
        <f>W$458*Exogenous!AI$30/Exogenous!AH$30</f>
        <v>104.48871142629368</v>
      </c>
      <c r="Y458" s="20">
        <f>X$458*Exogenous!AJ$30/Exogenous!AI$30</f>
        <v>109.45571050869646</v>
      </c>
      <c r="Z458" s="20">
        <f>Y$458*Exogenous!AK$30/Exogenous!AJ$30</f>
        <v>114.59747181447723</v>
      </c>
    </row>
    <row r="459" spans="1:26" x14ac:dyDescent="0.25">
      <c r="A459" s="12" t="s">
        <v>1394</v>
      </c>
      <c r="B459" s="14" t="str">
        <f>$B$38</f>
        <v>From Fiscal Forecasts</v>
      </c>
      <c r="D459" s="50">
        <f>SUM('Fiscal Forecasts'!D$382:D$383)-D$457</f>
        <v>1.601</v>
      </c>
      <c r="E459" s="50">
        <f>SUM('Fiscal Forecasts'!E$382:E$383)-E$457</f>
        <v>1.7390000000000001</v>
      </c>
      <c r="F459" s="50">
        <f>SUM('Fiscal Forecasts'!F$382:F$383)-F$457</f>
        <v>1.1990000000000001</v>
      </c>
      <c r="G459" s="50">
        <f>SUM('Fiscal Forecasts'!G$382:G$383)-G$457</f>
        <v>1.1839999999999999</v>
      </c>
      <c r="H459" s="50">
        <f>SUM('Fiscal Forecasts'!H$382:H$383)-H$457</f>
        <v>1.8440000000000001</v>
      </c>
      <c r="I459" s="50">
        <f>SUM('Fiscal Forecasts'!I$382:I$383)-I$457</f>
        <v>1.524</v>
      </c>
      <c r="J459" s="50">
        <f>SUM('Fiscal Forecasts'!J$382:J$383)-J$457</f>
        <v>1.5579999999999998</v>
      </c>
      <c r="K459" s="50">
        <f>SUM('Fiscal Forecasts'!K$382:K$383)-K$457</f>
        <v>1.4259999999999999</v>
      </c>
      <c r="L459" s="48">
        <f>SUM('Fiscal Forecasts'!L$382:L$383)-L$457</f>
        <v>1.24</v>
      </c>
      <c r="M459" s="48">
        <f>SUM('Fiscal Forecasts'!M$382:M$383)-M$457</f>
        <v>1.157</v>
      </c>
      <c r="N459" s="48">
        <f>SUM('Fiscal Forecasts'!N$382:N$383)-N$457</f>
        <v>1.097</v>
      </c>
      <c r="O459" s="48">
        <f>SUM('Fiscal Forecasts'!O$382:O$383)-O$457</f>
        <v>1.056</v>
      </c>
      <c r="P459" s="48">
        <f>SUM('Fiscal Forecasts'!P$382:P$383)-P$457</f>
        <v>1.03</v>
      </c>
      <c r="Q459" s="20">
        <f t="shared" ref="Q459:Z459" si="255">P$459*Q$458/P$458</f>
        <v>1.0799087876033233</v>
      </c>
      <c r="R459" s="20">
        <f t="shared" si="255"/>
        <v>1.1323854289990993</v>
      </c>
      <c r="S459" s="20">
        <f t="shared" si="255"/>
        <v>1.1862494049103678</v>
      </c>
      <c r="T459" s="20">
        <f t="shared" si="255"/>
        <v>1.24290168407775</v>
      </c>
      <c r="U459" s="20">
        <f t="shared" si="255"/>
        <v>1.3021539861006057</v>
      </c>
      <c r="V459" s="20">
        <f t="shared" si="255"/>
        <v>1.3643371161172</v>
      </c>
      <c r="W459" s="20">
        <f t="shared" si="255"/>
        <v>1.4296001290372218</v>
      </c>
      <c r="X459" s="20">
        <f t="shared" si="255"/>
        <v>1.4975145095046822</v>
      </c>
      <c r="Y459" s="20">
        <f t="shared" si="255"/>
        <v>1.5687006988361631</v>
      </c>
      <c r="Z459" s="20">
        <f t="shared" si="255"/>
        <v>1.6423915507445812</v>
      </c>
    </row>
    <row r="460" spans="1:26" x14ac:dyDescent="0.25">
      <c r="A460" s="11" t="s">
        <v>1395</v>
      </c>
      <c r="D460" s="94">
        <f t="shared" ref="D460:P460" si="256">SUM(D$457:D$459)</f>
        <v>58.215999999999994</v>
      </c>
      <c r="E460" s="94">
        <f t="shared" si="256"/>
        <v>66.69</v>
      </c>
      <c r="F460" s="94">
        <f t="shared" si="256"/>
        <v>60.335999999999999</v>
      </c>
      <c r="G460" s="94">
        <f t="shared" si="256"/>
        <v>55.301000000000002</v>
      </c>
      <c r="H460" s="94">
        <f t="shared" si="256"/>
        <v>57.511000000000003</v>
      </c>
      <c r="I460" s="94">
        <f t="shared" si="256"/>
        <v>66.575000000000003</v>
      </c>
      <c r="J460" s="94">
        <f t="shared" si="256"/>
        <v>70.325999999999993</v>
      </c>
      <c r="K460" s="94">
        <f t="shared" si="256"/>
        <v>74.543999999999997</v>
      </c>
      <c r="L460" s="95">
        <f t="shared" si="256"/>
        <v>64.055000000000007</v>
      </c>
      <c r="M460" s="95">
        <f t="shared" si="256"/>
        <v>66.052999999999997</v>
      </c>
      <c r="N460" s="95">
        <f t="shared" si="256"/>
        <v>68.154999999999987</v>
      </c>
      <c r="O460" s="95">
        <f t="shared" si="256"/>
        <v>70.441999999999993</v>
      </c>
      <c r="P460" s="95">
        <f t="shared" si="256"/>
        <v>72.899999999999991</v>
      </c>
      <c r="Q460" s="96">
        <f t="shared" ref="Q460:Z460" ca="1" si="257">SUM(Q$457:Q$459)</f>
        <v>76.430282328841813</v>
      </c>
      <c r="R460" s="96">
        <f t="shared" ca="1" si="257"/>
        <v>80.144303886578967</v>
      </c>
      <c r="S460" s="96">
        <f t="shared" ca="1" si="257"/>
        <v>83.956513707918432</v>
      </c>
      <c r="T460" s="96">
        <f t="shared" ca="1" si="257"/>
        <v>87.966065015436712</v>
      </c>
      <c r="U460" s="96">
        <f t="shared" ca="1" si="257"/>
        <v>92.159632309477615</v>
      </c>
      <c r="V460" s="96">
        <f t="shared" ca="1" si="257"/>
        <v>96.560628243409354</v>
      </c>
      <c r="W460" s="96">
        <f t="shared" ca="1" si="257"/>
        <v>101.17960214228678</v>
      </c>
      <c r="X460" s="96">
        <f t="shared" ca="1" si="257"/>
        <v>105.98622593579836</v>
      </c>
      <c r="Y460" s="96">
        <f t="shared" ca="1" si="257"/>
        <v>111.02441120753262</v>
      </c>
      <c r="Z460" s="96">
        <f t="shared" ca="1" si="257"/>
        <v>116.23986336522181</v>
      </c>
    </row>
    <row r="462" spans="1:26" x14ac:dyDescent="0.25">
      <c r="A462" s="11" t="s">
        <v>1396</v>
      </c>
    </row>
    <row r="463" spans="1:26" x14ac:dyDescent="0.25">
      <c r="A463" s="11" t="s">
        <v>1397</v>
      </c>
      <c r="B463" s="14" t="str">
        <f>$B$38</f>
        <v>From Fiscal Forecasts</v>
      </c>
      <c r="D463" s="51">
        <f>'Fiscal Forecasts'!D$196</f>
        <v>13.164999999999999</v>
      </c>
      <c r="E463" s="51">
        <f>'Fiscal Forecasts'!E$196</f>
        <v>13.976000000000001</v>
      </c>
      <c r="F463" s="51">
        <f>'Fiscal Forecasts'!F$196</f>
        <v>11.039</v>
      </c>
      <c r="G463" s="51">
        <f>'Fiscal Forecasts'!G$196</f>
        <v>8.7650000000000006</v>
      </c>
      <c r="H463" s="51">
        <f>'Fiscal Forecasts'!H$196</f>
        <v>8.0380000000000003</v>
      </c>
      <c r="I463" s="51">
        <f>'Fiscal Forecasts'!I$196</f>
        <v>7.3339999999999996</v>
      </c>
      <c r="J463" s="51">
        <f>'Fiscal Forecasts'!J$196</f>
        <v>6.6589999999999998</v>
      </c>
      <c r="K463" s="51">
        <f>'Fiscal Forecasts'!K$196</f>
        <v>6.2460000000000004</v>
      </c>
      <c r="L463" s="47">
        <f>'Fiscal Forecasts'!L$196</f>
        <v>5.633</v>
      </c>
      <c r="M463" s="47">
        <f>'Fiscal Forecasts'!M$196</f>
        <v>5.1289999999999996</v>
      </c>
      <c r="N463" s="47">
        <f>'Fiscal Forecasts'!N$196</f>
        <v>4.6379999999999999</v>
      </c>
      <c r="O463" s="47">
        <f>'Fiscal Forecasts'!O$196</f>
        <v>4.1639999999999997</v>
      </c>
      <c r="P463" s="47">
        <f>'Fiscal Forecasts'!P$196</f>
        <v>3.706</v>
      </c>
      <c r="Q463" s="20">
        <f>P$463*Exogenous!AB$35/Exogenous!AA$35</f>
        <v>3.5338867837338257</v>
      </c>
      <c r="R463" s="20">
        <f>Q$463*Exogenous!AC$35/Exogenous!AB$35</f>
        <v>3.3579202865064692</v>
      </c>
      <c r="S463" s="20">
        <f>R$463*Exogenous!AD$35/Exogenous!AC$35</f>
        <v>3.1806693622920514</v>
      </c>
      <c r="T463" s="20">
        <f>S$463*Exogenous!AE$35/Exogenous!AD$35</f>
        <v>3.0029902957486132</v>
      </c>
      <c r="U463" s="20">
        <f>T$463*Exogenous!AF$35/Exogenous!AE$35</f>
        <v>2.8313052218114598</v>
      </c>
      <c r="V463" s="20">
        <f>U$463*Exogenous!AG$35/Exogenous!AF$35</f>
        <v>2.6617608595194078</v>
      </c>
      <c r="W463" s="20">
        <f>V$463*Exogenous!AH$35/Exogenous!AG$35</f>
        <v>2.4947853512014784</v>
      </c>
      <c r="X463" s="20">
        <f>W$463*Exogenous!AI$35/Exogenous!AH$35</f>
        <v>2.3308068391866907</v>
      </c>
      <c r="Y463" s="20">
        <f>X$463*Exogenous!AJ$35/Exogenous!AI$35</f>
        <v>2.1711097504621066</v>
      </c>
      <c r="Z463" s="20">
        <f>Y$463*Exogenous!AK$35/Exogenous!AJ$35</f>
        <v>2.0152659426987056</v>
      </c>
    </row>
    <row r="464" spans="1:26" x14ac:dyDescent="0.25">
      <c r="A464" s="12" t="s">
        <v>1398</v>
      </c>
      <c r="B464" s="14" t="str">
        <f>$B$38</f>
        <v>From Fiscal Forecasts</v>
      </c>
      <c r="D464" s="50">
        <f>'Fiscal Forecasts'!D$140-D$463</f>
        <v>1.4000000000001123E-2</v>
      </c>
      <c r="E464" s="50">
        <f>'Fiscal Forecasts'!E$140-E$463</f>
        <v>6.9999999999996732E-3</v>
      </c>
      <c r="F464" s="50">
        <f>'Fiscal Forecasts'!F$140-F$463</f>
        <v>-9.9999999999944578E-4</v>
      </c>
      <c r="G464" s="50">
        <f>'Fiscal Forecasts'!G$140-G$463</f>
        <v>3.9999999999995595E-3</v>
      </c>
      <c r="H464" s="50">
        <f>'Fiscal Forecasts'!H$140-H$463</f>
        <v>9.9999999999944578E-4</v>
      </c>
      <c r="I464" s="50">
        <f>'Fiscal Forecasts'!I$140-I$463</f>
        <v>3.0000000000001137E-3</v>
      </c>
      <c r="J464" s="50">
        <f>'Fiscal Forecasts'!J$140-J$463</f>
        <v>1.9999999999997797E-3</v>
      </c>
      <c r="K464" s="50">
        <f>'Fiscal Forecasts'!K$140-K$463</f>
        <v>1.9999999999997797E-3</v>
      </c>
      <c r="L464" s="48">
        <f>'Fiscal Forecasts'!L$140-L$463</f>
        <v>1.000000000000334E-3</v>
      </c>
      <c r="M464" s="48">
        <f>'Fiscal Forecasts'!M$140-M$463</f>
        <v>2.0000000000006679E-3</v>
      </c>
      <c r="N464" s="48">
        <f>'Fiscal Forecasts'!N$140-N$463</f>
        <v>1.000000000000334E-3</v>
      </c>
      <c r="O464" s="48">
        <f>'Fiscal Forecasts'!O$140-O$463</f>
        <v>1.000000000000334E-3</v>
      </c>
      <c r="P464" s="48">
        <f>'Fiscal Forecasts'!P$140-P$463</f>
        <v>2.0000000000002238E-3</v>
      </c>
      <c r="Q464" s="20">
        <f ca="1">IF(Q$6=OFFSET(Assumptions!$B$8,0,$C$1),OFFSET(Assumptions!$B$9,0,$C$1),P$464)</f>
        <v>0</v>
      </c>
      <c r="R464" s="20">
        <f ca="1">IF(R$6=OFFSET(Assumptions!$B$8,0,$C$1),OFFSET(Assumptions!$B$9,0,$C$1),Q$464)</f>
        <v>0</v>
      </c>
      <c r="S464" s="20">
        <f ca="1">IF(S$6=OFFSET(Assumptions!$B$8,0,$C$1),OFFSET(Assumptions!$B$9,0,$C$1),R$464)</f>
        <v>0</v>
      </c>
      <c r="T464" s="20">
        <f ca="1">IF(T$6=OFFSET(Assumptions!$B$8,0,$C$1),OFFSET(Assumptions!$B$9,0,$C$1),S$464)</f>
        <v>0</v>
      </c>
      <c r="U464" s="20">
        <f ca="1">IF(U$6=OFFSET(Assumptions!$B$8,0,$C$1),OFFSET(Assumptions!$B$9,0,$C$1),T$464)</f>
        <v>0</v>
      </c>
      <c r="V464" s="20">
        <f ca="1">IF(V$6=OFFSET(Assumptions!$B$8,0,$C$1),OFFSET(Assumptions!$B$9,0,$C$1),U$464)</f>
        <v>0</v>
      </c>
      <c r="W464" s="20">
        <f ca="1">IF(W$6=OFFSET(Assumptions!$B$8,0,$C$1),OFFSET(Assumptions!$B$9,0,$C$1),V$464)</f>
        <v>0</v>
      </c>
      <c r="X464" s="20">
        <f ca="1">IF(X$6=OFFSET(Assumptions!$B$8,0,$C$1),OFFSET(Assumptions!$B$9,0,$C$1),W$464)</f>
        <v>0</v>
      </c>
      <c r="Y464" s="20">
        <f ca="1">IF(Y$6=OFFSET(Assumptions!$B$8,0,$C$1),OFFSET(Assumptions!$B$9,0,$C$1),X$464)</f>
        <v>0</v>
      </c>
      <c r="Z464" s="20">
        <f ca="1">IF(Z$6=OFFSET(Assumptions!$B$8,0,$C$1),OFFSET(Assumptions!$B$9,0,$C$1),Y$464)</f>
        <v>0</v>
      </c>
    </row>
    <row r="465" spans="1:26" x14ac:dyDescent="0.25">
      <c r="A465" s="11" t="s">
        <v>1399</v>
      </c>
      <c r="D465" s="94">
        <f t="shared" ref="D465:Z465" si="258">SUM(D$463:D$464)</f>
        <v>13.179</v>
      </c>
      <c r="E465" s="94">
        <f t="shared" si="258"/>
        <v>13.983000000000001</v>
      </c>
      <c r="F465" s="94">
        <f t="shared" si="258"/>
        <v>11.038</v>
      </c>
      <c r="G465" s="94">
        <f t="shared" si="258"/>
        <v>8.7690000000000001</v>
      </c>
      <c r="H465" s="94">
        <f t="shared" si="258"/>
        <v>8.0389999999999997</v>
      </c>
      <c r="I465" s="94">
        <f t="shared" si="258"/>
        <v>7.3369999999999997</v>
      </c>
      <c r="J465" s="94">
        <f t="shared" si="258"/>
        <v>6.6609999999999996</v>
      </c>
      <c r="K465" s="94">
        <f t="shared" si="258"/>
        <v>6.2480000000000002</v>
      </c>
      <c r="L465" s="95">
        <f t="shared" si="258"/>
        <v>5.6340000000000003</v>
      </c>
      <c r="M465" s="95">
        <f t="shared" si="258"/>
        <v>5.1310000000000002</v>
      </c>
      <c r="N465" s="95">
        <f t="shared" si="258"/>
        <v>4.6390000000000002</v>
      </c>
      <c r="O465" s="95">
        <f t="shared" si="258"/>
        <v>4.165</v>
      </c>
      <c r="P465" s="95">
        <f t="shared" si="258"/>
        <v>3.7080000000000002</v>
      </c>
      <c r="Q465" s="96">
        <f t="shared" ca="1" si="258"/>
        <v>3.5338867837338257</v>
      </c>
      <c r="R465" s="96">
        <f t="shared" ca="1" si="258"/>
        <v>3.3579202865064692</v>
      </c>
      <c r="S465" s="96">
        <f t="shared" ca="1" si="258"/>
        <v>3.1806693622920514</v>
      </c>
      <c r="T465" s="96">
        <f t="shared" ca="1" si="258"/>
        <v>3.0029902957486132</v>
      </c>
      <c r="U465" s="96">
        <f t="shared" ca="1" si="258"/>
        <v>2.8313052218114598</v>
      </c>
      <c r="V465" s="96">
        <f t="shared" ca="1" si="258"/>
        <v>2.6617608595194078</v>
      </c>
      <c r="W465" s="96">
        <f t="shared" ca="1" si="258"/>
        <v>2.4947853512014784</v>
      </c>
      <c r="X465" s="96">
        <f t="shared" ca="1" si="258"/>
        <v>2.3308068391866907</v>
      </c>
      <c r="Y465" s="96">
        <f t="shared" ca="1" si="258"/>
        <v>2.1711097504621066</v>
      </c>
      <c r="Z465" s="96">
        <f t="shared" ca="1" si="258"/>
        <v>2.0152659426987056</v>
      </c>
    </row>
    <row r="467" spans="1:26" x14ac:dyDescent="0.25">
      <c r="A467" s="11" t="s">
        <v>961</v>
      </c>
    </row>
    <row r="468" spans="1:26" x14ac:dyDescent="0.25">
      <c r="A468" s="12" t="s">
        <v>1400</v>
      </c>
      <c r="D468" s="50">
        <f t="shared" ref="D468:P468" si="259">-D$386</f>
        <v>0</v>
      </c>
      <c r="E468" s="50">
        <f t="shared" si="259"/>
        <v>-2E-3</v>
      </c>
      <c r="F468" s="50">
        <f t="shared" si="259"/>
        <v>-2E-3</v>
      </c>
      <c r="G468" s="50">
        <f t="shared" si="259"/>
        <v>9.9000000000000005E-2</v>
      </c>
      <c r="H468" s="50">
        <f t="shared" si="259"/>
        <v>0.06</v>
      </c>
      <c r="I468" s="50">
        <f t="shared" si="259"/>
        <v>4.0000000000000001E-3</v>
      </c>
      <c r="J468" s="50">
        <f t="shared" si="259"/>
        <v>-6.7000000000000004E-2</v>
      </c>
      <c r="K468" s="50">
        <f t="shared" si="259"/>
        <v>-1.2999999999999999E-2</v>
      </c>
      <c r="L468" s="48">
        <f t="shared" si="259"/>
        <v>1.7999999999999999E-2</v>
      </c>
      <c r="M468" s="48">
        <f t="shared" si="259"/>
        <v>0.02</v>
      </c>
      <c r="N468" s="48">
        <f t="shared" si="259"/>
        <v>2.4E-2</v>
      </c>
      <c r="O468" s="48">
        <f t="shared" si="259"/>
        <v>2.7E-2</v>
      </c>
      <c r="P468" s="48">
        <f t="shared" si="259"/>
        <v>3.1E-2</v>
      </c>
      <c r="Q468" s="20">
        <f ca="1">IF(Q$6=OFFSET(Assumptions!$B$8,0,$C$1),OFFSET(Assumptions!$B$9,0,$C$1),P$468)</f>
        <v>0</v>
      </c>
      <c r="R468" s="20">
        <f ca="1">IF(R$6=OFFSET(Assumptions!$B$8,0,$C$1),OFFSET(Assumptions!$B$9,0,$C$1),Q$468)</f>
        <v>0</v>
      </c>
      <c r="S468" s="20">
        <f ca="1">IF(S$6=OFFSET(Assumptions!$B$8,0,$C$1),OFFSET(Assumptions!$B$9,0,$C$1),R$468)</f>
        <v>0</v>
      </c>
      <c r="T468" s="20">
        <f ca="1">IF(T$6=OFFSET(Assumptions!$B$8,0,$C$1),OFFSET(Assumptions!$B$9,0,$C$1),S$468)</f>
        <v>0</v>
      </c>
      <c r="U468" s="20">
        <f ca="1">IF(U$6=OFFSET(Assumptions!$B$8,0,$C$1),OFFSET(Assumptions!$B$9,0,$C$1),T$468)</f>
        <v>0</v>
      </c>
      <c r="V468" s="20">
        <f ca="1">IF(V$6=OFFSET(Assumptions!$B$8,0,$C$1),OFFSET(Assumptions!$B$9,0,$C$1),U$468)</f>
        <v>0</v>
      </c>
      <c r="W468" s="20">
        <f ca="1">IF(W$6=OFFSET(Assumptions!$B$8,0,$C$1),OFFSET(Assumptions!$B$9,0,$C$1),V$468)</f>
        <v>0</v>
      </c>
      <c r="X468" s="20">
        <f ca="1">IF(X$6=OFFSET(Assumptions!$B$8,0,$C$1),OFFSET(Assumptions!$B$9,0,$C$1),W$468)</f>
        <v>0</v>
      </c>
      <c r="Y468" s="20">
        <f ca="1">IF(Y$6=OFFSET(Assumptions!$B$8,0,$C$1),OFFSET(Assumptions!$B$9,0,$C$1),X$468)</f>
        <v>0</v>
      </c>
      <c r="Z468" s="20">
        <f ca="1">IF(Z$6=OFFSET(Assumptions!$B$8,0,$C$1),OFFSET(Assumptions!$B$9,0,$C$1),Y$468)</f>
        <v>0</v>
      </c>
    </row>
    <row r="469" spans="1:26" x14ac:dyDescent="0.25">
      <c r="A469" s="12" t="s">
        <v>1401</v>
      </c>
      <c r="B469" s="14" t="str">
        <f>$B$38</f>
        <v>From Fiscal Forecasts</v>
      </c>
      <c r="D469" s="50">
        <f>'Fiscal Forecasts'!D$197-D$468</f>
        <v>7.5890000000000004</v>
      </c>
      <c r="E469" s="50">
        <f>'Fiscal Forecasts'!E$197-E$468</f>
        <v>9.3109999999999999</v>
      </c>
      <c r="F469" s="50">
        <f>'Fiscal Forecasts'!F$197-F$468</f>
        <v>8.6100000000000012</v>
      </c>
      <c r="G469" s="50">
        <f>'Fiscal Forecasts'!G$197-G$468</f>
        <v>8.7850000000000001</v>
      </c>
      <c r="H469" s="50">
        <f>'Fiscal Forecasts'!H$197-H$468</f>
        <v>8.2880000000000003</v>
      </c>
      <c r="I469" s="50">
        <f>'Fiscal Forecasts'!I$197-I$468</f>
        <v>8.875</v>
      </c>
      <c r="J469" s="50">
        <f>'Fiscal Forecasts'!J$197-J$468</f>
        <v>10.871</v>
      </c>
      <c r="K469" s="50">
        <f>'Fiscal Forecasts'!K$197-K$468</f>
        <v>9.802999999999999</v>
      </c>
      <c r="L469" s="48">
        <f>'Fiscal Forecasts'!L$197-L$468</f>
        <v>9.3669999999999991</v>
      </c>
      <c r="M469" s="48">
        <f>'Fiscal Forecasts'!M$197-M$468</f>
        <v>8.9779999999999998</v>
      </c>
      <c r="N469" s="48">
        <f>'Fiscal Forecasts'!N$197-N$468</f>
        <v>8.8250000000000011</v>
      </c>
      <c r="O469" s="48">
        <f>'Fiscal Forecasts'!O$197-O$468</f>
        <v>8.7780000000000005</v>
      </c>
      <c r="P469" s="48">
        <f>'Fiscal Forecasts'!P$197-P$468</f>
        <v>8.7359999999999989</v>
      </c>
      <c r="Q469" s="20">
        <f t="shared" ref="Q469:Z469" ca="1" si="260">P$469*(1+Q$29)</f>
        <v>8.9107199999999995</v>
      </c>
      <c r="R469" s="20">
        <f t="shared" ca="1" si="260"/>
        <v>9.0889343999999994</v>
      </c>
      <c r="S469" s="20">
        <f t="shared" ca="1" si="260"/>
        <v>9.270713087999999</v>
      </c>
      <c r="T469" s="20">
        <f t="shared" ca="1" si="260"/>
        <v>9.4561273497599991</v>
      </c>
      <c r="U469" s="20">
        <f t="shared" ca="1" si="260"/>
        <v>9.6452498967551996</v>
      </c>
      <c r="V469" s="20">
        <f t="shared" ca="1" si="260"/>
        <v>9.8381548946903035</v>
      </c>
      <c r="W469" s="20">
        <f t="shared" ca="1" si="260"/>
        <v>10.034917992584109</v>
      </c>
      <c r="X469" s="20">
        <f t="shared" ca="1" si="260"/>
        <v>10.235616352435791</v>
      </c>
      <c r="Y469" s="20">
        <f t="shared" ca="1" si="260"/>
        <v>10.440328679484507</v>
      </c>
      <c r="Z469" s="20">
        <f t="shared" ca="1" si="260"/>
        <v>10.649135253074197</v>
      </c>
    </row>
    <row r="470" spans="1:26" x14ac:dyDescent="0.25">
      <c r="A470" s="11" t="s">
        <v>1402</v>
      </c>
      <c r="D470" s="94">
        <f t="shared" ref="D470:P470" si="261">SUM(D$468:D$469)</f>
        <v>7.5890000000000004</v>
      </c>
      <c r="E470" s="94">
        <f t="shared" si="261"/>
        <v>9.3089999999999993</v>
      </c>
      <c r="F470" s="94">
        <f t="shared" si="261"/>
        <v>8.6080000000000005</v>
      </c>
      <c r="G470" s="94">
        <f t="shared" si="261"/>
        <v>8.8840000000000003</v>
      </c>
      <c r="H470" s="94">
        <f t="shared" si="261"/>
        <v>8.3480000000000008</v>
      </c>
      <c r="I470" s="94">
        <f t="shared" si="261"/>
        <v>8.8789999999999996</v>
      </c>
      <c r="J470" s="94">
        <f t="shared" si="261"/>
        <v>10.804</v>
      </c>
      <c r="K470" s="94">
        <f t="shared" si="261"/>
        <v>9.7899999999999991</v>
      </c>
      <c r="L470" s="95">
        <f t="shared" si="261"/>
        <v>9.3849999999999998</v>
      </c>
      <c r="M470" s="95">
        <f t="shared" si="261"/>
        <v>8.9979999999999993</v>
      </c>
      <c r="N470" s="95">
        <f t="shared" si="261"/>
        <v>8.8490000000000002</v>
      </c>
      <c r="O470" s="95">
        <f t="shared" si="261"/>
        <v>8.8049999999999997</v>
      </c>
      <c r="P470" s="95">
        <f t="shared" si="261"/>
        <v>8.7669999999999995</v>
      </c>
      <c r="Q470" s="96">
        <f t="shared" ref="Q470:Z470" ca="1" si="262">SUM(Q$468:Q$469)</f>
        <v>8.9107199999999995</v>
      </c>
      <c r="R470" s="96">
        <f t="shared" ca="1" si="262"/>
        <v>9.0889343999999994</v>
      </c>
      <c r="S470" s="96">
        <f t="shared" ca="1" si="262"/>
        <v>9.270713087999999</v>
      </c>
      <c r="T470" s="96">
        <f t="shared" ca="1" si="262"/>
        <v>9.4561273497599991</v>
      </c>
      <c r="U470" s="96">
        <f t="shared" ca="1" si="262"/>
        <v>9.6452498967551996</v>
      </c>
      <c r="V470" s="96">
        <f t="shared" ca="1" si="262"/>
        <v>9.8381548946903035</v>
      </c>
      <c r="W470" s="96">
        <f t="shared" ca="1" si="262"/>
        <v>10.034917992584109</v>
      </c>
      <c r="X470" s="96">
        <f t="shared" ca="1" si="262"/>
        <v>10.235616352435791</v>
      </c>
      <c r="Y470" s="96">
        <f t="shared" ca="1" si="262"/>
        <v>10.440328679484507</v>
      </c>
      <c r="Z470" s="96">
        <f t="shared" ca="1" si="262"/>
        <v>10.649135253074197</v>
      </c>
    </row>
    <row r="471" spans="1:26" x14ac:dyDescent="0.25">
      <c r="A471" s="11" t="s">
        <v>1403</v>
      </c>
      <c r="B471" s="14" t="str">
        <f>$B$38</f>
        <v>From Fiscal Forecasts</v>
      </c>
      <c r="D471" s="51">
        <f>'Fiscal Forecasts'!D$141</f>
        <v>10.708</v>
      </c>
      <c r="E471" s="51">
        <f>'Fiscal Forecasts'!E$141</f>
        <v>12.68</v>
      </c>
      <c r="F471" s="51">
        <f>'Fiscal Forecasts'!F$141</f>
        <v>13.263</v>
      </c>
      <c r="G471" s="51">
        <f>'Fiscal Forecasts'!G$141</f>
        <v>14.333</v>
      </c>
      <c r="H471" s="51">
        <f>'Fiscal Forecasts'!H$141</f>
        <v>15.426</v>
      </c>
      <c r="I471" s="51">
        <f>'Fiscal Forecasts'!I$141</f>
        <v>16.045000000000002</v>
      </c>
      <c r="J471" s="51">
        <f>'Fiscal Forecasts'!J$141</f>
        <v>17.984000000000002</v>
      </c>
      <c r="K471" s="51">
        <f>'Fiscal Forecasts'!K$141</f>
        <v>16.405000000000001</v>
      </c>
      <c r="L471" s="47">
        <f>'Fiscal Forecasts'!L$141</f>
        <v>14.760999999999999</v>
      </c>
      <c r="M471" s="47">
        <f>'Fiscal Forecasts'!M$141</f>
        <v>14.428000000000001</v>
      </c>
      <c r="N471" s="47">
        <f>'Fiscal Forecasts'!N$141</f>
        <v>14.282999999999999</v>
      </c>
      <c r="O471" s="47">
        <f>'Fiscal Forecasts'!O$141</f>
        <v>14.246</v>
      </c>
      <c r="P471" s="47">
        <f>'Fiscal Forecasts'!P$141</f>
        <v>14.132999999999999</v>
      </c>
      <c r="Q471" s="21">
        <f t="shared" ref="Q471:Z471" ca="1" si="263">Q$470+(P$471-P$470)*(1+Q$29)</f>
        <v>14.384039999999999</v>
      </c>
      <c r="R471" s="21">
        <f t="shared" ca="1" si="263"/>
        <v>14.671720799999999</v>
      </c>
      <c r="S471" s="21">
        <f t="shared" ca="1" si="263"/>
        <v>14.965155215999999</v>
      </c>
      <c r="T471" s="21">
        <f t="shared" ca="1" si="263"/>
        <v>15.264458320319999</v>
      </c>
      <c r="U471" s="21">
        <f t="shared" ca="1" si="263"/>
        <v>15.569747486726399</v>
      </c>
      <c r="V471" s="21">
        <f t="shared" ca="1" si="263"/>
        <v>15.881142436460927</v>
      </c>
      <c r="W471" s="21">
        <f t="shared" ca="1" si="263"/>
        <v>16.198765285190145</v>
      </c>
      <c r="X471" s="21">
        <f t="shared" ca="1" si="263"/>
        <v>16.522740590893946</v>
      </c>
      <c r="Y471" s="21">
        <f t="shared" ca="1" si="263"/>
        <v>16.853195402711826</v>
      </c>
      <c r="Z471" s="21">
        <f t="shared" ca="1" si="263"/>
        <v>17.190259310766063</v>
      </c>
    </row>
    <row r="473" spans="1:26" x14ac:dyDescent="0.25">
      <c r="A473" s="11" t="s">
        <v>1404</v>
      </c>
    </row>
    <row r="474" spans="1:26" x14ac:dyDescent="0.25">
      <c r="A474" s="12" t="s">
        <v>1111</v>
      </c>
      <c r="B474" s="14" t="str">
        <f t="shared" ref="B474:B480" si="264">$B$38</f>
        <v>From Fiscal Forecasts</v>
      </c>
      <c r="D474" s="50">
        <f>'Fiscal Forecasts'!D$387</f>
        <v>83.715999999999994</v>
      </c>
      <c r="E474" s="50">
        <f>'Fiscal Forecasts'!E$387</f>
        <v>84.31</v>
      </c>
      <c r="F474" s="50">
        <f>'Fiscal Forecasts'!F$387</f>
        <v>96.551000000000002</v>
      </c>
      <c r="G474" s="50">
        <f>'Fiscal Forecasts'!G$387</f>
        <v>105.48699999999999</v>
      </c>
      <c r="H474" s="50">
        <f>'Fiscal Forecasts'!H$387</f>
        <v>111.292</v>
      </c>
      <c r="I474" s="50">
        <f>'Fiscal Forecasts'!I$387</f>
        <v>116.73699999999999</v>
      </c>
      <c r="J474" s="50">
        <f>'Fiscal Forecasts'!J$387</f>
        <v>123.536</v>
      </c>
      <c r="K474" s="50">
        <f>'Fiscal Forecasts'!K$387</f>
        <v>129.00200000000001</v>
      </c>
      <c r="L474" s="48">
        <f>'Fiscal Forecasts'!L$387+IF($C$2="Yes",'Fiscal Forecast Adjuster'!C$14/1000,0)+IF($C$3="Yes",'NZSF Adjuster'!W$25-'NZSF Adjuster'!W$16,0)</f>
        <v>132.791</v>
      </c>
      <c r="M474" s="48">
        <f>'Fiscal Forecasts'!M$387+IF($C$2="Yes",'Fiscal Forecast Adjuster'!D$14/1000,0)+IF($C$3="Yes",'NZSF Adjuster'!X$25-'NZSF Adjuster'!X$16,0)</f>
        <v>143.83000000000001</v>
      </c>
      <c r="N474" s="48">
        <f>'Fiscal Forecasts'!N$387+IF($C$2="Yes",'Fiscal Forecast Adjuster'!E$14/1000,0)+IF($C$3="Yes",'NZSF Adjuster'!Y$25-'NZSF Adjuster'!Y$16,0)</f>
        <v>152.727</v>
      </c>
      <c r="O474" s="48">
        <f>'Fiscal Forecasts'!O$387+IF($C$2="Yes",'Fiscal Forecast Adjuster'!F$14/1000,0)+IF($C$3="Yes",'NZSF Adjuster'!Z$25-'NZSF Adjuster'!Z$16,0)</f>
        <v>161.23400000000001</v>
      </c>
      <c r="P474" s="48">
        <f>'Fiscal Forecasts'!P$387+IF($C$2="Yes",'Fiscal Forecast Adjuster'!G$14/1000,0)+IF($C$3="Yes",'NZSF Adjuster'!AA$25-'NZSF Adjuster'!AA$16,0)</f>
        <v>169.50700000000001</v>
      </c>
      <c r="Q474" s="20">
        <f t="shared" ref="Q474:Z474" ca="1" si="265">SUM(Q$142,Q$376,Q$443-P$443)-SUM(Q$351-P$351,Q$273)</f>
        <v>175.988481001586</v>
      </c>
      <c r="R474" s="20">
        <f t="shared" ca="1" si="265"/>
        <v>182.88392420338661</v>
      </c>
      <c r="S474" s="20">
        <f t="shared" ca="1" si="265"/>
        <v>190.10178641277807</v>
      </c>
      <c r="T474" s="20">
        <f t="shared" ca="1" si="265"/>
        <v>197.80489462263114</v>
      </c>
      <c r="U474" s="20">
        <f t="shared" ca="1" si="265"/>
        <v>205.89504788318922</v>
      </c>
      <c r="V474" s="20">
        <f t="shared" ca="1" si="265"/>
        <v>214.27140906409105</v>
      </c>
      <c r="W474" s="20">
        <f t="shared" ca="1" si="265"/>
        <v>222.88527003557277</v>
      </c>
      <c r="X474" s="20">
        <f t="shared" ca="1" si="265"/>
        <v>231.74832972171311</v>
      </c>
      <c r="Y474" s="20">
        <f t="shared" ca="1" si="265"/>
        <v>240.90522559104033</v>
      </c>
      <c r="Z474" s="20">
        <f t="shared" ca="1" si="265"/>
        <v>250.36376486952989</v>
      </c>
    </row>
    <row r="475" spans="1:26" x14ac:dyDescent="0.25">
      <c r="A475" s="12" t="s">
        <v>899</v>
      </c>
      <c r="B475" s="14" t="str">
        <f t="shared" si="264"/>
        <v>From Fiscal Forecasts</v>
      </c>
      <c r="D475" s="50">
        <f>'Fiscal Forecasts'!D$388</f>
        <v>1.359</v>
      </c>
      <c r="E475" s="50">
        <f>'Fiscal Forecasts'!E$388</f>
        <v>1.226</v>
      </c>
      <c r="F475" s="50">
        <f>'Fiscal Forecasts'!F$388</f>
        <v>2.2869999999999999</v>
      </c>
      <c r="G475" s="50">
        <f>'Fiscal Forecasts'!G$388</f>
        <v>3.3639999999999999</v>
      </c>
      <c r="H475" s="50">
        <f>'Fiscal Forecasts'!H$388</f>
        <v>2.492</v>
      </c>
      <c r="I475" s="50">
        <f>'Fiscal Forecasts'!I$388</f>
        <v>1.79</v>
      </c>
      <c r="J475" s="50">
        <f>'Fiscal Forecasts'!J$388</f>
        <v>1.9159999999999999</v>
      </c>
      <c r="K475" s="50">
        <f>'Fiscal Forecasts'!K$388</f>
        <v>1.829</v>
      </c>
      <c r="L475" s="48">
        <f>'Fiscal Forecasts'!L$388</f>
        <v>2.0750000000000002</v>
      </c>
      <c r="M475" s="48">
        <f>'Fiscal Forecasts'!M$388</f>
        <v>2.3180000000000001</v>
      </c>
      <c r="N475" s="48">
        <f>'Fiscal Forecasts'!N$388</f>
        <v>2.2839999999999998</v>
      </c>
      <c r="O475" s="48">
        <f>'Fiscal Forecasts'!O$388</f>
        <v>2.2469999999999999</v>
      </c>
      <c r="P475" s="48">
        <f>'Fiscal Forecasts'!P$388</f>
        <v>2.1859999999999999</v>
      </c>
      <c r="Q475" s="20">
        <f t="shared" ref="Q475:Z475" ca="1" si="266">SUM(Q$146,Q$151)</f>
        <v>2.5836072037006064</v>
      </c>
      <c r="R475" s="20">
        <f t="shared" ca="1" si="266"/>
        <v>2.6664345532857028</v>
      </c>
      <c r="S475" s="20">
        <f t="shared" ca="1" si="266"/>
        <v>2.7510619086961858</v>
      </c>
      <c r="T475" s="20">
        <f t="shared" ca="1" si="266"/>
        <v>2.8366891544140054</v>
      </c>
      <c r="U475" s="20">
        <f t="shared" ca="1" si="266"/>
        <v>2.9247796313687799</v>
      </c>
      <c r="V475" s="20">
        <f t="shared" ca="1" si="266"/>
        <v>3.0145825292665065</v>
      </c>
      <c r="W475" s="20">
        <f t="shared" ca="1" si="266"/>
        <v>3.1038362788321723</v>
      </c>
      <c r="X475" s="20">
        <f t="shared" ca="1" si="266"/>
        <v>3.1949687962199564</v>
      </c>
      <c r="Y475" s="20">
        <f t="shared" ca="1" si="266"/>
        <v>3.2888643701806703</v>
      </c>
      <c r="Z475" s="20">
        <f t="shared" ca="1" si="266"/>
        <v>3.3848166078557522</v>
      </c>
    </row>
    <row r="476" spans="1:26" x14ac:dyDescent="0.25">
      <c r="A476" s="12" t="s">
        <v>1112</v>
      </c>
      <c r="B476" s="14" t="str">
        <f t="shared" si="264"/>
        <v>From Fiscal Forecasts</v>
      </c>
      <c r="D476" s="50">
        <f>'Fiscal Forecasts'!D$389</f>
        <v>0.71199999999999997</v>
      </c>
      <c r="E476" s="50">
        <f>'Fiscal Forecasts'!E$389</f>
        <v>0.42799999999999999</v>
      </c>
      <c r="F476" s="50">
        <f>'Fiscal Forecasts'!F$389</f>
        <v>0.249</v>
      </c>
      <c r="G476" s="50">
        <f>'Fiscal Forecasts'!G$389</f>
        <v>0.39300000000000002</v>
      </c>
      <c r="H476" s="50">
        <f>'Fiscal Forecasts'!H$389</f>
        <v>0.98199999999999998</v>
      </c>
      <c r="I476" s="50">
        <f>'Fiscal Forecasts'!I$389</f>
        <v>1.8779999999999999</v>
      </c>
      <c r="J476" s="50">
        <f>'Fiscal Forecasts'!J$389</f>
        <v>3.3290000000000002</v>
      </c>
      <c r="K476" s="50">
        <f>'Fiscal Forecasts'!K$389</f>
        <v>2.9820000000000002</v>
      </c>
      <c r="L476" s="48">
        <f>'Fiscal Forecasts'!L$389</f>
        <v>1.5740000000000001</v>
      </c>
      <c r="M476" s="48">
        <f>'Fiscal Forecasts'!M$389</f>
        <v>0.9</v>
      </c>
      <c r="N476" s="48">
        <f>'Fiscal Forecasts'!N$389</f>
        <v>1.7070000000000001</v>
      </c>
      <c r="O476" s="48">
        <f>'Fiscal Forecasts'!O$389</f>
        <v>2.1059999999999999</v>
      </c>
      <c r="P476" s="48">
        <f>'Fiscal Forecasts'!P$389</f>
        <v>2.0499999999999998</v>
      </c>
      <c r="Q476" s="20">
        <f t="shared" ref="Q476:Z476" ca="1" si="267">SUM(Q$154,Q$169,Q$177)</f>
        <v>4.9972801498208321</v>
      </c>
      <c r="R476" s="20">
        <f t="shared" ca="1" si="267"/>
        <v>5.1598146268074663</v>
      </c>
      <c r="S476" s="20">
        <f t="shared" ca="1" si="267"/>
        <v>5.3258813067061528</v>
      </c>
      <c r="T476" s="20">
        <f t="shared" ca="1" si="267"/>
        <v>5.4939100999521955</v>
      </c>
      <c r="U476" s="20">
        <f t="shared" ca="1" si="267"/>
        <v>5.6667725623039269</v>
      </c>
      <c r="V476" s="20">
        <f t="shared" ca="1" si="267"/>
        <v>5.8429953572479461</v>
      </c>
      <c r="W476" s="20">
        <f t="shared" ca="1" si="267"/>
        <v>6.0181405427140984</v>
      </c>
      <c r="X476" s="20">
        <f t="shared" ca="1" si="267"/>
        <v>6.1969724880111139</v>
      </c>
      <c r="Y476" s="20">
        <f t="shared" ca="1" si="267"/>
        <v>6.3812264582457301</v>
      </c>
      <c r="Z476" s="20">
        <f t="shared" ca="1" si="267"/>
        <v>6.5695162785084653</v>
      </c>
    </row>
    <row r="477" spans="1:26" x14ac:dyDescent="0.25">
      <c r="A477" s="12" t="s">
        <v>900</v>
      </c>
      <c r="B477" s="14" t="str">
        <f t="shared" si="264"/>
        <v>From Fiscal Forecasts</v>
      </c>
      <c r="D477" s="50">
        <f>'Fiscal Forecasts'!D$390</f>
        <v>3.2</v>
      </c>
      <c r="E477" s="50">
        <f>'Fiscal Forecasts'!E$390</f>
        <v>3.2429999999999999</v>
      </c>
      <c r="F477" s="50">
        <f>'Fiscal Forecasts'!F$390</f>
        <v>2.98</v>
      </c>
      <c r="G477" s="50">
        <f>'Fiscal Forecasts'!G$390</f>
        <v>2.883</v>
      </c>
      <c r="H477" s="50">
        <f>'Fiscal Forecasts'!H$390</f>
        <v>3.9540000000000002</v>
      </c>
      <c r="I477" s="50">
        <f>'Fiscal Forecasts'!I$390</f>
        <v>3.7789999999999999</v>
      </c>
      <c r="J477" s="50">
        <f>'Fiscal Forecasts'!J$390</f>
        <v>3.7040000000000002</v>
      </c>
      <c r="K477" s="50">
        <f>'Fiscal Forecasts'!K$390</f>
        <v>4.173</v>
      </c>
      <c r="L477" s="48">
        <f>'Fiscal Forecasts'!L$390</f>
        <v>3.956</v>
      </c>
      <c r="M477" s="48">
        <f>'Fiscal Forecasts'!M$390</f>
        <v>4.133</v>
      </c>
      <c r="N477" s="48">
        <f>'Fiscal Forecasts'!N$390</f>
        <v>4.359</v>
      </c>
      <c r="O477" s="48">
        <f>'Fiscal Forecasts'!O$390</f>
        <v>4.4089999999999998</v>
      </c>
      <c r="P477" s="48">
        <f>'Fiscal Forecasts'!P$390</f>
        <v>4.5069999999999997</v>
      </c>
      <c r="Q477" s="20">
        <f t="shared" ref="Q477:Z477" ca="1" si="268">SUM(Q$160,Q$332)</f>
        <v>3.7728371999999997</v>
      </c>
      <c r="R477" s="20">
        <f t="shared" ca="1" si="268"/>
        <v>3.8482939439999999</v>
      </c>
      <c r="S477" s="20">
        <f t="shared" ca="1" si="268"/>
        <v>3.9252598228800002</v>
      </c>
      <c r="T477" s="20">
        <f t="shared" ca="1" si="268"/>
        <v>4.0037650193376004</v>
      </c>
      <c r="U477" s="20">
        <f t="shared" ca="1" si="268"/>
        <v>4.0838403197243522</v>
      </c>
      <c r="V477" s="20">
        <f t="shared" ca="1" si="268"/>
        <v>4.1655171261188393</v>
      </c>
      <c r="W477" s="20">
        <f t="shared" ca="1" si="268"/>
        <v>4.2488274686412169</v>
      </c>
      <c r="X477" s="20">
        <f t="shared" ca="1" si="268"/>
        <v>4.3338040180140416</v>
      </c>
      <c r="Y477" s="20">
        <f t="shared" ca="1" si="268"/>
        <v>4.4204800983743215</v>
      </c>
      <c r="Z477" s="20">
        <f t="shared" ca="1" si="268"/>
        <v>4.5088897003418085</v>
      </c>
    </row>
    <row r="478" spans="1:26" x14ac:dyDescent="0.25">
      <c r="A478" s="12" t="s">
        <v>870</v>
      </c>
      <c r="B478" s="14" t="str">
        <f t="shared" si="264"/>
        <v>From Fiscal Forecasts</v>
      </c>
      <c r="D478" s="50">
        <f>'Fiscal Forecasts'!D$391</f>
        <v>28.91</v>
      </c>
      <c r="E478" s="50">
        <f>'Fiscal Forecasts'!E$391</f>
        <v>43.915999999999997</v>
      </c>
      <c r="F478" s="50">
        <f>'Fiscal Forecasts'!F$391</f>
        <v>36.573999999999998</v>
      </c>
      <c r="G478" s="50">
        <f>'Fiscal Forecasts'!G$391</f>
        <v>45.44</v>
      </c>
      <c r="H478" s="50">
        <f>'Fiscal Forecasts'!H$391</f>
        <v>40.417000000000002</v>
      </c>
      <c r="I478" s="50">
        <f>'Fiscal Forecasts'!I$391</f>
        <v>43.494999999999997</v>
      </c>
      <c r="J478" s="50">
        <f>'Fiscal Forecasts'!J$391</f>
        <v>47.421999999999997</v>
      </c>
      <c r="K478" s="50">
        <f>'Fiscal Forecasts'!K$391</f>
        <v>49.707000000000001</v>
      </c>
      <c r="L478" s="48">
        <f>'Fiscal Forecasts'!L$391+IF($C$2="Yes",SUM('Fiscal Forecast Adjuster'!C$16:C$24)/1000,0)</f>
        <v>51.792999999999999</v>
      </c>
      <c r="M478" s="48">
        <f>'Fiscal Forecasts'!M$391+IF($C$2="Yes",SUM('Fiscal Forecast Adjuster'!D$16:D$24)/1000,0)</f>
        <v>53.119</v>
      </c>
      <c r="N478" s="48">
        <f>'Fiscal Forecasts'!N$391+IF($C$2="Yes",SUM('Fiscal Forecast Adjuster'!E$16:E$24)/1000,0)</f>
        <v>54.475999999999999</v>
      </c>
      <c r="O478" s="48">
        <f>'Fiscal Forecasts'!O$391+IF($C$2="Yes",SUM('Fiscal Forecast Adjuster'!F$16:F$24)/1000,0)</f>
        <v>56.414999999999999</v>
      </c>
      <c r="P478" s="48">
        <f>'Fiscal Forecasts'!P$391+IF($C$2="Yes",SUM('Fiscal Forecast Adjuster'!G$16:G$24)/1000,0)</f>
        <v>58.664999999999999</v>
      </c>
      <c r="Q478" s="20">
        <f t="shared" ref="Q478:Z478" ca="1" si="269">Q$195</f>
        <v>59.10456213375442</v>
      </c>
      <c r="R478" s="20">
        <f t="shared" ca="1" si="269"/>
        <v>61.74023700058391</v>
      </c>
      <c r="S478" s="20">
        <f t="shared" ca="1" si="269"/>
        <v>64.469799952134792</v>
      </c>
      <c r="T478" s="20">
        <f t="shared" ca="1" si="269"/>
        <v>67.280230577711919</v>
      </c>
      <c r="U478" s="20">
        <f t="shared" ca="1" si="269"/>
        <v>70.249267855938541</v>
      </c>
      <c r="V478" s="20">
        <f t="shared" ca="1" si="269"/>
        <v>73.285258596479949</v>
      </c>
      <c r="W478" s="20">
        <f t="shared" ca="1" si="269"/>
        <v>76.330855742633858</v>
      </c>
      <c r="X478" s="20">
        <f t="shared" ca="1" si="269"/>
        <v>79.398091511624841</v>
      </c>
      <c r="Y478" s="20">
        <f t="shared" ca="1" si="269"/>
        <v>82.473442912902243</v>
      </c>
      <c r="Z478" s="20">
        <f t="shared" ca="1" si="269"/>
        <v>85.578471046868486</v>
      </c>
    </row>
    <row r="479" spans="1:26" x14ac:dyDescent="0.25">
      <c r="A479" s="12" t="s">
        <v>1405</v>
      </c>
      <c r="B479" s="14" t="str">
        <f t="shared" si="264"/>
        <v>From Fiscal Forecasts</v>
      </c>
      <c r="D479" s="50">
        <f>'Fiscal Forecasts'!D$392</f>
        <v>50.591000000000001</v>
      </c>
      <c r="E479" s="50">
        <f>'Fiscal Forecasts'!E$392</f>
        <v>56.582999999999998</v>
      </c>
      <c r="F479" s="50">
        <f>'Fiscal Forecasts'!F$392</f>
        <v>63.893999999999998</v>
      </c>
      <c r="G479" s="50">
        <f>'Fiscal Forecasts'!G$392</f>
        <v>71.98</v>
      </c>
      <c r="H479" s="50">
        <f>'Fiscal Forecasts'!H$392</f>
        <v>76.433999999999997</v>
      </c>
      <c r="I479" s="50">
        <f>'Fiscal Forecasts'!I$392</f>
        <v>79.747</v>
      </c>
      <c r="J479" s="50">
        <f>'Fiscal Forecasts'!J$392</f>
        <v>79.742000000000004</v>
      </c>
      <c r="K479" s="50">
        <f>'Fiscal Forecasts'!K$392</f>
        <v>83.323999999999998</v>
      </c>
      <c r="L479" s="48">
        <f ca="1">'Fiscal Forecasts'!L$392+IF(OFFSET(Assumptions!$B$57,0,$C$1)="Yes",SUM(Allocation!C$10:C$20)+IF($C$2="Yes",SUM('Fiscal Forecast Adjuster'!C$46:C$56),0),0)+IF($C$2="Yes",'Fiscal Forecast Adjuster'!C$26/1000,0)</f>
        <v>89.21</v>
      </c>
      <c r="M479" s="48">
        <f ca="1">'Fiscal Forecasts'!M$392+IF(OFFSET(Assumptions!$B$57,0,$C$1)="Yes",SUM(Allocation!D$10:D$20)+IF($C$2="Yes",SUM('Fiscal Forecast Adjuster'!D$46:D$56),0),0)+IF($C$2="Yes",'Fiscal Forecast Adjuster'!D$26/1000,0)</f>
        <v>85.76</v>
      </c>
      <c r="N479" s="48">
        <f ca="1">'Fiscal Forecasts'!N$392+IF(OFFSET(Assumptions!$B$57,0,$C$1)="Yes",SUM(Allocation!E$10:E$20)+IF($C$2="Yes",SUM('Fiscal Forecast Adjuster'!E$46:E$56),0),0)+IF($C$2="Yes",'Fiscal Forecast Adjuster'!E$26/1000,0)</f>
        <v>85.373999999999995</v>
      </c>
      <c r="O479" s="48">
        <f ca="1">'Fiscal Forecasts'!O$392+IF(OFFSET(Assumptions!$B$57,0,$C$1)="Yes",SUM(Allocation!F$10:F$20)+IF($C$2="Yes",SUM('Fiscal Forecast Adjuster'!F$46:F$56),0),0)+IF($C$2="Yes",'Fiscal Forecast Adjuster'!F$26/1000,0)</f>
        <v>84.783000000000001</v>
      </c>
      <c r="P479" s="48">
        <f ca="1">'Fiscal Forecasts'!P$392+IF(OFFSET(Assumptions!$B$57,0,$C$1)="Yes",SUM(Allocation!G$10:G$20)+IF($C$2="Yes",SUM('Fiscal Forecast Adjuster'!G$46:G$56),0),0)+IF($C$2="Yes",'Fiscal Forecast Adjuster'!G$26/1000,0)</f>
        <v>85.192999999999998</v>
      </c>
      <c r="Q479" s="20">
        <f t="shared" ref="Q479:Z479" ca="1" si="270">SUM(Q$208,Q$223,Q$238)-SUM(Q$219,Q$263,Q$271,Q$273,Q$313,Q$457-P$457,Q$463-P$463)</f>
        <v>86.572361659650255</v>
      </c>
      <c r="R479" s="20">
        <f t="shared" ca="1" si="270"/>
        <v>86.545749501531347</v>
      </c>
      <c r="S479" s="20">
        <f t="shared" ca="1" si="270"/>
        <v>86.499710605620962</v>
      </c>
      <c r="T479" s="20">
        <f t="shared" ca="1" si="270"/>
        <v>86.6717174642462</v>
      </c>
      <c r="U479" s="20">
        <f t="shared" ca="1" si="270"/>
        <v>86.947118308279457</v>
      </c>
      <c r="V479" s="20">
        <f t="shared" ca="1" si="270"/>
        <v>87.236022230076145</v>
      </c>
      <c r="W479" s="20">
        <f t="shared" ca="1" si="270"/>
        <v>87.532544775225745</v>
      </c>
      <c r="X479" s="20">
        <f t="shared" ca="1" si="270"/>
        <v>87.837312792361459</v>
      </c>
      <c r="Y479" s="20">
        <f t="shared" ca="1" si="270"/>
        <v>88.151339803902403</v>
      </c>
      <c r="Z479" s="20">
        <f t="shared" ca="1" si="270"/>
        <v>88.476171650426721</v>
      </c>
    </row>
    <row r="480" spans="1:26" x14ac:dyDescent="0.25">
      <c r="A480" s="12" t="s">
        <v>904</v>
      </c>
      <c r="B480" s="14" t="str">
        <f t="shared" si="264"/>
        <v>From Fiscal Forecasts</v>
      </c>
      <c r="D480" s="50">
        <f>'Fiscal Forecasts'!D$393</f>
        <v>3.45</v>
      </c>
      <c r="E480" s="50">
        <f>'Fiscal Forecasts'!E$393</f>
        <v>3.016</v>
      </c>
      <c r="F480" s="50">
        <f>'Fiscal Forecasts'!F$393</f>
        <v>2.6419999999999999</v>
      </c>
      <c r="G480" s="50">
        <f>'Fiscal Forecasts'!G$393</f>
        <v>2.8410000000000002</v>
      </c>
      <c r="H480" s="50">
        <f>'Fiscal Forecasts'!H$393</f>
        <v>5.3049999999999997</v>
      </c>
      <c r="I480" s="50">
        <f>'Fiscal Forecasts'!I$393</f>
        <v>7.0439999999999996</v>
      </c>
      <c r="J480" s="50">
        <f>'Fiscal Forecasts'!J$393</f>
        <v>7.0010000000000003</v>
      </c>
      <c r="K480" s="50">
        <f>'Fiscal Forecasts'!K$393</f>
        <v>7.1029999999999998</v>
      </c>
      <c r="L480" s="48">
        <f>'Fiscal Forecasts'!L$393+IF($C$2="Yes",'Fiscal Forecast Adjuster'!C$38/1000,0)+IF($C$3="Yes",'NZSF Adjuster'!W$9,0)</f>
        <v>8.2070000000000007</v>
      </c>
      <c r="M480" s="48">
        <f>'Fiscal Forecasts'!M$393+IF($C$2="Yes",'Fiscal Forecast Adjuster'!D$38/1000,0)+IF($C$3="Yes",'NZSF Adjuster'!X$9,0)</f>
        <v>9.19</v>
      </c>
      <c r="N480" s="48">
        <f>'Fiscal Forecasts'!N$393+IF($C$2="Yes",'Fiscal Forecast Adjuster'!E$38/1000,0)+IF($C$3="Yes",'NZSF Adjuster'!Y$9,0)</f>
        <v>10.423999999999999</v>
      </c>
      <c r="O480" s="48">
        <f>'Fiscal Forecasts'!O$393+IF($C$2="Yes",'Fiscal Forecast Adjuster'!F$38/1000,0)+IF($C$3="Yes",'NZSF Adjuster'!Z$9,0)</f>
        <v>11.253</v>
      </c>
      <c r="P480" s="48">
        <f>'Fiscal Forecasts'!P$393+IF($C$2="Yes",'Fiscal Forecast Adjuster'!G$38/1000,0)+IF($C$3="Yes",'NZSF Adjuster'!AA$9,0)</f>
        <v>11.305</v>
      </c>
      <c r="Q480" s="20">
        <f t="shared" ref="Q480:Z480" ca="1" si="271">(2*P$71-SUM(Q$474:Q$477,Q$488,Q$494)+SUM(Q$478,Q$479,Q$481,Q$493,Q$345-P$345))/(2/Q$235-1)</f>
        <v>13.600419708639748</v>
      </c>
      <c r="R480" s="20">
        <f t="shared" ca="1" si="271"/>
        <v>13.485461167836855</v>
      </c>
      <c r="S480" s="20">
        <f t="shared" ca="1" si="271"/>
        <v>13.271610328921172</v>
      </c>
      <c r="T480" s="20">
        <f t="shared" ca="1" si="271"/>
        <v>12.937541264511243</v>
      </c>
      <c r="U480" s="20">
        <f t="shared" ca="1" si="271"/>
        <v>12.475856670758571</v>
      </c>
      <c r="V480" s="20">
        <f t="shared" ca="1" si="271"/>
        <v>11.809058564155048</v>
      </c>
      <c r="W480" s="20">
        <f t="shared" ca="1" si="271"/>
        <v>11.009641325816213</v>
      </c>
      <c r="X480" s="20">
        <f t="shared" ca="1" si="271"/>
        <v>10.072077724763467</v>
      </c>
      <c r="Y480" s="20">
        <f t="shared" ca="1" si="271"/>
        <v>8.9910328819959595</v>
      </c>
      <c r="Z480" s="20">
        <f t="shared" ca="1" si="271"/>
        <v>7.7603497769980789</v>
      </c>
    </row>
    <row r="481" spans="1:26" x14ac:dyDescent="0.25">
      <c r="A481" s="12" t="s">
        <v>1185</v>
      </c>
      <c r="D481" s="50">
        <f t="shared" ref="D481:Z481" si="272">SUM(D$246,D$249)</f>
        <v>0</v>
      </c>
      <c r="E481" s="50">
        <f t="shared" si="272"/>
        <v>0</v>
      </c>
      <c r="F481" s="50">
        <f t="shared" si="272"/>
        <v>0</v>
      </c>
      <c r="G481" s="50">
        <f t="shared" si="272"/>
        <v>0</v>
      </c>
      <c r="H481" s="50">
        <f t="shared" si="272"/>
        <v>0</v>
      </c>
      <c r="I481" s="50">
        <f t="shared" si="272"/>
        <v>0</v>
      </c>
      <c r="J481" s="50">
        <f t="shared" si="272"/>
        <v>0</v>
      </c>
      <c r="K481" s="50">
        <f t="shared" si="272"/>
        <v>0</v>
      </c>
      <c r="L481" s="48">
        <f t="shared" ca="1" si="272"/>
        <v>-1.3420000000000001</v>
      </c>
      <c r="M481" s="48">
        <f t="shared" ca="1" si="272"/>
        <v>2.1680000000000001</v>
      </c>
      <c r="N481" s="48">
        <f t="shared" ca="1" si="272"/>
        <v>4.375</v>
      </c>
      <c r="O481" s="48">
        <f t="shared" ca="1" si="272"/>
        <v>7.1329999999999982</v>
      </c>
      <c r="P481" s="48">
        <f t="shared" ca="1" si="272"/>
        <v>9.4659999999999993</v>
      </c>
      <c r="Q481" s="20">
        <f t="shared" ca="1" si="272"/>
        <v>12.516</v>
      </c>
      <c r="R481" s="20">
        <f t="shared" ca="1" si="272"/>
        <v>15.036</v>
      </c>
      <c r="S481" s="20">
        <f t="shared" ca="1" si="272"/>
        <v>17.681999999999999</v>
      </c>
      <c r="T481" s="20">
        <f t="shared" ca="1" si="272"/>
        <v>20.4603</v>
      </c>
      <c r="U481" s="20">
        <f t="shared" ca="1" si="272"/>
        <v>23.377515000000002</v>
      </c>
      <c r="V481" s="20">
        <f t="shared" ca="1" si="272"/>
        <v>26.440590750000005</v>
      </c>
      <c r="W481" s="20">
        <f t="shared" ca="1" si="272"/>
        <v>29.656820287500008</v>
      </c>
      <c r="X481" s="20">
        <f t="shared" ca="1" si="272"/>
        <v>33.033861301875007</v>
      </c>
      <c r="Y481" s="20">
        <f t="shared" ca="1" si="272"/>
        <v>36.579754366968757</v>
      </c>
      <c r="Z481" s="20">
        <f t="shared" ca="1" si="272"/>
        <v>40.302942085317198</v>
      </c>
    </row>
    <row r="482" spans="1:26" x14ac:dyDescent="0.25">
      <c r="A482" s="11" t="s">
        <v>1406</v>
      </c>
      <c r="D482" s="94">
        <f t="shared" ref="D482:K482" si="273">SUM(D$474:D$477)-SUM(D$478:D$481)</f>
        <v>6.0359999999999872</v>
      </c>
      <c r="E482" s="94">
        <f t="shared" si="273"/>
        <v>-14.308000000000007</v>
      </c>
      <c r="F482" s="94">
        <f t="shared" si="273"/>
        <v>-1.0429999999999779</v>
      </c>
      <c r="G482" s="94">
        <f t="shared" si="273"/>
        <v>-8.1340000000000003</v>
      </c>
      <c r="H482" s="94">
        <f t="shared" si="273"/>
        <v>-3.436000000000007</v>
      </c>
      <c r="I482" s="94">
        <f t="shared" si="273"/>
        <v>-6.1020000000000039</v>
      </c>
      <c r="J482" s="94">
        <f t="shared" si="273"/>
        <v>-1.6799999999999784</v>
      </c>
      <c r="K482" s="94">
        <f t="shared" si="273"/>
        <v>-2.1479999999999961</v>
      </c>
      <c r="L482" s="95">
        <f t="shared" ref="L482:Z482" ca="1" si="274">SUM(L$474:L$477)-SUM(L$478:L$481)</f>
        <v>-7.47199999999998</v>
      </c>
      <c r="M482" s="95">
        <f t="shared" ca="1" si="274"/>
        <v>0.94400000000001683</v>
      </c>
      <c r="N482" s="95">
        <f t="shared" ca="1" si="274"/>
        <v>6.4279999999999973</v>
      </c>
      <c r="O482" s="95">
        <f t="shared" ca="1" si="274"/>
        <v>10.411999999999949</v>
      </c>
      <c r="P482" s="95">
        <f t="shared" ca="1" si="274"/>
        <v>13.621000000000009</v>
      </c>
      <c r="Q482" s="96">
        <f t="shared" ca="1" si="274"/>
        <v>15.548862053063004</v>
      </c>
      <c r="R482" s="96">
        <f t="shared" ca="1" si="274"/>
        <v>17.751019657527678</v>
      </c>
      <c r="S482" s="96">
        <f t="shared" ca="1" si="274"/>
        <v>20.180868564383474</v>
      </c>
      <c r="T482" s="96">
        <f t="shared" ca="1" si="274"/>
        <v>22.789469589865575</v>
      </c>
      <c r="U482" s="96">
        <f t="shared" ca="1" si="274"/>
        <v>25.520682561609703</v>
      </c>
      <c r="V482" s="96">
        <f t="shared" ca="1" si="274"/>
        <v>28.523573936013179</v>
      </c>
      <c r="W482" s="96">
        <f t="shared" ca="1" si="274"/>
        <v>31.726212194584463</v>
      </c>
      <c r="X482" s="96">
        <f t="shared" ca="1" si="274"/>
        <v>35.132731693333483</v>
      </c>
      <c r="Y482" s="96">
        <f t="shared" ca="1" si="274"/>
        <v>38.800226552071706</v>
      </c>
      <c r="Z482" s="96">
        <f t="shared" ca="1" si="274"/>
        <v>42.709052896625394</v>
      </c>
    </row>
    <row r="483" spans="1:26" x14ac:dyDescent="0.25">
      <c r="A483" s="12" t="s">
        <v>1188</v>
      </c>
      <c r="B483" s="14" t="str">
        <f>$B$38</f>
        <v>From Fiscal Forecasts</v>
      </c>
      <c r="D483" s="50">
        <f>-'Fiscal Forecasts'!D$395</f>
        <v>3.0019999999999998</v>
      </c>
      <c r="E483" s="50">
        <f>-'Fiscal Forecasts'!E$395</f>
        <v>2.9550000000000001</v>
      </c>
      <c r="F483" s="50">
        <f>-'Fiscal Forecasts'!F$395</f>
        <v>3.137</v>
      </c>
      <c r="G483" s="50">
        <f>-'Fiscal Forecasts'!G$395</f>
        <v>3.4740000000000002</v>
      </c>
      <c r="H483" s="50">
        <f>-'Fiscal Forecasts'!H$395</f>
        <v>4.4349999999999996</v>
      </c>
      <c r="I483" s="50">
        <f>-'Fiscal Forecasts'!I$395</f>
        <v>4.7009999999999996</v>
      </c>
      <c r="J483" s="50">
        <f>-'Fiscal Forecasts'!J$395</f>
        <v>3.669</v>
      </c>
      <c r="K483" s="50">
        <f>-'Fiscal Forecasts'!K$395</f>
        <v>3.9510000000000001</v>
      </c>
      <c r="L483" s="48">
        <f>-'Fiscal Forecasts'!L$395</f>
        <v>4.55</v>
      </c>
      <c r="M483" s="48">
        <f>-'Fiscal Forecasts'!M$395</f>
        <v>4.2439999999999998</v>
      </c>
      <c r="N483" s="48">
        <f>-'Fiscal Forecasts'!N$395</f>
        <v>3.6379999999999999</v>
      </c>
      <c r="O483" s="48">
        <f>-'Fiscal Forecasts'!O$395</f>
        <v>2.8149999999999999</v>
      </c>
      <c r="P483" s="48">
        <f>-'Fiscal Forecasts'!P$395</f>
        <v>2.7480000000000002</v>
      </c>
      <c r="Q483" s="20">
        <f t="shared" ref="Q483:Z483" ca="1" si="275">SUM(Q$417-P$417,Q$215,Q$427-P$427,Q$219)</f>
        <v>3.158094136181139</v>
      </c>
      <c r="R483" s="20">
        <f t="shared" ca="1" si="275"/>
        <v>3.158094136181139</v>
      </c>
      <c r="S483" s="20">
        <f t="shared" ca="1" si="275"/>
        <v>3.158094136181139</v>
      </c>
      <c r="T483" s="20">
        <f t="shared" ca="1" si="275"/>
        <v>3.158094136181139</v>
      </c>
      <c r="U483" s="20">
        <f t="shared" ca="1" si="275"/>
        <v>3.158094136181139</v>
      </c>
      <c r="V483" s="20">
        <f t="shared" ca="1" si="275"/>
        <v>3.158094136181139</v>
      </c>
      <c r="W483" s="20">
        <f t="shared" ca="1" si="275"/>
        <v>3.158094136181139</v>
      </c>
      <c r="X483" s="20">
        <f t="shared" ca="1" si="275"/>
        <v>3.158094136181139</v>
      </c>
      <c r="Y483" s="20">
        <f t="shared" ca="1" si="275"/>
        <v>3.158094136181139</v>
      </c>
      <c r="Z483" s="20">
        <f t="shared" ca="1" si="275"/>
        <v>3.158094136181139</v>
      </c>
    </row>
    <row r="484" spans="1:26" x14ac:dyDescent="0.25">
      <c r="A484" s="12" t="s">
        <v>1407</v>
      </c>
      <c r="B484" s="14" t="str">
        <f>$B$38</f>
        <v>From Fiscal Forecasts</v>
      </c>
      <c r="D484" s="50">
        <f>-'Fiscal Forecasts'!D$396</f>
        <v>8.5999999999999993E-2</v>
      </c>
      <c r="E484" s="50">
        <f>-'Fiscal Forecasts'!E$396</f>
        <v>1.798</v>
      </c>
      <c r="F484" s="50">
        <f>-'Fiscal Forecasts'!F$396</f>
        <v>3.8679999999999999</v>
      </c>
      <c r="G484" s="50">
        <f>-'Fiscal Forecasts'!G$396</f>
        <v>9.1920000000000002</v>
      </c>
      <c r="H484" s="50">
        <f>-'Fiscal Forecasts'!H$396</f>
        <v>9.1590000000000007</v>
      </c>
      <c r="I484" s="50">
        <f>-'Fiscal Forecasts'!I$396</f>
        <v>2.5329999999999999</v>
      </c>
      <c r="J484" s="50">
        <f>-'Fiscal Forecasts'!J$396</f>
        <v>-6.194</v>
      </c>
      <c r="K484" s="50">
        <f>-'Fiscal Forecasts'!K$396</f>
        <v>-5.851</v>
      </c>
      <c r="L484" s="48">
        <f>-'Fiscal Forecasts'!L$396</f>
        <v>3.1070000000000002</v>
      </c>
      <c r="M484" s="48">
        <f>-'Fiscal Forecasts'!M$396</f>
        <v>2.2669999999999999</v>
      </c>
      <c r="N484" s="48">
        <f>-'Fiscal Forecasts'!N$396</f>
        <v>2.2570000000000001</v>
      </c>
      <c r="O484" s="48">
        <f>-'Fiscal Forecasts'!O$396</f>
        <v>1.9950000000000001</v>
      </c>
      <c r="P484" s="48">
        <f>-'Fiscal Forecasts'!P$396</f>
        <v>0.17799999999999999</v>
      </c>
      <c r="Q484" s="20">
        <f t="shared" ref="Q484:Z484" ca="1" si="276">SUM(Q$392-P$392-Q$404+Q$402,Q$393-P$393)</f>
        <v>0.85843999999999943</v>
      </c>
      <c r="R484" s="20">
        <f t="shared" ca="1" si="276"/>
        <v>0.85572880000000118</v>
      </c>
      <c r="S484" s="20">
        <f t="shared" ca="1" si="276"/>
        <v>0.85222337600000087</v>
      </c>
      <c r="T484" s="20">
        <f t="shared" ca="1" si="276"/>
        <v>0.84592784352000239</v>
      </c>
      <c r="U484" s="20">
        <f t="shared" ca="1" si="276"/>
        <v>0.83984640039040104</v>
      </c>
      <c r="V484" s="20">
        <f t="shared" ca="1" si="276"/>
        <v>0.83698332839820877</v>
      </c>
      <c r="W484" s="20">
        <f t="shared" ca="1" si="276"/>
        <v>0.83434299496617392</v>
      </c>
      <c r="X484" s="20">
        <f t="shared" ca="1" si="276"/>
        <v>0.83592985486549598</v>
      </c>
      <c r="Y484" s="20">
        <f t="shared" ca="1" si="276"/>
        <v>0.84374845196280901</v>
      </c>
      <c r="Z484" s="20">
        <f t="shared" ca="1" si="276"/>
        <v>0.8518034210020613</v>
      </c>
    </row>
    <row r="485" spans="1:26" x14ac:dyDescent="0.25">
      <c r="A485" s="12" t="s">
        <v>1408</v>
      </c>
      <c r="B485" s="14" t="str">
        <f>$B$38</f>
        <v>From Fiscal Forecasts</v>
      </c>
      <c r="D485" s="50">
        <f>-'Fiscal Forecasts'!D$397</f>
        <v>2.6579999999999999</v>
      </c>
      <c r="E485" s="50">
        <f>-'Fiscal Forecasts'!E$397</f>
        <v>3.1709999999999998</v>
      </c>
      <c r="F485" s="50">
        <f>-'Fiscal Forecasts'!F$397</f>
        <v>3.5990000000000002</v>
      </c>
      <c r="G485" s="50">
        <f>-'Fiscal Forecasts'!G$397</f>
        <v>3.823</v>
      </c>
      <c r="H485" s="50">
        <f>-'Fiscal Forecasts'!H$397</f>
        <v>6.06</v>
      </c>
      <c r="I485" s="50">
        <f>-'Fiscal Forecasts'!I$397</f>
        <v>4.3520000000000003</v>
      </c>
      <c r="J485" s="50">
        <f>-'Fiscal Forecasts'!J$397</f>
        <v>5.9619999999999997</v>
      </c>
      <c r="K485" s="50">
        <f>-'Fiscal Forecasts'!K$397</f>
        <v>4.6440000000000001</v>
      </c>
      <c r="L485" s="48">
        <f>-'Fiscal Forecasts'!L$397</f>
        <v>6.3</v>
      </c>
      <c r="M485" s="48">
        <f>-'Fiscal Forecasts'!M$397</f>
        <v>5.4260000000000002</v>
      </c>
      <c r="N485" s="48">
        <f>-'Fiscal Forecasts'!N$397</f>
        <v>3.84</v>
      </c>
      <c r="O485" s="48">
        <f>-'Fiscal Forecasts'!O$397</f>
        <v>2.5550000000000002</v>
      </c>
      <c r="P485" s="48">
        <f>-'Fiscal Forecasts'!P$397</f>
        <v>1.756</v>
      </c>
      <c r="Q485" s="20">
        <f t="shared" ref="Q485:Z485" ca="1" si="277">SUM(Q$423-P$423,-Q$340)</f>
        <v>-1.0435308893054404E-2</v>
      </c>
      <c r="R485" s="20">
        <f t="shared" ca="1" si="277"/>
        <v>-1.0879489201897944E-2</v>
      </c>
      <c r="S485" s="20">
        <f t="shared" ca="1" si="277"/>
        <v>-1.1335437084572445E-2</v>
      </c>
      <c r="T485" s="20">
        <f t="shared" ca="1" si="277"/>
        <v>-1.1802086073035397E-2</v>
      </c>
      <c r="U485" s="20">
        <f t="shared" ca="1" si="277"/>
        <v>-1.2285007456109151E-2</v>
      </c>
      <c r="V485" s="20">
        <f t="shared" ca="1" si="277"/>
        <v>-1.2784372979015064E-2</v>
      </c>
      <c r="W485" s="20">
        <f t="shared" ca="1" si="277"/>
        <v>-1.3297663350946046E-2</v>
      </c>
      <c r="X485" s="20">
        <f t="shared" ca="1" si="277"/>
        <v>-1.3825734358114281E-2</v>
      </c>
      <c r="Y485" s="20">
        <f t="shared" ca="1" si="277"/>
        <v>-1.4371347480635113E-2</v>
      </c>
      <c r="Z485" s="20">
        <f t="shared" ca="1" si="277"/>
        <v>-1.4934643440266305E-2</v>
      </c>
    </row>
    <row r="486" spans="1:26" x14ac:dyDescent="0.25">
      <c r="A486" s="12" t="s">
        <v>1409</v>
      </c>
      <c r="D486" s="50">
        <f t="shared" ref="D486:Z486" si="278">D$380</f>
        <v>1</v>
      </c>
      <c r="E486" s="50">
        <f t="shared" si="278"/>
        <v>1.46</v>
      </c>
      <c r="F486" s="50">
        <f t="shared" si="278"/>
        <v>2.12</v>
      </c>
      <c r="G486" s="50">
        <f t="shared" si="278"/>
        <v>2.42</v>
      </c>
      <c r="H486" s="50">
        <f t="shared" si="278"/>
        <v>2.5579999999999998</v>
      </c>
      <c r="I486" s="50">
        <f t="shared" si="278"/>
        <v>1.6140000000000001</v>
      </c>
      <c r="J486" s="50">
        <f t="shared" si="278"/>
        <v>0.879</v>
      </c>
      <c r="K486" s="50">
        <f t="shared" si="278"/>
        <v>0</v>
      </c>
      <c r="L486" s="48">
        <f t="shared" si="278"/>
        <v>0.56200000000000006</v>
      </c>
      <c r="M486" s="48">
        <f t="shared" si="278"/>
        <v>0.155</v>
      </c>
      <c r="N486" s="48">
        <f t="shared" si="278"/>
        <v>0.35</v>
      </c>
      <c r="O486" s="48">
        <f t="shared" si="278"/>
        <v>0.44900000000000001</v>
      </c>
      <c r="P486" s="48">
        <f t="shared" si="278"/>
        <v>0.47299999999999998</v>
      </c>
      <c r="Q486" s="20">
        <f t="shared" si="278"/>
        <v>0.35431289191672377</v>
      </c>
      <c r="R486" s="20">
        <f t="shared" si="278"/>
        <v>0.22475822866131523</v>
      </c>
      <c r="S486" s="20">
        <f t="shared" si="278"/>
        <v>7.8613672750343255E-2</v>
      </c>
      <c r="T486" s="20">
        <f t="shared" si="278"/>
        <v>-5.8113137154620631E-2</v>
      </c>
      <c r="U486" s="20">
        <f t="shared" si="278"/>
        <v>-0.24914726512719909</v>
      </c>
      <c r="V486" s="20">
        <f t="shared" si="278"/>
        <v>-0.40218976675939189</v>
      </c>
      <c r="W486" s="20">
        <f t="shared" si="278"/>
        <v>-0.48609182297989406</v>
      </c>
      <c r="X486" s="20">
        <f t="shared" si="278"/>
        <v>-0.50053159184796669</v>
      </c>
      <c r="Y486" s="20">
        <f t="shared" si="278"/>
        <v>-0.41817925544185641</v>
      </c>
      <c r="Z486" s="20">
        <f t="shared" si="278"/>
        <v>-0.2592683764618755</v>
      </c>
    </row>
    <row r="487" spans="1:26" x14ac:dyDescent="0.25">
      <c r="A487" s="12" t="s">
        <v>1193</v>
      </c>
      <c r="D487" s="50">
        <f t="shared" ref="D487:Z487" si="279">SUM(D$432-C$432,D$435-C$435)</f>
        <v>0</v>
      </c>
      <c r="E487" s="50">
        <f t="shared" si="279"/>
        <v>0</v>
      </c>
      <c r="F487" s="50">
        <f t="shared" si="279"/>
        <v>0</v>
      </c>
      <c r="G487" s="50">
        <f t="shared" si="279"/>
        <v>0</v>
      </c>
      <c r="H487" s="50">
        <f t="shared" si="279"/>
        <v>0</v>
      </c>
      <c r="I487" s="50">
        <f t="shared" si="279"/>
        <v>0</v>
      </c>
      <c r="J487" s="50">
        <f t="shared" si="279"/>
        <v>0</v>
      </c>
      <c r="K487" s="50">
        <f t="shared" si="279"/>
        <v>0</v>
      </c>
      <c r="L487" s="48">
        <f>SUM(L$432-K$432,L$435-K$435)</f>
        <v>-6.0000000000000053E-3</v>
      </c>
      <c r="M487" s="48">
        <f>SUM(M$432-L$432,M$435-L$435)</f>
        <v>2.3870000000000005</v>
      </c>
      <c r="N487" s="48">
        <f>SUM(N$432-M$432,N$435-M$435)</f>
        <v>3.628000000000001</v>
      </c>
      <c r="O487" s="48">
        <f>SUM(O$432-N$432,O$435-N$435)</f>
        <v>4.3800000000000008</v>
      </c>
      <c r="P487" s="48">
        <f>SUM(P$432-O$432,P$435-O$435)</f>
        <v>5.168000000000001</v>
      </c>
      <c r="Q487" s="20">
        <f t="shared" ca="1" si="279"/>
        <v>5.0820000000000007</v>
      </c>
      <c r="R487" s="20">
        <f t="shared" ca="1" si="279"/>
        <v>5.3194999999999979</v>
      </c>
      <c r="S487" s="20">
        <f t="shared" ca="1" si="279"/>
        <v>5.4988749999999982</v>
      </c>
      <c r="T487" s="20">
        <f t="shared" ca="1" si="279"/>
        <v>5.5052187499999974</v>
      </c>
      <c r="U487" s="20">
        <f t="shared" ca="1" si="279"/>
        <v>5.780479687499998</v>
      </c>
      <c r="V487" s="20">
        <f t="shared" ca="1" si="279"/>
        <v>6.0695036718750046</v>
      </c>
      <c r="W487" s="20">
        <f t="shared" ca="1" si="279"/>
        <v>6.3729788554687516</v>
      </c>
      <c r="X487" s="20">
        <f t="shared" ca="1" si="279"/>
        <v>6.6916277982421875</v>
      </c>
      <c r="Y487" s="20">
        <f t="shared" ca="1" si="279"/>
        <v>7.0262091881542972</v>
      </c>
      <c r="Z487" s="20">
        <f t="shared" ca="1" si="279"/>
        <v>7.3775196475620106</v>
      </c>
    </row>
    <row r="488" spans="1:26" x14ac:dyDescent="0.25">
      <c r="A488" s="11" t="s">
        <v>1410</v>
      </c>
      <c r="D488" s="94">
        <f t="shared" ref="D488:K488" si="280">-SUM(D$483:D$487)</f>
        <v>-6.7459999999999996</v>
      </c>
      <c r="E488" s="94">
        <f t="shared" si="280"/>
        <v>-9.3840000000000003</v>
      </c>
      <c r="F488" s="94">
        <f t="shared" si="280"/>
        <v>-12.724</v>
      </c>
      <c r="G488" s="94">
        <f t="shared" si="280"/>
        <v>-18.908999999999999</v>
      </c>
      <c r="H488" s="94">
        <f t="shared" si="280"/>
        <v>-22.212</v>
      </c>
      <c r="I488" s="94">
        <f t="shared" si="280"/>
        <v>-13.200000000000001</v>
      </c>
      <c r="J488" s="94">
        <f t="shared" si="280"/>
        <v>-4.3159999999999998</v>
      </c>
      <c r="K488" s="94">
        <f t="shared" si="280"/>
        <v>-2.7440000000000002</v>
      </c>
      <c r="L488" s="95">
        <f>-SUM(L$483:L$487)</f>
        <v>-14.513</v>
      </c>
      <c r="M488" s="95">
        <f>-SUM(M$483:M$487)</f>
        <v>-14.478999999999999</v>
      </c>
      <c r="N488" s="95">
        <f>-SUM(N$483:N$487)</f>
        <v>-13.713000000000001</v>
      </c>
      <c r="O488" s="95">
        <f>-SUM(O$483:O$487)</f>
        <v>-12.194000000000001</v>
      </c>
      <c r="P488" s="95">
        <f>-SUM(P$483:P$487)</f>
        <v>-10.323</v>
      </c>
      <c r="Q488" s="96">
        <f t="shared" ref="Q488:Z488" ca="1" si="281">-SUM(Q$483:Q$487)</f>
        <v>-9.4424117192048094</v>
      </c>
      <c r="R488" s="96">
        <f t="shared" ca="1" si="281"/>
        <v>-9.5472016756405544</v>
      </c>
      <c r="S488" s="96">
        <f t="shared" ca="1" si="281"/>
        <v>-9.5764707478469084</v>
      </c>
      <c r="T488" s="96">
        <f t="shared" ca="1" si="281"/>
        <v>-9.4393255064734838</v>
      </c>
      <c r="U488" s="96">
        <f t="shared" ca="1" si="281"/>
        <v>-9.516987951488229</v>
      </c>
      <c r="V488" s="96">
        <f t="shared" ca="1" si="281"/>
        <v>-9.6496069967159457</v>
      </c>
      <c r="W488" s="96">
        <f t="shared" ca="1" si="281"/>
        <v>-9.8660265002852245</v>
      </c>
      <c r="X488" s="96">
        <f t="shared" ca="1" si="281"/>
        <v>-10.171294463082742</v>
      </c>
      <c r="Y488" s="96">
        <f t="shared" ca="1" si="281"/>
        <v>-10.595501173375753</v>
      </c>
      <c r="Z488" s="96">
        <f t="shared" ca="1" si="281"/>
        <v>-11.11321418484307</v>
      </c>
    </row>
    <row r="489" spans="1:26" x14ac:dyDescent="0.25">
      <c r="A489" s="11" t="s">
        <v>1411</v>
      </c>
      <c r="D489" s="94">
        <f t="shared" ref="D489:Z489" si="282">SUM(D$482,D$488)</f>
        <v>-0.7100000000000124</v>
      </c>
      <c r="E489" s="94">
        <f t="shared" si="282"/>
        <v>-23.692000000000007</v>
      </c>
      <c r="F489" s="94">
        <f t="shared" si="282"/>
        <v>-13.766999999999978</v>
      </c>
      <c r="G489" s="94">
        <f t="shared" si="282"/>
        <v>-27.042999999999999</v>
      </c>
      <c r="H489" s="94">
        <f t="shared" si="282"/>
        <v>-25.648000000000007</v>
      </c>
      <c r="I489" s="94">
        <f t="shared" si="282"/>
        <v>-19.302000000000007</v>
      </c>
      <c r="J489" s="94">
        <f t="shared" si="282"/>
        <v>-5.9959999999999782</v>
      </c>
      <c r="K489" s="94">
        <f t="shared" si="282"/>
        <v>-4.8919999999999959</v>
      </c>
      <c r="L489" s="95">
        <f t="shared" ca="1" si="282"/>
        <v>-21.984999999999978</v>
      </c>
      <c r="M489" s="95">
        <f t="shared" ca="1" si="282"/>
        <v>-13.534999999999982</v>
      </c>
      <c r="N489" s="95">
        <f t="shared" ca="1" si="282"/>
        <v>-7.2850000000000037</v>
      </c>
      <c r="O489" s="95">
        <f t="shared" ca="1" si="282"/>
        <v>-1.7820000000000515</v>
      </c>
      <c r="P489" s="95">
        <f t="shared" ca="1" si="282"/>
        <v>3.2980000000000089</v>
      </c>
      <c r="Q489" s="96">
        <f t="shared" ca="1" si="282"/>
        <v>6.106450333858195</v>
      </c>
      <c r="R489" s="96">
        <f t="shared" ca="1" si="282"/>
        <v>8.2038179818871235</v>
      </c>
      <c r="S489" s="96">
        <f t="shared" ca="1" si="282"/>
        <v>10.604397816536565</v>
      </c>
      <c r="T489" s="96">
        <f t="shared" ca="1" si="282"/>
        <v>13.350144083392092</v>
      </c>
      <c r="U489" s="96">
        <f t="shared" ca="1" si="282"/>
        <v>16.003694610121475</v>
      </c>
      <c r="V489" s="96">
        <f t="shared" ca="1" si="282"/>
        <v>18.873966939297233</v>
      </c>
      <c r="W489" s="96">
        <f t="shared" ca="1" si="282"/>
        <v>21.86018569429924</v>
      </c>
      <c r="X489" s="96">
        <f t="shared" ca="1" si="282"/>
        <v>24.961437230250741</v>
      </c>
      <c r="Y489" s="96">
        <f t="shared" ca="1" si="282"/>
        <v>28.204725378695954</v>
      </c>
      <c r="Z489" s="96">
        <f t="shared" ca="1" si="282"/>
        <v>31.595838711782324</v>
      </c>
    </row>
    <row r="490" spans="1:26" x14ac:dyDescent="0.25">
      <c r="A490" s="11" t="s">
        <v>1412</v>
      </c>
      <c r="B490" s="14" t="str">
        <f>$B$62</f>
        <v>Projected Years only</v>
      </c>
      <c r="Q490" s="97" t="str">
        <f t="shared" ref="Q490:Z490" ca="1" si="283">IF(ROUND(SUM(Q$489,Q$78-P$78,Q$494),3)=0,"OK","ERROR")</f>
        <v>OK</v>
      </c>
      <c r="R490" s="97" t="str">
        <f t="shared" ca="1" si="283"/>
        <v>OK</v>
      </c>
      <c r="S490" s="97" t="str">
        <f t="shared" ca="1" si="283"/>
        <v>OK</v>
      </c>
      <c r="T490" s="97" t="str">
        <f t="shared" ca="1" si="283"/>
        <v>OK</v>
      </c>
      <c r="U490" s="97" t="str">
        <f t="shared" ca="1" si="283"/>
        <v>OK</v>
      </c>
      <c r="V490" s="97" t="str">
        <f t="shared" ca="1" si="283"/>
        <v>OK</v>
      </c>
      <c r="W490" s="97" t="str">
        <f t="shared" ca="1" si="283"/>
        <v>OK</v>
      </c>
      <c r="X490" s="97" t="str">
        <f t="shared" ca="1" si="283"/>
        <v>OK</v>
      </c>
      <c r="Y490" s="97" t="str">
        <f t="shared" ca="1" si="283"/>
        <v>OK</v>
      </c>
      <c r="Z490" s="97" t="str">
        <f t="shared" ca="1" si="283"/>
        <v>OK</v>
      </c>
    </row>
    <row r="491" spans="1:26" x14ac:dyDescent="0.25">
      <c r="A491" s="11"/>
    </row>
    <row r="492" spans="1:26" x14ac:dyDescent="0.25">
      <c r="A492" s="11" t="s">
        <v>1123</v>
      </c>
      <c r="B492" s="14" t="str">
        <f>$B$38</f>
        <v>From Fiscal Forecasts</v>
      </c>
      <c r="D492" s="51">
        <f>'Fiscal Forecasts'!D$401</f>
        <v>-4.9580000000000002</v>
      </c>
      <c r="E492" s="51">
        <f>'Fiscal Forecasts'!E$401</f>
        <v>33.061999999999998</v>
      </c>
      <c r="F492" s="51">
        <f>'Fiscal Forecasts'!F$401</f>
        <v>3.8090000000000002</v>
      </c>
      <c r="G492" s="51">
        <f>'Fiscal Forecasts'!G$401</f>
        <v>28.693999999999999</v>
      </c>
      <c r="H492" s="51">
        <f>'Fiscal Forecasts'!H$401</f>
        <v>22.715</v>
      </c>
      <c r="I492" s="51">
        <f>'Fiscal Forecasts'!I$401</f>
        <v>25.202999999999999</v>
      </c>
      <c r="J492" s="51">
        <f>'Fiscal Forecasts'!J$401</f>
        <v>21.693999999999999</v>
      </c>
      <c r="K492" s="51">
        <f>'Fiscal Forecasts'!K$401</f>
        <v>11.654</v>
      </c>
      <c r="L492" s="47">
        <f>'Fiscal Forecasts'!L$401+IF($C$2="Yes",'Fiscal Forecast Adjuster'!C$40/1000,0)+IF($C$3="Yes",'NZSF Adjuster'!W$10,0)</f>
        <v>18.459</v>
      </c>
      <c r="M492" s="47">
        <f>'Fiscal Forecasts'!M$401+IF($C$2="Yes",'Fiscal Forecast Adjuster'!D$40/1000,0)+IF($C$3="Yes",'NZSF Adjuster'!X$10,0)</f>
        <v>14.315</v>
      </c>
      <c r="N492" s="47">
        <f>'Fiscal Forecasts'!N$401+IF($C$2="Yes",'Fiscal Forecast Adjuster'!E$40/1000,0)+IF($C$3="Yes",'NZSF Adjuster'!Y$10,0)</f>
        <v>8.83</v>
      </c>
      <c r="O492" s="47">
        <f>'Fiscal Forecasts'!O$401+IF($C$2="Yes",'Fiscal Forecast Adjuster'!F$40/1000,0)+IF($C$3="Yes",'NZSF Adjuster'!Z$10,0)</f>
        <v>1.5569999999999999</v>
      </c>
      <c r="P492" s="47">
        <f>'Fiscal Forecasts'!P$401+IF($C$2="Yes",'Fiscal Forecast Adjuster'!G$40/1000,0)+IF($C$3="Yes",'NZSF Adjuster'!AA$10,0)</f>
        <v>-5.915</v>
      </c>
      <c r="Q492" s="21">
        <f t="shared" ref="Q492:Z492" ca="1" si="284">-SUM(Q$482,Q$488,Q$496)</f>
        <v>-3.5189814644834376</v>
      </c>
      <c r="R492" s="21">
        <f t="shared" ca="1" si="284"/>
        <v>-5.5635400973354709</v>
      </c>
      <c r="S492" s="21">
        <f t="shared" ca="1" si="284"/>
        <v>-7.8928200665217227</v>
      </c>
      <c r="T492" s="21">
        <f t="shared" ca="1" si="284"/>
        <v>-10.574188778817069</v>
      </c>
      <c r="U492" s="21">
        <f t="shared" ca="1" si="284"/>
        <v>-13.12771911995911</v>
      </c>
      <c r="V492" s="21">
        <f t="shared" ca="1" si="284"/>
        <v>-15.896956524323468</v>
      </c>
      <c r="W492" s="21">
        <f t="shared" ca="1" si="284"/>
        <v>-18.798384423703862</v>
      </c>
      <c r="X492" s="21">
        <f t="shared" ca="1" si="284"/>
        <v>-21.809447246536386</v>
      </c>
      <c r="Y492" s="21">
        <f t="shared" ca="1" si="284"/>
        <v>-24.944929793069541</v>
      </c>
      <c r="Z492" s="21">
        <f t="shared" ca="1" si="284"/>
        <v>-28.227428873264099</v>
      </c>
    </row>
    <row r="493" spans="1:26" x14ac:dyDescent="0.25">
      <c r="A493" s="12" t="s">
        <v>1413</v>
      </c>
      <c r="B493" s="14" t="str">
        <f>$B$38</f>
        <v>From Fiscal Forecasts</v>
      </c>
      <c r="D493" s="50">
        <f>-'Fiscal Forecasts'!D$402</f>
        <v>-5.1630000000000003</v>
      </c>
      <c r="E493" s="50">
        <f>-'Fiscal Forecasts'!E$402</f>
        <v>14.911</v>
      </c>
      <c r="F493" s="50">
        <f>-'Fiscal Forecasts'!F$402</f>
        <v>-6.0419999999999998</v>
      </c>
      <c r="G493" s="50">
        <f>-'Fiscal Forecasts'!G$402</f>
        <v>2.8000000000000001E-2</v>
      </c>
      <c r="H493" s="50">
        <f>-'Fiscal Forecasts'!H$402</f>
        <v>-2.7749999999999999</v>
      </c>
      <c r="I493" s="50">
        <f>-'Fiscal Forecasts'!I$402</f>
        <v>8.4169999999999998</v>
      </c>
      <c r="J493" s="50">
        <f>-'Fiscal Forecasts'!J$402</f>
        <v>8.8219999999999992</v>
      </c>
      <c r="K493" s="50">
        <f>-'Fiscal Forecasts'!K$402</f>
        <v>3.7349999999999999</v>
      </c>
      <c r="L493" s="48">
        <f>-'Fiscal Forecasts'!L$402</f>
        <v>-3.702</v>
      </c>
      <c r="M493" s="48">
        <f>-'Fiscal Forecasts'!M$402</f>
        <v>0.80700000000000005</v>
      </c>
      <c r="N493" s="48">
        <f>-'Fiscal Forecasts'!N$402</f>
        <v>1.5580000000000001</v>
      </c>
      <c r="O493" s="48">
        <f>-'Fiscal Forecasts'!O$402</f>
        <v>-0.224</v>
      </c>
      <c r="P493" s="48">
        <f>-'Fiscal Forecasts'!P$402</f>
        <v>-2.6150000000000002</v>
      </c>
      <c r="Q493" s="20">
        <f t="shared" ref="Q493:Z493" ca="1" si="285">SUM(Q$358-P$358,Q$367-P$367)</f>
        <v>2.0244344787687387</v>
      </c>
      <c r="R493" s="20">
        <f t="shared" ca="1" si="285"/>
        <v>2.0656916188983576</v>
      </c>
      <c r="S493" s="20">
        <f t="shared" ca="1" si="285"/>
        <v>2.1204175447294125</v>
      </c>
      <c r="T493" s="20">
        <f t="shared" ca="1" si="285"/>
        <v>2.1701837862760112</v>
      </c>
      <c r="U493" s="20">
        <f t="shared" ca="1" si="285"/>
        <v>2.2458596964811601</v>
      </c>
      <c r="V493" s="20">
        <f t="shared" ca="1" si="285"/>
        <v>2.322334319860393</v>
      </c>
      <c r="W493" s="20">
        <f t="shared" ca="1" si="285"/>
        <v>2.3870928049909033</v>
      </c>
      <c r="X493" s="20">
        <f t="shared" ca="1" si="285"/>
        <v>2.4558311838062084</v>
      </c>
      <c r="Y493" s="20">
        <f t="shared" ca="1" si="285"/>
        <v>2.5374120192015353</v>
      </c>
      <c r="Z493" s="20">
        <f t="shared" ca="1" si="285"/>
        <v>2.6196472909818569</v>
      </c>
    </row>
    <row r="494" spans="1:26" x14ac:dyDescent="0.25">
      <c r="A494" s="12" t="s">
        <v>914</v>
      </c>
      <c r="D494" s="50">
        <f t="shared" ref="D494:Z494" si="286">D$107</f>
        <v>0.437</v>
      </c>
      <c r="E494" s="50">
        <f t="shared" si="286"/>
        <v>1.2090000000000001</v>
      </c>
      <c r="F494" s="50">
        <f t="shared" si="286"/>
        <v>0.23400000000000001</v>
      </c>
      <c r="G494" s="50">
        <f t="shared" si="286"/>
        <v>0.80500000000000005</v>
      </c>
      <c r="H494" s="50">
        <f t="shared" si="286"/>
        <v>-5.8999999999999997E-2</v>
      </c>
      <c r="I494" s="50">
        <f t="shared" si="286"/>
        <v>-2.4E-2</v>
      </c>
      <c r="J494" s="50">
        <f t="shared" si="286"/>
        <v>0.17499999999999999</v>
      </c>
      <c r="K494" s="50">
        <f t="shared" si="286"/>
        <v>1.1100000000000001</v>
      </c>
      <c r="L494" s="48">
        <f t="shared" si="286"/>
        <v>-0.45600000000000002</v>
      </c>
      <c r="M494" s="48">
        <f t="shared" si="286"/>
        <v>9.8000000000000004E-2</v>
      </c>
      <c r="N494" s="48">
        <f t="shared" si="286"/>
        <v>9.9000000000000005E-2</v>
      </c>
      <c r="O494" s="48">
        <f t="shared" si="286"/>
        <v>0.1</v>
      </c>
      <c r="P494" s="48">
        <f t="shared" si="286"/>
        <v>0.10100000000000001</v>
      </c>
      <c r="Q494" s="20">
        <f t="shared" ca="1" si="286"/>
        <v>0.20407999999999937</v>
      </c>
      <c r="R494" s="20">
        <f t="shared" ca="1" si="286"/>
        <v>0.20816160000000039</v>
      </c>
      <c r="S494" s="20">
        <f t="shared" ca="1" si="286"/>
        <v>0.21232483200000019</v>
      </c>
      <c r="T494" s="20">
        <f t="shared" ca="1" si="286"/>
        <v>0.21657132864000062</v>
      </c>
      <c r="U494" s="20">
        <f t="shared" ca="1" si="286"/>
        <v>0.22090275521279956</v>
      </c>
      <c r="V494" s="20">
        <f t="shared" ca="1" si="286"/>
        <v>0.22532081031705609</v>
      </c>
      <c r="W494" s="20">
        <f t="shared" ca="1" si="286"/>
        <v>0.2298272265233976</v>
      </c>
      <c r="X494" s="20">
        <f t="shared" ca="1" si="286"/>
        <v>0.23442377105386569</v>
      </c>
      <c r="Y494" s="20">
        <f t="shared" ca="1" si="286"/>
        <v>0.23911224647494222</v>
      </c>
      <c r="Z494" s="20">
        <f t="shared" ca="1" si="286"/>
        <v>0.24389449140444164</v>
      </c>
    </row>
    <row r="495" spans="1:26" x14ac:dyDescent="0.25">
      <c r="A495" s="12" t="s">
        <v>921</v>
      </c>
      <c r="B495" s="14" t="str">
        <f>$B$38</f>
        <v>From Fiscal Forecasts</v>
      </c>
      <c r="D495" s="50">
        <f>-'Fiscal Forecasts'!D$403</f>
        <v>-6.8000000000000005E-2</v>
      </c>
      <c r="E495" s="50">
        <f>-'Fiscal Forecasts'!E$403</f>
        <v>-4.3319999999999999</v>
      </c>
      <c r="F495" s="50">
        <f>-'Fiscal Forecasts'!F$403</f>
        <v>-3.6819999999999999</v>
      </c>
      <c r="G495" s="50">
        <f>-'Fiscal Forecasts'!G$403</f>
        <v>2.4279999999999999</v>
      </c>
      <c r="H495" s="50">
        <f>-'Fiscal Forecasts'!H$403</f>
        <v>-0.217</v>
      </c>
      <c r="I495" s="50">
        <f>-'Fiscal Forecasts'!I$403</f>
        <v>-2.54</v>
      </c>
      <c r="J495" s="50">
        <f>-'Fiscal Forecasts'!J$403</f>
        <v>7.0510000000000002</v>
      </c>
      <c r="K495" s="50">
        <f>-'Fiscal Forecasts'!K$403</f>
        <v>4.1369999999999996</v>
      </c>
      <c r="L495" s="48">
        <f>-'Fiscal Forecasts'!L$403</f>
        <v>-0.28000000000000003</v>
      </c>
      <c r="M495" s="48">
        <f>-'Fiscal Forecasts'!M$403</f>
        <v>7.0999999999999994E-2</v>
      </c>
      <c r="N495" s="48">
        <f>-'Fiscal Forecasts'!N$403</f>
        <v>8.5999999999999993E-2</v>
      </c>
      <c r="O495" s="48">
        <f>-'Fiscal Forecasts'!O$403</f>
        <v>9.9000000000000005E-2</v>
      </c>
      <c r="P495" s="48">
        <f>-'Fiscal Forecasts'!P$403</f>
        <v>9.9000000000000005E-2</v>
      </c>
      <c r="Q495" s="20">
        <f t="shared" ref="Q495:Z495" ca="1" si="287">Q$345-P$345</f>
        <v>0.76711439060601805</v>
      </c>
      <c r="R495" s="20">
        <f t="shared" ca="1" si="287"/>
        <v>0.78274786565329535</v>
      </c>
      <c r="S495" s="20">
        <f t="shared" ca="1" si="287"/>
        <v>0.80348503728543008</v>
      </c>
      <c r="T495" s="20">
        <f t="shared" ca="1" si="287"/>
        <v>0.82234284693901216</v>
      </c>
      <c r="U495" s="20">
        <f t="shared" ca="1" si="287"/>
        <v>0.85101854889400386</v>
      </c>
      <c r="V495" s="20">
        <f t="shared" ca="1" si="287"/>
        <v>0.87999690543042774</v>
      </c>
      <c r="W495" s="20">
        <f t="shared" ca="1" si="287"/>
        <v>0.90453569212787244</v>
      </c>
      <c r="X495" s="20">
        <f t="shared" ca="1" si="287"/>
        <v>0.93058257096201302</v>
      </c>
      <c r="Y495" s="20">
        <f t="shared" ca="1" si="287"/>
        <v>0.96149581289981967</v>
      </c>
      <c r="Z495" s="20">
        <f t="shared" ca="1" si="287"/>
        <v>0.99265703894080914</v>
      </c>
    </row>
    <row r="496" spans="1:26" x14ac:dyDescent="0.25">
      <c r="A496" s="11" t="s">
        <v>1414</v>
      </c>
      <c r="D496" s="94">
        <f t="shared" ref="D496:Z496" si="288">SUM(-D$493,D$494,-D$495)</f>
        <v>5.6680000000000001</v>
      </c>
      <c r="E496" s="94">
        <f t="shared" si="288"/>
        <v>-9.370000000000001</v>
      </c>
      <c r="F496" s="94">
        <f t="shared" si="288"/>
        <v>9.9580000000000002</v>
      </c>
      <c r="G496" s="94">
        <f t="shared" si="288"/>
        <v>-1.6509999999999998</v>
      </c>
      <c r="H496" s="94">
        <f t="shared" si="288"/>
        <v>2.9329999999999998</v>
      </c>
      <c r="I496" s="94">
        <f t="shared" si="288"/>
        <v>-5.9009999999999989</v>
      </c>
      <c r="J496" s="94">
        <f t="shared" si="288"/>
        <v>-15.697999999999999</v>
      </c>
      <c r="K496" s="94">
        <f t="shared" si="288"/>
        <v>-6.7619999999999996</v>
      </c>
      <c r="L496" s="95">
        <f t="shared" si="288"/>
        <v>3.5259999999999998</v>
      </c>
      <c r="M496" s="95">
        <f t="shared" si="288"/>
        <v>-0.78</v>
      </c>
      <c r="N496" s="95">
        <f t="shared" si="288"/>
        <v>-1.5450000000000002</v>
      </c>
      <c r="O496" s="95">
        <f t="shared" si="288"/>
        <v>0.22500000000000001</v>
      </c>
      <c r="P496" s="95">
        <f t="shared" si="288"/>
        <v>2.617</v>
      </c>
      <c r="Q496" s="96">
        <f t="shared" ca="1" si="288"/>
        <v>-2.5874688693747574</v>
      </c>
      <c r="R496" s="96">
        <f t="shared" ca="1" si="288"/>
        <v>-2.6402778845516526</v>
      </c>
      <c r="S496" s="96">
        <f t="shared" ca="1" si="288"/>
        <v>-2.7115777500148424</v>
      </c>
      <c r="T496" s="96">
        <f t="shared" ca="1" si="288"/>
        <v>-2.7759553045750227</v>
      </c>
      <c r="U496" s="96">
        <f t="shared" ca="1" si="288"/>
        <v>-2.8759754901623644</v>
      </c>
      <c r="V496" s="96">
        <f t="shared" ca="1" si="288"/>
        <v>-2.9770104149737646</v>
      </c>
      <c r="W496" s="96">
        <f t="shared" ca="1" si="288"/>
        <v>-3.0618012705953781</v>
      </c>
      <c r="X496" s="96">
        <f t="shared" ca="1" si="288"/>
        <v>-3.1519899837143557</v>
      </c>
      <c r="Y496" s="96">
        <f t="shared" ca="1" si="288"/>
        <v>-3.2597955856264127</v>
      </c>
      <c r="Z496" s="96">
        <f t="shared" ca="1" si="288"/>
        <v>-3.3684098385182244</v>
      </c>
    </row>
    <row r="497" spans="1:26" x14ac:dyDescent="0.25">
      <c r="A497" s="11" t="s">
        <v>1415</v>
      </c>
      <c r="D497" s="97" t="str">
        <f t="shared" ref="D497:Z497" si="289">IF(ROUND(SUM(D$489,D$492,D$496),3)=0,"OK","ERROR")</f>
        <v>OK</v>
      </c>
      <c r="E497" s="97" t="str">
        <f t="shared" si="289"/>
        <v>OK</v>
      </c>
      <c r="F497" s="97" t="str">
        <f t="shared" si="289"/>
        <v>OK</v>
      </c>
      <c r="G497" s="97" t="str">
        <f t="shared" si="289"/>
        <v>OK</v>
      </c>
      <c r="H497" s="97" t="str">
        <f t="shared" si="289"/>
        <v>OK</v>
      </c>
      <c r="I497" s="97" t="str">
        <f t="shared" si="289"/>
        <v>OK</v>
      </c>
      <c r="J497" s="97" t="str">
        <f t="shared" si="289"/>
        <v>OK</v>
      </c>
      <c r="K497" s="97" t="str">
        <f t="shared" si="289"/>
        <v>OK</v>
      </c>
      <c r="L497" s="97" t="str">
        <f t="shared" ca="1" si="289"/>
        <v>OK</v>
      </c>
      <c r="M497" s="97" t="str">
        <f t="shared" ca="1" si="289"/>
        <v>OK</v>
      </c>
      <c r="N497" s="97" t="str">
        <f t="shared" ca="1" si="289"/>
        <v>OK</v>
      </c>
      <c r="O497" s="97" t="str">
        <f t="shared" ca="1" si="289"/>
        <v>OK</v>
      </c>
      <c r="P497" s="97" t="str">
        <f t="shared" ca="1" si="289"/>
        <v>OK</v>
      </c>
      <c r="Q497" s="97" t="str">
        <f t="shared" ca="1" si="289"/>
        <v>OK</v>
      </c>
      <c r="R497" s="97" t="str">
        <f t="shared" ca="1" si="289"/>
        <v>OK</v>
      </c>
      <c r="S497" s="97" t="str">
        <f t="shared" ca="1" si="289"/>
        <v>OK</v>
      </c>
      <c r="T497" s="97" t="str">
        <f t="shared" ca="1" si="289"/>
        <v>OK</v>
      </c>
      <c r="U497" s="97" t="str">
        <f t="shared" ca="1" si="289"/>
        <v>OK</v>
      </c>
      <c r="V497" s="97" t="str">
        <f t="shared" ca="1" si="289"/>
        <v>OK</v>
      </c>
      <c r="W497" s="97" t="str">
        <f t="shared" ca="1" si="289"/>
        <v>OK</v>
      </c>
      <c r="X497" s="97" t="str">
        <f t="shared" ca="1" si="289"/>
        <v>OK</v>
      </c>
      <c r="Y497" s="97" t="str">
        <f t="shared" ca="1" si="289"/>
        <v>OK</v>
      </c>
      <c r="Z497" s="97" t="str">
        <f t="shared" ca="1" si="289"/>
        <v>OK</v>
      </c>
    </row>
    <row r="499" spans="1:26" x14ac:dyDescent="0.25">
      <c r="A499" s="57" t="s">
        <v>1416</v>
      </c>
      <c r="B499" s="14" t="str">
        <f>$B$62</f>
        <v>Projected Years only</v>
      </c>
    </row>
    <row r="500" spans="1:26" x14ac:dyDescent="0.25">
      <c r="A500" s="12" t="s">
        <v>1417</v>
      </c>
      <c r="Q500" s="20">
        <f t="shared" ref="Q500:Z500" ca="1" si="290">Q$482-Q$376+Q$375-Q$377</f>
        <v>15.766427081422712</v>
      </c>
      <c r="R500" s="20">
        <f t="shared" ca="1" si="290"/>
        <v>17.981935834519476</v>
      </c>
      <c r="S500" s="20">
        <f t="shared" ca="1" si="290"/>
        <v>20.42568940118392</v>
      </c>
      <c r="T500" s="20">
        <f t="shared" ca="1" si="290"/>
        <v>23.048773068921566</v>
      </c>
      <c r="U500" s="20">
        <f t="shared" ca="1" si="290"/>
        <v>25.795047418982666</v>
      </c>
      <c r="V500" s="20">
        <f t="shared" ca="1" si="290"/>
        <v>28.813591770575822</v>
      </c>
      <c r="W500" s="20">
        <f t="shared" ca="1" si="290"/>
        <v>32.032598786122151</v>
      </c>
      <c r="X500" s="20">
        <f t="shared" ca="1" si="290"/>
        <v>35.456363730132935</v>
      </c>
      <c r="Y500" s="20">
        <f t="shared" ca="1" si="290"/>
        <v>39.142172660264734</v>
      </c>
      <c r="Z500" s="20">
        <f t="shared" ca="1" si="290"/>
        <v>43.070594828504738</v>
      </c>
    </row>
    <row r="501" spans="1:26" x14ac:dyDescent="0.25">
      <c r="A501" s="12" t="s">
        <v>1418</v>
      </c>
      <c r="Q501" s="20">
        <f t="shared" ref="Q501:Z501" ca="1" si="291">Q$488+Q$486-Q$493-SUM(Q$357-P$357,Q$366-P$366,Q$388-P$388,Q$391-P$391,-Q$331)</f>
        <v>-11.657439894115708</v>
      </c>
      <c r="R501" s="20">
        <f t="shared" ca="1" si="291"/>
        <v>-11.897556093088568</v>
      </c>
      <c r="S501" s="20">
        <f t="shared" ca="1" si="291"/>
        <v>-11.99764372743233</v>
      </c>
      <c r="T501" s="20">
        <f t="shared" ca="1" si="291"/>
        <v>-11.927128013614656</v>
      </c>
      <c r="U501" s="20">
        <f t="shared" ca="1" si="291"/>
        <v>-12.097682834852185</v>
      </c>
      <c r="V501" s="20">
        <f t="shared" ca="1" si="291"/>
        <v>-12.32496792281056</v>
      </c>
      <c r="W501" s="20">
        <f t="shared" ca="1" si="291"/>
        <v>-12.625669086098041</v>
      </c>
      <c r="X501" s="20">
        <f t="shared" ca="1" si="291"/>
        <v>-13.020729802903272</v>
      </c>
      <c r="Y501" s="20">
        <f t="shared" ca="1" si="291"/>
        <v>-13.549517746834924</v>
      </c>
      <c r="Z501" s="20">
        <f t="shared" ca="1" si="291"/>
        <v>-14.174540975802103</v>
      </c>
    </row>
    <row r="502" spans="1:26" x14ac:dyDescent="0.25">
      <c r="A502" s="12" t="s">
        <v>914</v>
      </c>
      <c r="Q502" s="20">
        <f t="shared" ref="Q502:Z502" ca="1" si="292">Q$494</f>
        <v>0.20407999999999937</v>
      </c>
      <c r="R502" s="20">
        <f t="shared" ca="1" si="292"/>
        <v>0.20816160000000039</v>
      </c>
      <c r="S502" s="20">
        <f t="shared" ca="1" si="292"/>
        <v>0.21232483200000019</v>
      </c>
      <c r="T502" s="20">
        <f t="shared" ca="1" si="292"/>
        <v>0.21657132864000062</v>
      </c>
      <c r="U502" s="20">
        <f t="shared" ca="1" si="292"/>
        <v>0.22090275521279956</v>
      </c>
      <c r="V502" s="20">
        <f t="shared" ca="1" si="292"/>
        <v>0.22532081031705609</v>
      </c>
      <c r="W502" s="20">
        <f t="shared" ca="1" si="292"/>
        <v>0.2298272265233976</v>
      </c>
      <c r="X502" s="20">
        <f t="shared" ca="1" si="292"/>
        <v>0.23442377105386569</v>
      </c>
      <c r="Y502" s="20">
        <f t="shared" ca="1" si="292"/>
        <v>0.23911224647494222</v>
      </c>
      <c r="Z502" s="20">
        <f t="shared" ca="1" si="292"/>
        <v>0.24389449140444164</v>
      </c>
    </row>
    <row r="503" spans="1:26" x14ac:dyDescent="0.25">
      <c r="A503" s="12" t="s">
        <v>1419</v>
      </c>
      <c r="Q503" s="20">
        <f t="shared" ref="Q503:Z503" ca="1" si="293">SUM(Q$495,Q$344-P$344)-SUM(Q$500:Q$502)</f>
        <v>-3.3411359130088343</v>
      </c>
      <c r="R503" s="20">
        <f t="shared" ca="1" si="293"/>
        <v>-5.2745488658581419</v>
      </c>
      <c r="S503" s="20">
        <f t="shared" ca="1" si="293"/>
        <v>-7.5920642626081634</v>
      </c>
      <c r="T503" s="20">
        <f t="shared" ca="1" si="293"/>
        <v>-10.260632446235244</v>
      </c>
      <c r="U503" s="20">
        <f t="shared" ca="1" si="293"/>
        <v>-12.80257505533964</v>
      </c>
      <c r="V503" s="20">
        <f t="shared" ca="1" si="293"/>
        <v>-15.558163461774335</v>
      </c>
      <c r="W503" s="20">
        <f t="shared" ca="1" si="293"/>
        <v>-18.442630313110268</v>
      </c>
      <c r="X503" s="20">
        <f t="shared" ca="1" si="293"/>
        <v>-21.433212828169722</v>
      </c>
      <c r="Y503" s="20">
        <f t="shared" ca="1" si="293"/>
        <v>-24.543497374751265</v>
      </c>
      <c r="Z503" s="20">
        <f t="shared" ca="1" si="293"/>
        <v>-27.796535659497017</v>
      </c>
    </row>
    <row r="504" spans="1:26" x14ac:dyDescent="0.25">
      <c r="A504" s="11" t="s">
        <v>1420</v>
      </c>
      <c r="Q504" s="96">
        <f t="shared" ref="Q504:Z504" ca="1" si="294">SUM(Q$500:Q$503)</f>
        <v>0.97193127429816961</v>
      </c>
      <c r="R504" s="96">
        <f t="shared" ca="1" si="294"/>
        <v>1.0179924755727665</v>
      </c>
      <c r="S504" s="96">
        <f t="shared" ca="1" si="294"/>
        <v>1.0483062431434274</v>
      </c>
      <c r="T504" s="96">
        <f t="shared" ca="1" si="294"/>
        <v>1.0775839377116672</v>
      </c>
      <c r="U504" s="96">
        <f t="shared" ca="1" si="294"/>
        <v>1.1156922840036412</v>
      </c>
      <c r="V504" s="96">
        <f t="shared" ca="1" si="294"/>
        <v>1.1557811963079843</v>
      </c>
      <c r="W504" s="96">
        <f t="shared" ca="1" si="294"/>
        <v>1.1941266134372377</v>
      </c>
      <c r="X504" s="96">
        <f t="shared" ca="1" si="294"/>
        <v>1.2368448701138064</v>
      </c>
      <c r="Y504" s="96">
        <f t="shared" ca="1" si="294"/>
        <v>1.2882697851534886</v>
      </c>
      <c r="Z504" s="96">
        <f t="shared" ca="1" si="294"/>
        <v>1.3434126846100582</v>
      </c>
    </row>
    <row r="505" spans="1:26" x14ac:dyDescent="0.25">
      <c r="A505" s="57" t="s">
        <v>1198</v>
      </c>
    </row>
    <row r="506" spans="1:26" x14ac:dyDescent="0.25">
      <c r="A506" s="11" t="s">
        <v>1187</v>
      </c>
      <c r="Q506" s="21">
        <f t="shared" ref="Q506:Z506" ca="1" si="295">Q$500</f>
        <v>15.766427081422712</v>
      </c>
      <c r="R506" s="21">
        <f t="shared" ca="1" si="295"/>
        <v>17.981935834519476</v>
      </c>
      <c r="S506" s="21">
        <f t="shared" ca="1" si="295"/>
        <v>20.42568940118392</v>
      </c>
      <c r="T506" s="21">
        <f t="shared" ca="1" si="295"/>
        <v>23.048773068921566</v>
      </c>
      <c r="U506" s="21">
        <f t="shared" ca="1" si="295"/>
        <v>25.795047418982666</v>
      </c>
      <c r="V506" s="21">
        <f t="shared" ca="1" si="295"/>
        <v>28.813591770575822</v>
      </c>
      <c r="W506" s="21">
        <f t="shared" ca="1" si="295"/>
        <v>32.032598786122151</v>
      </c>
      <c r="X506" s="21">
        <f t="shared" ca="1" si="295"/>
        <v>35.456363730132935</v>
      </c>
      <c r="Y506" s="21">
        <f t="shared" ca="1" si="295"/>
        <v>39.142172660264734</v>
      </c>
      <c r="Z506" s="21">
        <f t="shared" ca="1" si="295"/>
        <v>43.070594828504738</v>
      </c>
    </row>
    <row r="507" spans="1:26" x14ac:dyDescent="0.25">
      <c r="A507" s="11" t="s">
        <v>880</v>
      </c>
      <c r="Q507" s="21">
        <f t="shared" ref="Q507:Z507" ca="1" si="296">Q$333</f>
        <v>7.14676994238296</v>
      </c>
      <c r="R507" s="21">
        <f t="shared" ca="1" si="296"/>
        <v>7.5909943092414061</v>
      </c>
      <c r="S507" s="21">
        <f t="shared" ca="1" si="296"/>
        <v>8.0536939626018853</v>
      </c>
      <c r="T507" s="21">
        <f t="shared" ca="1" si="296"/>
        <v>8.5356870366084792</v>
      </c>
      <c r="U507" s="21">
        <f t="shared" ca="1" si="296"/>
        <v>9.0369976447940612</v>
      </c>
      <c r="V507" s="21">
        <f t="shared" ca="1" si="296"/>
        <v>9.5580552593842008</v>
      </c>
      <c r="W507" s="21">
        <f t="shared" ca="1" si="296"/>
        <v>10.103015938972028</v>
      </c>
      <c r="X507" s="21">
        <f t="shared" ca="1" si="296"/>
        <v>10.677265252733729</v>
      </c>
      <c r="Y507" s="21">
        <f t="shared" ca="1" si="296"/>
        <v>11.287227519149274</v>
      </c>
      <c r="Z507" s="21">
        <f t="shared" ca="1" si="296"/>
        <v>11.940036356284908</v>
      </c>
    </row>
    <row r="508" spans="1:26" x14ac:dyDescent="0.25">
      <c r="A508" s="12" t="s">
        <v>1421</v>
      </c>
      <c r="Q508" s="20">
        <f t="shared" ref="Q508:Z508" ca="1" si="297">SUM(Q$215,Q$219)</f>
        <v>3.158094136181139</v>
      </c>
      <c r="R508" s="20">
        <f t="shared" ca="1" si="297"/>
        <v>3.158094136181139</v>
      </c>
      <c r="S508" s="20">
        <f t="shared" ca="1" si="297"/>
        <v>3.158094136181139</v>
      </c>
      <c r="T508" s="20">
        <f t="shared" ca="1" si="297"/>
        <v>3.158094136181139</v>
      </c>
      <c r="U508" s="20">
        <f t="shared" ca="1" si="297"/>
        <v>3.158094136181139</v>
      </c>
      <c r="V508" s="20">
        <f t="shared" ca="1" si="297"/>
        <v>3.158094136181139</v>
      </c>
      <c r="W508" s="20">
        <f t="shared" ca="1" si="297"/>
        <v>3.158094136181139</v>
      </c>
      <c r="X508" s="20">
        <f t="shared" ca="1" si="297"/>
        <v>3.158094136181139</v>
      </c>
      <c r="Y508" s="20">
        <f t="shared" ca="1" si="297"/>
        <v>3.158094136181139</v>
      </c>
      <c r="Z508" s="20">
        <f t="shared" ca="1" si="297"/>
        <v>3.158094136181139</v>
      </c>
    </row>
    <row r="509" spans="1:26" x14ac:dyDescent="0.25">
      <c r="A509" s="12" t="s">
        <v>1422</v>
      </c>
      <c r="Q509" s="20">
        <f t="shared" ref="Q509:Z509" si="298">Q$402</f>
        <v>0.91100000000000003</v>
      </c>
      <c r="R509" s="20">
        <f t="shared" si="298"/>
        <v>0.93799999999999994</v>
      </c>
      <c r="S509" s="20">
        <f t="shared" si="298"/>
        <v>0.96199999999999997</v>
      </c>
      <c r="T509" s="20">
        <f t="shared" si="298"/>
        <v>0.98499999999999999</v>
      </c>
      <c r="U509" s="20">
        <f t="shared" si="298"/>
        <v>1.006</v>
      </c>
      <c r="V509" s="20">
        <f t="shared" si="298"/>
        <v>1.0249999999999999</v>
      </c>
      <c r="W509" s="20">
        <f t="shared" si="298"/>
        <v>1.046</v>
      </c>
      <c r="X509" s="20">
        <f t="shared" si="298"/>
        <v>1.0669999999999999</v>
      </c>
      <c r="Y509" s="20">
        <f t="shared" si="298"/>
        <v>1.0880000000000001</v>
      </c>
      <c r="Z509" s="20">
        <f t="shared" si="298"/>
        <v>1.109</v>
      </c>
    </row>
    <row r="510" spans="1:26" x14ac:dyDescent="0.25">
      <c r="A510" s="12" t="s">
        <v>1423</v>
      </c>
      <c r="Q510" s="20">
        <f t="shared" ref="Q510:Z510" ca="1" si="299">Q$457-P$457</f>
        <v>-2E-3</v>
      </c>
      <c r="R510" s="20">
        <f t="shared" ca="1" si="299"/>
        <v>0</v>
      </c>
      <c r="S510" s="20">
        <f t="shared" ca="1" si="299"/>
        <v>0</v>
      </c>
      <c r="T510" s="20">
        <f t="shared" ca="1" si="299"/>
        <v>0</v>
      </c>
      <c r="U510" s="20">
        <f t="shared" ca="1" si="299"/>
        <v>0</v>
      </c>
      <c r="V510" s="20">
        <f t="shared" ca="1" si="299"/>
        <v>0</v>
      </c>
      <c r="W510" s="20">
        <f t="shared" ca="1" si="299"/>
        <v>0</v>
      </c>
      <c r="X510" s="20">
        <f t="shared" ca="1" si="299"/>
        <v>0</v>
      </c>
      <c r="Y510" s="20">
        <f t="shared" ca="1" si="299"/>
        <v>0</v>
      </c>
      <c r="Z510" s="20">
        <f t="shared" ca="1" si="299"/>
        <v>0</v>
      </c>
    </row>
    <row r="511" spans="1:26" x14ac:dyDescent="0.25">
      <c r="A511" s="12" t="s">
        <v>769</v>
      </c>
      <c r="Q511" s="20">
        <f t="shared" ref="Q511:Z511" ca="1" si="300">-Q$340</f>
        <v>-1.0435308893054404E-2</v>
      </c>
      <c r="R511" s="20">
        <f t="shared" ca="1" si="300"/>
        <v>-1.0879489201897944E-2</v>
      </c>
      <c r="S511" s="20">
        <f t="shared" ca="1" si="300"/>
        <v>-1.1335437084572445E-2</v>
      </c>
      <c r="T511" s="20">
        <f t="shared" ca="1" si="300"/>
        <v>-1.1802086073035397E-2</v>
      </c>
      <c r="U511" s="20">
        <f t="shared" ca="1" si="300"/>
        <v>-1.2285007456109151E-2</v>
      </c>
      <c r="V511" s="20">
        <f t="shared" ca="1" si="300"/>
        <v>-1.2784372979015064E-2</v>
      </c>
      <c r="W511" s="20">
        <f t="shared" ca="1" si="300"/>
        <v>-1.3297663350946046E-2</v>
      </c>
      <c r="X511" s="20">
        <f t="shared" ca="1" si="300"/>
        <v>-1.3825734358114281E-2</v>
      </c>
      <c r="Y511" s="20">
        <f t="shared" ca="1" si="300"/>
        <v>-1.4371347480635113E-2</v>
      </c>
      <c r="Z511" s="20">
        <f t="shared" ca="1" si="300"/>
        <v>-1.4934643440266305E-2</v>
      </c>
    </row>
    <row r="512" spans="1:26" x14ac:dyDescent="0.25">
      <c r="A512" s="11" t="s">
        <v>1201</v>
      </c>
      <c r="Q512" s="96">
        <f t="shared" ref="Q512:Z512" ca="1" si="301">-SUM(Q$508:Q$511)</f>
        <v>-4.0566588272880848</v>
      </c>
      <c r="R512" s="96">
        <f t="shared" ca="1" si="301"/>
        <v>-4.0852146469792414</v>
      </c>
      <c r="S512" s="96">
        <f t="shared" ca="1" si="301"/>
        <v>-4.1087586990965663</v>
      </c>
      <c r="T512" s="96">
        <f t="shared" ca="1" si="301"/>
        <v>-4.1312920501081036</v>
      </c>
      <c r="U512" s="96">
        <f t="shared" ca="1" si="301"/>
        <v>-4.1518091287250298</v>
      </c>
      <c r="V512" s="96">
        <f t="shared" ca="1" si="301"/>
        <v>-4.1703097632021242</v>
      </c>
      <c r="W512" s="96">
        <f t="shared" ca="1" si="301"/>
        <v>-4.1907964728301925</v>
      </c>
      <c r="X512" s="96">
        <f t="shared" ca="1" si="301"/>
        <v>-4.2112684018230242</v>
      </c>
      <c r="Y512" s="96">
        <f t="shared" ca="1" si="301"/>
        <v>-4.2317227887005036</v>
      </c>
      <c r="Z512" s="96">
        <f t="shared" ca="1" si="301"/>
        <v>-4.2521594927408728</v>
      </c>
    </row>
    <row r="513" spans="1:26" x14ac:dyDescent="0.25">
      <c r="A513" s="12" t="s">
        <v>932</v>
      </c>
      <c r="Q513" s="20">
        <f t="shared" ref="Q513:Z513" ca="1" si="302">Q$353-P$353</f>
        <v>2.0661762245445985</v>
      </c>
      <c r="R513" s="20">
        <f t="shared" ca="1" si="302"/>
        <v>1.4600176332306631</v>
      </c>
      <c r="S513" s="20">
        <f t="shared" ca="1" si="302"/>
        <v>1.5263917121380999</v>
      </c>
      <c r="T513" s="20">
        <f t="shared" ca="1" si="302"/>
        <v>1.6149352938287009</v>
      </c>
      <c r="U513" s="20">
        <f t="shared" ca="1" si="302"/>
        <v>1.6834669547481838</v>
      </c>
      <c r="V513" s="20">
        <f t="shared" ca="1" si="302"/>
        <v>1.7381131977647186</v>
      </c>
      <c r="W513" s="20">
        <f t="shared" ca="1" si="302"/>
        <v>1.7878752867330405</v>
      </c>
      <c r="X513" s="20">
        <f t="shared" ca="1" si="302"/>
        <v>1.8422492730019542</v>
      </c>
      <c r="Y513" s="20">
        <f t="shared" ca="1" si="302"/>
        <v>1.9064132360937975</v>
      </c>
      <c r="Z513" s="20">
        <f t="shared" ca="1" si="302"/>
        <v>1.9732144013817177</v>
      </c>
    </row>
    <row r="514" spans="1:26" x14ac:dyDescent="0.25">
      <c r="A514" s="12" t="s">
        <v>933</v>
      </c>
      <c r="Q514" s="20">
        <f t="shared" ref="Q514:Z514" ca="1" si="303">Q$404-Q$332</f>
        <v>0.70568000000000031</v>
      </c>
      <c r="R514" s="20">
        <f t="shared" ca="1" si="303"/>
        <v>0.74441360000000034</v>
      </c>
      <c r="S514" s="20">
        <f t="shared" ca="1" si="303"/>
        <v>0.78120187200000035</v>
      </c>
      <c r="T514" s="20">
        <f t="shared" ca="1" si="303"/>
        <v>0.81504590944000044</v>
      </c>
      <c r="U514" s="20">
        <f t="shared" ca="1" si="303"/>
        <v>0.84694682762880036</v>
      </c>
      <c r="V514" s="20">
        <f t="shared" ca="1" si="303"/>
        <v>0.87990576418137634</v>
      </c>
      <c r="W514" s="20">
        <f t="shared" ca="1" si="303"/>
        <v>0.91292387946500386</v>
      </c>
      <c r="X514" s="20">
        <f t="shared" ca="1" si="303"/>
        <v>0.94800235705430402</v>
      </c>
      <c r="Y514" s="20">
        <f t="shared" ca="1" si="303"/>
        <v>0.98414240419539001</v>
      </c>
      <c r="Z514" s="20">
        <f t="shared" ca="1" si="303"/>
        <v>1.020345252279298</v>
      </c>
    </row>
    <row r="515" spans="1:26" x14ac:dyDescent="0.25">
      <c r="A515" s="12" t="s">
        <v>934</v>
      </c>
      <c r="Q515" s="20">
        <f t="shared" ref="Q515:Z515" ca="1" si="304">Q$409-P$409</f>
        <v>3.2200000000000006E-2</v>
      </c>
      <c r="R515" s="20">
        <f t="shared" ca="1" si="304"/>
        <v>3.2844000000000095E-2</v>
      </c>
      <c r="S515" s="20">
        <f t="shared" ca="1" si="304"/>
        <v>3.3500880000000066E-2</v>
      </c>
      <c r="T515" s="20">
        <f t="shared" ca="1" si="304"/>
        <v>3.4170897600000139E-2</v>
      </c>
      <c r="U515" s="20">
        <f t="shared" ca="1" si="304"/>
        <v>3.4854315552000026E-2</v>
      </c>
      <c r="V515" s="20">
        <f t="shared" ca="1" si="304"/>
        <v>3.5551401863040066E-2</v>
      </c>
      <c r="W515" s="20">
        <f t="shared" ca="1" si="304"/>
        <v>3.626242990030093E-2</v>
      </c>
      <c r="X515" s="20">
        <f t="shared" ca="1" si="304"/>
        <v>3.6987678498306753E-2</v>
      </c>
      <c r="Y515" s="20">
        <f t="shared" ca="1" si="304"/>
        <v>3.7727432068273004E-2</v>
      </c>
      <c r="Z515" s="20">
        <f t="shared" ca="1" si="304"/>
        <v>3.8481980709638375E-2</v>
      </c>
    </row>
    <row r="516" spans="1:26" x14ac:dyDescent="0.25">
      <c r="A516" s="12" t="s">
        <v>935</v>
      </c>
      <c r="Q516" s="20">
        <f t="shared" ref="Q516:Z516" ca="1" si="305">Q$413-P$413</f>
        <v>5.5760000000000254E-2</v>
      </c>
      <c r="R516" s="20">
        <f t="shared" ca="1" si="305"/>
        <v>5.6875199999999904E-2</v>
      </c>
      <c r="S516" s="20">
        <f t="shared" ca="1" si="305"/>
        <v>5.8012704000000248E-2</v>
      </c>
      <c r="T516" s="20">
        <f t="shared" ca="1" si="305"/>
        <v>5.9172958080000004E-2</v>
      </c>
      <c r="U516" s="20">
        <f t="shared" ca="1" si="305"/>
        <v>6.0356417241600013E-2</v>
      </c>
      <c r="V516" s="20">
        <f t="shared" ca="1" si="305"/>
        <v>6.1563545586432067E-2</v>
      </c>
      <c r="W516" s="20">
        <f t="shared" ca="1" si="305"/>
        <v>6.2794816498160877E-2</v>
      </c>
      <c r="X516" s="20">
        <f t="shared" ca="1" si="305"/>
        <v>6.4050712828124023E-2</v>
      </c>
      <c r="Y516" s="20">
        <f t="shared" ca="1" si="305"/>
        <v>6.5331727084686264E-2</v>
      </c>
      <c r="Z516" s="20">
        <f t="shared" ca="1" si="305"/>
        <v>6.6638361626380149E-2</v>
      </c>
    </row>
    <row r="517" spans="1:26" x14ac:dyDescent="0.25">
      <c r="A517" s="12" t="s">
        <v>1424</v>
      </c>
      <c r="Q517" s="20">
        <f t="shared" ref="Q517:Z517" ca="1" si="306">Q$449-P$449</f>
        <v>8.796000000000026E-2</v>
      </c>
      <c r="R517" s="20">
        <f t="shared" ca="1" si="306"/>
        <v>8.9719199999999999E-2</v>
      </c>
      <c r="S517" s="20">
        <f t="shared" ca="1" si="306"/>
        <v>9.1513584000000314E-2</v>
      </c>
      <c r="T517" s="20">
        <f t="shared" ca="1" si="306"/>
        <v>9.3343855680000143E-2</v>
      </c>
      <c r="U517" s="20">
        <f t="shared" ca="1" si="306"/>
        <v>9.5210732793600039E-2</v>
      </c>
      <c r="V517" s="20">
        <f t="shared" ca="1" si="306"/>
        <v>9.7114947449472133E-2</v>
      </c>
      <c r="W517" s="20">
        <f t="shared" ca="1" si="306"/>
        <v>9.9057246398461807E-2</v>
      </c>
      <c r="X517" s="20">
        <f t="shared" ca="1" si="306"/>
        <v>0.10103839132643078</v>
      </c>
      <c r="Y517" s="20">
        <f t="shared" ca="1" si="306"/>
        <v>0.10305915915295927</v>
      </c>
      <c r="Z517" s="20">
        <f t="shared" ca="1" si="306"/>
        <v>0.10512034233601852</v>
      </c>
    </row>
    <row r="518" spans="1:26" x14ac:dyDescent="0.25">
      <c r="A518" s="12" t="s">
        <v>1425</v>
      </c>
      <c r="Q518" s="20">
        <f t="shared" ref="Q518:Z518" ca="1" si="307">SUM(Q$445-P$445,Q$453-P$453,Q$470-P$470)</f>
        <v>1.3021319609048261</v>
      </c>
      <c r="R518" s="20">
        <f t="shared" ca="1" si="307"/>
        <v>0.72576436882820339</v>
      </c>
      <c r="S518" s="20">
        <f t="shared" ca="1" si="307"/>
        <v>0.78466556332240245</v>
      </c>
      <c r="T518" s="20">
        <f t="shared" ca="1" si="307"/>
        <v>0.84542571045022452</v>
      </c>
      <c r="U518" s="20">
        <f t="shared" ca="1" si="307"/>
        <v>0.87499685539716854</v>
      </c>
      <c r="V518" s="20">
        <f t="shared" ca="1" si="307"/>
        <v>0.90101483077512068</v>
      </c>
      <c r="W518" s="20">
        <f t="shared" ca="1" si="307"/>
        <v>0.92678489200126446</v>
      </c>
      <c r="X518" s="20">
        <f t="shared" ca="1" si="307"/>
        <v>0.95538415760039275</v>
      </c>
      <c r="Y518" s="20">
        <f t="shared" ca="1" si="307"/>
        <v>0.9888911176477917</v>
      </c>
      <c r="Z518" s="20">
        <f t="shared" ca="1" si="307"/>
        <v>1.0248805675749617</v>
      </c>
    </row>
    <row r="519" spans="1:26" x14ac:dyDescent="0.25">
      <c r="A519" s="12" t="s">
        <v>1426</v>
      </c>
      <c r="Q519" s="20">
        <f t="shared" ref="Q519:Z519" si="308">Q$463-P$463</f>
        <v>-0.17211321626617426</v>
      </c>
      <c r="R519" s="20">
        <f t="shared" si="308"/>
        <v>-0.17596649722735647</v>
      </c>
      <c r="S519" s="20">
        <f t="shared" si="308"/>
        <v>-0.17725092421441779</v>
      </c>
      <c r="T519" s="20">
        <f t="shared" si="308"/>
        <v>-0.17767906654343824</v>
      </c>
      <c r="U519" s="20">
        <f t="shared" si="308"/>
        <v>-0.17168507393715338</v>
      </c>
      <c r="V519" s="20">
        <f t="shared" si="308"/>
        <v>-0.16954436229205205</v>
      </c>
      <c r="W519" s="20">
        <f t="shared" si="308"/>
        <v>-0.1669755083179294</v>
      </c>
      <c r="X519" s="20">
        <f t="shared" si="308"/>
        <v>-0.16397851201478764</v>
      </c>
      <c r="Y519" s="20">
        <f t="shared" si="308"/>
        <v>-0.1596970887245841</v>
      </c>
      <c r="Z519" s="20">
        <f t="shared" si="308"/>
        <v>-0.15584380776340101</v>
      </c>
    </row>
    <row r="520" spans="1:26" x14ac:dyDescent="0.25">
      <c r="A520" s="11" t="s">
        <v>938</v>
      </c>
      <c r="Q520" s="96">
        <f t="shared" ref="Q520:Z520" ca="1" si="309">SUM(Q$513:Q$516)-SUM(Q$517:Q$519)</f>
        <v>1.6418374799059468</v>
      </c>
      <c r="R520" s="96">
        <f t="shared" ca="1" si="309"/>
        <v>1.6546333616298166</v>
      </c>
      <c r="S520" s="96">
        <f t="shared" ca="1" si="309"/>
        <v>1.7001789450301157</v>
      </c>
      <c r="T520" s="96">
        <f t="shared" ca="1" si="309"/>
        <v>1.7622345593619149</v>
      </c>
      <c r="U520" s="96">
        <f t="shared" ca="1" si="309"/>
        <v>1.8271020009169685</v>
      </c>
      <c r="V520" s="96">
        <f t="shared" ca="1" si="309"/>
        <v>1.8865484934630263</v>
      </c>
      <c r="W520" s="96">
        <f t="shared" ca="1" si="309"/>
        <v>1.9409897825147095</v>
      </c>
      <c r="X520" s="96">
        <f t="shared" ca="1" si="309"/>
        <v>1.9988459844706532</v>
      </c>
      <c r="Y520" s="96">
        <f t="shared" ca="1" si="309"/>
        <v>2.0613616113659798</v>
      </c>
      <c r="Z520" s="96">
        <f t="shared" ca="1" si="309"/>
        <v>2.1245228938494547</v>
      </c>
    </row>
    <row r="521" spans="1:26" x14ac:dyDescent="0.25">
      <c r="A521" s="11" t="s">
        <v>1204</v>
      </c>
      <c r="Q521" s="96">
        <f t="shared" ref="Q521:Z521" ca="1" si="310">SUM(Q$506,Q$507,Q$512,Q$520)</f>
        <v>20.498375676423535</v>
      </c>
      <c r="R521" s="96">
        <f t="shared" ca="1" si="310"/>
        <v>23.142348858411456</v>
      </c>
      <c r="S521" s="96">
        <f t="shared" ca="1" si="310"/>
        <v>26.070803609719356</v>
      </c>
      <c r="T521" s="96">
        <f t="shared" ca="1" si="310"/>
        <v>29.215402614783855</v>
      </c>
      <c r="U521" s="96">
        <f t="shared" ca="1" si="310"/>
        <v>32.507337935968664</v>
      </c>
      <c r="V521" s="96">
        <f t="shared" ca="1" si="310"/>
        <v>36.087885760220921</v>
      </c>
      <c r="W521" s="96">
        <f t="shared" ca="1" si="310"/>
        <v>39.885808034778698</v>
      </c>
      <c r="X521" s="96">
        <f t="shared" ca="1" si="310"/>
        <v>43.921206565514296</v>
      </c>
      <c r="Y521" s="96">
        <f t="shared" ca="1" si="310"/>
        <v>48.25903900207949</v>
      </c>
      <c r="Z521" s="96">
        <f t="shared" ca="1" si="310"/>
        <v>52.882994585898224</v>
      </c>
    </row>
    <row r="522" spans="1:26" x14ac:dyDescent="0.25">
      <c r="A522" s="60" t="s">
        <v>1427</v>
      </c>
      <c r="Q522" s="97" t="str">
        <f t="shared" ref="Q522:Z522" ca="1" si="311">IF(ROUND(Q$49-Q$521,3)=0,"OK","ERROR")</f>
        <v>OK</v>
      </c>
      <c r="R522" s="97" t="str">
        <f t="shared" ca="1" si="311"/>
        <v>OK</v>
      </c>
      <c r="S522" s="97" t="str">
        <f t="shared" ca="1" si="311"/>
        <v>OK</v>
      </c>
      <c r="T522" s="97" t="str">
        <f t="shared" ca="1" si="311"/>
        <v>OK</v>
      </c>
      <c r="U522" s="97" t="str">
        <f t="shared" ca="1" si="311"/>
        <v>OK</v>
      </c>
      <c r="V522" s="97" t="str">
        <f t="shared" ca="1" si="311"/>
        <v>OK</v>
      </c>
      <c r="W522" s="97" t="str">
        <f t="shared" ca="1" si="311"/>
        <v>OK</v>
      </c>
      <c r="X522" s="97" t="str">
        <f t="shared" ca="1" si="311"/>
        <v>OK</v>
      </c>
      <c r="Y522" s="97" t="str">
        <f t="shared" ca="1" si="311"/>
        <v>OK</v>
      </c>
      <c r="Z522" s="97" t="str">
        <f t="shared" ca="1" si="311"/>
        <v>OK</v>
      </c>
    </row>
    <row r="524" spans="1:26" x14ac:dyDescent="0.25">
      <c r="A524" s="11" t="s">
        <v>1428</v>
      </c>
    </row>
    <row r="525" spans="1:26" x14ac:dyDescent="0.25">
      <c r="A525" s="12" t="s">
        <v>1429</v>
      </c>
      <c r="B525" s="14" t="str">
        <f>$B$38</f>
        <v>From Fiscal Forecasts</v>
      </c>
      <c r="D525" s="50">
        <f>Exogenous!$B$81*'Fiscal Forecasts'!D$58</f>
        <v>3.3978480000000002</v>
      </c>
      <c r="E525" s="50">
        <f>Exogenous!$B$81*'Fiscal Forecasts'!E$58</f>
        <v>3.6997259999999996</v>
      </c>
      <c r="F525" s="50">
        <f>Exogenous!$B$81*'Fiscal Forecasts'!F$58</f>
        <v>4.2378239999999998</v>
      </c>
      <c r="G525" s="50">
        <f>Exogenous!$B$81*'Fiscal Forecasts'!G$58</f>
        <v>5.1672659999999997</v>
      </c>
      <c r="H525" s="50">
        <f>Exogenous!$B$81*'Fiscal Forecasts'!H$58</f>
        <v>5.2989540000000002</v>
      </c>
      <c r="I525" s="50">
        <f>Exogenous!$B$81*'Fiscal Forecasts'!I$58</f>
        <v>5.5798139999999998</v>
      </c>
      <c r="J525" s="50">
        <f>Exogenous!$B$81*'Fiscal Forecasts'!J$58</f>
        <v>5.6378459999999997</v>
      </c>
      <c r="K525" s="50">
        <f>Exogenous!$B$81*'Fiscal Forecasts'!K$58</f>
        <v>6.1225620000000003</v>
      </c>
      <c r="L525" s="48">
        <f>Exogenous!$B$81*('Fiscal Forecasts'!L$58+Allocation!C$11+IF($C$2="Yes",'Fiscal Forecast Adjuster'!C$47,0))</f>
        <v>6.3194355599999996</v>
      </c>
      <c r="M525" s="48">
        <f>Exogenous!$B$81*('Fiscal Forecasts'!M$58+Allocation!D$11+IF($C$2="Yes",'Fiscal Forecast Adjuster'!D$47,0))</f>
        <v>6.4906857599999999</v>
      </c>
      <c r="N525" s="48">
        <f>Exogenous!$B$81*('Fiscal Forecasts'!N$58+Allocation!E$11+IF($C$2="Yes",'Fiscal Forecast Adjuster'!E$47,0))</f>
        <v>6.6639615000000001</v>
      </c>
      <c r="O525" s="48">
        <f>Exogenous!$B$81*('Fiscal Forecasts'!O$58+Allocation!F$11+IF($C$2="Yes",'Fiscal Forecast Adjuster'!F$47,0))</f>
        <v>6.8695770599999992</v>
      </c>
      <c r="P525" s="48">
        <f>Exogenous!$B$81*('Fiscal Forecasts'!P$58+Allocation!G$11+IF($C$2="Yes",'Fiscal Forecast Adjuster'!G$47,0))</f>
        <v>7.0595221199999996</v>
      </c>
      <c r="Q525" s="20">
        <f ca="1">P$525*(1+SUMPRODUCT(Exogenous!$B$84:$B$101,'Population Treasury'!AB$239:AB$256)/('Population Treasury'!AB$275/'Population Treasury'!AA$275)+SUMPRODUCT(Exogenous!$C$84:$C$101,'Population Treasury'!AB$257:AB$274)/('Population Treasury'!AB$277/'Population Treasury'!AA$277))*(1+Q$25)*(1+Q$29)*(1+OFFSET(Assumptions!$B$62,0,$C$1))</f>
        <v>7.4289136356005177</v>
      </c>
      <c r="R525" s="20">
        <f ca="1">Q$525*(1+SUMPRODUCT(Exogenous!$B$84:$B$101,'Population Treasury'!AC$239:AC$256)/('Population Treasury'!AC$275/'Population Treasury'!AB$275)+SUMPRODUCT(Exogenous!$C$84:$C$101,'Population Treasury'!AC$257:AC$274)/('Population Treasury'!AC$277/'Population Treasury'!AB$277))*(1+R$25)*(1+R$29)*(1+OFFSET(Assumptions!$B$62,0,$C$1))</f>
        <v>7.8089864545948906</v>
      </c>
      <c r="S525" s="20">
        <f ca="1">R$525*(1+SUMPRODUCT(Exogenous!$B$84:$B$101,'Population Treasury'!AD$239:AD$256)/('Population Treasury'!AD$275/'Population Treasury'!AC$275)+SUMPRODUCT(Exogenous!$C$84:$C$101,'Population Treasury'!AD$257:AD$274)/('Population Treasury'!AD$277/'Population Treasury'!AC$277))*(1+S$25)*(1+S$29)*(1+OFFSET(Assumptions!$B$62,0,$C$1))</f>
        <v>8.2004967158157598</v>
      </c>
      <c r="T525" s="20">
        <f ca="1">S$525*(1+SUMPRODUCT(Exogenous!$B$84:$B$101,'Population Treasury'!AE$239:AE$256)/('Population Treasury'!AE$275/'Population Treasury'!AD$275)+SUMPRODUCT(Exogenous!$C$84:$C$101,'Population Treasury'!AE$257:AE$274)/('Population Treasury'!AE$277/'Population Treasury'!AD$277))*(1+T$25)*(1+T$29)*(1+OFFSET(Assumptions!$B$62,0,$C$1))</f>
        <v>8.6077692084863369</v>
      </c>
      <c r="U525" s="20">
        <f ca="1">T$525*(1+SUMPRODUCT(Exogenous!$B$84:$B$101,'Population Treasury'!AF$239:AF$256)/('Population Treasury'!AF$275/'Population Treasury'!AE$275)+SUMPRODUCT(Exogenous!$C$84:$C$101,'Population Treasury'!AF$257:AF$274)/('Population Treasury'!AF$277/'Population Treasury'!AE$277))*(1+U$25)*(1+U$29)*(1+OFFSET(Assumptions!$B$62,0,$C$1))</f>
        <v>9.0327962198194633</v>
      </c>
      <c r="V525" s="20">
        <f ca="1">U$525*(1+SUMPRODUCT(Exogenous!$B$84:$B$101,'Population Treasury'!AG$239:AG$256)/('Population Treasury'!AG$275/'Population Treasury'!AF$275)+SUMPRODUCT(Exogenous!$C$84:$C$101,'Population Treasury'!AG$257:AG$274)/('Population Treasury'!AG$277/'Population Treasury'!AF$277))*(1+V$25)*(1+V$29)*(1+OFFSET(Assumptions!$B$62,0,$C$1))</f>
        <v>9.4765936735039134</v>
      </c>
      <c r="W525" s="20">
        <f ca="1">V$525*(1+SUMPRODUCT(Exogenous!$B$84:$B$101,'Population Treasury'!AH$239:AH$256)/('Population Treasury'!AH$275/'Population Treasury'!AG$275)+SUMPRODUCT(Exogenous!$C$84:$C$101,'Population Treasury'!AH$257:AH$274)/('Population Treasury'!AH$277/'Population Treasury'!AG$277))*(1+W$25)*(1+W$29)*(1+OFFSET(Assumptions!$B$62,0,$C$1))</f>
        <v>9.9379445038904652</v>
      </c>
      <c r="X525" s="20">
        <f ca="1">W$525*(1+SUMPRODUCT(Exogenous!$B$84:$B$101,'Population Treasury'!AI$239:AI$256)/('Population Treasury'!AI$275/'Population Treasury'!AH$275)+SUMPRODUCT(Exogenous!$C$84:$C$101,'Population Treasury'!AI$257:AI$274)/('Population Treasury'!AI$277/'Population Treasury'!AH$277))*(1+X$25)*(1+X$29)*(1+OFFSET(Assumptions!$B$62,0,$C$1))</f>
        <v>10.418112207876447</v>
      </c>
      <c r="Y525" s="20">
        <f ca="1">X$525*(1+SUMPRODUCT(Exogenous!$B$84:$B$101,'Population Treasury'!AJ$239:AJ$256)/('Population Treasury'!AJ$275/'Population Treasury'!AI$275)+SUMPRODUCT(Exogenous!$C$84:$C$101,'Population Treasury'!AJ$257:AJ$274)/('Population Treasury'!AJ$277/'Population Treasury'!AI$277))*(1+Y$25)*(1+Y$29)*(1+OFFSET(Assumptions!$B$62,0,$C$1))</f>
        <v>10.920632978553819</v>
      </c>
      <c r="Z525" s="20">
        <f ca="1">Y$525*(1+SUMPRODUCT(Exogenous!$B$84:$B$101,'Population Treasury'!AK$239:AK$256)/('Population Treasury'!AK$275/'Population Treasury'!AJ$275)+SUMPRODUCT(Exogenous!$C$84:$C$101,'Population Treasury'!AK$257:AK$274)/('Population Treasury'!AK$277/'Population Treasury'!AJ$277))*(1+Z$25)*(1+Z$29)*(1+OFFSET(Assumptions!$B$62,0,$C$1))</f>
        <v>11.444226989175426</v>
      </c>
    </row>
    <row r="526" spans="1:26" x14ac:dyDescent="0.25">
      <c r="A526" s="12" t="s">
        <v>1430</v>
      </c>
      <c r="B526" s="14" t="str">
        <f>$B$38</f>
        <v>From Fiscal Forecasts</v>
      </c>
      <c r="D526" s="50">
        <f>Exogenous!$E$81*'Fiscal Forecasts'!D$58</f>
        <v>10.540635999999999</v>
      </c>
      <c r="E526" s="50">
        <f>Exogenous!$E$81*'Fiscal Forecasts'!E$58</f>
        <v>11.477106999999998</v>
      </c>
      <c r="F526" s="50">
        <f>Exogenous!$E$81*'Fiscal Forecasts'!F$58</f>
        <v>13.146367999999999</v>
      </c>
      <c r="G526" s="50">
        <f>Exogenous!$E$81*'Fiscal Forecasts'!G$58</f>
        <v>16.029636999999997</v>
      </c>
      <c r="H526" s="50">
        <f>Exogenous!$E$81*'Fiscal Forecasts'!H$58</f>
        <v>16.438153</v>
      </c>
      <c r="I526" s="50">
        <f>Exogenous!$E$81*'Fiscal Forecasts'!I$58</f>
        <v>17.309422999999999</v>
      </c>
      <c r="J526" s="50">
        <f>Exogenous!$E$81*'Fiscal Forecasts'!J$58</f>
        <v>17.489446999999998</v>
      </c>
      <c r="K526" s="50">
        <f>Exogenous!$E$81*'Fiscal Forecasts'!K$58</f>
        <v>18.993109</v>
      </c>
      <c r="L526" s="48">
        <f>Exogenous!$E$81*('Fiscal Forecasts'!L$58+Allocation!C$11+IF($C$2="Yes",'Fiscal Forecast Adjuster'!C$47,0))</f>
        <v>19.603840419999997</v>
      </c>
      <c r="M526" s="48">
        <f>Exogenous!$E$81*('Fiscal Forecasts'!M$58+Allocation!D$11+IF($C$2="Yes",'Fiscal Forecast Adjuster'!D$47,0))</f>
        <v>20.135084320000001</v>
      </c>
      <c r="N526" s="48">
        <f>Exogenous!$E$81*('Fiscal Forecasts'!N$58+Allocation!E$11+IF($C$2="Yes",'Fiscal Forecast Adjuster'!E$47,0))</f>
        <v>20.672611749999998</v>
      </c>
      <c r="O526" s="48">
        <f>Exogenous!$E$81*('Fiscal Forecasts'!O$58+Allocation!F$11+IF($C$2="Yes",'Fiscal Forecast Adjuster'!F$47,0))</f>
        <v>21.310462169999997</v>
      </c>
      <c r="P526" s="48">
        <f>Exogenous!$E$81*('Fiscal Forecasts'!P$58+Allocation!G$11+IF($C$2="Yes",'Fiscal Forecast Adjuster'!G$47,0))</f>
        <v>21.899700339999999</v>
      </c>
      <c r="Q526" s="20">
        <f ca="1">P$526*(1+SUMPRODUCT(Exogenous!$E$84:$E$101,'Population Treasury'!AB$239:AB$256)/('Population Treasury'!AB$275/'Population Treasury'!AA$275)+SUMPRODUCT(Exogenous!$F$84:$F$101,'Population Treasury'!AB$257:AB$274)/('Population Treasury'!AB$277/'Population Treasury'!AA$277))*(1+Q$25)*(1+Q$29)*(1+OFFSET(Assumptions!$B$62,0,$C$1))</f>
        <v>23.052601947296143</v>
      </c>
      <c r="R526" s="20">
        <f ca="1">Q$526*(1+SUMPRODUCT(Exogenous!$E$84:$E$101,'Population Treasury'!AC$239:AC$256)/('Population Treasury'!AC$275/'Population Treasury'!AB$275)+SUMPRODUCT(Exogenous!$F$84:$F$101,'Population Treasury'!AC$257:AC$274)/('Population Treasury'!AC$277/'Population Treasury'!AB$277))*(1+R$25)*(1+R$29)*(1+OFFSET(Assumptions!$B$62,0,$C$1))</f>
        <v>24.234511086806748</v>
      </c>
      <c r="S526" s="20">
        <f ca="1">R$526*(1+SUMPRODUCT(Exogenous!$E$84:$E$101,'Population Treasury'!AD$239:AD$256)/('Population Treasury'!AD$275/'Population Treasury'!AC$275)+SUMPRODUCT(Exogenous!$F$84:$F$101,'Population Treasury'!AD$257:AD$274)/('Population Treasury'!AD$277/'Population Treasury'!AC$277))*(1+S$25)*(1+S$29)*(1+OFFSET(Assumptions!$B$62,0,$C$1))</f>
        <v>25.451344799096869</v>
      </c>
      <c r="T526" s="20">
        <f ca="1">S$526*(1+SUMPRODUCT(Exogenous!$E$84:$E$101,'Population Treasury'!AE$239:AE$256)/('Population Treasury'!AE$275/'Population Treasury'!AD$275)+SUMPRODUCT(Exogenous!$F$84:$F$101,'Population Treasury'!AE$257:AE$274)/('Population Treasury'!AE$277/'Population Treasury'!AD$277))*(1+T$25)*(1+T$29)*(1+OFFSET(Assumptions!$B$62,0,$C$1))</f>
        <v>26.712076249096864</v>
      </c>
      <c r="U526" s="20">
        <f ca="1">T$526*(1+SUMPRODUCT(Exogenous!$E$84:$E$101,'Population Treasury'!AF$239:AF$256)/('Population Treasury'!AF$275/'Population Treasury'!AE$275)+SUMPRODUCT(Exogenous!$F$84:$F$101,'Population Treasury'!AF$257:AF$274)/('Population Treasury'!AF$277/'Population Treasury'!AE$277))*(1+U$25)*(1+U$29)*(1+OFFSET(Assumptions!$B$62,0,$C$1))</f>
        <v>28.029342885296561</v>
      </c>
      <c r="V526" s="20">
        <f ca="1">U$526*(1+SUMPRODUCT(Exogenous!$E$84:$E$101,'Population Treasury'!AG$239:AG$256)/('Population Treasury'!AG$275/'Population Treasury'!AF$275)+SUMPRODUCT(Exogenous!$F$84:$F$101,'Population Treasury'!AG$257:AG$274)/('Population Treasury'!AG$277/'Population Treasury'!AF$277))*(1+V$25)*(1+V$29)*(1+OFFSET(Assumptions!$B$62,0,$C$1))</f>
        <v>29.410650097994946</v>
      </c>
      <c r="W526" s="20">
        <f ca="1">V$526*(1+SUMPRODUCT(Exogenous!$E$84:$E$101,'Population Treasury'!AH$239:AH$256)/('Population Treasury'!AH$275/'Population Treasury'!AG$275)+SUMPRODUCT(Exogenous!$F$84:$F$101,'Population Treasury'!AH$257:AH$274)/('Population Treasury'!AH$277/'Population Treasury'!AG$277))*(1+W$25)*(1+W$29)*(1+OFFSET(Assumptions!$B$62,0,$C$1))</f>
        <v>30.84858233451013</v>
      </c>
      <c r="X526" s="20">
        <f ca="1">W$526*(1+SUMPRODUCT(Exogenous!$E$84:$E$101,'Population Treasury'!AI$239:AI$256)/('Population Treasury'!AI$275/'Population Treasury'!AH$275)+SUMPRODUCT(Exogenous!$F$84:$F$101,'Population Treasury'!AI$257:AI$274)/('Population Treasury'!AI$277/'Population Treasury'!AH$277))*(1+X$25)*(1+X$29)*(1+OFFSET(Assumptions!$B$62,0,$C$1))</f>
        <v>32.348987844377653</v>
      </c>
      <c r="Y526" s="20">
        <f ca="1">X$526*(1+SUMPRODUCT(Exogenous!$E$84:$E$101,'Population Treasury'!AJ$239:AJ$256)/('Population Treasury'!AJ$275/'Population Treasury'!AI$275)+SUMPRODUCT(Exogenous!$F$84:$F$101,'Population Treasury'!AJ$257:AJ$274)/('Population Treasury'!AJ$277/'Population Treasury'!AI$277))*(1+Y$25)*(1+Y$29)*(1+OFFSET(Assumptions!$B$62,0,$C$1))</f>
        <v>33.915625471157881</v>
      </c>
      <c r="Z526" s="20">
        <f ca="1">Y$526*(1+SUMPRODUCT(Exogenous!$E$84:$E$101,'Population Treasury'!AK$239:AK$256)/('Population Treasury'!AK$275/'Population Treasury'!AJ$275)+SUMPRODUCT(Exogenous!$F$84:$F$101,'Population Treasury'!AK$257:AK$274)/('Population Treasury'!AK$277/'Population Treasury'!AJ$277))*(1+Z$25)*(1+Z$29)*(1+OFFSET(Assumptions!$B$62,0,$C$1))</f>
        <v>35.551773266129644</v>
      </c>
    </row>
    <row r="527" spans="1:26" x14ac:dyDescent="0.25">
      <c r="A527" s="12" t="s">
        <v>1431</v>
      </c>
      <c r="B527" s="14" t="str">
        <f>$B$38</f>
        <v>From Fiscal Forecasts</v>
      </c>
      <c r="D527" s="50">
        <f>Exogenous!$H$81*'Fiscal Forecasts'!D$58</f>
        <v>1.6806559999999999</v>
      </c>
      <c r="E527" s="50">
        <f>Exogenous!$H$81*'Fiscal Forecasts'!E$58</f>
        <v>1.8299719999999997</v>
      </c>
      <c r="F527" s="50">
        <f>Exogenous!$H$81*'Fiscal Forecasts'!F$58</f>
        <v>2.0961279999999998</v>
      </c>
      <c r="G527" s="50">
        <f>Exogenous!$H$81*'Fiscal Forecasts'!G$58</f>
        <v>2.5558519999999998</v>
      </c>
      <c r="H527" s="50">
        <f>Exogenous!$H$81*'Fiscal Forecasts'!H$58</f>
        <v>2.6209880000000001</v>
      </c>
      <c r="I527" s="50">
        <f>Exogenous!$H$81*'Fiscal Forecasts'!I$58</f>
        <v>2.7599079999999998</v>
      </c>
      <c r="J527" s="50">
        <f>Exogenous!$H$81*'Fiscal Forecasts'!J$58</f>
        <v>2.7886120000000001</v>
      </c>
      <c r="K527" s="50">
        <f>Exogenous!$H$81*'Fiscal Forecasts'!K$58</f>
        <v>3.0283640000000003</v>
      </c>
      <c r="L527" s="48">
        <f>Exogenous!$H$81*('Fiscal Forecasts'!L$58+Allocation!C$11+IF($C$2="Yes",'Fiscal Forecast Adjuster'!C$47,0))</f>
        <v>3.1257423199999996</v>
      </c>
      <c r="M527" s="48">
        <f>Exogenous!$H$81*('Fiscal Forecasts'!M$58+Allocation!D$11+IF($C$2="Yes",'Fiscal Forecast Adjuster'!D$47,0))</f>
        <v>3.2104467200000002</v>
      </c>
      <c r="N527" s="48">
        <f>Exogenous!$H$81*('Fiscal Forecasts'!N$58+Allocation!E$11+IF($C$2="Yes",'Fiscal Forecast Adjuster'!E$47,0))</f>
        <v>3.2961529999999999</v>
      </c>
      <c r="O527" s="48">
        <f>Exogenous!$H$81*('Fiscal Forecasts'!O$58+Allocation!F$11+IF($C$2="Yes",'Fiscal Forecast Adjuster'!F$47,0))</f>
        <v>3.3978553199999997</v>
      </c>
      <c r="P527" s="48">
        <f>Exogenous!$H$81*('Fiscal Forecasts'!P$58+Allocation!G$11+IF($C$2="Yes",'Fiscal Forecast Adjuster'!G$47,0))</f>
        <v>3.4918066399999996</v>
      </c>
      <c r="Q527" s="20">
        <f ca="1">P$527*(1+SUMPRODUCT(Exogenous!$H$84:$H$101,'Population Treasury'!AB$239:AB$256)/('Population Treasury'!AB$275/'Population Treasury'!AA$275)+SUMPRODUCT(Exogenous!$I$84:$I$101,'Population Treasury'!AB$257:AB$274)/('Population Treasury'!AB$277/'Population Treasury'!AA$277))*(1+Q$25)*(1+Q$29)*(1+OFFSET(Assumptions!$B$62,0,$C$1))</f>
        <v>3.6537129003716093</v>
      </c>
      <c r="R527" s="20">
        <f ca="1">Q$527*(1+SUMPRODUCT(Exogenous!$H$84:$H$101,'Population Treasury'!AC$239:AC$256)/('Population Treasury'!AC$275/'Population Treasury'!AB$275)+SUMPRODUCT(Exogenous!$I$84:$I$101,'Population Treasury'!AC$257:AC$274)/('Population Treasury'!AC$277/'Population Treasury'!AB$277))*(1+R$25)*(1+R$29)*(1+OFFSET(Assumptions!$B$62,0,$C$1))</f>
        <v>3.8193038881661181</v>
      </c>
      <c r="S527" s="20">
        <f ca="1">R$527*(1+SUMPRODUCT(Exogenous!$H$84:$H$101,'Population Treasury'!AD$239:AD$256)/('Population Treasury'!AD$275/'Population Treasury'!AC$275)+SUMPRODUCT(Exogenous!$I$84:$I$101,'Population Treasury'!AD$257:AD$274)/('Population Treasury'!AD$277/'Population Treasury'!AC$277))*(1+S$25)*(1+S$29)*(1+OFFSET(Assumptions!$B$62,0,$C$1))</f>
        <v>3.9901051321366552</v>
      </c>
      <c r="T527" s="20">
        <f ca="1">S$527*(1+SUMPRODUCT(Exogenous!$H$84:$H$101,'Population Treasury'!AE$239:AE$256)/('Population Treasury'!AE$275/'Population Treasury'!AD$275)+SUMPRODUCT(Exogenous!$I$84:$I$101,'Population Treasury'!AE$257:AE$274)/('Population Treasury'!AE$277/'Population Treasury'!AD$277))*(1+T$25)*(1+T$29)*(1+OFFSET(Assumptions!$B$62,0,$C$1))</f>
        <v>4.1671390190779007</v>
      </c>
      <c r="U527" s="20">
        <f ca="1">T$527*(1+SUMPRODUCT(Exogenous!$H$84:$H$101,'Population Treasury'!AF$239:AF$256)/('Population Treasury'!AF$275/'Population Treasury'!AE$275)+SUMPRODUCT(Exogenous!$I$84:$I$101,'Population Treasury'!AF$257:AF$274)/('Population Treasury'!AF$277/'Population Treasury'!AE$277))*(1+U$25)*(1+U$29)*(1+OFFSET(Assumptions!$B$62,0,$C$1))</f>
        <v>4.3519758878716051</v>
      </c>
      <c r="V527" s="20">
        <f ca="1">U$527*(1+SUMPRODUCT(Exogenous!$H$84:$H$101,'Population Treasury'!AG$239:AG$256)/('Population Treasury'!AG$275/'Population Treasury'!AF$275)+SUMPRODUCT(Exogenous!$I$84:$I$101,'Population Treasury'!AG$257:AG$274)/('Population Treasury'!AG$277/'Population Treasury'!AF$277))*(1+V$25)*(1+V$29)*(1+OFFSET(Assumptions!$B$62,0,$C$1))</f>
        <v>4.545102903131367</v>
      </c>
      <c r="W527" s="20">
        <f ca="1">V$527*(1+SUMPRODUCT(Exogenous!$H$84:$H$101,'Population Treasury'!AH$239:AH$256)/('Population Treasury'!AH$275/'Population Treasury'!AG$275)+SUMPRODUCT(Exogenous!$I$84:$I$101,'Population Treasury'!AH$257:AH$274)/('Population Treasury'!AH$277/'Population Treasury'!AG$277))*(1+W$25)*(1+W$29)*(1+OFFSET(Assumptions!$B$62,0,$C$1))</f>
        <v>4.7428816365340367</v>
      </c>
      <c r="X527" s="20">
        <f ca="1">W$527*(1+SUMPRODUCT(Exogenous!$H$84:$H$101,'Population Treasury'!AI$239:AI$256)/('Population Treasury'!AI$275/'Population Treasury'!AH$275)+SUMPRODUCT(Exogenous!$I$84:$I$101,'Population Treasury'!AI$257:AI$274)/('Population Treasury'!AI$277/'Population Treasury'!AH$277))*(1+X$25)*(1+X$29)*(1+OFFSET(Assumptions!$B$62,0,$C$1))</f>
        <v>4.9484375652464072</v>
      </c>
      <c r="Y527" s="20">
        <f ca="1">X$527*(1+SUMPRODUCT(Exogenous!$H$84:$H$101,'Population Treasury'!AJ$239:AJ$256)/('Population Treasury'!AJ$275/'Population Treasury'!AI$275)+SUMPRODUCT(Exogenous!$I$84:$I$101,'Population Treasury'!AJ$257:AJ$274)/('Population Treasury'!AJ$277/'Population Treasury'!AI$277))*(1+Y$25)*(1+Y$29)*(1+OFFSET(Assumptions!$B$62,0,$C$1))</f>
        <v>5.1636257897273579</v>
      </c>
      <c r="Z527" s="20">
        <f ca="1">Y$527*(1+SUMPRODUCT(Exogenous!$H$84:$H$101,'Population Treasury'!AK$239:AK$256)/('Population Treasury'!AK$275/'Population Treasury'!AJ$275)+SUMPRODUCT(Exogenous!$I$84:$I$101,'Population Treasury'!AK$257:AK$274)/('Population Treasury'!AK$277/'Population Treasury'!AJ$277))*(1+Z$25)*(1+Z$29)*(1+OFFSET(Assumptions!$B$62,0,$C$1))</f>
        <v>5.3870590363441053</v>
      </c>
    </row>
    <row r="528" spans="1:26" x14ac:dyDescent="0.25">
      <c r="A528" s="12" t="s">
        <v>1432</v>
      </c>
      <c r="B528" s="14" t="str">
        <f>$B$38</f>
        <v>From Fiscal Forecasts</v>
      </c>
      <c r="D528" s="50">
        <f>Exogenous!$K$81*'Fiscal Forecasts'!D$58</f>
        <v>1.3701000000000001</v>
      </c>
      <c r="E528" s="50">
        <f>Exogenous!$K$81*'Fiscal Forecasts'!E$58</f>
        <v>1.4918249999999997</v>
      </c>
      <c r="F528" s="50">
        <f>Exogenous!$K$81*'Fiscal Forecasts'!F$58</f>
        <v>1.7087999999999999</v>
      </c>
      <c r="G528" s="50">
        <f>Exogenous!$K$81*'Fiscal Forecasts'!G$58</f>
        <v>2.0835749999999997</v>
      </c>
      <c r="H528" s="50">
        <f>Exogenous!$K$81*'Fiscal Forecasts'!H$58</f>
        <v>2.1366749999999999</v>
      </c>
      <c r="I528" s="50">
        <f>Exogenous!$K$81*'Fiscal Forecasts'!I$58</f>
        <v>2.2499249999999997</v>
      </c>
      <c r="J528" s="50">
        <f>Exogenous!$K$81*'Fiscal Forecasts'!J$58</f>
        <v>2.2733249999999998</v>
      </c>
      <c r="K528" s="50">
        <f>Exogenous!$K$81*'Fiscal Forecasts'!K$58</f>
        <v>2.4687749999999999</v>
      </c>
      <c r="L528" s="48">
        <f>Exogenous!$K$81*('Fiscal Forecasts'!L$58+Allocation!C$11+IF($C$2="Yes",'Fiscal Forecast Adjuster'!C$47,0))</f>
        <v>2.5481594999999997</v>
      </c>
      <c r="M528" s="48">
        <f>Exogenous!$K$81*('Fiscal Forecasts'!M$58+Allocation!D$11+IF($C$2="Yes",'Fiscal Forecast Adjuster'!D$47,0))</f>
        <v>2.6172119999999999</v>
      </c>
      <c r="N528" s="48">
        <f>Exogenous!$K$81*('Fiscal Forecasts'!N$58+Allocation!E$11+IF($C$2="Yes",'Fiscal Forecast Adjuster'!E$47,0))</f>
        <v>2.6870812499999999</v>
      </c>
      <c r="O528" s="48">
        <f>Exogenous!$K$81*('Fiscal Forecasts'!O$58+Allocation!F$11+IF($C$2="Yes",'Fiscal Forecast Adjuster'!F$47,0))</f>
        <v>2.7699907499999994</v>
      </c>
      <c r="P528" s="48">
        <f>Exogenous!$K$81*('Fiscal Forecasts'!P$58+Allocation!G$11+IF($C$2="Yes",'Fiscal Forecast Adjuster'!G$47,0))</f>
        <v>2.8465814999999997</v>
      </c>
      <c r="Q528" s="20">
        <f ca="1">P$528*(1+SUMPRODUCT(Exogenous!$K$84:$K$101,'Population Treasury'!AB$239:AB$256)/('Population Treasury'!AB$276/'Population Treasury'!AA$276)+SUMPRODUCT(Exogenous!$L$84:$L$101,'Population Treasury'!AB$257:AB$274)/('Population Treasury'!AB$278/'Population Treasury'!AA$278))*(1+Q$25)*(1+Q$29)*(1+OFFSET(Assumptions!$B$62,0,$C$1))</f>
        <v>3.0874855282296045</v>
      </c>
      <c r="R528" s="20">
        <f ca="1">Q$528*(1+SUMPRODUCT(Exogenous!$K$84:$K$101,'Population Treasury'!AC$239:AC$256)/('Population Treasury'!AC$276/'Population Treasury'!AB$276)+SUMPRODUCT(Exogenous!$L$84:$L$101,'Population Treasury'!AC$257:AC$274)/('Population Treasury'!AC$278/'Population Treasury'!AB$278))*(1+R$25)*(1+R$29)*(1+OFFSET(Assumptions!$B$62,0,$C$1))</f>
        <v>3.3319428592428166</v>
      </c>
      <c r="S528" s="20">
        <f ca="1">R$528*(1+SUMPRODUCT(Exogenous!$K$84:$K$101,'Population Treasury'!AD$239:AD$256)/('Population Treasury'!AD$276/'Population Treasury'!AC$276)+SUMPRODUCT(Exogenous!$L$84:$L$101,'Population Treasury'!AD$257:AD$274)/('Population Treasury'!AD$278/'Population Treasury'!AC$278))*(1+S$25)*(1+S$29)*(1+OFFSET(Assumptions!$B$62,0,$C$1))</f>
        <v>3.5790959442523009</v>
      </c>
      <c r="T528" s="20">
        <f ca="1">S$528*(1+SUMPRODUCT(Exogenous!$K$84:$K$101,'Population Treasury'!AE$239:AE$256)/('Population Treasury'!AE$276/'Population Treasury'!AD$276)+SUMPRODUCT(Exogenous!$L$84:$L$101,'Population Treasury'!AE$257:AE$274)/('Population Treasury'!AE$278/'Population Treasury'!AD$278))*(1+T$25)*(1+T$29)*(1+OFFSET(Assumptions!$B$62,0,$C$1))</f>
        <v>3.8385640344022876</v>
      </c>
      <c r="U528" s="20">
        <f ca="1">T$528*(1+SUMPRODUCT(Exogenous!$K$84:$K$101,'Population Treasury'!AF$239:AF$256)/('Population Treasury'!AF$276/'Population Treasury'!AE$276)+SUMPRODUCT(Exogenous!$L$84:$L$101,'Population Treasury'!AF$257:AF$274)/('Population Treasury'!AF$278/'Population Treasury'!AE$278))*(1+U$25)*(1+U$29)*(1+OFFSET(Assumptions!$B$62,0,$C$1))</f>
        <v>4.1054307609820002</v>
      </c>
      <c r="V528" s="20">
        <f ca="1">U$528*(1+SUMPRODUCT(Exogenous!$K$84:$K$101,'Population Treasury'!AG$239:AG$256)/('Population Treasury'!AG$276/'Population Treasury'!AF$276)+SUMPRODUCT(Exogenous!$L$84:$L$101,'Population Treasury'!AG$257:AG$274)/('Population Treasury'!AG$278/'Population Treasury'!AF$278))*(1+V$25)*(1+V$29)*(1+OFFSET(Assumptions!$B$62,0,$C$1))</f>
        <v>4.3871140108467168</v>
      </c>
      <c r="W528" s="20">
        <f ca="1">V$528*(1+SUMPRODUCT(Exogenous!$K$84:$K$101,'Population Treasury'!AH$239:AH$256)/('Population Treasury'!AH$276/'Population Treasury'!AG$276)+SUMPRODUCT(Exogenous!$L$84:$L$101,'Population Treasury'!AH$257:AH$274)/('Population Treasury'!AH$278/'Population Treasury'!AG$278))*(1+W$25)*(1+W$29)*(1+OFFSET(Assumptions!$B$62,0,$C$1))</f>
        <v>4.6806104282027867</v>
      </c>
      <c r="X528" s="20">
        <f ca="1">W$528*(1+SUMPRODUCT(Exogenous!$K$84:$K$101,'Population Treasury'!AI$239:AI$256)/('Population Treasury'!AI$276/'Population Treasury'!AH$276)+SUMPRODUCT(Exogenous!$L$84:$L$101,'Population Treasury'!AI$257:AI$274)/('Population Treasury'!AI$278/'Population Treasury'!AH$278))*(1+X$25)*(1+X$29)*(1+OFFSET(Assumptions!$B$62,0,$C$1))</f>
        <v>4.9923185868644184</v>
      </c>
      <c r="Y528" s="20">
        <f ca="1">X$528*(1+SUMPRODUCT(Exogenous!$K$84:$K$101,'Population Treasury'!AJ$239:AJ$256)/('Population Treasury'!AJ$276/'Population Treasury'!AI$276)+SUMPRODUCT(Exogenous!$L$84:$L$101,'Population Treasury'!AJ$257:AJ$274)/('Population Treasury'!AJ$278/'Population Treasury'!AI$278))*(1+Y$25)*(1+Y$29)*(1+OFFSET(Assumptions!$B$62,0,$C$1))</f>
        <v>5.3166139956171197</v>
      </c>
      <c r="Z528" s="20">
        <f ca="1">Y$528*(1+SUMPRODUCT(Exogenous!$K$84:$K$101,'Population Treasury'!AK$239:AK$256)/('Population Treasury'!AK$276/'Population Treasury'!AJ$276)+SUMPRODUCT(Exogenous!$L$84:$L$101,'Population Treasury'!AK$257:AK$274)/('Population Treasury'!AK$278/'Population Treasury'!AJ$278))*(1+Z$25)*(1+Z$29)*(1+OFFSET(Assumptions!$B$62,0,$C$1))</f>
        <v>5.6609245870496947</v>
      </c>
    </row>
    <row r="529" spans="1:26" x14ac:dyDescent="0.25">
      <c r="A529" s="12" t="s">
        <v>1433</v>
      </c>
      <c r="B529" s="14" t="str">
        <f>$B$38</f>
        <v>From Fiscal Forecasts</v>
      </c>
      <c r="D529" s="50">
        <f>Exogenous!$N$81*'Fiscal Forecasts'!D$58</f>
        <v>1.2787600000000001</v>
      </c>
      <c r="E529" s="50">
        <f>Exogenous!$N$81*'Fiscal Forecasts'!E$58</f>
        <v>1.3923700000000001</v>
      </c>
      <c r="F529" s="50">
        <f>Exogenous!$N$81*'Fiscal Forecasts'!F$58</f>
        <v>1.5948800000000001</v>
      </c>
      <c r="G529" s="50">
        <f>Exogenous!$N$81*'Fiscal Forecasts'!G$58</f>
        <v>1.9446700000000001</v>
      </c>
      <c r="H529" s="50">
        <f>Exogenous!$N$81*'Fiscal Forecasts'!H$58</f>
        <v>1.9942300000000002</v>
      </c>
      <c r="I529" s="50">
        <f>Exogenous!$N$81*'Fiscal Forecasts'!I$58</f>
        <v>2.0999300000000001</v>
      </c>
      <c r="J529" s="50">
        <f>Exogenous!$N$81*'Fiscal Forecasts'!J$58</f>
        <v>2.1217700000000002</v>
      </c>
      <c r="K529" s="50">
        <f>Exogenous!$N$81*'Fiscal Forecasts'!K$58</f>
        <v>2.3041900000000002</v>
      </c>
      <c r="L529" s="48">
        <f>Exogenous!$N$81*('Fiscal Forecasts'!L$58+Allocation!C$11+IF($C$2="Yes",'Fiscal Forecast Adjuster'!C$47,0))</f>
        <v>2.3782822000000001</v>
      </c>
      <c r="M529" s="48">
        <f>Exogenous!$N$81*('Fiscal Forecasts'!M$58+Allocation!D$11+IF($C$2="Yes",'Fiscal Forecast Adjuster'!D$47,0))</f>
        <v>2.4427312000000003</v>
      </c>
      <c r="N529" s="48">
        <f>Exogenous!$N$81*('Fiscal Forecasts'!N$58+Allocation!E$11+IF($C$2="Yes",'Fiscal Forecast Adjuster'!E$47,0))</f>
        <v>2.5079425000000004</v>
      </c>
      <c r="O529" s="48">
        <f>Exogenous!$N$81*('Fiscal Forecasts'!O$58+Allocation!F$11+IF($C$2="Yes",'Fiscal Forecast Adjuster'!F$47,0))</f>
        <v>2.5853247000000001</v>
      </c>
      <c r="P529" s="48">
        <f>Exogenous!$N$81*('Fiscal Forecasts'!P$58+Allocation!G$11+IF($C$2="Yes",'Fiscal Forecast Adjuster'!G$47,0))</f>
        <v>2.6568094000000002</v>
      </c>
      <c r="Q529" s="20">
        <f ca="1">P$529*(1+SUMPRODUCT(Exogenous!$N$84:$N$101,'Population Treasury'!AB$239:AB$256)/('Population Treasury'!AB$276/'Population Treasury'!AA$276)+SUMPRODUCT(Exogenous!$O$84:$O$101,'Population Treasury'!AB$257:AB$274)/('Population Treasury'!AB$278/'Population Treasury'!AA$278))*(1+Q$25)*(1+Q$29)*(1+OFFSET(Assumptions!$B$62,0,$C$1))</f>
        <v>2.860532667525741</v>
      </c>
      <c r="R529" s="20">
        <f ca="1">Q$529*(1+SUMPRODUCT(Exogenous!$N$84:$N$101,'Population Treasury'!AC$239:AC$256)/('Population Treasury'!AC$276/'Population Treasury'!AB$276)+SUMPRODUCT(Exogenous!$O$84:$O$101,'Population Treasury'!AC$257:AC$274)/('Population Treasury'!AC$278/'Population Treasury'!AB$278))*(1+R$25)*(1+R$29)*(1+OFFSET(Assumptions!$B$62,0,$C$1))</f>
        <v>3.0681927900839883</v>
      </c>
      <c r="S529" s="20">
        <f ca="1">R$529*(1+SUMPRODUCT(Exogenous!$N$84:$N$101,'Population Treasury'!AD$239:AD$256)/('Population Treasury'!AD$276/'Population Treasury'!AC$276)+SUMPRODUCT(Exogenous!$O$84:$O$101,'Population Treasury'!AD$257:AD$274)/('Population Treasury'!AD$278/'Population Treasury'!AC$278))*(1+S$25)*(1+S$29)*(1+OFFSET(Assumptions!$B$62,0,$C$1))</f>
        <v>3.2799278302759483</v>
      </c>
      <c r="T529" s="20">
        <f ca="1">S$529*(1+SUMPRODUCT(Exogenous!$N$84:$N$101,'Population Treasury'!AE$239:AE$256)/('Population Treasury'!AE$276/'Population Treasury'!AD$276)+SUMPRODUCT(Exogenous!$O$84:$O$101,'Population Treasury'!AE$257:AE$274)/('Population Treasury'!AE$278/'Population Treasury'!AD$278))*(1+T$25)*(1+T$29)*(1+OFFSET(Assumptions!$B$62,0,$C$1))</f>
        <v>3.5003944589464093</v>
      </c>
      <c r="U529" s="20">
        <f ca="1">T$529*(1+SUMPRODUCT(Exogenous!$N$84:$N$101,'Population Treasury'!AF$239:AF$256)/('Population Treasury'!AF$276/'Population Treasury'!AE$276)+SUMPRODUCT(Exogenous!$O$84:$O$101,'Population Treasury'!AF$257:AF$274)/('Population Treasury'!AF$278/'Population Treasury'!AE$278))*(1+U$25)*(1+U$29)*(1+OFFSET(Assumptions!$B$62,0,$C$1))</f>
        <v>3.7290545008005065</v>
      </c>
      <c r="V529" s="20">
        <f ca="1">U$529*(1+SUMPRODUCT(Exogenous!$N$84:$N$101,'Population Treasury'!AG$239:AG$256)/('Population Treasury'!AG$276/'Population Treasury'!AF$276)+SUMPRODUCT(Exogenous!$O$84:$O$101,'Population Treasury'!AG$257:AG$274)/('Population Treasury'!AG$278/'Population Treasury'!AF$278))*(1+V$25)*(1+V$29)*(1+OFFSET(Assumptions!$B$62,0,$C$1))</f>
        <v>3.9690540100741778</v>
      </c>
      <c r="W529" s="20">
        <f ca="1">V$529*(1+SUMPRODUCT(Exogenous!$N$84:$N$101,'Population Treasury'!AH$239:AH$256)/('Population Treasury'!AH$276/'Population Treasury'!AG$276)+SUMPRODUCT(Exogenous!$O$84:$O$101,'Population Treasury'!AH$257:AH$274)/('Population Treasury'!AH$278/'Population Treasury'!AG$278))*(1+W$25)*(1+W$29)*(1+OFFSET(Assumptions!$B$62,0,$C$1))</f>
        <v>4.2183855861107116</v>
      </c>
      <c r="X529" s="20">
        <f ca="1">W$529*(1+SUMPRODUCT(Exogenous!$N$84:$N$101,'Population Treasury'!AI$239:AI$256)/('Population Treasury'!AI$276/'Population Treasury'!AH$276)+SUMPRODUCT(Exogenous!$O$84:$O$101,'Population Treasury'!AI$257:AI$274)/('Population Treasury'!AI$278/'Population Treasury'!AH$278))*(1+X$25)*(1+X$29)*(1+OFFSET(Assumptions!$B$62,0,$C$1))</f>
        <v>4.4808322631300177</v>
      </c>
      <c r="Y529" s="20">
        <f ca="1">X$529*(1+SUMPRODUCT(Exogenous!$N$84:$N$101,'Population Treasury'!AJ$239:AJ$256)/('Population Treasury'!AJ$276/'Population Treasury'!AI$276)+SUMPRODUCT(Exogenous!$O$84:$O$101,'Population Treasury'!AJ$257:AJ$274)/('Population Treasury'!AJ$278/'Population Treasury'!AI$278))*(1+Y$25)*(1+Y$29)*(1+OFFSET(Assumptions!$B$62,0,$C$1))</f>
        <v>4.7521146106172338</v>
      </c>
      <c r="Z529" s="20">
        <f ca="1">Y$529*(1+SUMPRODUCT(Exogenous!$N$84:$N$101,'Population Treasury'!AK$239:AK$256)/('Population Treasury'!AK$276/'Population Treasury'!AJ$276)+SUMPRODUCT(Exogenous!$O$84:$O$101,'Population Treasury'!AK$257:AK$274)/('Population Treasury'!AK$278/'Population Treasury'!AJ$278))*(1+Z$25)*(1+Z$29)*(1+OFFSET(Assumptions!$B$62,0,$C$1))</f>
        <v>5.0381418012433974</v>
      </c>
    </row>
    <row r="530" spans="1:26" x14ac:dyDescent="0.25">
      <c r="A530" s="11" t="s">
        <v>1275</v>
      </c>
      <c r="D530" s="94">
        <f t="shared" ref="D530:Z530" si="312">SUM(D$525:D$529)</f>
        <v>18.268000000000001</v>
      </c>
      <c r="E530" s="94">
        <f t="shared" si="312"/>
        <v>19.890999999999998</v>
      </c>
      <c r="F530" s="94">
        <f t="shared" si="312"/>
        <v>22.783999999999999</v>
      </c>
      <c r="G530" s="94">
        <f t="shared" si="312"/>
        <v>27.780999999999999</v>
      </c>
      <c r="H530" s="94">
        <f t="shared" si="312"/>
        <v>28.489000000000004</v>
      </c>
      <c r="I530" s="94">
        <f t="shared" si="312"/>
        <v>29.998999999999999</v>
      </c>
      <c r="J530" s="94">
        <f t="shared" si="312"/>
        <v>30.311</v>
      </c>
      <c r="K530" s="94">
        <f t="shared" si="312"/>
        <v>32.917000000000002</v>
      </c>
      <c r="L530" s="95">
        <f t="shared" si="312"/>
        <v>33.975459999999998</v>
      </c>
      <c r="M530" s="95">
        <f t="shared" si="312"/>
        <v>34.896160000000002</v>
      </c>
      <c r="N530" s="95">
        <f t="shared" si="312"/>
        <v>35.827749999999995</v>
      </c>
      <c r="O530" s="95">
        <f t="shared" si="312"/>
        <v>36.933209999999995</v>
      </c>
      <c r="P530" s="95">
        <f t="shared" si="312"/>
        <v>37.954419999999999</v>
      </c>
      <c r="Q530" s="96">
        <f t="shared" ca="1" si="312"/>
        <v>40.083246679023617</v>
      </c>
      <c r="R530" s="96">
        <f t="shared" ca="1" si="312"/>
        <v>42.262937078894559</v>
      </c>
      <c r="S530" s="96">
        <f t="shared" ca="1" si="312"/>
        <v>44.500970421577534</v>
      </c>
      <c r="T530" s="96">
        <f t="shared" ca="1" si="312"/>
        <v>46.825942970009798</v>
      </c>
      <c r="U530" s="96">
        <f t="shared" ca="1" si="312"/>
        <v>49.248600254770139</v>
      </c>
      <c r="V530" s="96">
        <f t="shared" ca="1" si="312"/>
        <v>51.788514695551115</v>
      </c>
      <c r="W530" s="96">
        <f t="shared" ca="1" si="312"/>
        <v>54.428404489248138</v>
      </c>
      <c r="X530" s="96">
        <f t="shared" ca="1" si="312"/>
        <v>57.188688467494948</v>
      </c>
      <c r="Y530" s="96">
        <f t="shared" ca="1" si="312"/>
        <v>60.068612845673407</v>
      </c>
      <c r="Z530" s="96">
        <f t="shared" ca="1" si="312"/>
        <v>63.082125679942266</v>
      </c>
    </row>
    <row r="532" spans="1:26" x14ac:dyDescent="0.25">
      <c r="A532" s="11" t="s">
        <v>1277</v>
      </c>
    </row>
    <row r="533" spans="1:26" x14ac:dyDescent="0.25">
      <c r="A533" s="12" t="s">
        <v>728</v>
      </c>
      <c r="B533" s="14" t="str">
        <f>$B$38</f>
        <v>From Fiscal Forecasts</v>
      </c>
      <c r="D533" s="50">
        <f>'Fiscal Forecasts'!D$408</f>
        <v>1.8959999999999999</v>
      </c>
      <c r="E533" s="50">
        <f>'Fiscal Forecasts'!E$408</f>
        <v>2.0070000000000001</v>
      </c>
      <c r="F533" s="50">
        <f>'Fiscal Forecasts'!F$408</f>
        <v>2.1320000000000001</v>
      </c>
      <c r="G533" s="50">
        <f>'Fiscal Forecasts'!G$408</f>
        <v>2.2469999999999999</v>
      </c>
      <c r="H533" s="50">
        <f>'Fiscal Forecasts'!H$408</f>
        <v>2.355</v>
      </c>
      <c r="I533" s="50">
        <f>'Fiscal Forecasts'!I$408</f>
        <v>2.71</v>
      </c>
      <c r="J533" s="50">
        <f>'Fiscal Forecasts'!J$408</f>
        <v>3.0739999999999998</v>
      </c>
      <c r="K533" s="50">
        <f>'Fiscal Forecasts'!K$408</f>
        <v>3.0179999999999998</v>
      </c>
      <c r="L533" s="48">
        <f>'Fiscal Forecasts'!L$408+Allocation!C$24+IF($C$2="Yes",'Fiscal Forecast Adjuster'!C$60,0)</f>
        <v>3.05780165</v>
      </c>
      <c r="M533" s="48">
        <f>'Fiscal Forecasts'!M$408+Allocation!D$24+IF($C$2="Yes",'Fiscal Forecast Adjuster'!D$60,0)</f>
        <v>3.2386334000000003</v>
      </c>
      <c r="N533" s="48">
        <f>'Fiscal Forecasts'!N$408+Allocation!E$24+IF($C$2="Yes",'Fiscal Forecast Adjuster'!E$60,0)</f>
        <v>3.3726093750000001</v>
      </c>
      <c r="O533" s="48">
        <f>'Fiscal Forecasts'!O$408+Allocation!F$24+IF($C$2="Yes",'Fiscal Forecast Adjuster'!F$60,0)</f>
        <v>3.5015535249999998</v>
      </c>
      <c r="P533" s="48">
        <f>'Fiscal Forecasts'!P$408+Allocation!G$24+IF($C$2="Yes",'Fiscal Forecast Adjuster'!G$60,0)</f>
        <v>3.6058670499999996</v>
      </c>
      <c r="Q533" s="20">
        <f ca="1">P$533*(1+SUMPRODUCT(Exogenous!$B$67:$B$72,'Population Treasury'!AB$280:AB$285)+SUMPRODUCT(Exogenous!$C$67:$C$72,'Population Treasury'!AB$304:AB$309))*(1+Q$25)*(1+Q$29)*(1+OFFSET(Assumptions!$B$63,0,$C$1))</f>
        <v>3.7381593928494494</v>
      </c>
      <c r="R533" s="20">
        <f ca="1">Q$533*(1+SUMPRODUCT(Exogenous!$B$67:$B$72,'Population Treasury'!AC$280:AC$285)+SUMPRODUCT(Exogenous!$C$67:$C$72,'Population Treasury'!AC$304:AC$309))*(1+R$25)*(1+R$29)*(1+OFFSET(Assumptions!$B$63,0,$C$1))</f>
        <v>3.8735749199424725</v>
      </c>
      <c r="S533" s="20">
        <f ca="1">R$533*(1+SUMPRODUCT(Exogenous!$B$67:$B$72,'Population Treasury'!AD$280:AD$285)+SUMPRODUCT(Exogenous!$C$67:$C$72,'Population Treasury'!AD$304:AD$309))*(1+S$25)*(1+S$29)*(1+OFFSET(Assumptions!$B$63,0,$C$1))</f>
        <v>4.0135175292436447</v>
      </c>
      <c r="T533" s="20">
        <f ca="1">S$533*(1+SUMPRODUCT(Exogenous!$B$67:$B$72,'Population Treasury'!AE$280:AE$285)+SUMPRODUCT(Exogenous!$C$67:$C$72,'Population Treasury'!AE$304:AE$309))*(1+T$25)*(1+T$29)*(1+OFFSET(Assumptions!$B$63,0,$C$1))</f>
        <v>4.1606999679535024</v>
      </c>
      <c r="U533" s="20">
        <f ca="1">T$533*(1+SUMPRODUCT(Exogenous!$B$67:$B$72,'Population Treasury'!AF$280:AF$285)+SUMPRODUCT(Exogenous!$C$67:$C$72,'Population Treasury'!AF$304:AF$309))*(1+U$25)*(1+U$29)*(1+OFFSET(Assumptions!$B$63,0,$C$1))</f>
        <v>4.3172500258791429</v>
      </c>
      <c r="V533" s="20">
        <f ca="1">U$533*(1+SUMPRODUCT(Exogenous!$B$67:$B$72,'Population Treasury'!AG$280:AG$285)+SUMPRODUCT(Exogenous!$C$67:$C$72,'Population Treasury'!AG$304:AG$309))*(1+V$25)*(1+V$29)*(1+OFFSET(Assumptions!$B$63,0,$C$1))</f>
        <v>4.484471206476095</v>
      </c>
      <c r="W533" s="20">
        <f ca="1">V$533*(1+SUMPRODUCT(Exogenous!$B$67:$B$72,'Population Treasury'!AH$280:AH$285)+SUMPRODUCT(Exogenous!$C$67:$C$72,'Population Treasury'!AH$304:AH$309))*(1+W$25)*(1+W$29)*(1+OFFSET(Assumptions!$B$63,0,$C$1))</f>
        <v>4.6628813449209119</v>
      </c>
      <c r="X533" s="20">
        <f ca="1">W$533*(1+SUMPRODUCT(Exogenous!$B$67:$B$72,'Population Treasury'!AI$280:AI$285)+SUMPRODUCT(Exogenous!$C$67:$C$72,'Population Treasury'!AI$304:AI$309))*(1+X$25)*(1+X$29)*(1+OFFSET(Assumptions!$B$63,0,$C$1))</f>
        <v>4.8527621000834378</v>
      </c>
      <c r="Y533" s="20">
        <f ca="1">X$533*(1+SUMPRODUCT(Exogenous!$B$67:$B$72,'Population Treasury'!AJ$280:AJ$285)+SUMPRODUCT(Exogenous!$C$67:$C$72,'Population Treasury'!AJ$304:AJ$309))*(1+Y$25)*(1+Y$29)*(1+OFFSET(Assumptions!$B$63,0,$C$1))</f>
        <v>5.0545512941973714</v>
      </c>
      <c r="Z533" s="20">
        <f ca="1">Y$533*(1+SUMPRODUCT(Exogenous!$B$67:$B$72,'Population Treasury'!AK$280:AK$285)+SUMPRODUCT(Exogenous!$C$67:$C$72,'Population Treasury'!AK$304:AK$309))*(1+Z$25)*(1+Z$29)*(1+OFFSET(Assumptions!$B$63,0,$C$1))</f>
        <v>5.2672900103709868</v>
      </c>
    </row>
    <row r="534" spans="1:26" x14ac:dyDescent="0.25">
      <c r="A534" s="12" t="s">
        <v>1434</v>
      </c>
      <c r="B534" s="14" t="str">
        <f t="shared" ref="B534:B539" si="313">$B$38</f>
        <v>From Fiscal Forecasts</v>
      </c>
      <c r="D534" s="50">
        <f>'Fiscal Forecasts'!D$409</f>
        <v>3.835</v>
      </c>
      <c r="E534" s="50">
        <f>'Fiscal Forecasts'!E$409</f>
        <v>4.0129999999999999</v>
      </c>
      <c r="F534" s="50">
        <f>'Fiscal Forecasts'!F$409</f>
        <v>4.6470000000000002</v>
      </c>
      <c r="G534" s="50">
        <f>'Fiscal Forecasts'!G$409</f>
        <v>4.7329999999999997</v>
      </c>
      <c r="H534" s="50">
        <f>'Fiscal Forecasts'!H$409</f>
        <v>4.7789999999999999</v>
      </c>
      <c r="I534" s="50">
        <f>'Fiscal Forecasts'!I$409</f>
        <v>5.39</v>
      </c>
      <c r="J534" s="50">
        <f>'Fiscal Forecasts'!J$409</f>
        <v>5.5259999999999998</v>
      </c>
      <c r="K534" s="50">
        <f>'Fiscal Forecasts'!K$409</f>
        <v>5.6630000000000003</v>
      </c>
      <c r="L534" s="48">
        <f>'Fiscal Forecasts'!L$409+Allocation!C$25+IF($C$2="Yes",'Fiscal Forecast Adjuster'!C$61,0)</f>
        <v>6.1281812000000002</v>
      </c>
      <c r="M534" s="48">
        <f>'Fiscal Forecasts'!M$409+Allocation!D$25+IF($C$2="Yes",'Fiscal Forecast Adjuster'!D$61,0)</f>
        <v>6.4117951999999994</v>
      </c>
      <c r="N534" s="48">
        <f>'Fiscal Forecasts'!N$409+Allocation!E$25+IF($C$2="Yes",'Fiscal Forecast Adjuster'!E$61,0)</f>
        <v>6.4693750000000003</v>
      </c>
      <c r="O534" s="48">
        <f>'Fiscal Forecasts'!O$409+Allocation!F$25+IF($C$2="Yes",'Fiscal Forecast Adjuster'!F$61,0)</f>
        <v>6.6502961999999997</v>
      </c>
      <c r="P534" s="48">
        <f>'Fiscal Forecasts'!P$409+Allocation!G$25+IF($C$2="Yes",'Fiscal Forecast Adjuster'!G$61,0)</f>
        <v>6.8068724000000005</v>
      </c>
      <c r="Q534" s="20">
        <f ca="1">P$534*(1+SUMPRODUCT(Exogenous!$G$67:$G$75,'Population Treasury'!AB$285:AB$293)+SUMPRODUCT(Exogenous!$H$67:$H$75,'Population Treasury'!AB$309:AB$317))*(1+Q$25)*(1+Q$29)*(1+OFFSET(Assumptions!$B$63,0,$C$1))</f>
        <v>7.0213923532428204</v>
      </c>
      <c r="R534" s="20">
        <f ca="1">Q$534*(1+SUMPRODUCT(Exogenous!$G$67:$G$75,'Population Treasury'!AC$285:AC$293)+SUMPRODUCT(Exogenous!$H$67:$H$75,'Population Treasury'!AC$309:AC$317))*(1+R$25)*(1+R$29)*(1+OFFSET(Assumptions!$B$63,0,$C$1))</f>
        <v>7.2434910204359726</v>
      </c>
      <c r="S534" s="20">
        <f ca="1">R$534*(1+SUMPRODUCT(Exogenous!$G$67:$G$75,'Population Treasury'!AD$285:AD$293)+SUMPRODUCT(Exogenous!$H$67:$H$75,'Population Treasury'!AD$309:AD$317))*(1+S$25)*(1+S$29)*(1+OFFSET(Assumptions!$B$63,0,$C$1))</f>
        <v>7.4698970476595266</v>
      </c>
      <c r="T534" s="20">
        <f ca="1">S$534*(1+SUMPRODUCT(Exogenous!$G$67:$G$75,'Population Treasury'!AE$285:AE$293)+SUMPRODUCT(Exogenous!$H$67:$H$75,'Population Treasury'!AE$309:AE$317))*(1+T$25)*(1+T$29)*(1+OFFSET(Assumptions!$B$63,0,$C$1))</f>
        <v>7.7000963704380743</v>
      </c>
      <c r="U534" s="20">
        <f ca="1">T$534*(1+SUMPRODUCT(Exogenous!$G$67:$G$75,'Population Treasury'!AF$285:AF$293)+SUMPRODUCT(Exogenous!$H$67:$H$75,'Population Treasury'!AF$309:AF$317))*(1+U$25)*(1+U$29)*(1+OFFSET(Assumptions!$B$63,0,$C$1))</f>
        <v>7.968115934886363</v>
      </c>
      <c r="V534" s="20">
        <f ca="1">U$534*(1+SUMPRODUCT(Exogenous!$G$67:$G$75,'Population Treasury'!AG$285:AG$293)+SUMPRODUCT(Exogenous!$H$67:$H$75,'Population Treasury'!AG$309:AG$317))*(1+V$25)*(1+V$29)*(1+OFFSET(Assumptions!$B$63,0,$C$1))</f>
        <v>8.2717781950830123</v>
      </c>
      <c r="W534" s="20">
        <f ca="1">V$534*(1+SUMPRODUCT(Exogenous!$G$67:$G$75,'Population Treasury'!AH$285:AH$293)+SUMPRODUCT(Exogenous!$H$67:$H$75,'Population Treasury'!AH$309:AH$317))*(1+W$25)*(1+W$29)*(1+OFFSET(Assumptions!$B$63,0,$C$1))</f>
        <v>8.5801378433312792</v>
      </c>
      <c r="X534" s="20">
        <f ca="1">W$534*(1+SUMPRODUCT(Exogenous!$G$67:$G$75,'Population Treasury'!AI$285:AI$293)+SUMPRODUCT(Exogenous!$H$67:$H$75,'Population Treasury'!AI$309:AI$317))*(1+X$25)*(1+X$29)*(1+OFFSET(Assumptions!$B$63,0,$C$1))</f>
        <v>8.8936625059541523</v>
      </c>
      <c r="Y534" s="20">
        <f ca="1">X$534*(1+SUMPRODUCT(Exogenous!$G$67:$G$75,'Population Treasury'!AJ$285:AJ$293)+SUMPRODUCT(Exogenous!$H$67:$H$75,'Population Treasury'!AJ$309:AJ$317))*(1+Y$25)*(1+Y$29)*(1+OFFSET(Assumptions!$B$63,0,$C$1))</f>
        <v>9.221137254313188</v>
      </c>
      <c r="Z534" s="20">
        <f ca="1">Y$534*(1+SUMPRODUCT(Exogenous!$G$67:$G$75,'Population Treasury'!AK$285:AK$293)+SUMPRODUCT(Exogenous!$H$67:$H$75,'Population Treasury'!AK$309:AK$317))*(1+Z$25)*(1+Z$29)*(1+OFFSET(Assumptions!$B$63,0,$C$1))</f>
        <v>9.5655850701206955</v>
      </c>
    </row>
    <row r="535" spans="1:26" x14ac:dyDescent="0.25">
      <c r="A535" s="12" t="s">
        <v>1435</v>
      </c>
      <c r="B535" s="14" t="str">
        <f t="shared" si="313"/>
        <v>From Fiscal Forecasts</v>
      </c>
      <c r="D535" s="50">
        <f>'Fiscal Forecasts'!D$410</f>
        <v>2.988</v>
      </c>
      <c r="E535" s="50">
        <f>'Fiscal Forecasts'!E$410</f>
        <v>3.0950000000000002</v>
      </c>
      <c r="F535" s="50">
        <f>'Fiscal Forecasts'!F$410</f>
        <v>3.5830000000000002</v>
      </c>
      <c r="G535" s="50">
        <f>'Fiscal Forecasts'!G$410</f>
        <v>3.7450000000000001</v>
      </c>
      <c r="H535" s="50">
        <f>'Fiscal Forecasts'!H$410</f>
        <v>3.8370000000000002</v>
      </c>
      <c r="I535" s="50">
        <f>'Fiscal Forecasts'!I$410</f>
        <v>4.351</v>
      </c>
      <c r="J535" s="50">
        <f>'Fiscal Forecasts'!J$410</f>
        <v>4.4240000000000004</v>
      </c>
      <c r="K535" s="50">
        <f>'Fiscal Forecasts'!K$410</f>
        <v>4.5599999999999996</v>
      </c>
      <c r="L535" s="48">
        <f>'Fiscal Forecasts'!L$410+Allocation!C$26+IF($C$2="Yes",'Fiscal Forecast Adjuster'!C$62,0)</f>
        <v>4.9147138000000004</v>
      </c>
      <c r="M535" s="48">
        <f>'Fiscal Forecasts'!M$410+Allocation!D$26+IF($C$2="Yes",'Fiscal Forecast Adjuster'!D$62,0)</f>
        <v>5.1386248000000005</v>
      </c>
      <c r="N535" s="48">
        <f>'Fiscal Forecasts'!N$410+Allocation!E$26+IF($C$2="Yes",'Fiscal Forecast Adjuster'!E$62,0)</f>
        <v>5.1814375000000004</v>
      </c>
      <c r="O535" s="48">
        <f>'Fiscal Forecasts'!O$410+Allocation!F$26+IF($C$2="Yes",'Fiscal Forecast Adjuster'!F$62,0)</f>
        <v>5.3241613000000001</v>
      </c>
      <c r="P535" s="48">
        <f>'Fiscal Forecasts'!P$410+Allocation!G$26+IF($C$2="Yes",'Fiscal Forecast Adjuster'!G$62,0)</f>
        <v>5.4460426000000002</v>
      </c>
      <c r="Q535" s="20">
        <f ca="1">P$535*(1+SUMPRODUCT(Exogenous!$L$67:$L$73,'Population Treasury'!AB$293:AB$299)+SUMPRODUCT(Exogenous!$M$67:$M$73,'Population Treasury'!AB$317:AB$323))*(1+Q$25)*(1+Q$29)*(1+OFFSET(Assumptions!$B$63,0,$C$1))</f>
        <v>5.6304125364865794</v>
      </c>
      <c r="R535" s="20">
        <f ca="1">Q$535*(1+SUMPRODUCT(Exogenous!$L$67:$L$73,'Population Treasury'!AC$293:AC$299)+SUMPRODUCT(Exogenous!$M$67:$M$73,'Population Treasury'!AC$317:AC$323))*(1+R$25)*(1+R$29)*(1+OFFSET(Assumptions!$B$63,0,$C$1))</f>
        <v>5.8114915747315221</v>
      </c>
      <c r="S535" s="20">
        <f ca="1">R$535*(1+SUMPRODUCT(Exogenous!$L$67:$L$73,'Population Treasury'!AD$293:AD$299)+SUMPRODUCT(Exogenous!$M$67:$M$73,'Population Treasury'!AD$317:AD$323))*(1+S$25)*(1+S$29)*(1+OFFSET(Assumptions!$B$63,0,$C$1))</f>
        <v>6.0024096194187493</v>
      </c>
      <c r="T535" s="20">
        <f ca="1">S$535*(1+SUMPRODUCT(Exogenous!$L$67:$L$73,'Population Treasury'!AE$293:AE$299)+SUMPRODUCT(Exogenous!$M$67:$M$73,'Population Treasury'!AE$317:AE$323))*(1+T$25)*(1+T$29)*(1+OFFSET(Assumptions!$B$63,0,$C$1))</f>
        <v>6.2003281633263878</v>
      </c>
      <c r="U535" s="20">
        <f ca="1">T$535*(1+SUMPRODUCT(Exogenous!$L$67:$L$73,'Population Treasury'!AF$293:AF$299)+SUMPRODUCT(Exogenous!$M$67:$M$73,'Population Treasury'!AF$317:AF$323))*(1+U$25)*(1+U$29)*(1+OFFSET(Assumptions!$B$63,0,$C$1))</f>
        <v>6.373706012087184</v>
      </c>
      <c r="V535" s="20">
        <f ca="1">U$535*(1+SUMPRODUCT(Exogenous!$L$67:$L$73,'Population Treasury'!AG$293:AG$299)+SUMPRODUCT(Exogenous!$M$67:$M$73,'Population Treasury'!AG$317:AG$323))*(1+V$25)*(1+V$29)*(1+OFFSET(Assumptions!$B$63,0,$C$1))</f>
        <v>6.5114889765022825</v>
      </c>
      <c r="W535" s="20">
        <f ca="1">V$535*(1+SUMPRODUCT(Exogenous!$L$67:$L$73,'Population Treasury'!AH$293:AH$299)+SUMPRODUCT(Exogenous!$M$67:$M$73,'Population Treasury'!AH$317:AH$323))*(1+W$25)*(1+W$29)*(1+OFFSET(Assumptions!$B$63,0,$C$1))</f>
        <v>6.6685362998528506</v>
      </c>
      <c r="X535" s="20">
        <f ca="1">W$535*(1+SUMPRODUCT(Exogenous!$L$67:$L$73,'Population Treasury'!AI$293:AI$299)+SUMPRODUCT(Exogenous!$M$67:$M$73,'Population Treasury'!AI$317:AI$323))*(1+X$25)*(1+X$29)*(1+OFFSET(Assumptions!$B$63,0,$C$1))</f>
        <v>6.8454207260889373</v>
      </c>
      <c r="Y535" s="20">
        <f ca="1">X$535*(1+SUMPRODUCT(Exogenous!$L$67:$L$73,'Population Treasury'!AJ$293:AJ$299)+SUMPRODUCT(Exogenous!$M$67:$M$73,'Population Treasury'!AJ$317:AJ$323))*(1+Y$25)*(1+Y$29)*(1+OFFSET(Assumptions!$B$63,0,$C$1))</f>
        <v>7.0508573342863441</v>
      </c>
      <c r="Z535" s="20">
        <f ca="1">Y$535*(1+SUMPRODUCT(Exogenous!$L$67:$L$73,'Population Treasury'!AK$293:AK$299)+SUMPRODUCT(Exogenous!$M$67:$M$73,'Population Treasury'!AK$317:AK$323))*(1+Z$25)*(1+Z$29)*(1+OFFSET(Assumptions!$B$63,0,$C$1))</f>
        <v>7.3195185114415509</v>
      </c>
    </row>
    <row r="536" spans="1:26" x14ac:dyDescent="0.25">
      <c r="A536" s="12" t="s">
        <v>1436</v>
      </c>
      <c r="B536" s="14" t="str">
        <f t="shared" si="313"/>
        <v>From Fiscal Forecasts</v>
      </c>
      <c r="D536" s="50">
        <f>'Fiscal Forecasts'!D$411</f>
        <v>2.9660000000000002</v>
      </c>
      <c r="E536" s="50">
        <f>'Fiscal Forecasts'!E$411</f>
        <v>4.548</v>
      </c>
      <c r="F536" s="50">
        <f>'Fiscal Forecasts'!F$411</f>
        <v>2.7170000000000001</v>
      </c>
      <c r="G536" s="50">
        <f>'Fiscal Forecasts'!G$411</f>
        <v>3.96</v>
      </c>
      <c r="H536" s="50">
        <f>'Fiscal Forecasts'!H$411</f>
        <v>3.8639999999999999</v>
      </c>
      <c r="I536" s="50">
        <f>'Fiscal Forecasts'!I$411</f>
        <v>3.8849999999999998</v>
      </c>
      <c r="J536" s="50">
        <f>'Fiscal Forecasts'!J$411</f>
        <v>3.9209999999999998</v>
      </c>
      <c r="K536" s="50">
        <f>'Fiscal Forecasts'!K$411</f>
        <v>3.8889999999999998</v>
      </c>
      <c r="L536" s="48">
        <f>'Fiscal Forecasts'!L$411+Allocation!C$27+IF($C$2="Yes",'Fiscal Forecast Adjuster'!C$63,0)</f>
        <v>3.8792917</v>
      </c>
      <c r="M536" s="48">
        <f>'Fiscal Forecasts'!M$411+Allocation!D$27+IF($C$2="Yes",'Fiscal Forecast Adjuster'!D$63,0)</f>
        <v>3.9521532000000001</v>
      </c>
      <c r="N536" s="48">
        <f>'Fiscal Forecasts'!N$411+Allocation!E$27+IF($C$2="Yes",'Fiscal Forecast Adjuster'!E$63,0)</f>
        <v>3.9805937500000002</v>
      </c>
      <c r="O536" s="48">
        <f>'Fiscal Forecasts'!O$411+Allocation!F$27+IF($C$2="Yes",'Fiscal Forecast Adjuster'!F$63,0)</f>
        <v>4.1443504500000001</v>
      </c>
      <c r="P536" s="48">
        <f>'Fiscal Forecasts'!P$411+Allocation!G$27+IF($C$2="Yes",'Fiscal Forecast Adjuster'!G$63,0)</f>
        <v>4.2821809000000002</v>
      </c>
      <c r="Q536" s="20">
        <f ca="1">P$536*(1+Exogenous!$Q$67*'Population Treasury'!AB$297+SUMPRODUCT(Exogenous!$Q$68:$Q$71,'Population Treasury'!AB$300:AB$303)+Exogenous!$R$67*'Population Treasury'!AB$321+SUMPRODUCT(Exogenous!$R$68:$R$71,'Population Treasury'!AB$324:AB$327))*(1+Q$25)*(1+Q$29)*(1+OFFSET(Assumptions!$B$63,0,$C$1))</f>
        <v>4.4712945393024457</v>
      </c>
      <c r="R536" s="20">
        <f ca="1">Q$536*(1+Exogenous!$Q$67*'Population Treasury'!AC$297+SUMPRODUCT(Exogenous!$Q$68:$Q$71,'Population Treasury'!AC$300:AC$303)+Exogenous!$R$67*'Population Treasury'!AC$321+SUMPRODUCT(Exogenous!$R$68:$R$71,'Population Treasury'!AC$324:AC$327))*(1+R$25)*(1+R$29)*(1+OFFSET(Assumptions!$B$63,0,$C$1))</f>
        <v>4.6554585671214923</v>
      </c>
      <c r="S536" s="20">
        <f ca="1">R$536*(1+Exogenous!$Q$67*'Population Treasury'!AD$297+SUMPRODUCT(Exogenous!$Q$68:$Q$71,'Population Treasury'!AD$300:AD$303)+Exogenous!$R$67*'Population Treasury'!AD$321+SUMPRODUCT(Exogenous!$R$68:$R$71,'Population Treasury'!AD$324:AD$327))*(1+S$25)*(1+S$29)*(1+OFFSET(Assumptions!$B$63,0,$C$1))</f>
        <v>4.8443374941630992</v>
      </c>
      <c r="T536" s="20">
        <f ca="1">S$536*(1+Exogenous!$Q$67*'Population Treasury'!AE$297+SUMPRODUCT(Exogenous!$Q$68:$Q$71,'Population Treasury'!AE$300:AE$303)+Exogenous!$R$67*'Population Treasury'!AE$321+SUMPRODUCT(Exogenous!$R$68:$R$71,'Population Treasury'!AE$324:AE$327))*(1+T$25)*(1+T$29)*(1+OFFSET(Assumptions!$B$63,0,$C$1))</f>
        <v>5.0327257906779934</v>
      </c>
      <c r="U536" s="20">
        <f ca="1">T$536*(1+Exogenous!$Q$67*'Population Treasury'!AF$297+SUMPRODUCT(Exogenous!$Q$68:$Q$71,'Population Treasury'!AF$300:AF$303)+Exogenous!$R$67*'Population Treasury'!AF$321+SUMPRODUCT(Exogenous!$R$68:$R$71,'Population Treasury'!AF$324:AF$327))*(1+U$25)*(1+U$29)*(1+OFFSET(Assumptions!$B$63,0,$C$1))</f>
        <v>5.2254430833794805</v>
      </c>
      <c r="V536" s="20">
        <f ca="1">U$536*(1+Exogenous!$Q$67*'Population Treasury'!AG$297+SUMPRODUCT(Exogenous!$Q$68:$Q$71,'Population Treasury'!AG$300:AG$303)+Exogenous!$R$67*'Population Treasury'!AG$321+SUMPRODUCT(Exogenous!$R$68:$R$71,'Population Treasury'!AG$324:AG$327))*(1+V$25)*(1+V$29)*(1+OFFSET(Assumptions!$B$63,0,$C$1))</f>
        <v>5.4228220255260826</v>
      </c>
      <c r="W536" s="20">
        <f ca="1">V$536*(1+Exogenous!$Q$67*'Population Treasury'!AH$297+SUMPRODUCT(Exogenous!$Q$68:$Q$71,'Population Treasury'!AH$300:AH$303)+Exogenous!$R$67*'Population Treasury'!AH$321+SUMPRODUCT(Exogenous!$R$68:$R$71,'Population Treasury'!AH$324:AH$327))*(1+W$25)*(1+W$29)*(1+OFFSET(Assumptions!$B$63,0,$C$1))</f>
        <v>5.6243492347034856</v>
      </c>
      <c r="X536" s="20">
        <f ca="1">W$536*(1+Exogenous!$Q$67*'Population Treasury'!AI$297+SUMPRODUCT(Exogenous!$Q$68:$Q$71,'Population Treasury'!AI$300:AI$303)+Exogenous!$R$67*'Population Treasury'!AI$321+SUMPRODUCT(Exogenous!$R$68:$R$71,'Population Treasury'!AI$324:AI$327))*(1+X$25)*(1+X$29)*(1+OFFSET(Assumptions!$B$63,0,$C$1))</f>
        <v>5.8410173890930386</v>
      </c>
      <c r="Y536" s="20">
        <f ca="1">X$536*(1+Exogenous!$Q$67*'Population Treasury'!AJ$297+SUMPRODUCT(Exogenous!$Q$68:$Q$71,'Population Treasury'!AJ$300:AJ$303)+Exogenous!$R$67*'Population Treasury'!AJ$321+SUMPRODUCT(Exogenous!$R$68:$R$71,'Population Treasury'!AJ$324:AJ$327))*(1+Y$25)*(1+Y$29)*(1+OFFSET(Assumptions!$B$63,0,$C$1))</f>
        <v>6.0531752151494453</v>
      </c>
      <c r="Z536" s="20">
        <f ca="1">Y$536*(1+Exogenous!$Q$67*'Population Treasury'!AK$297+SUMPRODUCT(Exogenous!$Q$68:$Q$71,'Population Treasury'!AK$300:AK$303)+Exogenous!$R$67*'Population Treasury'!AK$321+SUMPRODUCT(Exogenous!$R$68:$R$71,'Population Treasury'!AK$324:AK$327))*(1+Z$25)*(1+Z$29)*(1+OFFSET(Assumptions!$B$63,0,$C$1))</f>
        <v>6.2502142583243172</v>
      </c>
    </row>
    <row r="537" spans="1:26" x14ac:dyDescent="0.25">
      <c r="A537" s="12" t="s">
        <v>693</v>
      </c>
      <c r="B537" s="14" t="str">
        <f t="shared" si="313"/>
        <v>From Fiscal Forecasts</v>
      </c>
      <c r="D537" s="50">
        <f>'Fiscal Forecasts'!D$412</f>
        <v>0.58299999999999996</v>
      </c>
      <c r="E537" s="50">
        <f>'Fiscal Forecasts'!E$412</f>
        <v>0.56699999999999995</v>
      </c>
      <c r="F537" s="50">
        <f>'Fiscal Forecasts'!F$412</f>
        <v>0.59</v>
      </c>
      <c r="G537" s="50">
        <f>'Fiscal Forecasts'!G$412</f>
        <v>0.55600000000000005</v>
      </c>
      <c r="H537" s="50">
        <f>'Fiscal Forecasts'!H$412</f>
        <v>0.52500000000000002</v>
      </c>
      <c r="I537" s="50">
        <f>'Fiscal Forecasts'!I$412</f>
        <v>0.52600000000000002</v>
      </c>
      <c r="J537" s="50">
        <f>'Fiscal Forecasts'!J$412</f>
        <v>0.57399999999999995</v>
      </c>
      <c r="K537" s="50">
        <f>'Fiscal Forecasts'!K$412</f>
        <v>0.64100000000000001</v>
      </c>
      <c r="L537" s="48">
        <f>'Fiscal Forecasts'!L$412</f>
        <v>0.70399999999999996</v>
      </c>
      <c r="M537" s="48">
        <f>'Fiscal Forecasts'!M$412</f>
        <v>0.71499999999999997</v>
      </c>
      <c r="N537" s="48">
        <f>'Fiscal Forecasts'!N$412</f>
        <v>0.69899999999999995</v>
      </c>
      <c r="O537" s="48">
        <f>'Fiscal Forecasts'!O$412</f>
        <v>0.68899999999999995</v>
      </c>
      <c r="P537" s="48">
        <f>'Fiscal Forecasts'!P$412</f>
        <v>0.68899999999999995</v>
      </c>
      <c r="Q537" s="20">
        <f t="shared" ref="Q537:Z537" ca="1" si="314">Q$190</f>
        <v>0.7042704052526918</v>
      </c>
      <c r="R537" s="20">
        <f t="shared" ca="1" si="314"/>
        <v>0.7200817868108712</v>
      </c>
      <c r="S537" s="20">
        <f t="shared" ca="1" si="314"/>
        <v>0.7364441451154754</v>
      </c>
      <c r="T537" s="20">
        <f t="shared" ca="1" si="314"/>
        <v>0.75426820881386147</v>
      </c>
      <c r="U537" s="20">
        <f t="shared" ca="1" si="314"/>
        <v>0.77251950077583986</v>
      </c>
      <c r="V537" s="20">
        <f t="shared" ca="1" si="314"/>
        <v>0.79212822197401689</v>
      </c>
      <c r="W537" s="20">
        <f t="shared" ca="1" si="314"/>
        <v>0.81256650909083683</v>
      </c>
      <c r="X537" s="20">
        <f t="shared" ca="1" si="314"/>
        <v>0.834167094857449</v>
      </c>
      <c r="Y537" s="20">
        <f t="shared" ca="1" si="314"/>
        <v>0.85705810709086938</v>
      </c>
      <c r="Z537" s="20">
        <f t="shared" ca="1" si="314"/>
        <v>0.87732856685740601</v>
      </c>
    </row>
    <row r="538" spans="1:26" x14ac:dyDescent="0.25">
      <c r="A538" s="12" t="s">
        <v>1278</v>
      </c>
      <c r="B538" s="14" t="str">
        <f t="shared" si="313"/>
        <v>From Fiscal Forecasts</v>
      </c>
      <c r="D538" s="50">
        <f>'Fiscal Forecasts'!D$413</f>
        <v>0.56299999999999994</v>
      </c>
      <c r="E538" s="50">
        <f>'Fiscal Forecasts'!E$413</f>
        <v>0.50600000000000001</v>
      </c>
      <c r="F538" s="50">
        <f>'Fiscal Forecasts'!F$413</f>
        <v>0.21199999999999999</v>
      </c>
      <c r="G538" s="50">
        <f>'Fiscal Forecasts'!G$413</f>
        <v>0.28799999999999998</v>
      </c>
      <c r="H538" s="50">
        <f>'Fiscal Forecasts'!H$413</f>
        <v>0.27400000000000002</v>
      </c>
      <c r="I538" s="50">
        <f>'Fiscal Forecasts'!I$413</f>
        <v>0.60299999999999998</v>
      </c>
      <c r="J538" s="50">
        <f>'Fiscal Forecasts'!J$413</f>
        <v>0.67600000000000005</v>
      </c>
      <c r="K538" s="50">
        <f>'Fiscal Forecasts'!K$413</f>
        <v>0.76300000000000001</v>
      </c>
      <c r="L538" s="48">
        <f>'Fiscal Forecasts'!L$413</f>
        <v>0.72399999999999998</v>
      </c>
      <c r="M538" s="48">
        <f>'Fiscal Forecasts'!M$413</f>
        <v>0.78600000000000003</v>
      </c>
      <c r="N538" s="48">
        <f>'Fiscal Forecasts'!N$413</f>
        <v>0.82099999999999995</v>
      </c>
      <c r="O538" s="48">
        <f>'Fiscal Forecasts'!O$413</f>
        <v>0.85299999999999998</v>
      </c>
      <c r="P538" s="48">
        <f>'Fiscal Forecasts'!P$413</f>
        <v>0.88300000000000001</v>
      </c>
      <c r="Q538" s="20">
        <f t="shared" ref="Q538:Z538" si="315">Q$402</f>
        <v>0.91100000000000003</v>
      </c>
      <c r="R538" s="20">
        <f t="shared" si="315"/>
        <v>0.93799999999999994</v>
      </c>
      <c r="S538" s="20">
        <f t="shared" si="315"/>
        <v>0.96199999999999997</v>
      </c>
      <c r="T538" s="20">
        <f t="shared" si="315"/>
        <v>0.98499999999999999</v>
      </c>
      <c r="U538" s="20">
        <f t="shared" si="315"/>
        <v>1.006</v>
      </c>
      <c r="V538" s="20">
        <f t="shared" si="315"/>
        <v>1.0249999999999999</v>
      </c>
      <c r="W538" s="20">
        <f t="shared" si="315"/>
        <v>1.046</v>
      </c>
      <c r="X538" s="20">
        <f t="shared" si="315"/>
        <v>1.0669999999999999</v>
      </c>
      <c r="Y538" s="20">
        <f t="shared" si="315"/>
        <v>1.0880000000000001</v>
      </c>
      <c r="Z538" s="20">
        <f t="shared" si="315"/>
        <v>1.109</v>
      </c>
    </row>
    <row r="539" spans="1:26" x14ac:dyDescent="0.25">
      <c r="A539" s="12" t="s">
        <v>1437</v>
      </c>
      <c r="B539" s="14" t="str">
        <f t="shared" si="313"/>
        <v>From Fiscal Forecasts</v>
      </c>
      <c r="C539" s="100" cm="1">
        <f t="array" aca="1" ref="C539" ca="1">SUMPRODUCT(OFFSET($P$539,0,0,1,-OFFSET(Assumptions!$B$60,0,$C$1))/OFFSET($P$13,0,0,1,-OFFSET(Assumptions!$B$60,0,$C$1)))/OFFSET(Assumptions!$B$60,0,$C$1)</f>
        <v>5.6224178894803091E-3</v>
      </c>
      <c r="D539" s="50">
        <f>'Fiscal Forecasts'!D$414</f>
        <v>1.462</v>
      </c>
      <c r="E539" s="50">
        <f>'Fiscal Forecasts'!E$414</f>
        <v>1.5860000000000001</v>
      </c>
      <c r="F539" s="50">
        <f>'Fiscal Forecasts'!F$414</f>
        <v>2.1579999999999999</v>
      </c>
      <c r="G539" s="50">
        <f>'Fiscal Forecasts'!G$414</f>
        <v>2.4940000000000002</v>
      </c>
      <c r="H539" s="50">
        <f>'Fiscal Forecasts'!H$414</f>
        <v>2.7690000000000001</v>
      </c>
      <c r="I539" s="50">
        <f>'Fiscal Forecasts'!I$414</f>
        <v>2.758</v>
      </c>
      <c r="J539" s="50">
        <f>'Fiscal Forecasts'!J$414</f>
        <v>2.7</v>
      </c>
      <c r="K539" s="50">
        <f>'Fiscal Forecasts'!K$414</f>
        <v>2.6720000000000002</v>
      </c>
      <c r="L539" s="48">
        <f>'Fiscal Forecasts'!L$414+Allocation!C$28+IF($C$2="Yes",'Fiscal Forecast Adjuster'!C$64,0)</f>
        <v>2.43680165</v>
      </c>
      <c r="M539" s="48">
        <f>'Fiscal Forecasts'!M$414+Allocation!D$28+IF($C$2="Yes",'Fiscal Forecast Adjuster'!D$64,0)</f>
        <v>2.3796334000000003</v>
      </c>
      <c r="N539" s="48">
        <f>'Fiscal Forecasts'!N$414+Allocation!E$28+IF($C$2="Yes",'Fiscal Forecast Adjuster'!E$64,0)</f>
        <v>2.5396093749999999</v>
      </c>
      <c r="O539" s="48">
        <f>'Fiscal Forecasts'!O$414+Allocation!F$28+IF($C$2="Yes",'Fiscal Forecast Adjuster'!F$64,0)</f>
        <v>2.608553525</v>
      </c>
      <c r="P539" s="48">
        <f>'Fiscal Forecasts'!P$414+Allocation!G$28+IF($C$2="Yes",'Fiscal Forecast Adjuster'!G$64,0)</f>
        <v>2.71986705</v>
      </c>
      <c r="Q539" s="20">
        <f ca="1">(P$539/P$13+MIN(ABS($C$539-P$539/P$13),OFFSET(Assumptions!$B$61,0,$C$1))*SIGN($C$539-P$539/P$13))*Q$13</f>
        <v>3.142119562295921</v>
      </c>
      <c r="R539" s="20">
        <f ca="1">(Q$539/Q$13+MIN(ABS($C$539-Q$539/Q$13),OFFSET(Assumptions!$B$61,0,$C$1))*SIGN($C$539-Q$539/Q$13))*R$13</f>
        <v>3.5622276719812782</v>
      </c>
      <c r="S539" s="20">
        <f ca="1">(R$539/R$13+MIN(ABS($C$539-R$539/R$13),OFFSET(Assumptions!$B$61,0,$C$1))*SIGN($C$539-R$539/R$13))*S$13</f>
        <v>3.7115168651137136</v>
      </c>
      <c r="T539" s="20">
        <f ca="1">(S$539/S$13+MIN(ABS($C$539-S$539/S$13),OFFSET(Assumptions!$B$61,0,$C$1))*SIGN($C$539-S$539/S$13))*T$13</f>
        <v>3.8643098785499337</v>
      </c>
      <c r="U539" s="20">
        <f ca="1">(T$539/T$13+MIN(ABS($C$539-T$539/T$13),OFFSET(Assumptions!$B$61,0,$C$1))*SIGN($C$539-T$539/T$13))*U$13</f>
        <v>4.0224308971246572</v>
      </c>
      <c r="V539" s="20">
        <f ca="1">(U$539/U$13+MIN(ABS($C$539-U$539/U$13),OFFSET(Assumptions!$B$61,0,$C$1))*SIGN($C$539-U$539/U$13))*V$13</f>
        <v>4.1859361546893705</v>
      </c>
      <c r="W539" s="20">
        <f ca="1">(V$539/V$13+MIN(ABS($C$539-V$539/V$13),OFFSET(Assumptions!$B$61,0,$C$1))*SIGN($C$539-V$539/V$13))*W$13</f>
        <v>4.3540007699228811</v>
      </c>
      <c r="X539" s="20">
        <f ca="1">(W$539/W$13+MIN(ABS($C$539-W$539/W$13),OFFSET(Assumptions!$B$61,0,$C$1))*SIGN($C$539-W$539/W$13))*X$13</f>
        <v>4.5269049494846891</v>
      </c>
      <c r="Y539" s="20">
        <f ca="1">(X$539/X$13+MIN(ABS($C$539-X$539/X$13),OFFSET(Assumptions!$B$61,0,$C$1))*SIGN($C$539-X$539/X$13))*Y$13</f>
        <v>4.7055528737733363</v>
      </c>
      <c r="Z539" s="20">
        <f ca="1">(Y$539/Y$13+MIN(ABS($C$539-Y$539/Y$13),OFFSET(Assumptions!$B$61,0,$C$1))*SIGN($C$539-Y$539/Y$13))*Z$13</f>
        <v>4.8899906187516047</v>
      </c>
    </row>
    <row r="540" spans="1:26" x14ac:dyDescent="0.25">
      <c r="A540" s="11" t="s">
        <v>1128</v>
      </c>
      <c r="D540" s="94">
        <f>SUM(D$533:D$539)</f>
        <v>14.292999999999999</v>
      </c>
      <c r="E540" s="94">
        <f t="shared" ref="E540:Z540" si="316">SUM(E$533:E$539)</f>
        <v>16.321999999999999</v>
      </c>
      <c r="F540" s="94">
        <f t="shared" si="316"/>
        <v>16.039000000000001</v>
      </c>
      <c r="G540" s="94">
        <f t="shared" si="316"/>
        <v>18.023</v>
      </c>
      <c r="H540" s="94">
        <f t="shared" si="316"/>
        <v>18.402999999999999</v>
      </c>
      <c r="I540" s="94">
        <f t="shared" si="316"/>
        <v>20.222999999999999</v>
      </c>
      <c r="J540" s="94">
        <f t="shared" si="316"/>
        <v>20.895</v>
      </c>
      <c r="K540" s="94">
        <f t="shared" si="316"/>
        <v>21.206000000000003</v>
      </c>
      <c r="L540" s="95">
        <f t="shared" si="316"/>
        <v>21.84479</v>
      </c>
      <c r="M540" s="95">
        <f t="shared" si="316"/>
        <v>22.621840000000002</v>
      </c>
      <c r="N540" s="95">
        <f t="shared" si="316"/>
        <v>23.063625000000005</v>
      </c>
      <c r="O540" s="95">
        <f t="shared" si="316"/>
        <v>23.770915000000002</v>
      </c>
      <c r="P540" s="95">
        <f t="shared" si="316"/>
        <v>24.432830000000003</v>
      </c>
      <c r="Q540" s="96">
        <f t="shared" ca="1" si="316"/>
        <v>25.618648789429912</v>
      </c>
      <c r="R540" s="96">
        <f t="shared" ca="1" si="316"/>
        <v>26.804325541023612</v>
      </c>
      <c r="S540" s="96">
        <f t="shared" ca="1" si="316"/>
        <v>27.74012270071421</v>
      </c>
      <c r="T540" s="96">
        <f t="shared" ca="1" si="316"/>
        <v>28.697428379759749</v>
      </c>
      <c r="U540" s="96">
        <f t="shared" ca="1" si="316"/>
        <v>29.685465454132668</v>
      </c>
      <c r="V540" s="96">
        <f t="shared" ca="1" si="316"/>
        <v>30.693624780250857</v>
      </c>
      <c r="W540" s="96">
        <f t="shared" ca="1" si="316"/>
        <v>31.74847200182224</v>
      </c>
      <c r="X540" s="96">
        <f t="shared" ca="1" si="316"/>
        <v>32.860934765561701</v>
      </c>
      <c r="Y540" s="96">
        <f t="shared" ca="1" si="316"/>
        <v>34.030332078810552</v>
      </c>
      <c r="Z540" s="96">
        <f t="shared" ca="1" si="316"/>
        <v>35.278927035866559</v>
      </c>
    </row>
  </sheetData>
  <phoneticPr fontId="30"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Drop Down 1">
              <controlPr defaultSize="0" autoLine="0" autoPict="0">
                <anchor moveWithCells="1">
                  <from>
                    <xdr:col>0</xdr:col>
                    <xdr:colOff>47625</xdr:colOff>
                    <xdr:row>6</xdr:row>
                    <xdr:rowOff>0</xdr:rowOff>
                  </from>
                  <to>
                    <xdr:col>0</xdr:col>
                    <xdr:colOff>5629275</xdr:colOff>
                    <xdr:row>7</xdr:row>
                    <xdr:rowOff>9525</xdr:rowOff>
                  </to>
                </anchor>
              </controlPr>
            </control>
          </mc:Choice>
        </mc:AlternateContent>
        <mc:AlternateContent xmlns:mc="http://schemas.openxmlformats.org/markup-compatibility/2006">
          <mc:Choice Requires="x14">
            <control shapeId="5122" r:id="rId5" name="Drop Down 2">
              <controlPr defaultSize="0" autoLine="0" autoPict="0">
                <anchor moveWithCells="1">
                  <from>
                    <xdr:col>0</xdr:col>
                    <xdr:colOff>47625</xdr:colOff>
                    <xdr:row>6</xdr:row>
                    <xdr:rowOff>0</xdr:rowOff>
                  </from>
                  <to>
                    <xdr:col>1</xdr:col>
                    <xdr:colOff>19050</xdr:colOff>
                    <xdr:row>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Display</vt:lpstr>
      <vt:lpstr>Guide</vt:lpstr>
      <vt:lpstr>Sources</vt:lpstr>
      <vt:lpstr>Statistics NZ</vt:lpstr>
      <vt:lpstr>Population Treasury</vt:lpstr>
      <vt:lpstr>Labour Force Treasury</vt:lpstr>
      <vt:lpstr>Exogenous</vt:lpstr>
      <vt:lpstr>NZSF Adjuster</vt:lpstr>
      <vt:lpstr>Fiscal Forecast Adjuster</vt:lpstr>
      <vt:lpstr>Allocation</vt:lpstr>
      <vt:lpstr>Fiscal Outturns</vt:lpstr>
      <vt:lpstr>Economic Forecasts</vt:lpstr>
      <vt:lpstr>Fiscal Forecasts</vt:lpstr>
      <vt:lpstr>Assumptions</vt:lpstr>
      <vt:lpstr>Scenario 1</vt:lpstr>
      <vt:lpstr>Scenario 2</vt:lpstr>
      <vt:lpstr>Scenario 3</vt:lpstr>
      <vt:lpstr>Scenario 4</vt:lpstr>
      <vt:lpstr>Option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Fiscal Strategy Model - PREFU 2026 - 29 September 2026</dc:title>
  <dc:creator>New Zealand Treasury</dc:creator>
  <cp:lastModifiedBy>Geraldine Bruin [CASS]</cp:lastModifiedBy>
  <dcterms:created xsi:type="dcterms:W3CDTF">2026-05-13T22:46:47Z</dcterms:created>
  <dcterms:modified xsi:type="dcterms:W3CDTF">2026-09-28T22:58:10Z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e837a-5a0d-4f59-927d-d71c60f2d534_Enabled">
    <vt:lpwstr>true</vt:lpwstr>
  </property>
  <property fmtid="{D5CDD505-2E9C-101B-9397-08002B2CF9AE}" pid="3" name="MSIP_Label_defe837a-5a0d-4f59-927d-d71c60f2d534_SetDate">
    <vt:lpwstr>2026-09-28T22:58:08Z</vt:lpwstr>
  </property>
  <property fmtid="{D5CDD505-2E9C-101B-9397-08002B2CF9AE}" pid="4" name="MSIP_Label_defe837a-5a0d-4f59-927d-d71c60f2d534_Method">
    <vt:lpwstr>Privileged</vt:lpwstr>
  </property>
  <property fmtid="{D5CDD505-2E9C-101B-9397-08002B2CF9AE}" pid="5" name="MSIP_Label_defe837a-5a0d-4f59-927d-d71c60f2d534_Name">
    <vt:lpwstr>UNCLASSIFIED</vt:lpwstr>
  </property>
  <property fmtid="{D5CDD505-2E9C-101B-9397-08002B2CF9AE}" pid="6" name="MSIP_Label_defe837a-5a0d-4f59-927d-d71c60f2d534_SiteId">
    <vt:lpwstr>eea60533-09ef-4b7a-9406-0f38551cc613</vt:lpwstr>
  </property>
  <property fmtid="{D5CDD505-2E9C-101B-9397-08002B2CF9AE}" pid="7" name="MSIP_Label_defe837a-5a0d-4f59-927d-d71c60f2d534_ActionId">
    <vt:lpwstr>ef513262-428c-43fe-9096-df675118bd54</vt:lpwstr>
  </property>
  <property fmtid="{D5CDD505-2E9C-101B-9397-08002B2CF9AE}" pid="8" name="MSIP_Label_defe837a-5a0d-4f59-927d-d71c60f2d534_ContentBits">
    <vt:lpwstr>0</vt:lpwstr>
  </property>
  <property fmtid="{D5CDD505-2E9C-101B-9397-08002B2CF9AE}" pid="9" name="MSIP_Label_defe837a-5a0d-4f59-927d-d71c60f2d534_Tag">
    <vt:lpwstr>10, 0, 1, 1</vt:lpwstr>
  </property>
</Properties>
</file>